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320" windowWidth="19425" windowHeight="11940" tabRatio="901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150x150 saleable grades" sheetId="90" r:id="rId19"/>
    <sheet name="Value added steel " sheetId="50" r:id="rId20"/>
    <sheet name="POWER DISTRIBUTION" sheetId="38" r:id="rId21"/>
    <sheet name="PBS" sheetId="17" r:id="rId22"/>
    <sheet name="ECD" sheetId="15" r:id="rId23"/>
    <sheet name="EMD" sheetId="26" r:id="rId24"/>
    <sheet name="LDCP" sheetId="22" r:id="rId25"/>
    <sheet name="OXY PL" sheetId="27" r:id="rId26"/>
    <sheet name="SEQR  Prod &amp; Dispatch" sheetId="52" state="hidden" r:id="rId27"/>
    <sheet name="High carbon grades" sheetId="61" r:id="rId28"/>
    <sheet name="SHOPS" sheetId="24" r:id="rId29"/>
    <sheet name="Quality Iron ore sinter pellet" sheetId="104" r:id="rId30"/>
    <sheet name="Special steel " sheetId="83" state="hidden" r:id="rId31"/>
    <sheet name="Slag Analysis" sheetId="87" state="hidden" r:id="rId32"/>
    <sheet name="Delay Analysis " sheetId="105" r:id="rId33"/>
    <sheet name="Capital Repair" sheetId="97" state="hidden" r:id="rId34"/>
    <sheet name="Shopwise Refractory consumption" sheetId="106" r:id="rId35"/>
    <sheet name="CHM" sheetId="107" state="hidden" r:id="rId36"/>
    <sheet name="Sheet2" sheetId="109" state="hidden" r:id="rId37"/>
    <sheet name="Make up water" sheetId="110" state="hidden" r:id="rId38"/>
    <sheet name="Sheet1" sheetId="111" state="hidden" r:id="rId39"/>
  </sheets>
  <externalReferences>
    <externalReference r:id="rId40"/>
    <externalReference r:id="rId41"/>
  </externalReferences>
  <definedNames>
    <definedName name="_1" localSheetId="18">#REF!</definedName>
    <definedName name="_1" localSheetId="4">#REF!</definedName>
    <definedName name="_1" localSheetId="16">#REF!</definedName>
    <definedName name="_1" localSheetId="17">#REF!</definedName>
    <definedName name="_1" localSheetId="29">#REF!</definedName>
    <definedName name="_1" localSheetId="7">#REF!</definedName>
    <definedName name="_1" localSheetId="30">#REF!</definedName>
    <definedName name="_1">#REF!</definedName>
    <definedName name="_2" localSheetId="18">#REF!</definedName>
    <definedName name="_2" localSheetId="4">#REF!</definedName>
    <definedName name="_2" localSheetId="16">#REF!</definedName>
    <definedName name="_2" localSheetId="17">#REF!</definedName>
    <definedName name="_2" localSheetId="29">#REF!</definedName>
    <definedName name="_2" localSheetId="7">#REF!</definedName>
    <definedName name="_2" localSheetId="30">#REF!</definedName>
    <definedName name="_2">#REF!</definedName>
    <definedName name="_3" localSheetId="18">#REF!</definedName>
    <definedName name="_3" localSheetId="16">#REF!</definedName>
    <definedName name="_3" localSheetId="17">#REF!</definedName>
    <definedName name="_3" localSheetId="29">#REF!</definedName>
    <definedName name="_3" localSheetId="7">#REF!</definedName>
    <definedName name="_3" localSheetId="30">#REF!</definedName>
    <definedName name="_3">#REF!</definedName>
    <definedName name="_4" localSheetId="30">#REF!</definedName>
    <definedName name="_4">#REF!</definedName>
    <definedName name="_xlnm._FilterDatabase" localSheetId="14" hidden="1">BM!$A$1:$BF$79</definedName>
    <definedName name="_xlnm._FilterDatabase" localSheetId="6" hidden="1">'DETAIL DESP  '!$B$258:$F$596</definedName>
    <definedName name="_xlnm._FilterDatabase" localSheetId="4" hidden="1">'Direct sales IPT details'!$B$135:$AA$135</definedName>
    <definedName name="_xlnm._FilterDatabase" localSheetId="16" hidden="1">'GRD SUMM RCL 150X150 '!$D$5:$AR$60</definedName>
    <definedName name="_xlnm._FilterDatabase" localSheetId="15" hidden="1">USM!$C$7:$C$145</definedName>
    <definedName name="_xlnm._FilterDatabase" localSheetId="13" hidden="1">WRM!$A$1:$BG$178</definedName>
    <definedName name="a" localSheetId="4">#REF!</definedName>
    <definedName name="a" localSheetId="7">#REF!</definedName>
    <definedName name="a" localSheetId="30">#REF!</definedName>
    <definedName name="a">#REF!</definedName>
    <definedName name="AA" localSheetId="4">#REF!</definedName>
    <definedName name="AA" localSheetId="30">#REF!</definedName>
    <definedName name="AA">#REF!</definedName>
    <definedName name="AB" localSheetId="4">#REF!</definedName>
    <definedName name="AB" localSheetId="30">#REF!</definedName>
    <definedName name="AB">#REF!</definedName>
    <definedName name="AC" localSheetId="30">#REF!</definedName>
    <definedName name="AC">#REF!</definedName>
    <definedName name="AD" localSheetId="30">#REF!</definedName>
    <definedName name="AD">#REF!</definedName>
    <definedName name="AE" localSheetId="30">#REF!</definedName>
    <definedName name="AE">#REF!</definedName>
    <definedName name="AF" localSheetId="30">#REF!</definedName>
    <definedName name="AF">#REF!</definedName>
    <definedName name="AG" localSheetId="30">#REF!</definedName>
    <definedName name="AG">#REF!</definedName>
    <definedName name="AH" localSheetId="30">#REF!</definedName>
    <definedName name="AH">#REF!</definedName>
    <definedName name="AI" localSheetId="30">#REF!</definedName>
    <definedName name="AI">#REF!</definedName>
    <definedName name="AK" localSheetId="30">#REF!</definedName>
    <definedName name="AK">#REF!</definedName>
    <definedName name="AL" localSheetId="30">#REF!</definedName>
    <definedName name="AL">#REF!</definedName>
    <definedName name="AM" localSheetId="30">#REF!</definedName>
    <definedName name="AM">#REF!</definedName>
    <definedName name="AN" localSheetId="30">#REF!</definedName>
    <definedName name="AN">#REF!</definedName>
    <definedName name="AS" localSheetId="30">#REF!</definedName>
    <definedName name="AS">#REF!</definedName>
    <definedName name="CL" localSheetId="30">#REF!</definedName>
    <definedName name="CL">#REF!</definedName>
    <definedName name="D" localSheetId="30">#REF!</definedName>
    <definedName name="D">#REF!</definedName>
    <definedName name="E" localSheetId="30">#REF!</definedName>
    <definedName name="E">#REF!</definedName>
    <definedName name="F" localSheetId="30">#REF!</definedName>
    <definedName name="F">#REF!</definedName>
    <definedName name="G" localSheetId="30">#REF!</definedName>
    <definedName name="G">#REF!</definedName>
    <definedName name="H" localSheetId="30">#REF!</definedName>
    <definedName name="H">#REF!</definedName>
    <definedName name="I" localSheetId="30">#REF!</definedName>
    <definedName name="I">#REF!</definedName>
    <definedName name="J" localSheetId="30">#REF!</definedName>
    <definedName name="J">#REF!</definedName>
    <definedName name="K" localSheetId="30">#REF!</definedName>
    <definedName name="K">#REF!</definedName>
    <definedName name="L" localSheetId="30">#REF!</definedName>
    <definedName name="L">#REF!</definedName>
    <definedName name="M" localSheetId="30">#REF!</definedName>
    <definedName name="M">#REF!</definedName>
    <definedName name="N" localSheetId="30">#REF!</definedName>
    <definedName name="N">#REF!</definedName>
    <definedName name="O" localSheetId="30">#REF!</definedName>
    <definedName name="O">#REF!</definedName>
    <definedName name="P" localSheetId="30">#REF!</definedName>
    <definedName name="P">#REF!</definedName>
    <definedName name="_xlnm.Print_Area" localSheetId="18">'150x150 saleable grades'!$C$66:$BE$130</definedName>
    <definedName name="_xlnm.Print_Area" localSheetId="11">'B-FCE'!$B$4:$AJ$92</definedName>
    <definedName name="_xlnm.Print_Area" localSheetId="14">BM!$B$1:$V$95</definedName>
    <definedName name="_xlnm.Print_Area" localSheetId="35">CHM!$A$1:$B$29</definedName>
    <definedName name="_xlnm.Print_Area" localSheetId="5">'Coal to Hot Metal'!$B$2:$AB$20</definedName>
    <definedName name="_xlnm.Print_Area" localSheetId="8">'COKE OVENS'!$AJ$180:$AU$180</definedName>
    <definedName name="_xlnm.Print_Area" localSheetId="6">'DETAIL DESP  '!$B$3:$F$98</definedName>
    <definedName name="_xlnm.Print_Area" localSheetId="4">'Direct sales IPT details'!$B$2:$U$130</definedName>
    <definedName name="_xlnm.Print_Area" localSheetId="22">ECD!#REF!</definedName>
    <definedName name="_xlnm.Print_Area" localSheetId="23">EMD!$B$1:$M$128</definedName>
    <definedName name="_xlnm.Print_Area" localSheetId="16">'GRD SUMM RCL 150X150 '!$E$2:$CU$60</definedName>
    <definedName name="_xlnm.Print_Area" localSheetId="17">'GRD SUMM RCL CASTER 3'!$A$2:$Y$49</definedName>
    <definedName name="_xlnm.Print_Area" localSheetId="24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dept'!$C$3:$AE$79</definedName>
    <definedName name="_xlnm.Print_Area" localSheetId="25">'OXY PL'!$B$1:$M$39</definedName>
    <definedName name="_xlnm.Print_Area" localSheetId="21">PBS!$B$1:$M$82</definedName>
    <definedName name="_xlnm.Print_Area" localSheetId="20">'POWER DISTRIBUTION'!$B$45:$C$81</definedName>
    <definedName name="_xlnm.Print_Area" localSheetId="29">'Quality Iron ore sinter pellet'!$D$5:$U$50</definedName>
    <definedName name="_xlnm.Print_Area" localSheetId="9">RMHP!$C$1:$Q$47</definedName>
    <definedName name="_xlnm.Print_Area" localSheetId="26">'SEQR  Prod &amp; Dispatch'!$C$1:$T$31</definedName>
    <definedName name="_xlnm.Print_Area" localSheetId="28">SHOPS!$C$2:$N$8</definedName>
    <definedName name="_xlnm.Print_Area" localSheetId="10">SINTER!$B$1:$V$115</definedName>
    <definedName name="_xlnm.Print_Area" localSheetId="12">SMS!$B$1:$V$139</definedName>
    <definedName name="_xlnm.Print_Area" localSheetId="30">'Special steel '!$C$1:$O$80</definedName>
    <definedName name="_xlnm.Print_Area" localSheetId="15">USM!$B$1:$O$145</definedName>
    <definedName name="_xlnm.Print_Area" localSheetId="19">'Value added steel '!$C$1:$O$97</definedName>
    <definedName name="_xlnm.Print_Area" localSheetId="13">WRM!$B$1:$N$194</definedName>
    <definedName name="Q" localSheetId="4">#REF!</definedName>
    <definedName name="Q" localSheetId="29">#REF!</definedName>
    <definedName name="Q" localSheetId="7">#REF!</definedName>
    <definedName name="Q" localSheetId="30">#REF!</definedName>
    <definedName name="Q">#REF!</definedName>
    <definedName name="RL" localSheetId="4">#REF!</definedName>
    <definedName name="RL" localSheetId="29">#REF!</definedName>
    <definedName name="RL" localSheetId="30">#REF!</definedName>
    <definedName name="RL">#REF!</definedName>
    <definedName name="RM" localSheetId="4">#REF!</definedName>
    <definedName name="RM" localSheetId="29">#REF!</definedName>
    <definedName name="RM" localSheetId="30">#REF!</definedName>
    <definedName name="RM">#REF!</definedName>
    <definedName name="rmisp" localSheetId="30">#REF!</definedName>
    <definedName name="rmisp">#REF!</definedName>
    <definedName name="S" localSheetId="30">#REF!</definedName>
    <definedName name="S">#REF!</definedName>
    <definedName name="T" localSheetId="30">#REF!</definedName>
    <definedName name="T">#REF!</definedName>
    <definedName name="U" localSheetId="30">#REF!</definedName>
    <definedName name="U">#REF!</definedName>
    <definedName name="V" localSheetId="30">#REF!</definedName>
    <definedName name="V">#REF!</definedName>
    <definedName name="W" localSheetId="30">#REF!</definedName>
    <definedName name="W">#REF!</definedName>
    <definedName name="X" localSheetId="30">#REF!</definedName>
    <definedName name="X">#REF!</definedName>
    <definedName name="Y" localSheetId="30">#REF!</definedName>
    <definedName name="Y">#REF!</definedName>
    <definedName name="Z" localSheetId="30">#REF!</definedName>
    <definedName name="Z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5" i="8" l="1"/>
  <c r="F49" i="8"/>
  <c r="F50" i="8"/>
  <c r="F79" i="8"/>
  <c r="F77" i="8"/>
  <c r="M39" i="105" l="1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M60" i="105" s="1"/>
  <c r="L37" i="105"/>
  <c r="L57" i="105" s="1"/>
  <c r="L60" i="105" s="1"/>
  <c r="K37" i="105"/>
  <c r="K40" i="105" s="1"/>
  <c r="I37" i="105"/>
  <c r="I40" i="105" s="1"/>
  <c r="G37" i="105"/>
  <c r="G57" i="105" s="1"/>
  <c r="G60" i="105" s="1"/>
  <c r="E37" i="105"/>
  <c r="E57" i="105" s="1"/>
  <c r="E60" i="105" s="1"/>
  <c r="D37" i="105"/>
  <c r="D40" i="105" s="1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M56" i="105" s="1"/>
  <c r="L33" i="105"/>
  <c r="L53" i="105" s="1"/>
  <c r="K33" i="105"/>
  <c r="K36" i="105" s="1"/>
  <c r="I33" i="105"/>
  <c r="I36" i="105" s="1"/>
  <c r="G33" i="105"/>
  <c r="G53" i="105" s="1"/>
  <c r="G56" i="105" s="1"/>
  <c r="E33" i="105"/>
  <c r="E53" i="105" s="1"/>
  <c r="D33" i="105"/>
  <c r="D36" i="105" s="1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M52" i="105" s="1"/>
  <c r="L29" i="105"/>
  <c r="L49" i="105" s="1"/>
  <c r="K29" i="105"/>
  <c r="K32" i="105" s="1"/>
  <c r="I29" i="105"/>
  <c r="I32" i="105" s="1"/>
  <c r="G29" i="105"/>
  <c r="G49" i="105" s="1"/>
  <c r="G52" i="105" s="1"/>
  <c r="E29" i="105"/>
  <c r="E49" i="105" s="1"/>
  <c r="D29" i="105"/>
  <c r="D32" i="105" s="1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M48" i="105" s="1"/>
  <c r="L25" i="105"/>
  <c r="L45" i="105" s="1"/>
  <c r="L48" i="105" s="1"/>
  <c r="K25" i="105"/>
  <c r="K28" i="105" s="1"/>
  <c r="I25" i="105"/>
  <c r="I28" i="105" s="1"/>
  <c r="G25" i="105"/>
  <c r="G45" i="105" s="1"/>
  <c r="G48" i="105" s="1"/>
  <c r="E25" i="105"/>
  <c r="E45" i="105" s="1"/>
  <c r="E48" i="105" s="1"/>
  <c r="D25" i="105"/>
  <c r="M20" i="105"/>
  <c r="M21" i="105" s="1"/>
  <c r="L20" i="105"/>
  <c r="L21" i="105" s="1"/>
  <c r="K20" i="105"/>
  <c r="I20" i="105"/>
  <c r="I21" i="105" s="1"/>
  <c r="G20" i="105"/>
  <c r="G21" i="105" s="1"/>
  <c r="E20" i="105"/>
  <c r="E21" i="105" s="1"/>
  <c r="D20" i="105"/>
  <c r="M16" i="105"/>
  <c r="L16" i="105"/>
  <c r="K16" i="105"/>
  <c r="K21" i="105" s="1"/>
  <c r="I16" i="105"/>
  <c r="G16" i="105"/>
  <c r="E16" i="105"/>
  <c r="D16" i="105"/>
  <c r="D21" i="105" s="1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D28" i="105" l="1"/>
  <c r="G61" i="105"/>
  <c r="M61" i="105"/>
  <c r="E52" i="105"/>
  <c r="L52" i="105"/>
  <c r="I41" i="105"/>
  <c r="E56" i="105"/>
  <c r="E61" i="105" s="1"/>
  <c r="L56" i="105"/>
  <c r="L61" i="105" s="1"/>
  <c r="D41" i="105"/>
  <c r="K41" i="105"/>
  <c r="E28" i="105"/>
  <c r="L28" i="105"/>
  <c r="E32" i="105"/>
  <c r="L32" i="105"/>
  <c r="E36" i="105"/>
  <c r="L36" i="105"/>
  <c r="E40" i="105"/>
  <c r="L40" i="105"/>
  <c r="I45" i="105"/>
  <c r="I48" i="105" s="1"/>
  <c r="I49" i="105"/>
  <c r="I52" i="105" s="1"/>
  <c r="I53" i="105"/>
  <c r="I56" i="105" s="1"/>
  <c r="I57" i="105"/>
  <c r="I60" i="105" s="1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K57" i="105"/>
  <c r="K60" i="105" s="1"/>
  <c r="F29" i="11"/>
  <c r="K61" i="105" l="1"/>
  <c r="M41" i="105"/>
  <c r="I61" i="105"/>
  <c r="L41" i="105"/>
  <c r="D61" i="105"/>
  <c r="G41" i="105"/>
  <c r="E41" i="105"/>
  <c r="F32" i="10"/>
  <c r="F23" i="10"/>
  <c r="F55" i="10"/>
  <c r="F56" i="10"/>
  <c r="E29" i="15" l="1"/>
  <c r="F46" i="35" l="1"/>
  <c r="E23" i="7"/>
  <c r="BG97" i="9" l="1"/>
  <c r="BG98" i="9"/>
  <c r="G55" i="50" l="1"/>
  <c r="F34" i="35"/>
  <c r="E82" i="90"/>
  <c r="C82" i="90"/>
  <c r="F30" i="7" l="1"/>
  <c r="F94" i="7" s="1"/>
  <c r="AD77" i="104" l="1"/>
  <c r="AC77" i="104"/>
  <c r="AB77" i="104"/>
  <c r="AA77" i="104"/>
  <c r="Z77" i="104"/>
  <c r="Y77" i="104"/>
  <c r="X77" i="104"/>
  <c r="N77" i="104"/>
  <c r="M77" i="104"/>
  <c r="L77" i="104"/>
  <c r="H77" i="104"/>
  <c r="G77" i="104"/>
  <c r="F77" i="104"/>
  <c r="E58" i="17" l="1"/>
  <c r="E37" i="27" l="1"/>
  <c r="E35" i="27"/>
  <c r="E29" i="27"/>
  <c r="E27" i="27"/>
  <c r="E28" i="27"/>
  <c r="E20" i="27"/>
  <c r="E19" i="27"/>
  <c r="E18" i="27"/>
  <c r="F103" i="9" l="1"/>
  <c r="D99" i="9"/>
  <c r="F86" i="8" l="1"/>
  <c r="F84" i="8"/>
  <c r="E80" i="77"/>
  <c r="D82" i="7" l="1"/>
  <c r="E43" i="26" l="1"/>
  <c r="E130" i="26"/>
  <c r="D130" i="26"/>
  <c r="E128" i="26"/>
  <c r="D128" i="26"/>
  <c r="E112" i="26"/>
  <c r="D110" i="26"/>
  <c r="D108" i="26"/>
  <c r="D106" i="26"/>
  <c r="D104" i="26"/>
  <c r="D102" i="26"/>
  <c r="D100" i="26"/>
  <c r="D98" i="26"/>
  <c r="D96" i="26"/>
  <c r="E92" i="26"/>
  <c r="D89" i="26"/>
  <c r="D87" i="26"/>
  <c r="D85" i="26"/>
  <c r="D83" i="26"/>
  <c r="E81" i="26"/>
  <c r="E80" i="26"/>
  <c r="D78" i="26"/>
  <c r="D76" i="26"/>
  <c r="E73" i="26"/>
  <c r="D71" i="26"/>
  <c r="D69" i="26"/>
  <c r="D67" i="26"/>
  <c r="D65" i="26"/>
  <c r="D63" i="26"/>
  <c r="D61" i="26"/>
  <c r="D59" i="26"/>
  <c r="D57" i="26"/>
  <c r="D52" i="26"/>
  <c r="D50" i="26"/>
  <c r="E48" i="26"/>
  <c r="E54" i="26" s="1"/>
  <c r="D46" i="26"/>
  <c r="D48" i="26" s="1"/>
  <c r="D49" i="26" s="1"/>
  <c r="D41" i="26"/>
  <c r="D39" i="26"/>
  <c r="D37" i="26"/>
  <c r="D35" i="26"/>
  <c r="D33" i="26"/>
  <c r="D31" i="26"/>
  <c r="D29" i="26"/>
  <c r="D27" i="26"/>
  <c r="D25" i="26"/>
  <c r="D23" i="26"/>
  <c r="D21" i="26"/>
  <c r="D17" i="26"/>
  <c r="D15" i="26"/>
  <c r="E12" i="26"/>
  <c r="E19" i="26" s="1"/>
  <c r="D11" i="26"/>
  <c r="D9" i="26"/>
  <c r="D43" i="26" l="1"/>
  <c r="D81" i="26"/>
  <c r="D92" i="26"/>
  <c r="D80" i="26"/>
  <c r="D73" i="26"/>
  <c r="BG72" i="26" s="1"/>
  <c r="D54" i="26"/>
  <c r="D112" i="26"/>
  <c r="D12" i="26"/>
  <c r="D19" i="26" s="1"/>
  <c r="D55" i="26"/>
  <c r="E55" i="26"/>
  <c r="E13" i="26"/>
  <c r="E18" i="26"/>
  <c r="E49" i="26"/>
  <c r="D18" i="26" l="1"/>
  <c r="D13" i="26"/>
  <c r="F33" i="22" l="1"/>
  <c r="E33" i="22"/>
  <c r="E21" i="22" s="1"/>
  <c r="F28" i="22"/>
  <c r="F26" i="22"/>
  <c r="F24" i="22"/>
  <c r="F23" i="22"/>
  <c r="F14" i="22"/>
  <c r="F10" i="22"/>
  <c r="F12" i="22" s="1"/>
  <c r="F9" i="22"/>
  <c r="E7" i="22"/>
  <c r="E8" i="22" s="1"/>
  <c r="E10" i="22" s="1"/>
  <c r="E11" i="22" s="1"/>
  <c r="E13" i="22" s="1"/>
  <c r="E31" i="15"/>
  <c r="E30" i="15"/>
  <c r="E25" i="15"/>
  <c r="E24" i="15"/>
  <c r="E23" i="15"/>
  <c r="E22" i="15"/>
  <c r="E21" i="15"/>
  <c r="E19" i="15"/>
  <c r="D19" i="15"/>
  <c r="D15" i="15" s="1"/>
  <c r="D16" i="15" s="1"/>
  <c r="E18" i="15"/>
  <c r="D18" i="15"/>
  <c r="E15" i="15"/>
  <c r="E12" i="15"/>
  <c r="D12" i="15"/>
  <c r="D13" i="15" s="1"/>
  <c r="E11" i="15"/>
  <c r="E10" i="15"/>
  <c r="E13" i="15" s="1"/>
  <c r="E14" i="15" s="1"/>
  <c r="E9" i="15"/>
  <c r="D9" i="15"/>
  <c r="E8" i="15"/>
  <c r="D8" i="15"/>
  <c r="E7" i="15"/>
  <c r="D7" i="15"/>
  <c r="E6" i="15"/>
  <c r="E5" i="15"/>
  <c r="D5" i="15"/>
  <c r="E38" i="17"/>
  <c r="F27" i="17"/>
  <c r="H27" i="17" s="1"/>
  <c r="L27" i="17" s="1"/>
  <c r="I27" i="17"/>
  <c r="J27" i="17"/>
  <c r="M27" i="17"/>
  <c r="N27" i="17"/>
  <c r="Q27" i="17"/>
  <c r="R27" i="17"/>
  <c r="U27" i="17"/>
  <c r="V27" i="17"/>
  <c r="X27" i="17"/>
  <c r="Y27" i="17"/>
  <c r="AA27" i="17" s="1"/>
  <c r="AE27" i="17" s="1"/>
  <c r="AI27" i="17" s="1"/>
  <c r="AO27" i="17" s="1"/>
  <c r="AS27" i="17" s="1"/>
  <c r="AW27" i="17" s="1"/>
  <c r="BE27" i="17" s="1"/>
  <c r="AB27" i="17"/>
  <c r="AF27" i="17"/>
  <c r="AJ27" i="17"/>
  <c r="AL27" i="17" s="1"/>
  <c r="BB27" i="17" s="1"/>
  <c r="AM27" i="17"/>
  <c r="AP27" i="17"/>
  <c r="AT27" i="17"/>
  <c r="AX27" i="17"/>
  <c r="AZ27" i="17"/>
  <c r="BA27" i="17"/>
  <c r="BC27" i="17" s="1"/>
  <c r="E36" i="17"/>
  <c r="D21" i="17"/>
  <c r="E32" i="15" l="1"/>
  <c r="E36" i="15"/>
  <c r="E16" i="15" s="1"/>
  <c r="E17" i="15" s="1"/>
  <c r="E22" i="22"/>
  <c r="E24" i="22" s="1"/>
  <c r="E25" i="22" s="1"/>
  <c r="E27" i="22" s="1"/>
  <c r="P27" i="17"/>
  <c r="T27" i="17" s="1"/>
  <c r="Z27" i="17"/>
  <c r="AD27" i="17" s="1"/>
  <c r="AH27" i="17" s="1"/>
  <c r="AN27" i="17" s="1"/>
  <c r="AR27" i="17" s="1"/>
  <c r="AV27" i="17" s="1"/>
  <c r="BD27" i="17" s="1"/>
  <c r="D90" i="8" l="1"/>
  <c r="C47" i="72" l="1"/>
  <c r="CX29" i="71"/>
  <c r="AU49" i="71"/>
  <c r="F27" i="21"/>
  <c r="F26" i="21"/>
  <c r="F436" i="28" l="1"/>
  <c r="F483" i="28"/>
  <c r="F413" i="28"/>
  <c r="F395" i="28"/>
  <c r="F39" i="28" l="1"/>
  <c r="E173" i="73" l="1"/>
  <c r="E92" i="77"/>
  <c r="E91" i="77"/>
  <c r="D91" i="77"/>
  <c r="E90" i="77"/>
  <c r="D90" i="77"/>
  <c r="E89" i="77"/>
  <c r="D89" i="77"/>
  <c r="E86" i="77"/>
  <c r="D86" i="77"/>
  <c r="D84" i="77"/>
  <c r="E83" i="77"/>
  <c r="E82" i="77"/>
  <c r="E81" i="77"/>
  <c r="E71" i="77"/>
  <c r="D71" i="77"/>
  <c r="E53" i="77"/>
  <c r="D53" i="77"/>
  <c r="E36" i="77"/>
  <c r="D36" i="77"/>
  <c r="E32" i="77"/>
  <c r="D32" i="77"/>
  <c r="E26" i="77"/>
  <c r="D26" i="77"/>
  <c r="E21" i="77"/>
  <c r="D21" i="77"/>
  <c r="E13" i="77"/>
  <c r="D13" i="77"/>
  <c r="E7" i="77"/>
  <c r="D7" i="77"/>
  <c r="E231" i="73"/>
  <c r="D231" i="73"/>
  <c r="E229" i="73"/>
  <c r="D229" i="73"/>
  <c r="E218" i="73"/>
  <c r="E42" i="77" s="1"/>
  <c r="E37" i="77" s="1"/>
  <c r="D218" i="73"/>
  <c r="D42" i="77" s="1"/>
  <c r="D37" i="77" s="1"/>
  <c r="E216" i="73"/>
  <c r="E209" i="73"/>
  <c r="E203" i="73"/>
  <c r="D203" i="73"/>
  <c r="E198" i="73"/>
  <c r="D198" i="73"/>
  <c r="E193" i="73"/>
  <c r="D193" i="73"/>
  <c r="E190" i="73"/>
  <c r="D190" i="73"/>
  <c r="E187" i="73"/>
  <c r="E182" i="73" s="1"/>
  <c r="D187" i="73"/>
  <c r="D182" i="73"/>
  <c r="E179" i="73"/>
  <c r="D179" i="73"/>
  <c r="E171" i="73"/>
  <c r="D171" i="73"/>
  <c r="E160" i="73"/>
  <c r="E129" i="73"/>
  <c r="D129" i="73"/>
  <c r="E127" i="73"/>
  <c r="E125" i="73"/>
  <c r="D125" i="73"/>
  <c r="E121" i="73"/>
  <c r="D121" i="73"/>
  <c r="E117" i="73"/>
  <c r="D113" i="73"/>
  <c r="E108" i="73"/>
  <c r="E101" i="73"/>
  <c r="E97" i="73"/>
  <c r="E57" i="73"/>
  <c r="E51" i="73"/>
  <c r="E46" i="73"/>
  <c r="E41" i="73"/>
  <c r="E30" i="73"/>
  <c r="E25" i="73"/>
  <c r="E18" i="73"/>
  <c r="D18" i="73"/>
  <c r="E16" i="73"/>
  <c r="E8" i="73"/>
  <c r="E6" i="73" s="1"/>
  <c r="D8" i="73"/>
  <c r="D6" i="73"/>
  <c r="D132" i="73" l="1"/>
  <c r="E84" i="77"/>
  <c r="E95" i="77"/>
  <c r="D95" i="77"/>
  <c r="E132" i="73"/>
  <c r="E113" i="73"/>
  <c r="E5" i="73"/>
  <c r="J94" i="38" l="1"/>
  <c r="J93" i="38"/>
  <c r="J92" i="38"/>
  <c r="J91" i="38"/>
  <c r="I90" i="38"/>
  <c r="J89" i="38"/>
  <c r="I88" i="38"/>
  <c r="J86" i="38"/>
  <c r="J85" i="38"/>
  <c r="J84" i="38"/>
  <c r="J83" i="38"/>
  <c r="I82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J68" i="38"/>
  <c r="J67" i="38"/>
  <c r="I66" i="38"/>
  <c r="I65" i="38" s="1"/>
  <c r="J62" i="38"/>
  <c r="J61" i="38"/>
  <c r="I60" i="38"/>
  <c r="J59" i="38"/>
  <c r="J58" i="38"/>
  <c r="J57" i="38"/>
  <c r="J56" i="38"/>
  <c r="J55" i="38"/>
  <c r="I54" i="38"/>
  <c r="I52" i="38"/>
  <c r="J51" i="38"/>
  <c r="I51" i="38"/>
  <c r="I46" i="38"/>
  <c r="I45" i="38"/>
  <c r="I44" i="38"/>
  <c r="I43" i="38"/>
  <c r="J42" i="38"/>
  <c r="J90" i="38" s="1"/>
  <c r="I41" i="38"/>
  <c r="I40" i="38" s="1"/>
  <c r="J40" i="38"/>
  <c r="J88" i="38" s="1"/>
  <c r="I38" i="38"/>
  <c r="I37" i="38"/>
  <c r="I36" i="38"/>
  <c r="I35" i="38"/>
  <c r="J34" i="38"/>
  <c r="J82" i="38" s="1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J18" i="38"/>
  <c r="J66" i="38" s="1"/>
  <c r="I14" i="38"/>
  <c r="I13" i="38"/>
  <c r="J12" i="38"/>
  <c r="J60" i="38" s="1"/>
  <c r="I11" i="38"/>
  <c r="I10" i="38"/>
  <c r="I9" i="38"/>
  <c r="I8" i="38"/>
  <c r="I7" i="38"/>
  <c r="J6" i="38"/>
  <c r="J54" i="38" s="1"/>
  <c r="I12" i="38" l="1"/>
  <c r="I63" i="38"/>
  <c r="I34" i="38"/>
  <c r="I42" i="38"/>
  <c r="I39" i="38" s="1"/>
  <c r="I87" i="38"/>
  <c r="I64" i="38" s="1"/>
  <c r="I18" i="38"/>
  <c r="I6" i="38"/>
  <c r="I15" i="38" s="1"/>
  <c r="J15" i="38"/>
  <c r="J17" i="38"/>
  <c r="J39" i="38"/>
  <c r="J87" i="38" s="1"/>
  <c r="K53" i="45"/>
  <c r="O53" i="45"/>
  <c r="S53" i="45"/>
  <c r="W53" i="45" s="1"/>
  <c r="AA53" i="45"/>
  <c r="AC53" i="45" s="1"/>
  <c r="AG53" i="45" s="1"/>
  <c r="AK53" i="45" s="1"/>
  <c r="AQ53" i="45" s="1"/>
  <c r="AU53" i="45" s="1"/>
  <c r="AY53" i="45" s="1"/>
  <c r="BG53" i="45" s="1"/>
  <c r="BI53" i="45" s="1"/>
  <c r="AO53" i="45"/>
  <c r="BC53" i="45"/>
  <c r="BE53" i="45"/>
  <c r="BH53" i="45"/>
  <c r="BK53" i="45"/>
  <c r="BL53" i="45"/>
  <c r="I17" i="38" l="1"/>
  <c r="I16" i="38"/>
  <c r="I96" i="38"/>
  <c r="J63" i="38"/>
  <c r="J65" i="38"/>
  <c r="J16" i="38"/>
  <c r="J64" i="38" s="1"/>
  <c r="I48" i="38"/>
  <c r="I34" i="59"/>
  <c r="J32" i="59"/>
  <c r="K32" i="59"/>
  <c r="N32" i="59"/>
  <c r="O32" i="59"/>
  <c r="R32" i="59"/>
  <c r="S32" i="59"/>
  <c r="V32" i="59"/>
  <c r="W32" i="59"/>
  <c r="Z32" i="59"/>
  <c r="AA32" i="59"/>
  <c r="AF32" i="59"/>
  <c r="AG32" i="59"/>
  <c r="AJ32" i="59"/>
  <c r="AK32" i="59"/>
  <c r="AN32" i="59"/>
  <c r="AO32" i="59"/>
  <c r="AT32" i="59"/>
  <c r="AU32" i="59"/>
  <c r="AX32" i="59"/>
  <c r="AY32" i="59"/>
  <c r="BB32" i="59"/>
  <c r="BC32" i="59"/>
  <c r="J96" i="38" l="1"/>
  <c r="J48" i="38"/>
  <c r="G158" i="45"/>
  <c r="G157" i="45"/>
  <c r="G155" i="45"/>
  <c r="G149" i="45"/>
  <c r="G156" i="45" s="1"/>
  <c r="G144" i="45"/>
  <c r="F144" i="45"/>
  <c r="G143" i="45"/>
  <c r="F143" i="45"/>
  <c r="G142" i="45"/>
  <c r="F142" i="45"/>
  <c r="G141" i="45"/>
  <c r="F141" i="45"/>
  <c r="G139" i="45"/>
  <c r="F139" i="45"/>
  <c r="G137" i="45"/>
  <c r="F137" i="45"/>
  <c r="G135" i="45"/>
  <c r="F135" i="45"/>
  <c r="G132" i="45"/>
  <c r="G133" i="45" s="1"/>
  <c r="F132" i="45"/>
  <c r="F133" i="45" s="1"/>
  <c r="G130" i="45"/>
  <c r="G127" i="45" s="1"/>
  <c r="G123" i="45"/>
  <c r="G160" i="45" s="1"/>
  <c r="G122" i="45"/>
  <c r="G124" i="45" s="1"/>
  <c r="F122" i="45"/>
  <c r="F125" i="45" s="1"/>
  <c r="G121" i="45"/>
  <c r="G159" i="45" s="1"/>
  <c r="G161" i="45" s="1"/>
  <c r="F190" i="10"/>
  <c r="F188" i="10"/>
  <c r="F182" i="10"/>
  <c r="F189" i="10" s="1"/>
  <c r="E178" i="10"/>
  <c r="F177" i="10"/>
  <c r="E177" i="10"/>
  <c r="F176" i="10"/>
  <c r="E176" i="10"/>
  <c r="F175" i="10"/>
  <c r="E175" i="10"/>
  <c r="F174" i="10"/>
  <c r="E174" i="10"/>
  <c r="F172" i="10"/>
  <c r="E172" i="10"/>
  <c r="E173" i="10" s="1"/>
  <c r="F170" i="10"/>
  <c r="E170" i="10"/>
  <c r="F168" i="10"/>
  <c r="E168" i="10"/>
  <c r="F166" i="10"/>
  <c r="F165" i="10"/>
  <c r="E165" i="10"/>
  <c r="E166" i="10" s="1"/>
  <c r="E161" i="10"/>
  <c r="F160" i="10"/>
  <c r="F184" i="10" s="1"/>
  <c r="E159" i="10"/>
  <c r="E158" i="10"/>
  <c r="F159" i="10"/>
  <c r="G150" i="45" l="1"/>
  <c r="F121" i="45"/>
  <c r="F124" i="45"/>
  <c r="F140" i="45"/>
  <c r="G125" i="45"/>
  <c r="G126" i="45" s="1"/>
  <c r="G140" i="45"/>
  <c r="F145" i="45"/>
  <c r="G151" i="45"/>
  <c r="G145" i="45"/>
  <c r="F178" i="10"/>
  <c r="F161" i="10"/>
  <c r="F173" i="10"/>
  <c r="F183" i="10"/>
  <c r="F192" i="10"/>
  <c r="F158" i="10"/>
  <c r="F191" i="10" l="1"/>
  <c r="F193" i="10" s="1"/>
  <c r="F3" i="8"/>
  <c r="AZ37" i="7" l="1"/>
  <c r="AY37" i="7"/>
  <c r="AV37" i="7"/>
  <c r="AU37" i="7"/>
  <c r="AR37" i="7"/>
  <c r="AQ37" i="7"/>
  <c r="AL37" i="7"/>
  <c r="AK37" i="7"/>
  <c r="AH37" i="7"/>
  <c r="AG37" i="7"/>
  <c r="AD37" i="7"/>
  <c r="AC37" i="7"/>
  <c r="X37" i="7"/>
  <c r="W37" i="7"/>
  <c r="T37" i="7"/>
  <c r="S37" i="7"/>
  <c r="P37" i="7"/>
  <c r="O37" i="7"/>
  <c r="L37" i="7"/>
  <c r="K37" i="7"/>
  <c r="H37" i="7"/>
  <c r="AZ36" i="7"/>
  <c r="AY36" i="7"/>
  <c r="AV36" i="7"/>
  <c r="AU36" i="7"/>
  <c r="AR36" i="7"/>
  <c r="AQ36" i="7"/>
  <c r="AL36" i="7"/>
  <c r="AK36" i="7"/>
  <c r="AH36" i="7"/>
  <c r="AG36" i="7"/>
  <c r="AD36" i="7"/>
  <c r="AC36" i="7"/>
  <c r="X36" i="7"/>
  <c r="W36" i="7"/>
  <c r="T36" i="7"/>
  <c r="S36" i="7"/>
  <c r="P36" i="7"/>
  <c r="O36" i="7"/>
  <c r="L36" i="7"/>
  <c r="K36" i="7"/>
  <c r="H36" i="7"/>
  <c r="AZ35" i="7"/>
  <c r="AY35" i="7"/>
  <c r="AV35" i="7"/>
  <c r="AU35" i="7"/>
  <c r="AR35" i="7"/>
  <c r="AQ35" i="7"/>
  <c r="AL35" i="7"/>
  <c r="AK35" i="7"/>
  <c r="AH35" i="7"/>
  <c r="AG35" i="7"/>
  <c r="AD35" i="7"/>
  <c r="AC35" i="7"/>
  <c r="X35" i="7"/>
  <c r="W35" i="7"/>
  <c r="T35" i="7"/>
  <c r="S35" i="7"/>
  <c r="P35" i="7"/>
  <c r="O35" i="7"/>
  <c r="L35" i="7"/>
  <c r="K35" i="7"/>
  <c r="H35" i="7"/>
  <c r="AZ34" i="7"/>
  <c r="AY34" i="7"/>
  <c r="AV34" i="7"/>
  <c r="AU34" i="7"/>
  <c r="AR34" i="7"/>
  <c r="AQ34" i="7"/>
  <c r="AL34" i="7"/>
  <c r="AK34" i="7"/>
  <c r="AH34" i="7"/>
  <c r="AG34" i="7"/>
  <c r="AD34" i="7"/>
  <c r="AC34" i="7"/>
  <c r="X34" i="7"/>
  <c r="W34" i="7"/>
  <c r="T34" i="7"/>
  <c r="S34" i="7"/>
  <c r="P34" i="7"/>
  <c r="O34" i="7"/>
  <c r="L34" i="7"/>
  <c r="K34" i="7"/>
  <c r="H34" i="7"/>
  <c r="AZ33" i="7"/>
  <c r="AY33" i="7"/>
  <c r="AV33" i="7"/>
  <c r="AU33" i="7"/>
  <c r="AR33" i="7"/>
  <c r="AQ33" i="7"/>
  <c r="AL33" i="7"/>
  <c r="AK33" i="7"/>
  <c r="AH33" i="7"/>
  <c r="AG33" i="7"/>
  <c r="AD33" i="7"/>
  <c r="AC33" i="7"/>
  <c r="X33" i="7"/>
  <c r="W33" i="7"/>
  <c r="T33" i="7"/>
  <c r="S33" i="7"/>
  <c r="P33" i="7"/>
  <c r="O33" i="7"/>
  <c r="L33" i="7"/>
  <c r="K33" i="7"/>
  <c r="H33" i="7"/>
  <c r="AZ32" i="7"/>
  <c r="AY32" i="7"/>
  <c r="AV32" i="7"/>
  <c r="AU32" i="7"/>
  <c r="AR32" i="7"/>
  <c r="AQ32" i="7"/>
  <c r="AL32" i="7"/>
  <c r="AK32" i="7"/>
  <c r="AH32" i="7"/>
  <c r="AG32" i="7"/>
  <c r="AD32" i="7"/>
  <c r="AC32" i="7"/>
  <c r="X32" i="7"/>
  <c r="W32" i="7"/>
  <c r="T32" i="7"/>
  <c r="S32" i="7"/>
  <c r="P32" i="7"/>
  <c r="O32" i="7"/>
  <c r="L32" i="7"/>
  <c r="K32" i="7"/>
  <c r="H32" i="7"/>
  <c r="AZ31" i="7"/>
  <c r="AY31" i="7"/>
  <c r="AV31" i="7"/>
  <c r="AU31" i="7"/>
  <c r="AR31" i="7"/>
  <c r="AQ31" i="7"/>
  <c r="AL31" i="7"/>
  <c r="AK31" i="7"/>
  <c r="AH31" i="7"/>
  <c r="AG31" i="7"/>
  <c r="AD31" i="7"/>
  <c r="AC31" i="7"/>
  <c r="X31" i="7"/>
  <c r="W31" i="7"/>
  <c r="T31" i="7"/>
  <c r="S31" i="7"/>
  <c r="P31" i="7"/>
  <c r="O31" i="7"/>
  <c r="L31" i="7"/>
  <c r="K31" i="7"/>
  <c r="H31" i="7"/>
  <c r="AZ29" i="7"/>
  <c r="AY29" i="7"/>
  <c r="AV29" i="7"/>
  <c r="AU29" i="7"/>
  <c r="AR29" i="7"/>
  <c r="AQ29" i="7"/>
  <c r="AL29" i="7"/>
  <c r="AK29" i="7"/>
  <c r="AH29" i="7"/>
  <c r="AG29" i="7"/>
  <c r="AD29" i="7"/>
  <c r="AC29" i="7"/>
  <c r="X29" i="7"/>
  <c r="W29" i="7"/>
  <c r="T29" i="7"/>
  <c r="S29" i="7"/>
  <c r="P29" i="7"/>
  <c r="O29" i="7"/>
  <c r="L29" i="7"/>
  <c r="K29" i="7"/>
  <c r="H29" i="7"/>
  <c r="AZ28" i="7"/>
  <c r="AY28" i="7"/>
  <c r="AV28" i="7"/>
  <c r="AU28" i="7"/>
  <c r="AR28" i="7"/>
  <c r="AQ28" i="7"/>
  <c r="AL28" i="7"/>
  <c r="AK28" i="7"/>
  <c r="AH28" i="7"/>
  <c r="AG28" i="7"/>
  <c r="AD28" i="7"/>
  <c r="AC28" i="7"/>
  <c r="X28" i="7"/>
  <c r="W28" i="7"/>
  <c r="T28" i="7"/>
  <c r="S28" i="7"/>
  <c r="P28" i="7"/>
  <c r="O28" i="7"/>
  <c r="L28" i="7"/>
  <c r="K28" i="7"/>
  <c r="H28" i="7"/>
  <c r="AZ27" i="7"/>
  <c r="AY27" i="7"/>
  <c r="AV27" i="7"/>
  <c r="AU27" i="7"/>
  <c r="AR27" i="7"/>
  <c r="AQ27" i="7"/>
  <c r="AL27" i="7"/>
  <c r="AK27" i="7"/>
  <c r="AH27" i="7"/>
  <c r="AG27" i="7"/>
  <c r="AD27" i="7"/>
  <c r="AC27" i="7"/>
  <c r="X27" i="7"/>
  <c r="W27" i="7"/>
  <c r="T27" i="7"/>
  <c r="S27" i="7"/>
  <c r="P27" i="7"/>
  <c r="O27" i="7"/>
  <c r="L27" i="7"/>
  <c r="K27" i="7"/>
  <c r="H27" i="7"/>
  <c r="AZ26" i="7"/>
  <c r="AY26" i="7"/>
  <c r="AV26" i="7"/>
  <c r="AU26" i="7"/>
  <c r="AR26" i="7"/>
  <c r="AQ26" i="7"/>
  <c r="AL26" i="7"/>
  <c r="AK26" i="7"/>
  <c r="AH26" i="7"/>
  <c r="AG26" i="7"/>
  <c r="AD26" i="7"/>
  <c r="AC26" i="7"/>
  <c r="X26" i="7"/>
  <c r="W26" i="7"/>
  <c r="T26" i="7"/>
  <c r="S26" i="7"/>
  <c r="P26" i="7"/>
  <c r="O26" i="7"/>
  <c r="L26" i="7"/>
  <c r="K26" i="7"/>
  <c r="H26" i="7"/>
  <c r="AZ25" i="7"/>
  <c r="AY25" i="7"/>
  <c r="AV25" i="7"/>
  <c r="AU25" i="7"/>
  <c r="AR25" i="7"/>
  <c r="AQ25" i="7"/>
  <c r="AL25" i="7"/>
  <c r="AK25" i="7"/>
  <c r="AH25" i="7"/>
  <c r="AG25" i="7"/>
  <c r="AD25" i="7"/>
  <c r="AC25" i="7"/>
  <c r="X25" i="7"/>
  <c r="W25" i="7"/>
  <c r="T25" i="7"/>
  <c r="S25" i="7"/>
  <c r="P25" i="7"/>
  <c r="O25" i="7"/>
  <c r="L25" i="7"/>
  <c r="K25" i="7"/>
  <c r="H25" i="7"/>
  <c r="AZ24" i="7"/>
  <c r="AY24" i="7"/>
  <c r="AV24" i="7"/>
  <c r="AU24" i="7"/>
  <c r="AR24" i="7"/>
  <c r="AQ24" i="7"/>
  <c r="AL24" i="7"/>
  <c r="AK24" i="7"/>
  <c r="AH24" i="7"/>
  <c r="AG24" i="7"/>
  <c r="AD24" i="7"/>
  <c r="AC24" i="7"/>
  <c r="X24" i="7"/>
  <c r="W24" i="7"/>
  <c r="T24" i="7"/>
  <c r="S24" i="7"/>
  <c r="P24" i="7"/>
  <c r="O24" i="7"/>
  <c r="L24" i="7"/>
  <c r="K24" i="7"/>
  <c r="H24" i="7"/>
  <c r="BB23" i="7"/>
  <c r="BA23" i="7"/>
  <c r="AZ23" i="7"/>
  <c r="AY23" i="7"/>
  <c r="AV23" i="7"/>
  <c r="AU23" i="7"/>
  <c r="AR23" i="7"/>
  <c r="AQ23" i="7"/>
  <c r="AN23" i="7"/>
  <c r="AM23" i="7"/>
  <c r="AL23" i="7"/>
  <c r="AK23" i="7"/>
  <c r="AH23" i="7"/>
  <c r="AG23" i="7"/>
  <c r="AD23" i="7"/>
  <c r="AC23" i="7"/>
  <c r="Z23" i="7"/>
  <c r="Y23" i="7"/>
  <c r="X23" i="7"/>
  <c r="W23" i="7"/>
  <c r="T23" i="7"/>
  <c r="S23" i="7"/>
  <c r="P23" i="7"/>
  <c r="O23" i="7"/>
  <c r="L23" i="7"/>
  <c r="K23" i="7"/>
  <c r="H23" i="7"/>
  <c r="BB103" i="7"/>
  <c r="BA103" i="7"/>
  <c r="AZ103" i="7"/>
  <c r="AY103" i="7"/>
  <c r="AV103" i="7"/>
  <c r="AU103" i="7"/>
  <c r="AR103" i="7"/>
  <c r="AQ103" i="7"/>
  <c r="AL103" i="7"/>
  <c r="AK103" i="7"/>
  <c r="AH103" i="7"/>
  <c r="AG103" i="7"/>
  <c r="AD103" i="7"/>
  <c r="AC103" i="7"/>
  <c r="Z103" i="7"/>
  <c r="Y103" i="7"/>
  <c r="X103" i="7"/>
  <c r="W103" i="7"/>
  <c r="T103" i="7"/>
  <c r="S103" i="7"/>
  <c r="P103" i="7"/>
  <c r="O103" i="7"/>
  <c r="L103" i="7"/>
  <c r="K103" i="7"/>
  <c r="H103" i="7"/>
  <c r="AZ102" i="7"/>
  <c r="AY102" i="7"/>
  <c r="AV102" i="7"/>
  <c r="AU102" i="7"/>
  <c r="AR102" i="7"/>
  <c r="AQ102" i="7"/>
  <c r="AL102" i="7"/>
  <c r="AK102" i="7"/>
  <c r="AH102" i="7"/>
  <c r="AG102" i="7"/>
  <c r="AD102" i="7"/>
  <c r="AC102" i="7"/>
  <c r="X102" i="7"/>
  <c r="W102" i="7"/>
  <c r="T102" i="7"/>
  <c r="S102" i="7"/>
  <c r="P102" i="7"/>
  <c r="O102" i="7"/>
  <c r="L102" i="7"/>
  <c r="K102" i="7"/>
  <c r="H102" i="7"/>
  <c r="AZ101" i="7"/>
  <c r="AY101" i="7"/>
  <c r="AV101" i="7"/>
  <c r="AU101" i="7"/>
  <c r="AR101" i="7"/>
  <c r="AQ101" i="7"/>
  <c r="AL101" i="7"/>
  <c r="AK101" i="7"/>
  <c r="AH101" i="7"/>
  <c r="AG101" i="7"/>
  <c r="AD101" i="7"/>
  <c r="AC101" i="7"/>
  <c r="X101" i="7"/>
  <c r="W101" i="7"/>
  <c r="T101" i="7"/>
  <c r="S101" i="7"/>
  <c r="P101" i="7"/>
  <c r="O101" i="7"/>
  <c r="L101" i="7"/>
  <c r="K101" i="7"/>
  <c r="H101" i="7"/>
  <c r="AZ100" i="7"/>
  <c r="AY100" i="7"/>
  <c r="AV100" i="7"/>
  <c r="AU100" i="7"/>
  <c r="AR100" i="7"/>
  <c r="AQ100" i="7"/>
  <c r="AL100" i="7"/>
  <c r="AK100" i="7"/>
  <c r="AH100" i="7"/>
  <c r="AG100" i="7"/>
  <c r="AD100" i="7"/>
  <c r="AC100" i="7"/>
  <c r="X100" i="7"/>
  <c r="W100" i="7"/>
  <c r="T100" i="7"/>
  <c r="S100" i="7"/>
  <c r="P100" i="7"/>
  <c r="O100" i="7"/>
  <c r="L100" i="7"/>
  <c r="K100" i="7"/>
  <c r="H100" i="7"/>
  <c r="AZ99" i="7"/>
  <c r="AY99" i="7"/>
  <c r="AV99" i="7"/>
  <c r="AU99" i="7"/>
  <c r="AR99" i="7"/>
  <c r="AQ99" i="7"/>
  <c r="AL99" i="7"/>
  <c r="AK99" i="7"/>
  <c r="AH99" i="7"/>
  <c r="AG99" i="7"/>
  <c r="AD99" i="7"/>
  <c r="AC99" i="7"/>
  <c r="X99" i="7"/>
  <c r="W99" i="7"/>
  <c r="T99" i="7"/>
  <c r="S99" i="7"/>
  <c r="P99" i="7"/>
  <c r="O99" i="7"/>
  <c r="L99" i="7"/>
  <c r="K99" i="7"/>
  <c r="H99" i="7"/>
  <c r="AZ98" i="7"/>
  <c r="AY98" i="7"/>
  <c r="AV98" i="7"/>
  <c r="AU98" i="7"/>
  <c r="AR98" i="7"/>
  <c r="AQ98" i="7"/>
  <c r="AL98" i="7"/>
  <c r="AK98" i="7"/>
  <c r="AH98" i="7"/>
  <c r="AG98" i="7"/>
  <c r="AD98" i="7"/>
  <c r="AC98" i="7"/>
  <c r="X98" i="7"/>
  <c r="W98" i="7"/>
  <c r="T98" i="7"/>
  <c r="S98" i="7"/>
  <c r="P98" i="7"/>
  <c r="O98" i="7"/>
  <c r="L98" i="7"/>
  <c r="K98" i="7"/>
  <c r="H98" i="7"/>
  <c r="AZ97" i="7"/>
  <c r="AY97" i="7"/>
  <c r="AV97" i="7"/>
  <c r="AU97" i="7"/>
  <c r="AR97" i="7"/>
  <c r="AQ97" i="7"/>
  <c r="AL97" i="7"/>
  <c r="AK97" i="7"/>
  <c r="AH97" i="7"/>
  <c r="AG97" i="7"/>
  <c r="AD97" i="7"/>
  <c r="AC97" i="7"/>
  <c r="X97" i="7"/>
  <c r="W97" i="7"/>
  <c r="T97" i="7"/>
  <c r="S97" i="7"/>
  <c r="P97" i="7"/>
  <c r="O97" i="7"/>
  <c r="L97" i="7"/>
  <c r="K97" i="7"/>
  <c r="H97" i="7"/>
  <c r="AZ96" i="7"/>
  <c r="AY96" i="7"/>
  <c r="AV96" i="7"/>
  <c r="AU96" i="7"/>
  <c r="AR96" i="7"/>
  <c r="AQ96" i="7"/>
  <c r="AL96" i="7"/>
  <c r="AK96" i="7"/>
  <c r="AH96" i="7"/>
  <c r="AG96" i="7"/>
  <c r="AD96" i="7"/>
  <c r="AC96" i="7"/>
  <c r="X96" i="7"/>
  <c r="W96" i="7"/>
  <c r="T96" i="7"/>
  <c r="S96" i="7"/>
  <c r="P96" i="7"/>
  <c r="O96" i="7"/>
  <c r="L96" i="7"/>
  <c r="K96" i="7"/>
  <c r="H96" i="7"/>
  <c r="AZ95" i="7"/>
  <c r="AY95" i="7"/>
  <c r="AV95" i="7"/>
  <c r="AU95" i="7"/>
  <c r="AR95" i="7"/>
  <c r="AQ95" i="7"/>
  <c r="AL95" i="7"/>
  <c r="AK95" i="7"/>
  <c r="AH95" i="7"/>
  <c r="AG95" i="7"/>
  <c r="AD95" i="7"/>
  <c r="AC95" i="7"/>
  <c r="X95" i="7"/>
  <c r="W95" i="7"/>
  <c r="T95" i="7"/>
  <c r="S95" i="7"/>
  <c r="P95" i="7"/>
  <c r="O95" i="7"/>
  <c r="L95" i="7"/>
  <c r="K95" i="7"/>
  <c r="H95" i="7"/>
  <c r="AZ93" i="7"/>
  <c r="AY93" i="7"/>
  <c r="AV93" i="7"/>
  <c r="AU93" i="7"/>
  <c r="AR93" i="7"/>
  <c r="AQ93" i="7"/>
  <c r="AL93" i="7"/>
  <c r="AK93" i="7"/>
  <c r="AH93" i="7"/>
  <c r="AG93" i="7"/>
  <c r="AD93" i="7"/>
  <c r="AC93" i="7"/>
  <c r="X93" i="7"/>
  <c r="W93" i="7"/>
  <c r="T93" i="7"/>
  <c r="S93" i="7"/>
  <c r="P93" i="7"/>
  <c r="O93" i="7"/>
  <c r="L93" i="7"/>
  <c r="K93" i="7"/>
  <c r="H93" i="7"/>
  <c r="AZ92" i="7"/>
  <c r="AY92" i="7"/>
  <c r="AV92" i="7"/>
  <c r="AU92" i="7"/>
  <c r="AR92" i="7"/>
  <c r="AQ92" i="7"/>
  <c r="AL92" i="7"/>
  <c r="AK92" i="7"/>
  <c r="AH92" i="7"/>
  <c r="AG92" i="7"/>
  <c r="AD92" i="7"/>
  <c r="AC92" i="7"/>
  <c r="X92" i="7"/>
  <c r="W92" i="7"/>
  <c r="T92" i="7"/>
  <c r="S92" i="7"/>
  <c r="P92" i="7"/>
  <c r="O92" i="7"/>
  <c r="L92" i="7"/>
  <c r="K92" i="7"/>
  <c r="H92" i="7"/>
  <c r="AZ91" i="7"/>
  <c r="AY91" i="7"/>
  <c r="AV91" i="7"/>
  <c r="AU91" i="7"/>
  <c r="AR91" i="7"/>
  <c r="AQ91" i="7"/>
  <c r="AL91" i="7"/>
  <c r="AK91" i="7"/>
  <c r="AH91" i="7"/>
  <c r="AG91" i="7"/>
  <c r="AD91" i="7"/>
  <c r="AC91" i="7"/>
  <c r="X91" i="7"/>
  <c r="W91" i="7"/>
  <c r="T91" i="7"/>
  <c r="S91" i="7"/>
  <c r="P91" i="7"/>
  <c r="O91" i="7"/>
  <c r="L91" i="7"/>
  <c r="K91" i="7"/>
  <c r="H91" i="7"/>
  <c r="AZ90" i="7"/>
  <c r="AY90" i="7"/>
  <c r="AV90" i="7"/>
  <c r="AU90" i="7"/>
  <c r="AR90" i="7"/>
  <c r="AQ90" i="7"/>
  <c r="AL90" i="7"/>
  <c r="AK90" i="7"/>
  <c r="AH90" i="7"/>
  <c r="AG90" i="7"/>
  <c r="AD90" i="7"/>
  <c r="AC90" i="7"/>
  <c r="X90" i="7"/>
  <c r="W90" i="7"/>
  <c r="T90" i="7"/>
  <c r="S90" i="7"/>
  <c r="P90" i="7"/>
  <c r="O90" i="7"/>
  <c r="L90" i="7"/>
  <c r="K90" i="7"/>
  <c r="H90" i="7"/>
  <c r="AZ89" i="7"/>
  <c r="AY89" i="7"/>
  <c r="AV89" i="7"/>
  <c r="AU89" i="7"/>
  <c r="AR89" i="7"/>
  <c r="AQ89" i="7"/>
  <c r="AL89" i="7"/>
  <c r="AK89" i="7"/>
  <c r="AH89" i="7"/>
  <c r="AG89" i="7"/>
  <c r="AD89" i="7"/>
  <c r="AC89" i="7"/>
  <c r="X89" i="7"/>
  <c r="W89" i="7"/>
  <c r="T89" i="7"/>
  <c r="S89" i="7"/>
  <c r="P89" i="7"/>
  <c r="O89" i="7"/>
  <c r="L89" i="7"/>
  <c r="K89" i="7"/>
  <c r="H89" i="7"/>
  <c r="AZ88" i="7"/>
  <c r="AY88" i="7"/>
  <c r="AV88" i="7"/>
  <c r="AU88" i="7"/>
  <c r="AR88" i="7"/>
  <c r="AQ88" i="7"/>
  <c r="AL88" i="7"/>
  <c r="AK88" i="7"/>
  <c r="AH88" i="7"/>
  <c r="AG88" i="7"/>
  <c r="AD88" i="7"/>
  <c r="AC88" i="7"/>
  <c r="X88" i="7"/>
  <c r="W88" i="7"/>
  <c r="T88" i="7"/>
  <c r="S88" i="7"/>
  <c r="P88" i="7"/>
  <c r="O88" i="7"/>
  <c r="L88" i="7"/>
  <c r="K88" i="7"/>
  <c r="H88" i="7"/>
  <c r="BB87" i="7"/>
  <c r="BA87" i="7"/>
  <c r="AZ87" i="7"/>
  <c r="AY87" i="7"/>
  <c r="AV87" i="7"/>
  <c r="AU87" i="7"/>
  <c r="AR87" i="7"/>
  <c r="AQ87" i="7"/>
  <c r="AN87" i="7"/>
  <c r="AM87" i="7"/>
  <c r="AL87" i="7"/>
  <c r="AK87" i="7"/>
  <c r="AH87" i="7"/>
  <c r="AG87" i="7"/>
  <c r="AD87" i="7"/>
  <c r="AC87" i="7"/>
  <c r="Z87" i="7"/>
  <c r="Y87" i="7"/>
  <c r="X87" i="7"/>
  <c r="W87" i="7"/>
  <c r="T87" i="7"/>
  <c r="S87" i="7"/>
  <c r="P87" i="7"/>
  <c r="O87" i="7"/>
  <c r="L87" i="7"/>
  <c r="K87" i="7"/>
  <c r="H87" i="7"/>
  <c r="AZ62" i="7"/>
  <c r="AY62" i="7"/>
  <c r="AV62" i="7"/>
  <c r="AU62" i="7"/>
  <c r="AR62" i="7"/>
  <c r="AQ62" i="7"/>
  <c r="AL62" i="7"/>
  <c r="AK62" i="7"/>
  <c r="AH62" i="7"/>
  <c r="AG62" i="7"/>
  <c r="AD62" i="7"/>
  <c r="AC62" i="7"/>
  <c r="X62" i="7"/>
  <c r="W62" i="7"/>
  <c r="T62" i="7"/>
  <c r="S62" i="7"/>
  <c r="P62" i="7"/>
  <c r="O62" i="7"/>
  <c r="L62" i="7"/>
  <c r="K62" i="7"/>
  <c r="H62" i="7"/>
  <c r="BB61" i="7"/>
  <c r="BA61" i="7"/>
  <c r="AZ61" i="7"/>
  <c r="AY61" i="7"/>
  <c r="AV61" i="7"/>
  <c r="AU61" i="7"/>
  <c r="AR61" i="7"/>
  <c r="AQ61" i="7"/>
  <c r="AL61" i="7"/>
  <c r="AK61" i="7"/>
  <c r="AH61" i="7"/>
  <c r="AG61" i="7"/>
  <c r="AD61" i="7"/>
  <c r="AC61" i="7"/>
  <c r="Z61" i="7"/>
  <c r="Y61" i="7"/>
  <c r="X61" i="7"/>
  <c r="W61" i="7"/>
  <c r="T61" i="7"/>
  <c r="S61" i="7"/>
  <c r="P61" i="7"/>
  <c r="O61" i="7"/>
  <c r="L61" i="7"/>
  <c r="K61" i="7"/>
  <c r="H61" i="7"/>
  <c r="AZ60" i="7"/>
  <c r="AY60" i="7"/>
  <c r="AV60" i="7"/>
  <c r="AU60" i="7"/>
  <c r="AR60" i="7"/>
  <c r="AQ60" i="7"/>
  <c r="AL60" i="7"/>
  <c r="AK60" i="7"/>
  <c r="AH60" i="7"/>
  <c r="AG60" i="7"/>
  <c r="AD60" i="7"/>
  <c r="AC60" i="7"/>
  <c r="X60" i="7"/>
  <c r="W60" i="7"/>
  <c r="T60" i="7"/>
  <c r="S60" i="7"/>
  <c r="P60" i="7"/>
  <c r="O60" i="7"/>
  <c r="L60" i="7"/>
  <c r="K60" i="7"/>
  <c r="H60" i="7"/>
  <c r="AZ59" i="7"/>
  <c r="AY59" i="7"/>
  <c r="AV59" i="7"/>
  <c r="AU59" i="7"/>
  <c r="AR59" i="7"/>
  <c r="AQ59" i="7"/>
  <c r="AL59" i="7"/>
  <c r="AK59" i="7"/>
  <c r="AH59" i="7"/>
  <c r="AG59" i="7"/>
  <c r="AD59" i="7"/>
  <c r="AC59" i="7"/>
  <c r="X59" i="7"/>
  <c r="W59" i="7"/>
  <c r="T59" i="7"/>
  <c r="S59" i="7"/>
  <c r="P59" i="7"/>
  <c r="O59" i="7"/>
  <c r="L59" i="7"/>
  <c r="K59" i="7"/>
  <c r="H59" i="7"/>
  <c r="AZ58" i="7"/>
  <c r="AY58" i="7"/>
  <c r="AV58" i="7"/>
  <c r="AU58" i="7"/>
  <c r="AR58" i="7"/>
  <c r="AQ58" i="7"/>
  <c r="AL58" i="7"/>
  <c r="AK58" i="7"/>
  <c r="AH58" i="7"/>
  <c r="AG58" i="7"/>
  <c r="AD58" i="7"/>
  <c r="AC58" i="7"/>
  <c r="X58" i="7"/>
  <c r="W58" i="7"/>
  <c r="T58" i="7"/>
  <c r="S58" i="7"/>
  <c r="P58" i="7"/>
  <c r="O58" i="7"/>
  <c r="L58" i="7"/>
  <c r="K58" i="7"/>
  <c r="H58" i="7"/>
  <c r="AZ57" i="7"/>
  <c r="AY57" i="7"/>
  <c r="AV57" i="7"/>
  <c r="AU57" i="7"/>
  <c r="AR57" i="7"/>
  <c r="AQ57" i="7"/>
  <c r="AL57" i="7"/>
  <c r="AK57" i="7"/>
  <c r="AH57" i="7"/>
  <c r="AG57" i="7"/>
  <c r="AD57" i="7"/>
  <c r="AC57" i="7"/>
  <c r="X57" i="7"/>
  <c r="W57" i="7"/>
  <c r="T57" i="7"/>
  <c r="S57" i="7"/>
  <c r="P57" i="7"/>
  <c r="O57" i="7"/>
  <c r="L57" i="7"/>
  <c r="K57" i="7"/>
  <c r="H57" i="7"/>
  <c r="AZ56" i="7"/>
  <c r="AY56" i="7"/>
  <c r="AV56" i="7"/>
  <c r="AU56" i="7"/>
  <c r="AR56" i="7"/>
  <c r="AQ56" i="7"/>
  <c r="AL56" i="7"/>
  <c r="AK56" i="7"/>
  <c r="AH56" i="7"/>
  <c r="AG56" i="7"/>
  <c r="AD56" i="7"/>
  <c r="AC56" i="7"/>
  <c r="X56" i="7"/>
  <c r="W56" i="7"/>
  <c r="T56" i="7"/>
  <c r="S56" i="7"/>
  <c r="P56" i="7"/>
  <c r="O56" i="7"/>
  <c r="L56" i="7"/>
  <c r="K56" i="7"/>
  <c r="H56" i="7"/>
  <c r="AZ55" i="7"/>
  <c r="AY55" i="7"/>
  <c r="AV55" i="7"/>
  <c r="AU55" i="7"/>
  <c r="AR55" i="7"/>
  <c r="AQ55" i="7"/>
  <c r="AL55" i="7"/>
  <c r="AK55" i="7"/>
  <c r="AH55" i="7"/>
  <c r="AG55" i="7"/>
  <c r="AD55" i="7"/>
  <c r="AC55" i="7"/>
  <c r="X55" i="7"/>
  <c r="W55" i="7"/>
  <c r="T55" i="7"/>
  <c r="S55" i="7"/>
  <c r="P55" i="7"/>
  <c r="O55" i="7"/>
  <c r="L55" i="7"/>
  <c r="K55" i="7"/>
  <c r="H55" i="7"/>
  <c r="AZ54" i="7"/>
  <c r="AY54" i="7"/>
  <c r="AV54" i="7"/>
  <c r="AU54" i="7"/>
  <c r="AR54" i="7"/>
  <c r="AQ54" i="7"/>
  <c r="AL54" i="7"/>
  <c r="AK54" i="7"/>
  <c r="AH54" i="7"/>
  <c r="AG54" i="7"/>
  <c r="AD54" i="7"/>
  <c r="AC54" i="7"/>
  <c r="X54" i="7"/>
  <c r="W54" i="7"/>
  <c r="T54" i="7"/>
  <c r="S54" i="7"/>
  <c r="P54" i="7"/>
  <c r="O54" i="7"/>
  <c r="L54" i="7"/>
  <c r="K54" i="7"/>
  <c r="H54" i="7"/>
  <c r="E103" i="7"/>
  <c r="E102" i="7"/>
  <c r="E87" i="7"/>
  <c r="E113" i="7" l="1"/>
  <c r="E112" i="7"/>
  <c r="E111" i="7"/>
  <c r="E110" i="7"/>
  <c r="E109" i="7"/>
  <c r="E108" i="7"/>
  <c r="E107" i="7"/>
  <c r="E106" i="7"/>
  <c r="F84" i="7"/>
  <c r="E84" i="7"/>
  <c r="F82" i="7"/>
  <c r="E82" i="7"/>
  <c r="F75" i="7"/>
  <c r="E75" i="7"/>
  <c r="F71" i="7"/>
  <c r="F73" i="7" s="1"/>
  <c r="E71" i="7"/>
  <c r="E73" i="7" s="1"/>
  <c r="F67" i="7"/>
  <c r="E67" i="7"/>
  <c r="E81" i="7" s="1"/>
  <c r="E58" i="7"/>
  <c r="E54" i="7"/>
  <c r="F21" i="7"/>
  <c r="E21" i="7"/>
  <c r="E41" i="7" s="1"/>
  <c r="E51" i="7" s="1"/>
  <c r="F41" i="7" l="1"/>
  <c r="F51" i="7" s="1"/>
  <c r="F81" i="7"/>
  <c r="F60" i="7"/>
  <c r="F56" i="7"/>
  <c r="F102" i="7" s="1"/>
  <c r="F36" i="7"/>
  <c r="F100" i="7" s="1"/>
  <c r="F32" i="7"/>
  <c r="F96" i="7" s="1"/>
  <c r="F27" i="7"/>
  <c r="F91" i="7" s="1"/>
  <c r="F23" i="7"/>
  <c r="F87" i="7" s="1"/>
  <c r="F59" i="7"/>
  <c r="F55" i="7"/>
  <c r="F35" i="7"/>
  <c r="F99" i="7" s="1"/>
  <c r="F31" i="7"/>
  <c r="F95" i="7" s="1"/>
  <c r="F26" i="7"/>
  <c r="F62" i="7"/>
  <c r="F58" i="7"/>
  <c r="F54" i="7"/>
  <c r="F34" i="7"/>
  <c r="F98" i="7" s="1"/>
  <c r="F29" i="7"/>
  <c r="F93" i="7" s="1"/>
  <c r="F25" i="7"/>
  <c r="F89" i="7" s="1"/>
  <c r="F33" i="7"/>
  <c r="F97" i="7" s="1"/>
  <c r="F61" i="7"/>
  <c r="F103" i="7" s="1"/>
  <c r="F28" i="7"/>
  <c r="F92" i="7" s="1"/>
  <c r="F37" i="7"/>
  <c r="F101" i="7" s="1"/>
  <c r="F24" i="7"/>
  <c r="F88" i="7" s="1"/>
  <c r="F57" i="7"/>
  <c r="E35" i="7"/>
  <c r="E99" i="7" s="1"/>
  <c r="E31" i="7"/>
  <c r="E95" i="7" s="1"/>
  <c r="E26" i="7"/>
  <c r="E90" i="7" s="1"/>
  <c r="H32" i="59" s="1"/>
  <c r="E34" i="7"/>
  <c r="E98" i="7" s="1"/>
  <c r="E29" i="7"/>
  <c r="E93" i="7" s="1"/>
  <c r="E25" i="7"/>
  <c r="E89" i="7" s="1"/>
  <c r="E37" i="7"/>
  <c r="E101" i="7" s="1"/>
  <c r="E33" i="7"/>
  <c r="E97" i="7" s="1"/>
  <c r="E28" i="7"/>
  <c r="E92" i="7" s="1"/>
  <c r="E24" i="7"/>
  <c r="E88" i="7" s="1"/>
  <c r="E36" i="7"/>
  <c r="E100" i="7" s="1"/>
  <c r="E32" i="7"/>
  <c r="E96" i="7" s="1"/>
  <c r="H34" i="59" s="1"/>
  <c r="E27" i="7"/>
  <c r="E91" i="7" s="1"/>
  <c r="E56" i="7"/>
  <c r="E60" i="7"/>
  <c r="E62" i="7"/>
  <c r="E83" i="7"/>
  <c r="F83" i="7"/>
  <c r="E55" i="7"/>
  <c r="E57" i="7"/>
  <c r="E59" i="7"/>
  <c r="E61" i="7"/>
  <c r="E68" i="7"/>
  <c r="E76" i="7"/>
  <c r="E78" i="7"/>
  <c r="F69" i="7"/>
  <c r="F76" i="7"/>
  <c r="F78" i="7"/>
  <c r="F195" i="6"/>
  <c r="F213" i="6"/>
  <c r="F205" i="6"/>
  <c r="F204" i="6"/>
  <c r="F203" i="6"/>
  <c r="F202" i="6"/>
  <c r="F201" i="6"/>
  <c r="F200" i="6"/>
  <c r="F199" i="6"/>
  <c r="E130" i="6"/>
  <c r="E129" i="6"/>
  <c r="E128" i="6"/>
  <c r="E127" i="6"/>
  <c r="E126" i="6"/>
  <c r="E125" i="6"/>
  <c r="E124" i="6"/>
  <c r="F130" i="6"/>
  <c r="F129" i="6"/>
  <c r="F128" i="6"/>
  <c r="F127" i="6"/>
  <c r="F126" i="6"/>
  <c r="F125" i="6"/>
  <c r="F124" i="6"/>
  <c r="F90" i="7" l="1"/>
  <c r="I32" i="59" s="1"/>
  <c r="F38" i="7"/>
  <c r="F53" i="7" s="1"/>
  <c r="E38" i="7"/>
  <c r="E53" i="7" s="1"/>
  <c r="E104" i="7"/>
  <c r="E63" i="7" l="1"/>
  <c r="E77" i="7"/>
  <c r="F63" i="7"/>
  <c r="F77" i="7"/>
  <c r="F104" i="7"/>
  <c r="D130" i="6" l="1"/>
  <c r="D129" i="6"/>
  <c r="D128" i="6"/>
  <c r="D127" i="6"/>
  <c r="D126" i="6"/>
  <c r="D125" i="6"/>
  <c r="D124" i="6"/>
  <c r="D103" i="6"/>
  <c r="D56" i="6"/>
  <c r="D55" i="6"/>
  <c r="D57" i="6" s="1"/>
  <c r="D54" i="6"/>
  <c r="D51" i="6"/>
  <c r="D48" i="6"/>
  <c r="D45" i="6"/>
  <c r="E138" i="6"/>
  <c r="E56" i="6"/>
  <c r="E55" i="6"/>
  <c r="E57" i="6" s="1"/>
  <c r="E54" i="6"/>
  <c r="E51" i="6"/>
  <c r="E48" i="6"/>
  <c r="E45" i="6"/>
  <c r="BH27" i="59" l="1"/>
  <c r="BH26" i="59"/>
  <c r="BH25" i="59"/>
  <c r="BH24" i="59"/>
  <c r="BH22" i="59"/>
  <c r="BF27" i="59"/>
  <c r="BF26" i="59"/>
  <c r="BF25" i="59"/>
  <c r="BF24" i="59"/>
  <c r="BF22" i="59"/>
  <c r="BD27" i="59"/>
  <c r="BD26" i="59"/>
  <c r="BD25" i="59"/>
  <c r="BD24" i="59"/>
  <c r="BD22" i="59"/>
  <c r="AZ27" i="59"/>
  <c r="AZ26" i="59"/>
  <c r="AZ25" i="59"/>
  <c r="AZ24" i="59"/>
  <c r="AZ22" i="59"/>
  <c r="BB27" i="59"/>
  <c r="BB26" i="59"/>
  <c r="BB25" i="59"/>
  <c r="BB24" i="59"/>
  <c r="BB23" i="59"/>
  <c r="BB22" i="59"/>
  <c r="AX27" i="59"/>
  <c r="AX26" i="59"/>
  <c r="AX25" i="59"/>
  <c r="AX24" i="59"/>
  <c r="AX23" i="59"/>
  <c r="AX22" i="59"/>
  <c r="AV27" i="59"/>
  <c r="AV26" i="59"/>
  <c r="AV25" i="59"/>
  <c r="AV24" i="59"/>
  <c r="AV22" i="59"/>
  <c r="AT27" i="59"/>
  <c r="AT26" i="59"/>
  <c r="AT25" i="59"/>
  <c r="AT24" i="59"/>
  <c r="AT23" i="59"/>
  <c r="AT22" i="59"/>
  <c r="AR27" i="59"/>
  <c r="AR26" i="59"/>
  <c r="AR25" i="59"/>
  <c r="AR24" i="59"/>
  <c r="AR22" i="59"/>
  <c r="AP27" i="59"/>
  <c r="AP26" i="59"/>
  <c r="AP25" i="59"/>
  <c r="AP24" i="59"/>
  <c r="AP22" i="59"/>
  <c r="AN27" i="59"/>
  <c r="AN26" i="59"/>
  <c r="AN25" i="59"/>
  <c r="AN24" i="59"/>
  <c r="AN23" i="59"/>
  <c r="AN22" i="59"/>
  <c r="AL27" i="59"/>
  <c r="AL26" i="59"/>
  <c r="AL25" i="59"/>
  <c r="AL24" i="59"/>
  <c r="AL22" i="59"/>
  <c r="AJ27" i="59"/>
  <c r="AJ26" i="59"/>
  <c r="AJ25" i="59"/>
  <c r="AJ24" i="59"/>
  <c r="AJ23" i="59"/>
  <c r="AJ22" i="59"/>
  <c r="AH27" i="59"/>
  <c r="AH26" i="59"/>
  <c r="AH25" i="59"/>
  <c r="AH24" i="59"/>
  <c r="AH22" i="59"/>
  <c r="AF27" i="59"/>
  <c r="AF26" i="59"/>
  <c r="AF25" i="59"/>
  <c r="AF24" i="59"/>
  <c r="AF23" i="59"/>
  <c r="AF22" i="59"/>
  <c r="AD27" i="59"/>
  <c r="AD26" i="59"/>
  <c r="AD25" i="59"/>
  <c r="AD24" i="59"/>
  <c r="AD22" i="59"/>
  <c r="AB27" i="59"/>
  <c r="AB26" i="59"/>
  <c r="AB25" i="59"/>
  <c r="AB24" i="59"/>
  <c r="AB22" i="59"/>
  <c r="Z27" i="59"/>
  <c r="Z26" i="59"/>
  <c r="Z25" i="59"/>
  <c r="Z24" i="59"/>
  <c r="Z23" i="59"/>
  <c r="Z22" i="59"/>
  <c r="X27" i="59"/>
  <c r="X26" i="59"/>
  <c r="X25" i="59"/>
  <c r="X24" i="59"/>
  <c r="X22" i="59"/>
  <c r="V27" i="59"/>
  <c r="V26" i="59"/>
  <c r="V25" i="59"/>
  <c r="V24" i="59"/>
  <c r="V23" i="59"/>
  <c r="V22" i="59"/>
  <c r="T27" i="59"/>
  <c r="T26" i="59"/>
  <c r="T25" i="59"/>
  <c r="T24" i="59"/>
  <c r="T22" i="59"/>
  <c r="R27" i="59"/>
  <c r="R26" i="59"/>
  <c r="R25" i="59"/>
  <c r="R24" i="59"/>
  <c r="R23" i="59"/>
  <c r="R22" i="59"/>
  <c r="P27" i="59"/>
  <c r="P26" i="59"/>
  <c r="P25" i="59"/>
  <c r="P24" i="59"/>
  <c r="P22" i="59"/>
  <c r="N27" i="59"/>
  <c r="N26" i="59"/>
  <c r="N25" i="59"/>
  <c r="N24" i="59"/>
  <c r="N23" i="59"/>
  <c r="N22" i="59"/>
  <c r="L27" i="59"/>
  <c r="L26" i="59"/>
  <c r="L25" i="59"/>
  <c r="L24" i="59"/>
  <c r="L22" i="59"/>
  <c r="J27" i="59"/>
  <c r="J26" i="59"/>
  <c r="J25" i="59"/>
  <c r="J24" i="59"/>
  <c r="J23" i="59"/>
  <c r="J22" i="59"/>
  <c r="H22" i="59"/>
  <c r="H23" i="59"/>
  <c r="H24" i="59"/>
  <c r="H25" i="59"/>
  <c r="H26" i="59"/>
  <c r="H27" i="59"/>
  <c r="J16" i="59"/>
  <c r="BH20" i="59"/>
  <c r="BH19" i="59"/>
  <c r="BH18" i="59"/>
  <c r="BH17" i="59"/>
  <c r="BH15" i="59"/>
  <c r="BF20" i="59"/>
  <c r="BF19" i="59"/>
  <c r="BF18" i="59"/>
  <c r="BF17" i="59"/>
  <c r="BF15" i="59"/>
  <c r="BD20" i="59"/>
  <c r="BD19" i="59"/>
  <c r="BD18" i="59"/>
  <c r="BD17" i="59"/>
  <c r="BD15" i="59"/>
  <c r="AZ20" i="59"/>
  <c r="AZ19" i="59"/>
  <c r="AZ18" i="59"/>
  <c r="AZ17" i="59"/>
  <c r="AZ15" i="59"/>
  <c r="AX20" i="59"/>
  <c r="AX19" i="59"/>
  <c r="AX18" i="59"/>
  <c r="AX17" i="59"/>
  <c r="AX16" i="59"/>
  <c r="AX15" i="59"/>
  <c r="AV20" i="59"/>
  <c r="AV19" i="59"/>
  <c r="AV18" i="59"/>
  <c r="AV17" i="59"/>
  <c r="AV15" i="59"/>
  <c r="AT20" i="59"/>
  <c r="AT19" i="59"/>
  <c r="AT18" i="59"/>
  <c r="AT17" i="59"/>
  <c r="AT16" i="59"/>
  <c r="AT15" i="59"/>
  <c r="AR20" i="59"/>
  <c r="AR19" i="59"/>
  <c r="AR18" i="59"/>
  <c r="AR17" i="59"/>
  <c r="AR15" i="59"/>
  <c r="AP20" i="59"/>
  <c r="AP19" i="59"/>
  <c r="AP18" i="59"/>
  <c r="AP17" i="59"/>
  <c r="AP15" i="59"/>
  <c r="AN20" i="59"/>
  <c r="AN19" i="59"/>
  <c r="AN18" i="59"/>
  <c r="AN17" i="59"/>
  <c r="AN16" i="59"/>
  <c r="AN15" i="59"/>
  <c r="AL20" i="59"/>
  <c r="AL19" i="59"/>
  <c r="AL18" i="59"/>
  <c r="AL17" i="59"/>
  <c r="AL15" i="59"/>
  <c r="AJ20" i="59"/>
  <c r="AJ19" i="59"/>
  <c r="AJ18" i="59"/>
  <c r="AJ17" i="59"/>
  <c r="AJ16" i="59"/>
  <c r="AJ15" i="59"/>
  <c r="AH20" i="59"/>
  <c r="AH19" i="59"/>
  <c r="AH18" i="59"/>
  <c r="AH17" i="59"/>
  <c r="AH15" i="59"/>
  <c r="AF20" i="59"/>
  <c r="AF19" i="59"/>
  <c r="AF18" i="59"/>
  <c r="AF17" i="59"/>
  <c r="AF16" i="59"/>
  <c r="AF15" i="59"/>
  <c r="AD20" i="59"/>
  <c r="AD19" i="59"/>
  <c r="AD18" i="59"/>
  <c r="AD17" i="59"/>
  <c r="AD15" i="59"/>
  <c r="AB20" i="59"/>
  <c r="AB19" i="59"/>
  <c r="AB18" i="59"/>
  <c r="AB17" i="59"/>
  <c r="AB15" i="59"/>
  <c r="Z20" i="59"/>
  <c r="Z19" i="59"/>
  <c r="Z18" i="59"/>
  <c r="Z17" i="59"/>
  <c r="Z16" i="59"/>
  <c r="Z15" i="59"/>
  <c r="X20" i="59"/>
  <c r="X19" i="59"/>
  <c r="X18" i="59"/>
  <c r="X17" i="59"/>
  <c r="X15" i="59"/>
  <c r="V20" i="59"/>
  <c r="V19" i="59"/>
  <c r="V18" i="59"/>
  <c r="V17" i="59"/>
  <c r="V16" i="59"/>
  <c r="V15" i="59"/>
  <c r="T20" i="59"/>
  <c r="T19" i="59"/>
  <c r="T18" i="59"/>
  <c r="T17" i="59"/>
  <c r="T15" i="59"/>
  <c r="R20" i="59"/>
  <c r="R19" i="59"/>
  <c r="R18" i="59"/>
  <c r="R17" i="59"/>
  <c r="R16" i="59"/>
  <c r="R15" i="59"/>
  <c r="P20" i="59"/>
  <c r="P19" i="59"/>
  <c r="P18" i="59"/>
  <c r="P17" i="59"/>
  <c r="P15" i="59"/>
  <c r="N20" i="59"/>
  <c r="N19" i="59"/>
  <c r="N18" i="59"/>
  <c r="N17" i="59"/>
  <c r="N16" i="59"/>
  <c r="N15" i="59"/>
  <c r="L20" i="59"/>
  <c r="L19" i="59"/>
  <c r="L18" i="59"/>
  <c r="L17" i="59"/>
  <c r="L15" i="59"/>
  <c r="J20" i="59"/>
  <c r="J19" i="59"/>
  <c r="J18" i="59"/>
  <c r="J17" i="59"/>
  <c r="H20" i="59"/>
  <c r="H19" i="59"/>
  <c r="H18" i="59"/>
  <c r="H17" i="59"/>
  <c r="D41" i="36"/>
  <c r="D40" i="36"/>
  <c r="E43" i="36"/>
  <c r="E31" i="36" s="1"/>
  <c r="E41" i="36"/>
  <c r="E40" i="36"/>
  <c r="D43" i="36" l="1"/>
  <c r="D31" i="36" s="1"/>
  <c r="P23" i="110"/>
  <c r="O23" i="110"/>
  <c r="N23" i="110"/>
  <c r="M23" i="110"/>
  <c r="L23" i="110"/>
  <c r="K23" i="110"/>
  <c r="J23" i="110"/>
  <c r="I23" i="110"/>
  <c r="H23" i="110"/>
  <c r="G23" i="110"/>
  <c r="F23" i="110"/>
  <c r="E23" i="110"/>
  <c r="Q23" i="110" s="1"/>
  <c r="Q22" i="110"/>
  <c r="Q21" i="110"/>
  <c r="Q20" i="110"/>
  <c r="Q19" i="110"/>
  <c r="Q18" i="110"/>
  <c r="Q17" i="110"/>
  <c r="Q16" i="110"/>
  <c r="Q15" i="110"/>
  <c r="Q14" i="110"/>
  <c r="Q13" i="110"/>
  <c r="Q12" i="110"/>
  <c r="Q11" i="110"/>
  <c r="Q10" i="110"/>
  <c r="Q9" i="110"/>
  <c r="Q8" i="110"/>
  <c r="BB45" i="28"/>
  <c r="BD45" i="28" s="1"/>
  <c r="Z45" i="28"/>
  <c r="AB45" i="28" s="1"/>
  <c r="AF45" i="28" s="1"/>
  <c r="AJ45" i="28" s="1"/>
  <c r="AP45" i="28" s="1"/>
  <c r="AT45" i="28" s="1"/>
  <c r="AX45" i="28" s="1"/>
  <c r="BF45" i="28" s="1"/>
  <c r="V45" i="28"/>
  <c r="R45" i="28"/>
  <c r="N45" i="28"/>
  <c r="J45" i="28"/>
  <c r="E66" i="28"/>
  <c r="BA26" i="28"/>
  <c r="BB26" i="28"/>
  <c r="AM26" i="28"/>
  <c r="AN26" i="28"/>
  <c r="BD26" i="28" s="1"/>
  <c r="Y26" i="28"/>
  <c r="Z26" i="28"/>
  <c r="M26" i="28"/>
  <c r="Q26" i="28" s="1"/>
  <c r="U26" i="28" s="1"/>
  <c r="I26" i="28"/>
  <c r="J26" i="28"/>
  <c r="N26" i="28" s="1"/>
  <c r="R26" i="28" s="1"/>
  <c r="V26" i="28" s="1"/>
  <c r="BC18" i="28"/>
  <c r="BD18" i="28"/>
  <c r="BA18" i="28"/>
  <c r="BB18" i="28"/>
  <c r="AM18" i="28"/>
  <c r="AN18" i="28"/>
  <c r="Y18" i="28"/>
  <c r="Z18" i="28"/>
  <c r="I18" i="28"/>
  <c r="M18" i="28" s="1"/>
  <c r="Q18" i="28" s="1"/>
  <c r="U18" i="28" s="1"/>
  <c r="J18" i="28"/>
  <c r="N18" i="28" s="1"/>
  <c r="R18" i="28" s="1"/>
  <c r="V18" i="28" s="1"/>
  <c r="BA10" i="28"/>
  <c r="BB10" i="28"/>
  <c r="AM10" i="28"/>
  <c r="AN10" i="28"/>
  <c r="BD10" i="28" s="1"/>
  <c r="Y10" i="28"/>
  <c r="Z10" i="28"/>
  <c r="I10" i="28"/>
  <c r="M10" i="28" s="1"/>
  <c r="J10" i="28"/>
  <c r="N10" i="28" s="1"/>
  <c r="R10" i="28" l="1"/>
  <c r="V10" i="28" s="1"/>
  <c r="AB10" i="28"/>
  <c r="AF10" i="28" s="1"/>
  <c r="AJ10" i="28" s="1"/>
  <c r="AP10" i="28" s="1"/>
  <c r="AT10" i="28" s="1"/>
  <c r="AX10" i="28" s="1"/>
  <c r="BF10" i="28" s="1"/>
  <c r="AB18" i="28"/>
  <c r="AF18" i="28" s="1"/>
  <c r="AJ18" i="28" s="1"/>
  <c r="AP18" i="28" s="1"/>
  <c r="AT18" i="28" s="1"/>
  <c r="AX18" i="28" s="1"/>
  <c r="BF18" i="28" s="1"/>
  <c r="AA18" i="28"/>
  <c r="AE18" i="28" s="1"/>
  <c r="AI18" i="28" s="1"/>
  <c r="AO18" i="28" s="1"/>
  <c r="AS18" i="28" s="1"/>
  <c r="AW18" i="28" s="1"/>
  <c r="BE18" i="28" s="1"/>
  <c r="AA10" i="28"/>
  <c r="AE10" i="28" s="1"/>
  <c r="AI10" i="28" s="1"/>
  <c r="AO10" i="28" s="1"/>
  <c r="AS10" i="28" s="1"/>
  <c r="AW10" i="28" s="1"/>
  <c r="BE10" i="28" s="1"/>
  <c r="Q10" i="28"/>
  <c r="U10" i="28" s="1"/>
  <c r="BC26" i="28"/>
  <c r="AB26" i="28"/>
  <c r="AF26" i="28" s="1"/>
  <c r="AJ26" i="28" s="1"/>
  <c r="AP26" i="28" s="1"/>
  <c r="AT26" i="28" s="1"/>
  <c r="AX26" i="28" s="1"/>
  <c r="BF26" i="28" s="1"/>
  <c r="AA26" i="28"/>
  <c r="AE26" i="28" s="1"/>
  <c r="AI26" i="28" s="1"/>
  <c r="AO26" i="28" s="1"/>
  <c r="AS26" i="28" s="1"/>
  <c r="AW26" i="28" s="1"/>
  <c r="BE26" i="28" s="1"/>
  <c r="BC10" i="28"/>
  <c r="AZ55" i="11"/>
  <c r="AZ92" i="11" l="1"/>
  <c r="AZ91" i="11"/>
  <c r="AZ89" i="11"/>
  <c r="AZ83" i="11"/>
  <c r="AZ84" i="11" s="1"/>
  <c r="AZ59" i="11"/>
  <c r="AZ57" i="11"/>
  <c r="AZ93" i="11" s="1"/>
  <c r="AZ56" i="11"/>
  <c r="AZ58" i="11" s="1"/>
  <c r="B18" i="107"/>
  <c r="B20" i="107" s="1"/>
  <c r="B22" i="107" s="1"/>
  <c r="B25" i="107" s="1"/>
  <c r="B13" i="107"/>
  <c r="B8" i="107"/>
  <c r="B26" i="107" s="1"/>
  <c r="B28" i="107" s="1"/>
  <c r="AZ60" i="11" l="1"/>
  <c r="AZ85" i="11"/>
  <c r="AZ90" i="11"/>
  <c r="AZ94" i="11"/>
  <c r="AZ118" i="8" l="1"/>
  <c r="BF116" i="8"/>
  <c r="AZ117" i="8" l="1"/>
  <c r="AZ116" i="8"/>
  <c r="AV118" i="8"/>
  <c r="AV117" i="8"/>
  <c r="AV116" i="8"/>
  <c r="AR118" i="8"/>
  <c r="AR117" i="8"/>
  <c r="AR116" i="8"/>
  <c r="BB118" i="8" l="1"/>
  <c r="BB117" i="8"/>
  <c r="BB116" i="8"/>
  <c r="F33" i="28"/>
  <c r="F65" i="28" s="1"/>
  <c r="F32" i="28"/>
  <c r="F64" i="28" s="1"/>
  <c r="AZ31" i="28"/>
  <c r="AZ63" i="28" s="1"/>
  <c r="AV31" i="28"/>
  <c r="AR31" i="28"/>
  <c r="AR63" i="28" s="1"/>
  <c r="AL31" i="28"/>
  <c r="AL63" i="28" s="1"/>
  <c r="AH31" i="28"/>
  <c r="AH63" i="28" s="1"/>
  <c r="AD31" i="28"/>
  <c r="X31" i="28"/>
  <c r="X63" i="28" s="1"/>
  <c r="T31" i="28"/>
  <c r="T63" i="28" s="1"/>
  <c r="P31" i="28"/>
  <c r="P63" i="28" s="1"/>
  <c r="L31" i="28"/>
  <c r="H31" i="28"/>
  <c r="H63" i="28" s="1"/>
  <c r="F31" i="28"/>
  <c r="J31" i="28" s="1"/>
  <c r="F193" i="73"/>
  <c r="G193" i="73"/>
  <c r="H53" i="28" s="1"/>
  <c r="H34" i="28" s="1"/>
  <c r="H66" i="28" s="1"/>
  <c r="H193" i="73"/>
  <c r="I193" i="73"/>
  <c r="J193" i="73"/>
  <c r="K193" i="73"/>
  <c r="L53" i="28" s="1"/>
  <c r="L193" i="73"/>
  <c r="M193" i="73"/>
  <c r="N193" i="73"/>
  <c r="O193" i="73"/>
  <c r="P53" i="28" s="1"/>
  <c r="P193" i="73"/>
  <c r="Q193" i="73"/>
  <c r="R193" i="73"/>
  <c r="S193" i="73"/>
  <c r="T53" i="28" s="1"/>
  <c r="T193" i="73"/>
  <c r="U193" i="73"/>
  <c r="V193" i="73"/>
  <c r="W193" i="73"/>
  <c r="X53" i="28" s="1"/>
  <c r="X193" i="73"/>
  <c r="Y193" i="73"/>
  <c r="Z193" i="73"/>
  <c r="AA193" i="73"/>
  <c r="AB193" i="73"/>
  <c r="AC193" i="73"/>
  <c r="AD53" i="28" s="1"/>
  <c r="AD193" i="73"/>
  <c r="AE193" i="73"/>
  <c r="AF193" i="73"/>
  <c r="AG193" i="73"/>
  <c r="AH53" i="28" s="1"/>
  <c r="AH193" i="73"/>
  <c r="AI193" i="73"/>
  <c r="AJ193" i="73"/>
  <c r="AK193" i="73"/>
  <c r="AL53" i="28" s="1"/>
  <c r="AL34" i="28" s="1"/>
  <c r="AL66" i="28" s="1"/>
  <c r="AL193" i="73"/>
  <c r="AM193" i="73"/>
  <c r="AN193" i="73"/>
  <c r="AO193" i="73"/>
  <c r="AP193" i="73"/>
  <c r="AQ193" i="73"/>
  <c r="AR53" i="28" s="1"/>
  <c r="AR34" i="28" s="1"/>
  <c r="AR66" i="28" s="1"/>
  <c r="AR193" i="73"/>
  <c r="AS193" i="73"/>
  <c r="AT193" i="73"/>
  <c r="AU193" i="73"/>
  <c r="AV53" i="28" s="1"/>
  <c r="AV193" i="73"/>
  <c r="AX193" i="73"/>
  <c r="AY193" i="73"/>
  <c r="AZ53" i="28" s="1"/>
  <c r="AZ193" i="73"/>
  <c r="BB193" i="73"/>
  <c r="BD193" i="73"/>
  <c r="F53" i="28"/>
  <c r="F34" i="28" s="1"/>
  <c r="F66" i="28" s="1"/>
  <c r="AZ47" i="28"/>
  <c r="AV47" i="28"/>
  <c r="AR47" i="28"/>
  <c r="AL47" i="28"/>
  <c r="AH47" i="28"/>
  <c r="AD47" i="28"/>
  <c r="X47" i="28"/>
  <c r="T47" i="28"/>
  <c r="P47" i="28"/>
  <c r="L47" i="28"/>
  <c r="H47" i="28"/>
  <c r="F47" i="28"/>
  <c r="BB8" i="28"/>
  <c r="BB9" i="28"/>
  <c r="BB11" i="28"/>
  <c r="BB12" i="28"/>
  <c r="BB15" i="28"/>
  <c r="BB16" i="28"/>
  <c r="BB17" i="28"/>
  <c r="BB19" i="28"/>
  <c r="BB20" i="28"/>
  <c r="BB22" i="28"/>
  <c r="BB23" i="28"/>
  <c r="BB24" i="28"/>
  <c r="BB25" i="28"/>
  <c r="BB27" i="28"/>
  <c r="BB28" i="28"/>
  <c r="BB30" i="28"/>
  <c r="BB31" i="28"/>
  <c r="BB38" i="28"/>
  <c r="BB39" i="28"/>
  <c r="BB41" i="28"/>
  <c r="BB42" i="28"/>
  <c r="BB43" i="28"/>
  <c r="BB44" i="28"/>
  <c r="BB49" i="28"/>
  <c r="BB50" i="28"/>
  <c r="BB51" i="28"/>
  <c r="BB52" i="28"/>
  <c r="BB57" i="28"/>
  <c r="BB61" i="28"/>
  <c r="BB62" i="28"/>
  <c r="AN8" i="28"/>
  <c r="AN9" i="28"/>
  <c r="AN11" i="28"/>
  <c r="AN12" i="28"/>
  <c r="AN15" i="28"/>
  <c r="AN16" i="28"/>
  <c r="AN17" i="28"/>
  <c r="BD17" i="28" s="1"/>
  <c r="AN19" i="28"/>
  <c r="AN20" i="28"/>
  <c r="BD20" i="28" s="1"/>
  <c r="AN22" i="28"/>
  <c r="BD22" i="28" s="1"/>
  <c r="AN23" i="28"/>
  <c r="AN24" i="28"/>
  <c r="AN25" i="28"/>
  <c r="AN27" i="28"/>
  <c r="AN28" i="28"/>
  <c r="AN30" i="28"/>
  <c r="AN38" i="28"/>
  <c r="AN39" i="28"/>
  <c r="AN40" i="28"/>
  <c r="AN41" i="28"/>
  <c r="AN42" i="28"/>
  <c r="BD42" i="28" s="1"/>
  <c r="AN43" i="28"/>
  <c r="BD43" i="28" s="1"/>
  <c r="AN44" i="28"/>
  <c r="AN49" i="28"/>
  <c r="AN50" i="28"/>
  <c r="AN51" i="28"/>
  <c r="AN52" i="28"/>
  <c r="AN57" i="28"/>
  <c r="AN61" i="28"/>
  <c r="AN62" i="28"/>
  <c r="Z8" i="28"/>
  <c r="Z9" i="28"/>
  <c r="Z11" i="28"/>
  <c r="Z12" i="28"/>
  <c r="Z15" i="28"/>
  <c r="Z16" i="28"/>
  <c r="Z17" i="28"/>
  <c r="Z19" i="28"/>
  <c r="Z20" i="28"/>
  <c r="Z22" i="28"/>
  <c r="Z23" i="28"/>
  <c r="Z24" i="28"/>
  <c r="Z25" i="28"/>
  <c r="Z27" i="28"/>
  <c r="Z28" i="28"/>
  <c r="Z30" i="28"/>
  <c r="Z38" i="28"/>
  <c r="Z39" i="28"/>
  <c r="Z40" i="28"/>
  <c r="Z41" i="28"/>
  <c r="Z42" i="28"/>
  <c r="Z43" i="28"/>
  <c r="Z44" i="28"/>
  <c r="Z49" i="28"/>
  <c r="Z50" i="28"/>
  <c r="Z51" i="28"/>
  <c r="Z52" i="28"/>
  <c r="Z57" i="28"/>
  <c r="Z61" i="28"/>
  <c r="Z62" i="28"/>
  <c r="J8" i="28"/>
  <c r="N8" i="28" s="1"/>
  <c r="R8" i="28" s="1"/>
  <c r="V8" i="28" s="1"/>
  <c r="J9" i="28"/>
  <c r="N9" i="28" s="1"/>
  <c r="J11" i="28"/>
  <c r="N11" i="28" s="1"/>
  <c r="R11" i="28" s="1"/>
  <c r="V11" i="28" s="1"/>
  <c r="J12" i="28"/>
  <c r="N12" i="28" s="1"/>
  <c r="J15" i="28"/>
  <c r="N15" i="28" s="1"/>
  <c r="J16" i="28"/>
  <c r="N16" i="28" s="1"/>
  <c r="J17" i="28"/>
  <c r="N17" i="28" s="1"/>
  <c r="J19" i="28"/>
  <c r="N19" i="28" s="1"/>
  <c r="J20" i="28"/>
  <c r="N20" i="28" s="1"/>
  <c r="J22" i="28"/>
  <c r="N22" i="28" s="1"/>
  <c r="R22" i="28" s="1"/>
  <c r="V22" i="28" s="1"/>
  <c r="J23" i="28"/>
  <c r="N23" i="28" s="1"/>
  <c r="J24" i="28"/>
  <c r="N24" i="28" s="1"/>
  <c r="R24" i="28" s="1"/>
  <c r="V24" i="28" s="1"/>
  <c r="J25" i="28"/>
  <c r="N25" i="28" s="1"/>
  <c r="J27" i="28"/>
  <c r="N27" i="28" s="1"/>
  <c r="J28" i="28"/>
  <c r="N28" i="28" s="1"/>
  <c r="J30" i="28"/>
  <c r="N30" i="28" s="1"/>
  <c r="J38" i="28"/>
  <c r="N38" i="28" s="1"/>
  <c r="J39" i="28"/>
  <c r="N39" i="28" s="1"/>
  <c r="J40" i="28"/>
  <c r="N40" i="28" s="1"/>
  <c r="J41" i="28"/>
  <c r="N41" i="28" s="1"/>
  <c r="R41" i="28" s="1"/>
  <c r="V41" i="28" s="1"/>
  <c r="J42" i="28"/>
  <c r="N42" i="28" s="1"/>
  <c r="R42" i="28" s="1"/>
  <c r="V42" i="28" s="1"/>
  <c r="J43" i="28"/>
  <c r="N43" i="28" s="1"/>
  <c r="J44" i="28"/>
  <c r="N44" i="28" s="1"/>
  <c r="R44" i="28" s="1"/>
  <c r="V44" i="28" s="1"/>
  <c r="J49" i="28"/>
  <c r="N49" i="28" s="1"/>
  <c r="J50" i="28"/>
  <c r="N50" i="28" s="1"/>
  <c r="J51" i="28"/>
  <c r="N51" i="28" s="1"/>
  <c r="J52" i="28"/>
  <c r="N52" i="28" s="1"/>
  <c r="J57" i="28"/>
  <c r="N57" i="28" s="1"/>
  <c r="J61" i="28"/>
  <c r="N61" i="28" s="1"/>
  <c r="J62" i="28"/>
  <c r="N62" i="28" s="1"/>
  <c r="AZ33" i="28"/>
  <c r="AZ65" i="28" s="1"/>
  <c r="AZ32" i="28"/>
  <c r="AZ64" i="28" s="1"/>
  <c r="AV33" i="28"/>
  <c r="AV65" i="28" s="1"/>
  <c r="AV32" i="28"/>
  <c r="AV64" i="28" s="1"/>
  <c r="AR33" i="28"/>
  <c r="AR65" i="28" s="1"/>
  <c r="AR32" i="28"/>
  <c r="AR64" i="28" s="1"/>
  <c r="AL33" i="28"/>
  <c r="AL65" i="28" s="1"/>
  <c r="AL32" i="28"/>
  <c r="AL64" i="28" s="1"/>
  <c r="AH33" i="28"/>
  <c r="AH65" i="28" s="1"/>
  <c r="AH32" i="28"/>
  <c r="AH64" i="28" s="1"/>
  <c r="AD33" i="28"/>
  <c r="AD65" i="28" s="1"/>
  <c r="AD32" i="28"/>
  <c r="AD64" i="28" s="1"/>
  <c r="X33" i="28"/>
  <c r="X65" i="28" s="1"/>
  <c r="X32" i="28"/>
  <c r="X64" i="28" s="1"/>
  <c r="T33" i="28"/>
  <c r="T65" i="28" s="1"/>
  <c r="T32" i="28"/>
  <c r="T64" i="28" s="1"/>
  <c r="P33" i="28"/>
  <c r="P65" i="28" s="1"/>
  <c r="P32" i="28"/>
  <c r="P64" i="28" s="1"/>
  <c r="L33" i="28"/>
  <c r="L65" i="28" s="1"/>
  <c r="L32" i="28"/>
  <c r="L64" i="28" s="1"/>
  <c r="H33" i="28"/>
  <c r="H65" i="28" s="1"/>
  <c r="H32" i="28"/>
  <c r="H64" i="28" s="1"/>
  <c r="BG34" i="28"/>
  <c r="BH34" i="28"/>
  <c r="BI34" i="28"/>
  <c r="BJ34" i="28"/>
  <c r="BK34" i="28"/>
  <c r="BL34" i="28"/>
  <c r="BM34" i="28"/>
  <c r="BN34" i="28"/>
  <c r="BO34" i="28"/>
  <c r="G53" i="28"/>
  <c r="G34" i="28" s="1"/>
  <c r="G66" i="28" s="1"/>
  <c r="I53" i="28"/>
  <c r="I34" i="28" s="1"/>
  <c r="K53" i="28"/>
  <c r="K34" i="28" s="1"/>
  <c r="K66" i="28" s="1"/>
  <c r="M53" i="28"/>
  <c r="M34" i="28" s="1"/>
  <c r="O53" i="28"/>
  <c r="O34" i="28" s="1"/>
  <c r="O66" i="28" s="1"/>
  <c r="Q53" i="28"/>
  <c r="Q34" i="28" s="1"/>
  <c r="S53" i="28"/>
  <c r="S34" i="28" s="1"/>
  <c r="S66" i="28" s="1"/>
  <c r="U53" i="28"/>
  <c r="U34" i="28" s="1"/>
  <c r="W53" i="28"/>
  <c r="W34" i="28" s="1"/>
  <c r="W66" i="28" s="1"/>
  <c r="Y53" i="28"/>
  <c r="Y34" i="28" s="1"/>
  <c r="AA53" i="28"/>
  <c r="AA34" i="28" s="1"/>
  <c r="AC53" i="28"/>
  <c r="AC34" i="28" s="1"/>
  <c r="AC66" i="28" s="1"/>
  <c r="AE53" i="28"/>
  <c r="AE34" i="28" s="1"/>
  <c r="AG53" i="28"/>
  <c r="AG34" i="28" s="1"/>
  <c r="AG66" i="28" s="1"/>
  <c r="AI53" i="28"/>
  <c r="AI34" i="28" s="1"/>
  <c r="AK53" i="28"/>
  <c r="AK34" i="28" s="1"/>
  <c r="AK66" i="28" s="1"/>
  <c r="AM53" i="28"/>
  <c r="AM34" i="28" s="1"/>
  <c r="AO53" i="28"/>
  <c r="AO34" i="28" s="1"/>
  <c r="AQ53" i="28"/>
  <c r="AQ34" i="28" s="1"/>
  <c r="AQ66" i="28" s="1"/>
  <c r="AS53" i="28"/>
  <c r="AS34" i="28" s="1"/>
  <c r="AU53" i="28"/>
  <c r="AU34" i="28" s="1"/>
  <c r="AU66" i="28" s="1"/>
  <c r="AW53" i="28"/>
  <c r="AW34" i="28" s="1"/>
  <c r="AY53" i="28"/>
  <c r="AY34" i="28" s="1"/>
  <c r="AY66" i="28" s="1"/>
  <c r="BA53" i="28"/>
  <c r="BA34" i="28" s="1"/>
  <c r="BC53" i="28"/>
  <c r="BC34" i="28" s="1"/>
  <c r="BE53" i="28"/>
  <c r="BE34" i="28" s="1"/>
  <c r="G55" i="28"/>
  <c r="H55" i="28"/>
  <c r="I55" i="28"/>
  <c r="K55" i="28"/>
  <c r="L55" i="28"/>
  <c r="M55" i="28"/>
  <c r="O55" i="28"/>
  <c r="P55" i="28"/>
  <c r="Q55" i="28"/>
  <c r="S55" i="28"/>
  <c r="T55" i="28"/>
  <c r="U55" i="28"/>
  <c r="W55" i="28"/>
  <c r="X55" i="28"/>
  <c r="Y55" i="28"/>
  <c r="AA55" i="28"/>
  <c r="AC55" i="28"/>
  <c r="AD55" i="28"/>
  <c r="AE55" i="28"/>
  <c r="AG55" i="28"/>
  <c r="AH55" i="28"/>
  <c r="AI55" i="28"/>
  <c r="AK55" i="28"/>
  <c r="AL55" i="28"/>
  <c r="AM55" i="28"/>
  <c r="AO55" i="28"/>
  <c r="AQ55" i="28"/>
  <c r="AR55" i="28"/>
  <c r="AS55" i="28"/>
  <c r="AU55" i="28"/>
  <c r="AV55" i="28"/>
  <c r="AW55" i="28"/>
  <c r="AY55" i="28"/>
  <c r="AZ55" i="28"/>
  <c r="BA55" i="28"/>
  <c r="BC55" i="28"/>
  <c r="BE55" i="28"/>
  <c r="F55" i="28"/>
  <c r="J55" i="28" s="1"/>
  <c r="H59" i="28"/>
  <c r="I59" i="28"/>
  <c r="L59" i="28"/>
  <c r="P59" i="28"/>
  <c r="T59" i="28"/>
  <c r="X59" i="28"/>
  <c r="AD59" i="28"/>
  <c r="AH59" i="28"/>
  <c r="AL59" i="28"/>
  <c r="AR59" i="28"/>
  <c r="AV59" i="28"/>
  <c r="AZ59" i="28"/>
  <c r="F59" i="28"/>
  <c r="BG58" i="28"/>
  <c r="BH58" i="28"/>
  <c r="BI58" i="28"/>
  <c r="BJ58" i="28"/>
  <c r="BK58" i="28"/>
  <c r="BL58" i="28"/>
  <c r="BM58" i="28"/>
  <c r="BN58" i="28"/>
  <c r="BO58" i="28"/>
  <c r="AV36" i="28" l="1"/>
  <c r="AZ34" i="28"/>
  <c r="AZ66" i="28" s="1"/>
  <c r="AD34" i="28"/>
  <c r="AD66" i="28" s="1"/>
  <c r="AL36" i="28"/>
  <c r="AR36" i="28"/>
  <c r="AN53" i="28"/>
  <c r="AH34" i="28"/>
  <c r="AH66" i="28" s="1"/>
  <c r="AZ36" i="28"/>
  <c r="AZ68" i="28" s="1"/>
  <c r="T34" i="28"/>
  <c r="F36" i="28"/>
  <c r="H36" i="28"/>
  <c r="L36" i="28"/>
  <c r="P36" i="28"/>
  <c r="P34" i="28"/>
  <c r="P66" i="28" s="1"/>
  <c r="T36" i="28"/>
  <c r="T68" i="28" s="1"/>
  <c r="X36" i="28"/>
  <c r="AD36" i="28"/>
  <c r="AH36" i="28"/>
  <c r="AH68" i="28" s="1"/>
  <c r="AV34" i="28"/>
  <c r="X34" i="28"/>
  <c r="X66" i="28" s="1"/>
  <c r="L34" i="28"/>
  <c r="L66" i="28" s="1"/>
  <c r="BD23" i="28"/>
  <c r="Z47" i="28"/>
  <c r="J59" i="28"/>
  <c r="N59" i="28" s="1"/>
  <c r="BD49" i="28"/>
  <c r="BD24" i="28"/>
  <c r="N31" i="28"/>
  <c r="BD15" i="28"/>
  <c r="BB53" i="28"/>
  <c r="BD53" i="28" s="1"/>
  <c r="BD50" i="28"/>
  <c r="BD25" i="28"/>
  <c r="BD8" i="28"/>
  <c r="N55" i="28"/>
  <c r="R55" i="28" s="1"/>
  <c r="V55" i="28" s="1"/>
  <c r="BD41" i="28"/>
  <c r="BD19" i="28"/>
  <c r="BD62" i="28"/>
  <c r="BD16" i="28"/>
  <c r="F68" i="28"/>
  <c r="BD38" i="28"/>
  <c r="H68" i="28"/>
  <c r="BD30" i="28"/>
  <c r="J53" i="28"/>
  <c r="N53" i="28" s="1"/>
  <c r="R53" i="28" s="1"/>
  <c r="V53" i="28" s="1"/>
  <c r="AN31" i="28"/>
  <c r="BD31" i="28" s="1"/>
  <c r="Z55" i="28"/>
  <c r="BD39" i="28"/>
  <c r="BD61" i="28"/>
  <c r="F63" i="28"/>
  <c r="L63" i="28"/>
  <c r="AD63" i="28"/>
  <c r="AV63" i="28"/>
  <c r="Z59" i="28"/>
  <c r="BD57" i="28"/>
  <c r="BD12" i="28"/>
  <c r="AN33" i="28"/>
  <c r="BD28" i="28"/>
  <c r="BD11" i="28"/>
  <c r="BD27" i="28"/>
  <c r="BD9" i="28"/>
  <c r="Z31" i="28"/>
  <c r="AB30" i="28"/>
  <c r="AF30" i="28" s="1"/>
  <c r="AJ30" i="28" s="1"/>
  <c r="AP30" i="28" s="1"/>
  <c r="AT30" i="28" s="1"/>
  <c r="AX30" i="28" s="1"/>
  <c r="BF30" i="28" s="1"/>
  <c r="R30" i="28"/>
  <c r="V30" i="28" s="1"/>
  <c r="R49" i="28"/>
  <c r="V49" i="28" s="1"/>
  <c r="AB49" i="28"/>
  <c r="AF49" i="28" s="1"/>
  <c r="AJ49" i="28" s="1"/>
  <c r="AP49" i="28" s="1"/>
  <c r="AT49" i="28" s="1"/>
  <c r="AX49" i="28" s="1"/>
  <c r="BF49" i="28" s="1"/>
  <c r="AB25" i="28"/>
  <c r="AF25" i="28" s="1"/>
  <c r="AJ25" i="28" s="1"/>
  <c r="AP25" i="28" s="1"/>
  <c r="AT25" i="28" s="1"/>
  <c r="AX25" i="28" s="1"/>
  <c r="BF25" i="28" s="1"/>
  <c r="R25" i="28"/>
  <c r="V25" i="28" s="1"/>
  <c r="R9" i="28"/>
  <c r="V9" i="28" s="1"/>
  <c r="AB9" i="28"/>
  <c r="AF9" i="28" s="1"/>
  <c r="AJ9" i="28" s="1"/>
  <c r="AP9" i="28" s="1"/>
  <c r="AT9" i="28" s="1"/>
  <c r="AX9" i="28" s="1"/>
  <c r="BF9" i="28" s="1"/>
  <c r="R28" i="28"/>
  <c r="V28" i="28" s="1"/>
  <c r="AB28" i="28"/>
  <c r="AF28" i="28" s="1"/>
  <c r="AJ28" i="28" s="1"/>
  <c r="AP28" i="28" s="1"/>
  <c r="AT28" i="28" s="1"/>
  <c r="AX28" i="28" s="1"/>
  <c r="BF28" i="28" s="1"/>
  <c r="R15" i="28"/>
  <c r="V15" i="28" s="1"/>
  <c r="AB15" i="28"/>
  <c r="AF15" i="28" s="1"/>
  <c r="AJ15" i="28" s="1"/>
  <c r="AP15" i="28" s="1"/>
  <c r="AT15" i="28" s="1"/>
  <c r="AX15" i="28" s="1"/>
  <c r="BF15" i="28" s="1"/>
  <c r="AB27" i="28"/>
  <c r="AF27" i="28" s="1"/>
  <c r="AJ27" i="28" s="1"/>
  <c r="AP27" i="28" s="1"/>
  <c r="AT27" i="28" s="1"/>
  <c r="AX27" i="28" s="1"/>
  <c r="BF27" i="28" s="1"/>
  <c r="R27" i="28"/>
  <c r="V27" i="28" s="1"/>
  <c r="R43" i="28"/>
  <c r="V43" i="28" s="1"/>
  <c r="AB43" i="28"/>
  <c r="AF43" i="28" s="1"/>
  <c r="AJ43" i="28" s="1"/>
  <c r="AP43" i="28" s="1"/>
  <c r="AT43" i="28" s="1"/>
  <c r="AX43" i="28" s="1"/>
  <c r="BF43" i="28" s="1"/>
  <c r="R20" i="28"/>
  <c r="V20" i="28" s="1"/>
  <c r="AB20" i="28"/>
  <c r="AF20" i="28" s="1"/>
  <c r="AJ20" i="28" s="1"/>
  <c r="AP20" i="28" s="1"/>
  <c r="AT20" i="28" s="1"/>
  <c r="AX20" i="28" s="1"/>
  <c r="BF20" i="28" s="1"/>
  <c r="AB62" i="28"/>
  <c r="AF62" i="28" s="1"/>
  <c r="AJ62" i="28" s="1"/>
  <c r="AP62" i="28" s="1"/>
  <c r="AT62" i="28" s="1"/>
  <c r="AX62" i="28" s="1"/>
  <c r="BF62" i="28" s="1"/>
  <c r="R62" i="28"/>
  <c r="V62" i="28" s="1"/>
  <c r="R19" i="28"/>
  <c r="V19" i="28" s="1"/>
  <c r="AB19" i="28"/>
  <c r="AF19" i="28" s="1"/>
  <c r="AJ19" i="28" s="1"/>
  <c r="AP19" i="28" s="1"/>
  <c r="AT19" i="28" s="1"/>
  <c r="AX19" i="28" s="1"/>
  <c r="BF19" i="28" s="1"/>
  <c r="AB61" i="28"/>
  <c r="AF61" i="28" s="1"/>
  <c r="AJ61" i="28" s="1"/>
  <c r="AP61" i="28" s="1"/>
  <c r="AT61" i="28" s="1"/>
  <c r="AX61" i="28" s="1"/>
  <c r="BF61" i="28" s="1"/>
  <c r="R61" i="28"/>
  <c r="V61" i="28" s="1"/>
  <c r="R17" i="28"/>
  <c r="V17" i="28" s="1"/>
  <c r="AB17" i="28"/>
  <c r="AF17" i="28" s="1"/>
  <c r="AJ17" i="28" s="1"/>
  <c r="AP17" i="28" s="1"/>
  <c r="AT17" i="28" s="1"/>
  <c r="AX17" i="28" s="1"/>
  <c r="BF17" i="28" s="1"/>
  <c r="AB12" i="28"/>
  <c r="AF12" i="28" s="1"/>
  <c r="AJ12" i="28" s="1"/>
  <c r="AP12" i="28" s="1"/>
  <c r="AT12" i="28" s="1"/>
  <c r="AX12" i="28" s="1"/>
  <c r="BF12" i="28" s="1"/>
  <c r="R12" i="28"/>
  <c r="V12" i="28" s="1"/>
  <c r="R50" i="28"/>
  <c r="V50" i="28" s="1"/>
  <c r="AB50" i="28"/>
  <c r="AF50" i="28" s="1"/>
  <c r="AJ50" i="28" s="1"/>
  <c r="AP50" i="28" s="1"/>
  <c r="AT50" i="28" s="1"/>
  <c r="AX50" i="28" s="1"/>
  <c r="BF50" i="28" s="1"/>
  <c r="R23" i="28"/>
  <c r="V23" i="28" s="1"/>
  <c r="AB23" i="28"/>
  <c r="AF23" i="28" s="1"/>
  <c r="AJ23" i="28" s="1"/>
  <c r="AP23" i="28" s="1"/>
  <c r="AT23" i="28" s="1"/>
  <c r="AX23" i="28" s="1"/>
  <c r="BF23" i="28" s="1"/>
  <c r="R57" i="28"/>
  <c r="V57" i="28" s="1"/>
  <c r="AB57" i="28"/>
  <c r="AF57" i="28" s="1"/>
  <c r="AJ57" i="28" s="1"/>
  <c r="AP57" i="28" s="1"/>
  <c r="AT57" i="28" s="1"/>
  <c r="AX57" i="28" s="1"/>
  <c r="BF57" i="28" s="1"/>
  <c r="R38" i="28"/>
  <c r="V38" i="28" s="1"/>
  <c r="AB38" i="28"/>
  <c r="AF38" i="28" s="1"/>
  <c r="AJ38" i="28" s="1"/>
  <c r="AP38" i="28" s="1"/>
  <c r="AT38" i="28" s="1"/>
  <c r="AX38" i="28" s="1"/>
  <c r="BF38" i="28" s="1"/>
  <c r="AB16" i="28"/>
  <c r="AF16" i="28" s="1"/>
  <c r="AJ16" i="28" s="1"/>
  <c r="AP16" i="28" s="1"/>
  <c r="AT16" i="28" s="1"/>
  <c r="AX16" i="28" s="1"/>
  <c r="BF16" i="28" s="1"/>
  <c r="R16" i="28"/>
  <c r="V16" i="28" s="1"/>
  <c r="BD44" i="28"/>
  <c r="BB59" i="28"/>
  <c r="AL68" i="28"/>
  <c r="AN59" i="28"/>
  <c r="AB24" i="28"/>
  <c r="AF24" i="28" s="1"/>
  <c r="AJ24" i="28" s="1"/>
  <c r="AP24" i="28" s="1"/>
  <c r="AT24" i="28" s="1"/>
  <c r="AX24" i="28" s="1"/>
  <c r="BF24" i="28" s="1"/>
  <c r="AB11" i="28"/>
  <c r="AF11" i="28" s="1"/>
  <c r="AJ11" i="28" s="1"/>
  <c r="AP11" i="28" s="1"/>
  <c r="AT11" i="28" s="1"/>
  <c r="AX11" i="28" s="1"/>
  <c r="BF11" i="28" s="1"/>
  <c r="L68" i="28"/>
  <c r="P68" i="28"/>
  <c r="AV68" i="28"/>
  <c r="AB22" i="28"/>
  <c r="AF22" i="28" s="1"/>
  <c r="AJ22" i="28" s="1"/>
  <c r="AP22" i="28" s="1"/>
  <c r="AT22" i="28" s="1"/>
  <c r="AX22" i="28" s="1"/>
  <c r="BF22" i="28" s="1"/>
  <c r="AB8" i="28"/>
  <c r="AF8" i="28" s="1"/>
  <c r="AJ8" i="28" s="1"/>
  <c r="AP8" i="28" s="1"/>
  <c r="AT8" i="28" s="1"/>
  <c r="AX8" i="28" s="1"/>
  <c r="BF8" i="28" s="1"/>
  <c r="AN55" i="28"/>
  <c r="Z32" i="28"/>
  <c r="AB42" i="28"/>
  <c r="AF42" i="28" s="1"/>
  <c r="AJ42" i="28" s="1"/>
  <c r="AP42" i="28" s="1"/>
  <c r="AT42" i="28" s="1"/>
  <c r="AX42" i="28" s="1"/>
  <c r="BF42" i="28" s="1"/>
  <c r="AB41" i="28"/>
  <c r="AF41" i="28" s="1"/>
  <c r="AJ41" i="28" s="1"/>
  <c r="AP41" i="28" s="1"/>
  <c r="AT41" i="28" s="1"/>
  <c r="AX41" i="28" s="1"/>
  <c r="BF41" i="28" s="1"/>
  <c r="AB44" i="28"/>
  <c r="AF44" i="28" s="1"/>
  <c r="AJ44" i="28" s="1"/>
  <c r="AP44" i="28" s="1"/>
  <c r="AT44" i="28" s="1"/>
  <c r="AX44" i="28" s="1"/>
  <c r="BF44" i="28" s="1"/>
  <c r="BB34" i="28"/>
  <c r="BB55" i="28"/>
  <c r="J47" i="28"/>
  <c r="N47" i="28" s="1"/>
  <c r="R47" i="28" s="1"/>
  <c r="V47" i="28" s="1"/>
  <c r="Z53" i="28"/>
  <c r="BB33" i="28"/>
  <c r="BD52" i="28"/>
  <c r="AB52" i="28"/>
  <c r="AF52" i="28" s="1"/>
  <c r="AJ52" i="28" s="1"/>
  <c r="AP52" i="28" s="1"/>
  <c r="AT52" i="28" s="1"/>
  <c r="AX52" i="28" s="1"/>
  <c r="BF52" i="28" s="1"/>
  <c r="R52" i="28"/>
  <c r="V52" i="28" s="1"/>
  <c r="BB32" i="28"/>
  <c r="BD51" i="28"/>
  <c r="AN32" i="28"/>
  <c r="R51" i="28"/>
  <c r="V51" i="28" s="1"/>
  <c r="AB51" i="28"/>
  <c r="AF51" i="28" s="1"/>
  <c r="AJ51" i="28" s="1"/>
  <c r="AP51" i="28" s="1"/>
  <c r="AT51" i="28" s="1"/>
  <c r="AX51" i="28" s="1"/>
  <c r="BF51" i="28" s="1"/>
  <c r="Z33" i="28"/>
  <c r="BB47" i="28"/>
  <c r="AN47" i="28"/>
  <c r="AB40" i="28"/>
  <c r="AF40" i="28" s="1"/>
  <c r="AJ40" i="28" s="1"/>
  <c r="AP40" i="28" s="1"/>
  <c r="AT40" i="28" s="1"/>
  <c r="AX40" i="28" s="1"/>
  <c r="R40" i="28"/>
  <c r="V40" i="28" s="1"/>
  <c r="AB39" i="28"/>
  <c r="AF39" i="28" s="1"/>
  <c r="AJ39" i="28" s="1"/>
  <c r="AP39" i="28" s="1"/>
  <c r="AT39" i="28" s="1"/>
  <c r="AX39" i="28" s="1"/>
  <c r="BF39" i="28" s="1"/>
  <c r="R39" i="28"/>
  <c r="V39" i="28" s="1"/>
  <c r="AB31" i="28" l="1"/>
  <c r="AF31" i="28" s="1"/>
  <c r="AJ31" i="28" s="1"/>
  <c r="AP31" i="28" s="1"/>
  <c r="AT31" i="28" s="1"/>
  <c r="AX31" i="28" s="1"/>
  <c r="BF31" i="28" s="1"/>
  <c r="BD47" i="28"/>
  <c r="AB59" i="28"/>
  <c r="AF59" i="28" s="1"/>
  <c r="AJ59" i="28" s="1"/>
  <c r="AP59" i="28" s="1"/>
  <c r="AT59" i="28" s="1"/>
  <c r="AX59" i="28" s="1"/>
  <c r="BF59" i="28" s="1"/>
  <c r="AV66" i="28"/>
  <c r="BB66" i="28" s="1"/>
  <c r="Z34" i="28"/>
  <c r="T66" i="28"/>
  <c r="Z66" i="28"/>
  <c r="R31" i="28"/>
  <c r="V31" i="28" s="1"/>
  <c r="J36" i="28"/>
  <c r="N36" i="28" s="1"/>
  <c r="R36" i="28" s="1"/>
  <c r="V36" i="28" s="1"/>
  <c r="R59" i="28"/>
  <c r="V59" i="28" s="1"/>
  <c r="J34" i="28"/>
  <c r="N34" i="28" s="1"/>
  <c r="AB34" i="28" s="1"/>
  <c r="AF34" i="28" s="1"/>
  <c r="AJ34" i="28" s="1"/>
  <c r="AP34" i="28" s="1"/>
  <c r="AT34" i="28" s="1"/>
  <c r="AX34" i="28" s="1"/>
  <c r="BF34" i="28" s="1"/>
  <c r="AB55" i="28"/>
  <c r="AF55" i="28" s="1"/>
  <c r="AJ55" i="28" s="1"/>
  <c r="AP55" i="28" s="1"/>
  <c r="AT55" i="28" s="1"/>
  <c r="AX55" i="28" s="1"/>
  <c r="BF55" i="28" s="1"/>
  <c r="BD59" i="28"/>
  <c r="BD33" i="28"/>
  <c r="BD55" i="28"/>
  <c r="AB53" i="28"/>
  <c r="AF53" i="28" s="1"/>
  <c r="AJ53" i="28" s="1"/>
  <c r="AP53" i="28" s="1"/>
  <c r="AT53" i="28" s="1"/>
  <c r="AX53" i="28" s="1"/>
  <c r="BF53" i="28" s="1"/>
  <c r="J66" i="28"/>
  <c r="N66" i="28" s="1"/>
  <c r="R66" i="28" s="1"/>
  <c r="Z36" i="28"/>
  <c r="X68" i="28"/>
  <c r="AB47" i="28"/>
  <c r="AF47" i="28" s="1"/>
  <c r="AJ47" i="28" s="1"/>
  <c r="AP47" i="28" s="1"/>
  <c r="AT47" i="28" s="1"/>
  <c r="AX47" i="28" s="1"/>
  <c r="BF47" i="28" s="1"/>
  <c r="BB36" i="28"/>
  <c r="AR68" i="28"/>
  <c r="AN36" i="28"/>
  <c r="AD68" i="28"/>
  <c r="AN34" i="28"/>
  <c r="BD34" i="28" s="1"/>
  <c r="AN66" i="28"/>
  <c r="BD32" i="28"/>
  <c r="V66" i="28" l="1"/>
  <c r="R34" i="28"/>
  <c r="V34" i="28" s="1"/>
  <c r="BD36" i="28"/>
  <c r="BD66" i="28"/>
  <c r="AB66" i="28"/>
  <c r="AF66" i="28" s="1"/>
  <c r="AJ66" i="28" s="1"/>
  <c r="AP66" i="28" s="1"/>
  <c r="AT66" i="28" s="1"/>
  <c r="AX66" i="28" s="1"/>
  <c r="BF66" i="28" s="1"/>
  <c r="AB36" i="28"/>
  <c r="AF36" i="28" s="1"/>
  <c r="AJ36" i="28" s="1"/>
  <c r="AP36" i="28" s="1"/>
  <c r="AT36" i="28" s="1"/>
  <c r="AX36" i="28" s="1"/>
  <c r="BF36" i="28" s="1"/>
  <c r="G179" i="73"/>
  <c r="F179" i="73"/>
  <c r="K179" i="73"/>
  <c r="V179" i="73"/>
  <c r="X179" i="73"/>
  <c r="W179" i="73"/>
  <c r="M181" i="73"/>
  <c r="Q181" i="73" s="1"/>
  <c r="U181" i="73" s="1"/>
  <c r="M180" i="73"/>
  <c r="Q180" i="73" s="1"/>
  <c r="U180" i="73" s="1"/>
  <c r="Y181" i="73"/>
  <c r="Y180" i="73"/>
  <c r="AM181" i="73"/>
  <c r="AM180" i="73"/>
  <c r="BA181" i="73"/>
  <c r="BA180" i="73"/>
  <c r="AZ179" i="73"/>
  <c r="AY179" i="73"/>
  <c r="AX179" i="73"/>
  <c r="AV179" i="73"/>
  <c r="AU179" i="73"/>
  <c r="AT179" i="73"/>
  <c r="AR179" i="73"/>
  <c r="AQ179" i="73"/>
  <c r="AP179" i="73"/>
  <c r="AN179" i="73"/>
  <c r="AL179" i="73"/>
  <c r="AK179" i="73"/>
  <c r="AJ179" i="73"/>
  <c r="AH179" i="73"/>
  <c r="AG179" i="73"/>
  <c r="AF179" i="73"/>
  <c r="AD179" i="73"/>
  <c r="AC179" i="73"/>
  <c r="AB179" i="73"/>
  <c r="AM192" i="73"/>
  <c r="AM191" i="73"/>
  <c r="AM189" i="73"/>
  <c r="AM188" i="73"/>
  <c r="AM186" i="73"/>
  <c r="AM185" i="73"/>
  <c r="AM184" i="73"/>
  <c r="AM183" i="73"/>
  <c r="M192" i="73"/>
  <c r="Q192" i="73" s="1"/>
  <c r="U192" i="73" s="1"/>
  <c r="M191" i="73"/>
  <c r="Q191" i="73" s="1"/>
  <c r="U191" i="73" s="1"/>
  <c r="M189" i="73"/>
  <c r="M188" i="73"/>
  <c r="Q188" i="73" s="1"/>
  <c r="U188" i="73" s="1"/>
  <c r="M186" i="73"/>
  <c r="Q186" i="73" s="1"/>
  <c r="U186" i="73" s="1"/>
  <c r="M185" i="73"/>
  <c r="Q185" i="73" s="1"/>
  <c r="U185" i="73" s="1"/>
  <c r="M184" i="73"/>
  <c r="M183" i="73"/>
  <c r="Q183" i="73" s="1"/>
  <c r="U183" i="73" s="1"/>
  <c r="Y192" i="73"/>
  <c r="Y191" i="73"/>
  <c r="Y189" i="73"/>
  <c r="Y188" i="73"/>
  <c r="Y186" i="73"/>
  <c r="Y185" i="73"/>
  <c r="Y184" i="73"/>
  <c r="Y183" i="73"/>
  <c r="BB192" i="73"/>
  <c r="BB191" i="73" s="1"/>
  <c r="BB190" i="73" s="1"/>
  <c r="BB189" i="73" s="1"/>
  <c r="BB188" i="73" s="1"/>
  <c r="BB187" i="73" s="1"/>
  <c r="BB186" i="73" s="1"/>
  <c r="BB185" i="73" s="1"/>
  <c r="BB184" i="73" s="1"/>
  <c r="BB183" i="73" s="1"/>
  <c r="BB182" i="73" s="1"/>
  <c r="BA192" i="73"/>
  <c r="BA191" i="73"/>
  <c r="BA189" i="73"/>
  <c r="BA188" i="73"/>
  <c r="BA186" i="73"/>
  <c r="BC186" i="73" s="1"/>
  <c r="BA185" i="73"/>
  <c r="BA184" i="73"/>
  <c r="BA183" i="73"/>
  <c r="BC183" i="73" s="1"/>
  <c r="BD190" i="73"/>
  <c r="AZ190" i="73"/>
  <c r="AY190" i="73"/>
  <c r="AX190" i="73"/>
  <c r="AV190" i="73"/>
  <c r="AU190" i="73"/>
  <c r="AT190" i="73"/>
  <c r="AR190" i="73"/>
  <c r="AQ190" i="73"/>
  <c r="AP190" i="73"/>
  <c r="AN190" i="73"/>
  <c r="AL190" i="73"/>
  <c r="AK190" i="73"/>
  <c r="AJ190" i="73"/>
  <c r="AH190" i="73"/>
  <c r="AG190" i="73"/>
  <c r="AF190" i="73"/>
  <c r="AD190" i="73"/>
  <c r="AC190" i="73"/>
  <c r="AB190" i="73"/>
  <c r="Z190" i="73"/>
  <c r="X190" i="73"/>
  <c r="W190" i="73"/>
  <c r="V190" i="73"/>
  <c r="T190" i="73"/>
  <c r="S190" i="73"/>
  <c r="R190" i="73"/>
  <c r="P190" i="73"/>
  <c r="O190" i="73"/>
  <c r="N190" i="73"/>
  <c r="L190" i="73"/>
  <c r="K190" i="73"/>
  <c r="J190" i="73"/>
  <c r="I190" i="73"/>
  <c r="H190" i="73"/>
  <c r="G190" i="73"/>
  <c r="BD187" i="73"/>
  <c r="AZ187" i="73"/>
  <c r="AY187" i="73"/>
  <c r="AY182" i="73" s="1"/>
  <c r="AX187" i="73"/>
  <c r="AV187" i="73"/>
  <c r="AU187" i="73"/>
  <c r="AT187" i="73"/>
  <c r="AR187" i="73"/>
  <c r="AQ187" i="73"/>
  <c r="AP187" i="73"/>
  <c r="AN187" i="73"/>
  <c r="AN182" i="73" s="1"/>
  <c r="AL187" i="73"/>
  <c r="AL182" i="73" s="1"/>
  <c r="AK187" i="73"/>
  <c r="AJ187" i="73"/>
  <c r="AH187" i="73"/>
  <c r="AH182" i="73" s="1"/>
  <c r="AG187" i="73"/>
  <c r="AF187" i="73"/>
  <c r="AD187" i="73"/>
  <c r="AC187" i="73"/>
  <c r="AB187" i="73"/>
  <c r="Z187" i="73"/>
  <c r="X187" i="73"/>
  <c r="W187" i="73"/>
  <c r="W182" i="73" s="1"/>
  <c r="V187" i="73"/>
  <c r="T187" i="73"/>
  <c r="S187" i="73"/>
  <c r="R187" i="73"/>
  <c r="R182" i="73" s="1"/>
  <c r="P187" i="73"/>
  <c r="O187" i="73"/>
  <c r="N187" i="73"/>
  <c r="L187" i="73"/>
  <c r="L182" i="73" s="1"/>
  <c r="K187" i="73"/>
  <c r="J187" i="73"/>
  <c r="I187" i="73"/>
  <c r="H187" i="73"/>
  <c r="H182" i="73" s="1"/>
  <c r="G187" i="73"/>
  <c r="G182" i="73" s="1"/>
  <c r="V182" i="73" l="1"/>
  <c r="AA184" i="73"/>
  <c r="AE184" i="73" s="1"/>
  <c r="AI184" i="73" s="1"/>
  <c r="AO184" i="73" s="1"/>
  <c r="AS184" i="73" s="1"/>
  <c r="AW184" i="73" s="1"/>
  <c r="BE184" i="73" s="1"/>
  <c r="AA191" i="73"/>
  <c r="AE191" i="73" s="1"/>
  <c r="AI191" i="73" s="1"/>
  <c r="AO191" i="73" s="1"/>
  <c r="AS191" i="73" s="1"/>
  <c r="AW191" i="73" s="1"/>
  <c r="BE191" i="73" s="1"/>
  <c r="AA192" i="73"/>
  <c r="AE192" i="73" s="1"/>
  <c r="AI192" i="73" s="1"/>
  <c r="AO192" i="73" s="1"/>
  <c r="AS192" i="73" s="1"/>
  <c r="AW192" i="73" s="1"/>
  <c r="BE192" i="73" s="1"/>
  <c r="AA186" i="73"/>
  <c r="AE186" i="73" s="1"/>
  <c r="AI186" i="73" s="1"/>
  <c r="AO186" i="73" s="1"/>
  <c r="AS186" i="73" s="1"/>
  <c r="AW186" i="73" s="1"/>
  <c r="BE186" i="73" s="1"/>
  <c r="AT182" i="73"/>
  <c r="BC189" i="73"/>
  <c r="AA183" i="73"/>
  <c r="AE183" i="73" s="1"/>
  <c r="AI183" i="73" s="1"/>
  <c r="AO183" i="73" s="1"/>
  <c r="AS183" i="73" s="1"/>
  <c r="AW183" i="73" s="1"/>
  <c r="BE183" i="73" s="1"/>
  <c r="Q184" i="73"/>
  <c r="U184" i="73" s="1"/>
  <c r="BC188" i="73"/>
  <c r="BC192" i="73"/>
  <c r="AA189" i="73"/>
  <c r="AE189" i="73" s="1"/>
  <c r="AI189" i="73" s="1"/>
  <c r="AO189" i="73" s="1"/>
  <c r="AS189" i="73" s="1"/>
  <c r="AW189" i="73" s="1"/>
  <c r="BE189" i="73" s="1"/>
  <c r="Q189" i="73"/>
  <c r="U189" i="73" s="1"/>
  <c r="K182" i="73"/>
  <c r="M182" i="73" s="1"/>
  <c r="AB182" i="73"/>
  <c r="AR182" i="73"/>
  <c r="AA188" i="73"/>
  <c r="AE188" i="73" s="1"/>
  <c r="AI188" i="73" s="1"/>
  <c r="AO188" i="73" s="1"/>
  <c r="AS188" i="73" s="1"/>
  <c r="AW188" i="73" s="1"/>
  <c r="BE188" i="73" s="1"/>
  <c r="BA190" i="73"/>
  <c r="BC184" i="73"/>
  <c r="P182" i="73"/>
  <c r="AG182" i="73"/>
  <c r="AX182" i="73"/>
  <c r="BC185" i="73"/>
  <c r="BC191" i="73"/>
  <c r="AA185" i="73"/>
  <c r="AE185" i="73" s="1"/>
  <c r="AI185" i="73" s="1"/>
  <c r="AO185" i="73" s="1"/>
  <c r="AS185" i="73" s="1"/>
  <c r="AW185" i="73" s="1"/>
  <c r="BE185" i="73" s="1"/>
  <c r="BC180" i="73"/>
  <c r="AA180" i="73"/>
  <c r="AE180" i="73" s="1"/>
  <c r="AI180" i="73" s="1"/>
  <c r="AO180" i="73" s="1"/>
  <c r="AS180" i="73" s="1"/>
  <c r="AW180" i="73" s="1"/>
  <c r="BE180" i="73" s="1"/>
  <c r="J182" i="73"/>
  <c r="T182" i="73"/>
  <c r="Z182" i="73"/>
  <c r="AF182" i="73"/>
  <c r="AK182" i="73"/>
  <c r="BA187" i="73"/>
  <c r="BC181" i="73"/>
  <c r="AA181" i="73"/>
  <c r="AE181" i="73" s="1"/>
  <c r="AI181" i="73" s="1"/>
  <c r="AO181" i="73" s="1"/>
  <c r="AS181" i="73" s="1"/>
  <c r="AW181" i="73" s="1"/>
  <c r="BE181" i="73" s="1"/>
  <c r="I182" i="73"/>
  <c r="S182" i="73"/>
  <c r="AD182" i="73"/>
  <c r="AU182" i="73"/>
  <c r="AM187" i="73"/>
  <c r="M190" i="73"/>
  <c r="Q190" i="73" s="1"/>
  <c r="U190" i="73" s="1"/>
  <c r="Y190" i="73"/>
  <c r="N182" i="73"/>
  <c r="X182" i="73"/>
  <c r="AJ182" i="73"/>
  <c r="AP182" i="73"/>
  <c r="AZ182" i="73"/>
  <c r="M187" i="73"/>
  <c r="Q187" i="73" s="1"/>
  <c r="U187" i="73" s="1"/>
  <c r="Y187" i="73"/>
  <c r="AA187" i="73" s="1"/>
  <c r="AE187" i="73" s="1"/>
  <c r="AI187" i="73" s="1"/>
  <c r="AO187" i="73" s="1"/>
  <c r="AS187" i="73" s="1"/>
  <c r="AW187" i="73" s="1"/>
  <c r="AQ182" i="73"/>
  <c r="AV182" i="73"/>
  <c r="AM190" i="73"/>
  <c r="O182" i="73"/>
  <c r="AC182" i="73"/>
  <c r="BE190" i="73"/>
  <c r="BC187" i="73"/>
  <c r="AM182" i="73" l="1"/>
  <c r="BC190" i="73"/>
  <c r="BE187" i="73"/>
  <c r="Y182" i="73"/>
  <c r="AA182" i="73" s="1"/>
  <c r="AE182" i="73" s="1"/>
  <c r="AI182" i="73" s="1"/>
  <c r="AO182" i="73" s="1"/>
  <c r="AS182" i="73" s="1"/>
  <c r="AW182" i="73" s="1"/>
  <c r="BE182" i="73" s="1"/>
  <c r="AA190" i="73"/>
  <c r="AE190" i="73" s="1"/>
  <c r="AI190" i="73" s="1"/>
  <c r="AO190" i="73" s="1"/>
  <c r="AS190" i="73" s="1"/>
  <c r="AW190" i="73" s="1"/>
  <c r="BA182" i="73"/>
  <c r="BC182" i="73" s="1"/>
  <c r="Q182" i="73"/>
  <c r="U182" i="73" s="1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BA39" i="77" l="1"/>
  <c r="BA38" i="77"/>
  <c r="AM39" i="77"/>
  <c r="BC39" i="77" s="1"/>
  <c r="AM38" i="77"/>
  <c r="AA39" i="77"/>
  <c r="AA38" i="77"/>
  <c r="Y39" i="77"/>
  <c r="Y38" i="77"/>
  <c r="M39" i="77"/>
  <c r="M38" i="77"/>
  <c r="BE39" i="77" l="1"/>
  <c r="BC38" i="77"/>
  <c r="BE38" i="77" s="1"/>
  <c r="BA41" i="77"/>
  <c r="AZ41" i="77"/>
  <c r="AW41" i="77"/>
  <c r="AS41" i="77"/>
  <c r="AO41" i="77"/>
  <c r="AM41" i="77"/>
  <c r="AL41" i="77"/>
  <c r="AI41" i="77"/>
  <c r="AE41" i="77"/>
  <c r="AA41" i="77"/>
  <c r="Y41" i="77"/>
  <c r="X41" i="77"/>
  <c r="U41" i="77"/>
  <c r="Q41" i="77"/>
  <c r="M41" i="77"/>
  <c r="L41" i="77"/>
  <c r="P41" i="77" s="1"/>
  <c r="I41" i="77"/>
  <c r="H41" i="77"/>
  <c r="F42" i="77"/>
  <c r="H42" i="77" s="1"/>
  <c r="H37" i="77" l="1"/>
  <c r="Z41" i="77"/>
  <c r="AD41" i="77" s="1"/>
  <c r="F37" i="77"/>
  <c r="T41" i="77"/>
  <c r="BB41" i="77"/>
  <c r="BC41" i="77"/>
  <c r="BE41" i="77" s="1"/>
  <c r="BA55" i="50"/>
  <c r="AZ34" i="35"/>
  <c r="AZ35" i="35"/>
  <c r="AH41" i="77" l="1"/>
  <c r="BF109" i="9"/>
  <c r="AN41" i="77" l="1"/>
  <c r="I67" i="71"/>
  <c r="O57" i="73"/>
  <c r="AK48" i="72"/>
  <c r="K48" i="72"/>
  <c r="W48" i="72"/>
  <c r="I54" i="72"/>
  <c r="AR41" i="77" l="1"/>
  <c r="Y48" i="72"/>
  <c r="AC48" i="72" s="1"/>
  <c r="AG48" i="72" s="1"/>
  <c r="AY48" i="72"/>
  <c r="BA48" i="72" s="1"/>
  <c r="AV41" i="77" l="1"/>
  <c r="G114" i="50"/>
  <c r="I114" i="50"/>
  <c r="J114" i="50"/>
  <c r="L114" i="50"/>
  <c r="M114" i="50"/>
  <c r="Q114" i="50"/>
  <c r="R114" i="50"/>
  <c r="T114" i="50"/>
  <c r="U114" i="50"/>
  <c r="V114" i="50"/>
  <c r="X114" i="50"/>
  <c r="Y114" i="50"/>
  <c r="AE114" i="50"/>
  <c r="AF114" i="50"/>
  <c r="AH114" i="50"/>
  <c r="AI114" i="50"/>
  <c r="AL114" i="50"/>
  <c r="AM114" i="50"/>
  <c r="AR114" i="50"/>
  <c r="AS114" i="50"/>
  <c r="AV114" i="50"/>
  <c r="AW114" i="50"/>
  <c r="AZ114" i="50"/>
  <c r="BA114" i="50"/>
  <c r="G113" i="50"/>
  <c r="I113" i="50"/>
  <c r="J113" i="50"/>
  <c r="L113" i="50"/>
  <c r="M113" i="50"/>
  <c r="Q113" i="50"/>
  <c r="R113" i="50"/>
  <c r="T113" i="50"/>
  <c r="U113" i="50"/>
  <c r="V113" i="50"/>
  <c r="X113" i="50"/>
  <c r="AE113" i="50"/>
  <c r="AF113" i="50"/>
  <c r="AH113" i="50"/>
  <c r="AI113" i="50"/>
  <c r="AL113" i="50"/>
  <c r="AM113" i="50"/>
  <c r="AR113" i="50"/>
  <c r="AS113" i="50"/>
  <c r="AV113" i="50"/>
  <c r="AW113" i="50"/>
  <c r="AZ113" i="50"/>
  <c r="BA113" i="50"/>
  <c r="O113" i="50" l="1"/>
  <c r="K114" i="50"/>
  <c r="BC113" i="50"/>
  <c r="AO113" i="50"/>
  <c r="AA114" i="50"/>
  <c r="BD41" i="77"/>
  <c r="O114" i="50"/>
  <c r="K113" i="50"/>
  <c r="AO114" i="50"/>
  <c r="BC114" i="50"/>
  <c r="BE114" i="50" s="1"/>
  <c r="S113" i="50"/>
  <c r="W113" i="50" s="1"/>
  <c r="BB126" i="9"/>
  <c r="BE113" i="50" l="1"/>
  <c r="AC114" i="50"/>
  <c r="AG114" i="50" s="1"/>
  <c r="AK114" i="50" s="1"/>
  <c r="AQ114" i="50" s="1"/>
  <c r="AU114" i="50" s="1"/>
  <c r="AY114" i="50" s="1"/>
  <c r="BG114" i="50" s="1"/>
  <c r="S114" i="50"/>
  <c r="W114" i="50" s="1"/>
  <c r="AZ156" i="8"/>
  <c r="AZ155" i="8"/>
  <c r="AZ154" i="8"/>
  <c r="AZ153" i="8"/>
  <c r="AZ152" i="8"/>
  <c r="AZ151" i="8"/>
  <c r="AZ150" i="8"/>
  <c r="AZ149" i="8"/>
  <c r="AZ148" i="8"/>
  <c r="AV156" i="8"/>
  <c r="AV155" i="8"/>
  <c r="AV154" i="8"/>
  <c r="AV153" i="8"/>
  <c r="AV152" i="8"/>
  <c r="AV151" i="8"/>
  <c r="AV150" i="8"/>
  <c r="AV149" i="8"/>
  <c r="AV148" i="8"/>
  <c r="AR156" i="8"/>
  <c r="AR155" i="8"/>
  <c r="AR154" i="8"/>
  <c r="AR153" i="8"/>
  <c r="AR152" i="8"/>
  <c r="AR151" i="8"/>
  <c r="AR150" i="8"/>
  <c r="AR149" i="8"/>
  <c r="AR148" i="8"/>
  <c r="AL156" i="8"/>
  <c r="AL155" i="8"/>
  <c r="AL154" i="8"/>
  <c r="AL153" i="8"/>
  <c r="AL152" i="8"/>
  <c r="AL151" i="8"/>
  <c r="AL150" i="8"/>
  <c r="AL149" i="8"/>
  <c r="AL148" i="8"/>
  <c r="AH156" i="8"/>
  <c r="AH155" i="8"/>
  <c r="AH154" i="8"/>
  <c r="AH153" i="8"/>
  <c r="AH152" i="8"/>
  <c r="AH151" i="8"/>
  <c r="AH150" i="8"/>
  <c r="AH149" i="8"/>
  <c r="AH148" i="8"/>
  <c r="AD156" i="8"/>
  <c r="AD155" i="8"/>
  <c r="AD154" i="8"/>
  <c r="AD153" i="8"/>
  <c r="AD152" i="8"/>
  <c r="AD151" i="8"/>
  <c r="AD150" i="8"/>
  <c r="AD149" i="8"/>
  <c r="AD148" i="8"/>
  <c r="X156" i="8"/>
  <c r="X155" i="8"/>
  <c r="X154" i="8"/>
  <c r="X153" i="8"/>
  <c r="X152" i="8"/>
  <c r="X151" i="8"/>
  <c r="X150" i="8"/>
  <c r="X149" i="8"/>
  <c r="X148" i="8"/>
  <c r="T156" i="8"/>
  <c r="T155" i="8"/>
  <c r="T154" i="8"/>
  <c r="T153" i="8"/>
  <c r="T152" i="8"/>
  <c r="T151" i="8"/>
  <c r="T150" i="8"/>
  <c r="T149" i="8"/>
  <c r="T148" i="8"/>
  <c r="P156" i="8"/>
  <c r="P155" i="8"/>
  <c r="P154" i="8"/>
  <c r="P153" i="8"/>
  <c r="P152" i="8"/>
  <c r="P151" i="8"/>
  <c r="P150" i="8"/>
  <c r="P149" i="8"/>
  <c r="P148" i="8"/>
  <c r="L156" i="8"/>
  <c r="L155" i="8"/>
  <c r="L154" i="8"/>
  <c r="L153" i="8"/>
  <c r="L152" i="8"/>
  <c r="L151" i="8"/>
  <c r="L150" i="8"/>
  <c r="L149" i="8"/>
  <c r="L148" i="8"/>
  <c r="H156" i="8"/>
  <c r="H155" i="8"/>
  <c r="H154" i="8"/>
  <c r="H153" i="8"/>
  <c r="H152" i="8"/>
  <c r="H151" i="8"/>
  <c r="H150" i="8"/>
  <c r="H149" i="8"/>
  <c r="H148" i="8"/>
  <c r="F156" i="8"/>
  <c r="F155" i="8"/>
  <c r="F154" i="8"/>
  <c r="F153" i="8"/>
  <c r="F152" i="8"/>
  <c r="F151" i="8"/>
  <c r="F150" i="8"/>
  <c r="F149" i="8"/>
  <c r="BI148" i="8"/>
  <c r="BJ148" i="8"/>
  <c r="BK148" i="8"/>
  <c r="BL148" i="8"/>
  <c r="BM148" i="8"/>
  <c r="BN148" i="8"/>
  <c r="F148" i="8"/>
  <c r="Q176" i="73" l="1"/>
  <c r="U176" i="73" s="1"/>
  <c r="AE176" i="73"/>
  <c r="AI176" i="73" s="1"/>
  <c r="AO176" i="73" s="1"/>
  <c r="AS176" i="73" s="1"/>
  <c r="AW176" i="73" s="1"/>
  <c r="BE176" i="73" s="1"/>
  <c r="AM176" i="73"/>
  <c r="BA176" i="73"/>
  <c r="BC176" i="73" l="1"/>
  <c r="BB113" i="73"/>
  <c r="AZ113" i="73"/>
  <c r="AX113" i="73"/>
  <c r="AT113" i="73"/>
  <c r="AL113" i="73"/>
  <c r="AF113" i="73"/>
  <c r="AB113" i="73"/>
  <c r="Z113" i="73"/>
  <c r="X113" i="73"/>
  <c r="N113" i="73"/>
  <c r="L113" i="73"/>
  <c r="J113" i="73"/>
  <c r="I105" i="73"/>
  <c r="M105" i="73"/>
  <c r="Q105" i="73" s="1"/>
  <c r="U105" i="73" s="1"/>
  <c r="Y105" i="73"/>
  <c r="AM105" i="73"/>
  <c r="BA105" i="73"/>
  <c r="BB42" i="36"/>
  <c r="AN42" i="36"/>
  <c r="BD42" i="36" l="1"/>
  <c r="AA105" i="73"/>
  <c r="AE105" i="73" s="1"/>
  <c r="AI105" i="73" s="1"/>
  <c r="AO105" i="73" s="1"/>
  <c r="AS105" i="73" s="1"/>
  <c r="AW105" i="73" s="1"/>
  <c r="BE105" i="73" s="1"/>
  <c r="BC105" i="73"/>
  <c r="AL145" i="10" l="1"/>
  <c r="AL47" i="10"/>
  <c r="AD146" i="10"/>
  <c r="AD67" i="10"/>
  <c r="T143" i="10"/>
  <c r="T20" i="10"/>
  <c r="P90" i="10" l="1"/>
  <c r="L143" i="10" l="1"/>
  <c r="L15" i="10"/>
  <c r="H90" i="10"/>
  <c r="H94" i="10"/>
  <c r="H95" i="10"/>
  <c r="H86" i="10"/>
  <c r="H67" i="10"/>
  <c r="H60" i="10"/>
  <c r="H25" i="10"/>
  <c r="H24" i="10"/>
  <c r="H32" i="10"/>
  <c r="H23" i="10"/>
  <c r="H13" i="10"/>
  <c r="H151" i="10"/>
  <c r="H88" i="10"/>
  <c r="H143" i="10"/>
  <c r="H20" i="10"/>
  <c r="H156" i="10"/>
  <c r="H146" i="10"/>
  <c r="H115" i="10"/>
  <c r="H55" i="10"/>
  <c r="AV218" i="73" l="1"/>
  <c r="AX218" i="73"/>
  <c r="AX42" i="77" s="1"/>
  <c r="AX37" i="77" s="1"/>
  <c r="AY218" i="73"/>
  <c r="AY42" i="77" s="1"/>
  <c r="AY37" i="77" s="1"/>
  <c r="AU218" i="73"/>
  <c r="AU42" i="77" s="1"/>
  <c r="BE220" i="73"/>
  <c r="BA220" i="73"/>
  <c r="BC220" i="73" s="1"/>
  <c r="AU37" i="77" l="1"/>
  <c r="AR103" i="9"/>
  <c r="AV103" i="9"/>
  <c r="AZ103" i="9"/>
  <c r="BD11" i="15" l="1"/>
  <c r="BB11" i="15"/>
  <c r="AZ11" i="15"/>
  <c r="AY128" i="26" l="1"/>
  <c r="AG95" i="45" l="1"/>
  <c r="AG80" i="45"/>
  <c r="AG81" i="45"/>
  <c r="AG82" i="45"/>
  <c r="O118" i="45"/>
  <c r="AA118" i="45"/>
  <c r="AC118" i="45" l="1"/>
  <c r="AG118" i="45" s="1"/>
  <c r="Y85" i="45"/>
  <c r="Y83" i="45"/>
  <c r="AS106" i="45" l="1"/>
  <c r="AS25" i="45"/>
  <c r="AL52" i="10"/>
  <c r="L148" i="10"/>
  <c r="L125" i="10"/>
  <c r="AZ55" i="10" l="1"/>
  <c r="AZ60" i="10"/>
  <c r="AZ56" i="10"/>
  <c r="AZ32" i="10"/>
  <c r="AZ108" i="10"/>
  <c r="AZ115" i="10"/>
  <c r="AZ113" i="10" l="1"/>
  <c r="AZ67" i="10"/>
  <c r="BG7" i="8"/>
  <c r="BH7" i="8"/>
  <c r="BG12" i="8"/>
  <c r="BH12" i="8"/>
  <c r="BG22" i="8"/>
  <c r="BH22" i="8"/>
  <c r="BG32" i="8"/>
  <c r="BH32" i="8"/>
  <c r="BG38" i="8"/>
  <c r="BH38" i="8"/>
  <c r="BG60" i="8"/>
  <c r="BG66" i="8"/>
  <c r="BG70" i="8"/>
  <c r="BG93" i="8"/>
  <c r="BG94" i="8"/>
  <c r="BH94" i="8"/>
  <c r="BG95" i="8"/>
  <c r="BH95" i="8"/>
  <c r="BG96" i="8"/>
  <c r="BH96" i="8"/>
  <c r="BG97" i="8"/>
  <c r="BG98" i="8"/>
  <c r="BG99" i="8"/>
  <c r="BG100" i="8"/>
  <c r="BG101" i="8"/>
  <c r="BG102" i="8"/>
  <c r="BG103" i="8"/>
  <c r="BG104" i="8"/>
  <c r="BG105" i="8"/>
  <c r="BG106" i="8"/>
  <c r="BA71" i="83" l="1"/>
  <c r="BG17" i="52"/>
  <c r="BH17" i="52"/>
  <c r="BH96" i="50" l="1"/>
  <c r="BH98" i="50"/>
  <c r="BH99" i="50"/>
  <c r="BH105" i="50"/>
  <c r="BH106" i="50"/>
  <c r="BH118" i="50"/>
  <c r="BH122" i="50"/>
  <c r="BH126" i="50"/>
  <c r="BH136" i="50"/>
  <c r="BC85" i="50"/>
  <c r="BC86" i="50"/>
  <c r="BC61" i="50"/>
  <c r="AM55" i="50" l="1"/>
  <c r="AI55" i="50"/>
  <c r="AE55" i="50"/>
  <c r="Y55" i="50"/>
  <c r="U55" i="50"/>
  <c r="Q55" i="50"/>
  <c r="M55" i="50"/>
  <c r="I55" i="50"/>
  <c r="O67" i="50"/>
  <c r="S67" i="50" s="1"/>
  <c r="K67" i="50"/>
  <c r="BC67" i="50"/>
  <c r="AA67" i="50"/>
  <c r="AO67" i="50"/>
  <c r="AC67" i="50" l="1"/>
  <c r="AG67" i="50" s="1"/>
  <c r="AK67" i="50" s="1"/>
  <c r="AQ67" i="50" s="1"/>
  <c r="AU67" i="50" s="1"/>
  <c r="AY67" i="50" s="1"/>
  <c r="BG67" i="50" s="1"/>
  <c r="BH67" i="50" s="1"/>
  <c r="BE67" i="50"/>
  <c r="BF105" i="10" l="1"/>
  <c r="BB105" i="10"/>
  <c r="BD105" i="10" s="1"/>
  <c r="BB53" i="11" l="1"/>
  <c r="BD53" i="11" s="1"/>
  <c r="BB54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AY37" i="27" l="1"/>
  <c r="AY35" i="27"/>
  <c r="AY29" i="27"/>
  <c r="AY28" i="27"/>
  <c r="AY27" i="27"/>
  <c r="AY20" i="27"/>
  <c r="AY19" i="27"/>
  <c r="AY18" i="27"/>
  <c r="BA15" i="27"/>
  <c r="AZ15" i="27"/>
  <c r="BA14" i="27"/>
  <c r="AZ14" i="27"/>
  <c r="AX33" i="27" l="1"/>
  <c r="BI16" i="27"/>
  <c r="BJ16" i="27"/>
  <c r="BI17" i="27"/>
  <c r="BJ17" i="27"/>
  <c r="BI25" i="27"/>
  <c r="BJ25" i="27"/>
  <c r="BJ30" i="27"/>
  <c r="BI34" i="27"/>
  <c r="BJ34" i="27"/>
  <c r="BF15" i="27"/>
  <c r="BF14" i="27"/>
  <c r="BF25" i="39" l="1"/>
  <c r="BF26" i="39"/>
  <c r="BF27" i="39"/>
  <c r="BF32" i="39"/>
  <c r="BF33" i="39"/>
  <c r="BF35" i="39"/>
  <c r="BF36" i="39"/>
  <c r="BF40" i="39"/>
  <c r="BF41" i="39"/>
  <c r="BF44" i="39"/>
  <c r="BF52" i="39"/>
  <c r="BF53" i="39"/>
  <c r="BF63" i="39"/>
  <c r="BF65" i="39"/>
  <c r="BI25" i="39"/>
  <c r="BI26" i="39"/>
  <c r="BI27" i="39"/>
  <c r="BI32" i="39"/>
  <c r="BI33" i="39"/>
  <c r="BI35" i="39"/>
  <c r="BI36" i="39"/>
  <c r="BI40" i="39"/>
  <c r="BI41" i="39"/>
  <c r="BI44" i="39"/>
  <c r="BI52" i="39"/>
  <c r="BI53" i="39"/>
  <c r="BI63" i="39"/>
  <c r="BI65" i="39"/>
  <c r="BJ11" i="6"/>
  <c r="BK11" i="6"/>
  <c r="BJ14" i="6"/>
  <c r="BK14" i="6"/>
  <c r="BJ20" i="6"/>
  <c r="BK20" i="6"/>
  <c r="BJ36" i="6"/>
  <c r="BK36" i="6"/>
  <c r="BJ42" i="6"/>
  <c r="BK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K58" i="6"/>
  <c r="BJ59" i="6"/>
  <c r="BK59" i="6"/>
  <c r="BJ62" i="6"/>
  <c r="BK62" i="6"/>
  <c r="BJ63" i="6"/>
  <c r="BK63" i="6"/>
  <c r="BJ71" i="6"/>
  <c r="BK71" i="6"/>
  <c r="BJ78" i="6"/>
  <c r="BK78" i="6"/>
  <c r="BJ89" i="6"/>
  <c r="BK89" i="6"/>
  <c r="BJ90" i="6"/>
  <c r="BK90" i="6"/>
  <c r="BJ105" i="6"/>
  <c r="BJ107" i="6"/>
  <c r="BK107" i="6"/>
  <c r="BJ121" i="6"/>
  <c r="BJ123" i="6"/>
  <c r="BK123" i="6"/>
  <c r="BJ138" i="6"/>
  <c r="BJ140" i="6"/>
  <c r="BK140" i="6"/>
  <c r="BJ141" i="6"/>
  <c r="BK141" i="6"/>
  <c r="BJ142" i="6"/>
  <c r="BK142" i="6"/>
  <c r="BJ151" i="6"/>
  <c r="BK151" i="6"/>
  <c r="BJ158" i="6"/>
  <c r="BK158" i="6"/>
  <c r="BJ183" i="6"/>
  <c r="BK183" i="6"/>
  <c r="BJ192" i="6"/>
  <c r="BK192" i="6"/>
  <c r="BJ220" i="6"/>
  <c r="BG11" i="6" l="1"/>
  <c r="BH11" i="6"/>
  <c r="BG14" i="6"/>
  <c r="BH14" i="6"/>
  <c r="BG20" i="6"/>
  <c r="BH20" i="6"/>
  <c r="BG36" i="6"/>
  <c r="BH36" i="6"/>
  <c r="BG42" i="6"/>
  <c r="BH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H58" i="6"/>
  <c r="BG59" i="6"/>
  <c r="BH59" i="6"/>
  <c r="BG62" i="6"/>
  <c r="BH62" i="6"/>
  <c r="BG63" i="6"/>
  <c r="BH63" i="6"/>
  <c r="BG71" i="6"/>
  <c r="BH71" i="6"/>
  <c r="BG78" i="6"/>
  <c r="BH78" i="6"/>
  <c r="BG89" i="6"/>
  <c r="BH89" i="6"/>
  <c r="BG90" i="6"/>
  <c r="BH90" i="6"/>
  <c r="BG105" i="6"/>
  <c r="BG107" i="6"/>
  <c r="BH107" i="6"/>
  <c r="BG121" i="6"/>
  <c r="BG123" i="6"/>
  <c r="BH123" i="6"/>
  <c r="BG138" i="6"/>
  <c r="BG140" i="6"/>
  <c r="BH140" i="6"/>
  <c r="BG141" i="6"/>
  <c r="BH141" i="6"/>
  <c r="BG142" i="6"/>
  <c r="BH142" i="6"/>
  <c r="BG151" i="6"/>
  <c r="BH151" i="6"/>
  <c r="BG158" i="6"/>
  <c r="BH158" i="6"/>
  <c r="BG183" i="6"/>
  <c r="BH183" i="6"/>
  <c r="BG192" i="6"/>
  <c r="BH192" i="6"/>
  <c r="BG220" i="6"/>
  <c r="AZ29" i="28"/>
  <c r="BB107" i="28"/>
  <c r="BB108" i="28"/>
  <c r="BB109" i="28"/>
  <c r="BD109" i="28" s="1"/>
  <c r="BK109" i="28" s="1"/>
  <c r="BB110" i="28"/>
  <c r="BB111" i="28"/>
  <c r="BB112" i="28"/>
  <c r="BB113" i="28"/>
  <c r="BB114" i="28"/>
  <c r="BB115" i="28"/>
  <c r="BB116" i="28"/>
  <c r="BB117" i="28"/>
  <c r="BB118" i="28"/>
  <c r="BB119" i="28"/>
  <c r="BB179" i="28"/>
  <c r="BB180" i="28"/>
  <c r="BB181" i="28"/>
  <c r="BB182" i="28"/>
  <c r="BD182" i="28" s="1"/>
  <c r="BK182" i="28" s="1"/>
  <c r="BB183" i="28"/>
  <c r="BB184" i="28"/>
  <c r="BB185" i="28"/>
  <c r="BB186" i="28"/>
  <c r="BB192" i="28"/>
  <c r="BB193" i="28"/>
  <c r="BB194" i="28"/>
  <c r="BB189" i="28"/>
  <c r="BB228" i="28"/>
  <c r="BB229" i="28"/>
  <c r="BB230" i="28"/>
  <c r="BB231" i="28"/>
  <c r="BB232" i="28"/>
  <c r="BB234" i="28"/>
  <c r="BD234" i="28" s="1"/>
  <c r="BK234" i="28" s="1"/>
  <c r="BJ8" i="28"/>
  <c r="BJ16" i="28"/>
  <c r="BJ22" i="28"/>
  <c r="BK22" i="28"/>
  <c r="BJ24" i="28"/>
  <c r="BJ30" i="28"/>
  <c r="BK30" i="28"/>
  <c r="BJ32" i="28"/>
  <c r="BJ38" i="28"/>
  <c r="BK38" i="28"/>
  <c r="BJ39" i="28"/>
  <c r="BJ40" i="28"/>
  <c r="BJ41" i="28"/>
  <c r="BK41" i="28"/>
  <c r="BJ42" i="28"/>
  <c r="BJ43" i="28"/>
  <c r="BJ44" i="28"/>
  <c r="BJ46" i="28"/>
  <c r="BJ47" i="28"/>
  <c r="BJ48" i="28"/>
  <c r="BJ49" i="28"/>
  <c r="BK49" i="28"/>
  <c r="BJ50" i="28"/>
  <c r="BJ51" i="28"/>
  <c r="BJ52" i="28"/>
  <c r="BJ55" i="28"/>
  <c r="BJ56" i="28"/>
  <c r="BJ57" i="28"/>
  <c r="BK57" i="28"/>
  <c r="BJ62" i="28"/>
  <c r="BK62" i="28"/>
  <c r="BJ64" i="28"/>
  <c r="BJ71" i="28"/>
  <c r="BK71" i="28"/>
  <c r="BJ77" i="28"/>
  <c r="BK77" i="28"/>
  <c r="BJ78" i="28"/>
  <c r="BK78" i="28"/>
  <c r="BJ80" i="28"/>
  <c r="BJ81" i="28"/>
  <c r="BJ82" i="28"/>
  <c r="BK82" i="28"/>
  <c r="BJ84" i="28"/>
  <c r="BJ85" i="28"/>
  <c r="BJ86" i="28"/>
  <c r="BK86" i="28"/>
  <c r="BJ88" i="28"/>
  <c r="BJ89" i="28"/>
  <c r="BJ90" i="28"/>
  <c r="BK90" i="28"/>
  <c r="BJ92" i="28"/>
  <c r="BJ93" i="28"/>
  <c r="BJ94" i="28"/>
  <c r="BK94" i="28"/>
  <c r="BJ96" i="28"/>
  <c r="BJ97" i="28"/>
  <c r="BJ99" i="28"/>
  <c r="BK99" i="28"/>
  <c r="BJ100" i="28"/>
  <c r="BJ101" i="28"/>
  <c r="BJ102" i="28"/>
  <c r="BJ103" i="28"/>
  <c r="BJ104" i="28"/>
  <c r="BJ105" i="28"/>
  <c r="BJ106" i="28"/>
  <c r="BJ107" i="28"/>
  <c r="BJ108" i="28"/>
  <c r="BJ109" i="28"/>
  <c r="BJ110" i="28"/>
  <c r="BJ111" i="28"/>
  <c r="BJ112" i="28"/>
  <c r="BJ113" i="28"/>
  <c r="BJ114" i="28"/>
  <c r="BJ115" i="28"/>
  <c r="BJ116" i="28"/>
  <c r="BJ117" i="28"/>
  <c r="BJ118" i="28"/>
  <c r="BJ119" i="28"/>
  <c r="BJ120" i="28"/>
  <c r="BJ121" i="28"/>
  <c r="BJ122" i="28"/>
  <c r="BJ123" i="28"/>
  <c r="BJ124" i="28"/>
  <c r="BJ125" i="28"/>
  <c r="BJ126" i="28"/>
  <c r="BJ127" i="28"/>
  <c r="BJ128" i="28"/>
  <c r="BJ129" i="28"/>
  <c r="BJ130" i="28"/>
  <c r="BJ131" i="28"/>
  <c r="BJ132" i="28"/>
  <c r="BJ133" i="28"/>
  <c r="BJ134" i="28"/>
  <c r="BJ135" i="28"/>
  <c r="BJ136" i="28"/>
  <c r="BJ137" i="28"/>
  <c r="BJ138" i="28"/>
  <c r="BJ139" i="28"/>
  <c r="BJ140" i="28"/>
  <c r="BJ141" i="28"/>
  <c r="BJ142" i="28"/>
  <c r="BK142" i="28"/>
  <c r="BJ143" i="28"/>
  <c r="BJ144" i="28"/>
  <c r="BJ145" i="28"/>
  <c r="BJ146" i="28"/>
  <c r="BJ147" i="28"/>
  <c r="BJ148" i="28"/>
  <c r="BJ149" i="28"/>
  <c r="BJ150" i="28"/>
  <c r="BJ151" i="28"/>
  <c r="BJ152" i="28"/>
  <c r="BJ153" i="28"/>
  <c r="BJ154" i="28"/>
  <c r="BJ155" i="28"/>
  <c r="BJ156" i="28"/>
  <c r="BJ157" i="28"/>
  <c r="BJ158" i="28"/>
  <c r="BJ159" i="28"/>
  <c r="BJ160" i="28"/>
  <c r="BJ161" i="28"/>
  <c r="BJ162" i="28"/>
  <c r="BJ163" i="28"/>
  <c r="BJ164" i="28"/>
  <c r="BJ165" i="28"/>
  <c r="BJ166" i="28"/>
  <c r="BJ167" i="28"/>
  <c r="BJ168" i="28"/>
  <c r="BJ169" i="28"/>
  <c r="BJ170" i="28"/>
  <c r="BJ171" i="28"/>
  <c r="BJ172" i="28"/>
  <c r="BJ173" i="28"/>
  <c r="BJ174" i="28"/>
  <c r="BJ175" i="28"/>
  <c r="BJ176" i="28"/>
  <c r="BJ177" i="28"/>
  <c r="BJ178" i="28"/>
  <c r="BJ179" i="28"/>
  <c r="BJ180" i="28"/>
  <c r="BJ181" i="28"/>
  <c r="BJ182" i="28"/>
  <c r="BJ183" i="28"/>
  <c r="BJ184" i="28"/>
  <c r="BJ185" i="28"/>
  <c r="BJ186" i="28"/>
  <c r="BJ187" i="28"/>
  <c r="BJ188" i="28"/>
  <c r="BJ189" i="28"/>
  <c r="BJ190" i="28"/>
  <c r="BJ191" i="28"/>
  <c r="BJ192" i="28"/>
  <c r="BJ193" i="28"/>
  <c r="BJ194" i="28"/>
  <c r="BJ195" i="28"/>
  <c r="BJ196" i="28"/>
  <c r="BJ197" i="28"/>
  <c r="BJ198" i="28"/>
  <c r="BJ199" i="28"/>
  <c r="BJ200" i="28"/>
  <c r="BJ201" i="28"/>
  <c r="BJ202" i="28"/>
  <c r="BJ203" i="28"/>
  <c r="BJ204" i="28"/>
  <c r="BJ205" i="28"/>
  <c r="BJ206" i="28"/>
  <c r="BJ207" i="28"/>
  <c r="BJ208" i="28"/>
  <c r="BJ209" i="28"/>
  <c r="BJ210" i="28"/>
  <c r="BJ211" i="28"/>
  <c r="BJ212" i="28"/>
  <c r="BJ213" i="28"/>
  <c r="BJ214" i="28"/>
  <c r="BJ215" i="28"/>
  <c r="BJ216" i="28"/>
  <c r="BJ217" i="28"/>
  <c r="BJ218" i="28"/>
  <c r="BJ219" i="28"/>
  <c r="BJ220" i="28"/>
  <c r="BJ221" i="28"/>
  <c r="BJ222" i="28"/>
  <c r="BJ223" i="28"/>
  <c r="BJ224" i="28"/>
  <c r="BJ225" i="28"/>
  <c r="BJ226" i="28"/>
  <c r="BJ227" i="28"/>
  <c r="BJ228" i="28"/>
  <c r="BJ229" i="28"/>
  <c r="BJ230" i="28"/>
  <c r="BJ231" i="28"/>
  <c r="BJ232" i="28"/>
  <c r="BJ233" i="28"/>
  <c r="BJ234" i="28"/>
  <c r="BJ235" i="28"/>
  <c r="BJ237" i="28"/>
  <c r="BK237" i="28"/>
  <c r="BJ238" i="28"/>
  <c r="BK238" i="28"/>
  <c r="BJ239" i="28"/>
  <c r="BJ240" i="28"/>
  <c r="BK240" i="28"/>
  <c r="BJ241" i="28"/>
  <c r="BJ242" i="28"/>
  <c r="BK242" i="28"/>
  <c r="BJ243" i="28"/>
  <c r="BJ244" i="28"/>
  <c r="BK244" i="28"/>
  <c r="BJ245" i="28"/>
  <c r="BJ246" i="28"/>
  <c r="BK246" i="28"/>
  <c r="BJ247" i="28"/>
  <c r="BJ248" i="28"/>
  <c r="BK248" i="28"/>
  <c r="BJ249" i="28"/>
  <c r="BJ250" i="28"/>
  <c r="BK250" i="28"/>
  <c r="BJ251" i="28"/>
  <c r="BJ252" i="28"/>
  <c r="BK252" i="28"/>
  <c r="BJ253" i="28"/>
  <c r="BJ254" i="28"/>
  <c r="BJ255" i="28"/>
  <c r="BJ257" i="28"/>
  <c r="BK257" i="28"/>
  <c r="BJ258" i="28"/>
  <c r="BK258" i="28"/>
  <c r="BJ259" i="28"/>
  <c r="BJ260" i="28"/>
  <c r="BJ261" i="28"/>
  <c r="BJ262" i="28"/>
  <c r="BJ263" i="28"/>
  <c r="BJ264" i="28"/>
  <c r="BJ265" i="28"/>
  <c r="BJ266" i="28"/>
  <c r="BJ267" i="28"/>
  <c r="BJ268" i="28"/>
  <c r="BJ269" i="28"/>
  <c r="BJ270" i="28"/>
  <c r="BJ271" i="28"/>
  <c r="BJ272" i="28"/>
  <c r="BJ273" i="28"/>
  <c r="BJ274" i="28"/>
  <c r="BJ275" i="28"/>
  <c r="BJ276" i="28"/>
  <c r="BJ277" i="28"/>
  <c r="BJ278" i="28"/>
  <c r="BJ279" i="28"/>
  <c r="BJ280" i="28"/>
  <c r="BJ281" i="28"/>
  <c r="BJ282" i="28"/>
  <c r="BJ283" i="28"/>
  <c r="BJ284" i="28"/>
  <c r="BJ285" i="28"/>
  <c r="BJ286" i="28"/>
  <c r="BJ287" i="28"/>
  <c r="BJ288" i="28"/>
  <c r="BJ289" i="28"/>
  <c r="BJ290" i="28"/>
  <c r="BJ291" i="28"/>
  <c r="BJ292" i="28"/>
  <c r="BJ293" i="28"/>
  <c r="BJ294" i="28"/>
  <c r="BJ295" i="28"/>
  <c r="BJ296" i="28"/>
  <c r="BJ300" i="28"/>
  <c r="BK300" i="28"/>
  <c r="BJ301" i="28"/>
  <c r="BJ302" i="28"/>
  <c r="BJ303" i="28"/>
  <c r="BJ305" i="28"/>
  <c r="BK305" i="28"/>
  <c r="BJ306" i="28"/>
  <c r="BK306" i="28"/>
  <c r="BJ307" i="28"/>
  <c r="BJ308" i="28"/>
  <c r="BJ310" i="28"/>
  <c r="BJ311" i="28"/>
  <c r="BJ312" i="28"/>
  <c r="BJ313" i="28"/>
  <c r="BJ314" i="28"/>
  <c r="BJ315" i="28"/>
  <c r="BJ316" i="28"/>
  <c r="BJ317" i="28"/>
  <c r="BJ318" i="28"/>
  <c r="BJ319" i="28"/>
  <c r="BJ320" i="28"/>
  <c r="BJ321" i="28"/>
  <c r="BJ322" i="28"/>
  <c r="BJ323" i="28"/>
  <c r="BJ324" i="28"/>
  <c r="BJ325" i="28"/>
  <c r="BJ326" i="28"/>
  <c r="BJ327" i="28"/>
  <c r="BJ328" i="28"/>
  <c r="BJ329" i="28"/>
  <c r="BJ330" i="28"/>
  <c r="BJ331" i="28"/>
  <c r="BJ332" i="28"/>
  <c r="BJ333" i="28"/>
  <c r="BJ335" i="28"/>
  <c r="BJ336" i="28"/>
  <c r="BJ337" i="28"/>
  <c r="BJ338" i="28"/>
  <c r="BJ339" i="28"/>
  <c r="BJ340" i="28"/>
  <c r="BJ341" i="28"/>
  <c r="BJ342" i="28"/>
  <c r="BJ343" i="28"/>
  <c r="BJ344" i="28"/>
  <c r="BJ345" i="28"/>
  <c r="BJ346" i="28"/>
  <c r="BJ347" i="28"/>
  <c r="BJ348" i="28"/>
  <c r="BJ349" i="28"/>
  <c r="BJ350" i="28"/>
  <c r="BJ351" i="28"/>
  <c r="BJ352" i="28"/>
  <c r="BJ353" i="28"/>
  <c r="BJ354" i="28"/>
  <c r="BJ355" i="28"/>
  <c r="BJ356" i="28"/>
  <c r="BJ357" i="28"/>
  <c r="BJ358" i="28"/>
  <c r="BJ359" i="28"/>
  <c r="BJ360" i="28"/>
  <c r="BJ361" i="28"/>
  <c r="BJ362" i="28"/>
  <c r="BJ363" i="28"/>
  <c r="BJ364" i="28"/>
  <c r="BJ365" i="28"/>
  <c r="BJ366" i="28"/>
  <c r="BJ367" i="28"/>
  <c r="BJ368" i="28"/>
  <c r="BJ369" i="28"/>
  <c r="BJ370" i="28"/>
  <c r="BJ371" i="28"/>
  <c r="BJ372" i="28"/>
  <c r="BJ373" i="28"/>
  <c r="BJ374" i="28"/>
  <c r="BJ375" i="28"/>
  <c r="BJ376" i="28"/>
  <c r="BJ377" i="28"/>
  <c r="BJ378" i="28"/>
  <c r="BJ379" i="28"/>
  <c r="BJ380" i="28"/>
  <c r="BJ381" i="28"/>
  <c r="BJ382" i="28"/>
  <c r="BJ383" i="28"/>
  <c r="BJ384" i="28"/>
  <c r="BJ385" i="28"/>
  <c r="BJ386" i="28"/>
  <c r="BJ387" i="28"/>
  <c r="BJ388" i="28"/>
  <c r="BJ389" i="28"/>
  <c r="BJ390" i="28"/>
  <c r="BJ391" i="28"/>
  <c r="BJ392" i="28"/>
  <c r="BJ393" i="28"/>
  <c r="BJ394" i="28"/>
  <c r="BJ395" i="28"/>
  <c r="BJ396" i="28"/>
  <c r="BJ397" i="28"/>
  <c r="BJ398" i="28"/>
  <c r="BJ399" i="28"/>
  <c r="BJ400" i="28"/>
  <c r="BJ401" i="28"/>
  <c r="BJ402" i="28"/>
  <c r="BJ403" i="28"/>
  <c r="BJ404" i="28"/>
  <c r="BJ405" i="28"/>
  <c r="BJ406" i="28"/>
  <c r="BJ407" i="28"/>
  <c r="BJ408" i="28"/>
  <c r="BJ409" i="28"/>
  <c r="BJ410" i="28"/>
  <c r="BJ411" i="28"/>
  <c r="BJ412" i="28"/>
  <c r="BJ413" i="28"/>
  <c r="BJ414" i="28"/>
  <c r="BJ415" i="28"/>
  <c r="BJ417" i="28"/>
  <c r="BK417" i="28"/>
  <c r="BJ418" i="28"/>
  <c r="BJ419" i="28"/>
  <c r="BJ420" i="28"/>
  <c r="BJ421" i="28"/>
  <c r="BJ422" i="28"/>
  <c r="BJ423" i="28"/>
  <c r="BJ424" i="28"/>
  <c r="BJ425" i="28"/>
  <c r="BJ426" i="28"/>
  <c r="BJ427" i="28"/>
  <c r="BJ428" i="28"/>
  <c r="BJ429" i="28"/>
  <c r="BJ430" i="28"/>
  <c r="BJ432" i="28"/>
  <c r="BK432" i="28"/>
  <c r="BJ433" i="28"/>
  <c r="BK433" i="28"/>
  <c r="BJ434" i="28"/>
  <c r="BK434" i="28"/>
  <c r="BJ435" i="28"/>
  <c r="BK435" i="28"/>
  <c r="BJ436" i="28"/>
  <c r="BJ437" i="28"/>
  <c r="BK437" i="28"/>
  <c r="BJ438" i="28"/>
  <c r="BK438" i="28"/>
  <c r="BJ439" i="28"/>
  <c r="BK439" i="28"/>
  <c r="BJ440" i="28"/>
  <c r="BJ441" i="28"/>
  <c r="BJ442" i="28"/>
  <c r="BJ443" i="28"/>
  <c r="BJ444" i="28"/>
  <c r="BJ445" i="28"/>
  <c r="BJ446" i="28"/>
  <c r="BJ447" i="28"/>
  <c r="BJ448" i="28"/>
  <c r="BJ449" i="28"/>
  <c r="BJ450" i="28"/>
  <c r="BJ451" i="28"/>
  <c r="BJ452" i="28"/>
  <c r="BJ453" i="28"/>
  <c r="BJ454" i="28"/>
  <c r="BJ455" i="28"/>
  <c r="BJ456" i="28"/>
  <c r="BJ457" i="28"/>
  <c r="BJ458" i="28"/>
  <c r="BJ459" i="28"/>
  <c r="BJ460" i="28"/>
  <c r="BJ461" i="28"/>
  <c r="BJ462" i="28"/>
  <c r="BJ463" i="28"/>
  <c r="BJ464" i="28"/>
  <c r="BJ465" i="28"/>
  <c r="BJ466" i="28"/>
  <c r="BJ467" i="28"/>
  <c r="BJ468" i="28"/>
  <c r="BJ469" i="28"/>
  <c r="BJ470" i="28"/>
  <c r="BJ471" i="28"/>
  <c r="BJ472" i="28"/>
  <c r="BJ473" i="28"/>
  <c r="BJ474" i="28"/>
  <c r="BK474" i="28"/>
  <c r="BJ475" i="28"/>
  <c r="BJ476" i="28"/>
  <c r="BJ477" i="28"/>
  <c r="BJ478" i="28"/>
  <c r="BJ479" i="28"/>
  <c r="BJ480" i="28"/>
  <c r="BJ481" i="28"/>
  <c r="BJ482" i="28"/>
  <c r="BJ483" i="28"/>
  <c r="BJ484" i="28"/>
  <c r="BK484" i="28"/>
  <c r="BJ485" i="28"/>
  <c r="BJ486" i="28"/>
  <c r="BJ487" i="28"/>
  <c r="BJ488" i="28"/>
  <c r="BJ489" i="28"/>
  <c r="BJ490" i="28"/>
  <c r="BJ491" i="28"/>
  <c r="BJ492" i="28"/>
  <c r="BJ494" i="28"/>
  <c r="BK494" i="28"/>
  <c r="BJ495" i="28"/>
  <c r="BK495" i="28"/>
  <c r="BJ498" i="28"/>
  <c r="BK498" i="28"/>
  <c r="BJ499" i="28"/>
  <c r="BK499" i="28"/>
  <c r="BJ500" i="28"/>
  <c r="BK500" i="28"/>
  <c r="BJ501" i="28"/>
  <c r="BK501" i="28"/>
  <c r="BJ504" i="28"/>
  <c r="BK504" i="28"/>
  <c r="BJ508" i="28"/>
  <c r="BJ512" i="28"/>
  <c r="BJ516" i="28"/>
  <c r="BJ520" i="28"/>
  <c r="BK520" i="28"/>
  <c r="BJ521" i="28"/>
  <c r="BK521" i="28"/>
  <c r="BJ526" i="28"/>
  <c r="BK526" i="28"/>
  <c r="BJ527" i="28"/>
  <c r="BK527" i="28"/>
  <c r="BJ528" i="28"/>
  <c r="BK528" i="28"/>
  <c r="BJ529" i="28"/>
  <c r="BK529" i="28"/>
  <c r="BJ530" i="28"/>
  <c r="BK530" i="28"/>
  <c r="BJ531" i="28"/>
  <c r="BK531" i="28"/>
  <c r="BJ532" i="28"/>
  <c r="BK532" i="28"/>
  <c r="BJ533" i="28"/>
  <c r="BK533" i="28"/>
  <c r="BJ534" i="28"/>
  <c r="BK534" i="28"/>
  <c r="BJ535" i="28"/>
  <c r="BK535" i="28"/>
  <c r="BJ536" i="28"/>
  <c r="BK536" i="28"/>
  <c r="BJ537" i="28"/>
  <c r="BK537" i="28"/>
  <c r="BJ538" i="28"/>
  <c r="BK538" i="28"/>
  <c r="BJ539" i="28"/>
  <c r="BK539" i="28"/>
  <c r="BJ540" i="28"/>
  <c r="BK540" i="28"/>
  <c r="BJ541" i="28"/>
  <c r="BK541" i="28"/>
  <c r="BJ542" i="28"/>
  <c r="BK542" i="28"/>
  <c r="BJ543" i="28"/>
  <c r="BK543" i="28"/>
  <c r="BJ544" i="28"/>
  <c r="BK544" i="28"/>
  <c r="BJ545" i="28"/>
  <c r="BK545" i="28"/>
  <c r="BJ546" i="28"/>
  <c r="BK546" i="28"/>
  <c r="BJ547" i="28"/>
  <c r="BK547" i="28"/>
  <c r="BJ548" i="28"/>
  <c r="BK548" i="28"/>
  <c r="BJ549" i="28"/>
  <c r="BK549" i="28"/>
  <c r="BJ550" i="28"/>
  <c r="BK550" i="28"/>
  <c r="BJ551" i="28"/>
  <c r="BK551" i="28"/>
  <c r="BJ552" i="28"/>
  <c r="BK552" i="28"/>
  <c r="BJ553" i="28"/>
  <c r="BK553" i="28"/>
  <c r="BJ554" i="28"/>
  <c r="BK554" i="28"/>
  <c r="BJ555" i="28"/>
  <c r="BK555" i="28"/>
  <c r="BJ556" i="28"/>
  <c r="BK556" i="28"/>
  <c r="BJ557" i="28"/>
  <c r="BK557" i="28"/>
  <c r="BJ558" i="28"/>
  <c r="BK558" i="28"/>
  <c r="BJ559" i="28"/>
  <c r="BK559" i="28"/>
  <c r="BJ560" i="28"/>
  <c r="BK560" i="28"/>
  <c r="BJ561" i="28"/>
  <c r="BK561" i="28"/>
  <c r="BJ562" i="28"/>
  <c r="BK562" i="28"/>
  <c r="BJ563" i="28"/>
  <c r="BK563" i="28"/>
  <c r="BJ564" i="28"/>
  <c r="BK564" i="28"/>
  <c r="BJ565" i="28"/>
  <c r="BK565" i="28"/>
  <c r="BJ566" i="28"/>
  <c r="BK566" i="28"/>
  <c r="BJ567" i="28"/>
  <c r="BK567" i="28"/>
  <c r="BJ568" i="28"/>
  <c r="BK568" i="28"/>
  <c r="BJ569" i="28"/>
  <c r="BK569" i="28"/>
  <c r="BJ570" i="28"/>
  <c r="BK570" i="28"/>
  <c r="BJ571" i="28"/>
  <c r="BK571" i="28"/>
  <c r="BJ572" i="28"/>
  <c r="BK572" i="28"/>
  <c r="BJ573" i="28"/>
  <c r="BK573" i="28"/>
  <c r="BJ574" i="28"/>
  <c r="BK574" i="28"/>
  <c r="BJ575" i="28"/>
  <c r="BK575" i="28"/>
  <c r="BJ576" i="28"/>
  <c r="BK576" i="28"/>
  <c r="BJ577" i="28"/>
  <c r="BK577" i="28"/>
  <c r="BJ578" i="28"/>
  <c r="BK578" i="28"/>
  <c r="BJ579" i="28"/>
  <c r="BK579" i="28"/>
  <c r="BJ580" i="28"/>
  <c r="BK580" i="28"/>
  <c r="BJ581" i="28"/>
  <c r="BK581" i="28"/>
  <c r="BJ582" i="28"/>
  <c r="BK582" i="28"/>
  <c r="BJ583" i="28"/>
  <c r="BK583" i="28"/>
  <c r="BJ584" i="28"/>
  <c r="BK584" i="28"/>
  <c r="BJ585" i="28"/>
  <c r="BK585" i="28"/>
  <c r="BJ586" i="28"/>
  <c r="BK586" i="28"/>
  <c r="BJ587" i="28"/>
  <c r="BK587" i="28"/>
  <c r="BJ588" i="28"/>
  <c r="BK588" i="28"/>
  <c r="BJ589" i="28"/>
  <c r="BK589" i="28"/>
  <c r="BJ590" i="28"/>
  <c r="BK590" i="28"/>
  <c r="BJ591" i="28"/>
  <c r="BK591" i="28"/>
  <c r="BJ592" i="28"/>
  <c r="BK592" i="28"/>
  <c r="BJ593" i="28"/>
  <c r="BK593" i="28"/>
  <c r="BJ594" i="28"/>
  <c r="BK594" i="28"/>
  <c r="BB308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5" i="28"/>
  <c r="BB336" i="28"/>
  <c r="BB337" i="28"/>
  <c r="BB338" i="28"/>
  <c r="BB339" i="28"/>
  <c r="BD339" i="28" s="1"/>
  <c r="BK339" i="28" s="1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D351" i="28" s="1"/>
  <c r="BK351" i="28" s="1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D390" i="28" s="1"/>
  <c r="BK390" i="28" s="1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B405" i="28"/>
  <c r="BB406" i="28"/>
  <c r="BD406" i="28" s="1"/>
  <c r="BK406" i="28" s="1"/>
  <c r="BB407" i="28"/>
  <c r="BB408" i="28"/>
  <c r="BB409" i="28"/>
  <c r="BB410" i="28"/>
  <c r="BB411" i="28"/>
  <c r="BB412" i="28"/>
  <c r="BB413" i="28"/>
  <c r="BB414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B429" i="28"/>
  <c r="BB430" i="28"/>
  <c r="BE596" i="28"/>
  <c r="BB596" i="28"/>
  <c r="BA596" i="28"/>
  <c r="BC596" i="28" s="1"/>
  <c r="BJ596" i="28" s="1"/>
  <c r="BE595" i="28"/>
  <c r="BG595" i="28" s="1"/>
  <c r="BB595" i="28"/>
  <c r="BA595" i="28"/>
  <c r="BC595" i="28" s="1"/>
  <c r="BJ595" i="28" s="1"/>
  <c r="AX406" i="28"/>
  <c r="BF406" i="28" s="1"/>
  <c r="BH406" i="28" s="1"/>
  <c r="BB295" i="28"/>
  <c r="BD295" i="28" s="1"/>
  <c r="BK295" i="28" s="1"/>
  <c r="BB272" i="28"/>
  <c r="BF243" i="28"/>
  <c r="BH243" i="28" s="1"/>
  <c r="BB243" i="28"/>
  <c r="BD243" i="28" s="1"/>
  <c r="BK243" i="28" s="1"/>
  <c r="BF241" i="28"/>
  <c r="BH241" i="28" s="1"/>
  <c r="BB241" i="28"/>
  <c r="BD241" i="28" s="1"/>
  <c r="BK241" i="28" s="1"/>
  <c r="AX234" i="28"/>
  <c r="BG42" i="28"/>
  <c r="BG47" i="28"/>
  <c r="BG8" i="28"/>
  <c r="BG16" i="28"/>
  <c r="BG22" i="28"/>
  <c r="BH22" i="28"/>
  <c r="BG24" i="28"/>
  <c r="BG30" i="28"/>
  <c r="BH30" i="28"/>
  <c r="BG32" i="28"/>
  <c r="BG38" i="28"/>
  <c r="BH38" i="28"/>
  <c r="BG39" i="28"/>
  <c r="BG40" i="28"/>
  <c r="BG41" i="28"/>
  <c r="BH41" i="28"/>
  <c r="BG43" i="28"/>
  <c r="BG44" i="28"/>
  <c r="BG46" i="28"/>
  <c r="BG49" i="28"/>
  <c r="BH49" i="28"/>
  <c r="BG50" i="28"/>
  <c r="BG51" i="28"/>
  <c r="BG52" i="28"/>
  <c r="BG55" i="28"/>
  <c r="BG57" i="28"/>
  <c r="BH57" i="28"/>
  <c r="BG62" i="28"/>
  <c r="BH62" i="28"/>
  <c r="BG64" i="28"/>
  <c r="BG71" i="28"/>
  <c r="BH71" i="28"/>
  <c r="BG77" i="28"/>
  <c r="BH77" i="28"/>
  <c r="BG78" i="28"/>
  <c r="BH78" i="28"/>
  <c r="BG80" i="28"/>
  <c r="BG81" i="28"/>
  <c r="BG82" i="28"/>
  <c r="BH82" i="28"/>
  <c r="BG84" i="28"/>
  <c r="BG85" i="28"/>
  <c r="BG86" i="28"/>
  <c r="BH86" i="28"/>
  <c r="BG88" i="28"/>
  <c r="BG89" i="28"/>
  <c r="BG90" i="28"/>
  <c r="BH90" i="28"/>
  <c r="BG92" i="28"/>
  <c r="BG93" i="28"/>
  <c r="BG94" i="28"/>
  <c r="BH94" i="28"/>
  <c r="BG96" i="28"/>
  <c r="BG97" i="28"/>
  <c r="BG99" i="28"/>
  <c r="BH99" i="28"/>
  <c r="BG100" i="28"/>
  <c r="BG101" i="28"/>
  <c r="BG102" i="28"/>
  <c r="BG103" i="28"/>
  <c r="BG104" i="28"/>
  <c r="BG105" i="28"/>
  <c r="BG106" i="28"/>
  <c r="BG107" i="28"/>
  <c r="BG108" i="28"/>
  <c r="BG109" i="28"/>
  <c r="BG110" i="28"/>
  <c r="BG111" i="28"/>
  <c r="BG112" i="28"/>
  <c r="BG113" i="28"/>
  <c r="BG114" i="28"/>
  <c r="BG115" i="28"/>
  <c r="BG116" i="28"/>
  <c r="BG117" i="28"/>
  <c r="BG118" i="28"/>
  <c r="BG119" i="28"/>
  <c r="BG120" i="28"/>
  <c r="BG121" i="28"/>
  <c r="BG122" i="28"/>
  <c r="BG123" i="28"/>
  <c r="BG124" i="28"/>
  <c r="BG125" i="28"/>
  <c r="BG126" i="28"/>
  <c r="BG127" i="28"/>
  <c r="BG128" i="28"/>
  <c r="BG129" i="28"/>
  <c r="BG130" i="28"/>
  <c r="BG131" i="28"/>
  <c r="BG132" i="28"/>
  <c r="BG133" i="28"/>
  <c r="BG134" i="28"/>
  <c r="BG135" i="28"/>
  <c r="BG136" i="28"/>
  <c r="BG137" i="28"/>
  <c r="BG138" i="28"/>
  <c r="BG139" i="28"/>
  <c r="BG140" i="28"/>
  <c r="BG141" i="28"/>
  <c r="BG142" i="28"/>
  <c r="BG143" i="28"/>
  <c r="BG144" i="28"/>
  <c r="BG145" i="28"/>
  <c r="BG146" i="28"/>
  <c r="BG147" i="28"/>
  <c r="BG148" i="28"/>
  <c r="BG149" i="28"/>
  <c r="BG150" i="28"/>
  <c r="BG151" i="28"/>
  <c r="BG152" i="28"/>
  <c r="BG153" i="28"/>
  <c r="BG154" i="28"/>
  <c r="BG155" i="28"/>
  <c r="BG156" i="28"/>
  <c r="BG157" i="28"/>
  <c r="BG158" i="28"/>
  <c r="BG159" i="28"/>
  <c r="BG160" i="28"/>
  <c r="BG161" i="28"/>
  <c r="BG162" i="28"/>
  <c r="BG163" i="28"/>
  <c r="BG164" i="28"/>
  <c r="BG165" i="28"/>
  <c r="BG166" i="28"/>
  <c r="BG167" i="28"/>
  <c r="BG168" i="28"/>
  <c r="BG169" i="28"/>
  <c r="BG170" i="28"/>
  <c r="BG171" i="28"/>
  <c r="BG172" i="28"/>
  <c r="BG173" i="28"/>
  <c r="BG174" i="28"/>
  <c r="BG175" i="28"/>
  <c r="BG176" i="28"/>
  <c r="BG177" i="28"/>
  <c r="BG178" i="28"/>
  <c r="BG179" i="28"/>
  <c r="BG180" i="28"/>
  <c r="BG181" i="28"/>
  <c r="BG182" i="28"/>
  <c r="BG183" i="28"/>
  <c r="BG184" i="28"/>
  <c r="BG185" i="28"/>
  <c r="BG186" i="28"/>
  <c r="BG187" i="28"/>
  <c r="BG188" i="28"/>
  <c r="BG189" i="28"/>
  <c r="BG190" i="28"/>
  <c r="BG191" i="28"/>
  <c r="BG192" i="28"/>
  <c r="BG193" i="28"/>
  <c r="BG194" i="28"/>
  <c r="BG195" i="28"/>
  <c r="BG196" i="28"/>
  <c r="BG197" i="28"/>
  <c r="BG198" i="28"/>
  <c r="BG199" i="28"/>
  <c r="BG200" i="28"/>
  <c r="BG201" i="28"/>
  <c r="BG202" i="28"/>
  <c r="BG203" i="28"/>
  <c r="BG204" i="28"/>
  <c r="BG205" i="28"/>
  <c r="BG206" i="28"/>
  <c r="BG207" i="28"/>
  <c r="BG208" i="28"/>
  <c r="BG209" i="28"/>
  <c r="BG210" i="28"/>
  <c r="BG211" i="28"/>
  <c r="BG212" i="28"/>
  <c r="BG213" i="28"/>
  <c r="BG214" i="28"/>
  <c r="BG215" i="28"/>
  <c r="BG216" i="28"/>
  <c r="BG217" i="28"/>
  <c r="BG218" i="28"/>
  <c r="BG219" i="28"/>
  <c r="BG220" i="28"/>
  <c r="BG221" i="28"/>
  <c r="BG222" i="28"/>
  <c r="BG223" i="28"/>
  <c r="BG224" i="28"/>
  <c r="BG225" i="28"/>
  <c r="BG226" i="28"/>
  <c r="BG227" i="28"/>
  <c r="BG228" i="28"/>
  <c r="BG229" i="28"/>
  <c r="BG230" i="28"/>
  <c r="BG231" i="28"/>
  <c r="BG232" i="28"/>
  <c r="BG233" i="28"/>
  <c r="BG234" i="28"/>
  <c r="BG235" i="28"/>
  <c r="BG237" i="28"/>
  <c r="BH237" i="28"/>
  <c r="BG238" i="28"/>
  <c r="BH238" i="28"/>
  <c r="BG239" i="28"/>
  <c r="BG240" i="28"/>
  <c r="BH240" i="28"/>
  <c r="BG241" i="28"/>
  <c r="BG242" i="28"/>
  <c r="BH242" i="28"/>
  <c r="BG243" i="28"/>
  <c r="BG244" i="28"/>
  <c r="BH244" i="28"/>
  <c r="BG245" i="28"/>
  <c r="BG246" i="28"/>
  <c r="BH246" i="28"/>
  <c r="BG247" i="28"/>
  <c r="BG248" i="28"/>
  <c r="BH248" i="28"/>
  <c r="BG249" i="28"/>
  <c r="BG250" i="28"/>
  <c r="BH250" i="28"/>
  <c r="BG251" i="28"/>
  <c r="BG252" i="28"/>
  <c r="BH252" i="28"/>
  <c r="BG253" i="28"/>
  <c r="BG254" i="28"/>
  <c r="BG255" i="28"/>
  <c r="BG257" i="28"/>
  <c r="BH257" i="28"/>
  <c r="BG258" i="28"/>
  <c r="BH258" i="28"/>
  <c r="BG259" i="28"/>
  <c r="BG260" i="28"/>
  <c r="BG261" i="28"/>
  <c r="BG262" i="28"/>
  <c r="BG263" i="28"/>
  <c r="BG264" i="28"/>
  <c r="BG265" i="28"/>
  <c r="BG266" i="28"/>
  <c r="BG267" i="28"/>
  <c r="BG268" i="28"/>
  <c r="BG269" i="28"/>
  <c r="BG270" i="28"/>
  <c r="BG271" i="28"/>
  <c r="BG272" i="28"/>
  <c r="BG273" i="28"/>
  <c r="BG274" i="28"/>
  <c r="BG275" i="28"/>
  <c r="BG276" i="28"/>
  <c r="BG277" i="28"/>
  <c r="BG278" i="28"/>
  <c r="BG279" i="28"/>
  <c r="BG280" i="28"/>
  <c r="BG281" i="28"/>
  <c r="BG282" i="28"/>
  <c r="BG283" i="28"/>
  <c r="BG284" i="28"/>
  <c r="BG285" i="28"/>
  <c r="BG286" i="28"/>
  <c r="BG287" i="28"/>
  <c r="BG288" i="28"/>
  <c r="BG289" i="28"/>
  <c r="BG290" i="28"/>
  <c r="BG291" i="28"/>
  <c r="BG292" i="28"/>
  <c r="BG293" i="28"/>
  <c r="BG294" i="28"/>
  <c r="BG295" i="28"/>
  <c r="BG296" i="28"/>
  <c r="BG300" i="28"/>
  <c r="BH300" i="28"/>
  <c r="BG301" i="28"/>
  <c r="BG302" i="28"/>
  <c r="BG303" i="28"/>
  <c r="BG305" i="28"/>
  <c r="BH305" i="28"/>
  <c r="BG306" i="28"/>
  <c r="BH306" i="28"/>
  <c r="BG307" i="28"/>
  <c r="BG308" i="28"/>
  <c r="BG310" i="28"/>
  <c r="BG311" i="28"/>
  <c r="BG312" i="28"/>
  <c r="BG313" i="28"/>
  <c r="BG314" i="28"/>
  <c r="BG315" i="28"/>
  <c r="BG316" i="28"/>
  <c r="BG317" i="28"/>
  <c r="BG318" i="28"/>
  <c r="BG319" i="28"/>
  <c r="BG320" i="28"/>
  <c r="BG321" i="28"/>
  <c r="BG322" i="28"/>
  <c r="BG323" i="28"/>
  <c r="BG324" i="28"/>
  <c r="BG325" i="28"/>
  <c r="BG326" i="28"/>
  <c r="BG327" i="28"/>
  <c r="BG328" i="28"/>
  <c r="BG329" i="28"/>
  <c r="BG330" i="28"/>
  <c r="BG331" i="28"/>
  <c r="BG332" i="28"/>
  <c r="BG333" i="28"/>
  <c r="BG335" i="28"/>
  <c r="BG336" i="28"/>
  <c r="BG337" i="28"/>
  <c r="BG338" i="28"/>
  <c r="BG339" i="28"/>
  <c r="BG340" i="28"/>
  <c r="BG341" i="28"/>
  <c r="BG342" i="28"/>
  <c r="BG343" i="28"/>
  <c r="BG344" i="28"/>
  <c r="BG345" i="28"/>
  <c r="BG346" i="28"/>
  <c r="BG347" i="28"/>
  <c r="BG348" i="28"/>
  <c r="BG349" i="28"/>
  <c r="BG350" i="28"/>
  <c r="BG351" i="28"/>
  <c r="BG352" i="28"/>
  <c r="BG353" i="28"/>
  <c r="BG354" i="28"/>
  <c r="BG355" i="28"/>
  <c r="BG356" i="28"/>
  <c r="BG357" i="28"/>
  <c r="BG358" i="28"/>
  <c r="BG359" i="28"/>
  <c r="BG360" i="28"/>
  <c r="BG361" i="28"/>
  <c r="BG362" i="28"/>
  <c r="BG363" i="28"/>
  <c r="BG364" i="28"/>
  <c r="BG365" i="28"/>
  <c r="BG366" i="28"/>
  <c r="BG367" i="28"/>
  <c r="BG368" i="28"/>
  <c r="BG369" i="28"/>
  <c r="BG370" i="28"/>
  <c r="BG371" i="28"/>
  <c r="BG372" i="28"/>
  <c r="BG373" i="28"/>
  <c r="BG374" i="28"/>
  <c r="BG375" i="28"/>
  <c r="BG376" i="28"/>
  <c r="BG377" i="28"/>
  <c r="BG378" i="28"/>
  <c r="BG379" i="28"/>
  <c r="BG380" i="28"/>
  <c r="BG381" i="28"/>
  <c r="BG382" i="28"/>
  <c r="BG383" i="28"/>
  <c r="BG384" i="28"/>
  <c r="BG385" i="28"/>
  <c r="BG386" i="28"/>
  <c r="BG387" i="28"/>
  <c r="BG388" i="28"/>
  <c r="BG389" i="28"/>
  <c r="BG390" i="28"/>
  <c r="BG391" i="28"/>
  <c r="BG392" i="28"/>
  <c r="BG393" i="28"/>
  <c r="BG394" i="28"/>
  <c r="BG395" i="28"/>
  <c r="BG396" i="28"/>
  <c r="BG397" i="28"/>
  <c r="BG398" i="28"/>
  <c r="BG399" i="28"/>
  <c r="BG400" i="28"/>
  <c r="BG401" i="28"/>
  <c r="BG402" i="28"/>
  <c r="BG403" i="28"/>
  <c r="BG404" i="28"/>
  <c r="BG405" i="28"/>
  <c r="BG406" i="28"/>
  <c r="BG407" i="28"/>
  <c r="BG408" i="28"/>
  <c r="BG409" i="28"/>
  <c r="BG410" i="28"/>
  <c r="BG411" i="28"/>
  <c r="BG412" i="28"/>
  <c r="BG413" i="28"/>
  <c r="BG414" i="28"/>
  <c r="BG415" i="28"/>
  <c r="BG417" i="28"/>
  <c r="BG418" i="28"/>
  <c r="BG419" i="28"/>
  <c r="BG420" i="28"/>
  <c r="BG421" i="28"/>
  <c r="BG422" i="28"/>
  <c r="BG423" i="28"/>
  <c r="BG424" i="28"/>
  <c r="BG425" i="28"/>
  <c r="BG426" i="28"/>
  <c r="BG427" i="28"/>
  <c r="BG428" i="28"/>
  <c r="BG429" i="28"/>
  <c r="BG430" i="28"/>
  <c r="BG432" i="28"/>
  <c r="BH432" i="28"/>
  <c r="BG433" i="28"/>
  <c r="BH433" i="28"/>
  <c r="BG434" i="28"/>
  <c r="BH434" i="28"/>
  <c r="BG435" i="28"/>
  <c r="BH435" i="28"/>
  <c r="BG436" i="28"/>
  <c r="BG437" i="28"/>
  <c r="BH437" i="28"/>
  <c r="BG438" i="28"/>
  <c r="BH438" i="28"/>
  <c r="BG439" i="28"/>
  <c r="BH439" i="28"/>
  <c r="BG440" i="28"/>
  <c r="BG441" i="28"/>
  <c r="BG442" i="28"/>
  <c r="BG443" i="28"/>
  <c r="BG444" i="28"/>
  <c r="BG445" i="28"/>
  <c r="BG446" i="28"/>
  <c r="BG447" i="28"/>
  <c r="BG448" i="28"/>
  <c r="BG449" i="28"/>
  <c r="BG450" i="28"/>
  <c r="BG451" i="28"/>
  <c r="BG452" i="28"/>
  <c r="BG453" i="28"/>
  <c r="BG454" i="28"/>
  <c r="BG455" i="28"/>
  <c r="BG456" i="28"/>
  <c r="BG457" i="28"/>
  <c r="BG458" i="28"/>
  <c r="BG459" i="28"/>
  <c r="BG460" i="28"/>
  <c r="BG461" i="28"/>
  <c r="BG462" i="28"/>
  <c r="BG463" i="28"/>
  <c r="BG464" i="28"/>
  <c r="BG465" i="28"/>
  <c r="BG466" i="28"/>
  <c r="BG467" i="28"/>
  <c r="BG468" i="28"/>
  <c r="BG469" i="28"/>
  <c r="BG470" i="28"/>
  <c r="BG471" i="28"/>
  <c r="BG472" i="28"/>
  <c r="BG473" i="28"/>
  <c r="BG474" i="28"/>
  <c r="BH474" i="28"/>
  <c r="BG475" i="28"/>
  <c r="BG476" i="28"/>
  <c r="BG477" i="28"/>
  <c r="BG478" i="28"/>
  <c r="BG479" i="28"/>
  <c r="BG480" i="28"/>
  <c r="BG481" i="28"/>
  <c r="BG482" i="28"/>
  <c r="BG483" i="28"/>
  <c r="BG484" i="28"/>
  <c r="BH484" i="28"/>
  <c r="BG485" i="28"/>
  <c r="BG486" i="28"/>
  <c r="BG487" i="28"/>
  <c r="BG488" i="28"/>
  <c r="BG489" i="28"/>
  <c r="BG490" i="28"/>
  <c r="BG491" i="28"/>
  <c r="BG492" i="28"/>
  <c r="BG494" i="28"/>
  <c r="BH494" i="28"/>
  <c r="BG495" i="28"/>
  <c r="BH495" i="28"/>
  <c r="BG498" i="28"/>
  <c r="BH498" i="28"/>
  <c r="BG499" i="28"/>
  <c r="BH499" i="28"/>
  <c r="BG500" i="28"/>
  <c r="BH500" i="28"/>
  <c r="BG501" i="28"/>
  <c r="BH501" i="28"/>
  <c r="BG504" i="28"/>
  <c r="BH504" i="28"/>
  <c r="BG508" i="28"/>
  <c r="BG512" i="28"/>
  <c r="BG516" i="28"/>
  <c r="BG520" i="28"/>
  <c r="BH520" i="28"/>
  <c r="BG521" i="28"/>
  <c r="BH521" i="28"/>
  <c r="BG525" i="28"/>
  <c r="BG526" i="28"/>
  <c r="BH526" i="28"/>
  <c r="BG527" i="28"/>
  <c r="BH527" i="28"/>
  <c r="BG528" i="28"/>
  <c r="BH528" i="28"/>
  <c r="BG529" i="28"/>
  <c r="BH529" i="28"/>
  <c r="BG530" i="28"/>
  <c r="BH530" i="28"/>
  <c r="BG531" i="28"/>
  <c r="BH531" i="28"/>
  <c r="BG532" i="28"/>
  <c r="BH532" i="28"/>
  <c r="BG533" i="28"/>
  <c r="BH533" i="28"/>
  <c r="BG534" i="28"/>
  <c r="BH534" i="28"/>
  <c r="BG535" i="28"/>
  <c r="BH535" i="28"/>
  <c r="BG536" i="28"/>
  <c r="BH536" i="28"/>
  <c r="BG537" i="28"/>
  <c r="BH537" i="28"/>
  <c r="BG538" i="28"/>
  <c r="BH538" i="28"/>
  <c r="BG539" i="28"/>
  <c r="BH539" i="28"/>
  <c r="BG540" i="28"/>
  <c r="BH540" i="28"/>
  <c r="BG541" i="28"/>
  <c r="BH541" i="28"/>
  <c r="BG542" i="28"/>
  <c r="BH542" i="28"/>
  <c r="BG543" i="28"/>
  <c r="BH543" i="28"/>
  <c r="BG544" i="28"/>
  <c r="BH544" i="28"/>
  <c r="BG545" i="28"/>
  <c r="BH545" i="28"/>
  <c r="BG546" i="28"/>
  <c r="BH546" i="28"/>
  <c r="BG547" i="28"/>
  <c r="BH547" i="28"/>
  <c r="BG548" i="28"/>
  <c r="BH548" i="28"/>
  <c r="BG549" i="28"/>
  <c r="BH549" i="28"/>
  <c r="BG550" i="28"/>
  <c r="BH550" i="28"/>
  <c r="BG551" i="28"/>
  <c r="BH551" i="28"/>
  <c r="BG552" i="28"/>
  <c r="BH552" i="28"/>
  <c r="BG553" i="28"/>
  <c r="BH553" i="28"/>
  <c r="BG554" i="28"/>
  <c r="BH554" i="28"/>
  <c r="BG555" i="28"/>
  <c r="BH555" i="28"/>
  <c r="BG556" i="28"/>
  <c r="BH556" i="28"/>
  <c r="BG557" i="28"/>
  <c r="BH557" i="28"/>
  <c r="BG558" i="28"/>
  <c r="BH558" i="28"/>
  <c r="BG559" i="28"/>
  <c r="BH559" i="28"/>
  <c r="BG560" i="28"/>
  <c r="BH560" i="28"/>
  <c r="BG561" i="28"/>
  <c r="BH561" i="28"/>
  <c r="BG562" i="28"/>
  <c r="BH562" i="28"/>
  <c r="BG563" i="28"/>
  <c r="BH563" i="28"/>
  <c r="BG564" i="28"/>
  <c r="BH564" i="28"/>
  <c r="BG565" i="28"/>
  <c r="BH565" i="28"/>
  <c r="BG566" i="28"/>
  <c r="BH566" i="28"/>
  <c r="BG567" i="28"/>
  <c r="BH567" i="28"/>
  <c r="BG568" i="28"/>
  <c r="BH568" i="28"/>
  <c r="BG569" i="28"/>
  <c r="BH569" i="28"/>
  <c r="BG570" i="28"/>
  <c r="BH570" i="28"/>
  <c r="BG571" i="28"/>
  <c r="BH571" i="28"/>
  <c r="BG572" i="28"/>
  <c r="BH572" i="28"/>
  <c r="BG573" i="28"/>
  <c r="BH573" i="28"/>
  <c r="BG574" i="28"/>
  <c r="BH574" i="28"/>
  <c r="BG575" i="28"/>
  <c r="BH575" i="28"/>
  <c r="BG576" i="28"/>
  <c r="BH576" i="28"/>
  <c r="BG577" i="28"/>
  <c r="BH577" i="28"/>
  <c r="BG578" i="28"/>
  <c r="BH578" i="28"/>
  <c r="BG579" i="28"/>
  <c r="BH579" i="28"/>
  <c r="BG580" i="28"/>
  <c r="BH580" i="28"/>
  <c r="BG581" i="28"/>
  <c r="BH581" i="28"/>
  <c r="BG582" i="28"/>
  <c r="BH582" i="28"/>
  <c r="BG583" i="28"/>
  <c r="BH583" i="28"/>
  <c r="BG584" i="28"/>
  <c r="BH584" i="28"/>
  <c r="BG585" i="28"/>
  <c r="BH585" i="28"/>
  <c r="BG586" i="28"/>
  <c r="BH586" i="28"/>
  <c r="BG587" i="28"/>
  <c r="BH587" i="28"/>
  <c r="BG588" i="28"/>
  <c r="BH588" i="28"/>
  <c r="BG589" i="28"/>
  <c r="BH589" i="28"/>
  <c r="BG590" i="28"/>
  <c r="BH590" i="28"/>
  <c r="BG591" i="28"/>
  <c r="BH591" i="28"/>
  <c r="BG592" i="28"/>
  <c r="BH592" i="28"/>
  <c r="BG593" i="28"/>
  <c r="BH593" i="28"/>
  <c r="BG594" i="28"/>
  <c r="BH594" i="28"/>
  <c r="BG596" i="28"/>
  <c r="BK8" i="45" l="1"/>
  <c r="BK9" i="45"/>
  <c r="BK10" i="45"/>
  <c r="BK11" i="45"/>
  <c r="BK12" i="45"/>
  <c r="BK13" i="45"/>
  <c r="BK14" i="45"/>
  <c r="BK15" i="45"/>
  <c r="BK16" i="45"/>
  <c r="BK17" i="45"/>
  <c r="BK18" i="45"/>
  <c r="BK19" i="45"/>
  <c r="BK20" i="45"/>
  <c r="BK21" i="45"/>
  <c r="BK22" i="45"/>
  <c r="BK23" i="45"/>
  <c r="BK24" i="45"/>
  <c r="BK25" i="45"/>
  <c r="BK27" i="45"/>
  <c r="BK28" i="45"/>
  <c r="BK29" i="45"/>
  <c r="BK30" i="45"/>
  <c r="BK31" i="45"/>
  <c r="BK32" i="45"/>
  <c r="BK33" i="45"/>
  <c r="BK34" i="45"/>
  <c r="BK35" i="45"/>
  <c r="BK36" i="45"/>
  <c r="BK37" i="45"/>
  <c r="BK38" i="45"/>
  <c r="BK39" i="45"/>
  <c r="BK40" i="45"/>
  <c r="BK41" i="45"/>
  <c r="BK42" i="45"/>
  <c r="BK43" i="45"/>
  <c r="BK44" i="45"/>
  <c r="BK45" i="45"/>
  <c r="BK46" i="45"/>
  <c r="BK47" i="45"/>
  <c r="BK48" i="45"/>
  <c r="BK49" i="45"/>
  <c r="BK50" i="45"/>
  <c r="BK51" i="45"/>
  <c r="BK52" i="45"/>
  <c r="BK54" i="45"/>
  <c r="BK55" i="45"/>
  <c r="BK56" i="45"/>
  <c r="BK57" i="45"/>
  <c r="BK58" i="45"/>
  <c r="BK59" i="45"/>
  <c r="BK60" i="45"/>
  <c r="BK61" i="45"/>
  <c r="BK62" i="45"/>
  <c r="BK63" i="45"/>
  <c r="BK64" i="45"/>
  <c r="BK65" i="45"/>
  <c r="BK66" i="45"/>
  <c r="BK67" i="45"/>
  <c r="BK68" i="45"/>
  <c r="BK69" i="45"/>
  <c r="BK70" i="45"/>
  <c r="BK71" i="45"/>
  <c r="BK72" i="45"/>
  <c r="BK73" i="45"/>
  <c r="BK74" i="45"/>
  <c r="BK75" i="45"/>
  <c r="BK76" i="45"/>
  <c r="BK77" i="45"/>
  <c r="BK78" i="45"/>
  <c r="BK79" i="45"/>
  <c r="BK80" i="45"/>
  <c r="BK81" i="45"/>
  <c r="BK82" i="45"/>
  <c r="BK83" i="45"/>
  <c r="BK84" i="45"/>
  <c r="BK85" i="45"/>
  <c r="BK86" i="45"/>
  <c r="BK87" i="45"/>
  <c r="BK88" i="45"/>
  <c r="BK89" i="45"/>
  <c r="BK90" i="45"/>
  <c r="BK91" i="45"/>
  <c r="BK92" i="45"/>
  <c r="BK93" i="45"/>
  <c r="BK94" i="45"/>
  <c r="BK95" i="45"/>
  <c r="BK96" i="45"/>
  <c r="BK97" i="45"/>
  <c r="BK98" i="45"/>
  <c r="BK99" i="45"/>
  <c r="BK100" i="45"/>
  <c r="BK101" i="45"/>
  <c r="BK102" i="45"/>
  <c r="BK103" i="45"/>
  <c r="BK104" i="45"/>
  <c r="BK105" i="45"/>
  <c r="BK106" i="45"/>
  <c r="BK107" i="45"/>
  <c r="BK108" i="45"/>
  <c r="BK109" i="45"/>
  <c r="BK110" i="45"/>
  <c r="BK111" i="45"/>
  <c r="BK112" i="45"/>
  <c r="BK113" i="45"/>
  <c r="BK114" i="45"/>
  <c r="BK115" i="45"/>
  <c r="BK116" i="45"/>
  <c r="BK117" i="45"/>
  <c r="BK118" i="45"/>
  <c r="BK119" i="45"/>
  <c r="BK120" i="45"/>
  <c r="BK123" i="45"/>
  <c r="BK127" i="45"/>
  <c r="BK128" i="45"/>
  <c r="BK129" i="45"/>
  <c r="BK130" i="45"/>
  <c r="BK131" i="45"/>
  <c r="BL131" i="45"/>
  <c r="BK147" i="45"/>
  <c r="BK148" i="45"/>
  <c r="BK149" i="45"/>
  <c r="BK150" i="45"/>
  <c r="BK151" i="45"/>
  <c r="BK152" i="45"/>
  <c r="BK153" i="45"/>
  <c r="BK154" i="45"/>
  <c r="BL154" i="45"/>
  <c r="BK155" i="45"/>
  <c r="BK156" i="45"/>
  <c r="BK157" i="45"/>
  <c r="BK158" i="45"/>
  <c r="BK159" i="45"/>
  <c r="BK160" i="45"/>
  <c r="BK161" i="45"/>
  <c r="BK162" i="45"/>
  <c r="BL162" i="45"/>
  <c r="BL6" i="10"/>
  <c r="BM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BL71" i="10"/>
  <c r="BL72" i="10"/>
  <c r="BL73" i="10"/>
  <c r="BL74" i="10"/>
  <c r="BL75" i="10"/>
  <c r="BL76" i="10"/>
  <c r="BL77" i="10"/>
  <c r="BL78" i="10"/>
  <c r="BL79" i="10"/>
  <c r="BL80" i="10"/>
  <c r="BL81" i="10"/>
  <c r="BL82" i="10"/>
  <c r="BL83" i="10"/>
  <c r="BL84" i="10"/>
  <c r="BL85" i="10"/>
  <c r="BL86" i="10"/>
  <c r="BL87" i="10"/>
  <c r="BL88" i="10"/>
  <c r="BL89" i="10"/>
  <c r="BL90" i="10"/>
  <c r="BL91" i="10"/>
  <c r="BL92" i="10"/>
  <c r="BL93" i="10"/>
  <c r="BL94" i="10"/>
  <c r="BL95" i="10"/>
  <c r="BL96" i="10"/>
  <c r="BL97" i="10"/>
  <c r="BL98" i="10"/>
  <c r="BL99" i="10"/>
  <c r="BL100" i="10"/>
  <c r="BL101" i="10"/>
  <c r="BL102" i="10"/>
  <c r="BL103" i="10"/>
  <c r="BL104" i="10"/>
  <c r="BL106" i="10"/>
  <c r="BL107" i="10"/>
  <c r="BL108" i="10"/>
  <c r="BL109" i="10"/>
  <c r="BL110" i="10"/>
  <c r="BL111" i="10"/>
  <c r="BL112" i="10"/>
  <c r="BL113" i="10"/>
  <c r="BL114" i="10"/>
  <c r="BL115" i="10"/>
  <c r="BL116" i="10"/>
  <c r="BL117" i="10"/>
  <c r="BL118" i="10"/>
  <c r="BL119" i="10"/>
  <c r="BL120" i="10"/>
  <c r="BL121" i="10"/>
  <c r="BL122" i="10"/>
  <c r="BL123" i="10"/>
  <c r="BL124" i="10"/>
  <c r="BL125" i="10"/>
  <c r="BL126" i="10"/>
  <c r="BL127" i="10"/>
  <c r="BL128" i="10"/>
  <c r="BM128" i="10"/>
  <c r="BL129" i="10"/>
  <c r="BL130" i="10"/>
  <c r="BL131" i="10"/>
  <c r="BL132" i="10"/>
  <c r="BL133" i="10"/>
  <c r="BL134" i="10"/>
  <c r="BL135" i="10"/>
  <c r="BL136" i="10"/>
  <c r="BL137" i="10"/>
  <c r="BL138" i="10"/>
  <c r="BL139" i="10"/>
  <c r="BL140" i="10"/>
  <c r="BL141" i="10"/>
  <c r="BL142" i="10"/>
  <c r="BL143" i="10"/>
  <c r="BL144" i="10"/>
  <c r="BL145" i="10"/>
  <c r="BL146" i="10"/>
  <c r="BL147" i="10"/>
  <c r="BL148" i="10"/>
  <c r="BL149" i="10"/>
  <c r="BL150" i="10"/>
  <c r="BL151" i="10"/>
  <c r="BL152" i="10"/>
  <c r="BL153" i="10"/>
  <c r="BL154" i="10"/>
  <c r="BL155" i="10"/>
  <c r="BL156" i="10"/>
  <c r="BL157" i="10"/>
  <c r="BL160" i="10"/>
  <c r="BL162" i="10"/>
  <c r="BL164" i="10"/>
  <c r="BM164" i="10"/>
  <c r="BL180" i="10"/>
  <c r="BL181" i="10"/>
  <c r="BL182" i="10"/>
  <c r="BL183" i="10"/>
  <c r="BL184" i="10"/>
  <c r="BL185" i="10"/>
  <c r="BL186" i="10"/>
  <c r="BL187" i="10"/>
  <c r="BM187" i="10"/>
  <c r="BL188" i="10"/>
  <c r="BL189" i="10"/>
  <c r="BL190" i="10"/>
  <c r="BL191" i="10"/>
  <c r="BL192" i="10"/>
  <c r="BL193" i="10"/>
  <c r="BL194" i="10"/>
  <c r="BM194" i="10"/>
  <c r="BL195" i="10"/>
  <c r="BM195" i="10"/>
  <c r="BL196" i="10"/>
  <c r="BL197" i="10"/>
  <c r="BM197" i="10"/>
  <c r="BL198" i="10"/>
  <c r="BM198" i="10"/>
  <c r="BL199" i="10"/>
  <c r="BL200" i="10"/>
  <c r="BL201" i="10"/>
  <c r="BM201" i="10"/>
  <c r="BL202" i="10"/>
  <c r="BM202" i="10"/>
  <c r="BJ6" i="10"/>
  <c r="BK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28" i="10"/>
  <c r="BJ29" i="10"/>
  <c r="BJ30" i="10"/>
  <c r="BJ31" i="10"/>
  <c r="BJ32" i="10"/>
  <c r="BJ33" i="10"/>
  <c r="BJ34" i="10"/>
  <c r="BJ35" i="10"/>
  <c r="BJ36" i="10"/>
  <c r="BJ37" i="10"/>
  <c r="BJ38" i="10"/>
  <c r="BJ39" i="10"/>
  <c r="BJ40" i="10"/>
  <c r="BJ41" i="10"/>
  <c r="BJ42" i="10"/>
  <c r="BJ43" i="10"/>
  <c r="BJ44" i="10"/>
  <c r="BJ45" i="10"/>
  <c r="BJ46" i="10"/>
  <c r="BJ47" i="10"/>
  <c r="BJ48" i="10"/>
  <c r="BJ49" i="10"/>
  <c r="BJ50" i="10"/>
  <c r="BJ51" i="10"/>
  <c r="BJ52" i="10"/>
  <c r="BJ53" i="10"/>
  <c r="BJ54" i="10"/>
  <c r="BJ55" i="10"/>
  <c r="BJ56" i="10"/>
  <c r="BJ57" i="10"/>
  <c r="BJ58" i="10"/>
  <c r="BJ59" i="10"/>
  <c r="BJ60" i="10"/>
  <c r="BJ61" i="10"/>
  <c r="BJ62" i="10"/>
  <c r="BJ63" i="10"/>
  <c r="BJ64" i="10"/>
  <c r="BJ65" i="10"/>
  <c r="BJ66" i="10"/>
  <c r="BJ67" i="10"/>
  <c r="BJ68" i="10"/>
  <c r="BJ69" i="10"/>
  <c r="BJ70" i="10"/>
  <c r="BJ71" i="10"/>
  <c r="BJ72" i="10"/>
  <c r="BJ73" i="10"/>
  <c r="BJ74" i="10"/>
  <c r="BJ75" i="10"/>
  <c r="BJ76" i="10"/>
  <c r="BJ77" i="10"/>
  <c r="BJ78" i="10"/>
  <c r="BJ79" i="10"/>
  <c r="BJ80" i="10"/>
  <c r="BJ81" i="10"/>
  <c r="BJ82" i="10"/>
  <c r="BJ83" i="10"/>
  <c r="BJ84" i="10"/>
  <c r="BJ85" i="10"/>
  <c r="BJ86" i="10"/>
  <c r="BJ87" i="10"/>
  <c r="BJ88" i="10"/>
  <c r="BJ89" i="10"/>
  <c r="BJ90" i="10"/>
  <c r="BJ91" i="10"/>
  <c r="BJ92" i="10"/>
  <c r="BJ93" i="10"/>
  <c r="BJ94" i="10"/>
  <c r="BJ95" i="10"/>
  <c r="BJ96" i="10"/>
  <c r="BJ97" i="10"/>
  <c r="BJ98" i="10"/>
  <c r="BJ99" i="10"/>
  <c r="BJ100" i="10"/>
  <c r="BJ101" i="10"/>
  <c r="BJ102" i="10"/>
  <c r="BJ103" i="10"/>
  <c r="BJ104" i="10"/>
  <c r="BJ106" i="10"/>
  <c r="BJ107" i="10"/>
  <c r="BJ108" i="10"/>
  <c r="BJ109" i="10"/>
  <c r="BJ110" i="10"/>
  <c r="BJ111" i="10"/>
  <c r="BJ112" i="10"/>
  <c r="BJ113" i="10"/>
  <c r="BJ114" i="10"/>
  <c r="BJ115" i="10"/>
  <c r="BJ116" i="10"/>
  <c r="BJ117" i="10"/>
  <c r="BJ118" i="10"/>
  <c r="BJ119" i="10"/>
  <c r="BJ120" i="10"/>
  <c r="BJ121" i="10"/>
  <c r="BJ122" i="10"/>
  <c r="BJ123" i="10"/>
  <c r="BJ124" i="10"/>
  <c r="BJ125" i="10"/>
  <c r="BJ126" i="10"/>
  <c r="BJ127" i="10"/>
  <c r="BJ128" i="10"/>
  <c r="BK128" i="10"/>
  <c r="BJ129" i="10"/>
  <c r="BJ130" i="10"/>
  <c r="BJ131" i="10"/>
  <c r="BJ132" i="10"/>
  <c r="BJ133" i="10"/>
  <c r="BJ134" i="10"/>
  <c r="BJ135" i="10"/>
  <c r="BJ136" i="10"/>
  <c r="BJ137" i="10"/>
  <c r="BJ138" i="10"/>
  <c r="BJ139" i="10"/>
  <c r="BJ140" i="10"/>
  <c r="BJ141" i="10"/>
  <c r="BJ142" i="10"/>
  <c r="BJ143" i="10"/>
  <c r="BJ144" i="10"/>
  <c r="BJ145" i="10"/>
  <c r="BJ146" i="10"/>
  <c r="BJ147" i="10"/>
  <c r="BJ148" i="10"/>
  <c r="BJ149" i="10"/>
  <c r="BJ150" i="10"/>
  <c r="BJ151" i="10"/>
  <c r="BJ152" i="10"/>
  <c r="BJ153" i="10"/>
  <c r="BJ154" i="10"/>
  <c r="BJ155" i="10"/>
  <c r="BJ156" i="10"/>
  <c r="BJ157" i="10"/>
  <c r="BJ160" i="10"/>
  <c r="BJ162" i="10"/>
  <c r="BJ164" i="10"/>
  <c r="BK164" i="10"/>
  <c r="BJ180" i="10"/>
  <c r="BJ181" i="10"/>
  <c r="BJ182" i="10"/>
  <c r="BJ183" i="10"/>
  <c r="BJ184" i="10"/>
  <c r="BJ185" i="10"/>
  <c r="BJ186" i="10"/>
  <c r="BJ187" i="10"/>
  <c r="BK187" i="10"/>
  <c r="BJ188" i="10"/>
  <c r="BJ189" i="10"/>
  <c r="BJ190" i="10"/>
  <c r="BJ191" i="10"/>
  <c r="BJ192" i="10"/>
  <c r="BJ193" i="10"/>
  <c r="BJ194" i="10"/>
  <c r="BK194" i="10"/>
  <c r="BJ195" i="10"/>
  <c r="BK195" i="10"/>
  <c r="BJ196" i="10"/>
  <c r="BJ197" i="10"/>
  <c r="BK197" i="10"/>
  <c r="BJ198" i="10"/>
  <c r="BK198" i="10"/>
  <c r="BJ199" i="10"/>
  <c r="BJ200" i="10"/>
  <c r="BJ201" i="10"/>
  <c r="BK201" i="10"/>
  <c r="BJ202" i="10"/>
  <c r="BK202" i="10"/>
  <c r="BH6" i="10"/>
  <c r="BI6" i="10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BH94" i="10"/>
  <c r="BH95" i="10"/>
  <c r="BH96" i="10"/>
  <c r="BH97" i="10"/>
  <c r="BH98" i="10"/>
  <c r="BH99" i="10"/>
  <c r="BH100" i="10"/>
  <c r="BH101" i="10"/>
  <c r="BH102" i="10"/>
  <c r="BH103" i="10"/>
  <c r="BH104" i="10"/>
  <c r="BH106" i="10"/>
  <c r="BH107" i="10"/>
  <c r="BH108" i="10"/>
  <c r="BH109" i="10"/>
  <c r="BH110" i="10"/>
  <c r="BH111" i="10"/>
  <c r="BH112" i="10"/>
  <c r="BH113" i="10"/>
  <c r="BH114" i="10"/>
  <c r="BH115" i="10"/>
  <c r="BH116" i="10"/>
  <c r="BH117" i="10"/>
  <c r="BH118" i="10"/>
  <c r="BH119" i="10"/>
  <c r="BH120" i="10"/>
  <c r="BH121" i="10"/>
  <c r="BH122" i="10"/>
  <c r="BH123" i="10"/>
  <c r="BH124" i="10"/>
  <c r="BH125" i="10"/>
  <c r="BH126" i="10"/>
  <c r="BH127" i="10"/>
  <c r="BH128" i="10"/>
  <c r="BI128" i="10"/>
  <c r="BH129" i="10"/>
  <c r="BH130" i="10"/>
  <c r="BH131" i="10"/>
  <c r="BH132" i="10"/>
  <c r="BH133" i="10"/>
  <c r="BH134" i="10"/>
  <c r="BH135" i="10"/>
  <c r="BH136" i="10"/>
  <c r="BH137" i="10"/>
  <c r="BH138" i="10"/>
  <c r="BH139" i="10"/>
  <c r="BH140" i="10"/>
  <c r="BH141" i="10"/>
  <c r="BH142" i="10"/>
  <c r="BH143" i="10"/>
  <c r="BH144" i="10"/>
  <c r="BH145" i="10"/>
  <c r="BH146" i="10"/>
  <c r="BH147" i="10"/>
  <c r="BH148" i="10"/>
  <c r="BH149" i="10"/>
  <c r="BH150" i="10"/>
  <c r="BH151" i="10"/>
  <c r="BH152" i="10"/>
  <c r="BH153" i="10"/>
  <c r="BH154" i="10"/>
  <c r="BH155" i="10"/>
  <c r="BH156" i="10"/>
  <c r="BH157" i="10"/>
  <c r="BH160" i="10"/>
  <c r="BH162" i="10"/>
  <c r="BH180" i="10"/>
  <c r="BH181" i="10"/>
  <c r="BH182" i="10"/>
  <c r="BH183" i="10"/>
  <c r="BH184" i="10"/>
  <c r="BH185" i="10"/>
  <c r="BH186" i="10"/>
  <c r="BH187" i="10"/>
  <c r="BI187" i="10"/>
  <c r="BH188" i="10"/>
  <c r="BH189" i="10"/>
  <c r="BH190" i="10"/>
  <c r="BH191" i="10"/>
  <c r="BH192" i="10"/>
  <c r="BH193" i="10"/>
  <c r="BH194" i="10"/>
  <c r="BI194" i="10"/>
  <c r="BH195" i="10"/>
  <c r="BI195" i="10"/>
  <c r="BH196" i="10"/>
  <c r="BH197" i="10"/>
  <c r="BI197" i="10"/>
  <c r="BH198" i="10"/>
  <c r="BI198" i="10"/>
  <c r="BH199" i="10"/>
  <c r="BH200" i="10"/>
  <c r="BH201" i="10"/>
  <c r="BI201" i="10"/>
  <c r="BH202" i="10"/>
  <c r="BI202" i="10"/>
  <c r="BA130" i="45"/>
  <c r="BH8" i="45"/>
  <c r="BH9" i="45"/>
  <c r="BH10" i="45"/>
  <c r="BH11" i="45"/>
  <c r="BH12" i="45"/>
  <c r="BH13" i="45"/>
  <c r="BH14" i="45"/>
  <c r="BH15" i="45"/>
  <c r="BH16" i="45"/>
  <c r="BH17" i="45"/>
  <c r="BH18" i="45"/>
  <c r="BH19" i="45"/>
  <c r="BH20" i="45"/>
  <c r="BH21" i="45"/>
  <c r="BH22" i="45"/>
  <c r="BH23" i="45"/>
  <c r="BH24" i="45"/>
  <c r="BH25" i="45"/>
  <c r="BH27" i="45"/>
  <c r="BH28" i="45"/>
  <c r="BH29" i="45"/>
  <c r="BH30" i="45"/>
  <c r="BH31" i="45"/>
  <c r="BH32" i="45"/>
  <c r="BH33" i="45"/>
  <c r="BH34" i="45"/>
  <c r="BH35" i="45"/>
  <c r="BH36" i="45"/>
  <c r="BH37" i="45"/>
  <c r="BH38" i="45"/>
  <c r="BH39" i="45"/>
  <c r="BH40" i="45"/>
  <c r="BH41" i="45"/>
  <c r="BH42" i="45"/>
  <c r="BH43" i="45"/>
  <c r="BH44" i="45"/>
  <c r="BH45" i="45"/>
  <c r="BH46" i="45"/>
  <c r="BH47" i="45"/>
  <c r="BH48" i="45"/>
  <c r="BH49" i="45"/>
  <c r="BH50" i="45"/>
  <c r="BH51" i="45"/>
  <c r="BH52" i="45"/>
  <c r="BH54" i="45"/>
  <c r="BH55" i="45"/>
  <c r="BH56" i="45"/>
  <c r="BH57" i="45"/>
  <c r="BH58" i="45"/>
  <c r="BH59" i="45"/>
  <c r="BH60" i="45"/>
  <c r="BH61" i="45"/>
  <c r="BH62" i="45"/>
  <c r="BH63" i="45"/>
  <c r="BH64" i="45"/>
  <c r="BH65" i="45"/>
  <c r="BH66" i="45"/>
  <c r="BH67" i="45"/>
  <c r="BH68" i="45"/>
  <c r="BH69" i="45"/>
  <c r="BH70" i="45"/>
  <c r="BH71" i="45"/>
  <c r="BH72" i="45"/>
  <c r="BH73" i="45"/>
  <c r="BH74" i="45"/>
  <c r="BH75" i="45"/>
  <c r="BH76" i="45"/>
  <c r="BH77" i="45"/>
  <c r="BH78" i="45"/>
  <c r="BH79" i="45"/>
  <c r="BH80" i="45"/>
  <c r="BH81" i="45"/>
  <c r="BH82" i="45"/>
  <c r="BH83" i="45"/>
  <c r="BH84" i="45"/>
  <c r="BH85" i="45"/>
  <c r="BH86" i="45"/>
  <c r="BH87" i="45"/>
  <c r="BH88" i="45"/>
  <c r="BH89" i="45"/>
  <c r="BH90" i="45"/>
  <c r="BH91" i="45"/>
  <c r="BH92" i="45"/>
  <c r="BH93" i="45"/>
  <c r="BH94" i="45"/>
  <c r="BH95" i="45"/>
  <c r="BH96" i="45"/>
  <c r="BH97" i="45"/>
  <c r="BH98" i="45"/>
  <c r="BH99" i="45"/>
  <c r="BH100" i="45"/>
  <c r="BH101" i="45"/>
  <c r="BH102" i="45"/>
  <c r="BH103" i="45"/>
  <c r="BH104" i="45"/>
  <c r="BH105" i="45"/>
  <c r="BH106" i="45"/>
  <c r="BH107" i="45"/>
  <c r="BH108" i="45"/>
  <c r="BH109" i="45"/>
  <c r="BH110" i="45"/>
  <c r="BH111" i="45"/>
  <c r="BH112" i="45"/>
  <c r="BH113" i="45"/>
  <c r="BH114" i="45"/>
  <c r="BH115" i="45"/>
  <c r="BH116" i="45"/>
  <c r="BH117" i="45"/>
  <c r="BH118" i="45"/>
  <c r="BH119" i="45"/>
  <c r="BH120" i="45"/>
  <c r="BH123" i="45"/>
  <c r="BH127" i="45"/>
  <c r="BH128" i="45"/>
  <c r="BH129" i="45"/>
  <c r="BH130" i="45"/>
  <c r="BH131" i="45"/>
  <c r="BI131" i="45"/>
  <c r="BH147" i="45"/>
  <c r="BH148" i="45"/>
  <c r="BH149" i="45"/>
  <c r="BH151" i="45"/>
  <c r="BH152" i="45"/>
  <c r="BH153" i="45"/>
  <c r="BH154" i="45"/>
  <c r="BI154" i="45"/>
  <c r="BH155" i="45"/>
  <c r="BH156" i="45"/>
  <c r="BH157" i="45"/>
  <c r="BH158" i="45"/>
  <c r="BH159" i="45"/>
  <c r="BH160" i="45"/>
  <c r="BH161" i="45"/>
  <c r="BH162" i="45"/>
  <c r="BI162" i="45"/>
  <c r="AY95" i="45"/>
  <c r="BG95" i="45" s="1"/>
  <c r="BI95" i="45" s="1"/>
  <c r="BA233" i="73" l="1"/>
  <c r="BE232" i="73"/>
  <c r="BA232" i="73"/>
  <c r="BA230" i="73"/>
  <c r="BA228" i="73"/>
  <c r="BA227" i="73"/>
  <c r="BA226" i="73"/>
  <c r="BA225" i="73"/>
  <c r="BE224" i="73"/>
  <c r="BA224" i="73"/>
  <c r="BE223" i="73"/>
  <c r="BA223" i="73"/>
  <c r="BE222" i="73"/>
  <c r="BA222" i="73"/>
  <c r="BA221" i="73"/>
  <c r="BC221" i="73" s="1"/>
  <c r="BA219" i="73"/>
  <c r="BA217" i="73"/>
  <c r="BE215" i="73"/>
  <c r="BA215" i="73"/>
  <c r="BA214" i="73"/>
  <c r="BA213" i="73"/>
  <c r="BA212" i="73"/>
  <c r="BE211" i="73"/>
  <c r="BA211" i="73"/>
  <c r="BE210" i="73"/>
  <c r="BA210" i="73"/>
  <c r="BE208" i="73"/>
  <c r="BA208" i="73"/>
  <c r="BE207" i="73"/>
  <c r="BA207" i="73"/>
  <c r="BA206" i="73"/>
  <c r="BA205" i="73"/>
  <c r="BA204" i="73"/>
  <c r="BA202" i="73"/>
  <c r="BA201" i="73"/>
  <c r="BA200" i="73"/>
  <c r="BA199" i="73"/>
  <c r="BA153" i="73"/>
  <c r="BC153" i="73" s="1"/>
  <c r="BA151" i="73"/>
  <c r="BC151" i="73" s="1"/>
  <c r="BA146" i="73"/>
  <c r="BC146" i="73" s="1"/>
  <c r="BA145" i="73"/>
  <c r="BC145" i="73" s="1"/>
  <c r="BA144" i="73"/>
  <c r="BC144" i="73" s="1"/>
  <c r="BA128" i="73"/>
  <c r="BA124" i="73"/>
  <c r="BA107" i="73"/>
  <c r="BA11" i="15" s="1"/>
  <c r="AW69" i="73"/>
  <c r="BA53" i="73"/>
  <c r="BC53" i="73" s="1"/>
  <c r="BA38" i="73"/>
  <c r="BC38" i="73" s="1"/>
  <c r="BA34" i="73"/>
  <c r="BC34" i="73" s="1"/>
  <c r="BF234" i="28"/>
  <c r="BH234" i="28" s="1"/>
  <c r="BF219" i="28"/>
  <c r="BH219" i="28" s="1"/>
  <c r="BF218" i="28"/>
  <c r="BH218" i="28" s="1"/>
  <c r="AZ202" i="28"/>
  <c r="BB219" i="28"/>
  <c r="BD219" i="28" s="1"/>
  <c r="BK219" i="28" s="1"/>
  <c r="BB218" i="28"/>
  <c r="BD218" i="28" s="1"/>
  <c r="BK218" i="28" s="1"/>
  <c r="BB478" i="28" l="1"/>
  <c r="BD478" i="28" s="1"/>
  <c r="BK478" i="28" s="1"/>
  <c r="BB477" i="28"/>
  <c r="BD477" i="28" s="1"/>
  <c r="BK477" i="28" s="1"/>
  <c r="AZ40" i="28"/>
  <c r="BF436" i="28"/>
  <c r="BH436" i="28" s="1"/>
  <c r="BB436" i="28"/>
  <c r="BD436" i="28" s="1"/>
  <c r="BK436" i="28" s="1"/>
  <c r="BB40" i="28" l="1"/>
  <c r="BD40" i="28" s="1"/>
  <c r="BF40" i="28"/>
  <c r="BH40" i="28"/>
  <c r="BH39" i="28"/>
  <c r="BK39" i="28"/>
  <c r="BB459" i="28"/>
  <c r="BB457" i="28"/>
  <c r="BF351" i="28"/>
  <c r="BH351" i="28" s="1"/>
  <c r="BK40" i="28" l="1"/>
  <c r="G161" i="7"/>
  <c r="H161" i="7"/>
  <c r="K161" i="7"/>
  <c r="L161" i="7"/>
  <c r="O161" i="7"/>
  <c r="P161" i="7"/>
  <c r="S161" i="7"/>
  <c r="T161" i="7"/>
  <c r="W161" i="7"/>
  <c r="X161" i="7"/>
  <c r="AC161" i="7"/>
  <c r="AD161" i="7"/>
  <c r="AG161" i="7"/>
  <c r="AH161" i="7"/>
  <c r="AK161" i="7"/>
  <c r="AL161" i="7"/>
  <c r="AQ161" i="7"/>
  <c r="AR161" i="7"/>
  <c r="AU161" i="7"/>
  <c r="AV161" i="7"/>
  <c r="AY161" i="7"/>
  <c r="AZ161" i="7"/>
  <c r="F161" i="7"/>
  <c r="BE75" i="90" l="1"/>
  <c r="BE92" i="90"/>
  <c r="BE93" i="90"/>
  <c r="BE94" i="90"/>
  <c r="BE95" i="90"/>
  <c r="BE98" i="90"/>
  <c r="BE99" i="90"/>
  <c r="BA99" i="90"/>
  <c r="BA98" i="90"/>
  <c r="BA95" i="90"/>
  <c r="BA94" i="90"/>
  <c r="BA93" i="90"/>
  <c r="BA92" i="90"/>
  <c r="BA75" i="90"/>
  <c r="AY123" i="90"/>
  <c r="AY118" i="90"/>
  <c r="AY115" i="90"/>
  <c r="AY114" i="90"/>
  <c r="AY113" i="90"/>
  <c r="AY112" i="90"/>
  <c r="AY111" i="90"/>
  <c r="AY110" i="90"/>
  <c r="AY109" i="90"/>
  <c r="AY108" i="90"/>
  <c r="AY107" i="90"/>
  <c r="AY100" i="90"/>
  <c r="AY91" i="90"/>
  <c r="CO7" i="71"/>
  <c r="CO8" i="71"/>
  <c r="CO9" i="71"/>
  <c r="AY68" i="90" s="1"/>
  <c r="CO10" i="71"/>
  <c r="CO11" i="71"/>
  <c r="CO12" i="71"/>
  <c r="CO13" i="71"/>
  <c r="CO14" i="71"/>
  <c r="CO15" i="71"/>
  <c r="CO16" i="71"/>
  <c r="CO17" i="71"/>
  <c r="CO18" i="71"/>
  <c r="CO19" i="71"/>
  <c r="AY69" i="90" s="1"/>
  <c r="CO20" i="71"/>
  <c r="AY70" i="90" s="1"/>
  <c r="CO21" i="71"/>
  <c r="AY71" i="90" s="1"/>
  <c r="CO22" i="71"/>
  <c r="AY72" i="90" s="1"/>
  <c r="CO23" i="71"/>
  <c r="CO24" i="71"/>
  <c r="CO25" i="71"/>
  <c r="CO26" i="71"/>
  <c r="AY73" i="90" s="1"/>
  <c r="CO27" i="71"/>
  <c r="CO28" i="71"/>
  <c r="CO29" i="71"/>
  <c r="CO30" i="71"/>
  <c r="CO31" i="71"/>
  <c r="CO32" i="71"/>
  <c r="CO33" i="71"/>
  <c r="CO34" i="71"/>
  <c r="CO35" i="71"/>
  <c r="CO36" i="71"/>
  <c r="CO37" i="71"/>
  <c r="AY74" i="90" s="1"/>
  <c r="CO38" i="71"/>
  <c r="CO39" i="71"/>
  <c r="CO40" i="71"/>
  <c r="CO41" i="71"/>
  <c r="AY76" i="90" s="1"/>
  <c r="CO42" i="71"/>
  <c r="AY77" i="90" s="1"/>
  <c r="CO43" i="71"/>
  <c r="CO44" i="71"/>
  <c r="AY78" i="90" s="1"/>
  <c r="CO45" i="71"/>
  <c r="CO46" i="71"/>
  <c r="AY79" i="90" s="1"/>
  <c r="CO47" i="71"/>
  <c r="AY80" i="90" s="1"/>
  <c r="CO48" i="71"/>
  <c r="AY81" i="90" s="1"/>
  <c r="CO50" i="71"/>
  <c r="AY83" i="90" s="1"/>
  <c r="CO51" i="71"/>
  <c r="AY84" i="90" s="1"/>
  <c r="CO52" i="71"/>
  <c r="CO53" i="71"/>
  <c r="CO54" i="71"/>
  <c r="CO55" i="71"/>
  <c r="AY85" i="90" s="1"/>
  <c r="CO56" i="71"/>
  <c r="AY128" i="90" l="1"/>
  <c r="AY116" i="90"/>
  <c r="BA20" i="39"/>
  <c r="BB20" i="39"/>
  <c r="BD20" i="39"/>
  <c r="AM7" i="7"/>
  <c r="AM24" i="7" s="1"/>
  <c r="AN7" i="7"/>
  <c r="AN24" i="7" s="1"/>
  <c r="AM8" i="7"/>
  <c r="AM25" i="7" s="1"/>
  <c r="AN8" i="7"/>
  <c r="AN25" i="7" s="1"/>
  <c r="AM9" i="7"/>
  <c r="AM26" i="7" s="1"/>
  <c r="AN9" i="7"/>
  <c r="AN26" i="7" s="1"/>
  <c r="AM10" i="7"/>
  <c r="AM27" i="7" s="1"/>
  <c r="AM91" i="7" s="1"/>
  <c r="AN10" i="7"/>
  <c r="AN27" i="7" s="1"/>
  <c r="AN91" i="7" s="1"/>
  <c r="AM11" i="7"/>
  <c r="AM28" i="7" s="1"/>
  <c r="AM92" i="7" s="1"/>
  <c r="AN11" i="7"/>
  <c r="AN28" i="7" s="1"/>
  <c r="AN92" i="7" s="1"/>
  <c r="AM12" i="7"/>
  <c r="AM29" i="7" s="1"/>
  <c r="AM93" i="7" s="1"/>
  <c r="AN12" i="7"/>
  <c r="AN29" i="7" s="1"/>
  <c r="AN93" i="7" s="1"/>
  <c r="AM14" i="7"/>
  <c r="AM31" i="7" s="1"/>
  <c r="AM95" i="7" s="1"/>
  <c r="AN14" i="7"/>
  <c r="AN31" i="7" s="1"/>
  <c r="AN95" i="7" s="1"/>
  <c r="AM15" i="7"/>
  <c r="AM32" i="7" s="1"/>
  <c r="AM96" i="7" s="1"/>
  <c r="AN15" i="7"/>
  <c r="AN32" i="7" s="1"/>
  <c r="AN96" i="7" s="1"/>
  <c r="AM16" i="7"/>
  <c r="AM33" i="7" s="1"/>
  <c r="AM97" i="7" s="1"/>
  <c r="AN16" i="7"/>
  <c r="AN33" i="7" s="1"/>
  <c r="AN97" i="7" s="1"/>
  <c r="AM17" i="7"/>
  <c r="AM34" i="7" s="1"/>
  <c r="AM98" i="7" s="1"/>
  <c r="AN17" i="7"/>
  <c r="AN34" i="7" s="1"/>
  <c r="AN98" i="7" s="1"/>
  <c r="AM18" i="7"/>
  <c r="AM35" i="7" s="1"/>
  <c r="AM99" i="7" s="1"/>
  <c r="AN18" i="7"/>
  <c r="AN35" i="7" s="1"/>
  <c r="AN99" i="7" s="1"/>
  <c r="AM19" i="7"/>
  <c r="AM36" i="7" s="1"/>
  <c r="AM100" i="7" s="1"/>
  <c r="AN19" i="7"/>
  <c r="AN36" i="7" s="1"/>
  <c r="AN100" i="7" s="1"/>
  <c r="AM20" i="7"/>
  <c r="AM37" i="7" s="1"/>
  <c r="AM101" i="7" s="1"/>
  <c r="AN20" i="7"/>
  <c r="AN37" i="7" s="1"/>
  <c r="AN101" i="7" s="1"/>
  <c r="BA7" i="7"/>
  <c r="BA24" i="7" s="1"/>
  <c r="BB7" i="7"/>
  <c r="BB24" i="7" s="1"/>
  <c r="BA8" i="7"/>
  <c r="BA25" i="7" s="1"/>
  <c r="BB8" i="7"/>
  <c r="BB25" i="7" s="1"/>
  <c r="BA9" i="7"/>
  <c r="BA26" i="7" s="1"/>
  <c r="BB9" i="7"/>
  <c r="BB26" i="7" s="1"/>
  <c r="BA10" i="7"/>
  <c r="BA27" i="7" s="1"/>
  <c r="BA91" i="7" s="1"/>
  <c r="BB10" i="7"/>
  <c r="BB27" i="7" s="1"/>
  <c r="BB91" i="7" s="1"/>
  <c r="BA11" i="7"/>
  <c r="BB11" i="7"/>
  <c r="BB28" i="7" s="1"/>
  <c r="BB92" i="7" s="1"/>
  <c r="BA12" i="7"/>
  <c r="BA29" i="7" s="1"/>
  <c r="BA93" i="7" s="1"/>
  <c r="BB12" i="7"/>
  <c r="BB29" i="7" s="1"/>
  <c r="BB93" i="7" s="1"/>
  <c r="BA14" i="7"/>
  <c r="BA31" i="7" s="1"/>
  <c r="BA95" i="7" s="1"/>
  <c r="BB14" i="7"/>
  <c r="BB31" i="7" s="1"/>
  <c r="BB95" i="7" s="1"/>
  <c r="BA15" i="7"/>
  <c r="BA32" i="7" s="1"/>
  <c r="BA96" i="7" s="1"/>
  <c r="BB15" i="7"/>
  <c r="BB32" i="7" s="1"/>
  <c r="BB96" i="7" s="1"/>
  <c r="BA16" i="7"/>
  <c r="BA33" i="7" s="1"/>
  <c r="BA97" i="7" s="1"/>
  <c r="BB16" i="7"/>
  <c r="BB33" i="7" s="1"/>
  <c r="BB97" i="7" s="1"/>
  <c r="BA17" i="7"/>
  <c r="BA34" i="7" s="1"/>
  <c r="BA98" i="7" s="1"/>
  <c r="BB17" i="7"/>
  <c r="BB34" i="7" s="1"/>
  <c r="BB98" i="7" s="1"/>
  <c r="BA18" i="7"/>
  <c r="BB18" i="7"/>
  <c r="BA19" i="7"/>
  <c r="BA36" i="7" s="1"/>
  <c r="BA100" i="7" s="1"/>
  <c r="BB19" i="7"/>
  <c r="BB36" i="7" s="1"/>
  <c r="BB100" i="7" s="1"/>
  <c r="BA20" i="7"/>
  <c r="BA37" i="7" s="1"/>
  <c r="BA101" i="7" s="1"/>
  <c r="BB20" i="7"/>
  <c r="BB37" i="7" s="1"/>
  <c r="BB101" i="7" s="1"/>
  <c r="BA6" i="7"/>
  <c r="BB6" i="7"/>
  <c r="AM67" i="39"/>
  <c r="AM66" i="39"/>
  <c r="BC11" i="7" l="1"/>
  <c r="BA28" i="7"/>
  <c r="BA92" i="7" s="1"/>
  <c r="BC18" i="7"/>
  <c r="BA35" i="7"/>
  <c r="BA99" i="7" s="1"/>
  <c r="BD18" i="7"/>
  <c r="BB35" i="7"/>
  <c r="BB99" i="7" s="1"/>
  <c r="BD10" i="7"/>
  <c r="BC17" i="7"/>
  <c r="BD17" i="7"/>
  <c r="BC10" i="7"/>
  <c r="BD20" i="7"/>
  <c r="BC16" i="7"/>
  <c r="BD8" i="7"/>
  <c r="BD16" i="7"/>
  <c r="BD15" i="7"/>
  <c r="BC9" i="7"/>
  <c r="BD9" i="7"/>
  <c r="BC8" i="7"/>
  <c r="BC20" i="7"/>
  <c r="BC15" i="7"/>
  <c r="BD19" i="7"/>
  <c r="BD14" i="7"/>
  <c r="BD7" i="7"/>
  <c r="BC19" i="7"/>
  <c r="BC7" i="7"/>
  <c r="BD12" i="7"/>
  <c r="BC14" i="7"/>
  <c r="BC12" i="7"/>
  <c r="BD11" i="7"/>
  <c r="BE166" i="73"/>
  <c r="BA166" i="73"/>
  <c r="BC166" i="73" s="1"/>
  <c r="BA158" i="73"/>
  <c r="BC158" i="73" s="1"/>
  <c r="BE158" i="73"/>
  <c r="BA163" i="73"/>
  <c r="BC163" i="73" s="1"/>
  <c r="BE163" i="73"/>
  <c r="BA147" i="73"/>
  <c r="BC147" i="73" s="1"/>
  <c r="BA194" i="73"/>
  <c r="BA195" i="73"/>
  <c r="BC195" i="73" s="1"/>
  <c r="BC194" i="73" l="1"/>
  <c r="BC193" i="73" s="1"/>
  <c r="BA193" i="73"/>
  <c r="BE47" i="35"/>
  <c r="BE46" i="35"/>
  <c r="BC44" i="35"/>
  <c r="BB53" i="35"/>
  <c r="BA53" i="35"/>
  <c r="BB51" i="35"/>
  <c r="BA51" i="35"/>
  <c r="BB50" i="35"/>
  <c r="BA50" i="35"/>
  <c r="BA47" i="35"/>
  <c r="BC47" i="35" s="1"/>
  <c r="BA46" i="35"/>
  <c r="BC46" i="35" s="1"/>
  <c r="BA45" i="35"/>
  <c r="BC45" i="35" s="1"/>
  <c r="BA44" i="35"/>
  <c r="BA43" i="35"/>
  <c r="BC43" i="35" s="1"/>
  <c r="BA40" i="35"/>
  <c r="BC40" i="35" s="1"/>
  <c r="BB35" i="35"/>
  <c r="BA35" i="35"/>
  <c r="BB34" i="35"/>
  <c r="BA34" i="35"/>
  <c r="BA32" i="35"/>
  <c r="BA31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0" i="35"/>
  <c r="BA69" i="73" l="1"/>
  <c r="BC69" i="73" s="1"/>
  <c r="BE69" i="73"/>
  <c r="BA70" i="73"/>
  <c r="BA71" i="73"/>
  <c r="BC71" i="73" s="1"/>
  <c r="BE71" i="73"/>
  <c r="BA72" i="73"/>
  <c r="BC72" i="73" s="1"/>
  <c r="BA73" i="73"/>
  <c r="BC73" i="73" s="1"/>
  <c r="BA81" i="73"/>
  <c r="BC81" i="73" s="1"/>
  <c r="BA84" i="73"/>
  <c r="BC84" i="73" s="1"/>
  <c r="BA87" i="73"/>
  <c r="BC87" i="73" s="1"/>
  <c r="BA86" i="73"/>
  <c r="BC86" i="73" s="1"/>
  <c r="BE12" i="73" l="1"/>
  <c r="BA12" i="73"/>
  <c r="BC12" i="73" s="1"/>
  <c r="AX128" i="26" l="1"/>
  <c r="AY112" i="26"/>
  <c r="AX110" i="26"/>
  <c r="AX108" i="26"/>
  <c r="AX106" i="26"/>
  <c r="AX104" i="26"/>
  <c r="AX102" i="26"/>
  <c r="AX100" i="26"/>
  <c r="AX98" i="26"/>
  <c r="AX96" i="26"/>
  <c r="AY92" i="26"/>
  <c r="AX89" i="26"/>
  <c r="AX87" i="26"/>
  <c r="AX85" i="26"/>
  <c r="AX83" i="26"/>
  <c r="AY81" i="26"/>
  <c r="AY80" i="26"/>
  <c r="AX78" i="26"/>
  <c r="AX76" i="26"/>
  <c r="AY73" i="26"/>
  <c r="AX71" i="26"/>
  <c r="AX69" i="26"/>
  <c r="AX67" i="26"/>
  <c r="AX65" i="26"/>
  <c r="AX63" i="26"/>
  <c r="AX61" i="26"/>
  <c r="AX59" i="26"/>
  <c r="AX57" i="26"/>
  <c r="AX52" i="26"/>
  <c r="AX50" i="26"/>
  <c r="AY48" i="26"/>
  <c r="AX46" i="26"/>
  <c r="AY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X11" i="26"/>
  <c r="AX9" i="26"/>
  <c r="AY31" i="15"/>
  <c r="AY30" i="15"/>
  <c r="AY29" i="15"/>
  <c r="AY25" i="15"/>
  <c r="AY24" i="15"/>
  <c r="AY23" i="15"/>
  <c r="AY22" i="15"/>
  <c r="AY21" i="15"/>
  <c r="AX19" i="15"/>
  <c r="AY18" i="15"/>
  <c r="AX18" i="15"/>
  <c r="AY15" i="15"/>
  <c r="AX12" i="15"/>
  <c r="AX13" i="15" s="1"/>
  <c r="AY11" i="15"/>
  <c r="AY10" i="15"/>
  <c r="AY9" i="15"/>
  <c r="AX9" i="15"/>
  <c r="AY8" i="15"/>
  <c r="AX8" i="15"/>
  <c r="AY7" i="15"/>
  <c r="AY6" i="15"/>
  <c r="AY5" i="15"/>
  <c r="AX5" i="15"/>
  <c r="AY55" i="26" l="1"/>
  <c r="AY19" i="26"/>
  <c r="AX48" i="26"/>
  <c r="AX49" i="26" s="1"/>
  <c r="AX15" i="15"/>
  <c r="AX16" i="15" s="1"/>
  <c r="AX81" i="26"/>
  <c r="AX92" i="26"/>
  <c r="AX80" i="26"/>
  <c r="AY32" i="15"/>
  <c r="AX112" i="26"/>
  <c r="AX73" i="26"/>
  <c r="AY54" i="26"/>
  <c r="AY49" i="26"/>
  <c r="AX43" i="26"/>
  <c r="AX12" i="26"/>
  <c r="AY13" i="26"/>
  <c r="AX55" i="26"/>
  <c r="AY18" i="26"/>
  <c r="AY57" i="17"/>
  <c r="AY56" i="17"/>
  <c r="AY55" i="17"/>
  <c r="AY54" i="17"/>
  <c r="AY53" i="17"/>
  <c r="AX53" i="17"/>
  <c r="AY49" i="17"/>
  <c r="AX49" i="17"/>
  <c r="AY44" i="17"/>
  <c r="AX44" i="17"/>
  <c r="AY37" i="17"/>
  <c r="AY39" i="17" s="1"/>
  <c r="AX37" i="17"/>
  <c r="AX39" i="17" s="1"/>
  <c r="AX31" i="17"/>
  <c r="AY29" i="17"/>
  <c r="AY30" i="17" s="1"/>
  <c r="AX28" i="17"/>
  <c r="AX25" i="17"/>
  <c r="AY22" i="17"/>
  <c r="AY23" i="17" s="1"/>
  <c r="AX22" i="17"/>
  <c r="AY19" i="17"/>
  <c r="AX18" i="17"/>
  <c r="AY17" i="17"/>
  <c r="AX16" i="17"/>
  <c r="AY14" i="17"/>
  <c r="AY15" i="17" s="1"/>
  <c r="AX14" i="17"/>
  <c r="AY13" i="17"/>
  <c r="AY11" i="17"/>
  <c r="AY9" i="17"/>
  <c r="AX54" i="26" l="1"/>
  <c r="AY36" i="15"/>
  <c r="AY16" i="15" s="1"/>
  <c r="AY17" i="15" s="1"/>
  <c r="AX13" i="26"/>
  <c r="AX29" i="17"/>
  <c r="AX30" i="17" s="1"/>
  <c r="AX18" i="26"/>
  <c r="AX19" i="26"/>
  <c r="AY32" i="17"/>
  <c r="AX20" i="17"/>
  <c r="AY20" i="17"/>
  <c r="AY43" i="72"/>
  <c r="AY29" i="72"/>
  <c r="AY30" i="72"/>
  <c r="AY31" i="72"/>
  <c r="AY32" i="72"/>
  <c r="AY33" i="72"/>
  <c r="AY34" i="72"/>
  <c r="AY15" i="72"/>
  <c r="BA15" i="72" s="1"/>
  <c r="AY9" i="72"/>
  <c r="BA9" i="72" s="1"/>
  <c r="AY10" i="72"/>
  <c r="BA10" i="72" s="1"/>
  <c r="AY11" i="72"/>
  <c r="BA11" i="72" s="1"/>
  <c r="AX32" i="17" l="1"/>
  <c r="AX24" i="17"/>
  <c r="AY24" i="17"/>
  <c r="AY21" i="17"/>
  <c r="AY25" i="17" l="1"/>
  <c r="BC101" i="45" l="1"/>
  <c r="BC100" i="45"/>
  <c r="BC99" i="45"/>
  <c r="BC96" i="45"/>
  <c r="BC95" i="45"/>
  <c r="BE95" i="45" s="1"/>
  <c r="BL95" i="45" s="1"/>
  <c r="BC88" i="45"/>
  <c r="BC87" i="45"/>
  <c r="BC86" i="45"/>
  <c r="BC85" i="45"/>
  <c r="BC84" i="45"/>
  <c r="BC83" i="45"/>
  <c r="BC82" i="45"/>
  <c r="BC81" i="45"/>
  <c r="BC80" i="45"/>
  <c r="BC79" i="45"/>
  <c r="BC78" i="45"/>
  <c r="BC77" i="45"/>
  <c r="BC76" i="45"/>
  <c r="BC75" i="45"/>
  <c r="BC72" i="45"/>
  <c r="BC71" i="45"/>
  <c r="BC63" i="45"/>
  <c r="BC50" i="45"/>
  <c r="BC31" i="45"/>
  <c r="BC30" i="45"/>
  <c r="BC29" i="45"/>
  <c r="BA158" i="45"/>
  <c r="BA157" i="45"/>
  <c r="BA155" i="45"/>
  <c r="BA149" i="45"/>
  <c r="BA144" i="45"/>
  <c r="BA143" i="45"/>
  <c r="AZ143" i="45"/>
  <c r="BA142" i="45"/>
  <c r="BA141" i="45"/>
  <c r="BA139" i="45"/>
  <c r="BA137" i="45"/>
  <c r="AZ137" i="45"/>
  <c r="BA135" i="45"/>
  <c r="AZ135" i="45"/>
  <c r="BA132" i="45"/>
  <c r="AZ132" i="45"/>
  <c r="BA127" i="45"/>
  <c r="BA123" i="45"/>
  <c r="BA151" i="45" s="1"/>
  <c r="BA122" i="45"/>
  <c r="BA125" i="45" s="1"/>
  <c r="BA126" i="45" s="1"/>
  <c r="AZ122" i="45"/>
  <c r="AZ121" i="45" s="1"/>
  <c r="BA121" i="45"/>
  <c r="BA159" i="45" s="1"/>
  <c r="BB126" i="10"/>
  <c r="BM126" i="10" s="1"/>
  <c r="BB124" i="10"/>
  <c r="BM124" i="10" s="1"/>
  <c r="BB123" i="10"/>
  <c r="BM123" i="10" s="1"/>
  <c r="BB106" i="10"/>
  <c r="BM106" i="10" s="1"/>
  <c r="BB86" i="10"/>
  <c r="BM86" i="10" s="1"/>
  <c r="BB22" i="10"/>
  <c r="BM22" i="10" s="1"/>
  <c r="BB21" i="10"/>
  <c r="BM21" i="10" s="1"/>
  <c r="BB186" i="10"/>
  <c r="BM186" i="10" s="1"/>
  <c r="AZ78" i="11"/>
  <c r="AZ77" i="11"/>
  <c r="AY77" i="11"/>
  <c r="AZ76" i="11"/>
  <c r="AZ75" i="11"/>
  <c r="AZ73" i="11"/>
  <c r="AZ71" i="11"/>
  <c r="AY71" i="11"/>
  <c r="AZ69" i="11"/>
  <c r="AY69" i="11"/>
  <c r="AZ66" i="11"/>
  <c r="AZ67" i="11" s="1"/>
  <c r="AY66" i="11"/>
  <c r="AY67" i="11" s="1"/>
  <c r="AZ64" i="11"/>
  <c r="AZ61" i="11" s="1"/>
  <c r="AY56" i="11"/>
  <c r="AY55" i="11" s="1"/>
  <c r="BD21" i="10" l="1"/>
  <c r="BK21" i="10" s="1"/>
  <c r="BD22" i="10"/>
  <c r="BK22" i="10" s="1"/>
  <c r="BA150" i="45"/>
  <c r="AZ145" i="45"/>
  <c r="AZ133" i="45"/>
  <c r="BA133" i="45"/>
  <c r="AY58" i="11"/>
  <c r="BA140" i="45"/>
  <c r="AZ124" i="45"/>
  <c r="BA145" i="45"/>
  <c r="BA124" i="45"/>
  <c r="BA156" i="45"/>
  <c r="BA160" i="45"/>
  <c r="AZ125" i="45"/>
  <c r="AZ74" i="11"/>
  <c r="AY79" i="11"/>
  <c r="AY97" i="11"/>
  <c r="AZ79" i="11"/>
  <c r="BA161" i="45" l="1"/>
  <c r="AZ190" i="10"/>
  <c r="AZ188" i="10"/>
  <c r="AZ182" i="10"/>
  <c r="AZ177" i="10"/>
  <c r="AZ176" i="10"/>
  <c r="AY176" i="10"/>
  <c r="AZ175" i="10"/>
  <c r="AZ174" i="10"/>
  <c r="AZ172" i="10"/>
  <c r="AZ170" i="10"/>
  <c r="AY170" i="10"/>
  <c r="AZ168" i="10"/>
  <c r="AY168" i="10"/>
  <c r="AZ165" i="10"/>
  <c r="AY165" i="10"/>
  <c r="AZ160" i="10"/>
  <c r="AZ184" i="10" s="1"/>
  <c r="AY159" i="10"/>
  <c r="AZ158" i="10"/>
  <c r="AZ196" i="10" s="1"/>
  <c r="AZ159" i="10"/>
  <c r="AZ183" i="10" l="1"/>
  <c r="AZ166" i="10"/>
  <c r="AY166" i="10"/>
  <c r="AY158" i="10"/>
  <c r="AY161" i="10"/>
  <c r="AY178" i="10"/>
  <c r="AZ192" i="10"/>
  <c r="AZ173" i="10"/>
  <c r="AZ178" i="10"/>
  <c r="AZ161" i="10"/>
  <c r="AZ199" i="10"/>
  <c r="AZ200" i="10" s="1"/>
  <c r="AZ191" i="10"/>
  <c r="AZ189" i="10"/>
  <c r="AZ193" i="10" l="1"/>
  <c r="AY104" i="9" l="1"/>
  <c r="AY102" i="9"/>
  <c r="AY101" i="9"/>
  <c r="AZ99" i="9"/>
  <c r="AZ98" i="9"/>
  <c r="AZ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Z48" i="9" l="1"/>
  <c r="AY90" i="90"/>
  <c r="AZ14" i="9"/>
  <c r="AY92" i="9"/>
  <c r="AX130" i="26"/>
  <c r="AZ96" i="9"/>
  <c r="AY130" i="26"/>
  <c r="AZ100" i="9"/>
  <c r="AZ62" i="9"/>
  <c r="AY25" i="9"/>
  <c r="AY88" i="9" s="1"/>
  <c r="AZ37" i="9"/>
  <c r="AZ49" i="9"/>
  <c r="AZ90" i="9"/>
  <c r="AY58" i="9"/>
  <c r="AZ94" i="9"/>
  <c r="AY19" i="15" s="1"/>
  <c r="AY67" i="9"/>
  <c r="AY55" i="9"/>
  <c r="AY64" i="9"/>
  <c r="AY68" i="9"/>
  <c r="AY7" i="9"/>
  <c r="AY56" i="9"/>
  <c r="AY59" i="9"/>
  <c r="AY65" i="9"/>
  <c r="AY69" i="9"/>
  <c r="AZ89" i="9"/>
  <c r="AY95" i="9"/>
  <c r="AY63" i="9"/>
  <c r="AY27" i="9"/>
  <c r="AY61" i="9"/>
  <c r="AY66" i="9"/>
  <c r="AY70" i="9"/>
  <c r="AZ108" i="8"/>
  <c r="AZ110" i="8" s="1"/>
  <c r="AZ93" i="8"/>
  <c r="AZ90" i="8"/>
  <c r="AZ88" i="8"/>
  <c r="AZ87" i="8"/>
  <c r="AY86" i="8"/>
  <c r="AY81" i="8"/>
  <c r="AZ79" i="8"/>
  <c r="AZ75" i="8"/>
  <c r="AY74" i="8"/>
  <c r="AY73" i="8"/>
  <c r="AY72" i="8"/>
  <c r="AY71" i="8"/>
  <c r="AZ68" i="8"/>
  <c r="AZ66" i="8"/>
  <c r="AZ64" i="8"/>
  <c r="AZ61" i="8"/>
  <c r="AZ58" i="8"/>
  <c r="AZ62" i="8" s="1"/>
  <c r="AY52" i="8"/>
  <c r="AZ49" i="8"/>
  <c r="AY49" i="8"/>
  <c r="AY46" i="8"/>
  <c r="AY45" i="8"/>
  <c r="AY44" i="8"/>
  <c r="AY43" i="8"/>
  <c r="AY41" i="8"/>
  <c r="AY40" i="8"/>
  <c r="AY39" i="8"/>
  <c r="AZ26" i="8"/>
  <c r="AZ17" i="8"/>
  <c r="AY17" i="8"/>
  <c r="AY15" i="8"/>
  <c r="AY14" i="8"/>
  <c r="AZ13" i="8"/>
  <c r="AY13" i="8"/>
  <c r="AZ6" i="8"/>
  <c r="AY6" i="8"/>
  <c r="AY113" i="7"/>
  <c r="AY112" i="7"/>
  <c r="AY111" i="7"/>
  <c r="AY110" i="7"/>
  <c r="AY109" i="7"/>
  <c r="AY108" i="7"/>
  <c r="AY107" i="7"/>
  <c r="AY106" i="7"/>
  <c r="AZ84" i="7"/>
  <c r="AZ82" i="7"/>
  <c r="AZ75" i="7"/>
  <c r="AY75" i="7"/>
  <c r="AZ71" i="7"/>
  <c r="AY71" i="7"/>
  <c r="AZ67" i="7"/>
  <c r="AY67" i="7"/>
  <c r="AZ21" i="7"/>
  <c r="AZ41" i="7" s="1"/>
  <c r="AZ51" i="7" s="1"/>
  <c r="AY21" i="7"/>
  <c r="AY41" i="7" s="1"/>
  <c r="AY51" i="7" s="1"/>
  <c r="AZ67" i="8" l="1"/>
  <c r="AZ37" i="8" s="1"/>
  <c r="AY73" i="7"/>
  <c r="AZ16" i="8"/>
  <c r="AZ69" i="8"/>
  <c r="AZ65" i="8"/>
  <c r="AZ34" i="8" s="1"/>
  <c r="AY29" i="8"/>
  <c r="AZ85" i="8"/>
  <c r="AY16" i="8"/>
  <c r="AZ73" i="7"/>
  <c r="AY31" i="8"/>
  <c r="AY42" i="8"/>
  <c r="AY24" i="8"/>
  <c r="AY50" i="8"/>
  <c r="AY51" i="8" s="1"/>
  <c r="AY27" i="8"/>
  <c r="AZ81" i="7"/>
  <c r="AZ91" i="9"/>
  <c r="AZ40" i="8"/>
  <c r="AZ44" i="8"/>
  <c r="AZ136" i="8" s="1"/>
  <c r="AZ47" i="8"/>
  <c r="AZ46" i="8"/>
  <c r="AZ137" i="8" s="1"/>
  <c r="AZ50" i="8"/>
  <c r="AZ77" i="8" s="1"/>
  <c r="AZ81" i="8"/>
  <c r="AZ91" i="8"/>
  <c r="AY6" i="26"/>
  <c r="AY57" i="9"/>
  <c r="AY60" i="9"/>
  <c r="AZ87" i="9"/>
  <c r="AZ83" i="9"/>
  <c r="AZ78" i="9"/>
  <c r="AZ84" i="9"/>
  <c r="AZ72" i="9"/>
  <c r="AZ53" i="9"/>
  <c r="AZ86" i="9"/>
  <c r="AZ82" i="9"/>
  <c r="AZ76" i="9"/>
  <c r="AZ52" i="9"/>
  <c r="AZ80" i="9"/>
  <c r="AZ75" i="9"/>
  <c r="AZ85" i="9"/>
  <c r="AZ81" i="9"/>
  <c r="AZ73" i="9"/>
  <c r="AZ109" i="8"/>
  <c r="AZ52" i="8" s="1"/>
  <c r="AZ120" i="8" s="1"/>
  <c r="AY23" i="8"/>
  <c r="AY30" i="8"/>
  <c r="AZ59" i="8"/>
  <c r="AY25" i="8"/>
  <c r="AY28" i="8"/>
  <c r="AY84" i="8"/>
  <c r="AZ39" i="8"/>
  <c r="AZ41" i="8"/>
  <c r="AZ43" i="8"/>
  <c r="AZ135" i="8" s="1"/>
  <c r="AZ45" i="8"/>
  <c r="AY76" i="7"/>
  <c r="AZ83" i="7"/>
  <c r="AY78" i="7"/>
  <c r="AY68" i="7"/>
  <c r="AY81" i="7"/>
  <c r="AZ69" i="7"/>
  <c r="AZ76" i="7"/>
  <c r="AZ78" i="7"/>
  <c r="AZ138" i="8" l="1"/>
  <c r="AZ51" i="8"/>
  <c r="AZ72" i="8"/>
  <c r="AZ36" i="8"/>
  <c r="AY59" i="8"/>
  <c r="AZ74" i="8"/>
  <c r="AZ73" i="8"/>
  <c r="AZ38" i="7"/>
  <c r="AY108" i="8"/>
  <c r="AY109" i="8" s="1"/>
  <c r="AZ111" i="8"/>
  <c r="AZ53" i="8" s="1"/>
  <c r="AZ122" i="8" s="1"/>
  <c r="AZ121" i="8" s="1"/>
  <c r="AZ125" i="8" s="1"/>
  <c r="AZ126" i="8" s="1"/>
  <c r="AZ42" i="8"/>
  <c r="AZ74" i="9"/>
  <c r="AZ77" i="9"/>
  <c r="AY62" i="9"/>
  <c r="AY67" i="8"/>
  <c r="AY26" i="8"/>
  <c r="AY65" i="8"/>
  <c r="AY69" i="8"/>
  <c r="AZ63" i="8"/>
  <c r="AY38" i="7"/>
  <c r="AY104" i="7"/>
  <c r="AZ53" i="7" l="1"/>
  <c r="AZ77" i="7" s="1"/>
  <c r="AY53" i="7"/>
  <c r="AY77" i="7" s="1"/>
  <c r="AZ129" i="8"/>
  <c r="AZ131" i="8"/>
  <c r="AZ144" i="8" s="1"/>
  <c r="AZ130" i="8"/>
  <c r="AZ143" i="8" s="1"/>
  <c r="AZ123" i="8"/>
  <c r="AZ104" i="7"/>
  <c r="AZ63" i="7"/>
  <c r="AY37" i="8"/>
  <c r="AY34" i="8"/>
  <c r="AY63" i="8"/>
  <c r="AZ71" i="8"/>
  <c r="AY36" i="8"/>
  <c r="AY110" i="8"/>
  <c r="AY111" i="8" s="1"/>
  <c r="AZ79" i="9"/>
  <c r="AZ35" i="8"/>
  <c r="AZ70" i="8"/>
  <c r="AY63" i="7" l="1"/>
  <c r="AZ132" i="8"/>
  <c r="AZ145" i="8" s="1"/>
  <c r="AZ142" i="8"/>
  <c r="AY35" i="8"/>
  <c r="AY61" i="39" l="1"/>
  <c r="AY60" i="39"/>
  <c r="AY49" i="39"/>
  <c r="AY48" i="39"/>
  <c r="AY47" i="39"/>
  <c r="AY46" i="39"/>
  <c r="AY43" i="39"/>
  <c r="AY42" i="39"/>
  <c r="AY8" i="39"/>
  <c r="AY22" i="39" l="1"/>
  <c r="AY45" i="39"/>
  <c r="AY23" i="39"/>
  <c r="AY50" i="39"/>
  <c r="AZ9" i="6"/>
  <c r="AZ8" i="6"/>
  <c r="AY7" i="6"/>
  <c r="AZ218" i="6"/>
  <c r="AY218" i="6"/>
  <c r="AZ217" i="6"/>
  <c r="AY217" i="6"/>
  <c r="AY195" i="6"/>
  <c r="AZ194" i="6"/>
  <c r="AY194" i="6"/>
  <c r="AY193" i="6"/>
  <c r="AZ189" i="6"/>
  <c r="AZ188" i="6"/>
  <c r="AZ187" i="6"/>
  <c r="AY186" i="6"/>
  <c r="AY185" i="6"/>
  <c r="AY182" i="6"/>
  <c r="AY181" i="6"/>
  <c r="AY180" i="6"/>
  <c r="AY179" i="6"/>
  <c r="AY178" i="6"/>
  <c r="AY177" i="6"/>
  <c r="AY175" i="6"/>
  <c r="AY174" i="6"/>
  <c r="AY173" i="6"/>
  <c r="AZ163" i="6"/>
  <c r="AZ162" i="6"/>
  <c r="AY161" i="6"/>
  <c r="AY160" i="6"/>
  <c r="AY157" i="6"/>
  <c r="AY156" i="6"/>
  <c r="AY155" i="6"/>
  <c r="AY154" i="6"/>
  <c r="AY153" i="6"/>
  <c r="AY152" i="6"/>
  <c r="AY150" i="6"/>
  <c r="AY149" i="6"/>
  <c r="AY148" i="6"/>
  <c r="AZ138" i="6"/>
  <c r="AZ135" i="6"/>
  <c r="AY135" i="6"/>
  <c r="AZ134" i="6"/>
  <c r="AY134" i="6"/>
  <c r="AZ133" i="6"/>
  <c r="AY133" i="6"/>
  <c r="AZ132" i="6"/>
  <c r="AY132" i="6"/>
  <c r="AZ130" i="6"/>
  <c r="AY130" i="6"/>
  <c r="AZ129" i="6"/>
  <c r="AY129" i="6"/>
  <c r="AZ127" i="6"/>
  <c r="AY127" i="6"/>
  <c r="AZ126" i="6"/>
  <c r="AY126" i="6"/>
  <c r="AZ125" i="6"/>
  <c r="AY125" i="6"/>
  <c r="AZ124" i="6"/>
  <c r="AY124" i="6"/>
  <c r="AZ119" i="6"/>
  <c r="AY119" i="6"/>
  <c r="AZ114" i="6"/>
  <c r="AY114" i="6"/>
  <c r="AZ103" i="6"/>
  <c r="AY103" i="6"/>
  <c r="AY98" i="6"/>
  <c r="AY85" i="6"/>
  <c r="AY83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17" i="6"/>
  <c r="AY16" i="6"/>
  <c r="AY15" i="6"/>
  <c r="AY92" i="77"/>
  <c r="AY91" i="77"/>
  <c r="AX91" i="77"/>
  <c r="AY90" i="77"/>
  <c r="AX90" i="77"/>
  <c r="AY86" i="77"/>
  <c r="AX86" i="77"/>
  <c r="AX84" i="77"/>
  <c r="AY83" i="77"/>
  <c r="AY82" i="77"/>
  <c r="AY81" i="77"/>
  <c r="AY71" i="77"/>
  <c r="AX71" i="77"/>
  <c r="AY53" i="77"/>
  <c r="AX53" i="77"/>
  <c r="AY36" i="77"/>
  <c r="AX36" i="77"/>
  <c r="AY32" i="77"/>
  <c r="AX32" i="77"/>
  <c r="AY26" i="77"/>
  <c r="AX26" i="77"/>
  <c r="AY21" i="77"/>
  <c r="AX21" i="77"/>
  <c r="AY13" i="77"/>
  <c r="AX13" i="77"/>
  <c r="AY7" i="77"/>
  <c r="AX7" i="77"/>
  <c r="AX89" i="77" l="1"/>
  <c r="AZ120" i="6"/>
  <c r="AY30" i="6"/>
  <c r="AY31" i="6"/>
  <c r="AZ57" i="6"/>
  <c r="AY51" i="39"/>
  <c r="AY24" i="39"/>
  <c r="AZ35" i="6"/>
  <c r="AY89" i="77"/>
  <c r="AY95" i="77" s="1"/>
  <c r="AY34" i="39"/>
  <c r="AZ136" i="6"/>
  <c r="AY84" i="77"/>
  <c r="AX95" i="77"/>
  <c r="AY104" i="6"/>
  <c r="AY136" i="6"/>
  <c r="AY131" i="6"/>
  <c r="AY184" i="6"/>
  <c r="AY120" i="6"/>
  <c r="AZ131" i="6"/>
  <c r="AY159" i="6"/>
  <c r="AY19" i="6"/>
  <c r="AY21" i="6"/>
  <c r="AY24" i="6"/>
  <c r="AY27" i="6"/>
  <c r="AY22" i="6"/>
  <c r="AY25" i="6"/>
  <c r="AY28" i="6"/>
  <c r="AY122" i="6" l="1"/>
  <c r="AY168" i="6" s="1"/>
  <c r="AY84" i="6"/>
  <c r="AY106" i="6"/>
  <c r="AZ137" i="6"/>
  <c r="AY32" i="6"/>
  <c r="AZ122" i="6"/>
  <c r="AY137" i="6"/>
  <c r="AY26" i="6"/>
  <c r="AY34" i="6"/>
  <c r="AY29" i="6"/>
  <c r="AY33" i="6"/>
  <c r="AY23" i="6"/>
  <c r="AY81" i="6"/>
  <c r="AY169" i="6" l="1"/>
  <c r="AY146" i="6"/>
  <c r="AY139" i="6"/>
  <c r="AY143" i="6"/>
  <c r="AZ168" i="6"/>
  <c r="AZ171" i="6"/>
  <c r="AZ169" i="6"/>
  <c r="AY171" i="6"/>
  <c r="AY144" i="6"/>
  <c r="AZ139" i="6"/>
  <c r="AZ199" i="6" s="1"/>
  <c r="AY170" i="6"/>
  <c r="AY35" i="6"/>
  <c r="AY145" i="6" l="1"/>
  <c r="AZ205" i="6"/>
  <c r="AZ213" i="6"/>
  <c r="AZ209" i="6"/>
  <c r="AZ200" i="6"/>
  <c r="AZ207" i="6"/>
  <c r="AY209" i="6"/>
  <c r="AY200" i="6"/>
  <c r="AY210" i="6"/>
  <c r="AY207" i="6"/>
  <c r="AY203" i="6"/>
  <c r="AY213" i="6"/>
  <c r="AY214" i="6" s="1"/>
  <c r="AY204" i="6"/>
  <c r="AY202" i="6"/>
  <c r="AY205" i="6"/>
  <c r="AZ170" i="6"/>
  <c r="AZ195" i="6"/>
  <c r="AZ203" i="6"/>
  <c r="AZ204" i="6"/>
  <c r="AZ202" i="6"/>
  <c r="AZ210" i="6"/>
  <c r="AY208" i="6"/>
  <c r="AZ208" i="6"/>
  <c r="AY199" i="6"/>
  <c r="AZ214" i="6" l="1"/>
  <c r="AY211" i="6"/>
  <c r="AZ211" i="6"/>
  <c r="AZ206" i="6"/>
  <c r="AY206" i="6"/>
  <c r="AZ212" i="6" l="1"/>
  <c r="AZ215" i="6" s="1"/>
  <c r="AY212" i="6"/>
  <c r="AY215" i="6" s="1"/>
  <c r="AY524" i="28"/>
  <c r="AZ481" i="28"/>
  <c r="AZ475" i="28"/>
  <c r="AZ443" i="28"/>
  <c r="AZ431" i="28"/>
  <c r="AY431" i="28"/>
  <c r="AZ415" i="28"/>
  <c r="AZ304" i="28"/>
  <c r="AY304" i="28"/>
  <c r="AZ298" i="28"/>
  <c r="AY298" i="28"/>
  <c r="AZ297" i="28"/>
  <c r="AY297" i="28"/>
  <c r="AZ256" i="28"/>
  <c r="AY256" i="28"/>
  <c r="AZ235" i="28"/>
  <c r="AZ236" i="28" s="1"/>
  <c r="AZ96" i="28"/>
  <c r="AZ95" i="28"/>
  <c r="AZ93" i="28"/>
  <c r="AZ89" i="28"/>
  <c r="AZ85" i="28"/>
  <c r="AZ81" i="28"/>
  <c r="AY68" i="28"/>
  <c r="AY67" i="28"/>
  <c r="AY65" i="28"/>
  <c r="AZ56" i="28"/>
  <c r="AZ74" i="28"/>
  <c r="AY23" i="28"/>
  <c r="AZ21" i="28"/>
  <c r="AY15" i="28"/>
  <c r="AZ13" i="28"/>
  <c r="AY7" i="28"/>
  <c r="AZ17" i="49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AY231" i="73"/>
  <c r="AX231" i="73"/>
  <c r="AY229" i="73"/>
  <c r="AX229" i="73"/>
  <c r="AY216" i="73"/>
  <c r="AY209" i="73"/>
  <c r="AY203" i="73"/>
  <c r="AX203" i="73"/>
  <c r="AY198" i="73"/>
  <c r="AX198" i="73"/>
  <c r="AY173" i="73"/>
  <c r="AX171" i="73"/>
  <c r="AY160" i="73"/>
  <c r="AY171" i="73" s="1"/>
  <c r="AY129" i="73"/>
  <c r="AX129" i="73"/>
  <c r="AY127" i="73"/>
  <c r="AY125" i="73"/>
  <c r="AX125" i="73"/>
  <c r="AY121" i="73"/>
  <c r="AX121" i="73"/>
  <c r="AY117" i="73"/>
  <c r="AY108" i="73"/>
  <c r="AY101" i="73"/>
  <c r="AY97" i="73"/>
  <c r="AY57" i="73"/>
  <c r="AY51" i="73"/>
  <c r="AY46" i="73"/>
  <c r="AY41" i="73"/>
  <c r="AY30" i="73"/>
  <c r="AY25" i="73"/>
  <c r="AY18" i="73"/>
  <c r="AZ58" i="28" s="1"/>
  <c r="AZ60" i="28" s="1"/>
  <c r="AX18" i="73"/>
  <c r="AY16" i="73"/>
  <c r="AY119" i="90" s="1"/>
  <c r="AY121" i="90" s="1"/>
  <c r="AY8" i="73"/>
  <c r="AX8" i="73"/>
  <c r="AX6" i="73" s="1"/>
  <c r="BC78" i="59"/>
  <c r="BC77" i="59"/>
  <c r="BC76" i="59"/>
  <c r="BB76" i="59"/>
  <c r="BB75" i="59"/>
  <c r="BC74" i="59"/>
  <c r="BB74" i="59"/>
  <c r="BC73" i="59"/>
  <c r="BB73" i="59"/>
  <c r="BC72" i="59"/>
  <c r="BB72" i="59"/>
  <c r="BC69" i="59"/>
  <c r="BB69" i="59"/>
  <c r="BC68" i="59"/>
  <c r="BB68" i="59"/>
  <c r="BC65" i="59"/>
  <c r="BB65" i="59"/>
  <c r="BC64" i="59"/>
  <c r="BB64" i="59"/>
  <c r="BC61" i="59"/>
  <c r="BB61" i="59"/>
  <c r="BC60" i="59"/>
  <c r="BB60" i="59"/>
  <c r="BC59" i="59"/>
  <c r="BC58" i="59"/>
  <c r="BB58" i="59"/>
  <c r="BC57" i="59"/>
  <c r="BB57" i="59"/>
  <c r="BB52" i="59"/>
  <c r="BC51" i="59"/>
  <c r="BB51" i="59"/>
  <c r="BC50" i="59"/>
  <c r="BB50" i="59"/>
  <c r="BC49" i="59"/>
  <c r="BB49" i="59"/>
  <c r="BC47" i="59"/>
  <c r="BB47" i="59"/>
  <c r="BC46" i="59"/>
  <c r="BB46" i="59"/>
  <c r="BC45" i="59"/>
  <c r="BB45" i="59"/>
  <c r="BC44" i="59"/>
  <c r="BB44" i="59"/>
  <c r="BC42" i="59"/>
  <c r="BB42" i="59"/>
  <c r="BC41" i="59"/>
  <c r="BB41" i="59"/>
  <c r="BC40" i="59"/>
  <c r="BB40" i="59"/>
  <c r="BB38" i="59"/>
  <c r="BB37" i="59"/>
  <c r="BB36" i="59"/>
  <c r="BC35" i="59"/>
  <c r="BC34" i="59"/>
  <c r="BB34" i="59"/>
  <c r="BC33" i="59"/>
  <c r="BB33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C22" i="59"/>
  <c r="BC20" i="59"/>
  <c r="BC19" i="59"/>
  <c r="BC18" i="59"/>
  <c r="BC17" i="59"/>
  <c r="BC16" i="59"/>
  <c r="BB16" i="59"/>
  <c r="BB15" i="59"/>
  <c r="BC12" i="59"/>
  <c r="BB12" i="59"/>
  <c r="BC11" i="59"/>
  <c r="BB11" i="59"/>
  <c r="AY6" i="73" l="1"/>
  <c r="AZ46" i="28"/>
  <c r="AZ35" i="28" s="1"/>
  <c r="AY12" i="15"/>
  <c r="AY113" i="73"/>
  <c r="BB43" i="59"/>
  <c r="AX132" i="73"/>
  <c r="AZ416" i="28"/>
  <c r="AZ516" i="28"/>
  <c r="AY13" i="28"/>
  <c r="AY236" i="28" s="1"/>
  <c r="AZ508" i="28"/>
  <c r="AY21" i="28"/>
  <c r="AZ512" i="28"/>
  <c r="AY29" i="28"/>
  <c r="AY74" i="28" s="1"/>
  <c r="AY125" i="90"/>
  <c r="BB48" i="59"/>
  <c r="AY5" i="73"/>
  <c r="AY12" i="49"/>
  <c r="AZ299" i="28"/>
  <c r="BC48" i="59"/>
  <c r="AY132" i="73"/>
  <c r="BC43" i="59"/>
  <c r="AZ492" i="28"/>
  <c r="AZ507" i="28"/>
  <c r="AZ506" i="28"/>
  <c r="AZ97" i="28"/>
  <c r="AZ73" i="28"/>
  <c r="AZ513" i="28"/>
  <c r="AZ72" i="28"/>
  <c r="AZ509" i="28"/>
  <c r="AZ505" i="28"/>
  <c r="AZ67" i="28" l="1"/>
  <c r="AZ37" i="28"/>
  <c r="AZ75" i="28" s="1"/>
  <c r="AZ76" i="28" s="1"/>
  <c r="AZ48" i="28"/>
  <c r="AZ442" i="28"/>
  <c r="AZ473" i="28" s="1"/>
  <c r="AZ525" i="28" s="1"/>
  <c r="AY13" i="15"/>
  <c r="AY14" i="15" s="1"/>
  <c r="AY72" i="28"/>
  <c r="AY79" i="28" s="1"/>
  <c r="AY87" i="28"/>
  <c r="AY513" i="28" s="1"/>
  <c r="AY73" i="28"/>
  <c r="AZ524" i="28"/>
  <c r="AZ515" i="28"/>
  <c r="AZ98" i="28"/>
  <c r="AY299" i="28"/>
  <c r="AY416" i="28"/>
  <c r="AY507" i="28"/>
  <c r="AZ514" i="28"/>
  <c r="AZ69" i="28"/>
  <c r="AZ510" i="28"/>
  <c r="AZ503" i="28"/>
  <c r="AZ511" i="28"/>
  <c r="AZ502" i="28"/>
  <c r="AZ493" i="28" l="1"/>
  <c r="AZ517" i="28"/>
  <c r="AZ70" i="28"/>
  <c r="AY511" i="28"/>
  <c r="AZ496" i="28"/>
  <c r="AY83" i="28"/>
  <c r="AY503" i="28"/>
  <c r="AY502" i="28"/>
  <c r="AZ518" i="28"/>
  <c r="AY515" i="28"/>
  <c r="AY514" i="28"/>
  <c r="AZ497" i="28"/>
  <c r="AZ519" i="28"/>
  <c r="AY506" i="28"/>
  <c r="AY505" i="28"/>
  <c r="AY509" i="28" l="1"/>
  <c r="AY510" i="28"/>
  <c r="AY72" i="36"/>
  <c r="AY64" i="36" s="1"/>
  <c r="AY71" i="36"/>
  <c r="AY69" i="36"/>
  <c r="AY67" i="36"/>
  <c r="AY59" i="36" s="1"/>
  <c r="AY66" i="36"/>
  <c r="AZ64" i="36"/>
  <c r="AZ72" i="36" s="1"/>
  <c r="AZ62" i="36"/>
  <c r="AZ70" i="36" s="1"/>
  <c r="AZ61" i="36"/>
  <c r="AY61" i="36"/>
  <c r="AY63" i="36" s="1"/>
  <c r="AZ59" i="36"/>
  <c r="AZ67" i="36" s="1"/>
  <c r="AZ58" i="36"/>
  <c r="AZ66" i="36" s="1"/>
  <c r="AZ57" i="36"/>
  <c r="AZ17" i="36" s="1"/>
  <c r="BC54" i="59" s="1"/>
  <c r="AZ56" i="36"/>
  <c r="AZ16" i="36" s="1"/>
  <c r="AZ33" i="36"/>
  <c r="AZ40" i="36" s="1"/>
  <c r="AY33" i="36"/>
  <c r="AY29" i="36"/>
  <c r="AY28" i="36"/>
  <c r="AZ23" i="36"/>
  <c r="BC71" i="59" s="1"/>
  <c r="AY23" i="36"/>
  <c r="BB71" i="59" s="1"/>
  <c r="AZ22" i="36"/>
  <c r="BC67" i="59" s="1"/>
  <c r="AY22" i="36"/>
  <c r="BB67" i="59" s="1"/>
  <c r="AZ21" i="36"/>
  <c r="BC63" i="59" s="1"/>
  <c r="AY21" i="36"/>
  <c r="BB63" i="59" s="1"/>
  <c r="AY17" i="36"/>
  <c r="AY16" i="36"/>
  <c r="AY13" i="36"/>
  <c r="BB39" i="59" s="1"/>
  <c r="AZ12" i="36"/>
  <c r="BC38" i="59" s="1"/>
  <c r="AZ11" i="36"/>
  <c r="BC37" i="59" s="1"/>
  <c r="AZ10" i="36"/>
  <c r="AZ9" i="36"/>
  <c r="BC10" i="59" s="1"/>
  <c r="AY9" i="36"/>
  <c r="BB10" i="59" s="1"/>
  <c r="AZ8" i="36"/>
  <c r="BC9" i="59" s="1"/>
  <c r="AY8" i="36"/>
  <c r="BB9" i="59" s="1"/>
  <c r="AY7" i="36"/>
  <c r="BB8" i="59" s="1"/>
  <c r="AY5" i="36"/>
  <c r="AY68" i="36" l="1"/>
  <c r="AX7" i="15"/>
  <c r="BB78" i="59"/>
  <c r="AY56" i="36"/>
  <c r="AY89" i="9"/>
  <c r="BB53" i="59"/>
  <c r="BB6" i="59"/>
  <c r="AY13" i="49"/>
  <c r="AY14" i="49" s="1"/>
  <c r="AY15" i="49" s="1"/>
  <c r="AY16" i="49" s="1"/>
  <c r="AY19" i="49" s="1"/>
  <c r="AY20" i="49" s="1"/>
  <c r="AY57" i="36"/>
  <c r="AY90" i="9"/>
  <c r="AY19" i="9" s="1"/>
  <c r="BB54" i="59"/>
  <c r="AY58" i="36"/>
  <c r="AY60" i="36" s="1"/>
  <c r="AX6" i="15"/>
  <c r="BB77" i="59"/>
  <c r="AZ68" i="36"/>
  <c r="AZ63" i="36"/>
  <c r="AZ18" i="36"/>
  <c r="BC55" i="59" s="1"/>
  <c r="BC53" i="59"/>
  <c r="AZ13" i="36"/>
  <c r="BC39" i="59" s="1"/>
  <c r="BC36" i="59"/>
  <c r="AZ69" i="36"/>
  <c r="AZ71" i="36" s="1"/>
  <c r="AZ19" i="36" s="1"/>
  <c r="BC56" i="59" s="1"/>
  <c r="AZ60" i="36"/>
  <c r="AZ28" i="21"/>
  <c r="AY27" i="21"/>
  <c r="AZ24" i="21"/>
  <c r="AZ25" i="21" s="1"/>
  <c r="AZ18" i="21"/>
  <c r="AZ15" i="21"/>
  <c r="AZ12" i="21"/>
  <c r="AY12" i="21"/>
  <c r="AY15" i="21" s="1"/>
  <c r="AZ522" i="28" l="1"/>
  <c r="AZ523" i="28"/>
  <c r="AY91" i="9"/>
  <c r="AZ20" i="21"/>
  <c r="AY22" i="21"/>
  <c r="AY42" i="35" l="1"/>
  <c r="AY41" i="35"/>
  <c r="AZ40" i="35"/>
  <c r="AZ39" i="35"/>
  <c r="AY39" i="35"/>
  <c r="AZ36" i="35"/>
  <c r="AZ48" i="35" s="1"/>
  <c r="AY36" i="35"/>
  <c r="AY33" i="35"/>
  <c r="AZ32" i="35"/>
  <c r="AZ31" i="35"/>
  <c r="AZ30" i="35"/>
  <c r="AZ26" i="35"/>
  <c r="AZ34" i="36" s="1"/>
  <c r="AY26" i="35"/>
  <c r="AY21" i="35"/>
  <c r="AY26" i="9" s="1"/>
  <c r="AZ20" i="35"/>
  <c r="AY20" i="35"/>
  <c r="AZ19" i="35"/>
  <c r="AY19" i="35"/>
  <c r="AZ14" i="35"/>
  <c r="AZ5" i="36" s="1"/>
  <c r="AZ13" i="35"/>
  <c r="AZ11" i="35"/>
  <c r="AZ10" i="6" s="1"/>
  <c r="AY10" i="35"/>
  <c r="AY9" i="35"/>
  <c r="AY8" i="35"/>
  <c r="AZ7" i="35"/>
  <c r="AZ6" i="6" s="1"/>
  <c r="AZ6" i="35"/>
  <c r="AZ15" i="35" l="1"/>
  <c r="AY13" i="35"/>
  <c r="AY8" i="6"/>
  <c r="AY14" i="35"/>
  <c r="AY9" i="6"/>
  <c r="AY48" i="35"/>
  <c r="AY31" i="28"/>
  <c r="AY34" i="36"/>
  <c r="AY35" i="36" s="1"/>
  <c r="AY36" i="36" s="1"/>
  <c r="AY38" i="36" s="1"/>
  <c r="AY30" i="36" s="1"/>
  <c r="BB79" i="59" s="1"/>
  <c r="AY26" i="21"/>
  <c r="AY28" i="21" s="1"/>
  <c r="AZ41" i="36"/>
  <c r="AZ43" i="36" s="1"/>
  <c r="AZ31" i="36" s="1"/>
  <c r="AZ35" i="36"/>
  <c r="AZ36" i="36" s="1"/>
  <c r="AZ38" i="36" s="1"/>
  <c r="AZ30" i="36" s="1"/>
  <c r="BC79" i="59" s="1"/>
  <c r="AZ18" i="6"/>
  <c r="AZ16" i="6"/>
  <c r="AZ8" i="35"/>
  <c r="AZ5" i="6"/>
  <c r="AZ98" i="6" s="1"/>
  <c r="AZ41" i="35"/>
  <c r="AZ97" i="11"/>
  <c r="AZ33" i="35"/>
  <c r="AZ37" i="35" s="1"/>
  <c r="AZ13" i="49"/>
  <c r="BC6" i="59"/>
  <c r="AY49" i="35"/>
  <c r="AY55" i="35" s="1"/>
  <c r="AY37" i="35"/>
  <c r="AY11" i="35"/>
  <c r="AY10" i="6" s="1"/>
  <c r="G157" i="7"/>
  <c r="G159" i="7" s="1"/>
  <c r="H157" i="7"/>
  <c r="H159" i="7" s="1"/>
  <c r="K157" i="7"/>
  <c r="K159" i="7" s="1"/>
  <c r="L157" i="7"/>
  <c r="L159" i="7" s="1"/>
  <c r="O157" i="7"/>
  <c r="O159" i="7" s="1"/>
  <c r="P157" i="7"/>
  <c r="P159" i="7" s="1"/>
  <c r="S157" i="7"/>
  <c r="S159" i="7" s="1"/>
  <c r="T157" i="7"/>
  <c r="T159" i="7" s="1"/>
  <c r="W157" i="7"/>
  <c r="W159" i="7" s="1"/>
  <c r="X157" i="7"/>
  <c r="X159" i="7" s="1"/>
  <c r="AC157" i="7"/>
  <c r="AC159" i="7" s="1"/>
  <c r="AD157" i="7"/>
  <c r="AD159" i="7" s="1"/>
  <c r="AG157" i="7"/>
  <c r="AG159" i="7" s="1"/>
  <c r="AH157" i="7"/>
  <c r="AH159" i="7" s="1"/>
  <c r="AK157" i="7"/>
  <c r="AK159" i="7" s="1"/>
  <c r="AL157" i="7"/>
  <c r="AL159" i="7" s="1"/>
  <c r="AQ157" i="7"/>
  <c r="AQ159" i="7" s="1"/>
  <c r="AR157" i="7"/>
  <c r="AR159" i="7" s="1"/>
  <c r="AU157" i="7"/>
  <c r="AU159" i="7" s="1"/>
  <c r="AV157" i="7"/>
  <c r="AV159" i="7" s="1"/>
  <c r="F157" i="7"/>
  <c r="F159" i="7" s="1"/>
  <c r="AZ104" i="6" l="1"/>
  <c r="AZ106" i="6" s="1"/>
  <c r="AZ143" i="6" s="1"/>
  <c r="AY37" i="28"/>
  <c r="AY63" i="28"/>
  <c r="AY15" i="35"/>
  <c r="AZ7" i="6"/>
  <c r="AZ15" i="6"/>
  <c r="AZ17" i="6"/>
  <c r="AZ185" i="6"/>
  <c r="AZ190" i="6"/>
  <c r="F123" i="90"/>
  <c r="G123" i="90"/>
  <c r="J123" i="90"/>
  <c r="K123" i="90"/>
  <c r="N123" i="90"/>
  <c r="O123" i="90"/>
  <c r="R123" i="90"/>
  <c r="S123" i="90"/>
  <c r="V123" i="90"/>
  <c r="W123" i="90"/>
  <c r="AB123" i="90"/>
  <c r="AF123" i="90"/>
  <c r="AG123" i="90"/>
  <c r="AJ123" i="90"/>
  <c r="AK123" i="90"/>
  <c r="AP123" i="90"/>
  <c r="AQ123" i="90"/>
  <c r="AT123" i="90"/>
  <c r="AU123" i="90"/>
  <c r="BA123" i="90" s="1"/>
  <c r="AX123" i="90"/>
  <c r="F118" i="90"/>
  <c r="G118" i="90"/>
  <c r="H118" i="90"/>
  <c r="J118" i="90"/>
  <c r="K118" i="90"/>
  <c r="L118" i="90"/>
  <c r="N118" i="90"/>
  <c r="O118" i="90"/>
  <c r="P118" i="90"/>
  <c r="R118" i="90"/>
  <c r="S118" i="90"/>
  <c r="T118" i="90"/>
  <c r="V118" i="90"/>
  <c r="W118" i="90"/>
  <c r="X118" i="90"/>
  <c r="Z118" i="90"/>
  <c r="AB118" i="90"/>
  <c r="AC118" i="90"/>
  <c r="AD118" i="90"/>
  <c r="AF118" i="90"/>
  <c r="AG118" i="90"/>
  <c r="AH118" i="90"/>
  <c r="AJ118" i="90"/>
  <c r="AK118" i="90"/>
  <c r="AL118" i="90"/>
  <c r="AN118" i="90"/>
  <c r="AP118" i="90"/>
  <c r="AQ118" i="90"/>
  <c r="AR118" i="90"/>
  <c r="AT118" i="90"/>
  <c r="AU118" i="90"/>
  <c r="BA118" i="90" s="1"/>
  <c r="AV118" i="90"/>
  <c r="H119" i="90"/>
  <c r="J119" i="90"/>
  <c r="L119" i="90"/>
  <c r="N119" i="90"/>
  <c r="P119" i="90"/>
  <c r="R119" i="90"/>
  <c r="T119" i="90"/>
  <c r="V119" i="90"/>
  <c r="X119" i="90"/>
  <c r="Z119" i="90"/>
  <c r="AB119" i="90"/>
  <c r="AD119" i="90"/>
  <c r="AF119" i="90"/>
  <c r="AH119" i="90"/>
  <c r="AJ119" i="90"/>
  <c r="AL119" i="90"/>
  <c r="AN119" i="90"/>
  <c r="AP119" i="90"/>
  <c r="AR119" i="90"/>
  <c r="AT119" i="90"/>
  <c r="AV119" i="90"/>
  <c r="F107" i="90"/>
  <c r="G107" i="90"/>
  <c r="H107" i="90"/>
  <c r="J107" i="90"/>
  <c r="K107" i="90"/>
  <c r="L107" i="90"/>
  <c r="N107" i="90"/>
  <c r="O107" i="90"/>
  <c r="P107" i="90"/>
  <c r="R107" i="90"/>
  <c r="S107" i="90"/>
  <c r="T107" i="90"/>
  <c r="V107" i="90"/>
  <c r="W107" i="90"/>
  <c r="X107" i="90"/>
  <c r="Z107" i="90"/>
  <c r="AB107" i="90"/>
  <c r="AC107" i="90"/>
  <c r="AD107" i="90"/>
  <c r="AF107" i="90"/>
  <c r="AG107" i="90"/>
  <c r="AH107" i="90"/>
  <c r="AJ107" i="90"/>
  <c r="AK107" i="90"/>
  <c r="AL107" i="90"/>
  <c r="AN107" i="90"/>
  <c r="AP107" i="90"/>
  <c r="AQ107" i="90"/>
  <c r="AR107" i="90"/>
  <c r="AT107" i="90"/>
  <c r="AU107" i="90"/>
  <c r="BA107" i="90" s="1"/>
  <c r="AV107" i="90"/>
  <c r="AX107" i="90"/>
  <c r="AZ107" i="90"/>
  <c r="BB107" i="90"/>
  <c r="BD107" i="90"/>
  <c r="F108" i="90"/>
  <c r="G108" i="90"/>
  <c r="H108" i="90"/>
  <c r="J108" i="90"/>
  <c r="K108" i="90"/>
  <c r="L108" i="90"/>
  <c r="N108" i="90"/>
  <c r="O108" i="90"/>
  <c r="P108" i="90"/>
  <c r="R108" i="90"/>
  <c r="S108" i="90"/>
  <c r="T108" i="90"/>
  <c r="V108" i="90"/>
  <c r="W108" i="90"/>
  <c r="X108" i="90"/>
  <c r="Z108" i="90"/>
  <c r="AB108" i="90"/>
  <c r="AC108" i="90"/>
  <c r="AD108" i="90"/>
  <c r="AF108" i="90"/>
  <c r="AG108" i="90"/>
  <c r="AH108" i="90"/>
  <c r="AJ108" i="90"/>
  <c r="AK108" i="90"/>
  <c r="AL108" i="90"/>
  <c r="AN108" i="90"/>
  <c r="AP108" i="90"/>
  <c r="AQ108" i="90"/>
  <c r="AR108" i="90"/>
  <c r="AT108" i="90"/>
  <c r="AU108" i="90"/>
  <c r="BA108" i="90" s="1"/>
  <c r="AV108" i="90"/>
  <c r="AX108" i="90"/>
  <c r="AZ108" i="90"/>
  <c r="BB108" i="90"/>
  <c r="BD108" i="90"/>
  <c r="F109" i="90"/>
  <c r="G109" i="90"/>
  <c r="H109" i="90"/>
  <c r="I109" i="90"/>
  <c r="J109" i="90"/>
  <c r="K109" i="90"/>
  <c r="L109" i="90"/>
  <c r="M109" i="90"/>
  <c r="N109" i="90"/>
  <c r="O109" i="90"/>
  <c r="P109" i="90"/>
  <c r="Q109" i="90"/>
  <c r="R109" i="90"/>
  <c r="S109" i="90"/>
  <c r="T109" i="90"/>
  <c r="U109" i="90"/>
  <c r="V109" i="90"/>
  <c r="W109" i="90"/>
  <c r="X109" i="90"/>
  <c r="Y109" i="90"/>
  <c r="Z109" i="90"/>
  <c r="AA109" i="90"/>
  <c r="AB109" i="90"/>
  <c r="AC109" i="90"/>
  <c r="AD109" i="90"/>
  <c r="AE109" i="90"/>
  <c r="AF109" i="90"/>
  <c r="AG109" i="90"/>
  <c r="AH109" i="90"/>
  <c r="AI109" i="90"/>
  <c r="AJ109" i="90"/>
  <c r="AK109" i="90"/>
  <c r="AL109" i="90"/>
  <c r="AM109" i="90"/>
  <c r="AN109" i="90"/>
  <c r="AP109" i="90"/>
  <c r="AQ109" i="90"/>
  <c r="AR109" i="90"/>
  <c r="AT109" i="90"/>
  <c r="AU109" i="90"/>
  <c r="AV109" i="90"/>
  <c r="AX109" i="90"/>
  <c r="AZ109" i="90"/>
  <c r="BB109" i="90"/>
  <c r="BD109" i="90"/>
  <c r="F110" i="90"/>
  <c r="G110" i="90"/>
  <c r="H110" i="90"/>
  <c r="I110" i="90"/>
  <c r="J110" i="90"/>
  <c r="K110" i="90"/>
  <c r="L110" i="90"/>
  <c r="M110" i="90"/>
  <c r="N110" i="90"/>
  <c r="O110" i="90"/>
  <c r="P110" i="90"/>
  <c r="Q110" i="90"/>
  <c r="R110" i="90"/>
  <c r="S110" i="90"/>
  <c r="T110" i="90"/>
  <c r="U110" i="90"/>
  <c r="V110" i="90"/>
  <c r="W110" i="90"/>
  <c r="X110" i="90"/>
  <c r="Y110" i="90"/>
  <c r="Z110" i="90"/>
  <c r="AA110" i="90"/>
  <c r="AB110" i="90"/>
  <c r="AC110" i="90"/>
  <c r="AD110" i="90"/>
  <c r="AE110" i="90"/>
  <c r="AF110" i="90"/>
  <c r="AG110" i="90"/>
  <c r="AH110" i="90"/>
  <c r="AI110" i="90"/>
  <c r="AJ110" i="90"/>
  <c r="AK110" i="90"/>
  <c r="AL110" i="90"/>
  <c r="AM110" i="90"/>
  <c r="AN110" i="90"/>
  <c r="AP110" i="90"/>
  <c r="AQ110" i="90"/>
  <c r="AR110" i="90"/>
  <c r="AT110" i="90"/>
  <c r="AU110" i="90"/>
  <c r="BA110" i="90" s="1"/>
  <c r="AV110" i="90"/>
  <c r="AX110" i="90"/>
  <c r="AZ110" i="90"/>
  <c r="BB110" i="90"/>
  <c r="BD110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P111" i="90"/>
  <c r="AQ111" i="90"/>
  <c r="AR111" i="90"/>
  <c r="AT111" i="90"/>
  <c r="AU111" i="90"/>
  <c r="AV111" i="90"/>
  <c r="AX111" i="90"/>
  <c r="AZ111" i="90"/>
  <c r="BB111" i="90"/>
  <c r="BD111" i="90"/>
  <c r="F112" i="90"/>
  <c r="G112" i="90"/>
  <c r="H112" i="90"/>
  <c r="J112" i="90"/>
  <c r="K112" i="90"/>
  <c r="L112" i="90"/>
  <c r="N112" i="90"/>
  <c r="O112" i="90"/>
  <c r="P112" i="90"/>
  <c r="R112" i="90"/>
  <c r="S112" i="90"/>
  <c r="T112" i="90"/>
  <c r="V112" i="90"/>
  <c r="W112" i="90"/>
  <c r="X112" i="90"/>
  <c r="Z112" i="90"/>
  <c r="AB112" i="90"/>
  <c r="AC112" i="90"/>
  <c r="AD112" i="90"/>
  <c r="AF112" i="90"/>
  <c r="AG112" i="90"/>
  <c r="AH112" i="90"/>
  <c r="AJ112" i="90"/>
  <c r="AK112" i="90"/>
  <c r="AL112" i="90"/>
  <c r="AN112" i="90"/>
  <c r="AP112" i="90"/>
  <c r="AQ112" i="90"/>
  <c r="AR112" i="90"/>
  <c r="AT112" i="90"/>
  <c r="AU112" i="90"/>
  <c r="AV112" i="90"/>
  <c r="AX112" i="90"/>
  <c r="AZ112" i="90"/>
  <c r="BB112" i="90"/>
  <c r="BD112" i="90"/>
  <c r="F113" i="90"/>
  <c r="G113" i="90"/>
  <c r="H113" i="90"/>
  <c r="J113" i="90"/>
  <c r="K113" i="90"/>
  <c r="L113" i="90"/>
  <c r="N113" i="90"/>
  <c r="O113" i="90"/>
  <c r="P113" i="90"/>
  <c r="R113" i="90"/>
  <c r="S113" i="90"/>
  <c r="T113" i="90"/>
  <c r="V113" i="90"/>
  <c r="W113" i="90"/>
  <c r="X113" i="90"/>
  <c r="Z113" i="90"/>
  <c r="AB113" i="90"/>
  <c r="AC113" i="90"/>
  <c r="AD113" i="90"/>
  <c r="AF113" i="90"/>
  <c r="AG113" i="90"/>
  <c r="AH113" i="90"/>
  <c r="AJ113" i="90"/>
  <c r="AK113" i="90"/>
  <c r="AL113" i="90"/>
  <c r="AN113" i="90"/>
  <c r="AP113" i="90"/>
  <c r="AQ113" i="90"/>
  <c r="AR113" i="90"/>
  <c r="AT113" i="90"/>
  <c r="AU113" i="90"/>
  <c r="AV113" i="90"/>
  <c r="AX113" i="90"/>
  <c r="AZ113" i="90"/>
  <c r="BB113" i="90"/>
  <c r="BD113" i="90"/>
  <c r="F114" i="90"/>
  <c r="G114" i="90"/>
  <c r="H114" i="90"/>
  <c r="J114" i="90"/>
  <c r="K114" i="90"/>
  <c r="L114" i="90"/>
  <c r="N114" i="90"/>
  <c r="O114" i="90"/>
  <c r="P114" i="90"/>
  <c r="R114" i="90"/>
  <c r="S114" i="90"/>
  <c r="T114" i="90"/>
  <c r="V114" i="90"/>
  <c r="W114" i="90"/>
  <c r="X114" i="90"/>
  <c r="Z114" i="90"/>
  <c r="AB114" i="90"/>
  <c r="AC114" i="90"/>
  <c r="AD114" i="90"/>
  <c r="AF114" i="90"/>
  <c r="AG114" i="90"/>
  <c r="AH114" i="90"/>
  <c r="AJ114" i="90"/>
  <c r="AK114" i="90"/>
  <c r="AL114" i="90"/>
  <c r="AN114" i="90"/>
  <c r="AP114" i="90"/>
  <c r="AQ114" i="90"/>
  <c r="AR114" i="90"/>
  <c r="AT114" i="90"/>
  <c r="AU114" i="90"/>
  <c r="AV114" i="90"/>
  <c r="AX114" i="90"/>
  <c r="AZ114" i="90"/>
  <c r="BB114" i="90"/>
  <c r="BD114" i="90"/>
  <c r="F115" i="90"/>
  <c r="G115" i="90"/>
  <c r="H115" i="90"/>
  <c r="J115" i="90"/>
  <c r="K115" i="90"/>
  <c r="L115" i="90"/>
  <c r="N115" i="90"/>
  <c r="O115" i="90"/>
  <c r="P115" i="90"/>
  <c r="R115" i="90"/>
  <c r="S115" i="90"/>
  <c r="T115" i="90"/>
  <c r="V115" i="90"/>
  <c r="W115" i="90"/>
  <c r="X115" i="90"/>
  <c r="Z115" i="90"/>
  <c r="AB115" i="90"/>
  <c r="AC115" i="90"/>
  <c r="AD115" i="90"/>
  <c r="AF115" i="90"/>
  <c r="AG115" i="90"/>
  <c r="AH115" i="90"/>
  <c r="AJ115" i="90"/>
  <c r="AK115" i="90"/>
  <c r="AL115" i="90"/>
  <c r="AN115" i="90"/>
  <c r="AP115" i="90"/>
  <c r="AQ115" i="90"/>
  <c r="AR115" i="90"/>
  <c r="AT115" i="90"/>
  <c r="AU115" i="90"/>
  <c r="AV115" i="90"/>
  <c r="AX115" i="90"/>
  <c r="AZ115" i="90"/>
  <c r="BB115" i="90"/>
  <c r="BD115" i="90"/>
  <c r="E108" i="90"/>
  <c r="E109" i="90"/>
  <c r="E110" i="90"/>
  <c r="E111" i="90"/>
  <c r="E112" i="90"/>
  <c r="E113" i="90"/>
  <c r="E114" i="90"/>
  <c r="E115" i="90"/>
  <c r="E107" i="90"/>
  <c r="C108" i="90"/>
  <c r="C109" i="90"/>
  <c r="C110" i="90"/>
  <c r="C111" i="90"/>
  <c r="C112" i="90"/>
  <c r="C113" i="90"/>
  <c r="C114" i="90"/>
  <c r="C115" i="90"/>
  <c r="C107" i="90"/>
  <c r="AZ146" i="6" l="1"/>
  <c r="AZ144" i="6"/>
  <c r="AZ193" i="6"/>
  <c r="BE113" i="90"/>
  <c r="BE111" i="90"/>
  <c r="BA109" i="90"/>
  <c r="BC109" i="90" s="1"/>
  <c r="BE112" i="90"/>
  <c r="AY69" i="28"/>
  <c r="BE108" i="90"/>
  <c r="BE110" i="90"/>
  <c r="BC110" i="90"/>
  <c r="BE109" i="90"/>
  <c r="BE107" i="90"/>
  <c r="BE115" i="90"/>
  <c r="BE114" i="90"/>
  <c r="BA115" i="90"/>
  <c r="BA114" i="90"/>
  <c r="BA113" i="90"/>
  <c r="BA112" i="90"/>
  <c r="BA111" i="90"/>
  <c r="BC111" i="90" s="1"/>
  <c r="AY75" i="28"/>
  <c r="AY493" i="28"/>
  <c r="AZ160" i="6"/>
  <c r="AZ19" i="6"/>
  <c r="AZ164" i="6"/>
  <c r="AL90" i="10"/>
  <c r="AZ145" i="6" l="1"/>
  <c r="AZ7" i="36" s="1"/>
  <c r="BC8" i="59" s="1"/>
  <c r="BC15" i="59"/>
  <c r="AY522" i="28"/>
  <c r="AY519" i="28"/>
  <c r="AY496" i="28"/>
  <c r="AY91" i="28"/>
  <c r="AY76" i="28"/>
  <c r="AZ37" i="6"/>
  <c r="AZ38" i="6"/>
  <c r="AZ40" i="6"/>
  <c r="AZ39" i="6"/>
  <c r="AZ81" i="6"/>
  <c r="AZ84" i="6"/>
  <c r="AU92" i="77"/>
  <c r="AU91" i="77"/>
  <c r="AU90" i="77"/>
  <c r="AQ92" i="77"/>
  <c r="AQ91" i="77"/>
  <c r="AQ90" i="77"/>
  <c r="AK83" i="77"/>
  <c r="AK82" i="77"/>
  <c r="AK81" i="77"/>
  <c r="AK80" i="77"/>
  <c r="AG83" i="77"/>
  <c r="AG82" i="77"/>
  <c r="AG81" i="77"/>
  <c r="AG80" i="77"/>
  <c r="AC83" i="77"/>
  <c r="AC82" i="77"/>
  <c r="AC81" i="77"/>
  <c r="AC80" i="77"/>
  <c r="AU83" i="77"/>
  <c r="AU82" i="77"/>
  <c r="AU81" i="77"/>
  <c r="AU80" i="77"/>
  <c r="AQ83" i="77"/>
  <c r="AQ82" i="77"/>
  <c r="AQ81" i="77"/>
  <c r="AQ80" i="77"/>
  <c r="AY523" i="28" l="1"/>
  <c r="AY518" i="28"/>
  <c r="AY95" i="28"/>
  <c r="AY517" i="28"/>
  <c r="AY497" i="28"/>
  <c r="AZ41" i="6"/>
  <c r="AU15" i="72" l="1"/>
  <c r="BC15" i="72" s="1"/>
  <c r="AW217" i="73" l="1"/>
  <c r="BE217" i="73" s="1"/>
  <c r="AU216" i="73"/>
  <c r="BA216" i="73" s="1"/>
  <c r="AW221" i="73"/>
  <c r="BE221" i="73" s="1"/>
  <c r="AW216" i="73" l="1"/>
  <c r="BE216" i="73" s="1"/>
  <c r="BA19" i="71" l="1"/>
  <c r="AW19" i="71"/>
  <c r="AU19" i="71"/>
  <c r="AU22" i="71"/>
  <c r="P125" i="10" l="1"/>
  <c r="T75" i="10"/>
  <c r="T71" i="10"/>
  <c r="AH143" i="10"/>
  <c r="AH12" i="10"/>
  <c r="AL113" i="10"/>
  <c r="AL104" i="10"/>
  <c r="AL152" i="10"/>
  <c r="AL144" i="10"/>
  <c r="AL24" i="10"/>
  <c r="AL146" i="10"/>
  <c r="AL67" i="10"/>
  <c r="AL57" i="10" l="1"/>
  <c r="AL56" i="10"/>
  <c r="AV56" i="10"/>
  <c r="AX109" i="9" l="1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4" i="10" l="1"/>
  <c r="AR104" i="10"/>
  <c r="AR24" i="10"/>
  <c r="AR144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 s="1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l="1"/>
  <c r="CU30" i="71"/>
  <c r="CQ30" i="71"/>
  <c r="CS30" i="71" s="1"/>
  <c r="AS72" i="73"/>
  <c r="AW72" i="73" s="1"/>
  <c r="BE72" i="73" s="1"/>
  <c r="AS73" i="73"/>
  <c r="AW73" i="73" s="1"/>
  <c r="BE73" i="73" s="1"/>
  <c r="AS53" i="73"/>
  <c r="AW53" i="73" s="1"/>
  <c r="BE53" i="73" s="1"/>
  <c r="AW84" i="73" l="1"/>
  <c r="BE84" i="73" s="1"/>
  <c r="AW81" i="73"/>
  <c r="BE81" i="73" s="1"/>
  <c r="AW34" i="73"/>
  <c r="BE34" i="73" s="1"/>
  <c r="AW214" i="73"/>
  <c r="BE214" i="73" s="1"/>
  <c r="AW145" i="73"/>
  <c r="BE145" i="73" s="1"/>
  <c r="AV475" i="28" l="1"/>
  <c r="AX478" i="28"/>
  <c r="BF478" i="28" s="1"/>
  <c r="BH478" i="28" s="1"/>
  <c r="AX477" i="28"/>
  <c r="BF477" i="28" s="1"/>
  <c r="BH477" i="28" s="1"/>
  <c r="AX109" i="28" l="1"/>
  <c r="BF109" i="28" s="1"/>
  <c r="BH109" i="28" s="1"/>
  <c r="AW194" i="73" l="1"/>
  <c r="AW195" i="73"/>
  <c r="BE195" i="73" s="1"/>
  <c r="BE194" i="73" l="1"/>
  <c r="BE193" i="73" s="1"/>
  <c r="AW193" i="73"/>
  <c r="AV64" i="11"/>
  <c r="AX21" i="10"/>
  <c r="AX22" i="10"/>
  <c r="BF22" i="10" s="1"/>
  <c r="BI22" i="10" s="1"/>
  <c r="BF21" i="10" l="1"/>
  <c r="BI21" i="10" s="1"/>
  <c r="AU72" i="36"/>
  <c r="AU71" i="36"/>
  <c r="AU69" i="36"/>
  <c r="AU61" i="36" s="1"/>
  <c r="AU63" i="36" s="1"/>
  <c r="AU67" i="36"/>
  <c r="AU59" i="36" s="1"/>
  <c r="AU66" i="36"/>
  <c r="AV64" i="36"/>
  <c r="AV72" i="36" s="1"/>
  <c r="AU64" i="36"/>
  <c r="AV62" i="36"/>
  <c r="AV70" i="36" s="1"/>
  <c r="AV61" i="36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13" i="36"/>
  <c r="AV12" i="36"/>
  <c r="AV11" i="36"/>
  <c r="AV10" i="36"/>
  <c r="AU9" i="36"/>
  <c r="AU8" i="36"/>
  <c r="AU7" i="36"/>
  <c r="AU5" i="36"/>
  <c r="AU68" i="36" l="1"/>
  <c r="AU56" i="36"/>
  <c r="AV63" i="36"/>
  <c r="AU57" i="36"/>
  <c r="AU58" i="36"/>
  <c r="AU60" i="36" s="1"/>
  <c r="AV13" i="36"/>
  <c r="AV68" i="36"/>
  <c r="AV69" i="36"/>
  <c r="AV71" i="36" s="1"/>
  <c r="AV40" i="36"/>
  <c r="AV60" i="36"/>
  <c r="AV19" i="36" l="1"/>
  <c r="AV108" i="8" l="1"/>
  <c r="AV109" i="8" s="1"/>
  <c r="AV93" i="8"/>
  <c r="AV90" i="8"/>
  <c r="AV88" i="8"/>
  <c r="AV87" i="8"/>
  <c r="AU86" i="8"/>
  <c r="AU81" i="8"/>
  <c r="AV79" i="8"/>
  <c r="AV75" i="8"/>
  <c r="AU74" i="8"/>
  <c r="AU73" i="8"/>
  <c r="AU72" i="8"/>
  <c r="AU71" i="8"/>
  <c r="AV68" i="8"/>
  <c r="AV66" i="8"/>
  <c r="AV64" i="8"/>
  <c r="AV61" i="8"/>
  <c r="AV58" i="8"/>
  <c r="AV62" i="8" s="1"/>
  <c r="AU52" i="8"/>
  <c r="AV49" i="8"/>
  <c r="AU49" i="8"/>
  <c r="AU46" i="8"/>
  <c r="AU45" i="8"/>
  <c r="AU44" i="8"/>
  <c r="AU43" i="8"/>
  <c r="AU41" i="8"/>
  <c r="AU40" i="8"/>
  <c r="AU39" i="8"/>
  <c r="AV26" i="8"/>
  <c r="AV17" i="8"/>
  <c r="AU17" i="8"/>
  <c r="AU15" i="8"/>
  <c r="AU14" i="8"/>
  <c r="AV13" i="8"/>
  <c r="AU13" i="8"/>
  <c r="AV6" i="8"/>
  <c r="AU6" i="8"/>
  <c r="AU27" i="8" s="1"/>
  <c r="AU23" i="8" l="1"/>
  <c r="AU24" i="8"/>
  <c r="AV16" i="8"/>
  <c r="AU16" i="8"/>
  <c r="AU42" i="8"/>
  <c r="AU50" i="8"/>
  <c r="AU51" i="8" s="1"/>
  <c r="AV65" i="8"/>
  <c r="AV67" i="8"/>
  <c r="AV37" i="8" s="1"/>
  <c r="AV69" i="8"/>
  <c r="AV36" i="8" s="1"/>
  <c r="AV59" i="8"/>
  <c r="AV81" i="8"/>
  <c r="AV91" i="8"/>
  <c r="AV52" i="8"/>
  <c r="AV120" i="8" s="1"/>
  <c r="AU25" i="8"/>
  <c r="AU28" i="8"/>
  <c r="AV47" i="8"/>
  <c r="AV50" i="8"/>
  <c r="AV77" i="8" s="1"/>
  <c r="AU65" i="8"/>
  <c r="AU84" i="8"/>
  <c r="AU29" i="8"/>
  <c r="AV39" i="8"/>
  <c r="AV41" i="8"/>
  <c r="AV43" i="8"/>
  <c r="AV135" i="8" s="1"/>
  <c r="AV45" i="8"/>
  <c r="AU59" i="8"/>
  <c r="AV85" i="8"/>
  <c r="AV110" i="8"/>
  <c r="AV111" i="8" s="1"/>
  <c r="AV53" i="8" s="1"/>
  <c r="AV122" i="8" s="1"/>
  <c r="AU30" i="8"/>
  <c r="AU31" i="8"/>
  <c r="AV40" i="8"/>
  <c r="AV44" i="8"/>
  <c r="AV136" i="8" s="1"/>
  <c r="AV46" i="8"/>
  <c r="AV137" i="8" s="1"/>
  <c r="AU128" i="26"/>
  <c r="AT128" i="26"/>
  <c r="AU112" i="26"/>
  <c r="AT110" i="26"/>
  <c r="AT108" i="26"/>
  <c r="AT106" i="26"/>
  <c r="AT104" i="26"/>
  <c r="AT102" i="26"/>
  <c r="AT100" i="26"/>
  <c r="AT98" i="26"/>
  <c r="AT96" i="26"/>
  <c r="AU92" i="26"/>
  <c r="AT89" i="26"/>
  <c r="AT87" i="26"/>
  <c r="AT85" i="26"/>
  <c r="AT83" i="26"/>
  <c r="AU81" i="26"/>
  <c r="AU80" i="26"/>
  <c r="AT78" i="26"/>
  <c r="AT76" i="26"/>
  <c r="AU73" i="26"/>
  <c r="AT71" i="26"/>
  <c r="AT69" i="26"/>
  <c r="AT67" i="26"/>
  <c r="AT65" i="26"/>
  <c r="AT63" i="26"/>
  <c r="AT61" i="26"/>
  <c r="AT59" i="26"/>
  <c r="AT57" i="26"/>
  <c r="AT52" i="26"/>
  <c r="AT50" i="26"/>
  <c r="AU48" i="26"/>
  <c r="AT46" i="26"/>
  <c r="AU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121" i="8" l="1"/>
  <c r="AV125" i="8"/>
  <c r="AV126" i="8" s="1"/>
  <c r="AV138" i="8"/>
  <c r="AV123" i="8"/>
  <c r="AV73" i="8"/>
  <c r="AV51" i="8"/>
  <c r="AU63" i="8"/>
  <c r="AU88" i="8"/>
  <c r="AU108" i="8"/>
  <c r="AU109" i="8" s="1"/>
  <c r="AV63" i="8"/>
  <c r="AV35" i="8" s="1"/>
  <c r="AT48" i="26"/>
  <c r="AT55" i="26" s="1"/>
  <c r="AU87" i="8"/>
  <c r="AU55" i="26"/>
  <c r="AU34" i="8"/>
  <c r="AV74" i="8"/>
  <c r="AU19" i="26"/>
  <c r="AV72" i="8"/>
  <c r="AT15" i="15"/>
  <c r="AT16" i="15" s="1"/>
  <c r="AV34" i="8"/>
  <c r="AU32" i="15"/>
  <c r="AU36" i="15" s="1"/>
  <c r="AU16" i="15" s="1"/>
  <c r="AU17" i="15" s="1"/>
  <c r="AU26" i="8"/>
  <c r="AV42" i="8"/>
  <c r="AU69" i="8"/>
  <c r="AU67" i="8"/>
  <c r="AT92" i="26"/>
  <c r="AT81" i="26"/>
  <c r="AT80" i="26"/>
  <c r="AT112" i="26"/>
  <c r="AT73" i="26"/>
  <c r="AT43" i="26"/>
  <c r="AT12" i="26"/>
  <c r="AU13" i="26"/>
  <c r="AU18" i="26"/>
  <c r="AU49" i="26"/>
  <c r="AU54" i="26"/>
  <c r="AT44" i="17"/>
  <c r="AT54" i="26" l="1"/>
  <c r="AV71" i="8"/>
  <c r="AT49" i="26"/>
  <c r="AV70" i="8"/>
  <c r="AV130" i="8"/>
  <c r="AV143" i="8" s="1"/>
  <c r="AV129" i="8"/>
  <c r="AV131" i="8"/>
  <c r="AV144" i="8" s="1"/>
  <c r="AU110" i="8"/>
  <c r="AU111" i="8" s="1"/>
  <c r="AU37" i="8"/>
  <c r="AU35" i="8"/>
  <c r="AU36" i="8"/>
  <c r="AT13" i="26"/>
  <c r="AT19" i="26"/>
  <c r="AT18" i="26"/>
  <c r="AU57" i="17"/>
  <c r="AU56" i="17"/>
  <c r="AU55" i="17"/>
  <c r="AU54" i="17"/>
  <c r="AU53" i="17"/>
  <c r="AT53" i="17"/>
  <c r="AU49" i="17"/>
  <c r="AT49" i="17"/>
  <c r="AU44" i="17"/>
  <c r="AU37" i="17"/>
  <c r="AU39" i="17" s="1"/>
  <c r="AT37" i="17"/>
  <c r="AT39" i="17" s="1"/>
  <c r="AT31" i="17"/>
  <c r="AU29" i="17"/>
  <c r="AU30" i="17" s="1"/>
  <c r="AT28" i="17"/>
  <c r="AT25" i="17"/>
  <c r="AU22" i="17"/>
  <c r="AU23" i="17" s="1"/>
  <c r="AT22" i="17"/>
  <c r="AU19" i="17"/>
  <c r="AT18" i="17"/>
  <c r="AU17" i="17"/>
  <c r="AT16" i="17"/>
  <c r="AU14" i="17"/>
  <c r="AU15" i="17" s="1"/>
  <c r="AT14" i="17"/>
  <c r="AU13" i="17"/>
  <c r="AU11" i="17"/>
  <c r="AU9" i="17"/>
  <c r="AT29" i="17" l="1"/>
  <c r="AV132" i="8"/>
  <c r="AV145" i="8" s="1"/>
  <c r="AV142" i="8"/>
  <c r="AT20" i="17"/>
  <c r="AT30" i="17"/>
  <c r="AT32" i="17"/>
  <c r="AU20" i="17"/>
  <c r="AU32" i="17"/>
  <c r="AZ94" i="38"/>
  <c r="AZ93" i="38"/>
  <c r="AZ92" i="38"/>
  <c r="AZ91" i="38"/>
  <c r="AY90" i="38"/>
  <c r="AZ89" i="38"/>
  <c r="AY88" i="38"/>
  <c r="AZ86" i="38"/>
  <c r="AZ85" i="38"/>
  <c r="AZ84" i="38"/>
  <c r="AZ83" i="38"/>
  <c r="AY82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Z68" i="38"/>
  <c r="AZ67" i="38"/>
  <c r="AY66" i="38"/>
  <c r="AZ62" i="38"/>
  <c r="AZ61" i="38"/>
  <c r="AY60" i="38"/>
  <c r="AZ59" i="38"/>
  <c r="AZ58" i="38"/>
  <c r="AZ57" i="38"/>
  <c r="AZ56" i="38"/>
  <c r="AZ55" i="38"/>
  <c r="AY54" i="38"/>
  <c r="AY52" i="38"/>
  <c r="AZ51" i="38"/>
  <c r="AY51" i="38"/>
  <c r="AY46" i="38"/>
  <c r="AY45" i="38"/>
  <c r="AY44" i="38"/>
  <c r="AY43" i="38"/>
  <c r="AZ42" i="38"/>
  <c r="AZ90" i="38" s="1"/>
  <c r="AY41" i="38"/>
  <c r="AY40" i="38" s="1"/>
  <c r="AZ40" i="38"/>
  <c r="AZ88" i="38" s="1"/>
  <c r="AY38" i="38"/>
  <c r="AY37" i="38"/>
  <c r="AY36" i="38"/>
  <c r="AY35" i="38"/>
  <c r="AZ34" i="38"/>
  <c r="AZ82" i="38" s="1"/>
  <c r="AY32" i="38"/>
  <c r="AY31" i="38"/>
  <c r="AY30" i="38"/>
  <c r="AY29" i="38"/>
  <c r="AY28" i="38"/>
  <c r="AY27" i="38"/>
  <c r="AY26" i="38"/>
  <c r="AY25" i="38"/>
  <c r="AY24" i="38"/>
  <c r="AY23" i="38"/>
  <c r="AY22" i="38"/>
  <c r="AU90" i="8" s="1"/>
  <c r="AU91" i="8" s="1"/>
  <c r="AY21" i="38"/>
  <c r="AY20" i="38"/>
  <c r="AY19" i="38"/>
  <c r="AZ18" i="38"/>
  <c r="AY14" i="38"/>
  <c r="AY13" i="38"/>
  <c r="AZ12" i="38"/>
  <c r="AY11" i="38"/>
  <c r="AY10" i="38"/>
  <c r="AY9" i="38"/>
  <c r="AY8" i="38"/>
  <c r="AY7" i="38"/>
  <c r="AZ6" i="38"/>
  <c r="AZ54" i="38" s="1"/>
  <c r="AS46" i="72"/>
  <c r="AS38" i="72"/>
  <c r="AS25" i="72"/>
  <c r="AS18" i="72"/>
  <c r="CK56" i="71"/>
  <c r="CK55" i="71"/>
  <c r="AU85" i="90" s="1"/>
  <c r="CK54" i="71"/>
  <c r="CK53" i="71"/>
  <c r="CK52" i="71"/>
  <c r="CK51" i="71"/>
  <c r="AU84" i="90" s="1"/>
  <c r="CK50" i="71"/>
  <c r="AU83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42" i="38" l="1"/>
  <c r="AT24" i="17"/>
  <c r="AZ66" i="38"/>
  <c r="AZ60" i="38"/>
  <c r="AY34" i="38"/>
  <c r="AY12" i="38"/>
  <c r="AY18" i="38"/>
  <c r="AY17" i="38" s="1"/>
  <c r="AY16" i="38" s="1"/>
  <c r="AU24" i="17"/>
  <c r="AU21" i="17"/>
  <c r="AY87" i="38"/>
  <c r="AY39" i="38"/>
  <c r="AY65" i="38"/>
  <c r="AY64" i="38" s="1"/>
  <c r="AY63" i="38"/>
  <c r="AY6" i="38"/>
  <c r="AZ39" i="38"/>
  <c r="AZ87" i="38" s="1"/>
  <c r="AZ17" i="38"/>
  <c r="AZ15" i="38"/>
  <c r="AS49" i="72"/>
  <c r="AS51" i="72" s="1"/>
  <c r="AV26" i="36" l="1"/>
  <c r="AY15" i="38"/>
  <c r="AZ65" i="38"/>
  <c r="AU25" i="17"/>
  <c r="AY96" i="38"/>
  <c r="AY48" i="38"/>
  <c r="AZ16" i="38"/>
  <c r="AZ48" i="38" s="1"/>
  <c r="AZ63" i="38"/>
  <c r="AZ64" i="38" l="1"/>
  <c r="AZ96" i="38" s="1"/>
  <c r="AW158" i="45"/>
  <c r="AW157" i="45"/>
  <c r="AW155" i="45"/>
  <c r="AW149" i="45"/>
  <c r="AW144" i="45"/>
  <c r="AW143" i="45"/>
  <c r="AV143" i="45"/>
  <c r="AW142" i="45"/>
  <c r="AW141" i="45"/>
  <c r="AW139" i="45"/>
  <c r="AV139" i="45"/>
  <c r="AW137" i="45"/>
  <c r="AV137" i="45"/>
  <c r="AW135" i="45"/>
  <c r="AV135" i="45"/>
  <c r="AW132" i="45"/>
  <c r="AV132" i="45"/>
  <c r="AW130" i="45"/>
  <c r="AW127" i="45" s="1"/>
  <c r="AW123" i="45"/>
  <c r="AW160" i="45" s="1"/>
  <c r="AW122" i="45"/>
  <c r="AW124" i="45" s="1"/>
  <c r="AV23" i="36" s="1"/>
  <c r="AV122" i="45"/>
  <c r="AW121" i="45"/>
  <c r="AW159" i="45" s="1"/>
  <c r="AW161" i="45" s="1"/>
  <c r="AV91" i="11"/>
  <c r="AV89" i="11"/>
  <c r="AV83" i="11"/>
  <c r="AV78" i="11"/>
  <c r="AV77" i="11"/>
  <c r="AU77" i="11"/>
  <c r="AV76" i="11"/>
  <c r="AV75" i="11"/>
  <c r="AV73" i="11"/>
  <c r="AU73" i="1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 l="1"/>
  <c r="AU74" i="11"/>
  <c r="AW156" i="45"/>
  <c r="AV133" i="45"/>
  <c r="AW133" i="45"/>
  <c r="AV124" i="45"/>
  <c r="AV84" i="11"/>
  <c r="AV67" i="11"/>
  <c r="AV58" i="11"/>
  <c r="AV22" i="36" s="1"/>
  <c r="AU67" i="11"/>
  <c r="AV121" i="45"/>
  <c r="AV140" i="45"/>
  <c r="AV60" i="11"/>
  <c r="AW140" i="45"/>
  <c r="AV125" i="45"/>
  <c r="AW150" i="45"/>
  <c r="AW125" i="45"/>
  <c r="AW126" i="45" s="1"/>
  <c r="AV145" i="45"/>
  <c r="AW151" i="45"/>
  <c r="AW145" i="45"/>
  <c r="AV74" i="11"/>
  <c r="AV94" i="11"/>
  <c r="AU79" i="11"/>
  <c r="AV85" i="11"/>
  <c r="AU97" i="11"/>
  <c r="AV79" i="11"/>
  <c r="AV90" i="11"/>
  <c r="AV190" i="10" l="1"/>
  <c r="AV188" i="10"/>
  <c r="AV182" i="10"/>
  <c r="AV177" i="10"/>
  <c r="AV176" i="10"/>
  <c r="AU176" i="10"/>
  <c r="AV175" i="10"/>
  <c r="AV174" i="10"/>
  <c r="AV172" i="10"/>
  <c r="AU172" i="10"/>
  <c r="AV170" i="10"/>
  <c r="AU170" i="10"/>
  <c r="AV168" i="10"/>
  <c r="AU168" i="10"/>
  <c r="AV165" i="10"/>
  <c r="AU165" i="10"/>
  <c r="AV160" i="10"/>
  <c r="AU159" i="10"/>
  <c r="AV158" i="10"/>
  <c r="AV210" i="10" s="1"/>
  <c r="AU104" i="9"/>
  <c r="AU102" i="9"/>
  <c r="AU101" i="9"/>
  <c r="AV99" i="9"/>
  <c r="AU99" i="9"/>
  <c r="AV98" i="9"/>
  <c r="AV97" i="9"/>
  <c r="AV93" i="9"/>
  <c r="AU90" i="9"/>
  <c r="AU89" i="9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166" i="10" l="1"/>
  <c r="AV183" i="10"/>
  <c r="AV166" i="10"/>
  <c r="AU203" i="10"/>
  <c r="AU91" i="9"/>
  <c r="AU67" i="9"/>
  <c r="AU33" i="22"/>
  <c r="AT130" i="26"/>
  <c r="AU100" i="9"/>
  <c r="AV192" i="10"/>
  <c r="AU158" i="10"/>
  <c r="AU161" i="10"/>
  <c r="AU173" i="10"/>
  <c r="AV49" i="9"/>
  <c r="AV84" i="9" s="1"/>
  <c r="AV14" i="9"/>
  <c r="AV100" i="9"/>
  <c r="AV96" i="9"/>
  <c r="AU130" i="26"/>
  <c r="AV90" i="9"/>
  <c r="AV196" i="10"/>
  <c r="AV191" i="10"/>
  <c r="AV159" i="10"/>
  <c r="AV189" i="10"/>
  <c r="AV199" i="10"/>
  <c r="AU178" i="10"/>
  <c r="AV184" i="10"/>
  <c r="AV62" i="9"/>
  <c r="AU25" i="9"/>
  <c r="AU88" i="9" s="1"/>
  <c r="AV37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85" i="9" l="1"/>
  <c r="AV52" i="9"/>
  <c r="AV76" i="9"/>
  <c r="AV82" i="9"/>
  <c r="AV83" i="9"/>
  <c r="AV87" i="9"/>
  <c r="AV86" i="9"/>
  <c r="AV73" i="9"/>
  <c r="AV75" i="9"/>
  <c r="AV53" i="9"/>
  <c r="AV72" i="9"/>
  <c r="AV74" i="9" s="1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3" i="10"/>
  <c r="AV81" i="9"/>
  <c r="AV178" i="10"/>
  <c r="AV161" i="10"/>
  <c r="AV21" i="36" s="1"/>
  <c r="AV200" i="10"/>
  <c r="AV173" i="10"/>
  <c r="AU57" i="9"/>
  <c r="AU60" i="9"/>
  <c r="AV77" i="9" l="1"/>
  <c r="AU62" i="9"/>
  <c r="AV79" i="9"/>
  <c r="AU6" i="26" l="1"/>
  <c r="AU61" i="39" l="1"/>
  <c r="AV43" i="22" s="1"/>
  <c r="AU60" i="39"/>
  <c r="AV42" i="22" s="1"/>
  <c r="AU48" i="39"/>
  <c r="AU47" i="39"/>
  <c r="AU46" i="39"/>
  <c r="AU43" i="39"/>
  <c r="AU42" i="39"/>
  <c r="AU8" i="39"/>
  <c r="AV218" i="6"/>
  <c r="AU218" i="6"/>
  <c r="AV217" i="6"/>
  <c r="AU217" i="6"/>
  <c r="AU195" i="6"/>
  <c r="AV194" i="6"/>
  <c r="AU194" i="6"/>
  <c r="AU193" i="6"/>
  <c r="AV189" i="6"/>
  <c r="AU189" i="6"/>
  <c r="AV188" i="6"/>
  <c r="AV187" i="6"/>
  <c r="AU186" i="6"/>
  <c r="AU185" i="6"/>
  <c r="AU182" i="6"/>
  <c r="AU181" i="6"/>
  <c r="AU180" i="6"/>
  <c r="AU179" i="6"/>
  <c r="AU178" i="6"/>
  <c r="AU177" i="6"/>
  <c r="AU175" i="6"/>
  <c r="AU174" i="6"/>
  <c r="AU173" i="6"/>
  <c r="AV163" i="6"/>
  <c r="AU163" i="6"/>
  <c r="AV162" i="6"/>
  <c r="AU161" i="6"/>
  <c r="AU160" i="6"/>
  <c r="AU157" i="6"/>
  <c r="AU156" i="6"/>
  <c r="AU155" i="6"/>
  <c r="AU154" i="6"/>
  <c r="AU153" i="6"/>
  <c r="AU152" i="6"/>
  <c r="AU150" i="6"/>
  <c r="AU149" i="6"/>
  <c r="AU148" i="6"/>
  <c r="AV138" i="6"/>
  <c r="AV135" i="6"/>
  <c r="AU135" i="6"/>
  <c r="AV134" i="6"/>
  <c r="AU134" i="6"/>
  <c r="AV133" i="6"/>
  <c r="AU133" i="6"/>
  <c r="AV132" i="6"/>
  <c r="AU132" i="6"/>
  <c r="AV130" i="6"/>
  <c r="AU130" i="6"/>
  <c r="AV129" i="6"/>
  <c r="AU129" i="6"/>
  <c r="AV127" i="6"/>
  <c r="AU127" i="6"/>
  <c r="AV126" i="6"/>
  <c r="AU126" i="6"/>
  <c r="AV125" i="6"/>
  <c r="AU125" i="6"/>
  <c r="AV124" i="6"/>
  <c r="AU124" i="6"/>
  <c r="AV119" i="6"/>
  <c r="AU119" i="6"/>
  <c r="AV114" i="6"/>
  <c r="AU114" i="6"/>
  <c r="AV103" i="6"/>
  <c r="AU103" i="6"/>
  <c r="AU98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91" i="77"/>
  <c r="AT90" i="77"/>
  <c r="AU86" i="77"/>
  <c r="AT86" i="77"/>
  <c r="AU84" i="77"/>
  <c r="AT84" i="77"/>
  <c r="AU71" i="77"/>
  <c r="AT71" i="77"/>
  <c r="AU53" i="77"/>
  <c r="AT53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T89" i="77" l="1"/>
  <c r="AU22" i="39"/>
  <c r="AU34" i="39"/>
  <c r="AU136" i="6"/>
  <c r="AV136" i="6"/>
  <c r="AU30" i="6"/>
  <c r="AU31" i="6"/>
  <c r="AV35" i="6"/>
  <c r="AU89" i="77"/>
  <c r="AU95" i="77" s="1"/>
  <c r="AT95" i="77"/>
  <c r="AV120" i="6"/>
  <c r="AU50" i="39"/>
  <c r="AU23" i="39"/>
  <c r="AU45" i="39"/>
  <c r="AU159" i="6"/>
  <c r="AV57" i="6"/>
  <c r="AU184" i="6"/>
  <c r="AU164" i="6"/>
  <c r="AU19" i="6"/>
  <c r="AU104" i="6"/>
  <c r="AU120" i="6"/>
  <c r="AU131" i="6"/>
  <c r="AV131" i="6"/>
  <c r="AU21" i="6"/>
  <c r="AU24" i="6"/>
  <c r="AU27" i="6"/>
  <c r="AU190" i="6"/>
  <c r="AU22" i="6"/>
  <c r="AU25" i="6"/>
  <c r="AU28" i="6"/>
  <c r="AU24" i="39" l="1"/>
  <c r="AU122" i="6"/>
  <c r="AU137" i="6"/>
  <c r="AV122" i="6"/>
  <c r="AV137" i="6"/>
  <c r="AU106" i="6"/>
  <c r="AU81" i="6"/>
  <c r="AU32" i="6"/>
  <c r="AU29" i="6"/>
  <c r="AU34" i="6"/>
  <c r="AU26" i="6"/>
  <c r="AU33" i="6"/>
  <c r="AU23" i="6"/>
  <c r="AU84" i="6"/>
  <c r="AU144" i="6" l="1"/>
  <c r="AU139" i="6"/>
  <c r="AU171" i="6"/>
  <c r="AU35" i="6"/>
  <c r="AU146" i="6"/>
  <c r="AU169" i="6"/>
  <c r="AU168" i="6"/>
  <c r="AV139" i="6"/>
  <c r="AU143" i="6"/>
  <c r="AU145" i="6" s="1"/>
  <c r="AV171" i="6"/>
  <c r="AV169" i="6"/>
  <c r="AV168" i="6"/>
  <c r="AV170" i="6" l="1"/>
  <c r="AV8" i="36" s="1"/>
  <c r="AU170" i="6"/>
  <c r="AV200" i="6"/>
  <c r="AV202" i="6"/>
  <c r="AV208" i="6"/>
  <c r="AV213" i="6"/>
  <c r="AV205" i="6"/>
  <c r="AV199" i="6"/>
  <c r="AV209" i="6"/>
  <c r="AV207" i="6"/>
  <c r="AV210" i="6"/>
  <c r="AV204" i="6"/>
  <c r="AV203" i="6"/>
  <c r="AU202" i="6"/>
  <c r="AU199" i="6"/>
  <c r="AU204" i="6"/>
  <c r="AU208" i="6"/>
  <c r="AU213" i="6"/>
  <c r="AU214" i="6" s="1"/>
  <c r="AU203" i="6"/>
  <c r="AU207" i="6"/>
  <c r="AU205" i="6"/>
  <c r="AU200" i="6"/>
  <c r="AU210" i="6"/>
  <c r="AU209" i="6"/>
  <c r="AV195" i="6"/>
  <c r="AV211" i="6" l="1"/>
  <c r="AV206" i="6"/>
  <c r="AV212" i="6" s="1"/>
  <c r="AV214" i="6"/>
  <c r="AU211" i="6"/>
  <c r="AU206" i="6"/>
  <c r="AU524" i="28"/>
  <c r="AV481" i="28"/>
  <c r="AV443" i="28"/>
  <c r="AV431" i="28"/>
  <c r="AU431" i="28"/>
  <c r="AV415" i="28"/>
  <c r="AV416" i="28" s="1"/>
  <c r="AV304" i="28"/>
  <c r="AU304" i="28"/>
  <c r="AV298" i="28"/>
  <c r="AU298" i="28"/>
  <c r="AV297" i="28"/>
  <c r="AU297" i="28"/>
  <c r="AV256" i="28"/>
  <c r="AU256" i="28"/>
  <c r="AV235" i="28"/>
  <c r="AV96" i="28"/>
  <c r="AV95" i="28"/>
  <c r="AV93" i="28"/>
  <c r="AV89" i="28"/>
  <c r="AV85" i="28"/>
  <c r="AV81" i="28"/>
  <c r="AU68" i="28"/>
  <c r="AU67" i="28"/>
  <c r="AU65" i="28"/>
  <c r="AV56" i="28"/>
  <c r="AV29" i="28"/>
  <c r="AU23" i="28"/>
  <c r="AV21" i="28"/>
  <c r="AU15" i="28"/>
  <c r="AV13" i="28"/>
  <c r="AU7" i="28"/>
  <c r="AV215" i="6" l="1"/>
  <c r="AV9" i="36"/>
  <c r="AU212" i="6"/>
  <c r="AU215" i="6" s="1"/>
  <c r="AV236" i="28"/>
  <c r="AV508" i="28"/>
  <c r="AV73" i="28"/>
  <c r="AV512" i="28"/>
  <c r="AV516" i="28"/>
  <c r="AU13" i="28"/>
  <c r="AU29" i="28"/>
  <c r="AU74" i="28" s="1"/>
  <c r="AV299" i="28"/>
  <c r="AV511" i="28" s="1"/>
  <c r="AV97" i="28"/>
  <c r="AV98" i="28" s="1"/>
  <c r="AV492" i="28"/>
  <c r="AV515" i="28"/>
  <c r="AV514" i="28"/>
  <c r="AU21" i="28"/>
  <c r="AV72" i="28"/>
  <c r="AV74" i="28"/>
  <c r="AV513" i="28"/>
  <c r="AV509" i="28"/>
  <c r="AV505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31" i="73"/>
  <c r="AU229" i="73"/>
  <c r="AU209" i="73"/>
  <c r="AU203" i="73"/>
  <c r="AU198" i="73"/>
  <c r="AU173" i="73"/>
  <c r="AU160" i="73"/>
  <c r="AU171" i="73" s="1"/>
  <c r="AU129" i="73"/>
  <c r="AU127" i="73"/>
  <c r="AU125" i="73"/>
  <c r="AU121" i="73"/>
  <c r="AU117" i="73"/>
  <c r="AU108" i="73"/>
  <c r="AU101" i="73"/>
  <c r="AU97" i="73"/>
  <c r="AU57" i="73"/>
  <c r="AU51" i="73"/>
  <c r="AU46" i="73"/>
  <c r="AU41" i="73"/>
  <c r="AU30" i="73"/>
  <c r="AU25" i="73"/>
  <c r="AU18" i="73"/>
  <c r="AV58" i="28" s="1"/>
  <c r="AV60" i="28" s="1"/>
  <c r="AU16" i="73"/>
  <c r="AU119" i="90" s="1"/>
  <c r="AU8" i="73"/>
  <c r="AY78" i="59"/>
  <c r="AX78" i="59"/>
  <c r="AY77" i="59"/>
  <c r="AX77" i="59"/>
  <c r="AY76" i="59"/>
  <c r="AX76" i="59"/>
  <c r="AX75" i="59"/>
  <c r="AY74" i="59"/>
  <c r="AX74" i="59"/>
  <c r="AY72" i="59"/>
  <c r="AX72" i="59"/>
  <c r="AX71" i="59"/>
  <c r="AY68" i="59"/>
  <c r="AX68" i="59"/>
  <c r="AX67" i="59"/>
  <c r="AY64" i="59"/>
  <c r="AX64" i="59"/>
  <c r="AX63" i="59"/>
  <c r="AY61" i="59"/>
  <c r="AX61" i="59"/>
  <c r="AY60" i="59"/>
  <c r="AX60" i="59"/>
  <c r="AY58" i="59"/>
  <c r="AX58" i="59"/>
  <c r="AY57" i="59"/>
  <c r="AX57" i="59"/>
  <c r="AX53" i="59"/>
  <c r="AX52" i="59"/>
  <c r="AY51" i="59"/>
  <c r="AX51" i="59"/>
  <c r="AY50" i="59"/>
  <c r="AX50" i="59"/>
  <c r="AY49" i="59"/>
  <c r="AX49" i="59"/>
  <c r="AY47" i="59"/>
  <c r="AX47" i="59"/>
  <c r="AY46" i="59"/>
  <c r="AX46" i="59"/>
  <c r="AY45" i="59"/>
  <c r="AX45" i="59"/>
  <c r="AY44" i="59"/>
  <c r="AX44" i="59"/>
  <c r="AY42" i="59"/>
  <c r="AX42" i="59"/>
  <c r="AY41" i="59"/>
  <c r="AX41" i="59"/>
  <c r="AY40" i="59"/>
  <c r="AX40" i="59"/>
  <c r="AX39" i="59"/>
  <c r="AX38" i="59"/>
  <c r="AX37" i="59"/>
  <c r="AX36" i="59"/>
  <c r="AY27" i="59"/>
  <c r="AY26" i="59"/>
  <c r="AY25" i="59"/>
  <c r="AY24" i="59"/>
  <c r="AY23" i="59"/>
  <c r="AY22" i="59"/>
  <c r="AY20" i="59"/>
  <c r="AY19" i="59"/>
  <c r="AY18" i="59"/>
  <c r="AY17" i="59"/>
  <c r="AY16" i="59"/>
  <c r="AY12" i="59"/>
  <c r="AX12" i="59"/>
  <c r="AY11" i="59"/>
  <c r="AX11" i="59"/>
  <c r="AX10" i="59"/>
  <c r="AX9" i="59"/>
  <c r="AX8" i="59"/>
  <c r="AY54" i="59"/>
  <c r="AY38" i="59"/>
  <c r="AY37" i="59"/>
  <c r="AY10" i="59"/>
  <c r="AY9" i="59"/>
  <c r="AU13" i="49"/>
  <c r="AV28" i="21"/>
  <c r="AU27" i="21"/>
  <c r="AV24" i="21"/>
  <c r="AV25" i="21" s="1"/>
  <c r="AV18" i="21"/>
  <c r="AV15" i="21"/>
  <c r="AV12" i="21"/>
  <c r="AU12" i="21"/>
  <c r="AU22" i="21" s="1"/>
  <c r="AU6" i="73" l="1"/>
  <c r="AV46" i="28"/>
  <c r="AV35" i="28" s="1"/>
  <c r="AX43" i="59"/>
  <c r="AU113" i="73"/>
  <c r="AV524" i="28"/>
  <c r="AU87" i="28"/>
  <c r="AU72" i="28"/>
  <c r="AV506" i="28"/>
  <c r="AU416" i="28"/>
  <c r="AV507" i="28"/>
  <c r="AV510" i="28"/>
  <c r="AU236" i="28"/>
  <c r="AV503" i="28"/>
  <c r="AV502" i="28"/>
  <c r="AU12" i="15"/>
  <c r="AU13" i="15" s="1"/>
  <c r="AU14" i="15" s="1"/>
  <c r="AX48" i="59"/>
  <c r="AU12" i="49"/>
  <c r="AU14" i="49" s="1"/>
  <c r="AU15" i="49" s="1"/>
  <c r="AU16" i="49" s="1"/>
  <c r="AU19" i="49" s="1"/>
  <c r="AU20" i="49" s="1"/>
  <c r="AU132" i="73"/>
  <c r="AV20" i="21"/>
  <c r="AX54" i="59"/>
  <c r="AY39" i="59"/>
  <c r="AX6" i="59"/>
  <c r="AY55" i="59"/>
  <c r="AY53" i="59"/>
  <c r="AY48" i="59"/>
  <c r="AY43" i="59"/>
  <c r="AY36" i="59"/>
  <c r="AU73" i="28"/>
  <c r="AU299" i="28"/>
  <c r="AU5" i="73"/>
  <c r="AY56" i="59"/>
  <c r="AU15" i="21"/>
  <c r="AV67" i="28" l="1"/>
  <c r="AV37" i="28"/>
  <c r="AV69" i="28"/>
  <c r="AV522" i="28" s="1"/>
  <c r="AV48" i="28"/>
  <c r="AV442" i="28"/>
  <c r="AV473" i="28" s="1"/>
  <c r="AU514" i="28"/>
  <c r="AU507" i="28"/>
  <c r="AU79" i="28"/>
  <c r="AU511" i="28"/>
  <c r="AU515" i="28"/>
  <c r="AU513" i="28"/>
  <c r="AU83" i="28"/>
  <c r="AU503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V98" i="6" s="1"/>
  <c r="AV104" i="6" l="1"/>
  <c r="AV106" i="6" s="1"/>
  <c r="AV143" i="6" s="1"/>
  <c r="AV70" i="28"/>
  <c r="AV525" i="28"/>
  <c r="AV493" i="28"/>
  <c r="AV517" i="28"/>
  <c r="AV75" i="28"/>
  <c r="AV76" i="28" s="1"/>
  <c r="AV523" i="28" s="1"/>
  <c r="AU506" i="28"/>
  <c r="AU505" i="28"/>
  <c r="AU502" i="28"/>
  <c r="AU48" i="35"/>
  <c r="AU49" i="35" s="1"/>
  <c r="AU31" i="28"/>
  <c r="AU34" i="36"/>
  <c r="AU35" i="36" s="1"/>
  <c r="AU36" i="36" s="1"/>
  <c r="AU38" i="36" s="1"/>
  <c r="AU30" i="36" s="1"/>
  <c r="AX79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79" i="59" s="1"/>
  <c r="AU11" i="35"/>
  <c r="AU10" i="6" s="1"/>
  <c r="AU8" i="6"/>
  <c r="AV18" i="6"/>
  <c r="AV16" i="6"/>
  <c r="AV17" i="6"/>
  <c r="AV7" i="6"/>
  <c r="AV15" i="6"/>
  <c r="AV13" i="49"/>
  <c r="AY6" i="59"/>
  <c r="AU510" i="28"/>
  <c r="AU509" i="28"/>
  <c r="AU37" i="35"/>
  <c r="AV8" i="35"/>
  <c r="AU13" i="35"/>
  <c r="AV144" i="6" l="1"/>
  <c r="AY15" i="59" s="1"/>
  <c r="AV146" i="6"/>
  <c r="AV193" i="6"/>
  <c r="AV518" i="28"/>
  <c r="AV497" i="28"/>
  <c r="AV496" i="28"/>
  <c r="AV519" i="28"/>
  <c r="AU37" i="28"/>
  <c r="AU63" i="28"/>
  <c r="AU15" i="35"/>
  <c r="AV160" i="6"/>
  <c r="AV164" i="6"/>
  <c r="AV19" i="6"/>
  <c r="AV81" i="6"/>
  <c r="AV185" i="6"/>
  <c r="AV190" i="6"/>
  <c r="AU55" i="35"/>
  <c r="AV145" i="6" l="1"/>
  <c r="AV7" i="36" s="1"/>
  <c r="AY8" i="59" s="1"/>
  <c r="AU69" i="28"/>
  <c r="AU75" i="28"/>
  <c r="AU493" i="28"/>
  <c r="AV37" i="6"/>
  <c r="AV40" i="6"/>
  <c r="AV38" i="6"/>
  <c r="AV39" i="6"/>
  <c r="AV84" i="6"/>
  <c r="AU522" i="28" l="1"/>
  <c r="AU519" i="28"/>
  <c r="AU496" i="28"/>
  <c r="AU91" i="28"/>
  <c r="AU76" i="28"/>
  <c r="AV41" i="6"/>
  <c r="AU523" i="28" l="1"/>
  <c r="AU517" i="28"/>
  <c r="AU518" i="28"/>
  <c r="AU95" i="28"/>
  <c r="AU497" i="28"/>
  <c r="AT390" i="28"/>
  <c r="AX390" i="28" s="1"/>
  <c r="BF390" i="28" s="1"/>
  <c r="BH390" i="28" s="1"/>
  <c r="AT339" i="28"/>
  <c r="AX339" i="28" s="1"/>
  <c r="BF339" i="28" s="1"/>
  <c r="BH339" i="28" s="1"/>
  <c r="AT306" i="28"/>
  <c r="AT305" i="28"/>
  <c r="AT300" i="28"/>
  <c r="AT295" i="28"/>
  <c r="AX295" i="28" s="1"/>
  <c r="BF295" i="28" s="1"/>
  <c r="BH295" i="28" s="1"/>
  <c r="AT182" i="28"/>
  <c r="AX182" i="28" s="1"/>
  <c r="BF182" i="28" s="1"/>
  <c r="BH182" i="28" s="1"/>
  <c r="AS71" i="83" l="1"/>
  <c r="AU71" i="83" l="1"/>
  <c r="AY71" i="83" s="1"/>
  <c r="BG71" i="83" s="1"/>
  <c r="BC71" i="83"/>
  <c r="BE71" i="83" s="1"/>
  <c r="AD1" i="35"/>
  <c r="AL118" i="8" l="1"/>
  <c r="AH118" i="8"/>
  <c r="AD118" i="8"/>
  <c r="AN118" i="8" s="1"/>
  <c r="BD118" i="8" s="1"/>
  <c r="AL117" i="8"/>
  <c r="AH117" i="8"/>
  <c r="AD117" i="8"/>
  <c r="AN117" i="8" s="1"/>
  <c r="BD117" i="8" s="1"/>
  <c r="AL116" i="8"/>
  <c r="AH116" i="8"/>
  <c r="AD116" i="8"/>
  <c r="X118" i="8"/>
  <c r="X117" i="8"/>
  <c r="X116" i="8"/>
  <c r="T118" i="8"/>
  <c r="T117" i="8"/>
  <c r="T116" i="8"/>
  <c r="P118" i="8"/>
  <c r="P117" i="8"/>
  <c r="P116" i="8"/>
  <c r="L118" i="8"/>
  <c r="L117" i="8"/>
  <c r="L116" i="8"/>
  <c r="H118" i="8"/>
  <c r="H117" i="8"/>
  <c r="H116" i="8"/>
  <c r="F118" i="8"/>
  <c r="F117" i="8"/>
  <c r="F116" i="8"/>
  <c r="AN116" i="8" l="1"/>
  <c r="BD116" i="8" s="1"/>
  <c r="N117" i="8"/>
  <c r="N116" i="8"/>
  <c r="N118" i="8"/>
  <c r="AS86" i="73"/>
  <c r="AW86" i="73" s="1"/>
  <c r="BE86" i="73" s="1"/>
  <c r="AS87" i="73"/>
  <c r="AW87" i="73" s="1"/>
  <c r="BE87" i="73" s="1"/>
  <c r="AS38" i="73"/>
  <c r="AW38" i="73" s="1"/>
  <c r="BE38" i="73" s="1"/>
  <c r="AL11" i="15"/>
  <c r="AM11" i="15"/>
  <c r="AN11" i="15"/>
  <c r="AR11" i="15" s="1"/>
  <c r="AV11" i="15" s="1"/>
  <c r="AO11" i="15"/>
  <c r="AQ11" i="15"/>
  <c r="AO107" i="73"/>
  <c r="AS107" i="73" s="1"/>
  <c r="AW107" i="73" s="1"/>
  <c r="BE107" i="73" s="1"/>
  <c r="AM107" i="73"/>
  <c r="BC107" i="73" s="1"/>
  <c r="BC11" i="15" s="1"/>
  <c r="AS147" i="73"/>
  <c r="AW147" i="73" s="1"/>
  <c r="BE147" i="73" s="1"/>
  <c r="AS146" i="73"/>
  <c r="AW146" i="73" s="1"/>
  <c r="BE146" i="73" s="1"/>
  <c r="AS153" i="73"/>
  <c r="AW153" i="73" s="1"/>
  <c r="BE153" i="73" s="1"/>
  <c r="AS151" i="73"/>
  <c r="AW151" i="73" s="1"/>
  <c r="BE151" i="73" s="1"/>
  <c r="AS144" i="73"/>
  <c r="AW144" i="73" s="1"/>
  <c r="BE144" i="73" s="1"/>
  <c r="BE11" i="15" l="1"/>
  <c r="AS11" i="15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AO85" i="50" l="1"/>
  <c r="BE85" i="50" s="1"/>
  <c r="AO86" i="50"/>
  <c r="BE86" i="50" s="1"/>
  <c r="AQ85" i="50"/>
  <c r="AU85" i="50" s="1"/>
  <c r="AY85" i="50" s="1"/>
  <c r="BG85" i="50" s="1"/>
  <c r="BH85" i="50" s="1"/>
  <c r="AQ86" i="50"/>
  <c r="AU86" i="50" s="1"/>
  <c r="AY86" i="50" s="1"/>
  <c r="BG86" i="50" s="1"/>
  <c r="BH86" i="50" s="1"/>
  <c r="AQ37" i="27" l="1"/>
  <c r="AQ35" i="27"/>
  <c r="AQ27" i="27"/>
  <c r="AQ29" i="27"/>
  <c r="AQ20" i="27"/>
  <c r="AQ19" i="27"/>
  <c r="AQ18" i="27"/>
  <c r="AP27" i="26" l="1"/>
  <c r="AQ128" i="26" l="1"/>
  <c r="AP128" i="26"/>
  <c r="AQ112" i="26"/>
  <c r="AP110" i="26"/>
  <c r="AP108" i="26"/>
  <c r="AP106" i="26"/>
  <c r="AP104" i="26"/>
  <c r="AP102" i="26"/>
  <c r="AP100" i="26"/>
  <c r="AP98" i="26"/>
  <c r="AP96" i="26"/>
  <c r="AQ92" i="26"/>
  <c r="AP89" i="26"/>
  <c r="AP87" i="26"/>
  <c r="AP85" i="26"/>
  <c r="AP83" i="26"/>
  <c r="AQ81" i="26"/>
  <c r="AQ80" i="26"/>
  <c r="AP78" i="26"/>
  <c r="AP76" i="26"/>
  <c r="AQ73" i="26"/>
  <c r="AP71" i="26"/>
  <c r="AP69" i="26"/>
  <c r="AP67" i="26"/>
  <c r="AP65" i="26"/>
  <c r="AP63" i="26"/>
  <c r="AP61" i="26"/>
  <c r="AP59" i="26"/>
  <c r="AP57" i="26"/>
  <c r="AP52" i="26"/>
  <c r="AP50" i="26"/>
  <c r="AQ48" i="26"/>
  <c r="AP46" i="26"/>
  <c r="AQ43" i="26"/>
  <c r="AP41" i="26"/>
  <c r="AP39" i="26"/>
  <c r="AP37" i="26"/>
  <c r="AP35" i="26"/>
  <c r="AP33" i="26"/>
  <c r="AP31" i="26"/>
  <c r="AP29" i="26"/>
  <c r="AP25" i="26"/>
  <c r="AP23" i="26"/>
  <c r="AP21" i="26"/>
  <c r="AP17" i="26"/>
  <c r="AP15" i="26"/>
  <c r="AQ12" i="26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55" i="26" l="1"/>
  <c r="AQ19" i="26"/>
  <c r="AP48" i="26"/>
  <c r="AQ24" i="27"/>
  <c r="AQ33" i="27"/>
  <c r="AP112" i="26"/>
  <c r="AP80" i="26"/>
  <c r="AP73" i="26"/>
  <c r="AP81" i="26"/>
  <c r="AP92" i="26"/>
  <c r="AP43" i="26"/>
  <c r="AP12" i="26"/>
  <c r="AQ18" i="26"/>
  <c r="AQ13" i="26"/>
  <c r="AQ49" i="26"/>
  <c r="AQ54" i="26"/>
  <c r="AP13" i="26" l="1"/>
  <c r="AP54" i="26"/>
  <c r="AP49" i="26"/>
  <c r="AP55" i="26"/>
  <c r="AP19" i="26"/>
  <c r="AP18" i="26"/>
  <c r="AR130" i="10"/>
  <c r="AR25" i="10"/>
  <c r="AR60" i="10" l="1"/>
  <c r="AR48" i="10"/>
  <c r="AR108" i="10"/>
  <c r="AH144" i="10" l="1"/>
  <c r="AH25" i="10"/>
  <c r="T17" i="10"/>
  <c r="L144" i="10"/>
  <c r="L24" i="10"/>
  <c r="AM55" i="45"/>
  <c r="AM48" i="72" l="1"/>
  <c r="AQ48" i="72" s="1"/>
  <c r="AU48" i="72" s="1"/>
  <c r="BC48" i="72" s="1"/>
  <c r="AM9" i="72"/>
  <c r="AM10" i="72"/>
  <c r="AM11" i="72"/>
  <c r="CG8" i="71"/>
  <c r="CQ8" i="71" s="1"/>
  <c r="CG9" i="71"/>
  <c r="CG10" i="71"/>
  <c r="CQ10" i="71" s="1"/>
  <c r="CG11" i="71"/>
  <c r="CG12" i="71"/>
  <c r="CG13" i="71"/>
  <c r="CQ13" i="71" s="1"/>
  <c r="CG14" i="71"/>
  <c r="CG15" i="71"/>
  <c r="CG16" i="71"/>
  <c r="CG17" i="71"/>
  <c r="CQ17" i="71" s="1"/>
  <c r="CG18" i="71"/>
  <c r="CG19" i="71"/>
  <c r="CG20" i="71"/>
  <c r="AQ70" i="90" s="1"/>
  <c r="BA70" i="90" s="1"/>
  <c r="CG21" i="71"/>
  <c r="AQ71" i="90" s="1"/>
  <c r="BA71" i="90" s="1"/>
  <c r="CG22" i="71"/>
  <c r="AQ72" i="90" s="1"/>
  <c r="BA72" i="90" s="1"/>
  <c r="CG23" i="71"/>
  <c r="CG24" i="71"/>
  <c r="CG25" i="71"/>
  <c r="CG26" i="71"/>
  <c r="AQ73" i="90" s="1"/>
  <c r="BA73" i="90" s="1"/>
  <c r="CG27" i="71"/>
  <c r="CG28" i="71"/>
  <c r="CG29" i="71"/>
  <c r="CG31" i="71"/>
  <c r="CQ31" i="71" s="1"/>
  <c r="CG32" i="71"/>
  <c r="CG33" i="71"/>
  <c r="CG34" i="71"/>
  <c r="CG35" i="71"/>
  <c r="CG36" i="71"/>
  <c r="CG37" i="71"/>
  <c r="AQ74" i="90" s="1"/>
  <c r="BA74" i="90" s="1"/>
  <c r="CG38" i="71"/>
  <c r="CG39" i="71"/>
  <c r="CG40" i="71"/>
  <c r="CG41" i="71"/>
  <c r="CG42" i="71"/>
  <c r="AQ77" i="90" s="1"/>
  <c r="BA77" i="90" s="1"/>
  <c r="CG43" i="71"/>
  <c r="CG44" i="71"/>
  <c r="AQ78" i="90" s="1"/>
  <c r="BA78" i="90" s="1"/>
  <c r="CG45" i="71"/>
  <c r="CG46" i="71"/>
  <c r="CG47" i="71"/>
  <c r="CG48" i="71"/>
  <c r="CG50" i="71"/>
  <c r="AQ83" i="90" s="1"/>
  <c r="BA83" i="90" s="1"/>
  <c r="CG51" i="71"/>
  <c r="AQ84" i="90" s="1"/>
  <c r="BA84" i="90" s="1"/>
  <c r="CG52" i="71"/>
  <c r="CG53" i="71"/>
  <c r="CG54" i="71"/>
  <c r="CG55" i="71"/>
  <c r="CG56" i="71"/>
  <c r="AQ11" i="72" l="1"/>
  <c r="AO111" i="90"/>
  <c r="AQ10" i="72"/>
  <c r="AO110" i="90"/>
  <c r="AQ9" i="72"/>
  <c r="AO109" i="90"/>
  <c r="AQ81" i="90"/>
  <c r="BA81" i="90" s="1"/>
  <c r="CQ48" i="71"/>
  <c r="AQ69" i="90"/>
  <c r="BA69" i="90" s="1"/>
  <c r="CQ19" i="71"/>
  <c r="AQ80" i="90"/>
  <c r="BA80" i="90" s="1"/>
  <c r="CQ47" i="71"/>
  <c r="AQ68" i="90"/>
  <c r="CQ9" i="71"/>
  <c r="AQ85" i="90"/>
  <c r="BA85" i="90" s="1"/>
  <c r="CQ55" i="71"/>
  <c r="AQ79" i="90"/>
  <c r="CQ46" i="71"/>
  <c r="AQ76" i="90"/>
  <c r="BA76" i="90" s="1"/>
  <c r="CQ41" i="71"/>
  <c r="AR28" i="22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BA79" i="90" l="1"/>
  <c r="AU9" i="72"/>
  <c r="AS109" i="90"/>
  <c r="AU10" i="72"/>
  <c r="AS110" i="90"/>
  <c r="AU11" i="72"/>
  <c r="AS111" i="90"/>
  <c r="AP15" i="15"/>
  <c r="AP16" i="15" s="1"/>
  <c r="AR12" i="22"/>
  <c r="AR26" i="22"/>
  <c r="AQ36" i="15"/>
  <c r="AQ16" i="15" s="1"/>
  <c r="AQ17" i="15" s="1"/>
  <c r="BC11" i="72" l="1"/>
  <c r="AW111" i="90"/>
  <c r="BC10" i="72"/>
  <c r="AW110" i="90"/>
  <c r="BC9" i="72"/>
  <c r="AW109" i="90"/>
  <c r="AQ57" i="17"/>
  <c r="AP57" i="17"/>
  <c r="AQ56" i="17"/>
  <c r="AP56" i="17"/>
  <c r="AQ55" i="17"/>
  <c r="AP55" i="17"/>
  <c r="AQ54" i="17"/>
  <c r="AP54" i="17"/>
  <c r="AQ53" i="17"/>
  <c r="AP53" i="17"/>
  <c r="AQ49" i="17"/>
  <c r="AP49" i="17"/>
  <c r="AQ44" i="17"/>
  <c r="AP44" i="17"/>
  <c r="AQ37" i="17"/>
  <c r="AQ39" i="17" s="1"/>
  <c r="AP37" i="17"/>
  <c r="AP39" i="17" s="1"/>
  <c r="AP31" i="17"/>
  <c r="AQ29" i="17"/>
  <c r="AQ30" i="17" s="1"/>
  <c r="AP28" i="17"/>
  <c r="AP25" i="17"/>
  <c r="AQ22" i="17"/>
  <c r="AP22" i="17"/>
  <c r="AQ19" i="17"/>
  <c r="AP18" i="17"/>
  <c r="AQ17" i="17"/>
  <c r="AP16" i="17"/>
  <c r="AQ14" i="17"/>
  <c r="AQ15" i="17" s="1"/>
  <c r="AP14" i="17"/>
  <c r="AQ13" i="17"/>
  <c r="AQ11" i="17"/>
  <c r="AQ9" i="17"/>
  <c r="AP29" i="17" l="1"/>
  <c r="AQ32" i="17"/>
  <c r="AP20" i="17"/>
  <c r="AP24" i="17" s="1"/>
  <c r="AP30" i="17"/>
  <c r="AP32" i="17"/>
  <c r="AQ20" i="17"/>
  <c r="AQ23" i="17"/>
  <c r="AQ24" i="17" l="1"/>
  <c r="AQ21" i="17"/>
  <c r="AQ25" i="17" l="1"/>
  <c r="AT109" i="9" l="1"/>
  <c r="AK46" i="39" l="1"/>
  <c r="AK47" i="39"/>
  <c r="AK48" i="39"/>
  <c r="AK23" i="39" l="1"/>
  <c r="AR95" i="9"/>
  <c r="AV94" i="38" l="1"/>
  <c r="AV93" i="38"/>
  <c r="AV92" i="38"/>
  <c r="AV91" i="38"/>
  <c r="AU90" i="38"/>
  <c r="AV89" i="38"/>
  <c r="AU88" i="38"/>
  <c r="AU87" i="38" s="1"/>
  <c r="AV86" i="38"/>
  <c r="AV85" i="38"/>
  <c r="AV84" i="38"/>
  <c r="AV83" i="38"/>
  <c r="AU82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V68" i="38"/>
  <c r="AV67" i="38"/>
  <c r="AU66" i="38"/>
  <c r="AV62" i="38"/>
  <c r="AV61" i="38"/>
  <c r="AU60" i="38"/>
  <c r="AV59" i="38"/>
  <c r="AV58" i="38"/>
  <c r="AV57" i="38"/>
  <c r="AV56" i="38"/>
  <c r="AV55" i="38"/>
  <c r="AU54" i="38"/>
  <c r="AU46" i="38"/>
  <c r="AU45" i="38"/>
  <c r="AU44" i="38"/>
  <c r="AU43" i="38"/>
  <c r="AV42" i="38"/>
  <c r="AV90" i="38" s="1"/>
  <c r="AU41" i="38"/>
  <c r="AU40" i="38" s="1"/>
  <c r="AV40" i="38"/>
  <c r="AV88" i="38" s="1"/>
  <c r="AU38" i="38"/>
  <c r="AU37" i="38"/>
  <c r="AU36" i="38"/>
  <c r="AU35" i="38"/>
  <c r="AU34" i="38" s="1"/>
  <c r="AV34" i="38"/>
  <c r="AV82" i="38" s="1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9" i="38"/>
  <c r="AV18" i="38"/>
  <c r="AV17" i="38" s="1"/>
  <c r="AU14" i="38"/>
  <c r="AU13" i="38"/>
  <c r="AU12" i="38" s="1"/>
  <c r="AV12" i="38"/>
  <c r="AV60" i="38" s="1"/>
  <c r="AU11" i="38"/>
  <c r="AU10" i="38"/>
  <c r="AU9" i="38"/>
  <c r="AU8" i="38"/>
  <c r="AU7" i="38"/>
  <c r="AV6" i="38"/>
  <c r="AU63" i="38" l="1"/>
  <c r="AU42" i="38"/>
  <c r="AU39" i="38" s="1"/>
  <c r="AU65" i="38"/>
  <c r="AU64" i="38" s="1"/>
  <c r="AV39" i="38"/>
  <c r="AV87" i="38" s="1"/>
  <c r="AV66" i="38"/>
  <c r="AV65" i="38"/>
  <c r="AV15" i="38"/>
  <c r="AV63" i="38" s="1"/>
  <c r="AV54" i="38"/>
  <c r="AU18" i="38"/>
  <c r="AU17" i="38" s="1"/>
  <c r="AU6" i="38"/>
  <c r="AU15" i="38" s="1"/>
  <c r="AS158" i="45"/>
  <c r="AS157" i="45"/>
  <c r="AS155" i="45"/>
  <c r="AS149" i="45"/>
  <c r="AS144" i="45"/>
  <c r="AR144" i="45"/>
  <c r="AS143" i="45"/>
  <c r="AR143" i="45"/>
  <c r="AS142" i="45"/>
  <c r="AR142" i="45"/>
  <c r="AS141" i="45"/>
  <c r="AR141" i="45"/>
  <c r="AS139" i="45"/>
  <c r="AR139" i="45"/>
  <c r="AS137" i="45"/>
  <c r="AR137" i="45"/>
  <c r="AS135" i="45"/>
  <c r="AR135" i="45"/>
  <c r="AS132" i="45"/>
  <c r="AR132" i="45"/>
  <c r="AS130" i="45"/>
  <c r="AS123" i="45"/>
  <c r="AS122" i="45"/>
  <c r="AR122" i="45"/>
  <c r="AS121" i="45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7" i="11" s="1"/>
  <c r="AR55" i="11"/>
  <c r="AR124" i="45" l="1"/>
  <c r="AR133" i="45"/>
  <c r="AS160" i="45"/>
  <c r="AS159" i="45"/>
  <c r="AS161" i="45" s="1"/>
  <c r="AS145" i="45"/>
  <c r="AQ55" i="11"/>
  <c r="AS150" i="45"/>
  <c r="AQ74" i="11"/>
  <c r="AS133" i="45"/>
  <c r="AR121" i="45"/>
  <c r="AR140" i="45"/>
  <c r="AS127" i="45"/>
  <c r="AR61" i="11"/>
  <c r="AQ67" i="11"/>
  <c r="AR90" i="11"/>
  <c r="AR93" i="11"/>
  <c r="AR67" i="11"/>
  <c r="AR92" i="11"/>
  <c r="AR60" i="11"/>
  <c r="AU16" i="38"/>
  <c r="AV16" i="38"/>
  <c r="AV64" i="38" s="1"/>
  <c r="AS151" i="45"/>
  <c r="AS140" i="45"/>
  <c r="AS156" i="45"/>
  <c r="AS124" i="45"/>
  <c r="AR125" i="45"/>
  <c r="AS125" i="45"/>
  <c r="AR145" i="45"/>
  <c r="AR84" i="11"/>
  <c r="AR74" i="11"/>
  <c r="AQ58" i="11"/>
  <c r="AR58" i="11"/>
  <c r="AQ79" i="11"/>
  <c r="AR85" i="11"/>
  <c r="AR79" i="11"/>
  <c r="AS126" i="45" l="1"/>
  <c r="AR94" i="11"/>
  <c r="AR108" i="8"/>
  <c r="AR93" i="8"/>
  <c r="AR90" i="8"/>
  <c r="AQ90" i="8"/>
  <c r="AR88" i="8"/>
  <c r="AQ88" i="8"/>
  <c r="AR87" i="8"/>
  <c r="AQ87" i="8"/>
  <c r="AQ86" i="8"/>
  <c r="AQ81" i="8"/>
  <c r="AR79" i="8"/>
  <c r="AR75" i="8"/>
  <c r="AQ74" i="8"/>
  <c r="AQ73" i="8"/>
  <c r="AQ72" i="8"/>
  <c r="AQ71" i="8"/>
  <c r="AR68" i="8"/>
  <c r="AR66" i="8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Q13" i="8"/>
  <c r="AR6" i="8"/>
  <c r="AQ6" i="8"/>
  <c r="AQ16" i="8" l="1"/>
  <c r="AR16" i="8"/>
  <c r="AR67" i="8"/>
  <c r="AR69" i="8"/>
  <c r="AR74" i="8" s="1"/>
  <c r="AQ50" i="8"/>
  <c r="AQ51" i="8" s="1"/>
  <c r="AR81" i="8"/>
  <c r="AQ42" i="8"/>
  <c r="AR65" i="8"/>
  <c r="AR34" i="8" s="1"/>
  <c r="AR109" i="8"/>
  <c r="AR52" i="8" s="1"/>
  <c r="AR120" i="8" s="1"/>
  <c r="AR91" i="8"/>
  <c r="AR50" i="8"/>
  <c r="AR77" i="8" s="1"/>
  <c r="AR47" i="8"/>
  <c r="AQ84" i="8"/>
  <c r="AR45" i="8"/>
  <c r="AQ91" i="8"/>
  <c r="AR110" i="8"/>
  <c r="AQ25" i="8"/>
  <c r="AQ29" i="8"/>
  <c r="AR39" i="8"/>
  <c r="AR43" i="8"/>
  <c r="AR135" i="8" s="1"/>
  <c r="AR85" i="8"/>
  <c r="AQ23" i="8"/>
  <c r="AQ30" i="8"/>
  <c r="AR59" i="8"/>
  <c r="AQ28" i="8"/>
  <c r="AR41" i="8"/>
  <c r="AQ24" i="8"/>
  <c r="AQ27" i="8"/>
  <c r="AQ31" i="8"/>
  <c r="AR40" i="8"/>
  <c r="AR44" i="8"/>
  <c r="AR136" i="8" s="1"/>
  <c r="AR46" i="8"/>
  <c r="AR137" i="8" s="1"/>
  <c r="AR138" i="8" l="1"/>
  <c r="AR51" i="8"/>
  <c r="AR36" i="8"/>
  <c r="AR37" i="8"/>
  <c r="AR73" i="8"/>
  <c r="AR72" i="8"/>
  <c r="AR111" i="8"/>
  <c r="AR53" i="8" s="1"/>
  <c r="AR122" i="8" s="1"/>
  <c r="AR121" i="8" s="1"/>
  <c r="AR125" i="8" s="1"/>
  <c r="AR126" i="8" s="1"/>
  <c r="AR42" i="8"/>
  <c r="AQ67" i="8"/>
  <c r="AQ69" i="8"/>
  <c r="AQ26" i="8"/>
  <c r="AQ65" i="8"/>
  <c r="AR63" i="8"/>
  <c r="AQ59" i="8"/>
  <c r="AQ108" i="8"/>
  <c r="AQ110" i="8" s="1"/>
  <c r="AR131" i="8" l="1"/>
  <c r="AR144" i="8" s="1"/>
  <c r="AR130" i="8"/>
  <c r="AR143" i="8" s="1"/>
  <c r="AR129" i="8"/>
  <c r="AR123" i="8"/>
  <c r="AQ36" i="8"/>
  <c r="AQ37" i="8"/>
  <c r="AQ34" i="8"/>
  <c r="AQ63" i="8"/>
  <c r="AR71" i="8"/>
  <c r="AQ109" i="8"/>
  <c r="AQ111" i="8" s="1"/>
  <c r="AR35" i="8"/>
  <c r="AR70" i="8"/>
  <c r="AR132" i="8" l="1"/>
  <c r="AR145" i="8" s="1"/>
  <c r="AR142" i="8"/>
  <c r="AQ35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5" i="7"/>
  <c r="AQ75" i="7"/>
  <c r="AR71" i="7"/>
  <c r="AR73" i="7" s="1"/>
  <c r="AQ71" i="7"/>
  <c r="AQ73" i="7" s="1"/>
  <c r="AR67" i="7"/>
  <c r="AR81" i="7" s="1"/>
  <c r="AQ67" i="7"/>
  <c r="AR21" i="7"/>
  <c r="AR41" i="7" s="1"/>
  <c r="AR51" i="7" s="1"/>
  <c r="AQ21" i="7"/>
  <c r="AQ41" i="7" s="1"/>
  <c r="AQ51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P8" i="39"/>
  <c r="AP22" i="39" s="1"/>
  <c r="AP24" i="39" s="1"/>
  <c r="AR218" i="6"/>
  <c r="AQ218" i="6"/>
  <c r="AR217" i="6"/>
  <c r="AQ217" i="6"/>
  <c r="AQ195" i="6"/>
  <c r="AR194" i="6"/>
  <c r="AQ194" i="6"/>
  <c r="AQ193" i="6"/>
  <c r="AR189" i="6"/>
  <c r="AQ189" i="6"/>
  <c r="AR188" i="6"/>
  <c r="AQ188" i="6"/>
  <c r="AR187" i="6"/>
  <c r="AQ187" i="6"/>
  <c r="AQ186" i="6"/>
  <c r="AQ185" i="6"/>
  <c r="AQ182" i="6"/>
  <c r="AQ181" i="6"/>
  <c r="AQ180" i="6"/>
  <c r="AQ179" i="6"/>
  <c r="AQ178" i="6"/>
  <c r="AQ177" i="6"/>
  <c r="AQ175" i="6"/>
  <c r="AQ174" i="6"/>
  <c r="AQ173" i="6"/>
  <c r="AR163" i="6"/>
  <c r="AQ163" i="6"/>
  <c r="AR162" i="6"/>
  <c r="AQ162" i="6"/>
  <c r="AQ161" i="6"/>
  <c r="AQ160" i="6"/>
  <c r="AQ157" i="6"/>
  <c r="AQ156" i="6"/>
  <c r="AQ155" i="6"/>
  <c r="AQ154" i="6"/>
  <c r="AQ153" i="6"/>
  <c r="AQ152" i="6"/>
  <c r="AQ150" i="6"/>
  <c r="AQ149" i="6"/>
  <c r="AQ148" i="6"/>
  <c r="AR138" i="6"/>
  <c r="AR135" i="6"/>
  <c r="AQ135" i="6"/>
  <c r="AR134" i="6"/>
  <c r="AQ134" i="6"/>
  <c r="AR133" i="6"/>
  <c r="AQ133" i="6"/>
  <c r="AR132" i="6"/>
  <c r="AQ132" i="6"/>
  <c r="AR130" i="6"/>
  <c r="AQ130" i="6"/>
  <c r="AR129" i="6"/>
  <c r="AQ129" i="6"/>
  <c r="AR127" i="6"/>
  <c r="AQ127" i="6"/>
  <c r="AR126" i="6"/>
  <c r="AQ126" i="6"/>
  <c r="AR125" i="6"/>
  <c r="AQ125" i="6"/>
  <c r="AR124" i="6"/>
  <c r="AQ124" i="6"/>
  <c r="AR119" i="6"/>
  <c r="AQ119" i="6"/>
  <c r="AR114" i="6"/>
  <c r="AQ114" i="6"/>
  <c r="AR103" i="6"/>
  <c r="AQ103" i="6"/>
  <c r="AQ98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91" i="77"/>
  <c r="AP90" i="77"/>
  <c r="AQ86" i="77"/>
  <c r="AP86" i="77"/>
  <c r="AP84" i="77"/>
  <c r="AQ71" i="77"/>
  <c r="AP71" i="77"/>
  <c r="AQ53" i="77"/>
  <c r="AP53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22" i="39" l="1"/>
  <c r="AQ31" i="6"/>
  <c r="AR136" i="6"/>
  <c r="AQ89" i="77"/>
  <c r="AQ95" i="77" s="1"/>
  <c r="AP89" i="77"/>
  <c r="AP95" i="77" s="1"/>
  <c r="AQ136" i="6"/>
  <c r="AQ34" i="39"/>
  <c r="AQ84" i="77"/>
  <c r="AQ45" i="39"/>
  <c r="AQ49" i="39"/>
  <c r="AQ83" i="7"/>
  <c r="AR83" i="7"/>
  <c r="AQ50" i="39"/>
  <c r="AQ68" i="7"/>
  <c r="AQ76" i="7"/>
  <c r="AQ78" i="7"/>
  <c r="AQ81" i="7"/>
  <c r="AR69" i="7"/>
  <c r="AR76" i="7"/>
  <c r="AR78" i="7"/>
  <c r="AQ23" i="39"/>
  <c r="AQ131" i="6"/>
  <c r="AQ19" i="6"/>
  <c r="AR57" i="6"/>
  <c r="AR35" i="6"/>
  <c r="AQ184" i="6"/>
  <c r="AQ164" i="6"/>
  <c r="AQ190" i="6"/>
  <c r="AR120" i="6"/>
  <c r="AR131" i="6"/>
  <c r="AQ159" i="6"/>
  <c r="AQ21" i="6"/>
  <c r="AQ24" i="6"/>
  <c r="AQ27" i="6"/>
  <c r="AQ30" i="6"/>
  <c r="AQ22" i="6"/>
  <c r="AQ25" i="6"/>
  <c r="AQ28" i="6"/>
  <c r="AQ104" i="6"/>
  <c r="AQ120" i="6"/>
  <c r="AQ524" i="28"/>
  <c r="AR481" i="28"/>
  <c r="AR475" i="28"/>
  <c r="AR443" i="28"/>
  <c r="AR431" i="28"/>
  <c r="AQ431" i="28"/>
  <c r="AR415" i="28"/>
  <c r="AR304" i="28"/>
  <c r="AQ304" i="28"/>
  <c r="AR298" i="28"/>
  <c r="AQ298" i="28"/>
  <c r="AR297" i="28"/>
  <c r="AQ297" i="28"/>
  <c r="AR256" i="28"/>
  <c r="AQ256" i="28"/>
  <c r="AR235" i="28"/>
  <c r="AR233" i="28"/>
  <c r="AR96" i="28"/>
  <c r="AR95" i="28"/>
  <c r="AR93" i="28"/>
  <c r="AR89" i="28"/>
  <c r="AR85" i="28"/>
  <c r="AR81" i="28"/>
  <c r="AQ68" i="28"/>
  <c r="AQ67" i="28"/>
  <c r="AQ65" i="28"/>
  <c r="AR56" i="28"/>
  <c r="BB56" i="28" s="1"/>
  <c r="AR29" i="28"/>
  <c r="BB29" i="28" s="1"/>
  <c r="AQ23" i="28"/>
  <c r="AR21" i="28"/>
  <c r="BB21" i="28" s="1"/>
  <c r="AQ15" i="28"/>
  <c r="AR13" i="28"/>
  <c r="BB13" i="28" s="1"/>
  <c r="AQ7" i="28"/>
  <c r="BB64" i="28" l="1"/>
  <c r="AR512" i="28"/>
  <c r="BB65" i="28"/>
  <c r="AR416" i="28"/>
  <c r="AR514" i="28" s="1"/>
  <c r="BB415" i="28"/>
  <c r="AR516" i="28"/>
  <c r="BB68" i="28"/>
  <c r="AQ84" i="6"/>
  <c r="BB63" i="28"/>
  <c r="AR236" i="28"/>
  <c r="BB233" i="28"/>
  <c r="AR508" i="28"/>
  <c r="AR73" i="28"/>
  <c r="AQ29" i="28"/>
  <c r="AQ416" i="28" s="1"/>
  <c r="BB235" i="28"/>
  <c r="BA30" i="6"/>
  <c r="AQ21" i="28"/>
  <c r="AQ73" i="28" s="1"/>
  <c r="AQ24" i="39"/>
  <c r="AQ81" i="6"/>
  <c r="AR122" i="6"/>
  <c r="AR168" i="6" s="1"/>
  <c r="AQ106" i="6"/>
  <c r="AQ144" i="6" s="1"/>
  <c r="AQ122" i="6"/>
  <c r="AR104" i="7"/>
  <c r="AR137" i="6"/>
  <c r="AQ32" i="6"/>
  <c r="AQ137" i="6"/>
  <c r="AR299" i="28"/>
  <c r="AQ51" i="39"/>
  <c r="AR492" i="28"/>
  <c r="AR38" i="7"/>
  <c r="AR53" i="7" s="1"/>
  <c r="AQ38" i="7"/>
  <c r="AQ53" i="7" s="1"/>
  <c r="AQ29" i="6"/>
  <c r="AQ34" i="6"/>
  <c r="AQ26" i="6"/>
  <c r="AQ23" i="6"/>
  <c r="AQ33" i="6"/>
  <c r="AR97" i="28"/>
  <c r="AQ13" i="28"/>
  <c r="AR72" i="28"/>
  <c r="AR74" i="28"/>
  <c r="AR513" i="28"/>
  <c r="AR509" i="28"/>
  <c r="AR505" i="28"/>
  <c r="AR515" i="28" l="1"/>
  <c r="AQ104" i="7"/>
  <c r="AQ143" i="6"/>
  <c r="AQ74" i="28"/>
  <c r="AQ87" i="28" s="1"/>
  <c r="AQ514" i="28" s="1"/>
  <c r="AQ299" i="28"/>
  <c r="AQ511" i="28" s="1"/>
  <c r="AQ515" i="28"/>
  <c r="AR139" i="6"/>
  <c r="AR204" i="6" s="1"/>
  <c r="AR98" i="28"/>
  <c r="BB416" i="28"/>
  <c r="AQ236" i="28"/>
  <c r="AR169" i="6"/>
  <c r="AR170" i="6" s="1"/>
  <c r="AR506" i="28"/>
  <c r="AR507" i="28"/>
  <c r="AR524" i="28"/>
  <c r="AR502" i="28"/>
  <c r="AQ83" i="28"/>
  <c r="AR511" i="28"/>
  <c r="AR510" i="28"/>
  <c r="AQ171" i="6"/>
  <c r="AQ139" i="6"/>
  <c r="AQ146" i="6"/>
  <c r="AQ169" i="6"/>
  <c r="AR503" i="28"/>
  <c r="AQ168" i="6"/>
  <c r="AR171" i="6"/>
  <c r="AQ35" i="6"/>
  <c r="AQ77" i="7"/>
  <c r="AQ63" i="7"/>
  <c r="AR63" i="7"/>
  <c r="AR77" i="7"/>
  <c r="AQ145" i="6"/>
  <c r="AQ72" i="28"/>
  <c r="AQ503" i="28" l="1"/>
  <c r="AQ513" i="28"/>
  <c r="AR208" i="6"/>
  <c r="AR200" i="6"/>
  <c r="AR205" i="6"/>
  <c r="AQ510" i="28"/>
  <c r="AQ170" i="6"/>
  <c r="AQ509" i="28"/>
  <c r="AQ507" i="28"/>
  <c r="AR202" i="6"/>
  <c r="AR213" i="6"/>
  <c r="AR203" i="6"/>
  <c r="AR210" i="6"/>
  <c r="AQ79" i="28"/>
  <c r="AQ505" i="28" s="1"/>
  <c r="AR207" i="6"/>
  <c r="AR199" i="6"/>
  <c r="AQ502" i="28"/>
  <c r="AR209" i="6"/>
  <c r="AR195" i="6"/>
  <c r="AQ203" i="6"/>
  <c r="AQ202" i="6"/>
  <c r="AQ199" i="6"/>
  <c r="AQ209" i="6"/>
  <c r="AQ208" i="6"/>
  <c r="AQ200" i="6"/>
  <c r="AQ213" i="6"/>
  <c r="AQ214" i="6" s="1"/>
  <c r="AQ207" i="6"/>
  <c r="AQ204" i="6"/>
  <c r="AQ210" i="6"/>
  <c r="AQ205" i="6"/>
  <c r="AQ506" i="28"/>
  <c r="AR211" i="6" l="1"/>
  <c r="AR206" i="6"/>
  <c r="AR212" i="6" s="1"/>
  <c r="AR214" i="6"/>
  <c r="AQ211" i="6"/>
  <c r="AQ206" i="6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31" i="73"/>
  <c r="BA231" i="73" s="1"/>
  <c r="AP231" i="73"/>
  <c r="AQ229" i="73"/>
  <c r="BA229" i="73" s="1"/>
  <c r="AP229" i="73"/>
  <c r="AQ218" i="73"/>
  <c r="AP218" i="73"/>
  <c r="AP42" i="77" s="1"/>
  <c r="AQ209" i="73"/>
  <c r="BA209" i="73" s="1"/>
  <c r="AQ203" i="73"/>
  <c r="BA203" i="73" s="1"/>
  <c r="AP203" i="73"/>
  <c r="AQ198" i="73"/>
  <c r="BA198" i="73" s="1"/>
  <c r="AP198" i="73"/>
  <c r="AQ173" i="73"/>
  <c r="AP171" i="73"/>
  <c r="AQ160" i="73"/>
  <c r="AQ171" i="73" s="1"/>
  <c r="AQ129" i="73"/>
  <c r="AP129" i="73"/>
  <c r="AQ127" i="73"/>
  <c r="BA127" i="73" s="1"/>
  <c r="AQ125" i="73"/>
  <c r="AP125" i="73"/>
  <c r="AQ121" i="73"/>
  <c r="AP121" i="73"/>
  <c r="AQ117" i="73"/>
  <c r="AQ108" i="73"/>
  <c r="AQ12" i="15" s="1"/>
  <c r="AQ13" i="15" s="1"/>
  <c r="AQ14" i="15" s="1"/>
  <c r="AQ101" i="73"/>
  <c r="AP101" i="73"/>
  <c r="AP113" i="73" s="1"/>
  <c r="AQ97" i="73"/>
  <c r="AQ57" i="73"/>
  <c r="AQ51" i="73"/>
  <c r="AQ46" i="73"/>
  <c r="AQ41" i="73"/>
  <c r="AQ30" i="73"/>
  <c r="AQ25" i="73"/>
  <c r="AQ18" i="73"/>
  <c r="AR58" i="28" s="1"/>
  <c r="AP18" i="73"/>
  <c r="AQ16" i="73"/>
  <c r="AQ119" i="90" s="1"/>
  <c r="BA119" i="90" s="1"/>
  <c r="AQ8" i="73"/>
  <c r="AP8" i="73"/>
  <c r="AP6" i="73" s="1"/>
  <c r="AU78" i="59"/>
  <c r="AU77" i="59"/>
  <c r="AU76" i="59"/>
  <c r="AT76" i="59"/>
  <c r="AT75" i="59"/>
  <c r="AT74" i="59"/>
  <c r="AU73" i="59"/>
  <c r="AT73" i="59"/>
  <c r="AU72" i="59"/>
  <c r="AT72" i="59"/>
  <c r="AT61" i="59"/>
  <c r="AT60" i="59"/>
  <c r="AU58" i="59"/>
  <c r="AT52" i="59"/>
  <c r="AU51" i="59"/>
  <c r="AT51" i="59"/>
  <c r="AU50" i="59"/>
  <c r="AT50" i="59"/>
  <c r="AU49" i="59"/>
  <c r="AT49" i="59"/>
  <c r="AU47" i="59"/>
  <c r="AT47" i="59"/>
  <c r="AU46" i="59"/>
  <c r="AT46" i="59"/>
  <c r="AU45" i="59"/>
  <c r="AT45" i="59"/>
  <c r="AU44" i="59"/>
  <c r="AT44" i="59"/>
  <c r="AU42" i="59"/>
  <c r="AT42" i="59"/>
  <c r="AU41" i="59"/>
  <c r="AT41" i="59"/>
  <c r="AU40" i="59"/>
  <c r="AT40" i="59"/>
  <c r="AT38" i="59"/>
  <c r="AT37" i="59"/>
  <c r="AT36" i="59"/>
  <c r="AU35" i="59"/>
  <c r="AT35" i="59"/>
  <c r="AU34" i="59"/>
  <c r="AT34" i="59"/>
  <c r="AU33" i="59"/>
  <c r="AT33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U22" i="59"/>
  <c r="AU20" i="59"/>
  <c r="AU19" i="59"/>
  <c r="AU18" i="59"/>
  <c r="AU17" i="59"/>
  <c r="AU16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4" i="59"/>
  <c r="AR23" i="36"/>
  <c r="AU71" i="59" s="1"/>
  <c r="AQ23" i="36"/>
  <c r="AT71" i="59" s="1"/>
  <c r="AQ22" i="36"/>
  <c r="AT67" i="59" s="1"/>
  <c r="AQ21" i="36"/>
  <c r="AT63" i="59" s="1"/>
  <c r="AQ17" i="36"/>
  <c r="AQ16" i="36"/>
  <c r="AQ13" i="36"/>
  <c r="AT39" i="59" s="1"/>
  <c r="AR12" i="36"/>
  <c r="AU38" i="59" s="1"/>
  <c r="AR11" i="36"/>
  <c r="AU37" i="59" s="1"/>
  <c r="AR10" i="36"/>
  <c r="AR9" i="36"/>
  <c r="AU10" i="59" s="1"/>
  <c r="AQ9" i="36"/>
  <c r="AT10" i="59" s="1"/>
  <c r="AR8" i="36"/>
  <c r="AU9" i="59" s="1"/>
  <c r="AQ8" i="36"/>
  <c r="AT9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212" i="6" l="1"/>
  <c r="AQ215" i="6" s="1"/>
  <c r="AQ6" i="73"/>
  <c r="AR46" i="28"/>
  <c r="AR35" i="28" s="1"/>
  <c r="BB58" i="28"/>
  <c r="AR60" i="28"/>
  <c r="BB60" i="28" s="1"/>
  <c r="AP37" i="77"/>
  <c r="BA218" i="73"/>
  <c r="AQ42" i="77"/>
  <c r="AR215" i="6"/>
  <c r="AQ113" i="73"/>
  <c r="AQ132" i="73"/>
  <c r="AQ56" i="36"/>
  <c r="AQ57" i="36"/>
  <c r="AQ12" i="49"/>
  <c r="AQ14" i="49" s="1"/>
  <c r="AQ15" i="49" s="1"/>
  <c r="AQ16" i="49" s="1"/>
  <c r="AQ19" i="49" s="1"/>
  <c r="AQ20" i="49" s="1"/>
  <c r="AT53" i="59"/>
  <c r="AT6" i="59"/>
  <c r="AT54" i="59"/>
  <c r="AQ60" i="36"/>
  <c r="AP132" i="73"/>
  <c r="AT77" i="59"/>
  <c r="AT78" i="59"/>
  <c r="AQ68" i="36"/>
  <c r="AT48" i="59"/>
  <c r="AR20" i="21"/>
  <c r="AQ5" i="73"/>
  <c r="AU43" i="59"/>
  <c r="AR13" i="36"/>
  <c r="AU39" i="59" s="1"/>
  <c r="AR63" i="36"/>
  <c r="AR68" i="36"/>
  <c r="AR69" i="36"/>
  <c r="AR71" i="36" s="1"/>
  <c r="AU53" i="59"/>
  <c r="AT43" i="59"/>
  <c r="AU36" i="59"/>
  <c r="AU48" i="59"/>
  <c r="AR40" i="36"/>
  <c r="AR60" i="36"/>
  <c r="AQ22" i="21"/>
  <c r="AR67" i="28" l="1"/>
  <c r="AR37" i="28"/>
  <c r="BB46" i="28"/>
  <c r="AR48" i="28"/>
  <c r="AR442" i="28"/>
  <c r="AR473" i="28" s="1"/>
  <c r="BA42" i="77"/>
  <c r="AQ37" i="77"/>
  <c r="BA37" i="77" s="1"/>
  <c r="AR19" i="36"/>
  <c r="AU56" i="59" s="1"/>
  <c r="AQ42" i="35"/>
  <c r="BA42" i="35" s="1"/>
  <c r="AQ41" i="35"/>
  <c r="BA41" i="35" s="1"/>
  <c r="AQ39" i="35"/>
  <c r="BA39" i="35" s="1"/>
  <c r="AR36" i="35"/>
  <c r="AR48" i="35" s="1"/>
  <c r="BB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BA20" i="35" s="1"/>
  <c r="AQ19" i="35"/>
  <c r="BA19" i="35" s="1"/>
  <c r="AR14" i="35"/>
  <c r="AR5" i="36" s="1"/>
  <c r="AR13" i="35"/>
  <c r="AR11" i="35"/>
  <c r="AR10" i="6" s="1"/>
  <c r="AQ10" i="35"/>
  <c r="BA10" i="35" s="1"/>
  <c r="AQ9" i="35"/>
  <c r="AQ8" i="35"/>
  <c r="AR7" i="35"/>
  <c r="AR6" i="6" s="1"/>
  <c r="AR6" i="35"/>
  <c r="AR15" i="35" l="1"/>
  <c r="BB48" i="28"/>
  <c r="BB35" i="28"/>
  <c r="AR493" i="28"/>
  <c r="AR525" i="28"/>
  <c r="AQ34" i="36"/>
  <c r="AQ35" i="36" s="1"/>
  <c r="AQ36" i="36" s="1"/>
  <c r="AQ38" i="36" s="1"/>
  <c r="AQ30" i="36" s="1"/>
  <c r="AT79" i="59" s="1"/>
  <c r="AQ26" i="21"/>
  <c r="AQ28" i="21" s="1"/>
  <c r="AQ48" i="35"/>
  <c r="BA48" i="35" s="1"/>
  <c r="AQ31" i="28"/>
  <c r="AQ11" i="35"/>
  <c r="AQ10" i="6" s="1"/>
  <c r="AQ8" i="6"/>
  <c r="AQ14" i="35"/>
  <c r="AQ9" i="6"/>
  <c r="AR8" i="35"/>
  <c r="AR5" i="6"/>
  <c r="AR98" i="6" s="1"/>
  <c r="AR18" i="6"/>
  <c r="AR16" i="6"/>
  <c r="AR41" i="36"/>
  <c r="AR43" i="36" s="1"/>
  <c r="AR31" i="36" s="1"/>
  <c r="AR30" i="36"/>
  <c r="AU79" i="59" s="1"/>
  <c r="AU6" i="59"/>
  <c r="AR13" i="49"/>
  <c r="AQ37" i="35"/>
  <c r="AQ13" i="35"/>
  <c r="AQ85" i="17"/>
  <c r="AP85" i="17"/>
  <c r="AK49" i="17"/>
  <c r="AJ49" i="17"/>
  <c r="AG49" i="17"/>
  <c r="AF49" i="17"/>
  <c r="AC49" i="17"/>
  <c r="AB49" i="17"/>
  <c r="W49" i="17"/>
  <c r="V49" i="17"/>
  <c r="S49" i="17"/>
  <c r="R49" i="17"/>
  <c r="O49" i="17"/>
  <c r="N49" i="17"/>
  <c r="AR104" i="6" l="1"/>
  <c r="AR106" i="6" s="1"/>
  <c r="AR143" i="6" s="1"/>
  <c r="AR497" i="28"/>
  <c r="AR496" i="28"/>
  <c r="AR518" i="28"/>
  <c r="BB37" i="28"/>
  <c r="AR517" i="28"/>
  <c r="AR75" i="28"/>
  <c r="AR76" i="28" s="1"/>
  <c r="AR523" i="28" s="1"/>
  <c r="AR519" i="28"/>
  <c r="BB67" i="28"/>
  <c r="AR69" i="28"/>
  <c r="AR70" i="28" s="1"/>
  <c r="AQ49" i="35"/>
  <c r="AQ55" i="35" s="1"/>
  <c r="AQ15" i="35"/>
  <c r="AQ37" i="28"/>
  <c r="AQ63" i="28"/>
  <c r="AR185" i="6"/>
  <c r="AR190" i="6"/>
  <c r="AR17" i="6"/>
  <c r="AR15" i="6"/>
  <c r="AR7" i="6"/>
  <c r="AL115" i="10"/>
  <c r="AL108" i="10"/>
  <c r="AL89" i="10"/>
  <c r="AL60" i="10"/>
  <c r="AL55" i="10"/>
  <c r="AL12" i="10"/>
  <c r="AH35" i="10"/>
  <c r="AR146" i="6" l="1"/>
  <c r="AR144" i="6"/>
  <c r="AU15" i="59" s="1"/>
  <c r="AR193" i="6"/>
  <c r="BB69" i="28"/>
  <c r="BB70" i="28" s="1"/>
  <c r="AR522" i="28"/>
  <c r="AQ69" i="28"/>
  <c r="AQ493" i="28"/>
  <c r="AQ75" i="28"/>
  <c r="AR19" i="6"/>
  <c r="AR160" i="6"/>
  <c r="AR164" i="6"/>
  <c r="AO56" i="50"/>
  <c r="AO57" i="50"/>
  <c r="AO58" i="50"/>
  <c r="AO59" i="50"/>
  <c r="AO60" i="50"/>
  <c r="AO61" i="50"/>
  <c r="BE61" i="50" s="1"/>
  <c r="AO62" i="50"/>
  <c r="AO63" i="50"/>
  <c r="AO64" i="50"/>
  <c r="AO65" i="50"/>
  <c r="AO66" i="50"/>
  <c r="AO68" i="50"/>
  <c r="AO69" i="50"/>
  <c r="AO70" i="50"/>
  <c r="AO71" i="50"/>
  <c r="AO72" i="50"/>
  <c r="AO73" i="50"/>
  <c r="AO74" i="50"/>
  <c r="AO75" i="50"/>
  <c r="AO76" i="50"/>
  <c r="AO77" i="50"/>
  <c r="AO78" i="50"/>
  <c r="AA56" i="50"/>
  <c r="AA57" i="50"/>
  <c r="AA58" i="50"/>
  <c r="AA59" i="50"/>
  <c r="AA60" i="50"/>
  <c r="AA61" i="50"/>
  <c r="AA62" i="50"/>
  <c r="AA63" i="50"/>
  <c r="AA64" i="50"/>
  <c r="AA65" i="50"/>
  <c r="AA66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6" i="50"/>
  <c r="O57" i="50"/>
  <c r="O58" i="50"/>
  <c r="O59" i="50"/>
  <c r="O60" i="50"/>
  <c r="O61" i="50"/>
  <c r="O62" i="50"/>
  <c r="O63" i="50"/>
  <c r="O64" i="50"/>
  <c r="O65" i="50"/>
  <c r="O66" i="50"/>
  <c r="O68" i="50"/>
  <c r="O69" i="50"/>
  <c r="O70" i="50"/>
  <c r="O71" i="50"/>
  <c r="O72" i="50"/>
  <c r="O73" i="50"/>
  <c r="O74" i="50"/>
  <c r="O75" i="50"/>
  <c r="O76" i="50"/>
  <c r="O77" i="50"/>
  <c r="AD64" i="104"/>
  <c r="AC64" i="104"/>
  <c r="AB64" i="104"/>
  <c r="AA64" i="104"/>
  <c r="Z64" i="104"/>
  <c r="Y64" i="104"/>
  <c r="X64" i="104"/>
  <c r="BF118" i="8" s="1"/>
  <c r="AR145" i="6" l="1"/>
  <c r="AR7" i="36" s="1"/>
  <c r="AU8" i="59" s="1"/>
  <c r="AQ522" i="28"/>
  <c r="AQ91" i="28"/>
  <c r="AQ497" i="28" s="1"/>
  <c r="AQ76" i="28"/>
  <c r="AQ519" i="28"/>
  <c r="AQ496" i="28"/>
  <c r="AR38" i="6"/>
  <c r="AR37" i="6"/>
  <c r="AR40" i="6"/>
  <c r="AR39" i="6"/>
  <c r="AR81" i="6"/>
  <c r="AR84" i="6"/>
  <c r="AP109" i="9"/>
  <c r="AQ523" i="28" l="1"/>
  <c r="AQ518" i="28"/>
  <c r="AQ95" i="28"/>
  <c r="AQ517" i="28"/>
  <c r="AR41" i="6"/>
  <c r="AJ86" i="77"/>
  <c r="AG86" i="77"/>
  <c r="AF86" i="77"/>
  <c r="AD86" i="77"/>
  <c r="AC86" i="77"/>
  <c r="AB86" i="77"/>
  <c r="Z86" i="77"/>
  <c r="X86" i="77"/>
  <c r="W86" i="77"/>
  <c r="V86" i="77"/>
  <c r="S86" i="77"/>
  <c r="R86" i="77"/>
  <c r="O86" i="77"/>
  <c r="N86" i="77"/>
  <c r="L86" i="77"/>
  <c r="K86" i="77"/>
  <c r="J86" i="77"/>
  <c r="G86" i="77"/>
  <c r="F86" i="77"/>
  <c r="AN165" i="28"/>
  <c r="AN166" i="28"/>
  <c r="AN167" i="28"/>
  <c r="AN168" i="28"/>
  <c r="AN169" i="28"/>
  <c r="AN170" i="28"/>
  <c r="AN171" i="28"/>
  <c r="AN172" i="28"/>
  <c r="AN173" i="28"/>
  <c r="AP420" i="28"/>
  <c r="AP425" i="28"/>
  <c r="AN420" i="28"/>
  <c r="AN421" i="28"/>
  <c r="AN422" i="28"/>
  <c r="AN423" i="28"/>
  <c r="AN424" i="28"/>
  <c r="AN425" i="28"/>
  <c r="AN426" i="28"/>
  <c r="AN142" i="28"/>
  <c r="AN143" i="28"/>
  <c r="AN228" i="28"/>
  <c r="BD228" i="28" s="1"/>
  <c r="BK228" i="28" s="1"/>
  <c r="AN229" i="28"/>
  <c r="BD229" i="28" s="1"/>
  <c r="BK229" i="28" s="1"/>
  <c r="AN230" i="28"/>
  <c r="BD230" i="28" s="1"/>
  <c r="BK230" i="28" s="1"/>
  <c r="AN231" i="28"/>
  <c r="BD231" i="28" s="1"/>
  <c r="BK231" i="28" s="1"/>
  <c r="AN232" i="28"/>
  <c r="BD232" i="28" s="1"/>
  <c r="BK232" i="28" s="1"/>
  <c r="AN153" i="28"/>
  <c r="AN154" i="28"/>
  <c r="AN155" i="28"/>
  <c r="AN156" i="28"/>
  <c r="AN157" i="28"/>
  <c r="AN316" i="28"/>
  <c r="BD316" i="28" s="1"/>
  <c r="BK316" i="28" s="1"/>
  <c r="AN317" i="28"/>
  <c r="BD317" i="28" s="1"/>
  <c r="BK317" i="28" s="1"/>
  <c r="AN318" i="28"/>
  <c r="BD318" i="28" s="1"/>
  <c r="BK318" i="28" s="1"/>
  <c r="AN319" i="28"/>
  <c r="BD319" i="28" s="1"/>
  <c r="BK319" i="28" s="1"/>
  <c r="AN320" i="28"/>
  <c r="BD320" i="28" s="1"/>
  <c r="BK320" i="28" s="1"/>
  <c r="AN321" i="28"/>
  <c r="BD321" i="28" s="1"/>
  <c r="BK321" i="28" s="1"/>
  <c r="AN322" i="28"/>
  <c r="BD322" i="28" s="1"/>
  <c r="BK322" i="28" s="1"/>
  <c r="AN323" i="28"/>
  <c r="BD323" i="28" s="1"/>
  <c r="BK323" i="28" s="1"/>
  <c r="AN324" i="28"/>
  <c r="BD324" i="28" s="1"/>
  <c r="BK324" i="28" s="1"/>
  <c r="AN325" i="28"/>
  <c r="BD325" i="28" s="1"/>
  <c r="BK325" i="28" s="1"/>
  <c r="AN326" i="28"/>
  <c r="BD326" i="28" s="1"/>
  <c r="BK326" i="28" s="1"/>
  <c r="AN327" i="28"/>
  <c r="BD327" i="28" s="1"/>
  <c r="BK327" i="28" s="1"/>
  <c r="AN328" i="28"/>
  <c r="BD328" i="28" s="1"/>
  <c r="BK328" i="28" s="1"/>
  <c r="AN329" i="28"/>
  <c r="BD329" i="28" s="1"/>
  <c r="BK329" i="28" s="1"/>
  <c r="AN330" i="28"/>
  <c r="BD330" i="28" s="1"/>
  <c r="BK330" i="28" s="1"/>
  <c r="AN331" i="28"/>
  <c r="BD331" i="28" s="1"/>
  <c r="BK331" i="28" s="1"/>
  <c r="AN332" i="28"/>
  <c r="BD332" i="28" s="1"/>
  <c r="BK332" i="28" s="1"/>
  <c r="AN333" i="28"/>
  <c r="BD333" i="28" s="1"/>
  <c r="BK333" i="28" s="1"/>
  <c r="AN335" i="28"/>
  <c r="BD335" i="28" s="1"/>
  <c r="BK335" i="28" s="1"/>
  <c r="AN336" i="28"/>
  <c r="BD336" i="28" s="1"/>
  <c r="BK336" i="28" s="1"/>
  <c r="AN337" i="28"/>
  <c r="BD337" i="28" s="1"/>
  <c r="BK337" i="28" s="1"/>
  <c r="AN338" i="28"/>
  <c r="BD338" i="28" s="1"/>
  <c r="BK338" i="28" s="1"/>
  <c r="AN340" i="28"/>
  <c r="BD340" i="28" s="1"/>
  <c r="BK340" i="28" s="1"/>
  <c r="AN341" i="28"/>
  <c r="BD341" i="28" s="1"/>
  <c r="BK341" i="28" s="1"/>
  <c r="AN342" i="28"/>
  <c r="BD342" i="28" s="1"/>
  <c r="BK342" i="28" s="1"/>
  <c r="AN343" i="28"/>
  <c r="BD343" i="28" s="1"/>
  <c r="BK343" i="28" s="1"/>
  <c r="AN344" i="28"/>
  <c r="BD344" i="28" s="1"/>
  <c r="BK344" i="28" s="1"/>
  <c r="AN345" i="28"/>
  <c r="BD345" i="28" s="1"/>
  <c r="BK345" i="28" s="1"/>
  <c r="AN346" i="28"/>
  <c r="BD346" i="28" s="1"/>
  <c r="BK346" i="28" s="1"/>
  <c r="AN347" i="28"/>
  <c r="BD347" i="28" s="1"/>
  <c r="BK347" i="28" s="1"/>
  <c r="AN348" i="28"/>
  <c r="BD348" i="28" s="1"/>
  <c r="BK348" i="28" s="1"/>
  <c r="AN349" i="28"/>
  <c r="BD349" i="28" s="1"/>
  <c r="BK349" i="28" s="1"/>
  <c r="AN350" i="28"/>
  <c r="BD350" i="28" s="1"/>
  <c r="BK350" i="28" s="1"/>
  <c r="AN352" i="28"/>
  <c r="BD352" i="28" s="1"/>
  <c r="BK352" i="28" s="1"/>
  <c r="AN353" i="28"/>
  <c r="BD353" i="28" s="1"/>
  <c r="BK353" i="28" s="1"/>
  <c r="AN354" i="28"/>
  <c r="BD354" i="28" s="1"/>
  <c r="BK354" i="28" s="1"/>
  <c r="AN355" i="28"/>
  <c r="BD355" i="28" s="1"/>
  <c r="BK355" i="28" s="1"/>
  <c r="AN356" i="28"/>
  <c r="BD356" i="28" s="1"/>
  <c r="BK356" i="28" s="1"/>
  <c r="AN357" i="28"/>
  <c r="BD357" i="28" s="1"/>
  <c r="BK357" i="28" s="1"/>
  <c r="AN358" i="28"/>
  <c r="BD358" i="28" s="1"/>
  <c r="BK358" i="28" s="1"/>
  <c r="AN359" i="28"/>
  <c r="BD359" i="28" s="1"/>
  <c r="BK359" i="28" s="1"/>
  <c r="AM199" i="73"/>
  <c r="BC199" i="73" s="1"/>
  <c r="AM200" i="73"/>
  <c r="BC200" i="73" s="1"/>
  <c r="AM201" i="73"/>
  <c r="BC201" i="73" s="1"/>
  <c r="AM202" i="73"/>
  <c r="BC202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7" i="73"/>
  <c r="BC217" i="73" s="1"/>
  <c r="AM219" i="73"/>
  <c r="BC219" i="73" s="1"/>
  <c r="AM222" i="73"/>
  <c r="BC222" i="73" s="1"/>
  <c r="AM223" i="73"/>
  <c r="BC223" i="73" s="1"/>
  <c r="AM224" i="73"/>
  <c r="BC224" i="73" s="1"/>
  <c r="AM225" i="73"/>
  <c r="BC225" i="73" s="1"/>
  <c r="AM226" i="73"/>
  <c r="BC226" i="73" s="1"/>
  <c r="AM227" i="73"/>
  <c r="BC227" i="73" s="1"/>
  <c r="AM228" i="73"/>
  <c r="BC228" i="73" s="1"/>
  <c r="AM230" i="73"/>
  <c r="BC230" i="73" s="1"/>
  <c r="AM232" i="73"/>
  <c r="BC232" i="73" s="1"/>
  <c r="AM233" i="73"/>
  <c r="BC233" i="73" s="1"/>
  <c r="AM234" i="73"/>
  <c r="AM235" i="73"/>
  <c r="AM236" i="73"/>
  <c r="AM237" i="73"/>
  <c r="AL103" i="9" l="1"/>
  <c r="X91" i="26"/>
  <c r="AL91" i="26"/>
  <c r="AZ84" i="26"/>
  <c r="AZ85" i="26"/>
  <c r="AZ86" i="26"/>
  <c r="AZ87" i="26"/>
  <c r="AZ88" i="26"/>
  <c r="AZ89" i="26"/>
  <c r="AZ90" i="26"/>
  <c r="AZ91" i="26"/>
  <c r="AL159" i="6"/>
  <c r="AD89" i="77" l="1"/>
  <c r="AB89" i="77"/>
  <c r="Z89" i="77"/>
  <c r="X89" i="77"/>
  <c r="V89" i="77"/>
  <c r="R89" i="77"/>
  <c r="N89" i="77"/>
  <c r="L89" i="77"/>
  <c r="J89" i="77"/>
  <c r="F89" i="77"/>
  <c r="BD92" i="77"/>
  <c r="BB92" i="77"/>
  <c r="AZ92" i="77"/>
  <c r="BA92" i="77"/>
  <c r="AV92" i="77"/>
  <c r="AR92" i="77"/>
  <c r="AN92" i="77"/>
  <c r="AL92" i="77"/>
  <c r="AK92" i="77"/>
  <c r="AJ92" i="77"/>
  <c r="AH92" i="77"/>
  <c r="AG92" i="77"/>
  <c r="AF92" i="77"/>
  <c r="AC92" i="77"/>
  <c r="W92" i="77"/>
  <c r="S92" i="77"/>
  <c r="P92" i="77"/>
  <c r="T92" i="77" s="1"/>
  <c r="O92" i="77"/>
  <c r="K92" i="77"/>
  <c r="H92" i="77"/>
  <c r="G92" i="77"/>
  <c r="AZ203" i="73"/>
  <c r="AV203" i="73"/>
  <c r="AT203" i="73"/>
  <c r="AR203" i="73"/>
  <c r="AN203" i="73"/>
  <c r="AL203" i="73"/>
  <c r="AJ203" i="73"/>
  <c r="AH203" i="73"/>
  <c r="AG203" i="73"/>
  <c r="AF203" i="73"/>
  <c r="AD203" i="73"/>
  <c r="AC203" i="73"/>
  <c r="AB203" i="73"/>
  <c r="Z203" i="73"/>
  <c r="X203" i="73"/>
  <c r="W203" i="73"/>
  <c r="V203" i="73"/>
  <c r="T203" i="73"/>
  <c r="S203" i="73"/>
  <c r="R203" i="73"/>
  <c r="P203" i="73"/>
  <c r="O203" i="73"/>
  <c r="N203" i="73"/>
  <c r="L203" i="73"/>
  <c r="K203" i="73"/>
  <c r="J203" i="73"/>
  <c r="H203" i="73"/>
  <c r="G203" i="73"/>
  <c r="F203" i="73"/>
  <c r="AK203" i="73"/>
  <c r="AM203" i="73" l="1"/>
  <c r="BC203" i="73" s="1"/>
  <c r="Q92" i="77"/>
  <c r="I92" i="77"/>
  <c r="AM92" i="77"/>
  <c r="BC92" i="77" s="1"/>
  <c r="M92" i="77"/>
  <c r="AI92" i="77"/>
  <c r="Y92" i="77"/>
  <c r="AA92" i="77"/>
  <c r="U92" i="77"/>
  <c r="AO92" i="77"/>
  <c r="AE92" i="77"/>
  <c r="AS92" i="77"/>
  <c r="BE92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28" i="26"/>
  <c r="AJ128" i="26"/>
  <c r="AK112" i="26"/>
  <c r="AJ110" i="26"/>
  <c r="AJ108" i="26"/>
  <c r="AJ106" i="26"/>
  <c r="AJ104" i="26"/>
  <c r="AJ102" i="26"/>
  <c r="AJ100" i="26"/>
  <c r="AJ98" i="26"/>
  <c r="AJ96" i="26"/>
  <c r="AK92" i="26"/>
  <c r="AJ89" i="26"/>
  <c r="AJ87" i="26"/>
  <c r="AJ85" i="26"/>
  <c r="AJ83" i="26"/>
  <c r="AK81" i="26"/>
  <c r="AK80" i="26"/>
  <c r="AJ78" i="26"/>
  <c r="AJ76" i="26"/>
  <c r="AK73" i="26"/>
  <c r="AJ71" i="26"/>
  <c r="AJ69" i="26"/>
  <c r="AJ67" i="26"/>
  <c r="AJ65" i="26"/>
  <c r="AJ63" i="26"/>
  <c r="AJ61" i="26"/>
  <c r="AJ59" i="26"/>
  <c r="AJ57" i="26"/>
  <c r="AJ52" i="26"/>
  <c r="AJ50" i="26"/>
  <c r="AK48" i="26"/>
  <c r="AJ46" i="26"/>
  <c r="AK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J11" i="26"/>
  <c r="AJ9" i="26"/>
  <c r="AK54" i="26" l="1"/>
  <c r="AJ48" i="26"/>
  <c r="AJ54" i="26" s="1"/>
  <c r="AK18" i="26"/>
  <c r="AJ81" i="26"/>
  <c r="AJ92" i="26"/>
  <c r="AJ112" i="26"/>
  <c r="AJ80" i="26"/>
  <c r="AJ73" i="26"/>
  <c r="AJ43" i="26"/>
  <c r="AJ12" i="26"/>
  <c r="AK13" i="26"/>
  <c r="AK19" i="26"/>
  <c r="AK49" i="26"/>
  <c r="AK55" i="26"/>
  <c r="AJ13" i="26" l="1"/>
  <c r="AJ55" i="26"/>
  <c r="AJ49" i="26"/>
  <c r="AJ19" i="26"/>
  <c r="AJ18" i="26"/>
  <c r="AM80" i="17" l="1"/>
  <c r="AM81" i="17"/>
  <c r="AK57" i="17" l="1"/>
  <c r="AJ57" i="17"/>
  <c r="AK56" i="17"/>
  <c r="AJ56" i="17"/>
  <c r="AK55" i="17"/>
  <c r="AJ55" i="17"/>
  <c r="AK54" i="17"/>
  <c r="AJ54" i="17"/>
  <c r="AK53" i="17"/>
  <c r="AJ53" i="17"/>
  <c r="AK44" i="17"/>
  <c r="AJ44" i="17"/>
  <c r="AK37" i="17"/>
  <c r="AK39" i="17" s="1"/>
  <c r="AJ37" i="17"/>
  <c r="AJ39" i="17" s="1"/>
  <c r="AJ31" i="17"/>
  <c r="AK29" i="17"/>
  <c r="AK30" i="17" s="1"/>
  <c r="AJ28" i="17"/>
  <c r="AJ25" i="17"/>
  <c r="AK22" i="17"/>
  <c r="AK23" i="17" s="1"/>
  <c r="AJ22" i="17"/>
  <c r="AK19" i="17"/>
  <c r="AJ18" i="17"/>
  <c r="AK17" i="17"/>
  <c r="AJ16" i="17"/>
  <c r="AK14" i="17"/>
  <c r="AK20" i="17" s="1"/>
  <c r="AJ14" i="17"/>
  <c r="AK13" i="17"/>
  <c r="AK11" i="17"/>
  <c r="AK9" i="17"/>
  <c r="AK8" i="72"/>
  <c r="AM108" i="90" s="1"/>
  <c r="BC108" i="90" s="1"/>
  <c r="AK12" i="72"/>
  <c r="AK13" i="72"/>
  <c r="AK14" i="72"/>
  <c r="AK16" i="72"/>
  <c r="AK17" i="72"/>
  <c r="AM115" i="90" s="1"/>
  <c r="BC115" i="90" s="1"/>
  <c r="AK19" i="72"/>
  <c r="AK20" i="72"/>
  <c r="AK21" i="72"/>
  <c r="AK22" i="72"/>
  <c r="AK23" i="72"/>
  <c r="AK24" i="72"/>
  <c r="AK26" i="72"/>
  <c r="AK27" i="72"/>
  <c r="AK28" i="72"/>
  <c r="AK29" i="72"/>
  <c r="BA29" i="72" s="1"/>
  <c r="AK30" i="72"/>
  <c r="BA30" i="72" s="1"/>
  <c r="AK31" i="72"/>
  <c r="BA31" i="72" s="1"/>
  <c r="AK32" i="72"/>
  <c r="BA32" i="72" s="1"/>
  <c r="AK33" i="72"/>
  <c r="BA33" i="72" s="1"/>
  <c r="AK34" i="72"/>
  <c r="BA34" i="72" s="1"/>
  <c r="AK35" i="72"/>
  <c r="AK36" i="72"/>
  <c r="AK37" i="72"/>
  <c r="AK39" i="72"/>
  <c r="AK40" i="72"/>
  <c r="AK41" i="72"/>
  <c r="AK42" i="72"/>
  <c r="AK43" i="72"/>
  <c r="BA43" i="72" s="1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Q43" i="71"/>
  <c r="AK56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50" i="71"/>
  <c r="AK51" i="71"/>
  <c r="AK52" i="71"/>
  <c r="AK53" i="71"/>
  <c r="AK54" i="71"/>
  <c r="AK55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50" i="71"/>
  <c r="AF51" i="71"/>
  <c r="AF52" i="71"/>
  <c r="AF53" i="71"/>
  <c r="AF54" i="71"/>
  <c r="AF55" i="71"/>
  <c r="AF56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50" i="71"/>
  <c r="AG50" i="71" s="1"/>
  <c r="AB51" i="71"/>
  <c r="AB52" i="71"/>
  <c r="AG52" i="71" s="1"/>
  <c r="AB53" i="71"/>
  <c r="AB54" i="71"/>
  <c r="AG54" i="71" s="1"/>
  <c r="AB55" i="71"/>
  <c r="AG55" i="71" s="1"/>
  <c r="AB56" i="71"/>
  <c r="CQ23" i="7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50" i="71"/>
  <c r="AK83" i="90" s="1"/>
  <c r="CA51" i="71"/>
  <c r="AK84" i="90" s="1"/>
  <c r="CA52" i="71"/>
  <c r="CA53" i="71"/>
  <c r="CA54" i="71"/>
  <c r="CA55" i="71"/>
  <c r="AK85" i="90" s="1"/>
  <c r="CA56" i="71"/>
  <c r="AJ85" i="17" l="1"/>
  <c r="AG51" i="71"/>
  <c r="AM112" i="90"/>
  <c r="BC112" i="90" s="1"/>
  <c r="AM113" i="90"/>
  <c r="BC113" i="90" s="1"/>
  <c r="AM114" i="90"/>
  <c r="BC114" i="90" s="1"/>
  <c r="AG25" i="71"/>
  <c r="AY23" i="71"/>
  <c r="AY43" i="71"/>
  <c r="AP31" i="71"/>
  <c r="CC23" i="71"/>
  <c r="CS23" i="71" s="1"/>
  <c r="CC43" i="71"/>
  <c r="CS43" i="71" s="1"/>
  <c r="AK85" i="17"/>
  <c r="AJ29" i="17"/>
  <c r="AJ32" i="17" s="1"/>
  <c r="AK32" i="17"/>
  <c r="AJ20" i="17"/>
  <c r="AK21" i="17"/>
  <c r="AK25" i="17" s="1"/>
  <c r="AK24" i="17"/>
  <c r="AK15" i="17"/>
  <c r="BO23" i="71"/>
  <c r="AR23" i="71"/>
  <c r="BC23" i="71"/>
  <c r="BG23" i="71" s="1"/>
  <c r="BK23" i="71" s="1"/>
  <c r="CU23" i="71"/>
  <c r="AG53" i="71"/>
  <c r="AG46" i="71"/>
  <c r="AG40" i="71"/>
  <c r="AG34" i="71"/>
  <c r="AG27" i="71"/>
  <c r="AG21" i="71"/>
  <c r="AG15" i="71"/>
  <c r="AG9" i="71"/>
  <c r="AQ43" i="71"/>
  <c r="AQ31" i="71"/>
  <c r="AR31" i="71" s="1"/>
  <c r="BO43" i="71"/>
  <c r="AG18" i="71"/>
  <c r="AG12" i="71"/>
  <c r="AP23" i="71"/>
  <c r="BC43" i="71"/>
  <c r="BG43" i="71" s="1"/>
  <c r="BK43" i="71" s="1"/>
  <c r="CU43" i="71"/>
  <c r="AR43" i="71" l="1"/>
  <c r="AJ30" i="17"/>
  <c r="BQ43" i="71"/>
  <c r="BU43" i="71" s="1"/>
  <c r="BY43" i="71" s="1"/>
  <c r="CE43" i="71" s="1"/>
  <c r="AJ24" i="17"/>
  <c r="BQ23" i="71"/>
  <c r="BU23" i="71" s="1"/>
  <c r="BY23" i="71" s="1"/>
  <c r="CE23" i="71" s="1"/>
  <c r="CI23" i="71" l="1"/>
  <c r="CM23" i="71" s="1"/>
  <c r="CI43" i="71"/>
  <c r="CM43" i="71" s="1"/>
  <c r="AQ82" i="45"/>
  <c r="AU82" i="45" s="1"/>
  <c r="AY82" i="45" s="1"/>
  <c r="BG82" i="45" s="1"/>
  <c r="BI82" i="45" s="1"/>
  <c r="AQ87" i="45"/>
  <c r="AU87" i="45" s="1"/>
  <c r="AY87" i="45" s="1"/>
  <c r="BG87" i="45" s="1"/>
  <c r="BI87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7" i="45"/>
  <c r="AO28" i="45"/>
  <c r="AO29" i="45"/>
  <c r="BE29" i="45" s="1"/>
  <c r="BL29" i="45" s="1"/>
  <c r="AO30" i="45"/>
  <c r="BE30" i="45" s="1"/>
  <c r="BL30" i="45" s="1"/>
  <c r="AO31" i="45"/>
  <c r="BE31" i="45" s="1"/>
  <c r="BL31" i="45" s="1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BE50" i="45" s="1"/>
  <c r="BL50" i="45" s="1"/>
  <c r="AO51" i="45"/>
  <c r="AO52" i="45"/>
  <c r="AO54" i="45"/>
  <c r="AO55" i="45"/>
  <c r="AO56" i="45"/>
  <c r="AO57" i="45"/>
  <c r="AO58" i="45"/>
  <c r="AO59" i="45"/>
  <c r="AO60" i="45"/>
  <c r="AO61" i="45"/>
  <c r="AO62" i="45"/>
  <c r="AO63" i="45"/>
  <c r="BE63" i="45" s="1"/>
  <c r="BL63" i="45" s="1"/>
  <c r="AO64" i="45"/>
  <c r="AO65" i="45"/>
  <c r="AO66" i="45"/>
  <c r="AO67" i="45"/>
  <c r="AO68" i="45"/>
  <c r="AO69" i="45"/>
  <c r="AO70" i="45"/>
  <c r="AO71" i="45"/>
  <c r="BE71" i="45" s="1"/>
  <c r="BL71" i="45" s="1"/>
  <c r="AO72" i="45"/>
  <c r="BE72" i="45" s="1"/>
  <c r="BL72" i="45" s="1"/>
  <c r="AO73" i="45"/>
  <c r="AO74" i="45"/>
  <c r="AO75" i="45"/>
  <c r="BE75" i="45" s="1"/>
  <c r="BL75" i="45" s="1"/>
  <c r="AO76" i="45"/>
  <c r="BE76" i="45" s="1"/>
  <c r="BL76" i="45" s="1"/>
  <c r="AO77" i="45"/>
  <c r="BE77" i="45" s="1"/>
  <c r="BL77" i="45" s="1"/>
  <c r="AO78" i="45"/>
  <c r="BE78" i="45" s="1"/>
  <c r="BL78" i="45" s="1"/>
  <c r="AO79" i="45"/>
  <c r="BE79" i="45" s="1"/>
  <c r="BL79" i="45" s="1"/>
  <c r="AO80" i="45"/>
  <c r="BE80" i="45" s="1"/>
  <c r="BL80" i="45" s="1"/>
  <c r="AO81" i="45"/>
  <c r="BE81" i="45" s="1"/>
  <c r="BL81" i="45" s="1"/>
  <c r="AO82" i="45"/>
  <c r="BE82" i="45" s="1"/>
  <c r="BL82" i="45" s="1"/>
  <c r="AO83" i="45"/>
  <c r="BE83" i="45" s="1"/>
  <c r="BL83" i="45" s="1"/>
  <c r="AO84" i="45"/>
  <c r="BE84" i="45" s="1"/>
  <c r="BL84" i="45" s="1"/>
  <c r="AO85" i="45"/>
  <c r="BE85" i="45" s="1"/>
  <c r="BL85" i="45" s="1"/>
  <c r="AO86" i="45"/>
  <c r="BE86" i="45" s="1"/>
  <c r="BL86" i="45" s="1"/>
  <c r="AO87" i="45"/>
  <c r="BE87" i="45" s="1"/>
  <c r="BL87" i="45" s="1"/>
  <c r="AO88" i="45"/>
  <c r="BE88" i="45" s="1"/>
  <c r="BL88" i="45" s="1"/>
  <c r="AO89" i="45"/>
  <c r="AO90" i="45"/>
  <c r="AO91" i="45"/>
  <c r="AO92" i="45"/>
  <c r="AO93" i="45"/>
  <c r="AO94" i="45"/>
  <c r="AO96" i="45"/>
  <c r="BE96" i="45" s="1"/>
  <c r="BL96" i="45" s="1"/>
  <c r="AO97" i="45"/>
  <c r="AO98" i="45"/>
  <c r="AO99" i="45"/>
  <c r="BE99" i="45" s="1"/>
  <c r="BL99" i="45" s="1"/>
  <c r="AO100" i="45"/>
  <c r="BE100" i="45" s="1"/>
  <c r="BL100" i="45" s="1"/>
  <c r="AO101" i="45"/>
  <c r="BE101" i="45" s="1"/>
  <c r="BL101" i="45" s="1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O117" i="45"/>
  <c r="AP94" i="38" l="1"/>
  <c r="AP93" i="38"/>
  <c r="AP92" i="38"/>
  <c r="AP91" i="38"/>
  <c r="AO90" i="38"/>
  <c r="AP89" i="38"/>
  <c r="AO88" i="38"/>
  <c r="AP86" i="38"/>
  <c r="AP85" i="38"/>
  <c r="AP84" i="38"/>
  <c r="AP83" i="38"/>
  <c r="AO82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P68" i="38"/>
  <c r="AP67" i="38"/>
  <c r="AO66" i="38"/>
  <c r="AP62" i="38"/>
  <c r="AP61" i="38"/>
  <c r="AO60" i="38"/>
  <c r="AP59" i="38"/>
  <c r="AP58" i="38"/>
  <c r="AP57" i="38"/>
  <c r="AP56" i="38"/>
  <c r="AP55" i="38"/>
  <c r="AO54" i="38"/>
  <c r="AO52" i="38"/>
  <c r="AP51" i="38"/>
  <c r="AO51" i="38"/>
  <c r="AO46" i="38"/>
  <c r="AO45" i="38"/>
  <c r="AO44" i="38"/>
  <c r="AO43" i="38"/>
  <c r="AP42" i="38"/>
  <c r="AP90" i="38" s="1"/>
  <c r="AO41" i="38"/>
  <c r="AO40" i="38" s="1"/>
  <c r="AP40" i="38"/>
  <c r="AP88" i="38" s="1"/>
  <c r="AO38" i="38"/>
  <c r="AO37" i="38"/>
  <c r="AO36" i="38"/>
  <c r="AO35" i="38"/>
  <c r="AP34" i="38"/>
  <c r="AP82" i="38" s="1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O19" i="38"/>
  <c r="AP18" i="38"/>
  <c r="AP66" i="38" s="1"/>
  <c r="AO14" i="38"/>
  <c r="AO13" i="38"/>
  <c r="AP12" i="38"/>
  <c r="AP60" i="38" s="1"/>
  <c r="AO11" i="38"/>
  <c r="AO10" i="38"/>
  <c r="AO9" i="38"/>
  <c r="AO8" i="38"/>
  <c r="AO7" i="38"/>
  <c r="AP6" i="38"/>
  <c r="AO12" i="38" l="1"/>
  <c r="AO63" i="38"/>
  <c r="AP15" i="38"/>
  <c r="AO65" i="38"/>
  <c r="AP17" i="38"/>
  <c r="AP65" i="38" s="1"/>
  <c r="AO87" i="38"/>
  <c r="AO42" i="38"/>
  <c r="AO39" i="38" s="1"/>
  <c r="AO34" i="38"/>
  <c r="AO18" i="38"/>
  <c r="AO6" i="38"/>
  <c r="AO15" i="38" s="1"/>
  <c r="AP54" i="38"/>
  <c r="AP63" i="38"/>
  <c r="AP39" i="38"/>
  <c r="BC117" i="45"/>
  <c r="BE117" i="45" s="1"/>
  <c r="BL117" i="45" s="1"/>
  <c r="AO118" i="45"/>
  <c r="BC118" i="45"/>
  <c r="AO119" i="45"/>
  <c r="BC119" i="45"/>
  <c r="AO120" i="45"/>
  <c r="BC120" i="45"/>
  <c r="AN8" i="11"/>
  <c r="BD8" i="11" s="1"/>
  <c r="AN9" i="11"/>
  <c r="BD9" i="11" s="1"/>
  <c r="AN10" i="11"/>
  <c r="BD10" i="11" s="1"/>
  <c r="AN11" i="11"/>
  <c r="BD11" i="11" s="1"/>
  <c r="AN12" i="11"/>
  <c r="BD12" i="11" s="1"/>
  <c r="AN13" i="11"/>
  <c r="BD13" i="11" s="1"/>
  <c r="AN14" i="11"/>
  <c r="BD14" i="11" s="1"/>
  <c r="AN15" i="11"/>
  <c r="BD15" i="11" s="1"/>
  <c r="AN16" i="11"/>
  <c r="BD16" i="11" s="1"/>
  <c r="AN17" i="11"/>
  <c r="BD17" i="11" s="1"/>
  <c r="AN18" i="11"/>
  <c r="BD18" i="11" s="1"/>
  <c r="AN19" i="11"/>
  <c r="BD19" i="11" s="1"/>
  <c r="AN20" i="11"/>
  <c r="BD20" i="11" s="1"/>
  <c r="AN21" i="11"/>
  <c r="BD21" i="11" s="1"/>
  <c r="AN22" i="11"/>
  <c r="BD22" i="11" s="1"/>
  <c r="AN23" i="11"/>
  <c r="BD23" i="11" s="1"/>
  <c r="AN24" i="11"/>
  <c r="BD24" i="11" s="1"/>
  <c r="AN25" i="11"/>
  <c r="BD25" i="11" s="1"/>
  <c r="AN26" i="11"/>
  <c r="BD26" i="11" s="1"/>
  <c r="AN27" i="11"/>
  <c r="BD27" i="11" s="1"/>
  <c r="AN28" i="11"/>
  <c r="BD28" i="11" s="1"/>
  <c r="AN29" i="11"/>
  <c r="BD29" i="11" s="1"/>
  <c r="AN30" i="11"/>
  <c r="BD30" i="11" s="1"/>
  <c r="AN31" i="11"/>
  <c r="BD31" i="11" s="1"/>
  <c r="AN32" i="11"/>
  <c r="BD32" i="11" s="1"/>
  <c r="AN33" i="11"/>
  <c r="BD33" i="11" s="1"/>
  <c r="AN34" i="11"/>
  <c r="BD34" i="11" s="1"/>
  <c r="AN35" i="11"/>
  <c r="BD35" i="11" s="1"/>
  <c r="AN36" i="11"/>
  <c r="BD36" i="11" s="1"/>
  <c r="AN37" i="11"/>
  <c r="BD37" i="11" s="1"/>
  <c r="AN38" i="11"/>
  <c r="BD38" i="11" s="1"/>
  <c r="AN39" i="11"/>
  <c r="BD39" i="11" s="1"/>
  <c r="AN40" i="11"/>
  <c r="BD40" i="11" s="1"/>
  <c r="AN41" i="11"/>
  <c r="BD41" i="11" s="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BD86" i="10" s="1"/>
  <c r="BK86" i="10" s="1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6" i="10"/>
  <c r="BD106" i="10" s="1"/>
  <c r="BK106" i="10" s="1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BD123" i="10" s="1"/>
  <c r="BK123" i="10" s="1"/>
  <c r="AN124" i="10"/>
  <c r="BD124" i="10" s="1"/>
  <c r="BK124" i="10" s="1"/>
  <c r="AN125" i="10"/>
  <c r="AN126" i="10"/>
  <c r="BD126" i="10" s="1"/>
  <c r="BK126" i="10" s="1"/>
  <c r="AN127" i="10"/>
  <c r="AN186" i="10"/>
  <c r="BD186" i="10" s="1"/>
  <c r="BK186" i="10" s="1"/>
  <c r="AJ114" i="10"/>
  <c r="AP114" i="10" s="1"/>
  <c r="AT114" i="10" s="1"/>
  <c r="BB114" i="10"/>
  <c r="AM176" i="45"/>
  <c r="AL176" i="45"/>
  <c r="AM175" i="45"/>
  <c r="AL175" i="45"/>
  <c r="AM174" i="45"/>
  <c r="AL174" i="45"/>
  <c r="AM173" i="45"/>
  <c r="AL173" i="45"/>
  <c r="AM172" i="45"/>
  <c r="AL172" i="45"/>
  <c r="AM171" i="45"/>
  <c r="AL171" i="45"/>
  <c r="AM158" i="45"/>
  <c r="AM157" i="45"/>
  <c r="AM155" i="45"/>
  <c r="AM149" i="45"/>
  <c r="AM144" i="45"/>
  <c r="AL144" i="45"/>
  <c r="AM143" i="45"/>
  <c r="AL143" i="45"/>
  <c r="AM142" i="45"/>
  <c r="AL142" i="45"/>
  <c r="AM141" i="45"/>
  <c r="AL141" i="45"/>
  <c r="AM139" i="45"/>
  <c r="AL139" i="45"/>
  <c r="AM137" i="45"/>
  <c r="AL137" i="45"/>
  <c r="AM135" i="45"/>
  <c r="AL135" i="45"/>
  <c r="AM132" i="45"/>
  <c r="AL132" i="45"/>
  <c r="AM130" i="45"/>
  <c r="AM123" i="45"/>
  <c r="AM122" i="45"/>
  <c r="AM121" i="45"/>
  <c r="AN7" i="45"/>
  <c r="AN138" i="45" s="1"/>
  <c r="AN134" i="45"/>
  <c r="AN136" i="45"/>
  <c r="AN171" i="45"/>
  <c r="AN172" i="45"/>
  <c r="AN173" i="45"/>
  <c r="AN174" i="45"/>
  <c r="AN175" i="45"/>
  <c r="AN176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0" i="10"/>
  <c r="AK159" i="10"/>
  <c r="AK203" i="10" s="1"/>
  <c r="AL199" i="10"/>
  <c r="AO64" i="38" l="1"/>
  <c r="AO96" i="38" s="1"/>
  <c r="BD114" i="10"/>
  <c r="BK114" i="10" s="1"/>
  <c r="BM114" i="10"/>
  <c r="AL133" i="45"/>
  <c r="AM133" i="45"/>
  <c r="AL192" i="10"/>
  <c r="AK67" i="11"/>
  <c r="AX114" i="10"/>
  <c r="AK97" i="11"/>
  <c r="AN177" i="45"/>
  <c r="AL177" i="45"/>
  <c r="AK79" i="11"/>
  <c r="AK173" i="10"/>
  <c r="AK74" i="11"/>
  <c r="AM156" i="45"/>
  <c r="AM127" i="45"/>
  <c r="AL85" i="11"/>
  <c r="AL92" i="11"/>
  <c r="AL61" i="11"/>
  <c r="AL67" i="11"/>
  <c r="AL84" i="11"/>
  <c r="AL58" i="11"/>
  <c r="AM160" i="45"/>
  <c r="AM159" i="45"/>
  <c r="AM124" i="45"/>
  <c r="BE118" i="45"/>
  <c r="BL118" i="45" s="1"/>
  <c r="BE119" i="45"/>
  <c r="BL119" i="45" s="1"/>
  <c r="BE120" i="45"/>
  <c r="BL120" i="45" s="1"/>
  <c r="AO17" i="38"/>
  <c r="AO16" i="38" s="1"/>
  <c r="AO48" i="38" s="1"/>
  <c r="AP16" i="38"/>
  <c r="AP87" i="38"/>
  <c r="AM145" i="45"/>
  <c r="AM125" i="45"/>
  <c r="AL79" i="11"/>
  <c r="AM177" i="45"/>
  <c r="AM140" i="45"/>
  <c r="AM150" i="45"/>
  <c r="AM151" i="45"/>
  <c r="AN135" i="45"/>
  <c r="AN137" i="45"/>
  <c r="AL90" i="11"/>
  <c r="AL60" i="11"/>
  <c r="AL74" i="11"/>
  <c r="AL93" i="11"/>
  <c r="AK58" i="11"/>
  <c r="AL184" i="10"/>
  <c r="AL158" i="10"/>
  <c r="AL210" i="10" s="1"/>
  <c r="AL159" i="10"/>
  <c r="AL183" i="10"/>
  <c r="AK178" i="10"/>
  <c r="AK161" i="10"/>
  <c r="AK158" i="10"/>
  <c r="AK210" i="10" s="1"/>
  <c r="BF114" i="10" l="1"/>
  <c r="BI114" i="10" s="1"/>
  <c r="AM161" i="45"/>
  <c r="AL94" i="11"/>
  <c r="AM126" i="45"/>
  <c r="AP64" i="38"/>
  <c r="AP96" i="38" s="1"/>
  <c r="AP48" i="38"/>
  <c r="AL196" i="10"/>
  <c r="AL191" i="10"/>
  <c r="AL178" i="10"/>
  <c r="AL161" i="10"/>
  <c r="AL200" i="10"/>
  <c r="AL173" i="10"/>
  <c r="AL193" i="10" l="1"/>
  <c r="AN457" i="28" l="1"/>
  <c r="BD457" i="28" s="1"/>
  <c r="BK457" i="28" s="1"/>
  <c r="AN458" i="28"/>
  <c r="AN459" i="28"/>
  <c r="BD459" i="28" s="1"/>
  <c r="BK459" i="28" s="1"/>
  <c r="AN460" i="28"/>
  <c r="AN461" i="28"/>
  <c r="AN462" i="28"/>
  <c r="AN463" i="28"/>
  <c r="AN464" i="28"/>
  <c r="AN465" i="28"/>
  <c r="AN311" i="28"/>
  <c r="BD311" i="28" s="1"/>
  <c r="BK311" i="28" s="1"/>
  <c r="AJ386" i="28"/>
  <c r="AP386" i="28" s="1"/>
  <c r="AT386" i="28" s="1"/>
  <c r="AX386" i="28" s="1"/>
  <c r="BF386" i="28" s="1"/>
  <c r="BH386" i="28" s="1"/>
  <c r="AN386" i="28"/>
  <c r="BD386" i="28" s="1"/>
  <c r="BK386" i="28" s="1"/>
  <c r="AN387" i="28"/>
  <c r="BD387" i="28" s="1"/>
  <c r="BK387" i="28" s="1"/>
  <c r="AN402" i="28" l="1"/>
  <c r="BD402" i="28" s="1"/>
  <c r="BK402" i="28" s="1"/>
  <c r="AN403" i="28"/>
  <c r="BD403" i="28" s="1"/>
  <c r="BK403" i="28" s="1"/>
  <c r="AN404" i="28"/>
  <c r="BD404" i="28" s="1"/>
  <c r="BK404" i="28" s="1"/>
  <c r="AN405" i="28"/>
  <c r="BD405" i="28" s="1"/>
  <c r="BK405" i="28" s="1"/>
  <c r="AN407" i="28"/>
  <c r="BD407" i="28" s="1"/>
  <c r="BK407" i="28" s="1"/>
  <c r="AN408" i="28"/>
  <c r="BD408" i="28" s="1"/>
  <c r="BK408" i="28" s="1"/>
  <c r="AN409" i="28"/>
  <c r="BD409" i="28" s="1"/>
  <c r="BK409" i="28" s="1"/>
  <c r="AN410" i="28"/>
  <c r="BD410" i="28" s="1"/>
  <c r="BK410" i="28" s="1"/>
  <c r="AN384" i="28"/>
  <c r="BD384" i="28" s="1"/>
  <c r="BK384" i="28" s="1"/>
  <c r="AN385" i="28"/>
  <c r="BD385" i="28" s="1"/>
  <c r="BK385" i="28" s="1"/>
  <c r="AN388" i="28"/>
  <c r="BD388" i="28" s="1"/>
  <c r="BK388" i="28" s="1"/>
  <c r="AN389" i="28"/>
  <c r="BD389" i="28" s="1"/>
  <c r="BK389" i="28" s="1"/>
  <c r="AN391" i="28"/>
  <c r="BD391" i="28" s="1"/>
  <c r="BK391" i="28" s="1"/>
  <c r="AN392" i="28"/>
  <c r="BD392" i="28" s="1"/>
  <c r="BK392" i="28" s="1"/>
  <c r="AN393" i="28"/>
  <c r="BD393" i="28" s="1"/>
  <c r="BK393" i="28" s="1"/>
  <c r="AN394" i="28"/>
  <c r="BD394" i="28" s="1"/>
  <c r="BK394" i="28" s="1"/>
  <c r="AN395" i="28"/>
  <c r="BD395" i="28" s="1"/>
  <c r="BK395" i="28" s="1"/>
  <c r="AN396" i="28"/>
  <c r="BD396" i="28" s="1"/>
  <c r="BK396" i="28" s="1"/>
  <c r="AN397" i="28"/>
  <c r="BD397" i="28" s="1"/>
  <c r="BK397" i="28" s="1"/>
  <c r="AN398" i="28"/>
  <c r="BD398" i="28" s="1"/>
  <c r="BK398" i="28" s="1"/>
  <c r="AN399" i="28"/>
  <c r="BD399" i="28" s="1"/>
  <c r="BK399" i="28" s="1"/>
  <c r="AN400" i="28"/>
  <c r="BD400" i="28" s="1"/>
  <c r="BK400" i="28" s="1"/>
  <c r="AN272" i="28"/>
  <c r="BD272" i="28" s="1"/>
  <c r="BK272" i="28" s="1"/>
  <c r="AN273" i="28"/>
  <c r="AN274" i="28"/>
  <c r="AN269" i="28"/>
  <c r="BB269" i="28"/>
  <c r="AJ261" i="28"/>
  <c r="AP261" i="28" s="1"/>
  <c r="AN261" i="28"/>
  <c r="BB261" i="28"/>
  <c r="AN262" i="28"/>
  <c r="AN263" i="28"/>
  <c r="AN264" i="28"/>
  <c r="AN265" i="28"/>
  <c r="AN266" i="28"/>
  <c r="AJ119" i="28"/>
  <c r="AP119" i="28" s="1"/>
  <c r="AN119" i="28"/>
  <c r="AT261" i="28" l="1"/>
  <c r="AX261" i="28" s="1"/>
  <c r="BF261" i="28" s="1"/>
  <c r="BH261" i="28" s="1"/>
  <c r="AT119" i="28"/>
  <c r="AX119" i="28" s="1"/>
  <c r="BF119" i="28" s="1"/>
  <c r="BH119" i="28" s="1"/>
  <c r="BD269" i="28"/>
  <c r="BK269" i="28" s="1"/>
  <c r="BD261" i="28"/>
  <c r="BK261" i="28" s="1"/>
  <c r="BD119" i="28"/>
  <c r="BK119" i="28" s="1"/>
  <c r="AO93" i="77"/>
  <c r="AO88" i="77"/>
  <c r="AO87" i="77"/>
  <c r="AO86" i="77" l="1"/>
  <c r="AL3" i="8"/>
  <c r="AL95" i="9"/>
  <c r="AM128" i="73"/>
  <c r="BC128" i="73" s="1"/>
  <c r="AM124" i="73"/>
  <c r="BC124" i="73" s="1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2" i="45" s="1"/>
  <c r="AK18" i="35"/>
  <c r="AJ18" i="15" s="1"/>
  <c r="AJ15" i="15" s="1"/>
  <c r="AJ16" i="15" s="1"/>
  <c r="AK16" i="35"/>
  <c r="AL145" i="45" l="1"/>
  <c r="AL125" i="45"/>
  <c r="AL124" i="45"/>
  <c r="AL140" i="45"/>
  <c r="AL121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8" i="8"/>
  <c r="AL109" i="8" s="1"/>
  <c r="AL52" i="8" s="1"/>
  <c r="AL120" i="8" s="1"/>
  <c r="AL93" i="8"/>
  <c r="AL90" i="8"/>
  <c r="AK90" i="8"/>
  <c r="AL88" i="8"/>
  <c r="AK88" i="8"/>
  <c r="AL87" i="8"/>
  <c r="AK87" i="8"/>
  <c r="AK86" i="8"/>
  <c r="AK81" i="8"/>
  <c r="AL79" i="8"/>
  <c r="AL75" i="8"/>
  <c r="AK74" i="8"/>
  <c r="AK73" i="8"/>
  <c r="AK72" i="8"/>
  <c r="AK71" i="8"/>
  <c r="AL68" i="8"/>
  <c r="AL66" i="8"/>
  <c r="AL64" i="8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L26" i="8"/>
  <c r="AL17" i="8"/>
  <c r="AK17" i="8"/>
  <c r="AK15" i="8"/>
  <c r="AK14" i="8"/>
  <c r="AL13" i="8"/>
  <c r="AK13" i="8"/>
  <c r="AL6" i="8"/>
  <c r="AK6" i="8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5" i="7"/>
  <c r="AK75" i="7"/>
  <c r="AL71" i="7"/>
  <c r="AL73" i="7" s="1"/>
  <c r="AK71" i="7"/>
  <c r="AK73" i="7" s="1"/>
  <c r="AL67" i="7"/>
  <c r="AL78" i="7" s="1"/>
  <c r="AK67" i="7"/>
  <c r="AK78" i="7" s="1"/>
  <c r="AL21" i="7"/>
  <c r="AL41" i="7" s="1"/>
  <c r="AL51" i="7" s="1"/>
  <c r="AK21" i="7"/>
  <c r="AK41" i="7" s="1"/>
  <c r="AK51" i="7" s="1"/>
  <c r="AM20" i="39"/>
  <c r="BC20" i="39" s="1"/>
  <c r="AN20" i="39"/>
  <c r="AK61" i="39"/>
  <c r="AL43" i="22" s="1"/>
  <c r="AK60" i="39"/>
  <c r="AL42" i="22" s="1"/>
  <c r="AK43" i="39"/>
  <c r="AK42" i="39"/>
  <c r="AK8" i="39"/>
  <c r="AL218" i="6"/>
  <c r="AK218" i="6"/>
  <c r="AL217" i="6"/>
  <c r="AK217" i="6"/>
  <c r="AK195" i="6"/>
  <c r="AL194" i="6"/>
  <c r="AK194" i="6"/>
  <c r="AK193" i="6"/>
  <c r="AL189" i="6"/>
  <c r="AK189" i="6"/>
  <c r="AL188" i="6"/>
  <c r="AK188" i="6"/>
  <c r="AL187" i="6"/>
  <c r="AK187" i="6"/>
  <c r="AK186" i="6"/>
  <c r="AK185" i="6"/>
  <c r="AK182" i="6"/>
  <c r="AK181" i="6"/>
  <c r="AK180" i="6"/>
  <c r="AK179" i="6"/>
  <c r="AK178" i="6"/>
  <c r="AK177" i="6"/>
  <c r="AK175" i="6"/>
  <c r="AK174" i="6"/>
  <c r="AK173" i="6"/>
  <c r="AL163" i="6"/>
  <c r="AK163" i="6"/>
  <c r="AL162" i="6"/>
  <c r="AK162" i="6"/>
  <c r="AK161" i="6"/>
  <c r="AK160" i="6"/>
  <c r="AK157" i="6"/>
  <c r="AK156" i="6"/>
  <c r="AK155" i="6"/>
  <c r="AK154" i="6"/>
  <c r="AK153" i="6"/>
  <c r="AK152" i="6"/>
  <c r="AK150" i="6"/>
  <c r="AK149" i="6"/>
  <c r="AK148" i="6"/>
  <c r="AL138" i="6"/>
  <c r="AL135" i="6"/>
  <c r="AK135" i="6"/>
  <c r="AL134" i="6"/>
  <c r="AK134" i="6"/>
  <c r="AL133" i="6"/>
  <c r="AK133" i="6"/>
  <c r="AL132" i="6"/>
  <c r="AK132" i="6"/>
  <c r="AL130" i="6"/>
  <c r="AK130" i="6"/>
  <c r="AL129" i="6"/>
  <c r="AK129" i="6"/>
  <c r="AL127" i="6"/>
  <c r="AK127" i="6"/>
  <c r="AL126" i="6"/>
  <c r="AK126" i="6"/>
  <c r="AL125" i="6"/>
  <c r="AK125" i="6"/>
  <c r="AL124" i="6"/>
  <c r="AK124" i="6"/>
  <c r="AL119" i="6"/>
  <c r="AK119" i="6"/>
  <c r="AL114" i="6"/>
  <c r="AK114" i="6"/>
  <c r="AL103" i="6"/>
  <c r="AK103" i="6"/>
  <c r="AK98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42" i="8" l="1"/>
  <c r="AL65" i="8"/>
  <c r="AL67" i="8"/>
  <c r="AL69" i="8"/>
  <c r="AK22" i="39"/>
  <c r="AL16" i="8"/>
  <c r="AL47" i="8"/>
  <c r="AK34" i="39"/>
  <c r="AK25" i="6"/>
  <c r="AK24" i="6"/>
  <c r="AL39" i="8"/>
  <c r="AK30" i="8"/>
  <c r="AK95" i="9"/>
  <c r="AK33" i="22"/>
  <c r="AJ130" i="26"/>
  <c r="AL94" i="9"/>
  <c r="AK19" i="15" s="1"/>
  <c r="AL182" i="9"/>
  <c r="AL33" i="22"/>
  <c r="AK130" i="26"/>
  <c r="AL90" i="9"/>
  <c r="AK83" i="7"/>
  <c r="AN35" i="59" s="1"/>
  <c r="AO33" i="59"/>
  <c r="AL83" i="7"/>
  <c r="AO35" i="59" s="1"/>
  <c r="AK49" i="39"/>
  <c r="AL57" i="6"/>
  <c r="AL37" i="9"/>
  <c r="AL100" i="9"/>
  <c r="AL43" i="8"/>
  <c r="AL135" i="8" s="1"/>
  <c r="AL45" i="8"/>
  <c r="AL81" i="8"/>
  <c r="AO51" i="59" s="1"/>
  <c r="AL91" i="8"/>
  <c r="AK120" i="6"/>
  <c r="AK136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0" i="8"/>
  <c r="AL111" i="8" s="1"/>
  <c r="AL53" i="8" s="1"/>
  <c r="AL34" i="8"/>
  <c r="AL72" i="8"/>
  <c r="AL36" i="8"/>
  <c r="AL74" i="8"/>
  <c r="AK25" i="8"/>
  <c r="AK50" i="8"/>
  <c r="AK51" i="8" s="1"/>
  <c r="AK31" i="8"/>
  <c r="AL40" i="8"/>
  <c r="AL46" i="8"/>
  <c r="AL50" i="8"/>
  <c r="AL51" i="8" s="1"/>
  <c r="AL59" i="8"/>
  <c r="AK84" i="8"/>
  <c r="AL85" i="8"/>
  <c r="AK27" i="8"/>
  <c r="AL37" i="8"/>
  <c r="AL41" i="8"/>
  <c r="AL44" i="8"/>
  <c r="AK91" i="8"/>
  <c r="AL76" i="7"/>
  <c r="AN29" i="59"/>
  <c r="AK76" i="7"/>
  <c r="AO29" i="59"/>
  <c r="AK24" i="39"/>
  <c r="AK81" i="7"/>
  <c r="AL81" i="7"/>
  <c r="AO28" i="59" s="1"/>
  <c r="AK50" i="39"/>
  <c r="AN34" i="59"/>
  <c r="AK68" i="7"/>
  <c r="AK45" i="39"/>
  <c r="AO34" i="59"/>
  <c r="AL69" i="7"/>
  <c r="AL136" i="6"/>
  <c r="AL35" i="6"/>
  <c r="AK184" i="6"/>
  <c r="AK27" i="6"/>
  <c r="AK164" i="6"/>
  <c r="AK159" i="6"/>
  <c r="AK31" i="6"/>
  <c r="AL120" i="6"/>
  <c r="AK21" i="6"/>
  <c r="AK30" i="6"/>
  <c r="AK104" i="6"/>
  <c r="AK131" i="6"/>
  <c r="AK19" i="6"/>
  <c r="AL131" i="6"/>
  <c r="AK190" i="6"/>
  <c r="AK28" i="6"/>
  <c r="AK91" i="77"/>
  <c r="AK90" i="77"/>
  <c r="AK86" i="77"/>
  <c r="AK71" i="77"/>
  <c r="AK53" i="77"/>
  <c r="AK36" i="77"/>
  <c r="AK32" i="77"/>
  <c r="AK26" i="77"/>
  <c r="AK21" i="77"/>
  <c r="AK13" i="77"/>
  <c r="AK7" i="77"/>
  <c r="AN484" i="28"/>
  <c r="AN485" i="28"/>
  <c r="AN596" i="28"/>
  <c r="BD596" i="28" s="1"/>
  <c r="BK596" i="28" s="1"/>
  <c r="AN595" i="28"/>
  <c r="BD595" i="28" s="1"/>
  <c r="BK595" i="28" s="1"/>
  <c r="AN467" i="28"/>
  <c r="AN468" i="28"/>
  <c r="AK524" i="28"/>
  <c r="AL481" i="28"/>
  <c r="AL475" i="28"/>
  <c r="AL443" i="28"/>
  <c r="AL431" i="28"/>
  <c r="AK431" i="28"/>
  <c r="AL415" i="28"/>
  <c r="AL304" i="28"/>
  <c r="AK304" i="28"/>
  <c r="AL298" i="28"/>
  <c r="AK298" i="28"/>
  <c r="AL297" i="28"/>
  <c r="AK297" i="28"/>
  <c r="AL256" i="28"/>
  <c r="AK256" i="28"/>
  <c r="AL235" i="28"/>
  <c r="AL233" i="28"/>
  <c r="AL96" i="28"/>
  <c r="AL95" i="28"/>
  <c r="AL93" i="28"/>
  <c r="AL89" i="28"/>
  <c r="AL85" i="28"/>
  <c r="AL81" i="28"/>
  <c r="AK68" i="28"/>
  <c r="AK67" i="28"/>
  <c r="AK65" i="28"/>
  <c r="AL56" i="28"/>
  <c r="AL29" i="28"/>
  <c r="AK23" i="28"/>
  <c r="AL21" i="28"/>
  <c r="AK15" i="28"/>
  <c r="AL13" i="28"/>
  <c r="AK7" i="28"/>
  <c r="AL17" i="49"/>
  <c r="AL18" i="49" s="1"/>
  <c r="AL11" i="49"/>
  <c r="AK11" i="49"/>
  <c r="AL9" i="49"/>
  <c r="AL8" i="49"/>
  <c r="AK8" i="49"/>
  <c r="AL6" i="49"/>
  <c r="AK6" i="49"/>
  <c r="AK231" i="73"/>
  <c r="AK229" i="73"/>
  <c r="AK218" i="73"/>
  <c r="AK42" i="77" s="1"/>
  <c r="AK209" i="73"/>
  <c r="AK198" i="73"/>
  <c r="AK173" i="73"/>
  <c r="AK160" i="73"/>
  <c r="AK171" i="73" s="1"/>
  <c r="AK129" i="73"/>
  <c r="AK127" i="73"/>
  <c r="AK125" i="73"/>
  <c r="AK121" i="73"/>
  <c r="AK117" i="73"/>
  <c r="AK108" i="73"/>
  <c r="AK12" i="15" s="1"/>
  <c r="AK13" i="15" s="1"/>
  <c r="AK14" i="15" s="1"/>
  <c r="AK101" i="73"/>
  <c r="AK97" i="73"/>
  <c r="AK57" i="73"/>
  <c r="AK51" i="73"/>
  <c r="AK46" i="73"/>
  <c r="AK41" i="73"/>
  <c r="AK30" i="73"/>
  <c r="AK25" i="73"/>
  <c r="AK18" i="73"/>
  <c r="AL58" i="28" s="1"/>
  <c r="AL60" i="28" s="1"/>
  <c r="AK16" i="73"/>
  <c r="AK119" i="90" s="1"/>
  <c r="AK8" i="73"/>
  <c r="AO78" i="59"/>
  <c r="AO77" i="59"/>
  <c r="AO76" i="59"/>
  <c r="AN75" i="59"/>
  <c r="AN74" i="59"/>
  <c r="AO73" i="59"/>
  <c r="AO72" i="59"/>
  <c r="AN72" i="59"/>
  <c r="AO69" i="59"/>
  <c r="AO68" i="59"/>
  <c r="AN68" i="59"/>
  <c r="AO65" i="59"/>
  <c r="AO64" i="59"/>
  <c r="AN64" i="59"/>
  <c r="AN61" i="59"/>
  <c r="AN60" i="59"/>
  <c r="AO59" i="59"/>
  <c r="AO58" i="59"/>
  <c r="AN58" i="59"/>
  <c r="AN57" i="59"/>
  <c r="AN52" i="59"/>
  <c r="AN51" i="59"/>
  <c r="AO50" i="59"/>
  <c r="AN50" i="59"/>
  <c r="AO49" i="59"/>
  <c r="AN49" i="59"/>
  <c r="AN47" i="59"/>
  <c r="AN46" i="59"/>
  <c r="AO45" i="59"/>
  <c r="AN45" i="59"/>
  <c r="AO44" i="59"/>
  <c r="AN44" i="59"/>
  <c r="AN42" i="59"/>
  <c r="AO41" i="59"/>
  <c r="AN41" i="59"/>
  <c r="AO40" i="59"/>
  <c r="AN40" i="59"/>
  <c r="AN38" i="59"/>
  <c r="AN37" i="59"/>
  <c r="AN36" i="59"/>
  <c r="AN33" i="59"/>
  <c r="AN28" i="59"/>
  <c r="AO27" i="59"/>
  <c r="AO26" i="59"/>
  <c r="AO25" i="59"/>
  <c r="AO24" i="59"/>
  <c r="AO23" i="59"/>
  <c r="AO20" i="59"/>
  <c r="AO19" i="59"/>
  <c r="AO18" i="59"/>
  <c r="AO17" i="59"/>
  <c r="AO16" i="59"/>
  <c r="AO12" i="59"/>
  <c r="AN12" i="59"/>
  <c r="AN11" i="59"/>
  <c r="AL24" i="36"/>
  <c r="AO74" i="59" s="1"/>
  <c r="AK72" i="36"/>
  <c r="AK64" i="36" s="1"/>
  <c r="AK71" i="36"/>
  <c r="AK69" i="36"/>
  <c r="AK61" i="36" s="1"/>
  <c r="AK63" i="36" s="1"/>
  <c r="AK67" i="36"/>
  <c r="AK59" i="36" s="1"/>
  <c r="AK66" i="36"/>
  <c r="AK58" i="36" s="1"/>
  <c r="AL64" i="36"/>
  <c r="AL72" i="36" s="1"/>
  <c r="AL62" i="36"/>
  <c r="AL61" i="36"/>
  <c r="AL69" i="36" s="1"/>
  <c r="AL59" i="36"/>
  <c r="AL67" i="36" s="1"/>
  <c r="AL58" i="36"/>
  <c r="AL66" i="36" s="1"/>
  <c r="AL57" i="36"/>
  <c r="AL17" i="36" s="1"/>
  <c r="AO54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1" i="59" s="1"/>
  <c r="AK23" i="36"/>
  <c r="AN71" i="59" s="1"/>
  <c r="AL22" i="36"/>
  <c r="AO67" i="59" s="1"/>
  <c r="AK22" i="36"/>
  <c r="AN67" i="59" s="1"/>
  <c r="AL21" i="36"/>
  <c r="AO63" i="59" s="1"/>
  <c r="AK21" i="36"/>
  <c r="AN63" i="59" s="1"/>
  <c r="AK17" i="36"/>
  <c r="AK90" i="9" s="1"/>
  <c r="AK19" i="9" s="1"/>
  <c r="AK16" i="36"/>
  <c r="AK89" i="9" s="1"/>
  <c r="AK13" i="36"/>
  <c r="AN39" i="59" s="1"/>
  <c r="AL12" i="36"/>
  <c r="AO38" i="59" s="1"/>
  <c r="AL11" i="36"/>
  <c r="AO37" i="59" s="1"/>
  <c r="AL10" i="36"/>
  <c r="AO36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K60" i="36" l="1"/>
  <c r="AK6" i="73"/>
  <c r="AL46" i="28"/>
  <c r="AL35" i="28" s="1"/>
  <c r="AK37" i="77"/>
  <c r="AN48" i="59"/>
  <c r="AK113" i="73"/>
  <c r="AK65" i="8"/>
  <c r="AK34" i="8" s="1"/>
  <c r="AL72" i="28"/>
  <c r="AL508" i="28"/>
  <c r="AK69" i="8"/>
  <c r="AL416" i="28"/>
  <c r="AL514" i="28" s="1"/>
  <c r="AL516" i="28"/>
  <c r="AK21" i="28"/>
  <c r="AK299" i="28" s="1"/>
  <c r="AL299" i="28"/>
  <c r="AL503" i="28" s="1"/>
  <c r="AK29" i="28"/>
  <c r="AK416" i="28" s="1"/>
  <c r="AK67" i="8"/>
  <c r="AL73" i="8"/>
  <c r="AL512" i="28"/>
  <c r="AK9" i="49"/>
  <c r="AN30" i="59"/>
  <c r="AK29" i="6"/>
  <c r="AK81" i="6"/>
  <c r="AK137" i="6"/>
  <c r="AK106" i="6"/>
  <c r="AK144" i="6" s="1"/>
  <c r="AL122" i="6"/>
  <c r="AK26" i="6"/>
  <c r="AL91" i="9"/>
  <c r="AK122" i="6"/>
  <c r="AN54" i="59"/>
  <c r="AO42" i="59"/>
  <c r="AO43" i="59" s="1"/>
  <c r="AL122" i="8"/>
  <c r="AO46" i="59"/>
  <c r="AL137" i="8"/>
  <c r="AO47" i="59"/>
  <c r="AL136" i="8"/>
  <c r="AL40" i="36"/>
  <c r="AL43" i="36" s="1"/>
  <c r="AL31" i="36" s="1"/>
  <c r="AN78" i="59"/>
  <c r="AK68" i="36"/>
  <c r="AK51" i="39"/>
  <c r="AO30" i="59"/>
  <c r="AN6" i="59"/>
  <c r="AN76" i="59"/>
  <c r="AO31" i="59"/>
  <c r="AK91" i="9"/>
  <c r="AK21" i="22"/>
  <c r="AK7" i="22"/>
  <c r="AK28" i="21"/>
  <c r="AN53" i="59"/>
  <c r="AN77" i="59"/>
  <c r="AL236" i="28"/>
  <c r="AL506" i="28" s="1"/>
  <c r="AK26" i="8"/>
  <c r="AK57" i="9"/>
  <c r="AK132" i="73"/>
  <c r="AK89" i="77"/>
  <c r="AL77" i="8"/>
  <c r="AK6" i="26"/>
  <c r="AK84" i="77"/>
  <c r="AL41" i="35"/>
  <c r="AL49" i="35" s="1"/>
  <c r="AL97" i="11"/>
  <c r="AL33" i="35"/>
  <c r="AL37" i="35" s="1"/>
  <c r="AL25" i="36" s="1"/>
  <c r="AO75" i="59" s="1"/>
  <c r="AL203" i="10"/>
  <c r="AL492" i="28"/>
  <c r="AL97" i="28"/>
  <c r="AL137" i="6"/>
  <c r="AL16" i="6"/>
  <c r="AL18" i="6"/>
  <c r="AL8" i="35"/>
  <c r="AL5" i="6"/>
  <c r="AL98" i="6" s="1"/>
  <c r="AL104" i="6" s="1"/>
  <c r="AL106" i="6" s="1"/>
  <c r="AL68" i="36"/>
  <c r="AK5" i="73"/>
  <c r="AL42" i="8"/>
  <c r="AK31" i="28"/>
  <c r="AK37" i="35"/>
  <c r="AK56" i="36"/>
  <c r="AK57" i="36"/>
  <c r="AK60" i="9"/>
  <c r="AK34" i="36"/>
  <c r="AK35" i="36" s="1"/>
  <c r="AK36" i="36" s="1"/>
  <c r="AK38" i="36" s="1"/>
  <c r="AK30" i="36" s="1"/>
  <c r="AN79" i="59" s="1"/>
  <c r="AK13" i="35"/>
  <c r="AK8" i="6"/>
  <c r="AL63" i="36"/>
  <c r="AL18" i="36"/>
  <c r="AO55" i="59" s="1"/>
  <c r="AO53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1" i="59" s="1"/>
  <c r="AL52" i="9"/>
  <c r="AO57" i="59" s="1"/>
  <c r="AL87" i="9"/>
  <c r="AO60" i="59" s="1"/>
  <c r="AL81" i="9"/>
  <c r="AL73" i="9"/>
  <c r="AL78" i="9"/>
  <c r="AL13" i="36"/>
  <c r="AO39" i="59" s="1"/>
  <c r="AK59" i="8"/>
  <c r="AK108" i="8"/>
  <c r="AK110" i="8" s="1"/>
  <c r="AL63" i="8"/>
  <c r="AN43" i="59"/>
  <c r="AK17" i="49"/>
  <c r="AK18" i="49" s="1"/>
  <c r="AN31" i="59"/>
  <c r="AL38" i="7"/>
  <c r="AL53" i="7" s="1"/>
  <c r="AK38" i="7"/>
  <c r="AK53" i="7" s="1"/>
  <c r="AL168" i="6"/>
  <c r="AL169" i="6"/>
  <c r="AO22" i="59" s="1"/>
  <c r="AK143" i="6"/>
  <c r="AK32" i="6"/>
  <c r="AK34" i="6"/>
  <c r="AL15" i="35"/>
  <c r="AL5" i="36"/>
  <c r="AK23" i="6"/>
  <c r="AK33" i="6"/>
  <c r="AK84" i="6"/>
  <c r="AL513" i="28"/>
  <c r="AL74" i="28"/>
  <c r="AL73" i="28"/>
  <c r="AL505" i="28"/>
  <c r="AK13" i="28"/>
  <c r="AL509" i="28"/>
  <c r="AL35" i="36"/>
  <c r="AL36" i="36" s="1"/>
  <c r="AL38" i="36" s="1"/>
  <c r="AL30" i="36" s="1"/>
  <c r="AO79" i="59" s="1"/>
  <c r="AL20" i="21"/>
  <c r="AK15" i="21"/>
  <c r="AK49" i="35"/>
  <c r="AK11" i="35"/>
  <c r="AK10" i="6" s="1"/>
  <c r="AK14" i="35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L67" i="28" l="1"/>
  <c r="AL37" i="28"/>
  <c r="AL442" i="28"/>
  <c r="AL473" i="28" s="1"/>
  <c r="AL48" i="28"/>
  <c r="AL517" i="28" s="1"/>
  <c r="AL69" i="28"/>
  <c r="AL522" i="28" s="1"/>
  <c r="AL515" i="28"/>
  <c r="AK73" i="28"/>
  <c r="AK83" i="28" s="1"/>
  <c r="AK502" i="28" s="1"/>
  <c r="AL502" i="28"/>
  <c r="AL510" i="28"/>
  <c r="AL511" i="28"/>
  <c r="AK74" i="28"/>
  <c r="AK87" i="28" s="1"/>
  <c r="AK514" i="28" s="1"/>
  <c r="AK55" i="35"/>
  <c r="AL139" i="6"/>
  <c r="AL195" i="6" s="1"/>
  <c r="AL98" i="28"/>
  <c r="AK37" i="28"/>
  <c r="AK75" i="28" s="1"/>
  <c r="AL143" i="6"/>
  <c r="AK515" i="28"/>
  <c r="AL71" i="8"/>
  <c r="AL524" i="28"/>
  <c r="AL507" i="28"/>
  <c r="AK37" i="8"/>
  <c r="AK36" i="8"/>
  <c r="AK63" i="8"/>
  <c r="AK10" i="49"/>
  <c r="AK12" i="49" s="1"/>
  <c r="AK14" i="49" s="1"/>
  <c r="AK15" i="49" s="1"/>
  <c r="AK16" i="49" s="1"/>
  <c r="AK19" i="49" s="1"/>
  <c r="AK20" i="49" s="1"/>
  <c r="AL138" i="8"/>
  <c r="AK15" i="35"/>
  <c r="AK171" i="6"/>
  <c r="AK139" i="6"/>
  <c r="AL171" i="6"/>
  <c r="AK169" i="6"/>
  <c r="AL146" i="6"/>
  <c r="AL144" i="6"/>
  <c r="AO15" i="59" s="1"/>
  <c r="AK146" i="6"/>
  <c r="AK168" i="6"/>
  <c r="AK62" i="9"/>
  <c r="AO48" i="59"/>
  <c r="AL123" i="8"/>
  <c r="AL121" i="8"/>
  <c r="AL125" i="8" s="1"/>
  <c r="AL126" i="8" s="1"/>
  <c r="AL19" i="36"/>
  <c r="AO56" i="59" s="1"/>
  <c r="AK8" i="22"/>
  <c r="AK10" i="22" s="1"/>
  <c r="AK11" i="22" s="1"/>
  <c r="AK13" i="22" s="1"/>
  <c r="AK22" i="22"/>
  <c r="AK24" i="22" s="1"/>
  <c r="AK25" i="22" s="1"/>
  <c r="AK27" i="22" s="1"/>
  <c r="AL104" i="7"/>
  <c r="AK95" i="77"/>
  <c r="AL55" i="35"/>
  <c r="AL493" i="28"/>
  <c r="AK63" i="28"/>
  <c r="AL185" i="6"/>
  <c r="AL190" i="6"/>
  <c r="AL7" i="6"/>
  <c r="AL15" i="6"/>
  <c r="AL17" i="6"/>
  <c r="AK104" i="7"/>
  <c r="AK145" i="6"/>
  <c r="AK35" i="6"/>
  <c r="AK109" i="8"/>
  <c r="AK111" i="8" s="1"/>
  <c r="AL77" i="9"/>
  <c r="AL74" i="9"/>
  <c r="AL35" i="8"/>
  <c r="AL70" i="8"/>
  <c r="AL63" i="7"/>
  <c r="AL77" i="7"/>
  <c r="AK63" i="7"/>
  <c r="AK77" i="7"/>
  <c r="AL170" i="6"/>
  <c r="AL8" i="36" s="1"/>
  <c r="AO9" i="59" s="1"/>
  <c r="AL205" i="6"/>
  <c r="AL202" i="6"/>
  <c r="AL208" i="6"/>
  <c r="AL209" i="6"/>
  <c r="AL213" i="6"/>
  <c r="AL203" i="6"/>
  <c r="AL193" i="6"/>
  <c r="AL200" i="6"/>
  <c r="AL204" i="6"/>
  <c r="AL13" i="49"/>
  <c r="AO6" i="59"/>
  <c r="AK236" i="28"/>
  <c r="AK72" i="28"/>
  <c r="AK503" i="28"/>
  <c r="AK511" i="28"/>
  <c r="N64" i="104"/>
  <c r="M64" i="104"/>
  <c r="L64" i="104"/>
  <c r="BF117" i="8" s="1"/>
  <c r="H64" i="104"/>
  <c r="G64" i="104"/>
  <c r="F64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70" i="28" l="1"/>
  <c r="AL75" i="28"/>
  <c r="AL76" i="28" s="1"/>
  <c r="AL525" i="28"/>
  <c r="AL207" i="6"/>
  <c r="AL199" i="6"/>
  <c r="AL210" i="6"/>
  <c r="AK35" i="8"/>
  <c r="AK507" i="28"/>
  <c r="AK91" i="28"/>
  <c r="AL519" i="28"/>
  <c r="AK69" i="28"/>
  <c r="AK509" i="28"/>
  <c r="AK510" i="28"/>
  <c r="AK493" i="28"/>
  <c r="AK513" i="28"/>
  <c r="AL523" i="28"/>
  <c r="AK203" i="6"/>
  <c r="AK204" i="6"/>
  <c r="AK210" i="6"/>
  <c r="AK202" i="6"/>
  <c r="AK208" i="6"/>
  <c r="AK205" i="6"/>
  <c r="AK209" i="6"/>
  <c r="AK200" i="6"/>
  <c r="AK199" i="6"/>
  <c r="AK207" i="6"/>
  <c r="AK213" i="6"/>
  <c r="AK214" i="6" s="1"/>
  <c r="AK170" i="6"/>
  <c r="AL145" i="6"/>
  <c r="AL7" i="36" s="1"/>
  <c r="AO8" i="59" s="1"/>
  <c r="AL131" i="8"/>
  <c r="AL144" i="8" s="1"/>
  <c r="AL129" i="8"/>
  <c r="AL130" i="8"/>
  <c r="AL143" i="8" s="1"/>
  <c r="AL518" i="28"/>
  <c r="AL496" i="28"/>
  <c r="AL497" i="28"/>
  <c r="AK517" i="28"/>
  <c r="AL19" i="6"/>
  <c r="AL164" i="6"/>
  <c r="AL84" i="6"/>
  <c r="AL160" i="6"/>
  <c r="AL79" i="9"/>
  <c r="AL211" i="6"/>
  <c r="AO11" i="59" s="1"/>
  <c r="AL206" i="6"/>
  <c r="AL212" i="6" s="1"/>
  <c r="AL214" i="6"/>
  <c r="AK76" i="28"/>
  <c r="AK79" i="28"/>
  <c r="AK518" i="28" l="1"/>
  <c r="AK211" i="6"/>
  <c r="AL81" i="6"/>
  <c r="AK523" i="28"/>
  <c r="AK497" i="28"/>
  <c r="AK519" i="28"/>
  <c r="AK496" i="28"/>
  <c r="AK522" i="28"/>
  <c r="AK206" i="6"/>
  <c r="AL132" i="8"/>
  <c r="AL145" i="8" s="1"/>
  <c r="AL142" i="8"/>
  <c r="AL40" i="6"/>
  <c r="AL39" i="6"/>
  <c r="AL37" i="6"/>
  <c r="AL38" i="6"/>
  <c r="AL215" i="6"/>
  <c r="AL9" i="36"/>
  <c r="AO10" i="59" s="1"/>
  <c r="AK506" i="28"/>
  <c r="AK95" i="28"/>
  <c r="AK505" i="28"/>
  <c r="AK212" i="6" l="1"/>
  <c r="AK215" i="6" s="1"/>
  <c r="AL41" i="6"/>
  <c r="AJ37" i="36" l="1"/>
  <c r="AI94" i="90" l="1"/>
  <c r="AI129" i="45"/>
  <c r="AI37" i="36" l="1"/>
  <c r="AH47" i="10" l="1"/>
  <c r="AN47" i="10" s="1"/>
  <c r="AH67" i="10"/>
  <c r="AH56" i="10"/>
  <c r="AH24" i="10"/>
  <c r="AH13" i="10"/>
  <c r="AN13" i="10" s="1"/>
  <c r="AD132" i="10"/>
  <c r="AN67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2" i="26" l="1"/>
  <c r="AF110" i="26"/>
  <c r="AF108" i="26"/>
  <c r="AF106" i="26"/>
  <c r="AF104" i="26"/>
  <c r="AF102" i="26"/>
  <c r="AF100" i="26"/>
  <c r="AF98" i="26"/>
  <c r="AF96" i="26"/>
  <c r="AG92" i="26"/>
  <c r="AF89" i="26"/>
  <c r="AF87" i="26"/>
  <c r="AF85" i="26"/>
  <c r="AF83" i="26"/>
  <c r="AG81" i="26"/>
  <c r="AG80" i="26"/>
  <c r="AF78" i="26"/>
  <c r="AF76" i="26"/>
  <c r="AG73" i="26"/>
  <c r="AF71" i="26"/>
  <c r="AF69" i="26"/>
  <c r="AF67" i="26"/>
  <c r="AF65" i="26"/>
  <c r="AF63" i="26"/>
  <c r="AF61" i="26"/>
  <c r="AF59" i="26"/>
  <c r="AF57" i="26"/>
  <c r="AF52" i="26"/>
  <c r="AF50" i="26"/>
  <c r="AG48" i="26"/>
  <c r="AF46" i="26"/>
  <c r="AG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F11" i="26"/>
  <c r="AF9" i="26"/>
  <c r="AF48" i="26" l="1"/>
  <c r="AG54" i="26"/>
  <c r="AG18" i="26"/>
  <c r="AF81" i="26"/>
  <c r="AF112" i="26"/>
  <c r="AF92" i="26"/>
  <c r="AF80" i="26"/>
  <c r="AF73" i="26"/>
  <c r="AF54" i="26"/>
  <c r="AF49" i="26"/>
  <c r="AF55" i="26"/>
  <c r="AG55" i="26"/>
  <c r="AF43" i="26"/>
  <c r="AF12" i="26"/>
  <c r="AG49" i="26"/>
  <c r="AG13" i="26"/>
  <c r="AG19" i="26"/>
  <c r="M80" i="17"/>
  <c r="M81" i="17"/>
  <c r="I80" i="17"/>
  <c r="I81" i="17"/>
  <c r="AG37" i="27"/>
  <c r="AG35" i="27"/>
  <c r="AG27" i="27"/>
  <c r="AG20" i="27"/>
  <c r="AG29" i="27"/>
  <c r="AG28" i="27"/>
  <c r="AG19" i="27"/>
  <c r="AG18" i="27"/>
  <c r="AF19" i="26" l="1"/>
  <c r="AF18" i="26"/>
  <c r="AF13" i="26"/>
  <c r="AF20" i="27"/>
  <c r="AH28" i="22" l="1"/>
  <c r="AH24" i="22"/>
  <c r="AH23" i="22"/>
  <c r="AH14" i="22"/>
  <c r="AH10" i="22"/>
  <c r="AH9" i="22"/>
  <c r="AG100" i="90"/>
  <c r="AG91" i="90"/>
  <c r="AG128" i="90" l="1"/>
  <c r="AH26" i="22"/>
  <c r="AH12" i="22"/>
  <c r="AK80" i="45"/>
  <c r="AQ80" i="45" s="1"/>
  <c r="AU80" i="45" s="1"/>
  <c r="AY80" i="45" s="1"/>
  <c r="BG80" i="45" s="1"/>
  <c r="BI80" i="45" s="1"/>
  <c r="AK81" i="45"/>
  <c r="AQ81" i="45" s="1"/>
  <c r="AU81" i="45" s="1"/>
  <c r="AY81" i="45" s="1"/>
  <c r="BG81" i="45" s="1"/>
  <c r="BI81" i="45" s="1"/>
  <c r="AK118" i="45"/>
  <c r="AQ118" i="45" s="1"/>
  <c r="AU118" i="45" s="1"/>
  <c r="AY118" i="45" s="1"/>
  <c r="BG118" i="45" s="1"/>
  <c r="BI118" i="45" s="1"/>
  <c r="J123" i="10"/>
  <c r="J124" i="10"/>
  <c r="J125" i="10"/>
  <c r="AP92" i="8"/>
  <c r="AT92" i="8"/>
  <c r="AX92" i="8"/>
  <c r="BD92" i="8"/>
  <c r="BF92" i="8"/>
  <c r="AJ92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2" i="50"/>
  <c r="Y33" i="50"/>
  <c r="Y34" i="50"/>
  <c r="Y35" i="50"/>
  <c r="Y36" i="50"/>
  <c r="Y37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G57" i="17"/>
  <c r="AF57" i="17"/>
  <c r="AG56" i="17"/>
  <c r="AF56" i="17"/>
  <c r="AG55" i="17"/>
  <c r="AF55" i="17"/>
  <c r="AG54" i="17"/>
  <c r="AF54" i="17"/>
  <c r="AG53" i="17"/>
  <c r="AF53" i="17"/>
  <c r="AG44" i="17"/>
  <c r="AF44" i="17"/>
  <c r="AG37" i="17"/>
  <c r="AG39" i="17" s="1"/>
  <c r="AF37" i="17"/>
  <c r="AF39" i="17" s="1"/>
  <c r="AF31" i="17"/>
  <c r="AG29" i="17"/>
  <c r="AG32" i="17" s="1"/>
  <c r="AF28" i="17"/>
  <c r="AF25" i="17"/>
  <c r="AG22" i="17"/>
  <c r="AG23" i="17" s="1"/>
  <c r="AF22" i="17"/>
  <c r="AG19" i="17"/>
  <c r="AF18" i="17"/>
  <c r="AG17" i="17"/>
  <c r="AF16" i="17"/>
  <c r="AG14" i="17"/>
  <c r="AG20" i="17" s="1"/>
  <c r="AF14" i="17"/>
  <c r="AG13" i="17"/>
  <c r="AG11" i="17"/>
  <c r="AG9" i="17"/>
  <c r="AF29" i="17" l="1"/>
  <c r="AF85" i="17"/>
  <c r="AG32" i="15"/>
  <c r="AG36" i="15" s="1"/>
  <c r="AG16" i="15" s="1"/>
  <c r="AG85" i="17"/>
  <c r="AG30" i="17"/>
  <c r="AF20" i="17"/>
  <c r="AG21" i="17"/>
  <c r="AG24" i="17"/>
  <c r="AF30" i="17"/>
  <c r="AF32" i="17"/>
  <c r="AG15" i="17"/>
  <c r="AF24" i="17" l="1"/>
  <c r="AG17" i="15"/>
  <c r="AG25" i="17"/>
  <c r="AJ384" i="28"/>
  <c r="AP384" i="28" s="1"/>
  <c r="AT384" i="28" s="1"/>
  <c r="AX384" i="28" s="1"/>
  <c r="BF384" i="28" s="1"/>
  <c r="BH384" i="28" s="1"/>
  <c r="AJ385" i="28"/>
  <c r="AP385" i="28" s="1"/>
  <c r="AT385" i="28" s="1"/>
  <c r="AX385" i="28" s="1"/>
  <c r="BF385" i="28" s="1"/>
  <c r="BH385" i="28" s="1"/>
  <c r="AK60" i="38" l="1"/>
  <c r="AL94" i="38" l="1"/>
  <c r="AL93" i="38"/>
  <c r="AL92" i="38"/>
  <c r="AL91" i="38"/>
  <c r="AK90" i="38"/>
  <c r="AL89" i="38"/>
  <c r="AK88" i="38"/>
  <c r="AL86" i="38"/>
  <c r="AL85" i="38"/>
  <c r="AL84" i="38"/>
  <c r="AL83" i="38"/>
  <c r="AK82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L68" i="38"/>
  <c r="AL67" i="38"/>
  <c r="AK66" i="38"/>
  <c r="AL62" i="38"/>
  <c r="AL61" i="38"/>
  <c r="AL59" i="38"/>
  <c r="AL58" i="38"/>
  <c r="AL57" i="38"/>
  <c r="AL56" i="38"/>
  <c r="AL55" i="38"/>
  <c r="AK54" i="38"/>
  <c r="AK63" i="38" s="1"/>
  <c r="AK52" i="38"/>
  <c r="AL51" i="38"/>
  <c r="AK51" i="38"/>
  <c r="AK46" i="38"/>
  <c r="AK45" i="38"/>
  <c r="AK44" i="38"/>
  <c r="AK43" i="38"/>
  <c r="AL42" i="38"/>
  <c r="AL90" i="38" s="1"/>
  <c r="AK41" i="38"/>
  <c r="AK40" i="38" s="1"/>
  <c r="AL40" i="38"/>
  <c r="AL88" i="38" s="1"/>
  <c r="AK38" i="38"/>
  <c r="AK37" i="38"/>
  <c r="AK36" i="38"/>
  <c r="AK35" i="38"/>
  <c r="AL34" i="38"/>
  <c r="AL82" i="38" s="1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K19" i="38"/>
  <c r="AL18" i="38"/>
  <c r="AK14" i="38"/>
  <c r="AK13" i="38"/>
  <c r="AL12" i="38"/>
  <c r="AK11" i="38"/>
  <c r="AK10" i="38"/>
  <c r="AK9" i="38"/>
  <c r="AK8" i="38"/>
  <c r="AK7" i="38"/>
  <c r="AL6" i="38"/>
  <c r="AL60" i="38" l="1"/>
  <c r="AL66" i="38"/>
  <c r="AK12" i="38"/>
  <c r="AK65" i="38"/>
  <c r="AL17" i="38"/>
  <c r="AL15" i="38"/>
  <c r="AL54" i="38"/>
  <c r="AK42" i="38"/>
  <c r="AK39" i="38" s="1"/>
  <c r="AK87" i="38"/>
  <c r="AK34" i="38"/>
  <c r="AK18" i="38"/>
  <c r="AK6" i="38"/>
  <c r="AL39" i="38"/>
  <c r="AL63" i="38" l="1"/>
  <c r="AL65" i="38"/>
  <c r="AK64" i="38"/>
  <c r="AK96" i="38" s="1"/>
  <c r="AK17" i="38"/>
  <c r="AK16" i="38" s="1"/>
  <c r="AK15" i="38"/>
  <c r="AL87" i="38"/>
  <c r="AL16" i="38"/>
  <c r="AK48" i="38" l="1"/>
  <c r="AL64" i="38"/>
  <c r="AL96" i="38" s="1"/>
  <c r="AL48" i="38"/>
  <c r="AC31" i="45" l="1"/>
  <c r="AG31" i="45" s="1"/>
  <c r="AK31" i="45" s="1"/>
  <c r="AQ31" i="45" s="1"/>
  <c r="AU31" i="45" s="1"/>
  <c r="AY31" i="45" s="1"/>
  <c r="BG31" i="45" s="1"/>
  <c r="BI31" i="45" s="1"/>
  <c r="N106" i="10"/>
  <c r="Z106" i="10"/>
  <c r="AB106" i="10" l="1"/>
  <c r="AF106" i="10" s="1"/>
  <c r="AJ106" i="10" s="1"/>
  <c r="AP106" i="10" s="1"/>
  <c r="AT106" i="10" s="1"/>
  <c r="AX106" i="10" s="1"/>
  <c r="BW31" i="71"/>
  <c r="BU31" i="71"/>
  <c r="BF106" i="10" l="1"/>
  <c r="BI106" i="10" s="1"/>
  <c r="CC31" i="71"/>
  <c r="CS31" i="71" s="1"/>
  <c r="CU31" i="71"/>
  <c r="BY31" i="71"/>
  <c r="CE31" i="71" s="1"/>
  <c r="CI31" i="71" s="1"/>
  <c r="CM31" i="71" s="1"/>
  <c r="AI92" i="90"/>
  <c r="AI93" i="90"/>
  <c r="AI95" i="90"/>
  <c r="AI98" i="90"/>
  <c r="AI99" i="90"/>
  <c r="AF102" i="90"/>
  <c r="AH102" i="90"/>
  <c r="AF106" i="90"/>
  <c r="AG106" i="90"/>
  <c r="AH106" i="90"/>
  <c r="AI106" i="90"/>
  <c r="AG116" i="90"/>
  <c r="AF125" i="90"/>
  <c r="AF130" i="90"/>
  <c r="AH130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50" i="71"/>
  <c r="AG83" i="90" s="1"/>
  <c r="BW51" i="71"/>
  <c r="AG84" i="90" s="1"/>
  <c r="BW52" i="71"/>
  <c r="BW53" i="71"/>
  <c r="BW54" i="71"/>
  <c r="BW55" i="71"/>
  <c r="AG85" i="90" s="1"/>
  <c r="BW56" i="71"/>
  <c r="AI158" i="45"/>
  <c r="AI157" i="45"/>
  <c r="AI155" i="45"/>
  <c r="AI149" i="45"/>
  <c r="AI144" i="45"/>
  <c r="AH144" i="45"/>
  <c r="AI143" i="45"/>
  <c r="AH143" i="45"/>
  <c r="AI142" i="45"/>
  <c r="AH142" i="45"/>
  <c r="AI141" i="45"/>
  <c r="AH141" i="45"/>
  <c r="AI139" i="45"/>
  <c r="AH139" i="45"/>
  <c r="AI137" i="45"/>
  <c r="AH137" i="45"/>
  <c r="AI135" i="45"/>
  <c r="AH135" i="45"/>
  <c r="AI132" i="45"/>
  <c r="AH132" i="45"/>
  <c r="AI130" i="45"/>
  <c r="AI123" i="45"/>
  <c r="AI151" i="45" s="1"/>
  <c r="AI122" i="45"/>
  <c r="AI125" i="45" s="1"/>
  <c r="AI126" i="45" s="1"/>
  <c r="AH122" i="45"/>
  <c r="AI121" i="45"/>
  <c r="AI159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60" i="10"/>
  <c r="AH184" i="10" s="1"/>
  <c r="AG159" i="10"/>
  <c r="AG161" i="10" s="1"/>
  <c r="AH158" i="10"/>
  <c r="AH210" i="10" s="1"/>
  <c r="AH159" i="10"/>
  <c r="AH133" i="45" l="1"/>
  <c r="AH145" i="45"/>
  <c r="AG79" i="11"/>
  <c r="AI150" i="45"/>
  <c r="AI133" i="45"/>
  <c r="AI127" i="45"/>
  <c r="AH92" i="11"/>
  <c r="AH79" i="11"/>
  <c r="AG67" i="11"/>
  <c r="AH93" i="11"/>
  <c r="AH67" i="11"/>
  <c r="AH90" i="11"/>
  <c r="AG55" i="11"/>
  <c r="AG74" i="11"/>
  <c r="AG97" i="11"/>
  <c r="AG178" i="10"/>
  <c r="AG203" i="10"/>
  <c r="AH61" i="11"/>
  <c r="AH121" i="45"/>
  <c r="AH140" i="45"/>
  <c r="AH125" i="45"/>
  <c r="AH84" i="11"/>
  <c r="AH74" i="11"/>
  <c r="AH58" i="11"/>
  <c r="AH60" i="11"/>
  <c r="AG173" i="10"/>
  <c r="AG158" i="10"/>
  <c r="AG210" i="10" s="1"/>
  <c r="AI156" i="45"/>
  <c r="AI160" i="45"/>
  <c r="AI161" i="45" s="1"/>
  <c r="AI124" i="45"/>
  <c r="AI140" i="45"/>
  <c r="AI145" i="45"/>
  <c r="AH124" i="45"/>
  <c r="AH85" i="11"/>
  <c r="AH189" i="10"/>
  <c r="AH173" i="10"/>
  <c r="AH178" i="10"/>
  <c r="AH161" i="10"/>
  <c r="AH191" i="10"/>
  <c r="AH196" i="10"/>
  <c r="AH199" i="10"/>
  <c r="AH192" i="10"/>
  <c r="AH94" i="11" l="1"/>
  <c r="AH200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90" i="90" s="1"/>
  <c r="AH35" i="9"/>
  <c r="AH47" i="9" s="1"/>
  <c r="AH34" i="9"/>
  <c r="AH31" i="9"/>
  <c r="AH25" i="9"/>
  <c r="AG24" i="9"/>
  <c r="AG22" i="9"/>
  <c r="AH19" i="9"/>
  <c r="AH57" i="36" s="1"/>
  <c r="AH17" i="36" s="1"/>
  <c r="AK54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H68" i="8"/>
  <c r="AH66" i="8"/>
  <c r="AH64" i="8"/>
  <c r="AH61" i="8"/>
  <c r="AH58" i="8"/>
  <c r="AH59" i="8" s="1"/>
  <c r="AG52" i="8"/>
  <c r="AH49" i="8"/>
  <c r="AG49" i="8"/>
  <c r="AG46" i="8"/>
  <c r="AG45" i="8"/>
  <c r="AG44" i="8"/>
  <c r="AG43" i="8"/>
  <c r="AJ45" i="59" s="1"/>
  <c r="AG41" i="8"/>
  <c r="AG40" i="8"/>
  <c r="AG39" i="8"/>
  <c r="AH26" i="8"/>
  <c r="AH17" i="8"/>
  <c r="AG17" i="8"/>
  <c r="AG15" i="8"/>
  <c r="AG14" i="8"/>
  <c r="AH13" i="8"/>
  <c r="AG13" i="8"/>
  <c r="AH6" i="8"/>
  <c r="AG6" i="8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5" i="7"/>
  <c r="AG75" i="7"/>
  <c r="AH71" i="7"/>
  <c r="AH73" i="7" s="1"/>
  <c r="AG71" i="7"/>
  <c r="AG73" i="7" s="1"/>
  <c r="AH67" i="7"/>
  <c r="AH81" i="7" s="1"/>
  <c r="AK28" i="59" s="1"/>
  <c r="AG67" i="7"/>
  <c r="AG78" i="7" s="1"/>
  <c r="AH21" i="7"/>
  <c r="AH41" i="7" s="1"/>
  <c r="AH51" i="7" s="1"/>
  <c r="AG21" i="7"/>
  <c r="AG41" i="7" s="1"/>
  <c r="AG51" i="7" s="1"/>
  <c r="AG61" i="39"/>
  <c r="AH43" i="22" s="1"/>
  <c r="AG60" i="39"/>
  <c r="AH42" i="22" s="1"/>
  <c r="AG48" i="39"/>
  <c r="AG47" i="39"/>
  <c r="AG46" i="39"/>
  <c r="AG43" i="39"/>
  <c r="AG42" i="39"/>
  <c r="AG8" i="39"/>
  <c r="AH218" i="6"/>
  <c r="AG218" i="6"/>
  <c r="AH217" i="6"/>
  <c r="AG217" i="6"/>
  <c r="AG195" i="6"/>
  <c r="AH194" i="6"/>
  <c r="AG194" i="6"/>
  <c r="AG193" i="6"/>
  <c r="AH189" i="6"/>
  <c r="AG189" i="6"/>
  <c r="AH188" i="6"/>
  <c r="AG188" i="6"/>
  <c r="AH187" i="6"/>
  <c r="AG187" i="6"/>
  <c r="AG186" i="6"/>
  <c r="AG185" i="6"/>
  <c r="AG182" i="6"/>
  <c r="AG181" i="6"/>
  <c r="AG180" i="6"/>
  <c r="AG179" i="6"/>
  <c r="AG178" i="6"/>
  <c r="AG177" i="6"/>
  <c r="AG175" i="6"/>
  <c r="AG174" i="6"/>
  <c r="AG173" i="6"/>
  <c r="AH163" i="6"/>
  <c r="AG163" i="6"/>
  <c r="AH162" i="6"/>
  <c r="AG162" i="6"/>
  <c r="AG161" i="6"/>
  <c r="AG160" i="6"/>
  <c r="AG157" i="6"/>
  <c r="AG156" i="6"/>
  <c r="AG155" i="6"/>
  <c r="AG154" i="6"/>
  <c r="AG153" i="6"/>
  <c r="AG152" i="6"/>
  <c r="AG150" i="6"/>
  <c r="AG149" i="6"/>
  <c r="AG148" i="6"/>
  <c r="AH138" i="6"/>
  <c r="AH135" i="6"/>
  <c r="AG135" i="6"/>
  <c r="AH134" i="6"/>
  <c r="AG134" i="6"/>
  <c r="AH133" i="6"/>
  <c r="AG133" i="6"/>
  <c r="AH132" i="6"/>
  <c r="AG132" i="6"/>
  <c r="AH130" i="6"/>
  <c r="AG130" i="6"/>
  <c r="AH129" i="6"/>
  <c r="AG129" i="6"/>
  <c r="AH127" i="6"/>
  <c r="AG127" i="6"/>
  <c r="AH126" i="6"/>
  <c r="AG126" i="6"/>
  <c r="AH125" i="6"/>
  <c r="AG125" i="6"/>
  <c r="AH124" i="6"/>
  <c r="AG124" i="6"/>
  <c r="AH119" i="6"/>
  <c r="AG119" i="6"/>
  <c r="AH114" i="6"/>
  <c r="AG114" i="6"/>
  <c r="AH103" i="6"/>
  <c r="AG103" i="6"/>
  <c r="AG98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93" i="77"/>
  <c r="AI88" i="77"/>
  <c r="AI87" i="77"/>
  <c r="AI77" i="77"/>
  <c r="AI76" i="77"/>
  <c r="AI75" i="77"/>
  <c r="AI74" i="77"/>
  <c r="AI73" i="77"/>
  <c r="AI72" i="77"/>
  <c r="AI70" i="77"/>
  <c r="AI69" i="77"/>
  <c r="AI68" i="77"/>
  <c r="AI67" i="77"/>
  <c r="AI66" i="77"/>
  <c r="AI65" i="77"/>
  <c r="AI64" i="77"/>
  <c r="AI63" i="77"/>
  <c r="AI62" i="77"/>
  <c r="AI61" i="77"/>
  <c r="AI60" i="77"/>
  <c r="AI58" i="77"/>
  <c r="AI57" i="77"/>
  <c r="AI56" i="77"/>
  <c r="AI55" i="77"/>
  <c r="AI54" i="77"/>
  <c r="AI52" i="77"/>
  <c r="AI51" i="77"/>
  <c r="AI50" i="77"/>
  <c r="AI49" i="77"/>
  <c r="AI48" i="77"/>
  <c r="AI47" i="77"/>
  <c r="AI46" i="77"/>
  <c r="AI45" i="77"/>
  <c r="AI44" i="77"/>
  <c r="AI43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91" i="77"/>
  <c r="AG90" i="77"/>
  <c r="AG71" i="77"/>
  <c r="AG53" i="77"/>
  <c r="AG36" i="77"/>
  <c r="AG32" i="77"/>
  <c r="AG26" i="77"/>
  <c r="AG21" i="77"/>
  <c r="AG13" i="77"/>
  <c r="AG7" i="77"/>
  <c r="AG524" i="28"/>
  <c r="AH481" i="28"/>
  <c r="AH475" i="28"/>
  <c r="AH443" i="28"/>
  <c r="AH431" i="28"/>
  <c r="AG431" i="28"/>
  <c r="AH415" i="28"/>
  <c r="AH304" i="28"/>
  <c r="AG304" i="28"/>
  <c r="AH298" i="28"/>
  <c r="AG298" i="28"/>
  <c r="AH297" i="28"/>
  <c r="AG297" i="28"/>
  <c r="AH256" i="28"/>
  <c r="AG256" i="28"/>
  <c r="AH235" i="28"/>
  <c r="AH233" i="28"/>
  <c r="AH96" i="28"/>
  <c r="AH95" i="28"/>
  <c r="AH93" i="28"/>
  <c r="AH89" i="28"/>
  <c r="AH85" i="28"/>
  <c r="AH81" i="28"/>
  <c r="AG68" i="28"/>
  <c r="AG67" i="28"/>
  <c r="AG65" i="28"/>
  <c r="AH56" i="28"/>
  <c r="AH29" i="28"/>
  <c r="AG23" i="28"/>
  <c r="AH21" i="28"/>
  <c r="AG15" i="28"/>
  <c r="AH13" i="28"/>
  <c r="AG7" i="28"/>
  <c r="AH17" i="49"/>
  <c r="AH18" i="49" s="1"/>
  <c r="AH11" i="49"/>
  <c r="AG11" i="49"/>
  <c r="AH9" i="49"/>
  <c r="AH8" i="49"/>
  <c r="AI37" i="73"/>
  <c r="AO37" i="73" s="1"/>
  <c r="AG8" i="73"/>
  <c r="AG231" i="73"/>
  <c r="AG229" i="73"/>
  <c r="AG218" i="73"/>
  <c r="AG42" i="77" s="1"/>
  <c r="AG209" i="73"/>
  <c r="AG198" i="73"/>
  <c r="AG173" i="73"/>
  <c r="AG160" i="73"/>
  <c r="AG171" i="73" s="1"/>
  <c r="AG129" i="73"/>
  <c r="AG127" i="73"/>
  <c r="AG125" i="73"/>
  <c r="AG121" i="73"/>
  <c r="AG117" i="73"/>
  <c r="AG108" i="73"/>
  <c r="AG101" i="73"/>
  <c r="AG97" i="73"/>
  <c r="AG57" i="73"/>
  <c r="AG51" i="73"/>
  <c r="AG46" i="73"/>
  <c r="AG41" i="73"/>
  <c r="AG30" i="73"/>
  <c r="AG25" i="73"/>
  <c r="AG18" i="73"/>
  <c r="AH58" i="28" s="1"/>
  <c r="AH60" i="28" s="1"/>
  <c r="AG16" i="73"/>
  <c r="AG119" i="90" s="1"/>
  <c r="AK78" i="59"/>
  <c r="AK77" i="59"/>
  <c r="AK76" i="59"/>
  <c r="AJ75" i="59"/>
  <c r="AJ74" i="59"/>
  <c r="AK73" i="59"/>
  <c r="AK72" i="59"/>
  <c r="AJ72" i="59"/>
  <c r="AK69" i="59"/>
  <c r="AK68" i="59"/>
  <c r="AJ68" i="59"/>
  <c r="AK65" i="59"/>
  <c r="AK64" i="59"/>
  <c r="AJ64" i="59"/>
  <c r="AJ61" i="59"/>
  <c r="AJ60" i="59"/>
  <c r="AK58" i="59"/>
  <c r="AJ58" i="59"/>
  <c r="AJ57" i="59"/>
  <c r="AJ52" i="59"/>
  <c r="AJ51" i="59"/>
  <c r="AK50" i="59"/>
  <c r="AJ50" i="59"/>
  <c r="AK49" i="59"/>
  <c r="AJ49" i="59"/>
  <c r="AJ47" i="59"/>
  <c r="AJ46" i="59"/>
  <c r="AK44" i="59"/>
  <c r="AJ44" i="59"/>
  <c r="AJ42" i="59"/>
  <c r="AJ41" i="59"/>
  <c r="AK40" i="59"/>
  <c r="AJ40" i="59"/>
  <c r="AJ38" i="59"/>
  <c r="AJ37" i="59"/>
  <c r="AJ36" i="59"/>
  <c r="AK27" i="59"/>
  <c r="AK26" i="59"/>
  <c r="AK25" i="59"/>
  <c r="AK24" i="59"/>
  <c r="AK23" i="59"/>
  <c r="AK20" i="59"/>
  <c r="AK19" i="59"/>
  <c r="AK18" i="59"/>
  <c r="AK17" i="59"/>
  <c r="AK16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4" i="59" s="1"/>
  <c r="AH23" i="36"/>
  <c r="AK71" i="59" s="1"/>
  <c r="AG23" i="36"/>
  <c r="AJ71" i="59" s="1"/>
  <c r="AH22" i="36"/>
  <c r="AK67" i="59" s="1"/>
  <c r="AG22" i="36"/>
  <c r="AJ67" i="59" s="1"/>
  <c r="AH21" i="36"/>
  <c r="AK63" i="59" s="1"/>
  <c r="AG21" i="36"/>
  <c r="AJ63" i="59" s="1"/>
  <c r="AG17" i="36"/>
  <c r="AJ54" i="59" s="1"/>
  <c r="AG16" i="36"/>
  <c r="AJ53" i="59" s="1"/>
  <c r="AG13" i="36"/>
  <c r="AJ39" i="59" s="1"/>
  <c r="AH12" i="36"/>
  <c r="AK38" i="59" s="1"/>
  <c r="AH11" i="36"/>
  <c r="AK37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G6" i="73" l="1"/>
  <c r="AH46" i="28"/>
  <c r="AH35" i="28" s="1"/>
  <c r="AG37" i="77"/>
  <c r="AG113" i="73"/>
  <c r="AH72" i="28"/>
  <c r="AH67" i="8"/>
  <c r="AH37" i="8" s="1"/>
  <c r="AH508" i="28"/>
  <c r="AH65" i="8"/>
  <c r="AG21" i="28"/>
  <c r="AG73" i="28" s="1"/>
  <c r="AH69" i="8"/>
  <c r="AH74" i="8" s="1"/>
  <c r="AG6" i="49"/>
  <c r="AG29" i="28"/>
  <c r="AG74" i="28" s="1"/>
  <c r="AH512" i="28"/>
  <c r="AH16" i="8"/>
  <c r="AH416" i="28"/>
  <c r="AH514" i="28" s="1"/>
  <c r="AH236" i="28"/>
  <c r="AH516" i="28"/>
  <c r="AG22" i="39"/>
  <c r="AH85" i="8"/>
  <c r="AG28" i="21"/>
  <c r="AH299" i="28"/>
  <c r="AH511" i="28" s="1"/>
  <c r="AI68" i="36"/>
  <c r="AG24" i="6"/>
  <c r="AG25" i="6"/>
  <c r="AH492" i="28"/>
  <c r="AI86" i="77"/>
  <c r="AH509" i="28"/>
  <c r="AG5" i="73"/>
  <c r="AG89" i="77"/>
  <c r="AH35" i="36"/>
  <c r="AH36" i="36" s="1"/>
  <c r="AH38" i="36" s="1"/>
  <c r="AH30" i="36" s="1"/>
  <c r="AK79" i="59" s="1"/>
  <c r="AH41" i="36"/>
  <c r="AH43" i="36" s="1"/>
  <c r="AH31" i="36" s="1"/>
  <c r="AH35" i="6"/>
  <c r="AG132" i="73"/>
  <c r="AG68" i="36"/>
  <c r="AJ76" i="59"/>
  <c r="AJ6" i="59"/>
  <c r="AG89" i="9"/>
  <c r="AJ77" i="59"/>
  <c r="AG90" i="9"/>
  <c r="AG19" i="9" s="1"/>
  <c r="AJ78" i="59"/>
  <c r="AG16" i="8"/>
  <c r="AG12" i="15"/>
  <c r="AG13" i="15" s="1"/>
  <c r="AG14" i="15" s="1"/>
  <c r="AG66" i="9"/>
  <c r="AF130" i="26"/>
  <c r="AG33" i="22"/>
  <c r="AG130" i="26"/>
  <c r="AH33" i="22"/>
  <c r="AH48" i="9"/>
  <c r="AH49" i="9" s="1"/>
  <c r="AH76" i="9" s="1"/>
  <c r="AG121" i="90"/>
  <c r="AG57" i="36"/>
  <c r="AG84" i="77"/>
  <c r="AH97" i="28"/>
  <c r="AH73" i="28"/>
  <c r="AH507" i="28"/>
  <c r="AH20" i="21"/>
  <c r="AH33" i="35"/>
  <c r="AH37" i="35" s="1"/>
  <c r="AH25" i="36" s="1"/>
  <c r="AK75" i="59" s="1"/>
  <c r="AH41" i="35"/>
  <c r="AH97" i="11"/>
  <c r="AH71" i="36"/>
  <c r="AH37" i="9"/>
  <c r="AH19" i="35" s="1"/>
  <c r="AH90" i="9"/>
  <c r="AH18" i="36"/>
  <c r="AK55" i="59" s="1"/>
  <c r="AH68" i="36"/>
  <c r="AH100" i="9"/>
  <c r="AJ48" i="59"/>
  <c r="AH13" i="36"/>
  <c r="AK39" i="59" s="1"/>
  <c r="AG23" i="39"/>
  <c r="AG49" i="39"/>
  <c r="AH120" i="6"/>
  <c r="AH136" i="6"/>
  <c r="AG34" i="39"/>
  <c r="AH16" i="6"/>
  <c r="AH18" i="6"/>
  <c r="AH8" i="35"/>
  <c r="AH5" i="6"/>
  <c r="AJ33" i="59"/>
  <c r="AG120" i="6"/>
  <c r="AG136" i="6"/>
  <c r="AG104" i="6"/>
  <c r="AG184" i="6"/>
  <c r="AG27" i="6"/>
  <c r="AG42" i="8"/>
  <c r="AG31" i="28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3" i="59"/>
  <c r="AK59" i="59"/>
  <c r="AG61" i="9"/>
  <c r="AH96" i="9"/>
  <c r="AH89" i="9"/>
  <c r="AH94" i="9"/>
  <c r="AG19" i="15" s="1"/>
  <c r="AH109" i="8"/>
  <c r="AH111" i="8" s="1"/>
  <c r="AH53" i="8" s="1"/>
  <c r="AK36" i="59"/>
  <c r="AH72" i="8"/>
  <c r="AH34" i="8"/>
  <c r="AH63" i="8"/>
  <c r="AH6" i="49"/>
  <c r="AG27" i="8"/>
  <c r="AH41" i="8"/>
  <c r="AH44" i="8"/>
  <c r="AH47" i="8"/>
  <c r="AH62" i="8"/>
  <c r="AG23" i="8"/>
  <c r="AG28" i="8"/>
  <c r="AG91" i="8"/>
  <c r="AG24" i="8"/>
  <c r="AG29" i="8"/>
  <c r="AH39" i="8"/>
  <c r="AH45" i="8"/>
  <c r="AH91" i="8"/>
  <c r="AG25" i="8"/>
  <c r="AG30" i="8"/>
  <c r="AG50" i="8"/>
  <c r="AG51" i="8" s="1"/>
  <c r="AH81" i="8"/>
  <c r="AK51" i="59" s="1"/>
  <c r="AG31" i="8"/>
  <c r="AH40" i="8"/>
  <c r="AH43" i="8"/>
  <c r="AH46" i="8"/>
  <c r="AH50" i="8"/>
  <c r="AH51" i="8" s="1"/>
  <c r="AG84" i="8"/>
  <c r="AJ43" i="59"/>
  <c r="AG45" i="39"/>
  <c r="AK34" i="59"/>
  <c r="AH69" i="7"/>
  <c r="AH78" i="7"/>
  <c r="AG76" i="7"/>
  <c r="AG83" i="7"/>
  <c r="AJ35" i="59" s="1"/>
  <c r="AG50" i="39"/>
  <c r="AK33" i="59"/>
  <c r="AH76" i="7"/>
  <c r="AH83" i="7"/>
  <c r="AK35" i="59" s="1"/>
  <c r="AG81" i="7"/>
  <c r="AJ28" i="59" s="1"/>
  <c r="AJ34" i="59"/>
  <c r="AG68" i="7"/>
  <c r="AH131" i="6"/>
  <c r="AH57" i="6"/>
  <c r="AG159" i="6"/>
  <c r="AG164" i="6"/>
  <c r="AH13" i="49"/>
  <c r="AK6" i="59"/>
  <c r="AH15" i="35"/>
  <c r="AG21" i="6"/>
  <c r="AG30" i="6"/>
  <c r="AG131" i="6"/>
  <c r="AG22" i="6"/>
  <c r="AG31" i="6"/>
  <c r="AG190" i="6"/>
  <c r="AG28" i="6"/>
  <c r="AG19" i="6"/>
  <c r="AH513" i="28"/>
  <c r="AH524" i="28"/>
  <c r="AH515" i="28"/>
  <c r="AH74" i="28"/>
  <c r="AH505" i="28"/>
  <c r="AG13" i="28"/>
  <c r="AH506" i="28"/>
  <c r="AG60" i="36"/>
  <c r="AH63" i="36"/>
  <c r="AH60" i="36"/>
  <c r="AG22" i="21"/>
  <c r="AG37" i="35"/>
  <c r="AG49" i="35"/>
  <c r="AG15" i="35"/>
  <c r="AG11" i="35"/>
  <c r="AG10" i="6" s="1"/>
  <c r="F71" i="77"/>
  <c r="G71" i="77"/>
  <c r="J71" i="77"/>
  <c r="K71" i="77"/>
  <c r="N71" i="77"/>
  <c r="O71" i="77"/>
  <c r="R71" i="77"/>
  <c r="S71" i="77"/>
  <c r="V71" i="77"/>
  <c r="W71" i="77"/>
  <c r="AB71" i="77"/>
  <c r="AC71" i="77"/>
  <c r="AF71" i="77"/>
  <c r="AJ71" i="77"/>
  <c r="F53" i="77"/>
  <c r="G53" i="77"/>
  <c r="J53" i="77"/>
  <c r="K53" i="77"/>
  <c r="N53" i="77"/>
  <c r="O53" i="77"/>
  <c r="R53" i="77"/>
  <c r="S53" i="77"/>
  <c r="V53" i="77"/>
  <c r="W53" i="77"/>
  <c r="AB53" i="77"/>
  <c r="AC53" i="77"/>
  <c r="AF53" i="77"/>
  <c r="AJ53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F95" i="77"/>
  <c r="L95" i="77"/>
  <c r="AD95" i="77"/>
  <c r="J95" i="77"/>
  <c r="N95" i="77"/>
  <c r="F84" i="77"/>
  <c r="J84" i="77"/>
  <c r="L84" i="77"/>
  <c r="N84" i="77"/>
  <c r="R84" i="77"/>
  <c r="V84" i="77"/>
  <c r="X84" i="77"/>
  <c r="Z84" i="77"/>
  <c r="AB84" i="77"/>
  <c r="AD84" i="77"/>
  <c r="BA93" i="77"/>
  <c r="BA88" i="77"/>
  <c r="BA87" i="77"/>
  <c r="BA82" i="77"/>
  <c r="AW93" i="77"/>
  <c r="AW88" i="77"/>
  <c r="AW87" i="77"/>
  <c r="AS93" i="77"/>
  <c r="AS88" i="77"/>
  <c r="AS87" i="77"/>
  <c r="AM93" i="77"/>
  <c r="AM88" i="77"/>
  <c r="AM87" i="77"/>
  <c r="AE93" i="77"/>
  <c r="AE88" i="77"/>
  <c r="AE87" i="77"/>
  <c r="AA93" i="77"/>
  <c r="AA88" i="77"/>
  <c r="AA87" i="77"/>
  <c r="Y93" i="77"/>
  <c r="Y88" i="77"/>
  <c r="Y87" i="77"/>
  <c r="U93" i="77"/>
  <c r="U88" i="77"/>
  <c r="U87" i="77"/>
  <c r="U82" i="77"/>
  <c r="Q93" i="77"/>
  <c r="Q88" i="77"/>
  <c r="Q87" i="77"/>
  <c r="Q82" i="77"/>
  <c r="M93" i="77"/>
  <c r="M88" i="77"/>
  <c r="M87" i="77"/>
  <c r="M82" i="77"/>
  <c r="I93" i="77"/>
  <c r="I88" i="77"/>
  <c r="I87" i="77"/>
  <c r="I82" i="77"/>
  <c r="AH7" i="6" l="1"/>
  <c r="AH98" i="6"/>
  <c r="AH104" i="6" s="1"/>
  <c r="AH106" i="6" s="1"/>
  <c r="AG299" i="28"/>
  <c r="AG416" i="28"/>
  <c r="AG515" i="28" s="1"/>
  <c r="AH67" i="28"/>
  <c r="AH69" i="28" s="1"/>
  <c r="AH37" i="28"/>
  <c r="AH442" i="28"/>
  <c r="AH473" i="28" s="1"/>
  <c r="AH525" i="28" s="1"/>
  <c r="AH48" i="28"/>
  <c r="AH75" i="28" s="1"/>
  <c r="AH76" i="28" s="1"/>
  <c r="AH502" i="28"/>
  <c r="AE86" i="77"/>
  <c r="AH36" i="8"/>
  <c r="AG511" i="28"/>
  <c r="AG83" i="28"/>
  <c r="AG509" i="28" s="1"/>
  <c r="AH510" i="28"/>
  <c r="AG17" i="49"/>
  <c r="AG18" i="49" s="1"/>
  <c r="AG26" i="6"/>
  <c r="AH35" i="8"/>
  <c r="AG37" i="28"/>
  <c r="AH98" i="28"/>
  <c r="AG87" i="28"/>
  <c r="AG513" i="28" s="1"/>
  <c r="AH73" i="8"/>
  <c r="AG9" i="49"/>
  <c r="AH493" i="28"/>
  <c r="AH496" i="28" s="1"/>
  <c r="I86" i="77"/>
  <c r="U86" i="77"/>
  <c r="AG24" i="39"/>
  <c r="Y86" i="77"/>
  <c r="AS86" i="77"/>
  <c r="AH91" i="9"/>
  <c r="AH137" i="6"/>
  <c r="AG106" i="6"/>
  <c r="AH122" i="6"/>
  <c r="AG122" i="6"/>
  <c r="AG169" i="6" s="1"/>
  <c r="AG81" i="6"/>
  <c r="M86" i="77"/>
  <c r="AG29" i="6"/>
  <c r="AH503" i="28"/>
  <c r="AH190" i="6"/>
  <c r="AK46" i="59"/>
  <c r="AH137" i="8"/>
  <c r="AK45" i="59"/>
  <c r="AH135" i="8"/>
  <c r="AK42" i="59"/>
  <c r="AH122" i="8"/>
  <c r="AK47" i="59"/>
  <c r="AH136" i="8"/>
  <c r="Q86" i="77"/>
  <c r="AM86" i="77"/>
  <c r="AH19" i="36"/>
  <c r="AK56" i="59" s="1"/>
  <c r="AA86" i="77"/>
  <c r="BC88" i="77"/>
  <c r="BE88" i="77" s="1"/>
  <c r="BA86" i="77"/>
  <c r="AW86" i="77"/>
  <c r="AG95" i="77"/>
  <c r="BC93" i="77"/>
  <c r="BE93" i="77" s="1"/>
  <c r="AG63" i="28"/>
  <c r="R95" i="77"/>
  <c r="AH185" i="6"/>
  <c r="AK30" i="59"/>
  <c r="AG91" i="9"/>
  <c r="AH77" i="8"/>
  <c r="AG6" i="26"/>
  <c r="AG125" i="90"/>
  <c r="V95" i="77"/>
  <c r="AG60" i="9"/>
  <c r="AG21" i="22"/>
  <c r="AG7" i="22"/>
  <c r="AB95" i="77"/>
  <c r="AG55" i="35"/>
  <c r="AH42" i="8"/>
  <c r="AG51" i="39"/>
  <c r="AH17" i="6"/>
  <c r="AH15" i="6"/>
  <c r="AG57" i="9"/>
  <c r="AJ31" i="59"/>
  <c r="AJ30" i="59"/>
  <c r="AG137" i="6"/>
  <c r="AG35" i="36"/>
  <c r="AH87" i="9"/>
  <c r="AK60" i="59" s="1"/>
  <c r="AH81" i="9"/>
  <c r="AH78" i="9"/>
  <c r="AH84" i="9"/>
  <c r="AH85" i="9"/>
  <c r="AH75" i="9"/>
  <c r="AH77" i="9" s="1"/>
  <c r="AH52" i="9"/>
  <c r="AK57" i="59" s="1"/>
  <c r="AH82" i="9"/>
  <c r="AK61" i="59" s="1"/>
  <c r="AH72" i="9"/>
  <c r="AH80" i="9"/>
  <c r="AH53" i="9"/>
  <c r="AH86" i="9"/>
  <c r="AH73" i="9"/>
  <c r="AH83" i="9"/>
  <c r="AH52" i="8"/>
  <c r="AG67" i="8"/>
  <c r="AH71" i="8"/>
  <c r="AG65" i="8"/>
  <c r="AG26" i="8"/>
  <c r="AG8" i="49"/>
  <c r="AG108" i="8"/>
  <c r="AG110" i="8" s="1"/>
  <c r="AG59" i="8"/>
  <c r="AH70" i="8"/>
  <c r="AG69" i="8"/>
  <c r="AK31" i="59"/>
  <c r="AH38" i="7"/>
  <c r="AH53" i="7" s="1"/>
  <c r="AJ29" i="59"/>
  <c r="AG38" i="7"/>
  <c r="AG53" i="7" s="1"/>
  <c r="AG84" i="6"/>
  <c r="AG32" i="6"/>
  <c r="AG34" i="6"/>
  <c r="AG23" i="6"/>
  <c r="AG33" i="6"/>
  <c r="AG72" i="28"/>
  <c r="AG236" i="28"/>
  <c r="AG503" i="28"/>
  <c r="X95" i="77"/>
  <c r="Z95" i="77"/>
  <c r="BC87" i="77"/>
  <c r="AG502" i="28" l="1"/>
  <c r="AH497" i="28"/>
  <c r="AG510" i="28"/>
  <c r="AH70" i="28"/>
  <c r="AH517" i="28"/>
  <c r="AH518" i="28"/>
  <c r="AG514" i="28"/>
  <c r="AG168" i="6"/>
  <c r="AG170" i="6" s="1"/>
  <c r="BC86" i="77"/>
  <c r="AG10" i="49"/>
  <c r="AG12" i="49" s="1"/>
  <c r="AG14" i="49" s="1"/>
  <c r="AG15" i="49" s="1"/>
  <c r="AG16" i="49" s="1"/>
  <c r="AG19" i="49" s="1"/>
  <c r="AG20" i="49" s="1"/>
  <c r="AH146" i="6"/>
  <c r="AG507" i="28"/>
  <c r="AH523" i="28"/>
  <c r="AG493" i="28"/>
  <c r="AG519" i="28" s="1"/>
  <c r="AG69" i="28"/>
  <c r="AG63" i="8"/>
  <c r="AH519" i="28"/>
  <c r="AH522" i="28"/>
  <c r="AG75" i="28"/>
  <c r="AG76" i="28" s="1"/>
  <c r="AG36" i="8"/>
  <c r="AG37" i="8"/>
  <c r="AK48" i="59"/>
  <c r="AH144" i="6"/>
  <c r="AK15" i="59" s="1"/>
  <c r="AH143" i="6"/>
  <c r="AH169" i="6"/>
  <c r="AK22" i="59" s="1"/>
  <c r="AG139" i="6"/>
  <c r="AG200" i="6" s="1"/>
  <c r="AH171" i="6"/>
  <c r="AH168" i="6"/>
  <c r="AG146" i="6"/>
  <c r="AG143" i="6"/>
  <c r="AG144" i="6"/>
  <c r="AG171" i="6"/>
  <c r="AH139" i="6"/>
  <c r="AH138" i="8"/>
  <c r="AK41" i="59"/>
  <c r="AK43" i="59" s="1"/>
  <c r="AH120" i="8"/>
  <c r="AG22" i="22"/>
  <c r="AG8" i="22"/>
  <c r="AG62" i="9"/>
  <c r="AH164" i="6"/>
  <c r="AH19" i="6"/>
  <c r="AH160" i="6"/>
  <c r="AG104" i="7"/>
  <c r="AG36" i="36"/>
  <c r="AG34" i="8"/>
  <c r="AG109" i="8"/>
  <c r="AG111" i="8" s="1"/>
  <c r="AH74" i="9"/>
  <c r="AH79" i="9" s="1"/>
  <c r="AG77" i="7"/>
  <c r="AG63" i="7"/>
  <c r="AH104" i="7"/>
  <c r="AK29" i="59"/>
  <c r="AH77" i="7"/>
  <c r="AH63" i="7"/>
  <c r="AG35" i="6"/>
  <c r="AG79" i="28"/>
  <c r="BE87" i="77"/>
  <c r="BE86" i="77" s="1"/>
  <c r="AH170" i="6" l="1"/>
  <c r="AH8" i="36" s="1"/>
  <c r="AK9" i="59" s="1"/>
  <c r="AH145" i="6"/>
  <c r="AH7" i="36" s="1"/>
  <c r="AK8" i="59" s="1"/>
  <c r="AG522" i="28"/>
  <c r="AG91" i="28"/>
  <c r="AG35" i="8"/>
  <c r="AG213" i="6"/>
  <c r="AG214" i="6" s="1"/>
  <c r="AG523" i="28"/>
  <c r="AG496" i="28"/>
  <c r="AG202" i="6"/>
  <c r="AG205" i="6"/>
  <c r="AG209" i="6"/>
  <c r="AG199" i="6"/>
  <c r="AG203" i="6"/>
  <c r="AG210" i="6"/>
  <c r="AG208" i="6"/>
  <c r="AG145" i="6"/>
  <c r="AH195" i="6"/>
  <c r="AH202" i="6"/>
  <c r="AH203" i="6"/>
  <c r="AH200" i="6"/>
  <c r="AH210" i="6"/>
  <c r="AH207" i="6"/>
  <c r="AH204" i="6"/>
  <c r="AH213" i="6"/>
  <c r="AH199" i="6"/>
  <c r="AH208" i="6"/>
  <c r="AH205" i="6"/>
  <c r="AH209" i="6"/>
  <c r="AH193" i="6"/>
  <c r="AG207" i="6"/>
  <c r="AG204" i="6"/>
  <c r="AH121" i="8"/>
  <c r="AH125" i="8" s="1"/>
  <c r="AH126" i="8" s="1"/>
  <c r="AH123" i="8"/>
  <c r="AG10" i="22"/>
  <c r="AG24" i="22"/>
  <c r="AH38" i="6"/>
  <c r="AH40" i="6"/>
  <c r="AH39" i="6"/>
  <c r="AH81" i="6"/>
  <c r="AH84" i="6"/>
  <c r="AH37" i="6"/>
  <c r="AG38" i="36"/>
  <c r="AG30" i="36" s="1"/>
  <c r="AJ79" i="59" s="1"/>
  <c r="AG506" i="28"/>
  <c r="AG505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43" i="77"/>
  <c r="BA44" i="77"/>
  <c r="BA45" i="77"/>
  <c r="BA46" i="77"/>
  <c r="BA47" i="77"/>
  <c r="BA48" i="77"/>
  <c r="BA49" i="77"/>
  <c r="BA50" i="77"/>
  <c r="BA51" i="77"/>
  <c r="BA52" i="77"/>
  <c r="BA54" i="77"/>
  <c r="BA55" i="77"/>
  <c r="BA56" i="77"/>
  <c r="BA57" i="77"/>
  <c r="BA58" i="77"/>
  <c r="BA60" i="77"/>
  <c r="BA61" i="77"/>
  <c r="BA62" i="77"/>
  <c r="BA63" i="77"/>
  <c r="BA64" i="77"/>
  <c r="BA65" i="77"/>
  <c r="BA66" i="77"/>
  <c r="BA67" i="77"/>
  <c r="BA68" i="77"/>
  <c r="BA69" i="77"/>
  <c r="BA70" i="77"/>
  <c r="BA72" i="77"/>
  <c r="BA73" i="77"/>
  <c r="BA74" i="77"/>
  <c r="BA75" i="77"/>
  <c r="BA76" i="77"/>
  <c r="BA77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43" i="77"/>
  <c r="AW44" i="77"/>
  <c r="AW45" i="77"/>
  <c r="AW46" i="77"/>
  <c r="AW47" i="77"/>
  <c r="AW48" i="77"/>
  <c r="AW49" i="77"/>
  <c r="AW50" i="77"/>
  <c r="AW51" i="77"/>
  <c r="AW52" i="77"/>
  <c r="AW54" i="77"/>
  <c r="AW55" i="77"/>
  <c r="AW56" i="77"/>
  <c r="AW57" i="77"/>
  <c r="AW58" i="77"/>
  <c r="AW60" i="77"/>
  <c r="AW61" i="77"/>
  <c r="AW62" i="77"/>
  <c r="AW63" i="77"/>
  <c r="AW64" i="77"/>
  <c r="AW65" i="77"/>
  <c r="AW66" i="77"/>
  <c r="AW67" i="77"/>
  <c r="AW68" i="77"/>
  <c r="AW69" i="77"/>
  <c r="AW70" i="77"/>
  <c r="AW72" i="77"/>
  <c r="AW73" i="77"/>
  <c r="AW74" i="77"/>
  <c r="AW75" i="77"/>
  <c r="AW76" i="77"/>
  <c r="AW77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43" i="77"/>
  <c r="AS44" i="77"/>
  <c r="AS45" i="77"/>
  <c r="AS46" i="77"/>
  <c r="AS47" i="77"/>
  <c r="AS48" i="77"/>
  <c r="AS49" i="77"/>
  <c r="AS50" i="77"/>
  <c r="AS51" i="77"/>
  <c r="AS52" i="77"/>
  <c r="AS54" i="77"/>
  <c r="AS55" i="77"/>
  <c r="AS56" i="77"/>
  <c r="AS57" i="77"/>
  <c r="AS58" i="77"/>
  <c r="AS60" i="77"/>
  <c r="AS61" i="77"/>
  <c r="AS62" i="77"/>
  <c r="AS63" i="77"/>
  <c r="AS64" i="77"/>
  <c r="AS65" i="77"/>
  <c r="AS66" i="77"/>
  <c r="AS67" i="77"/>
  <c r="AS68" i="77"/>
  <c r="AS69" i="77"/>
  <c r="AS70" i="77"/>
  <c r="AS72" i="77"/>
  <c r="AS73" i="77"/>
  <c r="AS74" i="77"/>
  <c r="AS75" i="77"/>
  <c r="AS76" i="77"/>
  <c r="AS77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43" i="77"/>
  <c r="AO44" i="77"/>
  <c r="AO45" i="77"/>
  <c r="AO46" i="77"/>
  <c r="AO47" i="77"/>
  <c r="AO48" i="77"/>
  <c r="AO49" i="77"/>
  <c r="AO50" i="77"/>
  <c r="AO51" i="77"/>
  <c r="AO52" i="77"/>
  <c r="AO54" i="77"/>
  <c r="AO55" i="77"/>
  <c r="AO56" i="77"/>
  <c r="AO57" i="77"/>
  <c r="AO58" i="77"/>
  <c r="AO60" i="77"/>
  <c r="AO61" i="77"/>
  <c r="AO62" i="77"/>
  <c r="AO63" i="77"/>
  <c r="AO64" i="77"/>
  <c r="AO65" i="77"/>
  <c r="AO66" i="77"/>
  <c r="AO67" i="77"/>
  <c r="AO68" i="77"/>
  <c r="AO69" i="77"/>
  <c r="AO70" i="77"/>
  <c r="AO72" i="77"/>
  <c r="AO73" i="77"/>
  <c r="AO74" i="77"/>
  <c r="AO75" i="77"/>
  <c r="AO76" i="77"/>
  <c r="AO77" i="77"/>
  <c r="AM5" i="77"/>
  <c r="AM6" i="77"/>
  <c r="AM8" i="77"/>
  <c r="AM9" i="77"/>
  <c r="BC9" i="77" s="1"/>
  <c r="AM10" i="77"/>
  <c r="AM11" i="77"/>
  <c r="BC11" i="77" s="1"/>
  <c r="AM12" i="77"/>
  <c r="AM14" i="77"/>
  <c r="AM15" i="77"/>
  <c r="AM16" i="77"/>
  <c r="AM17" i="77"/>
  <c r="AM18" i="77"/>
  <c r="AM19" i="77"/>
  <c r="AM20" i="77"/>
  <c r="AM22" i="77"/>
  <c r="AM23" i="77"/>
  <c r="BC23" i="77" s="1"/>
  <c r="AM24" i="77"/>
  <c r="AM25" i="77"/>
  <c r="BC25" i="77" s="1"/>
  <c r="AM27" i="77"/>
  <c r="AM28" i="77"/>
  <c r="AM29" i="77"/>
  <c r="AM30" i="77"/>
  <c r="AM31" i="77"/>
  <c r="AM33" i="77"/>
  <c r="AM34" i="77"/>
  <c r="AM35" i="77"/>
  <c r="AM43" i="77"/>
  <c r="AM44" i="77"/>
  <c r="BC44" i="77" s="1"/>
  <c r="AM45" i="77"/>
  <c r="AM46" i="77"/>
  <c r="BC46" i="77" s="1"/>
  <c r="AM47" i="77"/>
  <c r="AM48" i="77"/>
  <c r="AM49" i="77"/>
  <c r="AM50" i="77"/>
  <c r="AM51" i="77"/>
  <c r="AM52" i="77"/>
  <c r="AM54" i="77"/>
  <c r="AM55" i="77"/>
  <c r="AM56" i="77"/>
  <c r="AM57" i="77"/>
  <c r="BC57" i="77" s="1"/>
  <c r="AM58" i="77"/>
  <c r="AM60" i="77"/>
  <c r="BC60" i="77" s="1"/>
  <c r="AM61" i="77"/>
  <c r="AM62" i="77"/>
  <c r="AM63" i="77"/>
  <c r="AM64" i="77"/>
  <c r="AM65" i="77"/>
  <c r="AM66" i="77"/>
  <c r="AM67" i="77"/>
  <c r="AM68" i="77"/>
  <c r="AM69" i="77"/>
  <c r="AM70" i="77"/>
  <c r="BC70" i="77" s="1"/>
  <c r="AM72" i="77"/>
  <c r="AM73" i="77"/>
  <c r="BC73" i="77" s="1"/>
  <c r="AM74" i="77"/>
  <c r="AM75" i="77"/>
  <c r="AM76" i="77"/>
  <c r="AM77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43" i="77"/>
  <c r="AE44" i="77"/>
  <c r="AE45" i="77"/>
  <c r="AE46" i="77"/>
  <c r="AE47" i="77"/>
  <c r="AE48" i="77"/>
  <c r="AE49" i="77"/>
  <c r="AE50" i="77"/>
  <c r="AE51" i="77"/>
  <c r="AE52" i="77"/>
  <c r="AE54" i="77"/>
  <c r="AE55" i="77"/>
  <c r="AE56" i="77"/>
  <c r="AE57" i="77"/>
  <c r="AE58" i="77"/>
  <c r="AE60" i="77"/>
  <c r="AE61" i="77"/>
  <c r="AE62" i="77"/>
  <c r="AE63" i="77"/>
  <c r="AE64" i="77"/>
  <c r="AE65" i="77"/>
  <c r="AE66" i="77"/>
  <c r="AE67" i="77"/>
  <c r="AE68" i="77"/>
  <c r="AE69" i="77"/>
  <c r="AE70" i="77"/>
  <c r="AE72" i="77"/>
  <c r="AE73" i="77"/>
  <c r="AE74" i="77"/>
  <c r="AE75" i="77"/>
  <c r="AE76" i="77"/>
  <c r="AE77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43" i="77"/>
  <c r="AA44" i="77"/>
  <c r="AA45" i="77"/>
  <c r="AA46" i="77"/>
  <c r="AA47" i="77"/>
  <c r="AA48" i="77"/>
  <c r="AA49" i="77"/>
  <c r="AA50" i="77"/>
  <c r="AA51" i="77"/>
  <c r="AA52" i="77"/>
  <c r="AA54" i="77"/>
  <c r="AA55" i="77"/>
  <c r="AA56" i="77"/>
  <c r="AA57" i="77"/>
  <c r="AA58" i="77"/>
  <c r="AA60" i="77"/>
  <c r="AA61" i="77"/>
  <c r="AA62" i="77"/>
  <c r="AA63" i="77"/>
  <c r="AA64" i="77"/>
  <c r="AA65" i="77"/>
  <c r="AA66" i="77"/>
  <c r="AA67" i="77"/>
  <c r="AA68" i="77"/>
  <c r="AA69" i="77"/>
  <c r="AA70" i="77"/>
  <c r="AA72" i="77"/>
  <c r="AA73" i="77"/>
  <c r="AA74" i="77"/>
  <c r="AA75" i="77"/>
  <c r="AA76" i="77"/>
  <c r="AA77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43" i="77"/>
  <c r="Y44" i="77"/>
  <c r="Y45" i="77"/>
  <c r="Y46" i="77"/>
  <c r="Y47" i="77"/>
  <c r="Y48" i="77"/>
  <c r="Y49" i="77"/>
  <c r="Y50" i="77"/>
  <c r="Y51" i="77"/>
  <c r="Y52" i="77"/>
  <c r="Y54" i="77"/>
  <c r="Y55" i="77"/>
  <c r="Y56" i="77"/>
  <c r="Y57" i="77"/>
  <c r="Y58" i="77"/>
  <c r="Y60" i="77"/>
  <c r="Y61" i="77"/>
  <c r="Y62" i="77"/>
  <c r="Y63" i="77"/>
  <c r="Y64" i="77"/>
  <c r="Y65" i="77"/>
  <c r="Y66" i="77"/>
  <c r="Y67" i="77"/>
  <c r="Y68" i="77"/>
  <c r="Y69" i="77"/>
  <c r="Y70" i="77"/>
  <c r="Y72" i="77"/>
  <c r="Y73" i="77"/>
  <c r="Y74" i="77"/>
  <c r="Y75" i="77"/>
  <c r="Y76" i="77"/>
  <c r="Y77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43" i="77"/>
  <c r="U44" i="77"/>
  <c r="U45" i="77"/>
  <c r="U46" i="77"/>
  <c r="U47" i="77"/>
  <c r="U48" i="77"/>
  <c r="U49" i="77"/>
  <c r="U50" i="77"/>
  <c r="U51" i="77"/>
  <c r="U52" i="77"/>
  <c r="U54" i="77"/>
  <c r="U55" i="77"/>
  <c r="U56" i="77"/>
  <c r="U57" i="77"/>
  <c r="U58" i="77"/>
  <c r="U60" i="77"/>
  <c r="U61" i="77"/>
  <c r="U62" i="77"/>
  <c r="U63" i="77"/>
  <c r="U64" i="77"/>
  <c r="U65" i="77"/>
  <c r="U66" i="77"/>
  <c r="U67" i="77"/>
  <c r="U68" i="77"/>
  <c r="U69" i="77"/>
  <c r="U70" i="77"/>
  <c r="U72" i="77"/>
  <c r="U73" i="77"/>
  <c r="U74" i="77"/>
  <c r="U75" i="77"/>
  <c r="U76" i="77"/>
  <c r="U77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43" i="77"/>
  <c r="Q44" i="77"/>
  <c r="Q45" i="77"/>
  <c r="Q46" i="77"/>
  <c r="Q47" i="77"/>
  <c r="Q48" i="77"/>
  <c r="Q49" i="77"/>
  <c r="Q50" i="77"/>
  <c r="Q51" i="77"/>
  <c r="Q52" i="77"/>
  <c r="Q54" i="77"/>
  <c r="Q55" i="77"/>
  <c r="Q56" i="77"/>
  <c r="Q57" i="77"/>
  <c r="Q58" i="77"/>
  <c r="Q60" i="77"/>
  <c r="Q61" i="77"/>
  <c r="Q62" i="77"/>
  <c r="Q63" i="77"/>
  <c r="Q64" i="77"/>
  <c r="Q65" i="77"/>
  <c r="Q66" i="77"/>
  <c r="Q67" i="77"/>
  <c r="Q68" i="77"/>
  <c r="Q69" i="77"/>
  <c r="Q70" i="77"/>
  <c r="Q72" i="77"/>
  <c r="Q73" i="77"/>
  <c r="Q74" i="77"/>
  <c r="Q75" i="77"/>
  <c r="Q76" i="77"/>
  <c r="Q77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43" i="77"/>
  <c r="M44" i="77"/>
  <c r="M45" i="77"/>
  <c r="M46" i="77"/>
  <c r="M47" i="77"/>
  <c r="M48" i="77"/>
  <c r="M49" i="77"/>
  <c r="M50" i="77"/>
  <c r="M51" i="77"/>
  <c r="M52" i="77"/>
  <c r="M54" i="77"/>
  <c r="M55" i="77"/>
  <c r="M56" i="77"/>
  <c r="M57" i="77"/>
  <c r="M58" i="77"/>
  <c r="M60" i="77"/>
  <c r="M61" i="77"/>
  <c r="M62" i="77"/>
  <c r="M63" i="77"/>
  <c r="M64" i="77"/>
  <c r="M65" i="77"/>
  <c r="M66" i="77"/>
  <c r="M67" i="77"/>
  <c r="M68" i="77"/>
  <c r="M69" i="77"/>
  <c r="M70" i="77"/>
  <c r="M72" i="77"/>
  <c r="M73" i="77"/>
  <c r="M74" i="77"/>
  <c r="M75" i="77"/>
  <c r="M76" i="77"/>
  <c r="M77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43" i="77"/>
  <c r="I44" i="77"/>
  <c r="I45" i="77"/>
  <c r="I46" i="77"/>
  <c r="I47" i="77"/>
  <c r="I48" i="77"/>
  <c r="I49" i="77"/>
  <c r="I50" i="77"/>
  <c r="I51" i="77"/>
  <c r="I52" i="77"/>
  <c r="I54" i="77"/>
  <c r="I55" i="77"/>
  <c r="I56" i="77"/>
  <c r="I57" i="77"/>
  <c r="I58" i="77"/>
  <c r="I60" i="77"/>
  <c r="I61" i="77"/>
  <c r="I62" i="77"/>
  <c r="I63" i="77"/>
  <c r="I64" i="77"/>
  <c r="I65" i="77"/>
  <c r="I66" i="77"/>
  <c r="I67" i="77"/>
  <c r="I68" i="77"/>
  <c r="I69" i="77"/>
  <c r="I70" i="77"/>
  <c r="I72" i="77"/>
  <c r="I73" i="77"/>
  <c r="I74" i="77"/>
  <c r="I75" i="77"/>
  <c r="I76" i="77"/>
  <c r="I77" i="77"/>
  <c r="AC100" i="90"/>
  <c r="AC91" i="90"/>
  <c r="AG211" i="6" l="1"/>
  <c r="BC66" i="77"/>
  <c r="BC52" i="77"/>
  <c r="BC33" i="77"/>
  <c r="BC18" i="77"/>
  <c r="BC69" i="77"/>
  <c r="BC56" i="77"/>
  <c r="BC8" i="77"/>
  <c r="BC68" i="77"/>
  <c r="BC55" i="77"/>
  <c r="BC35" i="77"/>
  <c r="BC20" i="77"/>
  <c r="BC6" i="77"/>
  <c r="BE6" i="77" s="1"/>
  <c r="BC67" i="77"/>
  <c r="BC54" i="77"/>
  <c r="BC34" i="77"/>
  <c r="BE34" i="77" s="1"/>
  <c r="BC5" i="77"/>
  <c r="BE5" i="77" s="1"/>
  <c r="AG517" i="28"/>
  <c r="AG497" i="28"/>
  <c r="AG518" i="28"/>
  <c r="AG206" i="6"/>
  <c r="AG212" i="6" s="1"/>
  <c r="AG215" i="6" s="1"/>
  <c r="AG95" i="28"/>
  <c r="BC74" i="77"/>
  <c r="BE74" i="77" s="1"/>
  <c r="BC61" i="77"/>
  <c r="BE61" i="77" s="1"/>
  <c r="BC47" i="77"/>
  <c r="BE47" i="77" s="1"/>
  <c r="BC12" i="77"/>
  <c r="BE12" i="77" s="1"/>
  <c r="BC72" i="77"/>
  <c r="BE72" i="77" s="1"/>
  <c r="BC58" i="77"/>
  <c r="BE58" i="77" s="1"/>
  <c r="BC45" i="77"/>
  <c r="BE45" i="77" s="1"/>
  <c r="BC24" i="77"/>
  <c r="BE24" i="77" s="1"/>
  <c r="BC65" i="77"/>
  <c r="BE65" i="77" s="1"/>
  <c r="BC51" i="77"/>
  <c r="BE51" i="77" s="1"/>
  <c r="BC17" i="77"/>
  <c r="BE17" i="77" s="1"/>
  <c r="AH206" i="6"/>
  <c r="AH214" i="6"/>
  <c r="AH211" i="6"/>
  <c r="Q21" i="77"/>
  <c r="BC76" i="77"/>
  <c r="BE76" i="77" s="1"/>
  <c r="BC63" i="77"/>
  <c r="BE63" i="77" s="1"/>
  <c r="BC49" i="77"/>
  <c r="BE49" i="77" s="1"/>
  <c r="BC29" i="77"/>
  <c r="BE29" i="77" s="1"/>
  <c r="BC15" i="77"/>
  <c r="BE15" i="77" s="1"/>
  <c r="BC31" i="77"/>
  <c r="BE31" i="77" s="1"/>
  <c r="AH41" i="6"/>
  <c r="AH129" i="8"/>
  <c r="AH131" i="8"/>
  <c r="AH144" i="8" s="1"/>
  <c r="AH130" i="8"/>
  <c r="AH143" i="8" s="1"/>
  <c r="Q13" i="77"/>
  <c r="AE21" i="77"/>
  <c r="Y21" i="77"/>
  <c r="AA36" i="77"/>
  <c r="AE7" i="77"/>
  <c r="BC75" i="77"/>
  <c r="BE75" i="77" s="1"/>
  <c r="BC62" i="77"/>
  <c r="BE62" i="77" s="1"/>
  <c r="BC48" i="77"/>
  <c r="BE48" i="77" s="1"/>
  <c r="BC28" i="77"/>
  <c r="BE28" i="77" s="1"/>
  <c r="BC14" i="77"/>
  <c r="BE14" i="77" s="1"/>
  <c r="AG25" i="22"/>
  <c r="AG11" i="22"/>
  <c r="Y13" i="77"/>
  <c r="Y26" i="77"/>
  <c r="BE70" i="77"/>
  <c r="BE57" i="77"/>
  <c r="BE44" i="77"/>
  <c r="BE23" i="77"/>
  <c r="BE9" i="77"/>
  <c r="BE69" i="77"/>
  <c r="BE56" i="77"/>
  <c r="BE8" i="77"/>
  <c r="BE68" i="77"/>
  <c r="BE55" i="77"/>
  <c r="BE35" i="77"/>
  <c r="BE20" i="77"/>
  <c r="Y53" i="77"/>
  <c r="BE67" i="77"/>
  <c r="BE54" i="77"/>
  <c r="BE66" i="77"/>
  <c r="BE52" i="77"/>
  <c r="BE18" i="77"/>
  <c r="BA13" i="77"/>
  <c r="BA53" i="77"/>
  <c r="BA21" i="77"/>
  <c r="AC116" i="90"/>
  <c r="BE73" i="77"/>
  <c r="BE60" i="77"/>
  <c r="BE46" i="77"/>
  <c r="BE25" i="77"/>
  <c r="BE11" i="77"/>
  <c r="AW26" i="77"/>
  <c r="AS21" i="77"/>
  <c r="AW53" i="77"/>
  <c r="AO13" i="77"/>
  <c r="AW32" i="77"/>
  <c r="AW21" i="77"/>
  <c r="AW36" i="77"/>
  <c r="BC77" i="77"/>
  <c r="BE77" i="77" s="1"/>
  <c r="BC64" i="77"/>
  <c r="BE64" i="77" s="1"/>
  <c r="BC50" i="77"/>
  <c r="BE50" i="77" s="1"/>
  <c r="BC30" i="77"/>
  <c r="BE30" i="77" s="1"/>
  <c r="BC16" i="77"/>
  <c r="BE16" i="77" s="1"/>
  <c r="AO71" i="77"/>
  <c r="AW13" i="77"/>
  <c r="I53" i="77"/>
  <c r="I26" i="77"/>
  <c r="M21" i="77"/>
  <c r="Q36" i="77"/>
  <c r="U7" i="77"/>
  <c r="AS53" i="77"/>
  <c r="AS26" i="77"/>
  <c r="BA36" i="77"/>
  <c r="Y7" i="77"/>
  <c r="Q7" i="77"/>
  <c r="AE71" i="77"/>
  <c r="AE32" i="77"/>
  <c r="AM13" i="77"/>
  <c r="AO53" i="77"/>
  <c r="AO26" i="77"/>
  <c r="I21" i="77"/>
  <c r="AA71" i="77"/>
  <c r="AA32" i="77"/>
  <c r="AM32" i="77"/>
  <c r="I36" i="77"/>
  <c r="Y71" i="77"/>
  <c r="Y32" i="77"/>
  <c r="AE13" i="77"/>
  <c r="AM53" i="77"/>
  <c r="AM26" i="77"/>
  <c r="AO21" i="77"/>
  <c r="AS36" i="77"/>
  <c r="AW7" i="77"/>
  <c r="M36" i="77"/>
  <c r="U71" i="77"/>
  <c r="U32" i="77"/>
  <c r="AA13" i="77"/>
  <c r="AO36" i="77"/>
  <c r="AS7" i="77"/>
  <c r="BC27" i="77"/>
  <c r="AM71" i="77"/>
  <c r="Q71" i="77"/>
  <c r="Q32" i="77"/>
  <c r="AE53" i="77"/>
  <c r="AE26" i="77"/>
  <c r="AM21" i="77"/>
  <c r="BA71" i="77"/>
  <c r="BA32" i="77"/>
  <c r="Q26" i="77"/>
  <c r="U36" i="77"/>
  <c r="M71" i="77"/>
  <c r="M32" i="77"/>
  <c r="U13" i="77"/>
  <c r="AA53" i="77"/>
  <c r="AA26" i="77"/>
  <c r="AO7" i="77"/>
  <c r="AM36" i="77"/>
  <c r="BC10" i="77"/>
  <c r="AW71" i="77"/>
  <c r="I71" i="77"/>
  <c r="I32" i="77"/>
  <c r="M13" i="77"/>
  <c r="U53" i="77"/>
  <c r="U26" i="77"/>
  <c r="AA21" i="77"/>
  <c r="AE36" i="77"/>
  <c r="AS71" i="77"/>
  <c r="AS32" i="77"/>
  <c r="BC43" i="77"/>
  <c r="BC22" i="77"/>
  <c r="Q53" i="77"/>
  <c r="AO32" i="77"/>
  <c r="BA26" i="77"/>
  <c r="I13" i="77"/>
  <c r="M53" i="77"/>
  <c r="M26" i="77"/>
  <c r="U21" i="77"/>
  <c r="Y36" i="77"/>
  <c r="AA7" i="77"/>
  <c r="AS13" i="77"/>
  <c r="BC19" i="77"/>
  <c r="BE33" i="77"/>
  <c r="BC36" i="77" l="1"/>
  <c r="AK11" i="59"/>
  <c r="AH212" i="6"/>
  <c r="AH132" i="8"/>
  <c r="AH145" i="8" s="1"/>
  <c r="AH142" i="8"/>
  <c r="BE36" i="77"/>
  <c r="AG13" i="22"/>
  <c r="AG27" i="22"/>
  <c r="BE71" i="77"/>
  <c r="BC71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53" i="77"/>
  <c r="BE43" i="77"/>
  <c r="BE53" i="77" s="1"/>
  <c r="AD55" i="10"/>
  <c r="AN55" i="10" s="1"/>
  <c r="AH215" i="6" l="1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AE130" i="45" l="1"/>
  <c r="AD64" i="11" l="1"/>
  <c r="AD35" i="35" l="1"/>
  <c r="AC123" i="90" s="1"/>
  <c r="AC128" i="90" l="1"/>
  <c r="AF109" i="9"/>
  <c r="AJ109" i="9" s="1"/>
  <c r="AC20" i="27" l="1"/>
  <c r="AC19" i="27"/>
  <c r="AF389" i="28" l="1"/>
  <c r="AJ389" i="28" s="1"/>
  <c r="AP389" i="28" s="1"/>
  <c r="AT389" i="28" s="1"/>
  <c r="AX389" i="28" s="1"/>
  <c r="BF389" i="28" s="1"/>
  <c r="BH389" i="28" s="1"/>
  <c r="AF391" i="28"/>
  <c r="AJ391" i="28" s="1"/>
  <c r="AP391" i="28" s="1"/>
  <c r="AT391" i="28" s="1"/>
  <c r="AX391" i="28" s="1"/>
  <c r="BF391" i="28" s="1"/>
  <c r="BH391" i="28" s="1"/>
  <c r="AF392" i="28"/>
  <c r="AJ392" i="28" s="1"/>
  <c r="AP392" i="28" s="1"/>
  <c r="AT392" i="28" s="1"/>
  <c r="AX392" i="28" s="1"/>
  <c r="BF392" i="28" s="1"/>
  <c r="BH392" i="28" s="1"/>
  <c r="Z387" i="28"/>
  <c r="AB387" i="28" s="1"/>
  <c r="AF387" i="28" s="1"/>
  <c r="AJ387" i="28" s="1"/>
  <c r="AP387" i="28" s="1"/>
  <c r="AT387" i="28" s="1"/>
  <c r="AX387" i="28" s="1"/>
  <c r="BF387" i="28" s="1"/>
  <c r="BH387" i="28" s="1"/>
  <c r="Z388" i="28"/>
  <c r="AB388" i="28" s="1"/>
  <c r="AF388" i="28" s="1"/>
  <c r="AJ388" i="28" s="1"/>
  <c r="AP388" i="28" s="1"/>
  <c r="AT388" i="28" s="1"/>
  <c r="AX388" i="28" s="1"/>
  <c r="BF388" i="28" s="1"/>
  <c r="BH388" i="28" s="1"/>
  <c r="Z393" i="28"/>
  <c r="N342" i="28"/>
  <c r="Z342" i="28"/>
  <c r="AB342" i="28" l="1"/>
  <c r="AF342" i="28" s="1"/>
  <c r="AJ342" i="28" s="1"/>
  <c r="AP342" i="28" s="1"/>
  <c r="AT342" i="28" s="1"/>
  <c r="AX342" i="28" s="1"/>
  <c r="BF342" i="28" s="1"/>
  <c r="BH342" i="28" s="1"/>
  <c r="AC37" i="27" l="1"/>
  <c r="AC35" i="27"/>
  <c r="AC29" i="27"/>
  <c r="AC28" i="27"/>
  <c r="AC27" i="27"/>
  <c r="AC18" i="27"/>
  <c r="BF176" i="45" l="1"/>
  <c r="BE176" i="45"/>
  <c r="BD176" i="45"/>
  <c r="BC176" i="45"/>
  <c r="BB176" i="45"/>
  <c r="BA176" i="45"/>
  <c r="AZ47" i="35" s="1"/>
  <c r="AZ176" i="45"/>
  <c r="AX176" i="45"/>
  <c r="AW176" i="45"/>
  <c r="AV47" i="35" s="1"/>
  <c r="AV176" i="45"/>
  <c r="AT176" i="45"/>
  <c r="AS176" i="45"/>
  <c r="AR47" i="35" s="1"/>
  <c r="AR176" i="45"/>
  <c r="AP176" i="45"/>
  <c r="AO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F175" i="45"/>
  <c r="BE175" i="45"/>
  <c r="BD175" i="45"/>
  <c r="BC175" i="45"/>
  <c r="BB175" i="45"/>
  <c r="BA175" i="45"/>
  <c r="AZ46" i="35" s="1"/>
  <c r="AZ175" i="45"/>
  <c r="AX175" i="45"/>
  <c r="AW175" i="45"/>
  <c r="AV46" i="35" s="1"/>
  <c r="AV175" i="45"/>
  <c r="AT175" i="45"/>
  <c r="AS175" i="45"/>
  <c r="AR46" i="35" s="1"/>
  <c r="AR175" i="45"/>
  <c r="AP175" i="45"/>
  <c r="AO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45" i="35" s="1"/>
  <c r="AZ174" i="45"/>
  <c r="AX174" i="45"/>
  <c r="AW174" i="45"/>
  <c r="AV45" i="35" s="1"/>
  <c r="AV174" i="45"/>
  <c r="AT174" i="45"/>
  <c r="AS174" i="45"/>
  <c r="AR45" i="35" s="1"/>
  <c r="AR174" i="45"/>
  <c r="AP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44" i="35" s="1"/>
  <c r="AZ173" i="45"/>
  <c r="AX173" i="45"/>
  <c r="AW173" i="45"/>
  <c r="AV44" i="35" s="1"/>
  <c r="AV173" i="45"/>
  <c r="AT173" i="45"/>
  <c r="AS173" i="45"/>
  <c r="AR44" i="35" s="1"/>
  <c r="AR173" i="45"/>
  <c r="AP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43" i="35" s="1"/>
  <c r="AZ172" i="45"/>
  <c r="AX172" i="45"/>
  <c r="AW172" i="45"/>
  <c r="AV43" i="35" s="1"/>
  <c r="AV172" i="45"/>
  <c r="AT172" i="45"/>
  <c r="AS172" i="45"/>
  <c r="AR43" i="35" s="1"/>
  <c r="AR172" i="45"/>
  <c r="AP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42" i="35" s="1"/>
  <c r="AZ171" i="45"/>
  <c r="AX171" i="45"/>
  <c r="AW171" i="45"/>
  <c r="AV42" i="35" s="1"/>
  <c r="AV171" i="45"/>
  <c r="AT171" i="45"/>
  <c r="AS171" i="45"/>
  <c r="AR42" i="35" s="1"/>
  <c r="AR171" i="45"/>
  <c r="AP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AE175" i="45"/>
  <c r="O119" i="45"/>
  <c r="AA119" i="45"/>
  <c r="AA86" i="45"/>
  <c r="AC86" i="45" s="1"/>
  <c r="AG86" i="45" s="1"/>
  <c r="AK86" i="45" s="1"/>
  <c r="AQ86" i="45" s="1"/>
  <c r="AU86" i="45" s="1"/>
  <c r="AY86" i="45" s="1"/>
  <c r="BG86" i="45" s="1"/>
  <c r="BI86" i="45" s="1"/>
  <c r="AA88" i="45"/>
  <c r="AC88" i="45" s="1"/>
  <c r="AG88" i="45" s="1"/>
  <c r="AK88" i="45" s="1"/>
  <c r="AQ88" i="45" s="1"/>
  <c r="AU88" i="45" s="1"/>
  <c r="AY88" i="45" s="1"/>
  <c r="BG88" i="45" s="1"/>
  <c r="BI88" i="45" s="1"/>
  <c r="AA99" i="45"/>
  <c r="AC99" i="45" s="1"/>
  <c r="AG99" i="45" s="1"/>
  <c r="AK99" i="45" s="1"/>
  <c r="AQ99" i="45" s="1"/>
  <c r="AU99" i="45" s="1"/>
  <c r="AY99" i="45" s="1"/>
  <c r="BG99" i="45" s="1"/>
  <c r="BI99" i="45" s="1"/>
  <c r="AA100" i="45"/>
  <c r="AA101" i="45"/>
  <c r="O100" i="45"/>
  <c r="O101" i="45"/>
  <c r="AA21" i="45"/>
  <c r="AC21" i="45" s="1"/>
  <c r="AG21" i="45" s="1"/>
  <c r="BC21" i="45"/>
  <c r="BE21" i="45" s="1"/>
  <c r="BL21" i="45" s="1"/>
  <c r="BB43" i="35" l="1"/>
  <c r="BB42" i="35"/>
  <c r="BB45" i="35"/>
  <c r="BB46" i="35"/>
  <c r="BB44" i="35"/>
  <c r="BB47" i="35"/>
  <c r="AZ49" i="35"/>
  <c r="AZ55" i="35" s="1"/>
  <c r="I177" i="45"/>
  <c r="AB177" i="45"/>
  <c r="P177" i="45"/>
  <c r="Z177" i="45"/>
  <c r="G177" i="45"/>
  <c r="BR178" i="45" s="1"/>
  <c r="AT177" i="45"/>
  <c r="N177" i="45"/>
  <c r="BA177" i="45"/>
  <c r="U177" i="45"/>
  <c r="AC119" i="45"/>
  <c r="AG119" i="45" s="1"/>
  <c r="AK119" i="45" s="1"/>
  <c r="AQ119" i="45" s="1"/>
  <c r="BF177" i="45"/>
  <c r="AK21" i="45"/>
  <c r="AH177" i="45"/>
  <c r="AH49" i="35"/>
  <c r="AH55" i="35" s="1"/>
  <c r="AZ177" i="45"/>
  <c r="Q177" i="45"/>
  <c r="AP177" i="45"/>
  <c r="BB177" i="45"/>
  <c r="R177" i="45"/>
  <c r="AD177" i="45"/>
  <c r="AF177" i="45"/>
  <c r="AR177" i="45"/>
  <c r="BD177" i="45"/>
  <c r="AC100" i="45"/>
  <c r="AG100" i="45" s="1"/>
  <c r="AK100" i="45" s="1"/>
  <c r="AQ100" i="45" s="1"/>
  <c r="AU100" i="45" s="1"/>
  <c r="AY100" i="45" s="1"/>
  <c r="BG100" i="45" s="1"/>
  <c r="BI100" i="45" s="1"/>
  <c r="H177" i="45"/>
  <c r="T177" i="45"/>
  <c r="AS177" i="45"/>
  <c r="J177" i="45"/>
  <c r="V177" i="45"/>
  <c r="AI177" i="45"/>
  <c r="AJ177" i="45"/>
  <c r="AV177" i="45"/>
  <c r="L177" i="45"/>
  <c r="X177" i="45"/>
  <c r="AW177" i="45"/>
  <c r="M177" i="45"/>
  <c r="Y177" i="45"/>
  <c r="AX177" i="45"/>
  <c r="AD95" i="9"/>
  <c r="AU119" i="45" l="1"/>
  <c r="AY119" i="45" s="1"/>
  <c r="BG119" i="45" s="1"/>
  <c r="BI119" i="45" s="1"/>
  <c r="AQ21" i="45"/>
  <c r="AU21" i="45" s="1"/>
  <c r="AY21" i="45" s="1"/>
  <c r="BG21" i="45" s="1"/>
  <c r="BI21" i="45" s="1"/>
  <c r="AB37" i="27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2" i="26"/>
  <c r="AB110" i="26"/>
  <c r="AB108" i="26"/>
  <c r="AB106" i="26"/>
  <c r="AB104" i="26"/>
  <c r="AB102" i="26"/>
  <c r="AB100" i="26"/>
  <c r="AB98" i="26"/>
  <c r="AB96" i="26"/>
  <c r="AC92" i="26"/>
  <c r="AB89" i="26"/>
  <c r="AB87" i="26"/>
  <c r="AB85" i="26"/>
  <c r="AB83" i="26"/>
  <c r="AC81" i="26"/>
  <c r="AC80" i="26"/>
  <c r="AB78" i="26"/>
  <c r="AB76" i="26"/>
  <c r="AC73" i="26"/>
  <c r="AB71" i="26"/>
  <c r="AB69" i="26"/>
  <c r="AB67" i="26"/>
  <c r="AB65" i="26"/>
  <c r="AB63" i="26"/>
  <c r="AB61" i="26"/>
  <c r="AB59" i="26"/>
  <c r="AB57" i="26"/>
  <c r="AB52" i="26"/>
  <c r="AB50" i="26"/>
  <c r="AC48" i="26"/>
  <c r="AB46" i="26"/>
  <c r="AC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C57" i="17"/>
  <c r="AC56" i="17"/>
  <c r="AC55" i="17"/>
  <c r="AB55" i="17"/>
  <c r="AC54" i="17"/>
  <c r="AC53" i="17"/>
  <c r="AB53" i="17"/>
  <c r="AC44" i="17"/>
  <c r="AB44" i="17"/>
  <c r="AC37" i="17"/>
  <c r="AC39" i="17" s="1"/>
  <c r="AB37" i="17"/>
  <c r="AB39" i="17" s="1"/>
  <c r="AB31" i="17"/>
  <c r="AC29" i="17"/>
  <c r="AC32" i="17" s="1"/>
  <c r="AB28" i="17"/>
  <c r="AB29" i="17"/>
  <c r="AB25" i="17"/>
  <c r="AC22" i="17"/>
  <c r="AC23" i="17" s="1"/>
  <c r="AB22" i="17"/>
  <c r="AC19" i="17"/>
  <c r="AB18" i="17"/>
  <c r="AC17" i="17"/>
  <c r="AB16" i="17"/>
  <c r="AC14" i="17"/>
  <c r="AC20" i="17" s="1"/>
  <c r="AB14" i="17"/>
  <c r="AC13" i="17"/>
  <c r="AC11" i="17"/>
  <c r="AC9" i="17"/>
  <c r="AH94" i="38"/>
  <c r="AH93" i="38"/>
  <c r="AH92" i="38"/>
  <c r="AH91" i="38"/>
  <c r="AG90" i="38"/>
  <c r="AH89" i="38"/>
  <c r="AG88" i="38"/>
  <c r="AH86" i="38"/>
  <c r="AH85" i="38"/>
  <c r="AH84" i="38"/>
  <c r="AH83" i="38"/>
  <c r="AG82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G66" i="38"/>
  <c r="AH62" i="38"/>
  <c r="AH61" i="38"/>
  <c r="AG60" i="38"/>
  <c r="AH59" i="38"/>
  <c r="AH58" i="38"/>
  <c r="AH57" i="38"/>
  <c r="AH56" i="38"/>
  <c r="AH55" i="38"/>
  <c r="AG54" i="38"/>
  <c r="AG52" i="38"/>
  <c r="AH51" i="38"/>
  <c r="AG51" i="38"/>
  <c r="AG46" i="38"/>
  <c r="AG45" i="38"/>
  <c r="AG44" i="38"/>
  <c r="AG43" i="38"/>
  <c r="AH42" i="38"/>
  <c r="AH90" i="38" s="1"/>
  <c r="AG41" i="38"/>
  <c r="AG40" i="38" s="1"/>
  <c r="AH40" i="38"/>
  <c r="AH88" i="38" s="1"/>
  <c r="AG38" i="38"/>
  <c r="AG37" i="38"/>
  <c r="AG36" i="38"/>
  <c r="AG35" i="38"/>
  <c r="AH34" i="38"/>
  <c r="AH82" i="38" s="1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G19" i="38"/>
  <c r="AH18" i="38"/>
  <c r="AH66" i="38" s="1"/>
  <c r="AG14" i="38"/>
  <c r="AG13" i="38"/>
  <c r="AH12" i="38"/>
  <c r="AH60" i="38" s="1"/>
  <c r="AG11" i="38"/>
  <c r="AG10" i="38"/>
  <c r="AG9" i="38"/>
  <c r="AG8" i="38"/>
  <c r="AG7" i="38"/>
  <c r="AH6" i="38"/>
  <c r="AH54" i="38" s="1"/>
  <c r="AA46" i="72"/>
  <c r="AA38" i="72"/>
  <c r="AA25" i="72"/>
  <c r="AA18" i="72"/>
  <c r="AA49" i="72" l="1"/>
  <c r="AB57" i="17"/>
  <c r="AB48" i="26"/>
  <c r="AL87" i="26"/>
  <c r="AL89" i="26"/>
  <c r="AC54" i="26"/>
  <c r="AB54" i="17"/>
  <c r="AC18" i="26"/>
  <c r="AL83" i="26"/>
  <c r="AL85" i="26"/>
  <c r="AD26" i="22"/>
  <c r="AG12" i="38"/>
  <c r="AB85" i="17"/>
  <c r="AC85" i="17"/>
  <c r="AD12" i="22"/>
  <c r="AB20" i="17"/>
  <c r="AG65" i="38"/>
  <c r="AC30" i="17"/>
  <c r="AH39" i="38"/>
  <c r="AH87" i="38" s="1"/>
  <c r="AH17" i="38"/>
  <c r="AC32" i="15"/>
  <c r="AC36" i="15" s="1"/>
  <c r="AC16" i="15" s="1"/>
  <c r="AC17" i="15" s="1"/>
  <c r="AC24" i="27"/>
  <c r="AC39" i="27"/>
  <c r="AB92" i="26"/>
  <c r="AB81" i="26"/>
  <c r="AB80" i="26"/>
  <c r="AB73" i="26"/>
  <c r="AB43" i="26"/>
  <c r="AB12" i="26"/>
  <c r="AC19" i="26"/>
  <c r="AC13" i="26"/>
  <c r="AG42" i="38"/>
  <c r="AG39" i="38" s="1"/>
  <c r="AG34" i="38"/>
  <c r="AG63" i="38"/>
  <c r="AB55" i="26"/>
  <c r="AB49" i="26"/>
  <c r="AB54" i="26"/>
  <c r="AB56" i="17"/>
  <c r="AC49" i="26"/>
  <c r="AC55" i="26"/>
  <c r="AB112" i="26"/>
  <c r="AC21" i="17"/>
  <c r="AC25" i="17" s="1"/>
  <c r="AC24" i="17"/>
  <c r="AB32" i="17"/>
  <c r="AB30" i="17"/>
  <c r="AC15" i="17"/>
  <c r="AG87" i="38"/>
  <c r="AG18" i="38"/>
  <c r="AG6" i="38"/>
  <c r="AG15" i="38" s="1"/>
  <c r="AH15" i="38"/>
  <c r="AA51" i="72"/>
  <c r="BS7" i="71"/>
  <c r="CC7" i="71" s="1"/>
  <c r="BS8" i="71"/>
  <c r="CC8" i="71" s="1"/>
  <c r="CS8" i="71" s="1"/>
  <c r="BS9" i="71"/>
  <c r="BS10" i="71"/>
  <c r="CC10" i="71" s="1"/>
  <c r="CS10" i="71" s="1"/>
  <c r="BS11" i="71"/>
  <c r="CC11" i="71" s="1"/>
  <c r="BS12" i="71"/>
  <c r="CC12" i="71" s="1"/>
  <c r="BS13" i="71"/>
  <c r="CC13" i="71" s="1"/>
  <c r="CS13" i="71" s="1"/>
  <c r="BS14" i="71"/>
  <c r="CC14" i="71" s="1"/>
  <c r="BS15" i="71"/>
  <c r="CC15" i="71" s="1"/>
  <c r="BS16" i="71"/>
  <c r="CC16" i="71" s="1"/>
  <c r="BS17" i="71"/>
  <c r="CC17" i="71" s="1"/>
  <c r="CS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CS41" i="71" s="1"/>
  <c r="BS42" i="71"/>
  <c r="BS44" i="71"/>
  <c r="CC44" i="71" s="1"/>
  <c r="BS45" i="71"/>
  <c r="CC45" i="71" s="1"/>
  <c r="BS46" i="71"/>
  <c r="CC46" i="71" s="1"/>
  <c r="CS46" i="71" s="1"/>
  <c r="BS47" i="71"/>
  <c r="BS48" i="71"/>
  <c r="CC48" i="71" s="1"/>
  <c r="CS48" i="71" s="1"/>
  <c r="BS50" i="71"/>
  <c r="CC50" i="71" s="1"/>
  <c r="BS51" i="71"/>
  <c r="CC51" i="71" s="1"/>
  <c r="BS52" i="71"/>
  <c r="CC52" i="71" s="1"/>
  <c r="BS53" i="71"/>
  <c r="CC53" i="71" s="1"/>
  <c r="BS54" i="71"/>
  <c r="CC54" i="71" s="1"/>
  <c r="BS55" i="71"/>
  <c r="AE158" i="45"/>
  <c r="AE157" i="45"/>
  <c r="AE155" i="45"/>
  <c r="AE149" i="45"/>
  <c r="AE144" i="45"/>
  <c r="AD144" i="45"/>
  <c r="AE143" i="45"/>
  <c r="AD143" i="45"/>
  <c r="AE142" i="45"/>
  <c r="AD142" i="45"/>
  <c r="AE141" i="45"/>
  <c r="AD141" i="45"/>
  <c r="AE139" i="45"/>
  <c r="AD139" i="45"/>
  <c r="AN139" i="45" s="1"/>
  <c r="AE137" i="45"/>
  <c r="AD137" i="45"/>
  <c r="AE135" i="45"/>
  <c r="AD135" i="45"/>
  <c r="AE132" i="45"/>
  <c r="AD132" i="45"/>
  <c r="AE127" i="45"/>
  <c r="AE123" i="45"/>
  <c r="AE151" i="45" s="1"/>
  <c r="AE122" i="45"/>
  <c r="AE124" i="45" s="1"/>
  <c r="AD122" i="45"/>
  <c r="AE121" i="45"/>
  <c r="AE159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60" i="10"/>
  <c r="AC159" i="10"/>
  <c r="AD158" i="10"/>
  <c r="AH16" i="38" l="1"/>
  <c r="AH64" i="38" s="1"/>
  <c r="AB18" i="26"/>
  <c r="AD125" i="45"/>
  <c r="AD184" i="10"/>
  <c r="AD196" i="10"/>
  <c r="AD210" i="10"/>
  <c r="AB24" i="17"/>
  <c r="AG64" i="38"/>
  <c r="AG96" i="38" s="1"/>
  <c r="AE133" i="45"/>
  <c r="AD133" i="45"/>
  <c r="AN132" i="45"/>
  <c r="AN133" i="45" s="1"/>
  <c r="AE150" i="45"/>
  <c r="AD92" i="11"/>
  <c r="AD79" i="11"/>
  <c r="AC67" i="11"/>
  <c r="AD84" i="11"/>
  <c r="AD93" i="11"/>
  <c r="AD67" i="11"/>
  <c r="AC77" i="90"/>
  <c r="CC42" i="71"/>
  <c r="AC85" i="90"/>
  <c r="CC55" i="71"/>
  <c r="CS55" i="71" s="1"/>
  <c r="AC71" i="90"/>
  <c r="CC21" i="71"/>
  <c r="AC68" i="90"/>
  <c r="CC9" i="71"/>
  <c r="CS9" i="71" s="1"/>
  <c r="AC80" i="90"/>
  <c r="CC47" i="71"/>
  <c r="CS47" i="71" s="1"/>
  <c r="AC73" i="90"/>
  <c r="CC26" i="71"/>
  <c r="AC69" i="90"/>
  <c r="CC19" i="71"/>
  <c r="CS19" i="71" s="1"/>
  <c r="AC55" i="11"/>
  <c r="AC158" i="10"/>
  <c r="AC210" i="10" s="1"/>
  <c r="AC203" i="10"/>
  <c r="AG17" i="38"/>
  <c r="AG16" i="38" s="1"/>
  <c r="AG48" i="38" s="1"/>
  <c r="AB13" i="26"/>
  <c r="AB19" i="26"/>
  <c r="AC74" i="11"/>
  <c r="AC81" i="90"/>
  <c r="AC70" i="90"/>
  <c r="AC97" i="11"/>
  <c r="AC79" i="90"/>
  <c r="AC72" i="90"/>
  <c r="AC58" i="11"/>
  <c r="AC83" i="90"/>
  <c r="AC78" i="90"/>
  <c r="AC76" i="90"/>
  <c r="AC74" i="90"/>
  <c r="AC173" i="10"/>
  <c r="AC84" i="90"/>
  <c r="AH65" i="38"/>
  <c r="AE156" i="45"/>
  <c r="AD140" i="45"/>
  <c r="AD60" i="11"/>
  <c r="AD74" i="11"/>
  <c r="AD58" i="11"/>
  <c r="AH48" i="38"/>
  <c r="AH63" i="38"/>
  <c r="AH96" i="38" s="1"/>
  <c r="AE160" i="45"/>
  <c r="AE161" i="45" s="1"/>
  <c r="AE125" i="45"/>
  <c r="AE126" i="45" s="1"/>
  <c r="AE145" i="45"/>
  <c r="AD145" i="45"/>
  <c r="AD124" i="45"/>
  <c r="AE140" i="45"/>
  <c r="AD121" i="45"/>
  <c r="AD90" i="11"/>
  <c r="AD85" i="11"/>
  <c r="AD183" i="10"/>
  <c r="AD191" i="10"/>
  <c r="AD192" i="10"/>
  <c r="AD159" i="10"/>
  <c r="AC161" i="10"/>
  <c r="AC178" i="10"/>
  <c r="AD94" i="11" l="1"/>
  <c r="AD200" i="10"/>
  <c r="AD193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D68" i="8"/>
  <c r="AD66" i="8"/>
  <c r="AD64" i="8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C13" i="8"/>
  <c r="AD6" i="8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5" i="7"/>
  <c r="AC75" i="7"/>
  <c r="AD71" i="7"/>
  <c r="AD73" i="7" s="1"/>
  <c r="AC71" i="7"/>
  <c r="AC73" i="7" s="1"/>
  <c r="AD67" i="7"/>
  <c r="AD81" i="7" s="1"/>
  <c r="AC67" i="7"/>
  <c r="AC81" i="7" s="1"/>
  <c r="AD21" i="7"/>
  <c r="AC49" i="39" s="1"/>
  <c r="AC21" i="7"/>
  <c r="AC41" i="7" s="1"/>
  <c r="AC51" i="7" s="1"/>
  <c r="AC61" i="39"/>
  <c r="AD43" i="22" s="1"/>
  <c r="AC60" i="39"/>
  <c r="AD42" i="22" s="1"/>
  <c r="AC48" i="39"/>
  <c r="AC47" i="39"/>
  <c r="AC46" i="39"/>
  <c r="AC43" i="39"/>
  <c r="AC42" i="39"/>
  <c r="AC8" i="39"/>
  <c r="AD218" i="6"/>
  <c r="AC218" i="6"/>
  <c r="AD217" i="6"/>
  <c r="AC217" i="6"/>
  <c r="AC195" i="6"/>
  <c r="AD194" i="6"/>
  <c r="AC194" i="6"/>
  <c r="AC193" i="6"/>
  <c r="AD189" i="6"/>
  <c r="AC189" i="6"/>
  <c r="AD188" i="6"/>
  <c r="AC188" i="6"/>
  <c r="AD187" i="6"/>
  <c r="AC187" i="6"/>
  <c r="AC186" i="6"/>
  <c r="AC185" i="6"/>
  <c r="AC182" i="6"/>
  <c r="AC181" i="6"/>
  <c r="AC180" i="6"/>
  <c r="AC179" i="6"/>
  <c r="AC178" i="6"/>
  <c r="AC177" i="6"/>
  <c r="AC175" i="6"/>
  <c r="AC174" i="6"/>
  <c r="AC173" i="6"/>
  <c r="AD163" i="6"/>
  <c r="AC163" i="6"/>
  <c r="AD162" i="6"/>
  <c r="AC162" i="6"/>
  <c r="AC161" i="6"/>
  <c r="AC160" i="6"/>
  <c r="AC157" i="6"/>
  <c r="AC156" i="6"/>
  <c r="AC155" i="6"/>
  <c r="AC154" i="6"/>
  <c r="AC153" i="6"/>
  <c r="AC152" i="6"/>
  <c r="AC150" i="6"/>
  <c r="AC149" i="6"/>
  <c r="AC148" i="6"/>
  <c r="AD138" i="6"/>
  <c r="AD135" i="6"/>
  <c r="AC135" i="6"/>
  <c r="AD134" i="6"/>
  <c r="AC134" i="6"/>
  <c r="AD133" i="6"/>
  <c r="AC133" i="6"/>
  <c r="AD132" i="6"/>
  <c r="AC132" i="6"/>
  <c r="AD130" i="6"/>
  <c r="AC130" i="6"/>
  <c r="AD129" i="6"/>
  <c r="AC129" i="6"/>
  <c r="AD127" i="6"/>
  <c r="AC127" i="6"/>
  <c r="AD126" i="6"/>
  <c r="AC126" i="6"/>
  <c r="AD125" i="6"/>
  <c r="AC125" i="6"/>
  <c r="AD124" i="6"/>
  <c r="AC124" i="6"/>
  <c r="AD119" i="6"/>
  <c r="AC119" i="6"/>
  <c r="AD114" i="6"/>
  <c r="AC114" i="6"/>
  <c r="AD103" i="6"/>
  <c r="AC103" i="6"/>
  <c r="AC98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8" i="77"/>
  <c r="AD78" i="77"/>
  <c r="AC91" i="77"/>
  <c r="AC90" i="77"/>
  <c r="AC524" i="28"/>
  <c r="AD481" i="28"/>
  <c r="AD475" i="28"/>
  <c r="AD443" i="28"/>
  <c r="AD431" i="28"/>
  <c r="AC431" i="28"/>
  <c r="AD415" i="28"/>
  <c r="AD304" i="28"/>
  <c r="AC304" i="28"/>
  <c r="AD298" i="28"/>
  <c r="AC298" i="28"/>
  <c r="AD297" i="28"/>
  <c r="AC297" i="28"/>
  <c r="AD256" i="28"/>
  <c r="AC256" i="28"/>
  <c r="AD235" i="28"/>
  <c r="AD233" i="28"/>
  <c r="AD96" i="28"/>
  <c r="AD95" i="28"/>
  <c r="AD93" i="28"/>
  <c r="AD89" i="28"/>
  <c r="AD85" i="28"/>
  <c r="AD81" i="28"/>
  <c r="AC68" i="28"/>
  <c r="AC67" i="28"/>
  <c r="AC65" i="28"/>
  <c r="AD56" i="28"/>
  <c r="AN56" i="28" s="1"/>
  <c r="BD56" i="28" s="1"/>
  <c r="AD29" i="28"/>
  <c r="AN29" i="28" s="1"/>
  <c r="BD29" i="28" s="1"/>
  <c r="AC23" i="28"/>
  <c r="AD21" i="28"/>
  <c r="AN21" i="28" s="1"/>
  <c r="BD21" i="28" s="1"/>
  <c r="AC15" i="28"/>
  <c r="AD13" i="28"/>
  <c r="AN13" i="28" s="1"/>
  <c r="BD13" i="28" s="1"/>
  <c r="AC7" i="28"/>
  <c r="AC22" i="39" l="1"/>
  <c r="AD509" i="28"/>
  <c r="AD416" i="28"/>
  <c r="AD515" i="28" s="1"/>
  <c r="AC29" i="28"/>
  <c r="AD65" i="8"/>
  <c r="AD72" i="8" s="1"/>
  <c r="AN63" i="28"/>
  <c r="AN64" i="28"/>
  <c r="BD64" i="28" s="1"/>
  <c r="AD512" i="28"/>
  <c r="AD67" i="8"/>
  <c r="AD37" i="8" s="1"/>
  <c r="AN68" i="28"/>
  <c r="BD68" i="28" s="1"/>
  <c r="AD236" i="28"/>
  <c r="AD506" i="28" s="1"/>
  <c r="AD516" i="28"/>
  <c r="AN65" i="28"/>
  <c r="BD65" i="28" s="1"/>
  <c r="AD16" i="8"/>
  <c r="AD508" i="28"/>
  <c r="AD72" i="28"/>
  <c r="AD69" i="8"/>
  <c r="AD74" i="8" s="1"/>
  <c r="AC21" i="28"/>
  <c r="AC73" i="28" s="1"/>
  <c r="AD85" i="8"/>
  <c r="AD299" i="28"/>
  <c r="AD503" i="28" s="1"/>
  <c r="AC34" i="39"/>
  <c r="AC30" i="6"/>
  <c r="AC28" i="6"/>
  <c r="AC89" i="77"/>
  <c r="AC42" i="8"/>
  <c r="AC25" i="8"/>
  <c r="AC84" i="77"/>
  <c r="AM82" i="77"/>
  <c r="BC82" i="77" s="1"/>
  <c r="AC24" i="8"/>
  <c r="AD48" i="9"/>
  <c r="AD49" i="9" s="1"/>
  <c r="AC90" i="90"/>
  <c r="AC29" i="8"/>
  <c r="AD97" i="28"/>
  <c r="AD73" i="28"/>
  <c r="AD78" i="7"/>
  <c r="AC50" i="39"/>
  <c r="AD62" i="9"/>
  <c r="AD37" i="9"/>
  <c r="AD94" i="9"/>
  <c r="AC19" i="15" s="1"/>
  <c r="AD33" i="22"/>
  <c r="AC130" i="26"/>
  <c r="AD100" i="9"/>
  <c r="AD90" i="9"/>
  <c r="AD131" i="6"/>
  <c r="AD35" i="6"/>
  <c r="AD39" i="8"/>
  <c r="AD45" i="8"/>
  <c r="AC25" i="9"/>
  <c r="AC88" i="9" s="1"/>
  <c r="AC120" i="6"/>
  <c r="AC104" i="6"/>
  <c r="AC24" i="6"/>
  <c r="AC16" i="8"/>
  <c r="AD14" i="9"/>
  <c r="AD96" i="9"/>
  <c r="AD89" i="9"/>
  <c r="AD109" i="8"/>
  <c r="AD111" i="8" s="1"/>
  <c r="AD53" i="8" s="1"/>
  <c r="AD122" i="8" s="1"/>
  <c r="AD34" i="8"/>
  <c r="AC31" i="8"/>
  <c r="AD40" i="8"/>
  <c r="AD43" i="8"/>
  <c r="AD135" i="8" s="1"/>
  <c r="AD50" i="8"/>
  <c r="AD51" i="8" s="1"/>
  <c r="AD59" i="8"/>
  <c r="AC84" i="8"/>
  <c r="AC27" i="8"/>
  <c r="AD41" i="8"/>
  <c r="AD44" i="8"/>
  <c r="AD136" i="8" s="1"/>
  <c r="AD47" i="8"/>
  <c r="AC23" i="8"/>
  <c r="AC28" i="8"/>
  <c r="AC91" i="8"/>
  <c r="AD91" i="8"/>
  <c r="AC30" i="8"/>
  <c r="AC50" i="8"/>
  <c r="AC51" i="8" s="1"/>
  <c r="AD81" i="8"/>
  <c r="AD46" i="8"/>
  <c r="AD137" i="8" s="1"/>
  <c r="AC83" i="7"/>
  <c r="AD83" i="7"/>
  <c r="AD69" i="7"/>
  <c r="AD76" i="7"/>
  <c r="AC68" i="7"/>
  <c r="AC78" i="7"/>
  <c r="AC45" i="39"/>
  <c r="AD41" i="7"/>
  <c r="AD51" i="7" s="1"/>
  <c r="AC76" i="7"/>
  <c r="AC23" i="39"/>
  <c r="AD120" i="6"/>
  <c r="AC131" i="6"/>
  <c r="AD57" i="6"/>
  <c r="AC27" i="6"/>
  <c r="AC159" i="6"/>
  <c r="AC164" i="6"/>
  <c r="AC136" i="6"/>
  <c r="AC184" i="6"/>
  <c r="AD136" i="6"/>
  <c r="AC21" i="6"/>
  <c r="AC25" i="6"/>
  <c r="AC22" i="6"/>
  <c r="AC31" i="6"/>
  <c r="AC190" i="6"/>
  <c r="AC19" i="6"/>
  <c r="AD492" i="28"/>
  <c r="AD513" i="28"/>
  <c r="AD74" i="28"/>
  <c r="AC416" i="28"/>
  <c r="AC74" i="28"/>
  <c r="AD505" i="28"/>
  <c r="AC13" i="28"/>
  <c r="AC34" i="35"/>
  <c r="AC18" i="35"/>
  <c r="AC16" i="35"/>
  <c r="AD514" i="28" l="1"/>
  <c r="BD63" i="28"/>
  <c r="AD511" i="28"/>
  <c r="AD507" i="28"/>
  <c r="AD502" i="28"/>
  <c r="AC83" i="28"/>
  <c r="AC509" i="28" s="1"/>
  <c r="AC299" i="28"/>
  <c r="AD98" i="28"/>
  <c r="AD510" i="28"/>
  <c r="AC87" i="28"/>
  <c r="AC513" i="28" s="1"/>
  <c r="AD73" i="8"/>
  <c r="AC515" i="28"/>
  <c r="AD36" i="8"/>
  <c r="AD524" i="28"/>
  <c r="AC51" i="39"/>
  <c r="AC24" i="39"/>
  <c r="AC29" i="6"/>
  <c r="AC106" i="6"/>
  <c r="AC32" i="6"/>
  <c r="AC122" i="6"/>
  <c r="AD122" i="6"/>
  <c r="AC84" i="6"/>
  <c r="AD138" i="8"/>
  <c r="AC26" i="6"/>
  <c r="AD84" i="9"/>
  <c r="AD85" i="9"/>
  <c r="AC95" i="77"/>
  <c r="AD52" i="8"/>
  <c r="AB18" i="15"/>
  <c r="AB15" i="15" s="1"/>
  <c r="AB16" i="15" s="1"/>
  <c r="AC5" i="9"/>
  <c r="AD38" i="7"/>
  <c r="AD82" i="9"/>
  <c r="AG61" i="59" s="1"/>
  <c r="AD91" i="9"/>
  <c r="AD137" i="6"/>
  <c r="AD77" i="8"/>
  <c r="AC6" i="26"/>
  <c r="AD42" i="8"/>
  <c r="AD78" i="9"/>
  <c r="AD72" i="9"/>
  <c r="AD73" i="9"/>
  <c r="AD83" i="9"/>
  <c r="AD76" i="9"/>
  <c r="AD81" i="9"/>
  <c r="AD53" i="9"/>
  <c r="AD80" i="9"/>
  <c r="AD87" i="9"/>
  <c r="AG60" i="59" s="1"/>
  <c r="AD75" i="9"/>
  <c r="AD86" i="9"/>
  <c r="AD52" i="9"/>
  <c r="AG57" i="59" s="1"/>
  <c r="AC26" i="8"/>
  <c r="AC65" i="8"/>
  <c r="AC108" i="8"/>
  <c r="AC110" i="8" s="1"/>
  <c r="AC59" i="8"/>
  <c r="AC67" i="8"/>
  <c r="AD63" i="8"/>
  <c r="AC69" i="8"/>
  <c r="AC38" i="7"/>
  <c r="AC53" i="7" s="1"/>
  <c r="AC137" i="6"/>
  <c r="AC81" i="6"/>
  <c r="AC23" i="6"/>
  <c r="AC33" i="6"/>
  <c r="AC34" i="6"/>
  <c r="AC236" i="28"/>
  <c r="AC72" i="28"/>
  <c r="AD17" i="49"/>
  <c r="AD18" i="49" s="1"/>
  <c r="AD11" i="49"/>
  <c r="AC11" i="49"/>
  <c r="AD9" i="49"/>
  <c r="AD8" i="49"/>
  <c r="AD6" i="49"/>
  <c r="AC231" i="73"/>
  <c r="AC229" i="73"/>
  <c r="AC218" i="73"/>
  <c r="AC42" i="77" s="1"/>
  <c r="AC209" i="73"/>
  <c r="AC198" i="73"/>
  <c r="AC173" i="73"/>
  <c r="AC160" i="73"/>
  <c r="AC171" i="73" s="1"/>
  <c r="AC129" i="73"/>
  <c r="AC127" i="73"/>
  <c r="AC125" i="73"/>
  <c r="AC121" i="73"/>
  <c r="AC117" i="73"/>
  <c r="AC108" i="73"/>
  <c r="AC101" i="73"/>
  <c r="AC97" i="73"/>
  <c r="AC57" i="73"/>
  <c r="AC51" i="73"/>
  <c r="AC46" i="73"/>
  <c r="AC41" i="73"/>
  <c r="AC30" i="73"/>
  <c r="AC25" i="73"/>
  <c r="AC18" i="73"/>
  <c r="AD58" i="28" s="1"/>
  <c r="AC16" i="73"/>
  <c r="AC119" i="90" s="1"/>
  <c r="AC8" i="73"/>
  <c r="AG78" i="59"/>
  <c r="AG77" i="59"/>
  <c r="AG76" i="59"/>
  <c r="AF75" i="59"/>
  <c r="AF74" i="59"/>
  <c r="AG73" i="59"/>
  <c r="AG72" i="59"/>
  <c r="AF72" i="59"/>
  <c r="AG69" i="59"/>
  <c r="AG68" i="59"/>
  <c r="AF68" i="59"/>
  <c r="AG65" i="59"/>
  <c r="AG64" i="59"/>
  <c r="AF64" i="59"/>
  <c r="AF61" i="59"/>
  <c r="AF60" i="59"/>
  <c r="AG59" i="59"/>
  <c r="AG58" i="59"/>
  <c r="AF58" i="59"/>
  <c r="AF57" i="59"/>
  <c r="AF52" i="59"/>
  <c r="AG51" i="59"/>
  <c r="AF51" i="59"/>
  <c r="AG50" i="59"/>
  <c r="AF50" i="59"/>
  <c r="AG49" i="59"/>
  <c r="AF49" i="59"/>
  <c r="AG47" i="59"/>
  <c r="AF47" i="59"/>
  <c r="AG46" i="59"/>
  <c r="AF46" i="59"/>
  <c r="AG45" i="59"/>
  <c r="AF45" i="59"/>
  <c r="AG44" i="59"/>
  <c r="AF44" i="59"/>
  <c r="AG42" i="59"/>
  <c r="AF42" i="59"/>
  <c r="AF41" i="59"/>
  <c r="AG40" i="59"/>
  <c r="AF40" i="59"/>
  <c r="AF38" i="59"/>
  <c r="AF37" i="59"/>
  <c r="AF36" i="59"/>
  <c r="AG35" i="59"/>
  <c r="AF35" i="59"/>
  <c r="AG34" i="59"/>
  <c r="AF34" i="59"/>
  <c r="AG33" i="59"/>
  <c r="AF33" i="59"/>
  <c r="AF31" i="59"/>
  <c r="AG30" i="59"/>
  <c r="AF30" i="59"/>
  <c r="AG29" i="59"/>
  <c r="AG28" i="59"/>
  <c r="AF28" i="59"/>
  <c r="AG27" i="59"/>
  <c r="AG26" i="59"/>
  <c r="AG25" i="59"/>
  <c r="AG24" i="59"/>
  <c r="AG23" i="59"/>
  <c r="AG20" i="59"/>
  <c r="AG19" i="59"/>
  <c r="AG18" i="59"/>
  <c r="AG17" i="59"/>
  <c r="AG16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4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4" i="59" s="1"/>
  <c r="AD23" i="36"/>
  <c r="AG71" i="59" s="1"/>
  <c r="AC23" i="36"/>
  <c r="AF71" i="59" s="1"/>
  <c r="AD22" i="36"/>
  <c r="AG67" i="59" s="1"/>
  <c r="AC22" i="36"/>
  <c r="AF67" i="59" s="1"/>
  <c r="AD21" i="36"/>
  <c r="AG63" i="59" s="1"/>
  <c r="AC21" i="36"/>
  <c r="AF63" i="59" s="1"/>
  <c r="AC17" i="36"/>
  <c r="AC90" i="9" s="1"/>
  <c r="AC16" i="36"/>
  <c r="AC13" i="36"/>
  <c r="AF39" i="59" s="1"/>
  <c r="AD12" i="36"/>
  <c r="AG38" i="59" s="1"/>
  <c r="AD11" i="36"/>
  <c r="AG37" i="59" s="1"/>
  <c r="AD10" i="36"/>
  <c r="AG36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98" i="6" s="1"/>
  <c r="AD104" i="6" s="1"/>
  <c r="AD106" i="6" s="1"/>
  <c r="AD144" i="6" s="1"/>
  <c r="AG15" i="59" s="1"/>
  <c r="AD53" i="7" l="1"/>
  <c r="AD77" i="7" s="1"/>
  <c r="AD143" i="6"/>
  <c r="AC6" i="73"/>
  <c r="AD46" i="28"/>
  <c r="AD35" i="28" s="1"/>
  <c r="AD60" i="28"/>
  <c r="AN60" i="28" s="1"/>
  <c r="BD60" i="28" s="1"/>
  <c r="AN58" i="28"/>
  <c r="BD58" i="28" s="1"/>
  <c r="AC37" i="77"/>
  <c r="AM37" i="77" s="1"/>
  <c r="BC37" i="77" s="1"/>
  <c r="AM42" i="77"/>
  <c r="BC42" i="77" s="1"/>
  <c r="AD146" i="6"/>
  <c r="AC514" i="28"/>
  <c r="AC113" i="73"/>
  <c r="AC34" i="8"/>
  <c r="AC503" i="28"/>
  <c r="AD171" i="6"/>
  <c r="AC511" i="28"/>
  <c r="AC507" i="28"/>
  <c r="AC168" i="6"/>
  <c r="AC502" i="28"/>
  <c r="AD71" i="8"/>
  <c r="AC37" i="8"/>
  <c r="AC36" i="8"/>
  <c r="AC63" i="8"/>
  <c r="AC144" i="6"/>
  <c r="AC510" i="28"/>
  <c r="AD104" i="7"/>
  <c r="AG31" i="59"/>
  <c r="AM198" i="73"/>
  <c r="BC198" i="73" s="1"/>
  <c r="AM218" i="73"/>
  <c r="BC218" i="73" s="1"/>
  <c r="AM229" i="73"/>
  <c r="BC229" i="73" s="1"/>
  <c r="AD168" i="6"/>
  <c r="AM231" i="73"/>
  <c r="BC231" i="73" s="1"/>
  <c r="AC139" i="6"/>
  <c r="AC146" i="6"/>
  <c r="AC143" i="6"/>
  <c r="AD139" i="6"/>
  <c r="AC171" i="6"/>
  <c r="AC169" i="6"/>
  <c r="AD169" i="6"/>
  <c r="AG22" i="59" s="1"/>
  <c r="AM127" i="73"/>
  <c r="BC127" i="73" s="1"/>
  <c r="AM209" i="73"/>
  <c r="BC209" i="73" s="1"/>
  <c r="AG41" i="59"/>
  <c r="AG43" i="59" s="1"/>
  <c r="AD120" i="8"/>
  <c r="AC104" i="7"/>
  <c r="AD63" i="7"/>
  <c r="AD35" i="36"/>
  <c r="AD36" i="36" s="1"/>
  <c r="AD38" i="36" s="1"/>
  <c r="AD30" i="36" s="1"/>
  <c r="AG79" i="59" s="1"/>
  <c r="AD41" i="36"/>
  <c r="AD43" i="36" s="1"/>
  <c r="AD31" i="36" s="1"/>
  <c r="AC121" i="90"/>
  <c r="AC12" i="15"/>
  <c r="AC13" i="15" s="1"/>
  <c r="AC14" i="15" s="1"/>
  <c r="AC60" i="36"/>
  <c r="AC68" i="36"/>
  <c r="AC109" i="8"/>
  <c r="AC111" i="8" s="1"/>
  <c r="AF6" i="59"/>
  <c r="AC11" i="35"/>
  <c r="AC10" i="6" s="1"/>
  <c r="AC8" i="6"/>
  <c r="AF76" i="59"/>
  <c r="AC14" i="35"/>
  <c r="AC9" i="6"/>
  <c r="AC56" i="36"/>
  <c r="AC89" i="9"/>
  <c r="AC91" i="9" s="1"/>
  <c r="AF53" i="59"/>
  <c r="AF54" i="59"/>
  <c r="AF77" i="59"/>
  <c r="AC57" i="36"/>
  <c r="AF78" i="59"/>
  <c r="AC95" i="9"/>
  <c r="AB130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2" i="73"/>
  <c r="AC5" i="73"/>
  <c r="AC48" i="35"/>
  <c r="AC31" i="28"/>
  <c r="AD71" i="36"/>
  <c r="AD63" i="36"/>
  <c r="AD68" i="36"/>
  <c r="AD77" i="9"/>
  <c r="AD16" i="6"/>
  <c r="AD18" i="6"/>
  <c r="AD17" i="6"/>
  <c r="AD15" i="6"/>
  <c r="AD7" i="6"/>
  <c r="AD8" i="35"/>
  <c r="AD41" i="35"/>
  <c r="AD97" i="11"/>
  <c r="AD33" i="35"/>
  <c r="AD37" i="35" s="1"/>
  <c r="AC213" i="6"/>
  <c r="AC214" i="6" s="1"/>
  <c r="AC26" i="21"/>
  <c r="AC28" i="21" s="1"/>
  <c r="AC22" i="21"/>
  <c r="AD74" i="9"/>
  <c r="AG53" i="59"/>
  <c r="AD18" i="36"/>
  <c r="AG55" i="59" s="1"/>
  <c r="AD60" i="36"/>
  <c r="AG48" i="59"/>
  <c r="AD13" i="36"/>
  <c r="AG39" i="59" s="1"/>
  <c r="AD35" i="8"/>
  <c r="AD70" i="8"/>
  <c r="AF43" i="59"/>
  <c r="AF48" i="59"/>
  <c r="AF29" i="59"/>
  <c r="AC77" i="7"/>
  <c r="AC63" i="7"/>
  <c r="AC200" i="6"/>
  <c r="AC208" i="6"/>
  <c r="AD13" i="49"/>
  <c r="AG6" i="59"/>
  <c r="AC35" i="6"/>
  <c r="AD145" i="6"/>
  <c r="AD7" i="36" s="1"/>
  <c r="AG8" i="59" s="1"/>
  <c r="AD15" i="35"/>
  <c r="AC79" i="28"/>
  <c r="AC36" i="36"/>
  <c r="AC38" i="36" s="1"/>
  <c r="AC30" i="36" s="1"/>
  <c r="AF79" i="59" s="1"/>
  <c r="AD20" i="21"/>
  <c r="AC15" i="21"/>
  <c r="AC13" i="35"/>
  <c r="AC37" i="35"/>
  <c r="AC41" i="35"/>
  <c r="AC145" i="6" l="1"/>
  <c r="AD67" i="28"/>
  <c r="AD37" i="28"/>
  <c r="AN46" i="28"/>
  <c r="BD46" i="28" s="1"/>
  <c r="AD442" i="28"/>
  <c r="AD473" i="28" s="1"/>
  <c r="AD48" i="28"/>
  <c r="AC170" i="6"/>
  <c r="AD203" i="6"/>
  <c r="AC207" i="6"/>
  <c r="AC35" i="8"/>
  <c r="AC202" i="6"/>
  <c r="AD209" i="6"/>
  <c r="AD199" i="6"/>
  <c r="AD210" i="6"/>
  <c r="AC204" i="6"/>
  <c r="AC210" i="6"/>
  <c r="AD204" i="6"/>
  <c r="AC199" i="6"/>
  <c r="AD193" i="6"/>
  <c r="AD200" i="6"/>
  <c r="AD170" i="6"/>
  <c r="AD8" i="36" s="1"/>
  <c r="AG9" i="59" s="1"/>
  <c r="AD207" i="6"/>
  <c r="AD208" i="6"/>
  <c r="AD202" i="6"/>
  <c r="AD205" i="6"/>
  <c r="AC203" i="6"/>
  <c r="AD213" i="6"/>
  <c r="AC205" i="6"/>
  <c r="AC209" i="6"/>
  <c r="AC49" i="35"/>
  <c r="AC55" i="35" s="1"/>
  <c r="AD195" i="6"/>
  <c r="AD123" i="8"/>
  <c r="AD121" i="8"/>
  <c r="AD125" i="8" s="1"/>
  <c r="AD126" i="8" s="1"/>
  <c r="AC15" i="35"/>
  <c r="AC57" i="9"/>
  <c r="AC125" i="90"/>
  <c r="AD19" i="36"/>
  <c r="AG56" i="59" s="1"/>
  <c r="AC60" i="9"/>
  <c r="AC62" i="9"/>
  <c r="AC21" i="22"/>
  <c r="AC7" i="22"/>
  <c r="AC37" i="28"/>
  <c r="AC63" i="28"/>
  <c r="AD79" i="9"/>
  <c r="AD190" i="6"/>
  <c r="AD185" i="6"/>
  <c r="AD164" i="6"/>
  <c r="AD160" i="6"/>
  <c r="AD19" i="6"/>
  <c r="AD25" i="36"/>
  <c r="AG75" i="59" s="1"/>
  <c r="AC506" i="28"/>
  <c r="AC505" i="28"/>
  <c r="W82" i="77"/>
  <c r="AI82" i="77" s="1"/>
  <c r="AD525" i="28" l="1"/>
  <c r="AD493" i="28"/>
  <c r="AN48" i="28"/>
  <c r="BD48" i="28" s="1"/>
  <c r="AN35" i="28"/>
  <c r="BD35" i="28" s="1"/>
  <c r="AC211" i="6"/>
  <c r="AD206" i="6"/>
  <c r="AC69" i="28"/>
  <c r="AC206" i="6"/>
  <c r="AC212" i="6" s="1"/>
  <c r="AC215" i="6" s="1"/>
  <c r="AD214" i="6"/>
  <c r="AD211" i="6"/>
  <c r="AG11" i="59" s="1"/>
  <c r="AD81" i="6"/>
  <c r="AD129" i="8"/>
  <c r="AD130" i="8"/>
  <c r="AD143" i="8" s="1"/>
  <c r="AD131" i="8"/>
  <c r="AD144" i="8" s="1"/>
  <c r="AC8" i="22"/>
  <c r="AC22" i="22"/>
  <c r="AA82" i="77"/>
  <c r="BE82" i="77" s="1"/>
  <c r="Y82" i="77"/>
  <c r="AO82" i="77"/>
  <c r="AS82" i="77"/>
  <c r="AE82" i="77"/>
  <c r="AW82" i="77"/>
  <c r="AD84" i="6"/>
  <c r="AC493" i="28"/>
  <c r="AC75" i="28"/>
  <c r="AD38" i="6"/>
  <c r="AD40" i="6"/>
  <c r="AD39" i="6"/>
  <c r="AD37" i="6"/>
  <c r="T82" i="77"/>
  <c r="AN67" i="28" l="1"/>
  <c r="AD69" i="28"/>
  <c r="AD70" i="28" s="1"/>
  <c r="AD496" i="28"/>
  <c r="AD518" i="28"/>
  <c r="AD497" i="28"/>
  <c r="AN37" i="28"/>
  <c r="BD37" i="28" s="1"/>
  <c r="AD75" i="28"/>
  <c r="AD76" i="28" s="1"/>
  <c r="AD523" i="28" s="1"/>
  <c r="AD517" i="28"/>
  <c r="AD519" i="28"/>
  <c r="AD212" i="6"/>
  <c r="AD215" i="6" s="1"/>
  <c r="AC522" i="28"/>
  <c r="AD132" i="8"/>
  <c r="AD145" i="8" s="1"/>
  <c r="AD142" i="8"/>
  <c r="AC24" i="22"/>
  <c r="AC10" i="22"/>
  <c r="AC91" i="28"/>
  <c r="AC76" i="28"/>
  <c r="AC519" i="28"/>
  <c r="AC496" i="28"/>
  <c r="AD41" i="6"/>
  <c r="AD9" i="36" l="1"/>
  <c r="AG10" i="59" s="1"/>
  <c r="BD67" i="28"/>
  <c r="AN69" i="28"/>
  <c r="BD69" i="28" s="1"/>
  <c r="AD522" i="28"/>
  <c r="AC497" i="28"/>
  <c r="AC523" i="28"/>
  <c r="AC11" i="22"/>
  <c r="AC25" i="22"/>
  <c r="AC518" i="28"/>
  <c r="AC95" i="28"/>
  <c r="AC517" i="28"/>
  <c r="L55" i="6"/>
  <c r="L56" i="6"/>
  <c r="BD70" i="28" l="1"/>
  <c r="AN70" i="28"/>
  <c r="AC27" i="22"/>
  <c r="AC13" i="22"/>
  <c r="F56" i="6"/>
  <c r="F55" i="6"/>
  <c r="Z186" i="10" l="1"/>
  <c r="AB186" i="10" s="1"/>
  <c r="AF186" i="10" s="1"/>
  <c r="AJ186" i="10" s="1"/>
  <c r="AP186" i="10" s="1"/>
  <c r="AT186" i="10" s="1"/>
  <c r="AX186" i="10" s="1"/>
  <c r="BF186" i="10" l="1"/>
  <c r="BI186" i="10" s="1"/>
  <c r="X77" i="77"/>
  <c r="X76" i="77"/>
  <c r="X75" i="77"/>
  <c r="X74" i="77"/>
  <c r="X73" i="77"/>
  <c r="X72" i="77"/>
  <c r="X70" i="77"/>
  <c r="X69" i="77"/>
  <c r="X68" i="77"/>
  <c r="X67" i="77"/>
  <c r="X66" i="77"/>
  <c r="X65" i="77"/>
  <c r="X64" i="77"/>
  <c r="X63" i="77"/>
  <c r="X62" i="77"/>
  <c r="Z62" i="77" s="1"/>
  <c r="AD62" i="77" s="1"/>
  <c r="X61" i="77"/>
  <c r="X60" i="77"/>
  <c r="X58" i="77"/>
  <c r="X57" i="77"/>
  <c r="X56" i="77"/>
  <c r="X55" i="77"/>
  <c r="X54" i="77"/>
  <c r="X52" i="77"/>
  <c r="X51" i="77"/>
  <c r="X50" i="77"/>
  <c r="X49" i="77"/>
  <c r="X48" i="77"/>
  <c r="X47" i="77"/>
  <c r="X46" i="77"/>
  <c r="X45" i="77"/>
  <c r="X44" i="77"/>
  <c r="Z44" i="77" s="1"/>
  <c r="AD44" i="77" s="1"/>
  <c r="X43" i="77"/>
  <c r="X35" i="77"/>
  <c r="X34" i="77"/>
  <c r="X33" i="77"/>
  <c r="X31" i="77"/>
  <c r="X30" i="77"/>
  <c r="X29" i="77"/>
  <c r="X28" i="77"/>
  <c r="X27" i="77"/>
  <c r="X25" i="77"/>
  <c r="X24" i="77"/>
  <c r="X23" i="77"/>
  <c r="X22" i="77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26" i="77" l="1"/>
  <c r="X36" i="77"/>
  <c r="X71" i="77"/>
  <c r="X53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33" i="73"/>
  <c r="Y232" i="73"/>
  <c r="Y230" i="73"/>
  <c r="Y228" i="73"/>
  <c r="Y227" i="73"/>
  <c r="Y226" i="73"/>
  <c r="Y225" i="73"/>
  <c r="Y224" i="73"/>
  <c r="Y223" i="73"/>
  <c r="Y222" i="73"/>
  <c r="Y219" i="73"/>
  <c r="Y217" i="73"/>
  <c r="Y216" i="73"/>
  <c r="Y215" i="73"/>
  <c r="Y214" i="73"/>
  <c r="Y213" i="73"/>
  <c r="Y212" i="73"/>
  <c r="Y211" i="73"/>
  <c r="Y210" i="73"/>
  <c r="Y208" i="73"/>
  <c r="Y207" i="73"/>
  <c r="Y206" i="73"/>
  <c r="Y205" i="73"/>
  <c r="Y204" i="73"/>
  <c r="Y202" i="73"/>
  <c r="Y201" i="73"/>
  <c r="Y200" i="73"/>
  <c r="Y199" i="73"/>
  <c r="Y128" i="73"/>
  <c r="Y88" i="73"/>
  <c r="Y203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81" i="17"/>
  <c r="AA81" i="17" s="1"/>
  <c r="AE81" i="17" s="1"/>
  <c r="AI81" i="17" s="1"/>
  <c r="AO81" i="17" s="1"/>
  <c r="AS81" i="17" s="1"/>
  <c r="AW81" i="17" s="1"/>
  <c r="Y80" i="17"/>
  <c r="AA80" i="17" s="1"/>
  <c r="AE80" i="17" s="1"/>
  <c r="AI80" i="17" s="1"/>
  <c r="AO80" i="17" s="1"/>
  <c r="AS80" i="17" s="1"/>
  <c r="AW80" i="17" s="1"/>
  <c r="W57" i="17"/>
  <c r="W56" i="17"/>
  <c r="W55" i="17"/>
  <c r="W54" i="17"/>
  <c r="W53" i="17"/>
  <c r="V53" i="17"/>
  <c r="W44" i="17"/>
  <c r="V44" i="17"/>
  <c r="W37" i="17"/>
  <c r="W39" i="17" s="1"/>
  <c r="V37" i="17"/>
  <c r="V39" i="17" s="1"/>
  <c r="V31" i="17"/>
  <c r="W29" i="17"/>
  <c r="W30" i="17" s="1"/>
  <c r="V28" i="17"/>
  <c r="V25" i="17"/>
  <c r="W22" i="17"/>
  <c r="W23" i="17" s="1"/>
  <c r="V22" i="17"/>
  <c r="W19" i="17"/>
  <c r="V18" i="17"/>
  <c r="W17" i="17"/>
  <c r="V16" i="17"/>
  <c r="W14" i="17"/>
  <c r="W20" i="17" s="1"/>
  <c r="V14" i="17"/>
  <c r="W13" i="17"/>
  <c r="W11" i="17"/>
  <c r="W9" i="17"/>
  <c r="V85" i="17" l="1"/>
  <c r="W85" i="17"/>
  <c r="W32" i="17"/>
  <c r="V29" i="17"/>
  <c r="V32" i="17" s="1"/>
  <c r="V20" i="17"/>
  <c r="W24" i="17"/>
  <c r="W21" i="17"/>
  <c r="W25" i="17" s="1"/>
  <c r="W15" i="17"/>
  <c r="V30" i="17" l="1"/>
  <c r="V24" i="17"/>
  <c r="Y124" i="73" l="1"/>
  <c r="T84" i="10" l="1"/>
  <c r="T135" i="10"/>
  <c r="V15" i="26"/>
  <c r="X23" i="10" l="1"/>
  <c r="X30" i="10"/>
  <c r="X25" i="10"/>
  <c r="Y29" i="50" s="1"/>
  <c r="X24" i="10"/>
  <c r="Y27" i="50" s="1"/>
  <c r="X28" i="10"/>
  <c r="Y113" i="50" s="1"/>
  <c r="AA113" i="50" s="1"/>
  <c r="AC113" i="50" s="1"/>
  <c r="AG113" i="50" s="1"/>
  <c r="AK113" i="50" s="1"/>
  <c r="AQ113" i="50" s="1"/>
  <c r="AU113" i="50" s="1"/>
  <c r="AY113" i="50" s="1"/>
  <c r="BG113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98" i="28" l="1"/>
  <c r="AB398" i="28" s="1"/>
  <c r="AF398" i="28" s="1"/>
  <c r="AJ398" i="28" s="1"/>
  <c r="AP398" i="28" s="1"/>
  <c r="AT398" i="28" s="1"/>
  <c r="AX398" i="28" s="1"/>
  <c r="BF398" i="28" s="1"/>
  <c r="BH398" i="28" s="1"/>
  <c r="V399" i="28"/>
  <c r="Z399" i="28"/>
  <c r="AB399" i="28" s="1"/>
  <c r="AF399" i="28" s="1"/>
  <c r="AJ399" i="28" s="1"/>
  <c r="AP399" i="28" s="1"/>
  <c r="AT399" i="28" s="1"/>
  <c r="AX399" i="28" s="1"/>
  <c r="BF399" i="28" s="1"/>
  <c r="BH399" i="28" s="1"/>
  <c r="Z269" i="28"/>
  <c r="AB269" i="28" s="1"/>
  <c r="AF269" i="28" s="1"/>
  <c r="AJ269" i="28" s="1"/>
  <c r="AP269" i="28" s="1"/>
  <c r="W100" i="90"/>
  <c r="W91" i="90"/>
  <c r="AT269" i="28" l="1"/>
  <c r="AX269" i="28" s="1"/>
  <c r="BF269" i="28" s="1"/>
  <c r="BH269" i="28" s="1"/>
  <c r="W116" i="90"/>
  <c r="W128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24" i="27" l="1"/>
  <c r="W32" i="15"/>
  <c r="X28" i="22"/>
  <c r="X24" i="22"/>
  <c r="X23" i="22"/>
  <c r="X14" i="22"/>
  <c r="X10" i="22"/>
  <c r="X9" i="22"/>
  <c r="X12" i="22" l="1"/>
  <c r="X26" i="22"/>
  <c r="AB94" i="38"/>
  <c r="AB93" i="38"/>
  <c r="AB92" i="38"/>
  <c r="AB91" i="38"/>
  <c r="AA90" i="38"/>
  <c r="AB89" i="38"/>
  <c r="AA88" i="38"/>
  <c r="AB86" i="38"/>
  <c r="AB85" i="38"/>
  <c r="AB84" i="38"/>
  <c r="AB83" i="38"/>
  <c r="AA82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B68" i="38"/>
  <c r="AB67" i="38"/>
  <c r="AA66" i="38"/>
  <c r="AB62" i="38"/>
  <c r="AB61" i="38"/>
  <c r="AA60" i="38"/>
  <c r="AB59" i="38"/>
  <c r="AB58" i="38"/>
  <c r="AB57" i="38"/>
  <c r="AB56" i="38"/>
  <c r="AB55" i="38"/>
  <c r="AA54" i="38"/>
  <c r="AA52" i="38"/>
  <c r="AB51" i="38"/>
  <c r="AA51" i="38"/>
  <c r="AA46" i="38"/>
  <c r="AA45" i="38"/>
  <c r="AA44" i="38"/>
  <c r="AA43" i="38"/>
  <c r="AB42" i="38"/>
  <c r="AB90" i="38" s="1"/>
  <c r="AA41" i="38"/>
  <c r="AA40" i="38" s="1"/>
  <c r="AB40" i="38"/>
  <c r="AB88" i="38" s="1"/>
  <c r="AA38" i="38"/>
  <c r="AA37" i="38"/>
  <c r="AA36" i="38"/>
  <c r="AA35" i="38"/>
  <c r="AB34" i="38"/>
  <c r="AB82" i="38" s="1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A19" i="38"/>
  <c r="AB18" i="38"/>
  <c r="AB66" i="38" s="1"/>
  <c r="AA14" i="38"/>
  <c r="AA13" i="38"/>
  <c r="AB12" i="38"/>
  <c r="AB60" i="38" s="1"/>
  <c r="AA11" i="38"/>
  <c r="AA10" i="38"/>
  <c r="AA9" i="38"/>
  <c r="AA8" i="38"/>
  <c r="AA7" i="38"/>
  <c r="AB6" i="38"/>
  <c r="W112" i="26"/>
  <c r="V110" i="26"/>
  <c r="V108" i="26"/>
  <c r="V106" i="26"/>
  <c r="V104" i="26"/>
  <c r="V102" i="26"/>
  <c r="V100" i="26"/>
  <c r="V98" i="26"/>
  <c r="V96" i="26"/>
  <c r="W92" i="26"/>
  <c r="V89" i="26"/>
  <c r="V87" i="26"/>
  <c r="V85" i="26"/>
  <c r="V83" i="26"/>
  <c r="W81" i="26"/>
  <c r="W80" i="26"/>
  <c r="V78" i="26"/>
  <c r="V76" i="26"/>
  <c r="W73" i="26"/>
  <c r="V71" i="26"/>
  <c r="V69" i="26"/>
  <c r="V67" i="26"/>
  <c r="V65" i="26"/>
  <c r="V63" i="26"/>
  <c r="V61" i="26"/>
  <c r="V59" i="26"/>
  <c r="V57" i="26"/>
  <c r="V52" i="26"/>
  <c r="V50" i="26"/>
  <c r="W48" i="26"/>
  <c r="V46" i="26"/>
  <c r="W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W12" i="26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7" i="45"/>
  <c r="AA28" i="45"/>
  <c r="AA29" i="45"/>
  <c r="AA30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3" i="45"/>
  <c r="AC83" i="45" s="1"/>
  <c r="AG83" i="45" s="1"/>
  <c r="AK83" i="45" s="1"/>
  <c r="AQ83" i="45" s="1"/>
  <c r="AU83" i="45" s="1"/>
  <c r="AY83" i="45" s="1"/>
  <c r="BG83" i="45" s="1"/>
  <c r="BI83" i="45" s="1"/>
  <c r="AA84" i="45"/>
  <c r="AC84" i="45" s="1"/>
  <c r="AG84" i="45" s="1"/>
  <c r="AK84" i="45" s="1"/>
  <c r="AQ84" i="45" s="1"/>
  <c r="AU84" i="45" s="1"/>
  <c r="AY84" i="45" s="1"/>
  <c r="BG84" i="45" s="1"/>
  <c r="BI84" i="45" s="1"/>
  <c r="AA85" i="45"/>
  <c r="AC85" i="45" s="1"/>
  <c r="AG85" i="45" s="1"/>
  <c r="AK85" i="45" s="1"/>
  <c r="AQ85" i="45" s="1"/>
  <c r="AU85" i="45" s="1"/>
  <c r="AY85" i="45" s="1"/>
  <c r="BG85" i="45" s="1"/>
  <c r="BI85" i="45" s="1"/>
  <c r="AA89" i="45"/>
  <c r="AA90" i="45"/>
  <c r="AA91" i="45"/>
  <c r="AA92" i="45"/>
  <c r="AA93" i="45"/>
  <c r="AA94" i="45"/>
  <c r="AA96" i="45"/>
  <c r="AC96" i="45" s="1"/>
  <c r="AG96" i="45" s="1"/>
  <c r="AK96" i="45" s="1"/>
  <c r="AQ96" i="45" s="1"/>
  <c r="AU96" i="45" s="1"/>
  <c r="AY96" i="45" s="1"/>
  <c r="BG96" i="45" s="1"/>
  <c r="BI96" i="45" s="1"/>
  <c r="AA97" i="45"/>
  <c r="AA98" i="45"/>
  <c r="AC101" i="45"/>
  <c r="AG101" i="45" s="1"/>
  <c r="AK101" i="45" s="1"/>
  <c r="AQ101" i="45" s="1"/>
  <c r="AU101" i="45" s="1"/>
  <c r="AY101" i="45" s="1"/>
  <c r="BG101" i="45" s="1"/>
  <c r="BI101" i="45" s="1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7" i="45"/>
  <c r="AA120" i="45"/>
  <c r="X3" i="8"/>
  <c r="V54" i="17" l="1"/>
  <c r="W19" i="26"/>
  <c r="V57" i="17"/>
  <c r="V55" i="17"/>
  <c r="V48" i="26"/>
  <c r="V49" i="26" s="1"/>
  <c r="W55" i="26"/>
  <c r="AA12" i="38"/>
  <c r="V56" i="17"/>
  <c r="AA175" i="45"/>
  <c r="AB17" i="38"/>
  <c r="AB65" i="38" s="1"/>
  <c r="AB15" i="38"/>
  <c r="AB63" i="38" s="1"/>
  <c r="AA174" i="45"/>
  <c r="AC75" i="45"/>
  <c r="AA176" i="45"/>
  <c r="AA173" i="45"/>
  <c r="AA172" i="45"/>
  <c r="V81" i="26"/>
  <c r="V12" i="26"/>
  <c r="V80" i="26"/>
  <c r="V92" i="26"/>
  <c r="V73" i="26"/>
  <c r="V112" i="26"/>
  <c r="V43" i="26"/>
  <c r="AA65" i="38"/>
  <c r="AA87" i="38"/>
  <c r="AA42" i="38"/>
  <c r="AA39" i="38" s="1"/>
  <c r="AA34" i="38"/>
  <c r="AA18" i="38"/>
  <c r="AA63" i="38"/>
  <c r="AA6" i="38"/>
  <c r="AB54" i="38"/>
  <c r="AB39" i="38"/>
  <c r="V54" i="26"/>
  <c r="W18" i="26"/>
  <c r="W54" i="26"/>
  <c r="W13" i="26"/>
  <c r="W49" i="26"/>
  <c r="AE176" i="45"/>
  <c r="AD47" i="35" s="1"/>
  <c r="AN47" i="35" s="1"/>
  <c r="BD47" i="35" s="1"/>
  <c r="AD46" i="35"/>
  <c r="AN46" i="35" s="1"/>
  <c r="BD46" i="35" s="1"/>
  <c r="AE174" i="45"/>
  <c r="AD45" i="35" s="1"/>
  <c r="AE173" i="45"/>
  <c r="AD44" i="35" s="1"/>
  <c r="AE172" i="45"/>
  <c r="AD43" i="35" s="1"/>
  <c r="AE171" i="45"/>
  <c r="AD42" i="35" s="1"/>
  <c r="W29" i="72"/>
  <c r="W30" i="72"/>
  <c r="W31" i="72"/>
  <c r="W32" i="72"/>
  <c r="W33" i="72"/>
  <c r="W34" i="72"/>
  <c r="W35" i="72"/>
  <c r="K43" i="72"/>
  <c r="S43" i="72"/>
  <c r="W43" i="72"/>
  <c r="AU57" i="71"/>
  <c r="E86" i="90" s="1"/>
  <c r="AW57" i="71"/>
  <c r="G86" i="90" s="1"/>
  <c r="BA57" i="71"/>
  <c r="K86" i="90" s="1"/>
  <c r="BE57" i="71"/>
  <c r="O86" i="90" s="1"/>
  <c r="BI57" i="71"/>
  <c r="S86" i="90" s="1"/>
  <c r="BM57" i="7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R54" i="71" s="1"/>
  <c r="AO55" i="71"/>
  <c r="AQ55" i="71" s="1"/>
  <c r="AF57" i="71"/>
  <c r="AK57" i="71"/>
  <c r="AO57" i="71"/>
  <c r="AA15" i="38" l="1"/>
  <c r="V55" i="26"/>
  <c r="V19" i="26"/>
  <c r="BA86" i="90"/>
  <c r="AA17" i="38"/>
  <c r="AP57" i="71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4" i="38"/>
  <c r="AA96" i="38" s="1"/>
  <c r="BC57" i="71"/>
  <c r="BG57" i="71" s="1"/>
  <c r="BK57" i="71" s="1"/>
  <c r="AP27" i="71"/>
  <c r="AP40" i="71"/>
  <c r="V13" i="26"/>
  <c r="AP39" i="71"/>
  <c r="AP36" i="71"/>
  <c r="V18" i="26"/>
  <c r="AQ57" i="71"/>
  <c r="AP38" i="71"/>
  <c r="Y43" i="72"/>
  <c r="AC43" i="72" s="1"/>
  <c r="AG43" i="72" s="1"/>
  <c r="AM43" i="72" s="1"/>
  <c r="AQ43" i="72" s="1"/>
  <c r="AU43" i="72" s="1"/>
  <c r="BC43" i="72" s="1"/>
  <c r="AP50" i="71"/>
  <c r="AP22" i="71"/>
  <c r="AP9" i="71"/>
  <c r="AP16" i="71"/>
  <c r="AP14" i="71"/>
  <c r="AP37" i="71"/>
  <c r="AP35" i="71"/>
  <c r="AP28" i="71"/>
  <c r="AP26" i="71"/>
  <c r="AP51" i="71"/>
  <c r="AP48" i="71"/>
  <c r="AP46" i="71"/>
  <c r="AP8" i="71"/>
  <c r="AP25" i="71"/>
  <c r="AP13" i="71"/>
  <c r="AP11" i="71"/>
  <c r="U86" i="90"/>
  <c r="AM86" i="90"/>
  <c r="BO57" i="71"/>
  <c r="W86" i="90"/>
  <c r="Y86" i="90" s="1"/>
  <c r="AP21" i="71"/>
  <c r="AP18" i="71"/>
  <c r="AA16" i="38"/>
  <c r="AA48" i="38" s="1"/>
  <c r="AP52" i="71"/>
  <c r="AP47" i="71"/>
  <c r="AP15" i="71"/>
  <c r="AP55" i="71"/>
  <c r="AP54" i="71"/>
  <c r="AP20" i="71"/>
  <c r="AY57" i="71"/>
  <c r="AG75" i="45"/>
  <c r="AK75" i="45" s="1"/>
  <c r="AQ75" i="45" s="1"/>
  <c r="AU75" i="45" s="1"/>
  <c r="AY75" i="45" s="1"/>
  <c r="BG75" i="45" s="1"/>
  <c r="BI75" i="45" s="1"/>
  <c r="AP53" i="71"/>
  <c r="AG57" i="71"/>
  <c r="AD49" i="35"/>
  <c r="AD55" i="35" s="1"/>
  <c r="AB87" i="38"/>
  <c r="AB16" i="38"/>
  <c r="CU57" i="71"/>
  <c r="CC57" i="71"/>
  <c r="CQ57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50" i="71"/>
  <c r="W83" i="90" s="1"/>
  <c r="BM51" i="71"/>
  <c r="W84" i="90" s="1"/>
  <c r="BM52" i="71"/>
  <c r="BM53" i="71"/>
  <c r="BM54" i="71"/>
  <c r="BM55" i="71"/>
  <c r="W85" i="90" s="1"/>
  <c r="BM56" i="71"/>
  <c r="BC86" i="90" l="1"/>
  <c r="BE86" i="90"/>
  <c r="BQ57" i="71"/>
  <c r="BU57" i="71" s="1"/>
  <c r="BY57" i="71" s="1"/>
  <c r="CE57" i="71" s="1"/>
  <c r="AR57" i="71"/>
  <c r="AA86" i="90"/>
  <c r="AI86" i="90"/>
  <c r="AO86" i="90"/>
  <c r="AS86" i="90" s="1"/>
  <c r="AW86" i="90" s="1"/>
  <c r="AE86" i="90"/>
  <c r="CS57" i="71"/>
  <c r="AB64" i="38"/>
  <c r="AB96" i="38" s="1"/>
  <c r="AB48" i="38"/>
  <c r="Z17" i="11"/>
  <c r="AB17" i="11" s="1"/>
  <c r="AF17" i="11" s="1"/>
  <c r="AJ17" i="11" s="1"/>
  <c r="AP17" i="11" s="1"/>
  <c r="AT17" i="11" s="1"/>
  <c r="AX17" i="11" s="1"/>
  <c r="BF17" i="11" s="1"/>
  <c r="G28" i="50"/>
  <c r="I28" i="50"/>
  <c r="M28" i="50"/>
  <c r="Q28" i="50"/>
  <c r="U28" i="50"/>
  <c r="AE28" i="50"/>
  <c r="AI28" i="50"/>
  <c r="AM28" i="50"/>
  <c r="AS28" i="50"/>
  <c r="AW28" i="50"/>
  <c r="BA28" i="50"/>
  <c r="CI57" i="71" l="1"/>
  <c r="CM57" i="71" s="1"/>
  <c r="O28" i="50"/>
  <c r="S28" i="50" s="1"/>
  <c r="W28" i="50" s="1"/>
  <c r="AO28" i="50"/>
  <c r="K28" i="50"/>
  <c r="BC28" i="50"/>
  <c r="AA28" i="50"/>
  <c r="AC28" i="50" l="1"/>
  <c r="AG28" i="50" s="1"/>
  <c r="AK28" i="50" s="1"/>
  <c r="AQ28" i="50" s="1"/>
  <c r="AU28" i="50" s="1"/>
  <c r="AY28" i="50" s="1"/>
  <c r="BG28" i="50" s="1"/>
  <c r="BH28" i="50" s="1"/>
  <c r="BE28" i="50"/>
  <c r="Y158" i="45"/>
  <c r="Y157" i="45"/>
  <c r="Y155" i="45"/>
  <c r="Y149" i="45"/>
  <c r="Y144" i="45"/>
  <c r="X144" i="45"/>
  <c r="Y143" i="45"/>
  <c r="X143" i="45"/>
  <c r="Y142" i="45"/>
  <c r="X142" i="45"/>
  <c r="Y141" i="45"/>
  <c r="X141" i="45"/>
  <c r="Y139" i="45"/>
  <c r="X139" i="45"/>
  <c r="Y137" i="45"/>
  <c r="X137" i="45"/>
  <c r="Y135" i="45"/>
  <c r="X135" i="45"/>
  <c r="Y132" i="45"/>
  <c r="X132" i="45"/>
  <c r="X133" i="45" s="1"/>
  <c r="Y130" i="45"/>
  <c r="Y123" i="45"/>
  <c r="Y160" i="45" s="1"/>
  <c r="Y122" i="45"/>
  <c r="Y145" i="45" s="1"/>
  <c r="X122" i="45"/>
  <c r="X145" i="45" s="1"/>
  <c r="Y121" i="45"/>
  <c r="Y159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7" i="10"/>
  <c r="Z109" i="10"/>
  <c r="Z110" i="10"/>
  <c r="Z111" i="10"/>
  <c r="Z112" i="10"/>
  <c r="Z113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3" i="10"/>
  <c r="Z144" i="10"/>
  <c r="Z145" i="10"/>
  <c r="Z146" i="10"/>
  <c r="Z147" i="10"/>
  <c r="Z148" i="10"/>
  <c r="Z149" i="10"/>
  <c r="Z150" i="10"/>
  <c r="Z151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60" i="10"/>
  <c r="X192" i="10" s="1"/>
  <c r="W159" i="10"/>
  <c r="X159" i="10"/>
  <c r="X158" i="10"/>
  <c r="X95" i="9"/>
  <c r="X196" i="10" l="1"/>
  <c r="X210" i="10"/>
  <c r="Y133" i="45"/>
  <c r="Y156" i="45"/>
  <c r="Y127" i="45"/>
  <c r="X92" i="11"/>
  <c r="X61" i="11"/>
  <c r="X58" i="11"/>
  <c r="W67" i="11"/>
  <c r="X84" i="11"/>
  <c r="X93" i="11"/>
  <c r="X67" i="11"/>
  <c r="W173" i="10"/>
  <c r="W178" i="10"/>
  <c r="W203" i="10"/>
  <c r="X200" i="10"/>
  <c r="W158" i="10"/>
  <c r="W210" i="10" s="1"/>
  <c r="W161" i="10"/>
  <c r="X140" i="45"/>
  <c r="X125" i="45"/>
  <c r="Y124" i="45"/>
  <c r="Y125" i="45"/>
  <c r="Y126" i="45" s="1"/>
  <c r="Y140" i="45"/>
  <c r="X90" i="11"/>
  <c r="X85" i="11"/>
  <c r="X74" i="11"/>
  <c r="Y161" i="45"/>
  <c r="X124" i="45"/>
  <c r="Y150" i="45"/>
  <c r="X121" i="45"/>
  <c r="Y151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0" i="9"/>
  <c r="X96" i="9"/>
  <c r="X33" i="22"/>
  <c r="W130" i="26"/>
  <c r="X48" i="9"/>
  <c r="X49" i="9" s="1"/>
  <c r="X87" i="9" s="1"/>
  <c r="W90" i="90"/>
  <c r="X37" i="9"/>
  <c r="X62" i="9"/>
  <c r="W25" i="9"/>
  <c r="W88" i="9" s="1"/>
  <c r="X14" i="9"/>
  <c r="X100" i="9"/>
  <c r="X89" i="9"/>
  <c r="X94" i="9"/>
  <c r="W19" i="15" s="1"/>
  <c r="X91" i="9" l="1"/>
  <c r="X83" i="9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8" i="7"/>
  <c r="Z35" i="7" s="1"/>
  <c r="Z99" i="7" s="1"/>
  <c r="Y18" i="7" l="1"/>
  <c r="Y35" i="7" s="1"/>
  <c r="Y99" i="7" s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7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X68" i="8"/>
  <c r="X66" i="8"/>
  <c r="X64" i="8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W13" i="8"/>
  <c r="X6" i="8"/>
  <c r="X6" i="49" s="1"/>
  <c r="W6" i="8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5" i="7"/>
  <c r="W75" i="7"/>
  <c r="X71" i="7"/>
  <c r="X73" i="7" s="1"/>
  <c r="W71" i="7"/>
  <c r="W73" i="7" s="1"/>
  <c r="X67" i="7"/>
  <c r="X81" i="7" s="1"/>
  <c r="W67" i="7"/>
  <c r="W81" i="7" s="1"/>
  <c r="X21" i="7"/>
  <c r="X41" i="7" s="1"/>
  <c r="X51" i="7" s="1"/>
  <c r="W21" i="7"/>
  <c r="W41" i="7" s="1"/>
  <c r="W51" i="7" s="1"/>
  <c r="W61" i="39"/>
  <c r="X43" i="22" s="1"/>
  <c r="W60" i="39"/>
  <c r="X42" i="22" s="1"/>
  <c r="W48" i="39"/>
  <c r="W47" i="39"/>
  <c r="W46" i="39"/>
  <c r="W43" i="39"/>
  <c r="W42" i="39"/>
  <c r="W8" i="39"/>
  <c r="X218" i="6"/>
  <c r="W218" i="6"/>
  <c r="X217" i="6"/>
  <c r="W217" i="6"/>
  <c r="W195" i="6"/>
  <c r="X194" i="6"/>
  <c r="W194" i="6"/>
  <c r="W193" i="6"/>
  <c r="X189" i="6"/>
  <c r="W189" i="6"/>
  <c r="X188" i="6"/>
  <c r="W188" i="6"/>
  <c r="X187" i="6"/>
  <c r="W187" i="6"/>
  <c r="W186" i="6"/>
  <c r="W185" i="6"/>
  <c r="W182" i="6"/>
  <c r="W181" i="6"/>
  <c r="W180" i="6"/>
  <c r="W179" i="6"/>
  <c r="W178" i="6"/>
  <c r="W177" i="6"/>
  <c r="W175" i="6"/>
  <c r="W174" i="6"/>
  <c r="W173" i="6"/>
  <c r="X163" i="6"/>
  <c r="W163" i="6"/>
  <c r="X162" i="6"/>
  <c r="W162" i="6"/>
  <c r="W161" i="6"/>
  <c r="W160" i="6"/>
  <c r="W157" i="6"/>
  <c r="W156" i="6"/>
  <c r="W155" i="6"/>
  <c r="W154" i="6"/>
  <c r="W153" i="6"/>
  <c r="W152" i="6"/>
  <c r="W150" i="6"/>
  <c r="W149" i="6"/>
  <c r="W148" i="6"/>
  <c r="X138" i="6"/>
  <c r="X135" i="6"/>
  <c r="W135" i="6"/>
  <c r="X134" i="6"/>
  <c r="W134" i="6"/>
  <c r="X133" i="6"/>
  <c r="W133" i="6"/>
  <c r="X132" i="6"/>
  <c r="W132" i="6"/>
  <c r="X130" i="6"/>
  <c r="W130" i="6"/>
  <c r="X129" i="6"/>
  <c r="W129" i="6"/>
  <c r="X127" i="6"/>
  <c r="W127" i="6"/>
  <c r="X126" i="6"/>
  <c r="W126" i="6"/>
  <c r="X125" i="6"/>
  <c r="W125" i="6"/>
  <c r="X124" i="6"/>
  <c r="W124" i="6"/>
  <c r="X119" i="6"/>
  <c r="W119" i="6"/>
  <c r="X114" i="6"/>
  <c r="W114" i="6"/>
  <c r="X103" i="6"/>
  <c r="W103" i="6"/>
  <c r="W98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91" i="77"/>
  <c r="W90" i="77"/>
  <c r="W83" i="77"/>
  <c r="W81" i="77"/>
  <c r="W80" i="77"/>
  <c r="Z596" i="28"/>
  <c r="Z595" i="28"/>
  <c r="W524" i="28"/>
  <c r="X481" i="28"/>
  <c r="X475" i="28"/>
  <c r="X443" i="28"/>
  <c r="X431" i="28"/>
  <c r="W431" i="28"/>
  <c r="X415" i="28"/>
  <c r="X304" i="28"/>
  <c r="W304" i="28"/>
  <c r="X298" i="28"/>
  <c r="W298" i="28"/>
  <c r="X297" i="28"/>
  <c r="W297" i="28"/>
  <c r="X256" i="28"/>
  <c r="W256" i="28"/>
  <c r="X235" i="28"/>
  <c r="X233" i="28"/>
  <c r="X96" i="28"/>
  <c r="X95" i="28"/>
  <c r="X93" i="28"/>
  <c r="X89" i="28"/>
  <c r="X85" i="28"/>
  <c r="X81" i="28"/>
  <c r="W68" i="28"/>
  <c r="W67" i="28"/>
  <c r="W65" i="28"/>
  <c r="X56" i="28"/>
  <c r="X29" i="28"/>
  <c r="W23" i="28"/>
  <c r="X21" i="28"/>
  <c r="W15" i="28"/>
  <c r="X13" i="28"/>
  <c r="W7" i="28"/>
  <c r="X17" i="49"/>
  <c r="X18" i="49" s="1"/>
  <c r="X11" i="49"/>
  <c r="W11" i="49"/>
  <c r="X9" i="49"/>
  <c r="X8" i="49"/>
  <c r="Y126" i="73"/>
  <c r="Y130" i="73"/>
  <c r="Y131" i="73"/>
  <c r="W231" i="73"/>
  <c r="W229" i="73"/>
  <c r="W218" i="73"/>
  <c r="W42" i="77" s="1"/>
  <c r="W209" i="73"/>
  <c r="W198" i="73"/>
  <c r="W173" i="73"/>
  <c r="W160" i="73"/>
  <c r="W171" i="73" s="1"/>
  <c r="W129" i="73"/>
  <c r="W127" i="73"/>
  <c r="W125" i="73"/>
  <c r="W121" i="73"/>
  <c r="W117" i="73"/>
  <c r="W108" i="73"/>
  <c r="W101" i="73"/>
  <c r="W97" i="73"/>
  <c r="W57" i="73"/>
  <c r="W51" i="73"/>
  <c r="W46" i="73"/>
  <c r="W41" i="73"/>
  <c r="W30" i="73"/>
  <c r="W25" i="73"/>
  <c r="W18" i="73"/>
  <c r="X58" i="28" s="1"/>
  <c r="X60" i="28" s="1"/>
  <c r="W16" i="73"/>
  <c r="W119" i="90" s="1"/>
  <c r="W8" i="73"/>
  <c r="W6" i="73" l="1"/>
  <c r="W5" i="73" s="1"/>
  <c r="X46" i="28"/>
  <c r="X35" i="28" s="1"/>
  <c r="W37" i="77"/>
  <c r="W113" i="73"/>
  <c r="W84" i="8"/>
  <c r="W13" i="28"/>
  <c r="X508" i="28"/>
  <c r="W21" i="28"/>
  <c r="W299" i="28" s="1"/>
  <c r="X16" i="8"/>
  <c r="W29" i="28"/>
  <c r="W416" i="28" s="1"/>
  <c r="X73" i="28"/>
  <c r="W22" i="39"/>
  <c r="X512" i="28"/>
  <c r="X416" i="28"/>
  <c r="X514" i="28" s="1"/>
  <c r="X65" i="8"/>
  <c r="X67" i="8"/>
  <c r="X516" i="28"/>
  <c r="X69" i="8"/>
  <c r="X74" i="8" s="1"/>
  <c r="X85" i="8"/>
  <c r="X236" i="28"/>
  <c r="X507" i="28" s="1"/>
  <c r="W34" i="39"/>
  <c r="W30" i="6"/>
  <c r="W25" i="6"/>
  <c r="W42" i="8"/>
  <c r="W6" i="49"/>
  <c r="W89" i="77"/>
  <c r="Z33" i="59"/>
  <c r="W12" i="15"/>
  <c r="W13" i="15" s="1"/>
  <c r="W14" i="15" s="1"/>
  <c r="W121" i="90"/>
  <c r="W125" i="90" s="1"/>
  <c r="W84" i="77"/>
  <c r="Z29" i="59"/>
  <c r="W66" i="9"/>
  <c r="W33" i="22"/>
  <c r="V130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X299" i="28"/>
  <c r="X502" i="28" s="1"/>
  <c r="X492" i="28"/>
  <c r="X513" i="28"/>
  <c r="X97" i="28"/>
  <c r="X59" i="8"/>
  <c r="X136" i="6"/>
  <c r="X35" i="6"/>
  <c r="X81" i="8"/>
  <c r="AA51" i="59" s="1"/>
  <c r="AA29" i="59"/>
  <c r="AA33" i="59"/>
  <c r="W23" i="39"/>
  <c r="W78" i="7"/>
  <c r="W68" i="7"/>
  <c r="W120" i="6"/>
  <c r="W27" i="6"/>
  <c r="W164" i="6"/>
  <c r="W159" i="6"/>
  <c r="W16" i="8"/>
  <c r="X109" i="8"/>
  <c r="X111" i="8" s="1"/>
  <c r="X53" i="8" s="1"/>
  <c r="X72" i="8"/>
  <c r="X34" i="8"/>
  <c r="X43" i="8"/>
  <c r="X135" i="8" s="1"/>
  <c r="X46" i="8"/>
  <c r="X50" i="8"/>
  <c r="X51" i="8" s="1"/>
  <c r="W27" i="8"/>
  <c r="X41" i="8"/>
  <c r="X44" i="8"/>
  <c r="X136" i="8" s="1"/>
  <c r="X47" i="8"/>
  <c r="W23" i="8"/>
  <c r="W28" i="8"/>
  <c r="W91" i="8"/>
  <c r="W30" i="8"/>
  <c r="W24" i="8"/>
  <c r="W29" i="8"/>
  <c r="X39" i="8"/>
  <c r="X45" i="8"/>
  <c r="X91" i="8"/>
  <c r="W25" i="8"/>
  <c r="W50" i="8"/>
  <c r="W51" i="8" s="1"/>
  <c r="W31" i="8"/>
  <c r="X40" i="8"/>
  <c r="X69" i="7"/>
  <c r="AA34" i="59"/>
  <c r="X78" i="7"/>
  <c r="W83" i="7"/>
  <c r="Z35" i="59" s="1"/>
  <c r="X83" i="7"/>
  <c r="AA35" i="59" s="1"/>
  <c r="W45" i="39"/>
  <c r="W49" i="39"/>
  <c r="W76" i="7"/>
  <c r="W50" i="39"/>
  <c r="X76" i="7"/>
  <c r="W136" i="6"/>
  <c r="W131" i="6"/>
  <c r="X57" i="6"/>
  <c r="W22" i="6"/>
  <c r="W31" i="6"/>
  <c r="W24" i="6"/>
  <c r="X120" i="6"/>
  <c r="W19" i="6"/>
  <c r="W21" i="6"/>
  <c r="W104" i="6"/>
  <c r="X131" i="6"/>
  <c r="W190" i="6"/>
  <c r="W28" i="6"/>
  <c r="W184" i="6"/>
  <c r="X74" i="28"/>
  <c r="X515" i="28"/>
  <c r="W236" i="28"/>
  <c r="W72" i="28"/>
  <c r="X72" i="28"/>
  <c r="X505" i="28"/>
  <c r="X509" i="28"/>
  <c r="W132" i="73"/>
  <c r="AA78" i="59"/>
  <c r="AA77" i="59"/>
  <c r="AA76" i="59"/>
  <c r="Z75" i="59"/>
  <c r="Z74" i="59"/>
  <c r="AA73" i="59"/>
  <c r="AA72" i="59"/>
  <c r="Z72" i="59"/>
  <c r="AA69" i="59"/>
  <c r="AA68" i="59"/>
  <c r="Z68" i="59"/>
  <c r="AA65" i="59"/>
  <c r="AA64" i="59"/>
  <c r="Z64" i="59"/>
  <c r="AA61" i="59"/>
  <c r="Z61" i="59"/>
  <c r="AA60" i="59"/>
  <c r="Z60" i="59"/>
  <c r="AA59" i="59"/>
  <c r="AA58" i="59"/>
  <c r="Z58" i="59"/>
  <c r="AA57" i="59"/>
  <c r="Z57" i="59"/>
  <c r="Z52" i="59"/>
  <c r="Z51" i="59"/>
  <c r="AA50" i="59"/>
  <c r="Z50" i="59"/>
  <c r="AA49" i="59"/>
  <c r="Z49" i="59"/>
  <c r="Z47" i="59"/>
  <c r="Z46" i="59"/>
  <c r="Z45" i="59"/>
  <c r="AA44" i="59"/>
  <c r="Z44" i="59"/>
  <c r="Z42" i="59"/>
  <c r="Z41" i="59"/>
  <c r="AA40" i="59"/>
  <c r="Z40" i="59"/>
  <c r="Z38" i="59"/>
  <c r="Z37" i="59"/>
  <c r="Z36" i="59"/>
  <c r="Z34" i="59"/>
  <c r="AA28" i="59"/>
  <c r="Z28" i="59"/>
  <c r="AA27" i="59"/>
  <c r="AA26" i="59"/>
  <c r="AA25" i="59"/>
  <c r="AA24" i="59"/>
  <c r="AA23" i="59"/>
  <c r="AA20" i="59"/>
  <c r="AA19" i="59"/>
  <c r="AA18" i="59"/>
  <c r="AA17" i="59"/>
  <c r="AA16" i="59"/>
  <c r="AA12" i="59"/>
  <c r="Z12" i="59"/>
  <c r="Z11" i="59"/>
  <c r="W73" i="28" l="1"/>
  <c r="X67" i="28"/>
  <c r="X37" i="28"/>
  <c r="W74" i="28"/>
  <c r="W87" i="28" s="1"/>
  <c r="W514" i="28" s="1"/>
  <c r="X442" i="28"/>
  <c r="X473" i="28" s="1"/>
  <c r="X48" i="28"/>
  <c r="X503" i="28"/>
  <c r="X506" i="28"/>
  <c r="X511" i="28"/>
  <c r="Z31" i="59"/>
  <c r="X69" i="28"/>
  <c r="AA47" i="59"/>
  <c r="X36" i="8"/>
  <c r="W83" i="28"/>
  <c r="W509" i="28" s="1"/>
  <c r="W511" i="28"/>
  <c r="W9" i="49"/>
  <c r="X98" i="28"/>
  <c r="X63" i="8"/>
  <c r="X71" i="8" s="1"/>
  <c r="X73" i="8"/>
  <c r="X37" i="8"/>
  <c r="X524" i="28"/>
  <c r="W515" i="28"/>
  <c r="W17" i="49"/>
  <c r="W18" i="49" s="1"/>
  <c r="X510" i="28"/>
  <c r="W507" i="28"/>
  <c r="W24" i="39"/>
  <c r="W122" i="6"/>
  <c r="X122" i="6"/>
  <c r="X169" i="6" s="1"/>
  <c r="AA22" i="59" s="1"/>
  <c r="W29" i="6"/>
  <c r="W26" i="6"/>
  <c r="X137" i="6"/>
  <c r="W32" i="6"/>
  <c r="W106" i="6"/>
  <c r="Z48" i="59"/>
  <c r="AA45" i="59"/>
  <c r="W81" i="6"/>
  <c r="AA42" i="59"/>
  <c r="X122" i="8"/>
  <c r="AA46" i="59"/>
  <c r="X137" i="8"/>
  <c r="X138" i="8" s="1"/>
  <c r="W38" i="7"/>
  <c r="W60" i="9"/>
  <c r="W95" i="77"/>
  <c r="W7" i="22"/>
  <c r="W21" i="22"/>
  <c r="W34" i="6"/>
  <c r="W57" i="9"/>
  <c r="X77" i="8"/>
  <c r="W6" i="26"/>
  <c r="X517" i="28"/>
  <c r="X42" i="8"/>
  <c r="X38" i="7"/>
  <c r="W51" i="39"/>
  <c r="W137" i="6"/>
  <c r="X52" i="8"/>
  <c r="W69" i="8"/>
  <c r="W8" i="49"/>
  <c r="W65" i="8"/>
  <c r="W26" i="8"/>
  <c r="W59" i="8"/>
  <c r="W108" i="8"/>
  <c r="W110" i="8" s="1"/>
  <c r="Z43" i="59"/>
  <c r="W67" i="8"/>
  <c r="AA31" i="59"/>
  <c r="AA30" i="59"/>
  <c r="W84" i="6"/>
  <c r="W33" i="6"/>
  <c r="W23" i="6"/>
  <c r="W79" i="28"/>
  <c r="W503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4" i="59" s="1"/>
  <c r="X56" i="36"/>
  <c r="X16" i="36" s="1"/>
  <c r="AA53" i="59" s="1"/>
  <c r="X33" i="36"/>
  <c r="X40" i="36" s="1"/>
  <c r="W33" i="36"/>
  <c r="W29" i="36"/>
  <c r="W28" i="36"/>
  <c r="W27" i="36"/>
  <c r="X26" i="36"/>
  <c r="X24" i="36"/>
  <c r="AA74" i="59" s="1"/>
  <c r="X23" i="36"/>
  <c r="AA71" i="59" s="1"/>
  <c r="W23" i="36"/>
  <c r="Z71" i="59" s="1"/>
  <c r="X22" i="36"/>
  <c r="AA67" i="59" s="1"/>
  <c r="W22" i="36"/>
  <c r="Z67" i="59" s="1"/>
  <c r="X21" i="36"/>
  <c r="AA63" i="59" s="1"/>
  <c r="W21" i="36"/>
  <c r="Z63" i="59" s="1"/>
  <c r="W17" i="36"/>
  <c r="W16" i="36"/>
  <c r="W13" i="36"/>
  <c r="Z39" i="59" s="1"/>
  <c r="X12" i="36"/>
  <c r="AA38" i="59" s="1"/>
  <c r="X11" i="36"/>
  <c r="AA37" i="59" s="1"/>
  <c r="X10" i="36"/>
  <c r="AA36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31" i="28" s="1"/>
  <c r="W33" i="35"/>
  <c r="X32" i="35"/>
  <c r="X31" i="35"/>
  <c r="X30" i="35"/>
  <c r="X203" i="10" s="1"/>
  <c r="X26" i="35"/>
  <c r="X34" i="36" s="1"/>
  <c r="W26" i="35"/>
  <c r="W26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75" i="28" l="1"/>
  <c r="X53" i="7"/>
  <c r="X63" i="7" s="1"/>
  <c r="W53" i="7"/>
  <c r="W77" i="7" s="1"/>
  <c r="X525" i="28"/>
  <c r="X493" i="28"/>
  <c r="X70" i="28"/>
  <c r="X522" i="28"/>
  <c r="W510" i="28"/>
  <c r="X70" i="8"/>
  <c r="W28" i="21"/>
  <c r="W502" i="28"/>
  <c r="X519" i="28"/>
  <c r="W10" i="49"/>
  <c r="W12" i="49" s="1"/>
  <c r="W36" i="8"/>
  <c r="W513" i="28"/>
  <c r="W104" i="7"/>
  <c r="W143" i="6"/>
  <c r="X35" i="8"/>
  <c r="W37" i="8"/>
  <c r="X139" i="6"/>
  <c r="W63" i="8"/>
  <c r="X76" i="28"/>
  <c r="X523" i="28" s="1"/>
  <c r="Z30" i="59"/>
  <c r="W62" i="9"/>
  <c r="AA48" i="59"/>
  <c r="W63" i="7"/>
  <c r="W146" i="6"/>
  <c r="W139" i="6"/>
  <c r="W210" i="6" s="1"/>
  <c r="X171" i="6"/>
  <c r="W144" i="6"/>
  <c r="X168" i="6"/>
  <c r="X170" i="6" s="1"/>
  <c r="X8" i="36" s="1"/>
  <c r="AA9" i="59" s="1"/>
  <c r="W171" i="6"/>
  <c r="W169" i="6"/>
  <c r="W168" i="6"/>
  <c r="AA41" i="59"/>
  <c r="AA43" i="59" s="1"/>
  <c r="X120" i="8"/>
  <c r="W35" i="6"/>
  <c r="W8" i="22"/>
  <c r="X35" i="36"/>
  <c r="X36" i="36" s="1"/>
  <c r="X38" i="36" s="1"/>
  <c r="X30" i="36" s="1"/>
  <c r="AA79" i="59" s="1"/>
  <c r="X41" i="36"/>
  <c r="X71" i="36"/>
  <c r="W68" i="36"/>
  <c r="W90" i="9"/>
  <c r="W19" i="9" s="1"/>
  <c r="Z54" i="59"/>
  <c r="V6" i="15"/>
  <c r="Z77" i="59"/>
  <c r="V5" i="15"/>
  <c r="Z76" i="59"/>
  <c r="V7" i="15"/>
  <c r="Z78" i="59"/>
  <c r="W13" i="49"/>
  <c r="Z6" i="59"/>
  <c r="W57" i="36"/>
  <c r="X77" i="7"/>
  <c r="W89" i="9"/>
  <c r="Z53" i="59"/>
  <c r="W22" i="22"/>
  <c r="W60" i="36"/>
  <c r="X518" i="28"/>
  <c r="X497" i="28"/>
  <c r="X496" i="28"/>
  <c r="X33" i="35"/>
  <c r="X37" i="35" s="1"/>
  <c r="X25" i="36" s="1"/>
  <c r="AA75" i="59" s="1"/>
  <c r="X41" i="35"/>
  <c r="X49" i="35" s="1"/>
  <c r="X97" i="11"/>
  <c r="X68" i="36"/>
  <c r="X18" i="36"/>
  <c r="AA55" i="59" s="1"/>
  <c r="X63" i="36"/>
  <c r="X60" i="36"/>
  <c r="X15" i="35"/>
  <c r="X16" i="6"/>
  <c r="X18" i="6"/>
  <c r="X8" i="35"/>
  <c r="X5" i="6"/>
  <c r="X98" i="6" s="1"/>
  <c r="X104" i="6" s="1"/>
  <c r="X106" i="6" s="1"/>
  <c r="X146" i="6" s="1"/>
  <c r="W37" i="28"/>
  <c r="W63" i="28"/>
  <c r="W34" i="36"/>
  <c r="W35" i="36" s="1"/>
  <c r="W36" i="36" s="1"/>
  <c r="W38" i="36" s="1"/>
  <c r="W30" i="36" s="1"/>
  <c r="Z79" i="59" s="1"/>
  <c r="W56" i="36"/>
  <c r="W109" i="8"/>
  <c r="W111" i="8" s="1"/>
  <c r="W11" i="35"/>
  <c r="W10" i="6" s="1"/>
  <c r="W9" i="6"/>
  <c r="W13" i="35"/>
  <c r="W14" i="35"/>
  <c r="X13" i="36"/>
  <c r="AA39" i="59" s="1"/>
  <c r="W34" i="8"/>
  <c r="X104" i="7"/>
  <c r="X13" i="49"/>
  <c r="AA6" i="59"/>
  <c r="W506" i="28"/>
  <c r="W505" i="28"/>
  <c r="X20" i="21"/>
  <c r="W15" i="21"/>
  <c r="W48" i="35"/>
  <c r="W49" i="35" s="1"/>
  <c r="W37" i="35"/>
  <c r="V109" i="9"/>
  <c r="W170" i="6" l="1"/>
  <c r="X144" i="6"/>
  <c r="AA15" i="59" s="1"/>
  <c r="X143" i="6"/>
  <c r="X193" i="6"/>
  <c r="X202" i="6"/>
  <c r="W91" i="9"/>
  <c r="X208" i="6"/>
  <c r="W35" i="8"/>
  <c r="X205" i="6"/>
  <c r="W204" i="6"/>
  <c r="X203" i="6"/>
  <c r="X195" i="6"/>
  <c r="W69" i="28"/>
  <c r="X207" i="6"/>
  <c r="X213" i="6"/>
  <c r="W205" i="6"/>
  <c r="X200" i="6"/>
  <c r="X209" i="6"/>
  <c r="X199" i="6"/>
  <c r="X204" i="6"/>
  <c r="W213" i="6"/>
  <c r="W214" i="6" s="1"/>
  <c r="W145" i="6"/>
  <c r="X210" i="6"/>
  <c r="W200" i="6"/>
  <c r="X145" i="6"/>
  <c r="X7" i="36" s="1"/>
  <c r="AA8" i="59" s="1"/>
  <c r="W209" i="6"/>
  <c r="W208" i="6"/>
  <c r="W207" i="6"/>
  <c r="X19" i="36"/>
  <c r="AA56" i="59" s="1"/>
  <c r="W202" i="6"/>
  <c r="W203" i="6"/>
  <c r="W199" i="6"/>
  <c r="X121" i="8"/>
  <c r="X125" i="8" s="1"/>
  <c r="X126" i="8" s="1"/>
  <c r="X123" i="8"/>
  <c r="W15" i="35"/>
  <c r="W24" i="22"/>
  <c r="W10" i="22"/>
  <c r="W14" i="49"/>
  <c r="W15" i="49" s="1"/>
  <c r="W16" i="49" s="1"/>
  <c r="W19" i="49" s="1"/>
  <c r="W20" i="49" s="1"/>
  <c r="X55" i="35"/>
  <c r="X185" i="6"/>
  <c r="X190" i="6"/>
  <c r="X17" i="6"/>
  <c r="X7" i="6"/>
  <c r="X15" i="6"/>
  <c r="W493" i="28"/>
  <c r="W75" i="28"/>
  <c r="W55" i="35"/>
  <c r="T77" i="77"/>
  <c r="S83" i="77"/>
  <c r="X211" i="6" l="1"/>
  <c r="AA11" i="59" s="1"/>
  <c r="W211" i="6"/>
  <c r="W206" i="6"/>
  <c r="W212" i="6" s="1"/>
  <c r="W215" i="6" s="1"/>
  <c r="X206" i="6"/>
  <c r="X212" i="6" s="1"/>
  <c r="X215" i="6" s="1"/>
  <c r="X214" i="6"/>
  <c r="W519" i="28"/>
  <c r="W522" i="28"/>
  <c r="X130" i="8"/>
  <c r="X143" i="8" s="1"/>
  <c r="X131" i="8"/>
  <c r="X144" i="8" s="1"/>
  <c r="X129" i="8"/>
  <c r="W11" i="22"/>
  <c r="W25" i="22"/>
  <c r="X19" i="6"/>
  <c r="X164" i="6"/>
  <c r="X160" i="6"/>
  <c r="W91" i="28"/>
  <c r="W76" i="28"/>
  <c r="W496" i="28"/>
  <c r="AZ198" i="73"/>
  <c r="AV198" i="73"/>
  <c r="AT198" i="73"/>
  <c r="AR198" i="73"/>
  <c r="AN198" i="73"/>
  <c r="AL198" i="73"/>
  <c r="AJ198" i="73"/>
  <c r="AH198" i="73"/>
  <c r="AF198" i="73"/>
  <c r="AD198" i="73"/>
  <c r="AB198" i="73"/>
  <c r="X198" i="73"/>
  <c r="V198" i="73"/>
  <c r="T198" i="73"/>
  <c r="S198" i="73"/>
  <c r="R198" i="73"/>
  <c r="P198" i="73"/>
  <c r="O198" i="73"/>
  <c r="N198" i="73"/>
  <c r="L198" i="73"/>
  <c r="K198" i="73"/>
  <c r="J198" i="73"/>
  <c r="H198" i="73"/>
  <c r="G198" i="73"/>
  <c r="Z71" i="10"/>
  <c r="T54" i="10"/>
  <c r="Z54" i="10" s="1"/>
  <c r="T39" i="10"/>
  <c r="T25" i="10"/>
  <c r="Z25" i="10" s="1"/>
  <c r="T24" i="10"/>
  <c r="T32" i="10"/>
  <c r="T12" i="10"/>
  <c r="W497" i="28" l="1"/>
  <c r="W523" i="28"/>
  <c r="X84" i="6"/>
  <c r="Y198" i="73"/>
  <c r="X81" i="6"/>
  <c r="X132" i="8"/>
  <c r="X145" i="8" s="1"/>
  <c r="X142" i="8"/>
  <c r="T199" i="10"/>
  <c r="W27" i="22"/>
  <c r="W13" i="22"/>
  <c r="Z12" i="10"/>
  <c r="X37" i="6"/>
  <c r="X38" i="6"/>
  <c r="X39" i="6"/>
  <c r="X40" i="6"/>
  <c r="W518" i="28"/>
  <c r="W95" i="28"/>
  <c r="W517" i="28"/>
  <c r="X9" i="36"/>
  <c r="AA10" i="59" s="1"/>
  <c r="X41" i="6" l="1"/>
  <c r="Z71" i="28"/>
  <c r="Z77" i="28"/>
  <c r="Z78" i="28"/>
  <c r="Z79" i="28"/>
  <c r="Z80" i="28"/>
  <c r="Z82" i="28"/>
  <c r="Z83" i="28"/>
  <c r="Z84" i="28"/>
  <c r="Z86" i="28"/>
  <c r="Z87" i="28"/>
  <c r="Z88" i="28"/>
  <c r="Z90" i="28"/>
  <c r="Z91" i="28"/>
  <c r="Z92" i="28"/>
  <c r="Z94" i="28"/>
  <c r="Z99" i="28"/>
  <c r="Z100" i="28"/>
  <c r="Z101" i="28"/>
  <c r="Z102" i="28"/>
  <c r="Z103" i="28"/>
  <c r="Z104" i="28"/>
  <c r="Z105" i="28"/>
  <c r="Z106" i="28"/>
  <c r="Z107" i="28"/>
  <c r="Z108" i="28"/>
  <c r="Z110" i="28"/>
  <c r="Z111" i="28"/>
  <c r="Z112" i="28"/>
  <c r="Z113" i="28"/>
  <c r="Z114" i="28"/>
  <c r="Z115" i="28"/>
  <c r="Z116" i="28"/>
  <c r="Z117" i="28"/>
  <c r="Z118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7" i="28"/>
  <c r="Z238" i="28"/>
  <c r="Z239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7" i="28"/>
  <c r="Z258" i="28"/>
  <c r="Z259" i="28"/>
  <c r="Z260" i="28"/>
  <c r="Z262" i="28"/>
  <c r="Z263" i="28"/>
  <c r="Z264" i="28"/>
  <c r="Z265" i="28"/>
  <c r="Z266" i="28"/>
  <c r="Z267" i="28"/>
  <c r="Z268" i="28"/>
  <c r="Z270" i="28"/>
  <c r="Z271" i="28"/>
  <c r="Z272" i="28"/>
  <c r="Z273" i="28"/>
  <c r="Z274" i="28"/>
  <c r="Z275" i="28"/>
  <c r="Z276" i="28"/>
  <c r="Z277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6" i="28"/>
  <c r="Z300" i="28"/>
  <c r="Z301" i="28"/>
  <c r="Z302" i="28"/>
  <c r="Z303" i="28"/>
  <c r="Z305" i="28"/>
  <c r="Z306" i="28"/>
  <c r="Z307" i="28"/>
  <c r="Z308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5" i="28"/>
  <c r="Z336" i="28"/>
  <c r="Z337" i="28"/>
  <c r="Z338" i="28"/>
  <c r="Z340" i="28"/>
  <c r="Z341" i="28"/>
  <c r="Z343" i="28"/>
  <c r="Z344" i="28"/>
  <c r="Z345" i="28"/>
  <c r="Z346" i="28"/>
  <c r="Z347" i="28"/>
  <c r="Z348" i="28"/>
  <c r="Z349" i="28"/>
  <c r="Z350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82" i="28"/>
  <c r="Z383" i="28"/>
  <c r="Z394" i="28"/>
  <c r="Z395" i="28"/>
  <c r="Z396" i="28"/>
  <c r="Z397" i="28"/>
  <c r="Z400" i="28"/>
  <c r="Z401" i="28"/>
  <c r="Z402" i="28"/>
  <c r="Z403" i="28"/>
  <c r="Z404" i="28"/>
  <c r="Z405" i="28"/>
  <c r="Z407" i="28"/>
  <c r="Z408" i="28"/>
  <c r="Z409" i="28"/>
  <c r="Z410" i="28"/>
  <c r="Z411" i="28"/>
  <c r="Z412" i="28"/>
  <c r="Z413" i="28"/>
  <c r="Z414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2" i="28"/>
  <c r="Z433" i="28"/>
  <c r="Z438" i="28"/>
  <c r="Z439" i="28"/>
  <c r="Z440" i="28"/>
  <c r="Z441" i="28"/>
  <c r="Z444" i="28"/>
  <c r="Z445" i="28"/>
  <c r="Z446" i="28"/>
  <c r="Z447" i="28"/>
  <c r="Z448" i="28"/>
  <c r="Z449" i="28"/>
  <c r="Z450" i="28"/>
  <c r="Z451" i="28"/>
  <c r="Z452" i="28"/>
  <c r="Z453" i="28"/>
  <c r="Z454" i="28"/>
  <c r="Z455" i="28"/>
  <c r="Z456" i="28"/>
  <c r="Z457" i="28"/>
  <c r="Z458" i="28"/>
  <c r="Z459" i="28"/>
  <c r="Z460" i="28"/>
  <c r="Z461" i="28"/>
  <c r="Z462" i="28"/>
  <c r="Z463" i="28"/>
  <c r="Z464" i="28"/>
  <c r="Z465" i="28"/>
  <c r="Z466" i="28"/>
  <c r="Z467" i="28"/>
  <c r="Z468" i="28"/>
  <c r="Z469" i="28"/>
  <c r="Z470" i="28"/>
  <c r="Z471" i="28"/>
  <c r="Z472" i="28"/>
  <c r="Z474" i="28"/>
  <c r="Z476" i="28"/>
  <c r="Z479" i="28"/>
  <c r="Z480" i="28"/>
  <c r="Z482" i="28"/>
  <c r="Z483" i="28"/>
  <c r="Z484" i="28"/>
  <c r="Z485" i="28"/>
  <c r="Z486" i="28"/>
  <c r="Z487" i="28"/>
  <c r="Z488" i="28"/>
  <c r="Z489" i="28"/>
  <c r="Z490" i="28"/>
  <c r="Z491" i="28"/>
  <c r="Z494" i="28"/>
  <c r="Z495" i="28"/>
  <c r="Z498" i="28"/>
  <c r="Z499" i="28"/>
  <c r="Z500" i="28"/>
  <c r="Z501" i="28"/>
  <c r="Z504" i="28"/>
  <c r="Z520" i="28"/>
  <c r="Z521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Z567" i="28"/>
  <c r="Z568" i="28"/>
  <c r="Z569" i="28"/>
  <c r="Z570" i="28"/>
  <c r="Z571" i="28"/>
  <c r="Z572" i="28"/>
  <c r="Z573" i="28"/>
  <c r="Z574" i="28"/>
  <c r="Z575" i="28"/>
  <c r="Z576" i="28"/>
  <c r="Z577" i="28"/>
  <c r="Z578" i="28"/>
  <c r="Z579" i="28"/>
  <c r="Z580" i="28"/>
  <c r="Z581" i="28"/>
  <c r="Z582" i="28"/>
  <c r="Z583" i="28"/>
  <c r="Z584" i="28"/>
  <c r="Z585" i="28"/>
  <c r="Z586" i="28"/>
  <c r="Z587" i="28"/>
  <c r="Z588" i="28"/>
  <c r="Z589" i="28"/>
  <c r="Z590" i="28"/>
  <c r="Z591" i="28"/>
  <c r="Z592" i="28"/>
  <c r="Z593" i="28"/>
  <c r="J71" i="28"/>
  <c r="N71" i="28" s="1"/>
  <c r="J77" i="28"/>
  <c r="N77" i="28" s="1"/>
  <c r="J78" i="28"/>
  <c r="N78" i="28" s="1"/>
  <c r="J79" i="28"/>
  <c r="N79" i="28" s="1"/>
  <c r="J80" i="28"/>
  <c r="N80" i="28" s="1"/>
  <c r="R80" i="28" s="1"/>
  <c r="V80" i="28" s="1"/>
  <c r="J82" i="28"/>
  <c r="N82" i="28" s="1"/>
  <c r="J83" i="28"/>
  <c r="N83" i="28" s="1"/>
  <c r="J84" i="28"/>
  <c r="N84" i="28" s="1"/>
  <c r="R84" i="28" s="1"/>
  <c r="V84" i="28" s="1"/>
  <c r="J86" i="28"/>
  <c r="N86" i="28" s="1"/>
  <c r="J87" i="28"/>
  <c r="N87" i="28" s="1"/>
  <c r="J88" i="28"/>
  <c r="N88" i="28" s="1"/>
  <c r="R88" i="28" s="1"/>
  <c r="V88" i="28" s="1"/>
  <c r="J90" i="28"/>
  <c r="N90" i="28" s="1"/>
  <c r="J91" i="28"/>
  <c r="N91" i="28" s="1"/>
  <c r="J92" i="28"/>
  <c r="N92" i="28" s="1"/>
  <c r="R92" i="28" s="1"/>
  <c r="V92" i="28" s="1"/>
  <c r="J94" i="28"/>
  <c r="N94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R105" i="28" s="1"/>
  <c r="V105" i="28" s="1"/>
  <c r="J106" i="28"/>
  <c r="N106" i="28" s="1"/>
  <c r="R106" i="28" s="1"/>
  <c r="V106" i="28" s="1"/>
  <c r="J107" i="28"/>
  <c r="N107" i="28" s="1"/>
  <c r="J108" i="28"/>
  <c r="N108" i="28" s="1"/>
  <c r="J110" i="28"/>
  <c r="N110" i="28" s="1"/>
  <c r="R110" i="28" s="1"/>
  <c r="V110" i="28" s="1"/>
  <c r="J111" i="28"/>
  <c r="N111" i="28" s="1"/>
  <c r="J112" i="28"/>
  <c r="N112" i="28" s="1"/>
  <c r="J113" i="28"/>
  <c r="N113" i="28" s="1"/>
  <c r="J114" i="28"/>
  <c r="N114" i="28" s="1"/>
  <c r="J115" i="28"/>
  <c r="N115" i="28" s="1"/>
  <c r="J116" i="28"/>
  <c r="N116" i="28" s="1"/>
  <c r="J117" i="28"/>
  <c r="N117" i="28" s="1"/>
  <c r="J118" i="28"/>
  <c r="N118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R141" i="28" s="1"/>
  <c r="V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R151" i="28" s="1"/>
  <c r="V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J158" i="28"/>
  <c r="N158" i="28" s="1"/>
  <c r="J159" i="28"/>
  <c r="N159" i="28" s="1"/>
  <c r="J160" i="28"/>
  <c r="N160" i="28" s="1"/>
  <c r="J161" i="28"/>
  <c r="N161" i="28" s="1"/>
  <c r="J162" i="28"/>
  <c r="N162" i="28" s="1"/>
  <c r="J163" i="28"/>
  <c r="N163" i="28" s="1"/>
  <c r="R163" i="28" s="1"/>
  <c r="V163" i="28" s="1"/>
  <c r="J164" i="28"/>
  <c r="N164" i="28" s="1"/>
  <c r="J165" i="28"/>
  <c r="N165" i="28" s="1"/>
  <c r="J166" i="28"/>
  <c r="N166" i="28" s="1"/>
  <c r="J167" i="28"/>
  <c r="N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R172" i="28" s="1"/>
  <c r="V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R180" i="28" s="1"/>
  <c r="V180" i="28" s="1"/>
  <c r="J181" i="28"/>
  <c r="N181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R192" i="28" s="1"/>
  <c r="V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R200" i="28" s="1"/>
  <c r="V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J210" i="28"/>
  <c r="N210" i="28" s="1"/>
  <c r="J211" i="28"/>
  <c r="N211" i="28" s="1"/>
  <c r="J212" i="28"/>
  <c r="N212" i="28" s="1"/>
  <c r="J213" i="28"/>
  <c r="N213" i="28" s="1"/>
  <c r="J214" i="28"/>
  <c r="N214" i="28" s="1"/>
  <c r="J215" i="28"/>
  <c r="N215" i="28" s="1"/>
  <c r="J216" i="28"/>
  <c r="N216" i="28" s="1"/>
  <c r="J217" i="28"/>
  <c r="N217" i="28" s="1"/>
  <c r="J220" i="28"/>
  <c r="N220" i="28" s="1"/>
  <c r="J221" i="28"/>
  <c r="N221" i="28" s="1"/>
  <c r="J222" i="28"/>
  <c r="N222" i="28" s="1"/>
  <c r="R222" i="28" s="1"/>
  <c r="V222" i="28" s="1"/>
  <c r="J223" i="28"/>
  <c r="N223" i="28" s="1"/>
  <c r="J224" i="28"/>
  <c r="N224" i="28" s="1"/>
  <c r="J225" i="28"/>
  <c r="N225" i="28" s="1"/>
  <c r="J226" i="28"/>
  <c r="N226" i="28" s="1"/>
  <c r="R226" i="28" s="1"/>
  <c r="V226" i="28" s="1"/>
  <c r="J227" i="28"/>
  <c r="N227" i="28" s="1"/>
  <c r="J228" i="28"/>
  <c r="N228" i="28" s="1"/>
  <c r="J229" i="28"/>
  <c r="N229" i="28" s="1"/>
  <c r="J230" i="28"/>
  <c r="N230" i="28" s="1"/>
  <c r="R230" i="28" s="1"/>
  <c r="V230" i="28" s="1"/>
  <c r="J231" i="28"/>
  <c r="N231" i="28" s="1"/>
  <c r="J232" i="28"/>
  <c r="N232" i="28" s="1"/>
  <c r="J237" i="28"/>
  <c r="N237" i="28" s="1"/>
  <c r="J238" i="28"/>
  <c r="N238" i="28" s="1"/>
  <c r="J239" i="28"/>
  <c r="N239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49" i="28"/>
  <c r="N249" i="28" s="1"/>
  <c r="J250" i="28"/>
  <c r="N250" i="28" s="1"/>
  <c r="J251" i="28"/>
  <c r="N251" i="28" s="1"/>
  <c r="J252" i="28"/>
  <c r="N252" i="28" s="1"/>
  <c r="J253" i="28"/>
  <c r="N253" i="28" s="1"/>
  <c r="J254" i="28"/>
  <c r="N254" i="28" s="1"/>
  <c r="J255" i="28"/>
  <c r="N255" i="28" s="1"/>
  <c r="J257" i="28"/>
  <c r="N257" i="28" s="1"/>
  <c r="J258" i="28"/>
  <c r="N258" i="28" s="1"/>
  <c r="J259" i="28"/>
  <c r="N259" i="28" s="1"/>
  <c r="R259" i="28" s="1"/>
  <c r="V259" i="28" s="1"/>
  <c r="J260" i="28"/>
  <c r="N260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70" i="28"/>
  <c r="N270" i="28" s="1"/>
  <c r="J271" i="28"/>
  <c r="N271" i="28" s="1"/>
  <c r="J272" i="28"/>
  <c r="N272" i="28" s="1"/>
  <c r="J273" i="28"/>
  <c r="N273" i="28" s="1"/>
  <c r="R273" i="28" s="1"/>
  <c r="V273" i="28" s="1"/>
  <c r="J274" i="28"/>
  <c r="N274" i="28" s="1"/>
  <c r="J275" i="28"/>
  <c r="N275" i="28" s="1"/>
  <c r="J276" i="28"/>
  <c r="N276" i="28" s="1"/>
  <c r="J277" i="28"/>
  <c r="N277" i="28" s="1"/>
  <c r="R277" i="28" s="1"/>
  <c r="V277" i="28" s="1"/>
  <c r="J278" i="28"/>
  <c r="N278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6" i="28"/>
  <c r="N296" i="28" s="1"/>
  <c r="J300" i="28"/>
  <c r="N300" i="28" s="1"/>
  <c r="J301" i="28"/>
  <c r="N301" i="28" s="1"/>
  <c r="J302" i="28"/>
  <c r="N302" i="28" s="1"/>
  <c r="J303" i="28"/>
  <c r="N303" i="28" s="1"/>
  <c r="J305" i="28"/>
  <c r="N305" i="28" s="1"/>
  <c r="J306" i="28"/>
  <c r="N306" i="28" s="1"/>
  <c r="J307" i="28"/>
  <c r="N307" i="28" s="1"/>
  <c r="J308" i="28"/>
  <c r="N308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J323" i="28"/>
  <c r="N323" i="28" s="1"/>
  <c r="R323" i="28" s="1"/>
  <c r="V323" i="28" s="1"/>
  <c r="J324" i="28"/>
  <c r="N324" i="28" s="1"/>
  <c r="J325" i="28"/>
  <c r="N325" i="28" s="1"/>
  <c r="R325" i="28" s="1"/>
  <c r="V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R333" i="28" s="1"/>
  <c r="V333" i="28" s="1"/>
  <c r="J335" i="28"/>
  <c r="N335" i="28" s="1"/>
  <c r="J336" i="28"/>
  <c r="N336" i="28" s="1"/>
  <c r="J337" i="28"/>
  <c r="N337" i="28" s="1"/>
  <c r="J338" i="28"/>
  <c r="N338" i="28" s="1"/>
  <c r="J340" i="28"/>
  <c r="N340" i="28" s="1"/>
  <c r="J341" i="28"/>
  <c r="N341" i="28" s="1"/>
  <c r="R341" i="28" s="1"/>
  <c r="V341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61" i="28"/>
  <c r="N361" i="28" s="1"/>
  <c r="J362" i="28"/>
  <c r="N362" i="28" s="1"/>
  <c r="J363" i="28"/>
  <c r="N363" i="28" s="1"/>
  <c r="J364" i="28"/>
  <c r="N364" i="28" s="1"/>
  <c r="J365" i="28"/>
  <c r="N365" i="28" s="1"/>
  <c r="J366" i="28"/>
  <c r="N366" i="28" s="1"/>
  <c r="J367" i="28"/>
  <c r="N367" i="28" s="1"/>
  <c r="R367" i="28" s="1"/>
  <c r="V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R397" i="28" s="1"/>
  <c r="V397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5" i="28"/>
  <c r="N405" i="28" s="1"/>
  <c r="J407" i="28"/>
  <c r="N407" i="28" s="1"/>
  <c r="J408" i="28"/>
  <c r="N408" i="28" s="1"/>
  <c r="J409" i="28"/>
  <c r="N409" i="28" s="1"/>
  <c r="R409" i="28" s="1"/>
  <c r="V409" i="28" s="1"/>
  <c r="J410" i="28"/>
  <c r="N410" i="28" s="1"/>
  <c r="R410" i="28" s="1"/>
  <c r="V410" i="28" s="1"/>
  <c r="J411" i="28"/>
  <c r="N411" i="28" s="1"/>
  <c r="J412" i="28"/>
  <c r="N412" i="28" s="1"/>
  <c r="J413" i="28"/>
  <c r="N413" i="28" s="1"/>
  <c r="J414" i="28"/>
  <c r="N414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J422" i="28"/>
  <c r="N422" i="28" s="1"/>
  <c r="R422" i="28" s="1"/>
  <c r="V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J429" i="28"/>
  <c r="N429" i="28" s="1"/>
  <c r="J430" i="28"/>
  <c r="N430" i="28" s="1"/>
  <c r="J432" i="28"/>
  <c r="N432" i="28" s="1"/>
  <c r="J433" i="28"/>
  <c r="N433" i="28" s="1"/>
  <c r="J438" i="28"/>
  <c r="N438" i="28" s="1"/>
  <c r="J439" i="28"/>
  <c r="N439" i="28" s="1"/>
  <c r="J440" i="28"/>
  <c r="N440" i="28" s="1"/>
  <c r="J441" i="28"/>
  <c r="N441" i="28" s="1"/>
  <c r="J444" i="28"/>
  <c r="N444" i="28" s="1"/>
  <c r="J445" i="28"/>
  <c r="N445" i="28" s="1"/>
  <c r="J446" i="28"/>
  <c r="N446" i="28" s="1"/>
  <c r="J447" i="28"/>
  <c r="N447" i="28" s="1"/>
  <c r="J448" i="28"/>
  <c r="N448" i="28" s="1"/>
  <c r="J449" i="28"/>
  <c r="N449" i="28" s="1"/>
  <c r="J450" i="28"/>
  <c r="N450" i="28" s="1"/>
  <c r="R450" i="28" s="1"/>
  <c r="V450" i="28" s="1"/>
  <c r="J451" i="28"/>
  <c r="N451" i="28" s="1"/>
  <c r="J452" i="28"/>
  <c r="N452" i="28" s="1"/>
  <c r="R452" i="28" s="1"/>
  <c r="V452" i="28" s="1"/>
  <c r="J453" i="28"/>
  <c r="N453" i="28" s="1"/>
  <c r="J454" i="28"/>
  <c r="N454" i="28" s="1"/>
  <c r="J455" i="28"/>
  <c r="N455" i="28" s="1"/>
  <c r="J456" i="28"/>
  <c r="N456" i="28" s="1"/>
  <c r="J457" i="28"/>
  <c r="N457" i="28" s="1"/>
  <c r="J458" i="28"/>
  <c r="N458" i="28" s="1"/>
  <c r="R458" i="28" s="1"/>
  <c r="V458" i="28" s="1"/>
  <c r="J459" i="28"/>
  <c r="N459" i="28" s="1"/>
  <c r="J460" i="28"/>
  <c r="N460" i="28" s="1"/>
  <c r="J461" i="28"/>
  <c r="N461" i="28" s="1"/>
  <c r="J462" i="28"/>
  <c r="N462" i="28" s="1"/>
  <c r="AB462" i="28" s="1"/>
  <c r="AF462" i="28" s="1"/>
  <c r="J463" i="28"/>
  <c r="N463" i="28" s="1"/>
  <c r="J464" i="28"/>
  <c r="N464" i="28" s="1"/>
  <c r="R464" i="28" s="1"/>
  <c r="V464" i="28" s="1"/>
  <c r="J465" i="28"/>
  <c r="N465" i="28" s="1"/>
  <c r="R465" i="28" s="1"/>
  <c r="V465" i="28" s="1"/>
  <c r="J466" i="28"/>
  <c r="N466" i="28" s="1"/>
  <c r="J467" i="28"/>
  <c r="N467" i="28" s="1"/>
  <c r="J468" i="28"/>
  <c r="N468" i="28" s="1"/>
  <c r="J469" i="28"/>
  <c r="N469" i="28" s="1"/>
  <c r="J470" i="28"/>
  <c r="N470" i="28" s="1"/>
  <c r="J471" i="28"/>
  <c r="N471" i="28" s="1"/>
  <c r="J472" i="28"/>
  <c r="N472" i="28" s="1"/>
  <c r="J474" i="28"/>
  <c r="N474" i="28" s="1"/>
  <c r="J476" i="28"/>
  <c r="N476" i="28" s="1"/>
  <c r="AB476" i="28" s="1"/>
  <c r="AF476" i="28" s="1"/>
  <c r="J479" i="28"/>
  <c r="N479" i="28" s="1"/>
  <c r="J480" i="28"/>
  <c r="N480" i="28" s="1"/>
  <c r="J482" i="28"/>
  <c r="N482" i="28" s="1"/>
  <c r="J483" i="28"/>
  <c r="N483" i="28" s="1"/>
  <c r="J484" i="28"/>
  <c r="N484" i="28" s="1"/>
  <c r="R484" i="28" s="1"/>
  <c r="V484" i="28" s="1"/>
  <c r="J485" i="28"/>
  <c r="N485" i="28" s="1"/>
  <c r="J486" i="28"/>
  <c r="N486" i="28" s="1"/>
  <c r="J487" i="28"/>
  <c r="N487" i="28" s="1"/>
  <c r="J488" i="28"/>
  <c r="N488" i="28" s="1"/>
  <c r="R488" i="28" s="1"/>
  <c r="V488" i="28" s="1"/>
  <c r="J489" i="28"/>
  <c r="N489" i="28" s="1"/>
  <c r="J490" i="28"/>
  <c r="N490" i="28" s="1"/>
  <c r="J491" i="28"/>
  <c r="N491" i="28" s="1"/>
  <c r="J494" i="28"/>
  <c r="N494" i="28" s="1"/>
  <c r="J495" i="28"/>
  <c r="N495" i="28" s="1"/>
  <c r="J498" i="28"/>
  <c r="N498" i="28" s="1"/>
  <c r="J499" i="28"/>
  <c r="N499" i="28" s="1"/>
  <c r="J500" i="28"/>
  <c r="N500" i="28" s="1"/>
  <c r="J501" i="28"/>
  <c r="N501" i="28" s="1"/>
  <c r="J504" i="28"/>
  <c r="N504" i="28" s="1"/>
  <c r="J520" i="28"/>
  <c r="N520" i="28" s="1"/>
  <c r="J521" i="28"/>
  <c r="N521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R535" i="28" s="1"/>
  <c r="V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J565" i="28"/>
  <c r="N565" i="28" s="1"/>
  <c r="J566" i="28"/>
  <c r="N566" i="28" s="1"/>
  <c r="R566" i="28" s="1"/>
  <c r="V566" i="28" s="1"/>
  <c r="J567" i="28"/>
  <c r="N567" i="28" s="1"/>
  <c r="J568" i="28"/>
  <c r="N568" i="28" s="1"/>
  <c r="J569" i="28"/>
  <c r="N569" i="28" s="1"/>
  <c r="J570" i="28"/>
  <c r="N570" i="28" s="1"/>
  <c r="J571" i="28"/>
  <c r="N571" i="28" s="1"/>
  <c r="J572" i="28"/>
  <c r="N572" i="28" s="1"/>
  <c r="J573" i="28"/>
  <c r="N573" i="28" s="1"/>
  <c r="J574" i="28"/>
  <c r="N574" i="28" s="1"/>
  <c r="R574" i="28" s="1"/>
  <c r="V574" i="28" s="1"/>
  <c r="J575" i="28"/>
  <c r="N575" i="28" s="1"/>
  <c r="J576" i="28"/>
  <c r="N576" i="28" s="1"/>
  <c r="J577" i="28"/>
  <c r="N577" i="28" s="1"/>
  <c r="J578" i="28"/>
  <c r="N578" i="28" s="1"/>
  <c r="J579" i="28"/>
  <c r="N579" i="28" s="1"/>
  <c r="R579" i="28" s="1"/>
  <c r="V579" i="28" s="1"/>
  <c r="J580" i="28"/>
  <c r="N580" i="28" s="1"/>
  <c r="J581" i="28"/>
  <c r="N581" i="28" s="1"/>
  <c r="J582" i="28"/>
  <c r="N582" i="28" s="1"/>
  <c r="J583" i="28"/>
  <c r="N583" i="28" s="1"/>
  <c r="R583" i="28" s="1"/>
  <c r="V583" i="28" s="1"/>
  <c r="J584" i="28"/>
  <c r="N584" i="28" s="1"/>
  <c r="J585" i="28"/>
  <c r="N585" i="28" s="1"/>
  <c r="J586" i="28"/>
  <c r="N586" i="28" s="1"/>
  <c r="J587" i="28"/>
  <c r="N587" i="28" s="1"/>
  <c r="J588" i="28"/>
  <c r="N588" i="28" s="1"/>
  <c r="J589" i="28"/>
  <c r="N589" i="28" s="1"/>
  <c r="J590" i="28"/>
  <c r="N590" i="28" s="1"/>
  <c r="J591" i="28"/>
  <c r="N591" i="28" s="1"/>
  <c r="J592" i="28"/>
  <c r="N592" i="28" s="1"/>
  <c r="J593" i="28"/>
  <c r="N593" i="28" s="1"/>
  <c r="J594" i="28"/>
  <c r="N594" i="28" s="1"/>
  <c r="J595" i="28"/>
  <c r="N595" i="28" s="1"/>
  <c r="J596" i="28"/>
  <c r="N596" i="28" s="1"/>
  <c r="AB449" i="28" l="1"/>
  <c r="AF449" i="28" s="1"/>
  <c r="AB301" i="28"/>
  <c r="AF301" i="28" s="1"/>
  <c r="AB593" i="28"/>
  <c r="AF593" i="28" s="1"/>
  <c r="AB557" i="28"/>
  <c r="AF557" i="28" s="1"/>
  <c r="AB467" i="28"/>
  <c r="AF467" i="28" s="1"/>
  <c r="AJ467" i="28" s="1"/>
  <c r="AP467" i="28" s="1"/>
  <c r="AT467" i="28" s="1"/>
  <c r="AX467" i="28" s="1"/>
  <c r="AB424" i="28"/>
  <c r="AF424" i="28" s="1"/>
  <c r="AB592" i="28"/>
  <c r="AF592" i="28" s="1"/>
  <c r="AB556" i="28"/>
  <c r="AF556" i="28" s="1"/>
  <c r="AB466" i="28"/>
  <c r="AF466" i="28" s="1"/>
  <c r="AB423" i="28"/>
  <c r="AF423" i="28" s="1"/>
  <c r="AB274" i="28"/>
  <c r="AF274" i="28" s="1"/>
  <c r="AB247" i="28"/>
  <c r="AF247" i="28" s="1"/>
  <c r="AB321" i="28"/>
  <c r="AF321" i="28" s="1"/>
  <c r="AJ321" i="28" s="1"/>
  <c r="AP321" i="28" s="1"/>
  <c r="AT321" i="28" s="1"/>
  <c r="AX321" i="28" s="1"/>
  <c r="BF321" i="28" s="1"/>
  <c r="BH321" i="28" s="1"/>
  <c r="AB275" i="28"/>
  <c r="AF275" i="28" s="1"/>
  <c r="AB501" i="28"/>
  <c r="AF501" i="28" s="1"/>
  <c r="AB396" i="28"/>
  <c r="AF396" i="28" s="1"/>
  <c r="AJ396" i="28" s="1"/>
  <c r="AP396" i="28" s="1"/>
  <c r="AT396" i="28" s="1"/>
  <c r="AX396" i="28" s="1"/>
  <c r="BF396" i="28" s="1"/>
  <c r="BH396" i="28" s="1"/>
  <c r="AB350" i="28"/>
  <c r="AF350" i="28" s="1"/>
  <c r="AB311" i="28"/>
  <c r="AF311" i="28" s="1"/>
  <c r="AJ311" i="28" s="1"/>
  <c r="AP311" i="28" s="1"/>
  <c r="AT311" i="28" s="1"/>
  <c r="AB208" i="28"/>
  <c r="AF208" i="28" s="1"/>
  <c r="AB171" i="28"/>
  <c r="AF171" i="28" s="1"/>
  <c r="AB91" i="28"/>
  <c r="AF91" i="28" s="1"/>
  <c r="AB214" i="28"/>
  <c r="AF214" i="28" s="1"/>
  <c r="AB129" i="28"/>
  <c r="AF129" i="28" s="1"/>
  <c r="AB452" i="28"/>
  <c r="AF452" i="28" s="1"/>
  <c r="AB318" i="28"/>
  <c r="AF318" i="28" s="1"/>
  <c r="AJ318" i="28" s="1"/>
  <c r="AP318" i="28" s="1"/>
  <c r="AT318" i="28" s="1"/>
  <c r="AB276" i="28"/>
  <c r="AF276" i="28" s="1"/>
  <c r="AB255" i="28"/>
  <c r="AF255" i="28" s="1"/>
  <c r="AB178" i="28"/>
  <c r="AF178" i="28" s="1"/>
  <c r="AB117" i="28"/>
  <c r="AF117" i="28" s="1"/>
  <c r="AB489" i="28"/>
  <c r="AF489" i="28" s="1"/>
  <c r="R489" i="28"/>
  <c r="V489" i="28" s="1"/>
  <c r="R476" i="28"/>
  <c r="V476" i="28" s="1"/>
  <c r="R466" i="28"/>
  <c r="V466" i="28" s="1"/>
  <c r="AB584" i="28"/>
  <c r="AF584" i="28" s="1"/>
  <c r="AB572" i="28"/>
  <c r="AF572" i="28" s="1"/>
  <c r="AB520" i="28"/>
  <c r="AF520" i="28" s="1"/>
  <c r="R462" i="28"/>
  <c r="V462" i="28" s="1"/>
  <c r="AB349" i="28"/>
  <c r="AF349" i="28" s="1"/>
  <c r="AB413" i="28"/>
  <c r="AF413" i="28" s="1"/>
  <c r="AB400" i="28"/>
  <c r="AF400" i="28" s="1"/>
  <c r="AJ400" i="28" s="1"/>
  <c r="AP400" i="28" s="1"/>
  <c r="AT400" i="28" s="1"/>
  <c r="AB319" i="28"/>
  <c r="AF319" i="28" s="1"/>
  <c r="AJ319" i="28" s="1"/>
  <c r="AP319" i="28" s="1"/>
  <c r="AT319" i="28" s="1"/>
  <c r="AX319" i="28" s="1"/>
  <c r="BF319" i="28" s="1"/>
  <c r="BH319" i="28" s="1"/>
  <c r="AB257" i="28"/>
  <c r="AF257" i="28" s="1"/>
  <c r="AB250" i="28"/>
  <c r="AF250" i="28" s="1"/>
  <c r="AB224" i="28"/>
  <c r="AF224" i="28" s="1"/>
  <c r="AB216" i="28"/>
  <c r="AF216" i="28" s="1"/>
  <c r="AB204" i="28"/>
  <c r="AF204" i="28" s="1"/>
  <c r="AB179" i="28"/>
  <c r="AF179" i="28" s="1"/>
  <c r="AB167" i="28"/>
  <c r="AF167" i="28" s="1"/>
  <c r="AB155" i="28"/>
  <c r="AF155" i="28" s="1"/>
  <c r="AB149" i="28"/>
  <c r="AF149" i="28" s="1"/>
  <c r="AB143" i="28"/>
  <c r="AF143" i="28" s="1"/>
  <c r="AB137" i="28"/>
  <c r="AF137" i="28" s="1"/>
  <c r="AB118" i="28"/>
  <c r="AF118" i="28" s="1"/>
  <c r="AB322" i="28"/>
  <c r="AF322" i="28" s="1"/>
  <c r="AJ322" i="28" s="1"/>
  <c r="AP322" i="28" s="1"/>
  <c r="AT322" i="28" s="1"/>
  <c r="R322" i="28"/>
  <c r="V322" i="28" s="1"/>
  <c r="R316" i="28"/>
  <c r="V316" i="28" s="1"/>
  <c r="AB316" i="28"/>
  <c r="AF316" i="28" s="1"/>
  <c r="AJ316" i="28" s="1"/>
  <c r="AP316" i="28" s="1"/>
  <c r="AT316" i="28" s="1"/>
  <c r="AX316" i="28" s="1"/>
  <c r="BF316" i="28" s="1"/>
  <c r="BH316" i="28" s="1"/>
  <c r="AB302" i="28"/>
  <c r="AF302" i="28" s="1"/>
  <c r="R302" i="28"/>
  <c r="V302" i="28" s="1"/>
  <c r="AB421" i="28"/>
  <c r="AF421" i="28" s="1"/>
  <c r="R421" i="28"/>
  <c r="V421" i="28" s="1"/>
  <c r="R424" i="28"/>
  <c r="V424" i="28" s="1"/>
  <c r="R117" i="28"/>
  <c r="V117" i="28" s="1"/>
  <c r="AB270" i="28"/>
  <c r="AF270" i="28" s="1"/>
  <c r="AJ270" i="28" s="1"/>
  <c r="R423" i="28"/>
  <c r="V423" i="28" s="1"/>
  <c r="R350" i="28"/>
  <c r="V350" i="28" s="1"/>
  <c r="R275" i="28"/>
  <c r="V275" i="28" s="1"/>
  <c r="AB323" i="28"/>
  <c r="AF323" i="28" s="1"/>
  <c r="AJ323" i="28" s="1"/>
  <c r="AP323" i="28" s="1"/>
  <c r="AT323" i="28" s="1"/>
  <c r="R349" i="28"/>
  <c r="V349" i="28" s="1"/>
  <c r="R208" i="28"/>
  <c r="V208" i="28" s="1"/>
  <c r="AB410" i="28"/>
  <c r="AF410" i="28" s="1"/>
  <c r="AJ410" i="28" s="1"/>
  <c r="AP410" i="28" s="1"/>
  <c r="AT410" i="28" s="1"/>
  <c r="AB409" i="28"/>
  <c r="AF409" i="28" s="1"/>
  <c r="AJ409" i="28" s="1"/>
  <c r="AP409" i="28" s="1"/>
  <c r="AT409" i="28" s="1"/>
  <c r="AB341" i="28"/>
  <c r="AF341" i="28" s="1"/>
  <c r="AB333" i="28"/>
  <c r="AF333" i="28" s="1"/>
  <c r="AB273" i="28"/>
  <c r="AF273" i="28" s="1"/>
  <c r="AB226" i="28"/>
  <c r="AF226" i="28" s="1"/>
  <c r="R321" i="28"/>
  <c r="V321" i="28" s="1"/>
  <c r="R167" i="28"/>
  <c r="V167" i="28" s="1"/>
  <c r="AB88" i="28"/>
  <c r="AF88" i="28" s="1"/>
  <c r="R396" i="28"/>
  <c r="V396" i="28" s="1"/>
  <c r="R311" i="28"/>
  <c r="V311" i="28" s="1"/>
  <c r="R118" i="28"/>
  <c r="V118" i="28" s="1"/>
  <c r="AB71" i="28"/>
  <c r="AF71" i="28" s="1"/>
  <c r="R71" i="28"/>
  <c r="V71" i="28" s="1"/>
  <c r="AB177" i="28"/>
  <c r="AF177" i="28" s="1"/>
  <c r="R177" i="28"/>
  <c r="V177" i="28" s="1"/>
  <c r="AB230" i="28"/>
  <c r="AF230" i="28" s="1"/>
  <c r="AJ230" i="28" s="1"/>
  <c r="AP230" i="28" s="1"/>
  <c r="AT230" i="28" s="1"/>
  <c r="AX230" i="28" s="1"/>
  <c r="BF230" i="28" s="1"/>
  <c r="BH230" i="28" s="1"/>
  <c r="AB192" i="28"/>
  <c r="AF192" i="28" s="1"/>
  <c r="AB105" i="28"/>
  <c r="AF105" i="28" s="1"/>
  <c r="AB259" i="28"/>
  <c r="AF259" i="28" s="1"/>
  <c r="R129" i="28"/>
  <c r="V129" i="28" s="1"/>
  <c r="AB92" i="28"/>
  <c r="AF92" i="28" s="1"/>
  <c r="AB84" i="28"/>
  <c r="AF84" i="28" s="1"/>
  <c r="AB101" i="28"/>
  <c r="AF101" i="28" s="1"/>
  <c r="R276" i="28"/>
  <c r="V276" i="28" s="1"/>
  <c r="R216" i="28"/>
  <c r="V216" i="28" s="1"/>
  <c r="R91" i="28"/>
  <c r="V91" i="28" s="1"/>
  <c r="R143" i="28"/>
  <c r="V143" i="28" s="1"/>
  <c r="AB141" i="28"/>
  <c r="AF141" i="28" s="1"/>
  <c r="AB147" i="28"/>
  <c r="AF147" i="28" s="1"/>
  <c r="AB131" i="28"/>
  <c r="AF131" i="28" s="1"/>
  <c r="R155" i="28"/>
  <c r="V155" i="28" s="1"/>
  <c r="R179" i="28"/>
  <c r="V179" i="28" s="1"/>
  <c r="R178" i="28"/>
  <c r="V178" i="28" s="1"/>
  <c r="AB184" i="28"/>
  <c r="AF184" i="28" s="1"/>
  <c r="AB404" i="28"/>
  <c r="AF404" i="28" s="1"/>
  <c r="AJ404" i="28" s="1"/>
  <c r="AP404" i="28" s="1"/>
  <c r="AT404" i="28" s="1"/>
  <c r="AX404" i="28" s="1"/>
  <c r="BF404" i="28" s="1"/>
  <c r="BH404" i="28" s="1"/>
  <c r="AB367" i="28"/>
  <c r="AF367" i="28" s="1"/>
  <c r="AB344" i="28"/>
  <c r="AF344" i="28" s="1"/>
  <c r="AB264" i="28"/>
  <c r="AF264" i="28" s="1"/>
  <c r="AJ264" i="28" s="1"/>
  <c r="AP264" i="28" s="1"/>
  <c r="AT264" i="28" s="1"/>
  <c r="AB206" i="28"/>
  <c r="AF206" i="28" s="1"/>
  <c r="AB200" i="28"/>
  <c r="AF200" i="28" s="1"/>
  <c r="AB175" i="28"/>
  <c r="AF175" i="28" s="1"/>
  <c r="AB169" i="28"/>
  <c r="AF169" i="28" s="1"/>
  <c r="AB163" i="28"/>
  <c r="AF163" i="28" s="1"/>
  <c r="AB157" i="28"/>
  <c r="AF157" i="28" s="1"/>
  <c r="AB151" i="28"/>
  <c r="AF151" i="28" s="1"/>
  <c r="AB127" i="28"/>
  <c r="AF127" i="28" s="1"/>
  <c r="AB121" i="28"/>
  <c r="AF121" i="28" s="1"/>
  <c r="AB589" i="28"/>
  <c r="AF589" i="28" s="1"/>
  <c r="AB559" i="28"/>
  <c r="AF559" i="28" s="1"/>
  <c r="AB553" i="28"/>
  <c r="AF553" i="28" s="1"/>
  <c r="AB405" i="28"/>
  <c r="AF405" i="28" s="1"/>
  <c r="AJ405" i="28" s="1"/>
  <c r="AP405" i="28" s="1"/>
  <c r="AT405" i="28" s="1"/>
  <c r="AB397" i="28"/>
  <c r="AF397" i="28" s="1"/>
  <c r="AB358" i="28"/>
  <c r="AF358" i="28" s="1"/>
  <c r="AB251" i="28"/>
  <c r="AF251" i="28" s="1"/>
  <c r="AB156" i="28"/>
  <c r="AF156" i="28" s="1"/>
  <c r="AB86" i="28"/>
  <c r="AF86" i="28" s="1"/>
  <c r="AB488" i="28"/>
  <c r="AF488" i="28" s="1"/>
  <c r="AB555" i="28"/>
  <c r="AF555" i="28" s="1"/>
  <c r="AB465" i="28"/>
  <c r="AF465" i="28" s="1"/>
  <c r="AB453" i="28"/>
  <c r="AF453" i="28" s="1"/>
  <c r="AB439" i="28"/>
  <c r="AF439" i="28" s="1"/>
  <c r="AB422" i="28"/>
  <c r="AF422" i="28" s="1"/>
  <c r="AB366" i="28"/>
  <c r="AF366" i="28" s="1"/>
  <c r="AB225" i="28"/>
  <c r="AF225" i="28" s="1"/>
  <c r="AB521" i="28"/>
  <c r="AF521" i="28" s="1"/>
  <c r="AB536" i="28"/>
  <c r="AF536" i="28" s="1"/>
  <c r="R536" i="28"/>
  <c r="V536" i="28" s="1"/>
  <c r="R521" i="28"/>
  <c r="V521" i="28" s="1"/>
  <c r="R592" i="28"/>
  <c r="V592" i="28" s="1"/>
  <c r="R572" i="28"/>
  <c r="V572" i="28" s="1"/>
  <c r="AB588" i="28"/>
  <c r="AF588" i="28" s="1"/>
  <c r="R555" i="28"/>
  <c r="V555" i="28" s="1"/>
  <c r="AB587" i="28"/>
  <c r="AF587" i="28" s="1"/>
  <c r="R553" i="28"/>
  <c r="V553" i="28" s="1"/>
  <c r="AB583" i="28"/>
  <c r="AF583" i="28" s="1"/>
  <c r="AB579" i="28"/>
  <c r="AF579" i="28" s="1"/>
  <c r="AB566" i="28"/>
  <c r="AF566" i="28" s="1"/>
  <c r="AB185" i="28"/>
  <c r="AF185" i="28" s="1"/>
  <c r="R185" i="28"/>
  <c r="V185" i="28" s="1"/>
  <c r="AB254" i="28"/>
  <c r="AF254" i="28" s="1"/>
  <c r="R254" i="28"/>
  <c r="V254" i="28" s="1"/>
  <c r="R529" i="28"/>
  <c r="V529" i="28" s="1"/>
  <c r="AB529" i="28"/>
  <c r="AF529" i="28" s="1"/>
  <c r="AB345" i="28"/>
  <c r="AF345" i="28" s="1"/>
  <c r="R345" i="28"/>
  <c r="V345" i="28" s="1"/>
  <c r="AB142" i="28"/>
  <c r="AF142" i="28" s="1"/>
  <c r="AJ142" i="28" s="1"/>
  <c r="AP142" i="28" s="1"/>
  <c r="AT142" i="28" s="1"/>
  <c r="AX142" i="28" s="1"/>
  <c r="BF142" i="28" s="1"/>
  <c r="BH142" i="28" s="1"/>
  <c r="R142" i="28"/>
  <c r="V142" i="28" s="1"/>
  <c r="AB576" i="28"/>
  <c r="AF576" i="28" s="1"/>
  <c r="R576" i="28"/>
  <c r="V576" i="28" s="1"/>
  <c r="R552" i="28"/>
  <c r="V552" i="28" s="1"/>
  <c r="AB552" i="28"/>
  <c r="AF552" i="28" s="1"/>
  <c r="AB369" i="28"/>
  <c r="AF369" i="28" s="1"/>
  <c r="R369" i="28"/>
  <c r="V369" i="28" s="1"/>
  <c r="AB575" i="28"/>
  <c r="AF575" i="28" s="1"/>
  <c r="R575" i="28"/>
  <c r="V575" i="28" s="1"/>
  <c r="AB539" i="28"/>
  <c r="AF539" i="28" s="1"/>
  <c r="R539" i="28"/>
  <c r="V539" i="28" s="1"/>
  <c r="AB461" i="28"/>
  <c r="AF461" i="28" s="1"/>
  <c r="R461" i="28"/>
  <c r="V461" i="28" s="1"/>
  <c r="R418" i="28"/>
  <c r="V418" i="28" s="1"/>
  <c r="AB418" i="28"/>
  <c r="AF418" i="28" s="1"/>
  <c r="AB571" i="28"/>
  <c r="AF571" i="28" s="1"/>
  <c r="R571" i="28"/>
  <c r="V571" i="28" s="1"/>
  <c r="R160" i="28"/>
  <c r="V160" i="28" s="1"/>
  <c r="AB160" i="28"/>
  <c r="AF160" i="28" s="1"/>
  <c r="AB456" i="28"/>
  <c r="AF456" i="28" s="1"/>
  <c r="AJ456" i="28" s="1"/>
  <c r="R456" i="28"/>
  <c r="V456" i="28" s="1"/>
  <c r="AB537" i="28"/>
  <c r="AF537" i="28" s="1"/>
  <c r="R537" i="28"/>
  <c r="V537" i="28" s="1"/>
  <c r="AB447" i="28"/>
  <c r="AF447" i="28" s="1"/>
  <c r="R447" i="28"/>
  <c r="V447" i="28" s="1"/>
  <c r="AB326" i="28"/>
  <c r="AF326" i="28" s="1"/>
  <c r="R326" i="28"/>
  <c r="V326" i="28" s="1"/>
  <c r="R211" i="28"/>
  <c r="V211" i="28" s="1"/>
  <c r="AB211" i="28"/>
  <c r="AF211" i="28" s="1"/>
  <c r="R174" i="28"/>
  <c r="V174" i="28" s="1"/>
  <c r="AB174" i="28"/>
  <c r="AF174" i="28" s="1"/>
  <c r="AB113" i="28"/>
  <c r="AF113" i="28" s="1"/>
  <c r="R113" i="28"/>
  <c r="V113" i="28" s="1"/>
  <c r="AB457" i="28"/>
  <c r="AF457" i="28" s="1"/>
  <c r="AJ457" i="28" s="1"/>
  <c r="AP457" i="28" s="1"/>
  <c r="AT457" i="28" s="1"/>
  <c r="AX457" i="28" s="1"/>
  <c r="BF457" i="28" s="1"/>
  <c r="BH457" i="28" s="1"/>
  <c r="R457" i="28"/>
  <c r="V457" i="28" s="1"/>
  <c r="AB485" i="28"/>
  <c r="AF485" i="28" s="1"/>
  <c r="R485" i="28"/>
  <c r="V485" i="28" s="1"/>
  <c r="AB77" i="28"/>
  <c r="AF77" i="28" s="1"/>
  <c r="R77" i="28"/>
  <c r="V77" i="28" s="1"/>
  <c r="AB420" i="28"/>
  <c r="AF420" i="28" s="1"/>
  <c r="R420" i="28"/>
  <c r="V420" i="28" s="1"/>
  <c r="AB573" i="28"/>
  <c r="AF573" i="28" s="1"/>
  <c r="R573" i="28"/>
  <c r="V573" i="28" s="1"/>
  <c r="AB561" i="28"/>
  <c r="AF561" i="28" s="1"/>
  <c r="R561" i="28"/>
  <c r="V561" i="28" s="1"/>
  <c r="AB378" i="28"/>
  <c r="AF378" i="28" s="1"/>
  <c r="AJ378" i="28" s="1"/>
  <c r="R378" i="28"/>
  <c r="V378" i="28" s="1"/>
  <c r="AB126" i="28"/>
  <c r="AF126" i="28" s="1"/>
  <c r="R126" i="28"/>
  <c r="V126" i="28" s="1"/>
  <c r="AB487" i="28"/>
  <c r="AF487" i="28" s="1"/>
  <c r="R487" i="28"/>
  <c r="V487" i="28" s="1"/>
  <c r="AB353" i="28"/>
  <c r="AF353" i="28" s="1"/>
  <c r="R353" i="28"/>
  <c r="V353" i="28" s="1"/>
  <c r="AB210" i="28"/>
  <c r="AF210" i="28" s="1"/>
  <c r="R210" i="28"/>
  <c r="V210" i="28" s="1"/>
  <c r="AB173" i="28"/>
  <c r="AF173" i="28" s="1"/>
  <c r="R173" i="28"/>
  <c r="V173" i="28" s="1"/>
  <c r="R209" i="28"/>
  <c r="V209" i="28" s="1"/>
  <c r="AB209" i="28"/>
  <c r="AF209" i="28" s="1"/>
  <c r="AB468" i="28"/>
  <c r="AF468" i="28" s="1"/>
  <c r="R468" i="28"/>
  <c r="V468" i="28" s="1"/>
  <c r="AB581" i="28"/>
  <c r="AF581" i="28" s="1"/>
  <c r="R581" i="28"/>
  <c r="V581" i="28" s="1"/>
  <c r="AB533" i="28"/>
  <c r="AF533" i="28" s="1"/>
  <c r="R533" i="28"/>
  <c r="V533" i="28" s="1"/>
  <c r="R144" i="28"/>
  <c r="V144" i="28" s="1"/>
  <c r="AB144" i="28"/>
  <c r="AF144" i="28" s="1"/>
  <c r="AB495" i="28"/>
  <c r="AF495" i="28" s="1"/>
  <c r="R495" i="28"/>
  <c r="V495" i="28" s="1"/>
  <c r="R407" i="28"/>
  <c r="V407" i="28" s="1"/>
  <c r="AB407" i="28"/>
  <c r="AF407" i="28" s="1"/>
  <c r="AJ407" i="28" s="1"/>
  <c r="AP407" i="28" s="1"/>
  <c r="AT407" i="28" s="1"/>
  <c r="AB346" i="28"/>
  <c r="AF346" i="28" s="1"/>
  <c r="R346" i="28"/>
  <c r="V346" i="28" s="1"/>
  <c r="AB526" i="28"/>
  <c r="AF526" i="28" s="1"/>
  <c r="R526" i="28"/>
  <c r="V526" i="28" s="1"/>
  <c r="AB271" i="28"/>
  <c r="AF271" i="28" s="1"/>
  <c r="R271" i="28"/>
  <c r="V271" i="28" s="1"/>
  <c r="AB198" i="28"/>
  <c r="AF198" i="28" s="1"/>
  <c r="R198" i="28"/>
  <c r="V198" i="28" s="1"/>
  <c r="AB99" i="28"/>
  <c r="AF99" i="28" s="1"/>
  <c r="R99" i="28"/>
  <c r="V99" i="28" s="1"/>
  <c r="AB531" i="28"/>
  <c r="AF531" i="28" s="1"/>
  <c r="R531" i="28"/>
  <c r="V531" i="28" s="1"/>
  <c r="AB427" i="28"/>
  <c r="AF427" i="28" s="1"/>
  <c r="R427" i="28"/>
  <c r="V427" i="28" s="1"/>
  <c r="R449" i="28"/>
  <c r="V449" i="28" s="1"/>
  <c r="R250" i="28"/>
  <c r="V250" i="28" s="1"/>
  <c r="AB281" i="28"/>
  <c r="AF281" i="28" s="1"/>
  <c r="R281" i="28"/>
  <c r="V281" i="28" s="1"/>
  <c r="AB238" i="28"/>
  <c r="AF238" i="28" s="1"/>
  <c r="R238" i="28"/>
  <c r="V238" i="28" s="1"/>
  <c r="R136" i="28"/>
  <c r="V136" i="28" s="1"/>
  <c r="AB136" i="28"/>
  <c r="AF136" i="28" s="1"/>
  <c r="AB94" i="28"/>
  <c r="AF94" i="28" s="1"/>
  <c r="R94" i="28"/>
  <c r="V94" i="28" s="1"/>
  <c r="AB530" i="28"/>
  <c r="AF530" i="28" s="1"/>
  <c r="R530" i="28"/>
  <c r="V530" i="28" s="1"/>
  <c r="AB280" i="28"/>
  <c r="AF280" i="28" s="1"/>
  <c r="R280" i="28"/>
  <c r="V280" i="28" s="1"/>
  <c r="R589" i="28"/>
  <c r="V589" i="28" s="1"/>
  <c r="R301" i="28"/>
  <c r="V301" i="28" s="1"/>
  <c r="AB463" i="28"/>
  <c r="AF463" i="28" s="1"/>
  <c r="R463" i="28"/>
  <c r="V463" i="28" s="1"/>
  <c r="R451" i="28"/>
  <c r="V451" i="28" s="1"/>
  <c r="AB451" i="28"/>
  <c r="AF451" i="28" s="1"/>
  <c r="AB394" i="28"/>
  <c r="AF394" i="28" s="1"/>
  <c r="AJ394" i="28" s="1"/>
  <c r="AP394" i="28" s="1"/>
  <c r="AT394" i="28" s="1"/>
  <c r="AX394" i="28" s="1"/>
  <c r="BF394" i="28" s="1"/>
  <c r="BH394" i="28" s="1"/>
  <c r="R394" i="28"/>
  <c r="V394" i="28" s="1"/>
  <c r="AB361" i="28"/>
  <c r="AF361" i="28" s="1"/>
  <c r="R361" i="28"/>
  <c r="V361" i="28" s="1"/>
  <c r="AB348" i="28"/>
  <c r="AF348" i="28" s="1"/>
  <c r="R348" i="28"/>
  <c r="V348" i="28" s="1"/>
  <c r="AB78" i="28"/>
  <c r="AF78" i="28" s="1"/>
  <c r="R78" i="28"/>
  <c r="V78" i="28" s="1"/>
  <c r="AB580" i="28"/>
  <c r="AF580" i="28" s="1"/>
  <c r="R580" i="28"/>
  <c r="V580" i="28" s="1"/>
  <c r="AB376" i="28"/>
  <c r="AF376" i="28" s="1"/>
  <c r="AJ376" i="28" s="1"/>
  <c r="R376" i="28"/>
  <c r="V376" i="28" s="1"/>
  <c r="R315" i="28"/>
  <c r="V315" i="28" s="1"/>
  <c r="AB315" i="28"/>
  <c r="AF315" i="28" s="1"/>
  <c r="AJ315" i="28" s="1"/>
  <c r="AB227" i="28"/>
  <c r="AF227" i="28" s="1"/>
  <c r="R227" i="28"/>
  <c r="V227" i="28" s="1"/>
  <c r="R588" i="28"/>
  <c r="V588" i="28" s="1"/>
  <c r="R366" i="28"/>
  <c r="V366" i="28" s="1"/>
  <c r="R149" i="28"/>
  <c r="V149" i="28" s="1"/>
  <c r="AB325" i="28"/>
  <c r="AF325" i="28" s="1"/>
  <c r="AB191" i="28"/>
  <c r="AF191" i="28" s="1"/>
  <c r="R594" i="28"/>
  <c r="AB582" i="28"/>
  <c r="AF582" i="28" s="1"/>
  <c r="R582" i="28"/>
  <c r="V582" i="28" s="1"/>
  <c r="AB570" i="28"/>
  <c r="AF570" i="28" s="1"/>
  <c r="R570" i="28"/>
  <c r="V570" i="28" s="1"/>
  <c r="AB558" i="28"/>
  <c r="AF558" i="28" s="1"/>
  <c r="R558" i="28"/>
  <c r="V558" i="28" s="1"/>
  <c r="AB546" i="28"/>
  <c r="AF546" i="28" s="1"/>
  <c r="R546" i="28"/>
  <c r="V546" i="28" s="1"/>
  <c r="AB534" i="28"/>
  <c r="AF534" i="28" s="1"/>
  <c r="R534" i="28"/>
  <c r="V534" i="28" s="1"/>
  <c r="AB474" i="28"/>
  <c r="AF474" i="28" s="1"/>
  <c r="R474" i="28"/>
  <c r="V474" i="28" s="1"/>
  <c r="AB408" i="28"/>
  <c r="AF408" i="28" s="1"/>
  <c r="AJ408" i="28" s="1"/>
  <c r="AP408" i="28" s="1"/>
  <c r="AT408" i="28" s="1"/>
  <c r="AX408" i="28" s="1"/>
  <c r="BF408" i="28" s="1"/>
  <c r="BH408" i="28" s="1"/>
  <c r="R408" i="28"/>
  <c r="V408" i="28" s="1"/>
  <c r="AB347" i="28"/>
  <c r="AF347" i="28" s="1"/>
  <c r="R347" i="28"/>
  <c r="V347" i="28" s="1"/>
  <c r="AB279" i="28"/>
  <c r="AF279" i="28" s="1"/>
  <c r="R279" i="28"/>
  <c r="V279" i="28" s="1"/>
  <c r="AB266" i="28"/>
  <c r="AF266" i="28" s="1"/>
  <c r="AJ266" i="28" s="1"/>
  <c r="AP266" i="28" s="1"/>
  <c r="AT266" i="28" s="1"/>
  <c r="R266" i="28"/>
  <c r="V266" i="28" s="1"/>
  <c r="AB207" i="28"/>
  <c r="AF207" i="28" s="1"/>
  <c r="R207" i="28"/>
  <c r="V207" i="28" s="1"/>
  <c r="AB183" i="28"/>
  <c r="AF183" i="28" s="1"/>
  <c r="R183" i="28"/>
  <c r="V183" i="28" s="1"/>
  <c r="AB170" i="28"/>
  <c r="AF170" i="28" s="1"/>
  <c r="R170" i="28"/>
  <c r="V170" i="28" s="1"/>
  <c r="AB146" i="28"/>
  <c r="AF146" i="28" s="1"/>
  <c r="R146" i="28"/>
  <c r="V146" i="28" s="1"/>
  <c r="AB134" i="28"/>
  <c r="AF134" i="28" s="1"/>
  <c r="R134" i="28"/>
  <c r="V134" i="28" s="1"/>
  <c r="AB108" i="28"/>
  <c r="AF108" i="28" s="1"/>
  <c r="R108" i="28"/>
  <c r="V108" i="28" s="1"/>
  <c r="AB548" i="28"/>
  <c r="AF548" i="28" s="1"/>
  <c r="R548" i="28"/>
  <c r="V548" i="28" s="1"/>
  <c r="AB491" i="28"/>
  <c r="AF491" i="28" s="1"/>
  <c r="R491" i="28"/>
  <c r="V491" i="28" s="1"/>
  <c r="AB312" i="28"/>
  <c r="AF312" i="28" s="1"/>
  <c r="AJ312" i="28" s="1"/>
  <c r="R312" i="28"/>
  <c r="V312" i="28" s="1"/>
  <c r="AB87" i="28"/>
  <c r="AF87" i="28" s="1"/>
  <c r="R87" i="28"/>
  <c r="V87" i="28" s="1"/>
  <c r="R587" i="28"/>
  <c r="V587" i="28" s="1"/>
  <c r="R358" i="28"/>
  <c r="V358" i="28" s="1"/>
  <c r="R225" i="28"/>
  <c r="V225" i="28" s="1"/>
  <c r="AB535" i="28"/>
  <c r="AF535" i="28" s="1"/>
  <c r="AB172" i="28"/>
  <c r="AF172" i="28" s="1"/>
  <c r="AB426" i="28"/>
  <c r="AF426" i="28" s="1"/>
  <c r="R426" i="28"/>
  <c r="V426" i="28" s="1"/>
  <c r="AB187" i="28"/>
  <c r="AF187" i="28" s="1"/>
  <c r="R187" i="28"/>
  <c r="V187" i="28" s="1"/>
  <c r="AB432" i="28"/>
  <c r="AF432" i="28" s="1"/>
  <c r="R432" i="28"/>
  <c r="V432" i="28" s="1"/>
  <c r="AB359" i="28"/>
  <c r="AF359" i="28" s="1"/>
  <c r="R359" i="28"/>
  <c r="V359" i="28" s="1"/>
  <c r="AB194" i="28"/>
  <c r="AF194" i="28" s="1"/>
  <c r="R194" i="28"/>
  <c r="V194" i="28" s="1"/>
  <c r="R133" i="28"/>
  <c r="V133" i="28" s="1"/>
  <c r="AB133" i="28"/>
  <c r="AF133" i="28" s="1"/>
  <c r="AB547" i="28"/>
  <c r="AF547" i="28" s="1"/>
  <c r="R547" i="28"/>
  <c r="V547" i="28" s="1"/>
  <c r="AB417" i="28"/>
  <c r="AF417" i="28" s="1"/>
  <c r="R417" i="28"/>
  <c r="V417" i="28" s="1"/>
  <c r="AB221" i="28"/>
  <c r="AF221" i="28" s="1"/>
  <c r="R221" i="28"/>
  <c r="V221" i="28" s="1"/>
  <c r="AB527" i="28"/>
  <c r="AF527" i="28" s="1"/>
  <c r="R527" i="28"/>
  <c r="V527" i="28" s="1"/>
  <c r="AB586" i="28"/>
  <c r="AF586" i="28" s="1"/>
  <c r="R586" i="28"/>
  <c r="V586" i="28" s="1"/>
  <c r="AB454" i="28"/>
  <c r="AF454" i="28" s="1"/>
  <c r="R454" i="28"/>
  <c r="V454" i="28" s="1"/>
  <c r="AB138" i="28"/>
  <c r="AF138" i="28" s="1"/>
  <c r="R138" i="28"/>
  <c r="V138" i="28" s="1"/>
  <c r="AB331" i="28"/>
  <c r="AF331" i="28" s="1"/>
  <c r="R331" i="28"/>
  <c r="V331" i="28" s="1"/>
  <c r="AB181" i="28"/>
  <c r="AF181" i="28" s="1"/>
  <c r="R181" i="28"/>
  <c r="V181" i="28" s="1"/>
  <c r="AB564" i="28"/>
  <c r="AF564" i="28" s="1"/>
  <c r="R564" i="28"/>
  <c r="V564" i="28" s="1"/>
  <c r="R455" i="28"/>
  <c r="V455" i="28" s="1"/>
  <c r="AB455" i="28"/>
  <c r="AF455" i="28" s="1"/>
  <c r="AB480" i="28"/>
  <c r="AF480" i="28" s="1"/>
  <c r="R480" i="28"/>
  <c r="V480" i="28" s="1"/>
  <c r="AB162" i="28"/>
  <c r="AF162" i="28" s="1"/>
  <c r="R162" i="28"/>
  <c r="V162" i="28" s="1"/>
  <c r="AB220" i="28"/>
  <c r="AF220" i="28" s="1"/>
  <c r="R220" i="28"/>
  <c r="V220" i="28" s="1"/>
  <c r="AB145" i="28"/>
  <c r="AF145" i="28" s="1"/>
  <c r="R145" i="28"/>
  <c r="V145" i="28" s="1"/>
  <c r="AB176" i="28"/>
  <c r="AF176" i="28" s="1"/>
  <c r="R176" i="28"/>
  <c r="V176" i="28" s="1"/>
  <c r="AB569" i="28"/>
  <c r="AF569" i="28" s="1"/>
  <c r="R569" i="28"/>
  <c r="V569" i="28" s="1"/>
  <c r="AB371" i="28"/>
  <c r="AF371" i="28" s="1"/>
  <c r="R371" i="28"/>
  <c r="V371" i="28" s="1"/>
  <c r="AB306" i="28"/>
  <c r="AF306" i="28" s="1"/>
  <c r="R306" i="28"/>
  <c r="V306" i="28" s="1"/>
  <c r="AB232" i="28"/>
  <c r="AF232" i="28" s="1"/>
  <c r="R232" i="28"/>
  <c r="V232" i="28" s="1"/>
  <c r="AB308" i="28"/>
  <c r="AF308" i="28" s="1"/>
  <c r="R308" i="28"/>
  <c r="V308" i="28" s="1"/>
  <c r="R224" i="28"/>
  <c r="V224" i="28" s="1"/>
  <c r="AB148" i="28"/>
  <c r="AF148" i="28" s="1"/>
  <c r="AB448" i="28"/>
  <c r="AF448" i="28" s="1"/>
  <c r="R448" i="28"/>
  <c r="V448" i="28" s="1"/>
  <c r="R382" i="28"/>
  <c r="V382" i="28" s="1"/>
  <c r="AB382" i="28"/>
  <c r="AF382" i="28" s="1"/>
  <c r="AJ382" i="28" s="1"/>
  <c r="AB330" i="28"/>
  <c r="AF330" i="28" s="1"/>
  <c r="R330" i="28"/>
  <c r="V330" i="28" s="1"/>
  <c r="AB305" i="28"/>
  <c r="AF305" i="28" s="1"/>
  <c r="R305" i="28"/>
  <c r="V305" i="28" s="1"/>
  <c r="AB289" i="28"/>
  <c r="AF289" i="28" s="1"/>
  <c r="R289" i="28"/>
  <c r="V289" i="28" s="1"/>
  <c r="AB205" i="28"/>
  <c r="AF205" i="28" s="1"/>
  <c r="AB180" i="28"/>
  <c r="AF180" i="28" s="1"/>
  <c r="AB307" i="28"/>
  <c r="AF307" i="28" s="1"/>
  <c r="R307" i="28"/>
  <c r="V307" i="28" s="1"/>
  <c r="R467" i="28"/>
  <c r="V467" i="28" s="1"/>
  <c r="AB543" i="28"/>
  <c r="AF543" i="28" s="1"/>
  <c r="R543" i="28"/>
  <c r="V543" i="28" s="1"/>
  <c r="AB471" i="28"/>
  <c r="AF471" i="28" s="1"/>
  <c r="R471" i="28"/>
  <c r="V471" i="28" s="1"/>
  <c r="AB459" i="28"/>
  <c r="AF459" i="28" s="1"/>
  <c r="AJ459" i="28" s="1"/>
  <c r="AP459" i="28" s="1"/>
  <c r="AT459" i="28" s="1"/>
  <c r="AX459" i="28" s="1"/>
  <c r="BF459" i="28" s="1"/>
  <c r="BH459" i="28" s="1"/>
  <c r="R459" i="28"/>
  <c r="V459" i="28" s="1"/>
  <c r="AB430" i="28"/>
  <c r="AF430" i="28" s="1"/>
  <c r="R430" i="28"/>
  <c r="V430" i="28" s="1"/>
  <c r="AB381" i="28"/>
  <c r="AF381" i="28" s="1"/>
  <c r="AJ381" i="28" s="1"/>
  <c r="R381" i="28"/>
  <c r="V381" i="28" s="1"/>
  <c r="AB357" i="28"/>
  <c r="AF357" i="28" s="1"/>
  <c r="R357" i="28"/>
  <c r="V357" i="28" s="1"/>
  <c r="AB329" i="28"/>
  <c r="AF329" i="28" s="1"/>
  <c r="R329" i="28"/>
  <c r="V329" i="28" s="1"/>
  <c r="AB317" i="28"/>
  <c r="AF317" i="28" s="1"/>
  <c r="AJ317" i="28" s="1"/>
  <c r="AP317" i="28" s="1"/>
  <c r="AT317" i="28" s="1"/>
  <c r="R317" i="28"/>
  <c r="V317" i="28" s="1"/>
  <c r="AB288" i="28"/>
  <c r="AF288" i="28" s="1"/>
  <c r="R288" i="28"/>
  <c r="V288" i="28" s="1"/>
  <c r="AB263" i="28"/>
  <c r="AF263" i="28" s="1"/>
  <c r="AJ263" i="28" s="1"/>
  <c r="AP263" i="28" s="1"/>
  <c r="AT263" i="28" s="1"/>
  <c r="R263" i="28"/>
  <c r="V263" i="28" s="1"/>
  <c r="AB249" i="28"/>
  <c r="AF249" i="28" s="1"/>
  <c r="R249" i="28"/>
  <c r="V249" i="28" s="1"/>
  <c r="AB542" i="28"/>
  <c r="AF542" i="28" s="1"/>
  <c r="R542" i="28"/>
  <c r="V542" i="28" s="1"/>
  <c r="AB124" i="28"/>
  <c r="AF124" i="28" s="1"/>
  <c r="R124" i="28"/>
  <c r="V124" i="28" s="1"/>
  <c r="AB83" i="28"/>
  <c r="AF83" i="28" s="1"/>
  <c r="R83" i="28"/>
  <c r="V83" i="28" s="1"/>
  <c r="R520" i="28"/>
  <c r="V520" i="28" s="1"/>
  <c r="R413" i="28"/>
  <c r="V413" i="28" s="1"/>
  <c r="R274" i="28"/>
  <c r="V274" i="28" s="1"/>
  <c r="R137" i="28"/>
  <c r="V137" i="28" s="1"/>
  <c r="AB498" i="28"/>
  <c r="AF498" i="28" s="1"/>
  <c r="R498" i="28"/>
  <c r="V498" i="28" s="1"/>
  <c r="AB429" i="28"/>
  <c r="AF429" i="28" s="1"/>
  <c r="R429" i="28"/>
  <c r="V429" i="28" s="1"/>
  <c r="R380" i="28"/>
  <c r="V380" i="28" s="1"/>
  <c r="AB380" i="28"/>
  <c r="AF380" i="28" s="1"/>
  <c r="AJ380" i="28" s="1"/>
  <c r="AB262" i="28"/>
  <c r="AF262" i="28" s="1"/>
  <c r="AJ262" i="28" s="1"/>
  <c r="AP262" i="28" s="1"/>
  <c r="AT262" i="28" s="1"/>
  <c r="AX262" i="28" s="1"/>
  <c r="R262" i="28"/>
  <c r="V262" i="28" s="1"/>
  <c r="AB248" i="28"/>
  <c r="AF248" i="28" s="1"/>
  <c r="R248" i="28"/>
  <c r="V248" i="28" s="1"/>
  <c r="AB229" i="28"/>
  <c r="AF229" i="28" s="1"/>
  <c r="AJ229" i="28" s="1"/>
  <c r="AP229" i="28" s="1"/>
  <c r="AT229" i="28" s="1"/>
  <c r="AX229" i="28" s="1"/>
  <c r="BF229" i="28" s="1"/>
  <c r="BH229" i="28" s="1"/>
  <c r="R229" i="28"/>
  <c r="V229" i="28" s="1"/>
  <c r="AB215" i="28"/>
  <c r="AF215" i="28" s="1"/>
  <c r="R215" i="28"/>
  <c r="V215" i="28" s="1"/>
  <c r="AB203" i="28"/>
  <c r="AF203" i="28" s="1"/>
  <c r="R203" i="28"/>
  <c r="V203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04" i="28"/>
  <c r="AF104" i="28" s="1"/>
  <c r="R104" i="28"/>
  <c r="V104" i="28" s="1"/>
  <c r="AB596" i="28"/>
  <c r="AF596" i="28" s="1"/>
  <c r="AJ596" i="28" s="1"/>
  <c r="AP596" i="28" s="1"/>
  <c r="AT596" i="28" s="1"/>
  <c r="AX596" i="28" s="1"/>
  <c r="BF596" i="28" s="1"/>
  <c r="BH596" i="28" s="1"/>
  <c r="R596" i="28"/>
  <c r="V596" i="28" s="1"/>
  <c r="AB446" i="28"/>
  <c r="AF446" i="28" s="1"/>
  <c r="R446" i="28"/>
  <c r="V446" i="28" s="1"/>
  <c r="R559" i="28"/>
  <c r="V559" i="28" s="1"/>
  <c r="R405" i="28"/>
  <c r="V405" i="28" s="1"/>
  <c r="R344" i="28"/>
  <c r="V344" i="28" s="1"/>
  <c r="R214" i="28"/>
  <c r="V214" i="28" s="1"/>
  <c r="R169" i="28"/>
  <c r="V169" i="28" s="1"/>
  <c r="R86" i="28"/>
  <c r="V86" i="28" s="1"/>
  <c r="AB464" i="28"/>
  <c r="AF464" i="28" s="1"/>
  <c r="AB106" i="28"/>
  <c r="AF106" i="28" s="1"/>
  <c r="AB283" i="28"/>
  <c r="AF283" i="28" s="1"/>
  <c r="R283" i="28"/>
  <c r="V283" i="28" s="1"/>
  <c r="AB100" i="28"/>
  <c r="AF100" i="28" s="1"/>
  <c r="R100" i="28"/>
  <c r="V100" i="28" s="1"/>
  <c r="AB545" i="28"/>
  <c r="AF545" i="28" s="1"/>
  <c r="R545" i="28"/>
  <c r="V545" i="28" s="1"/>
  <c r="AB383" i="28"/>
  <c r="AF383" i="28" s="1"/>
  <c r="AJ383" i="28" s="1"/>
  <c r="R383" i="28"/>
  <c r="V383" i="28" s="1"/>
  <c r="AB90" i="28"/>
  <c r="AF90" i="28" s="1"/>
  <c r="R90" i="28"/>
  <c r="V90" i="28" s="1"/>
  <c r="AB373" i="28"/>
  <c r="AF373" i="28" s="1"/>
  <c r="R373" i="28"/>
  <c r="V373" i="28" s="1"/>
  <c r="R270" i="28"/>
  <c r="V270" i="28" s="1"/>
  <c r="R132" i="28"/>
  <c r="V132" i="28" s="1"/>
  <c r="AB132" i="28"/>
  <c r="AF132" i="28" s="1"/>
  <c r="AB486" i="28"/>
  <c r="AF486" i="28" s="1"/>
  <c r="R486" i="28"/>
  <c r="V486" i="28" s="1"/>
  <c r="AB460" i="28"/>
  <c r="AF460" i="28" s="1"/>
  <c r="AJ460" i="28" s="1"/>
  <c r="AP460" i="28" s="1"/>
  <c r="AT460" i="28" s="1"/>
  <c r="AX460" i="28" s="1"/>
  <c r="R460" i="28"/>
  <c r="V460" i="28" s="1"/>
  <c r="R419" i="28"/>
  <c r="V419" i="28" s="1"/>
  <c r="AB419" i="28"/>
  <c r="AF419" i="28" s="1"/>
  <c r="AB370" i="28"/>
  <c r="AF370" i="28" s="1"/>
  <c r="R370" i="28"/>
  <c r="V370" i="28" s="1"/>
  <c r="AB217" i="28"/>
  <c r="AF217" i="28" s="1"/>
  <c r="R217" i="28"/>
  <c r="V217" i="28" s="1"/>
  <c r="AB168" i="28"/>
  <c r="AF168" i="28" s="1"/>
  <c r="R168" i="28"/>
  <c r="V168" i="28" s="1"/>
  <c r="AB343" i="28"/>
  <c r="AF343" i="28" s="1"/>
  <c r="R343" i="28"/>
  <c r="V343" i="28" s="1"/>
  <c r="AB267" i="28"/>
  <c r="AF267" i="28" s="1"/>
  <c r="AJ267" i="28" s="1"/>
  <c r="R267" i="28"/>
  <c r="V267" i="28" s="1"/>
  <c r="AB577" i="28"/>
  <c r="AF577" i="28" s="1"/>
  <c r="R577" i="28"/>
  <c r="V577" i="28" s="1"/>
  <c r="AB565" i="28"/>
  <c r="AF565" i="28" s="1"/>
  <c r="R565" i="28"/>
  <c r="V565" i="28" s="1"/>
  <c r="AB541" i="28"/>
  <c r="AF541" i="28" s="1"/>
  <c r="R541" i="28"/>
  <c r="V541" i="28" s="1"/>
  <c r="AB483" i="28"/>
  <c r="AF483" i="28" s="1"/>
  <c r="R483" i="28"/>
  <c r="V483" i="28" s="1"/>
  <c r="AB469" i="28"/>
  <c r="AF469" i="28" s="1"/>
  <c r="R469" i="28"/>
  <c r="V469" i="28" s="1"/>
  <c r="AB445" i="28"/>
  <c r="AF445" i="28" s="1"/>
  <c r="R445" i="28"/>
  <c r="V445" i="28" s="1"/>
  <c r="AB428" i="28"/>
  <c r="AF428" i="28" s="1"/>
  <c r="R428" i="28"/>
  <c r="V428" i="28" s="1"/>
  <c r="R355" i="28"/>
  <c r="V355" i="28" s="1"/>
  <c r="AB355" i="28"/>
  <c r="AF355" i="28" s="1"/>
  <c r="AB202" i="28"/>
  <c r="AF202" i="28" s="1"/>
  <c r="R202" i="28"/>
  <c r="V202" i="28" s="1"/>
  <c r="AB103" i="28"/>
  <c r="AF103" i="28" s="1"/>
  <c r="R103" i="28"/>
  <c r="V103" i="28" s="1"/>
  <c r="R595" i="28"/>
  <c r="V595" i="28" s="1"/>
  <c r="AB595" i="28"/>
  <c r="AF595" i="28" s="1"/>
  <c r="AJ595" i="28" s="1"/>
  <c r="AP595" i="28" s="1"/>
  <c r="AT595" i="28" s="1"/>
  <c r="AX595" i="28" s="1"/>
  <c r="BF595" i="28" s="1"/>
  <c r="BH595" i="28" s="1"/>
  <c r="AB441" i="28"/>
  <c r="AF441" i="28" s="1"/>
  <c r="R441" i="28"/>
  <c r="V441" i="28" s="1"/>
  <c r="R362" i="28"/>
  <c r="V362" i="28" s="1"/>
  <c r="AB362" i="28"/>
  <c r="AF362" i="28" s="1"/>
  <c r="AB253" i="28"/>
  <c r="AF253" i="28" s="1"/>
  <c r="R253" i="28"/>
  <c r="V253" i="28" s="1"/>
  <c r="AB122" i="28"/>
  <c r="AF122" i="28" s="1"/>
  <c r="R122" i="28"/>
  <c r="V122" i="28" s="1"/>
  <c r="R557" i="28"/>
  <c r="V557" i="28" s="1"/>
  <c r="R404" i="28"/>
  <c r="V404" i="28" s="1"/>
  <c r="R264" i="28"/>
  <c r="V264" i="28" s="1"/>
  <c r="AB444" i="28"/>
  <c r="AF444" i="28" s="1"/>
  <c r="R444" i="28"/>
  <c r="V444" i="28" s="1"/>
  <c r="AB414" i="28"/>
  <c r="AF414" i="28" s="1"/>
  <c r="R414" i="28"/>
  <c r="V414" i="28" s="1"/>
  <c r="AB401" i="28"/>
  <c r="AF401" i="28" s="1"/>
  <c r="AJ401" i="28" s="1"/>
  <c r="AP401" i="28" s="1"/>
  <c r="AT401" i="28" s="1"/>
  <c r="R401" i="28"/>
  <c r="V401" i="28" s="1"/>
  <c r="AB354" i="28"/>
  <c r="AF354" i="28" s="1"/>
  <c r="R354" i="28"/>
  <c r="V354" i="28" s="1"/>
  <c r="AB340" i="28"/>
  <c r="AF340" i="28" s="1"/>
  <c r="R340" i="28"/>
  <c r="V340" i="28" s="1"/>
  <c r="AB314" i="28"/>
  <c r="AF314" i="28" s="1"/>
  <c r="AJ314" i="28" s="1"/>
  <c r="R314" i="28"/>
  <c r="V314" i="28" s="1"/>
  <c r="AB591" i="28"/>
  <c r="AF591" i="28" s="1"/>
  <c r="R591" i="28"/>
  <c r="V591" i="28" s="1"/>
  <c r="AB440" i="28"/>
  <c r="AF440" i="28" s="1"/>
  <c r="R440" i="28"/>
  <c r="V440" i="28" s="1"/>
  <c r="AB403" i="28"/>
  <c r="AF403" i="28" s="1"/>
  <c r="AJ403" i="28" s="1"/>
  <c r="AP403" i="28" s="1"/>
  <c r="AT403" i="28" s="1"/>
  <c r="AX403" i="28" s="1"/>
  <c r="BF403" i="28" s="1"/>
  <c r="BH403" i="28" s="1"/>
  <c r="R403" i="28"/>
  <c r="V403" i="28" s="1"/>
  <c r="AB327" i="28"/>
  <c r="AF327" i="28" s="1"/>
  <c r="R327" i="28"/>
  <c r="V327" i="28" s="1"/>
  <c r="AB291" i="28"/>
  <c r="AF291" i="28" s="1"/>
  <c r="R291" i="28"/>
  <c r="V291" i="28" s="1"/>
  <c r="AB252" i="28"/>
  <c r="AF252" i="28" s="1"/>
  <c r="R252" i="28"/>
  <c r="V252" i="28" s="1"/>
  <c r="R159" i="28"/>
  <c r="V159" i="28" s="1"/>
  <c r="AB159" i="28"/>
  <c r="AF159" i="28" s="1"/>
  <c r="AB120" i="28"/>
  <c r="AF120" i="28" s="1"/>
  <c r="R120" i="28"/>
  <c r="V120" i="28" s="1"/>
  <c r="R556" i="28"/>
  <c r="V556" i="28" s="1"/>
  <c r="R400" i="28"/>
  <c r="V400" i="28" s="1"/>
  <c r="R257" i="28"/>
  <c r="V257" i="28" s="1"/>
  <c r="R206" i="28"/>
  <c r="V206" i="28" s="1"/>
  <c r="AB563" i="28"/>
  <c r="AF563" i="28" s="1"/>
  <c r="R563" i="28"/>
  <c r="V563" i="28" s="1"/>
  <c r="AB377" i="28"/>
  <c r="AF377" i="28" s="1"/>
  <c r="AJ377" i="28" s="1"/>
  <c r="R377" i="28"/>
  <c r="V377" i="28" s="1"/>
  <c r="AB365" i="28"/>
  <c r="AF365" i="28" s="1"/>
  <c r="R365" i="28"/>
  <c r="V365" i="28" s="1"/>
  <c r="AB338" i="28"/>
  <c r="AF338" i="28" s="1"/>
  <c r="R338" i="28"/>
  <c r="V338" i="28" s="1"/>
  <c r="AB313" i="28"/>
  <c r="AF313" i="28" s="1"/>
  <c r="AJ313" i="28" s="1"/>
  <c r="R313" i="28"/>
  <c r="V313" i="28" s="1"/>
  <c r="R300" i="28"/>
  <c r="V300" i="28" s="1"/>
  <c r="AB300" i="28"/>
  <c r="AF300" i="28" s="1"/>
  <c r="R272" i="28"/>
  <c r="V272" i="28" s="1"/>
  <c r="AB272" i="28"/>
  <c r="AF272" i="28" s="1"/>
  <c r="AJ272" i="28" s="1"/>
  <c r="AP272" i="28" s="1"/>
  <c r="AT272" i="28" s="1"/>
  <c r="AX272" i="28" s="1"/>
  <c r="BF272" i="28" s="1"/>
  <c r="BH272" i="28" s="1"/>
  <c r="AB590" i="28"/>
  <c r="AF590" i="28" s="1"/>
  <c r="R590" i="28"/>
  <c r="V590" i="28" s="1"/>
  <c r="AB560" i="28"/>
  <c r="AF560" i="28" s="1"/>
  <c r="R560" i="28"/>
  <c r="V560" i="28" s="1"/>
  <c r="AB472" i="28"/>
  <c r="AF472" i="28" s="1"/>
  <c r="R472" i="28"/>
  <c r="V472" i="28" s="1"/>
  <c r="AB438" i="28"/>
  <c r="AF438" i="28" s="1"/>
  <c r="R438" i="28"/>
  <c r="V438" i="28" s="1"/>
  <c r="AB402" i="28"/>
  <c r="AF402" i="28" s="1"/>
  <c r="AJ402" i="28" s="1"/>
  <c r="AP402" i="28" s="1"/>
  <c r="AT402" i="28" s="1"/>
  <c r="AX402" i="28" s="1"/>
  <c r="BF402" i="28" s="1"/>
  <c r="BH402" i="28" s="1"/>
  <c r="R402" i="28"/>
  <c r="V402" i="28" s="1"/>
  <c r="AB290" i="28"/>
  <c r="AF290" i="28" s="1"/>
  <c r="R290" i="28"/>
  <c r="V290" i="28" s="1"/>
  <c r="R195" i="28"/>
  <c r="V195" i="28" s="1"/>
  <c r="AB195" i="28"/>
  <c r="AF195" i="28" s="1"/>
  <c r="R158" i="28"/>
  <c r="V158" i="28" s="1"/>
  <c r="AB158" i="28"/>
  <c r="AF158" i="28" s="1"/>
  <c r="R501" i="28"/>
  <c r="V501" i="28" s="1"/>
  <c r="R453" i="28"/>
  <c r="V453" i="28" s="1"/>
  <c r="R319" i="28"/>
  <c r="V319" i="28" s="1"/>
  <c r="R255" i="28"/>
  <c r="V255" i="28" s="1"/>
  <c r="R157" i="28"/>
  <c r="V157" i="28" s="1"/>
  <c r="AB538" i="28"/>
  <c r="AF538" i="28" s="1"/>
  <c r="R538" i="28"/>
  <c r="V538" i="28" s="1"/>
  <c r="AB150" i="28"/>
  <c r="AF150" i="28" s="1"/>
  <c r="R150" i="28"/>
  <c r="V150" i="28" s="1"/>
  <c r="AB82" i="28"/>
  <c r="AF82" i="28" s="1"/>
  <c r="R82" i="28"/>
  <c r="V82" i="28" s="1"/>
  <c r="AB532" i="28"/>
  <c r="AF532" i="28" s="1"/>
  <c r="R532" i="28"/>
  <c r="V532" i="28" s="1"/>
  <c r="AB470" i="28"/>
  <c r="AF470" i="28" s="1"/>
  <c r="R470" i="28"/>
  <c r="V470" i="28" s="1"/>
  <c r="AB433" i="28"/>
  <c r="AF433" i="28" s="1"/>
  <c r="R433" i="28"/>
  <c r="V433" i="28" s="1"/>
  <c r="AB324" i="28"/>
  <c r="AF324" i="28" s="1"/>
  <c r="R324" i="28"/>
  <c r="V324" i="28" s="1"/>
  <c r="AB287" i="28"/>
  <c r="AF287" i="28" s="1"/>
  <c r="R287" i="28"/>
  <c r="V287" i="28" s="1"/>
  <c r="AB193" i="28"/>
  <c r="AF193" i="28" s="1"/>
  <c r="R193" i="28"/>
  <c r="V193" i="28" s="1"/>
  <c r="AB107" i="28"/>
  <c r="AF107" i="28" s="1"/>
  <c r="R107" i="28"/>
  <c r="V107" i="28" s="1"/>
  <c r="R593" i="28"/>
  <c r="V593" i="28" s="1"/>
  <c r="R251" i="28"/>
  <c r="V251" i="28" s="1"/>
  <c r="R156" i="28"/>
  <c r="V156" i="28" s="1"/>
  <c r="R121" i="28"/>
  <c r="V121" i="28" s="1"/>
  <c r="R528" i="28"/>
  <c r="V528" i="28" s="1"/>
  <c r="AB528" i="28"/>
  <c r="AF528" i="28" s="1"/>
  <c r="AB550" i="28"/>
  <c r="AF550" i="28" s="1"/>
  <c r="R550" i="28"/>
  <c r="V550" i="28" s="1"/>
  <c r="AB199" i="28"/>
  <c r="AF199" i="28" s="1"/>
  <c r="R199" i="28"/>
  <c r="V199" i="28" s="1"/>
  <c r="AB585" i="28"/>
  <c r="AF585" i="28" s="1"/>
  <c r="R585" i="28"/>
  <c r="V585" i="28" s="1"/>
  <c r="AB239" i="28"/>
  <c r="AF239" i="28" s="1"/>
  <c r="R239" i="28"/>
  <c r="V239" i="28" s="1"/>
  <c r="AB112" i="28"/>
  <c r="AF112" i="28" s="1"/>
  <c r="R112" i="28"/>
  <c r="V112" i="28" s="1"/>
  <c r="AB500" i="28"/>
  <c r="AF500" i="28" s="1"/>
  <c r="R500" i="28"/>
  <c r="V500" i="28" s="1"/>
  <c r="AB574" i="28"/>
  <c r="AF574" i="28" s="1"/>
  <c r="R482" i="28"/>
  <c r="V482" i="28" s="1"/>
  <c r="AB482" i="28"/>
  <c r="AF482" i="28" s="1"/>
  <c r="R551" i="28"/>
  <c r="V551" i="28" s="1"/>
  <c r="AB551" i="28"/>
  <c r="AF551" i="28" s="1"/>
  <c r="AB231" i="28"/>
  <c r="AF231" i="28" s="1"/>
  <c r="AJ231" i="28" s="1"/>
  <c r="AP231" i="28" s="1"/>
  <c r="AT231" i="28" s="1"/>
  <c r="AX231" i="28" s="1"/>
  <c r="BF231" i="28" s="1"/>
  <c r="BH231" i="28" s="1"/>
  <c r="R231" i="28"/>
  <c r="V231" i="28" s="1"/>
  <c r="AB540" i="28"/>
  <c r="AF540" i="28" s="1"/>
  <c r="R540" i="28"/>
  <c r="V540" i="28" s="1"/>
  <c r="R494" i="28"/>
  <c r="V494" i="28" s="1"/>
  <c r="AB494" i="28"/>
  <c r="AF494" i="28" s="1"/>
  <c r="AB562" i="28"/>
  <c r="AF562" i="28" s="1"/>
  <c r="R562" i="28"/>
  <c r="V562" i="28" s="1"/>
  <c r="AB296" i="28"/>
  <c r="AF296" i="28" s="1"/>
  <c r="R296" i="28"/>
  <c r="V296" i="28" s="1"/>
  <c r="AB549" i="28"/>
  <c r="AF549" i="28" s="1"/>
  <c r="R549" i="28"/>
  <c r="V549" i="28" s="1"/>
  <c r="AB282" i="28"/>
  <c r="AF282" i="28" s="1"/>
  <c r="R282" i="28"/>
  <c r="V282" i="28" s="1"/>
  <c r="AB186" i="28"/>
  <c r="AF186" i="28" s="1"/>
  <c r="R186" i="28"/>
  <c r="V186" i="28" s="1"/>
  <c r="AB161" i="28"/>
  <c r="AF161" i="28" s="1"/>
  <c r="R161" i="28"/>
  <c r="V161" i="28" s="1"/>
  <c r="AB125" i="28"/>
  <c r="AF125" i="28" s="1"/>
  <c r="R125" i="28"/>
  <c r="V125" i="28" s="1"/>
  <c r="AB379" i="28"/>
  <c r="AF379" i="28" s="1"/>
  <c r="AJ379" i="28" s="1"/>
  <c r="R379" i="28"/>
  <c r="V379" i="28" s="1"/>
  <c r="AB286" i="28"/>
  <c r="AF286" i="28" s="1"/>
  <c r="R286" i="28"/>
  <c r="V286" i="28" s="1"/>
  <c r="AB293" i="28"/>
  <c r="AF293" i="28" s="1"/>
  <c r="R293" i="28"/>
  <c r="V293" i="28" s="1"/>
  <c r="AB268" i="28"/>
  <c r="AF268" i="28" s="1"/>
  <c r="AJ268" i="28" s="1"/>
  <c r="R268" i="28"/>
  <c r="V268" i="28" s="1"/>
  <c r="AB223" i="28"/>
  <c r="AF223" i="28" s="1"/>
  <c r="R223" i="28"/>
  <c r="V223" i="28" s="1"/>
  <c r="AB197" i="28"/>
  <c r="AF197" i="28" s="1"/>
  <c r="R197" i="28"/>
  <c r="V197" i="28" s="1"/>
  <c r="AB111" i="28"/>
  <c r="AF111" i="28" s="1"/>
  <c r="R111" i="28"/>
  <c r="V111" i="28" s="1"/>
  <c r="AB79" i="28"/>
  <c r="AF79" i="28" s="1"/>
  <c r="R79" i="28"/>
  <c r="V79" i="28" s="1"/>
  <c r="AB499" i="28"/>
  <c r="AF499" i="28" s="1"/>
  <c r="R499" i="28"/>
  <c r="V499" i="28" s="1"/>
  <c r="R228" i="28"/>
  <c r="V228" i="28" s="1"/>
  <c r="AB228" i="28"/>
  <c r="AF228" i="28" s="1"/>
  <c r="AJ228" i="28" s="1"/>
  <c r="AP228" i="28" s="1"/>
  <c r="AT228" i="28" s="1"/>
  <c r="AX228" i="28" s="1"/>
  <c r="BF228" i="28" s="1"/>
  <c r="BH228" i="28" s="1"/>
  <c r="R425" i="28"/>
  <c r="V425" i="28" s="1"/>
  <c r="AB425" i="28"/>
  <c r="AF425" i="28" s="1"/>
  <c r="AB364" i="28"/>
  <c r="AF364" i="28" s="1"/>
  <c r="R364" i="28"/>
  <c r="V364" i="28" s="1"/>
  <c r="AB337" i="28"/>
  <c r="AF337" i="28" s="1"/>
  <c r="R337" i="28"/>
  <c r="V337" i="28" s="1"/>
  <c r="R165" i="28"/>
  <c r="V165" i="28" s="1"/>
  <c r="AB165" i="28"/>
  <c r="AF165" i="28" s="1"/>
  <c r="AJ165" i="28" s="1"/>
  <c r="AP165" i="28" s="1"/>
  <c r="AT165" i="28" s="1"/>
  <c r="AX165" i="28" s="1"/>
  <c r="BF165" i="28" s="1"/>
  <c r="BH165" i="28" s="1"/>
  <c r="AB332" i="28"/>
  <c r="AF332" i="28" s="1"/>
  <c r="R332" i="28"/>
  <c r="V332" i="28" s="1"/>
  <c r="AB479" i="28"/>
  <c r="AF479" i="28" s="1"/>
  <c r="R479" i="28"/>
  <c r="V479" i="28" s="1"/>
  <c r="AB411" i="28"/>
  <c r="AF411" i="28" s="1"/>
  <c r="AJ411" i="28" s="1"/>
  <c r="AP411" i="28" s="1"/>
  <c r="AT411" i="28" s="1"/>
  <c r="R411" i="28"/>
  <c r="V411" i="28" s="1"/>
  <c r="AB375" i="28"/>
  <c r="AF375" i="28" s="1"/>
  <c r="AJ375" i="28" s="1"/>
  <c r="R375" i="28"/>
  <c r="V375" i="28" s="1"/>
  <c r="R363" i="28"/>
  <c r="V363" i="28" s="1"/>
  <c r="AB363" i="28"/>
  <c r="AF363" i="28" s="1"/>
  <c r="AB336" i="28"/>
  <c r="AF336" i="28" s="1"/>
  <c r="R336" i="28"/>
  <c r="V336" i="28" s="1"/>
  <c r="AB285" i="28"/>
  <c r="AF285" i="28" s="1"/>
  <c r="R285" i="28"/>
  <c r="V285" i="28" s="1"/>
  <c r="AB246" i="28"/>
  <c r="AF246" i="28" s="1"/>
  <c r="R246" i="28"/>
  <c r="V246" i="28" s="1"/>
  <c r="AB213" i="28"/>
  <c r="AF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64" i="28"/>
  <c r="AF164" i="28" s="1"/>
  <c r="R164" i="28"/>
  <c r="V164" i="28" s="1"/>
  <c r="AB152" i="28"/>
  <c r="AF152" i="28" s="1"/>
  <c r="R152" i="28"/>
  <c r="V152" i="28" s="1"/>
  <c r="AB128" i="28"/>
  <c r="AF128" i="28" s="1"/>
  <c r="R128" i="28"/>
  <c r="V128" i="28" s="1"/>
  <c r="AB115" i="28"/>
  <c r="AF115" i="28" s="1"/>
  <c r="R115" i="28"/>
  <c r="V115" i="28" s="1"/>
  <c r="AB544" i="28"/>
  <c r="AF544" i="28" s="1"/>
  <c r="R544" i="28"/>
  <c r="V544" i="28" s="1"/>
  <c r="AB393" i="28"/>
  <c r="AF393" i="28" s="1"/>
  <c r="AJ393" i="28" s="1"/>
  <c r="AP393" i="28" s="1"/>
  <c r="AT393" i="28" s="1"/>
  <c r="AX393" i="28" s="1"/>
  <c r="BF393" i="28" s="1"/>
  <c r="BH393" i="28" s="1"/>
  <c r="R393" i="28"/>
  <c r="V393" i="28" s="1"/>
  <c r="AB360" i="28"/>
  <c r="AF360" i="28" s="1"/>
  <c r="R360" i="28"/>
  <c r="V360" i="28" s="1"/>
  <c r="R303" i="28"/>
  <c r="V303" i="28" s="1"/>
  <c r="AB303" i="28"/>
  <c r="AF303" i="28" s="1"/>
  <c r="AB102" i="28"/>
  <c r="AF102" i="28" s="1"/>
  <c r="R102" i="28"/>
  <c r="V102" i="28" s="1"/>
  <c r="R439" i="28"/>
  <c r="V439" i="28" s="1"/>
  <c r="AB568" i="28"/>
  <c r="AF568" i="28" s="1"/>
  <c r="R568" i="28"/>
  <c r="V568" i="28" s="1"/>
  <c r="AB260" i="28"/>
  <c r="AF260" i="28" s="1"/>
  <c r="R260" i="28"/>
  <c r="V260" i="28" s="1"/>
  <c r="AB153" i="28"/>
  <c r="AF153" i="28" s="1"/>
  <c r="AJ153" i="28" s="1"/>
  <c r="AP153" i="28" s="1"/>
  <c r="AT153" i="28" s="1"/>
  <c r="R153" i="28"/>
  <c r="V153" i="28" s="1"/>
  <c r="AB116" i="28"/>
  <c r="AF116" i="28" s="1"/>
  <c r="R116" i="28"/>
  <c r="V116" i="28" s="1"/>
  <c r="AB567" i="28"/>
  <c r="AF567" i="28" s="1"/>
  <c r="R567" i="28"/>
  <c r="V567" i="28" s="1"/>
  <c r="AB504" i="28"/>
  <c r="AF504" i="28" s="1"/>
  <c r="R504" i="28"/>
  <c r="V504" i="28" s="1"/>
  <c r="R578" i="28"/>
  <c r="V578" i="28" s="1"/>
  <c r="AB578" i="28"/>
  <c r="AF578" i="28" s="1"/>
  <c r="R554" i="28"/>
  <c r="V554" i="28" s="1"/>
  <c r="AB554" i="28"/>
  <c r="AF554" i="28" s="1"/>
  <c r="AB490" i="28"/>
  <c r="AF490" i="28" s="1"/>
  <c r="R490" i="28"/>
  <c r="V490" i="28" s="1"/>
  <c r="AB395" i="28"/>
  <c r="AF395" i="28" s="1"/>
  <c r="AJ395" i="28" s="1"/>
  <c r="AP395" i="28" s="1"/>
  <c r="AT395" i="28" s="1"/>
  <c r="AX395" i="28" s="1"/>
  <c r="BF395" i="28" s="1"/>
  <c r="BH395" i="28" s="1"/>
  <c r="R395" i="28"/>
  <c r="V395" i="28" s="1"/>
  <c r="AB335" i="28"/>
  <c r="AF335" i="28" s="1"/>
  <c r="R335" i="28"/>
  <c r="V335" i="28" s="1"/>
  <c r="AB310" i="28"/>
  <c r="AF310" i="28" s="1"/>
  <c r="AJ310" i="28" s="1"/>
  <c r="R310" i="28"/>
  <c r="V310" i="28" s="1"/>
  <c r="AB284" i="28"/>
  <c r="AF284" i="28" s="1"/>
  <c r="R284" i="28"/>
  <c r="V284" i="28" s="1"/>
  <c r="AB258" i="28"/>
  <c r="AF258" i="28" s="1"/>
  <c r="R258" i="28"/>
  <c r="V258" i="28" s="1"/>
  <c r="AB245" i="28"/>
  <c r="AF245" i="28" s="1"/>
  <c r="R245" i="28"/>
  <c r="V245" i="28" s="1"/>
  <c r="R328" i="28"/>
  <c r="V328" i="28" s="1"/>
  <c r="AB328" i="28"/>
  <c r="AF328" i="28" s="1"/>
  <c r="AB196" i="28"/>
  <c r="AF196" i="28" s="1"/>
  <c r="R196" i="28"/>
  <c r="V196" i="28" s="1"/>
  <c r="AB292" i="28"/>
  <c r="AF292" i="28" s="1"/>
  <c r="R292" i="28"/>
  <c r="V292" i="28" s="1"/>
  <c r="AB237" i="28"/>
  <c r="AF237" i="28" s="1"/>
  <c r="R237" i="28"/>
  <c r="V237" i="28" s="1"/>
  <c r="AB412" i="28"/>
  <c r="AF412" i="28" s="1"/>
  <c r="AJ412" i="28" s="1"/>
  <c r="R412" i="28"/>
  <c r="V412" i="28" s="1"/>
  <c r="AB374" i="28"/>
  <c r="AF374" i="28" s="1"/>
  <c r="AJ374" i="28" s="1"/>
  <c r="R374" i="28"/>
  <c r="V374" i="28" s="1"/>
  <c r="AB352" i="28"/>
  <c r="AF352" i="28" s="1"/>
  <c r="R352" i="28"/>
  <c r="V352" i="28" s="1"/>
  <c r="AB190" i="28"/>
  <c r="AF190" i="28" s="1"/>
  <c r="R190" i="28"/>
  <c r="V190" i="28" s="1"/>
  <c r="AB123" i="28"/>
  <c r="AF123" i="28" s="1"/>
  <c r="R123" i="28"/>
  <c r="V123" i="28" s="1"/>
  <c r="R318" i="28"/>
  <c r="V318" i="28" s="1"/>
  <c r="AB140" i="28"/>
  <c r="AF140" i="28" s="1"/>
  <c r="R140" i="28"/>
  <c r="V140" i="28" s="1"/>
  <c r="AB265" i="28"/>
  <c r="AF265" i="28" s="1"/>
  <c r="AJ265" i="28" s="1"/>
  <c r="AP265" i="28" s="1"/>
  <c r="AT265" i="28" s="1"/>
  <c r="R265" i="28"/>
  <c r="V265" i="28" s="1"/>
  <c r="AB320" i="28"/>
  <c r="AF320" i="28" s="1"/>
  <c r="AJ320" i="28" s="1"/>
  <c r="AP320" i="28" s="1"/>
  <c r="AT320" i="28" s="1"/>
  <c r="R320" i="28"/>
  <c r="V320" i="28" s="1"/>
  <c r="AB294" i="28"/>
  <c r="AF294" i="28" s="1"/>
  <c r="R294" i="28"/>
  <c r="V294" i="28" s="1"/>
  <c r="AB244" i="28"/>
  <c r="AF244" i="28" s="1"/>
  <c r="R244" i="28"/>
  <c r="V244" i="28" s="1"/>
  <c r="AB212" i="28"/>
  <c r="AF212" i="28" s="1"/>
  <c r="R212" i="28"/>
  <c r="V212" i="28" s="1"/>
  <c r="AB188" i="28"/>
  <c r="AF188" i="28" s="1"/>
  <c r="R188" i="28"/>
  <c r="V188" i="28" s="1"/>
  <c r="AB139" i="28"/>
  <c r="AF139" i="28" s="1"/>
  <c r="R139" i="28"/>
  <c r="V139" i="28" s="1"/>
  <c r="AB114" i="28"/>
  <c r="AF114" i="28" s="1"/>
  <c r="R114" i="28"/>
  <c r="V114" i="28" s="1"/>
  <c r="AB222" i="28"/>
  <c r="AF222" i="28" s="1"/>
  <c r="R584" i="28"/>
  <c r="V584" i="28" s="1"/>
  <c r="AB278" i="28"/>
  <c r="AF278" i="28" s="1"/>
  <c r="R278" i="28"/>
  <c r="V278" i="28" s="1"/>
  <c r="AB458" i="28"/>
  <c r="AF458" i="28" s="1"/>
  <c r="AJ458" i="28" s="1"/>
  <c r="AP458" i="28" s="1"/>
  <c r="AT458" i="28" s="1"/>
  <c r="AX458" i="28" s="1"/>
  <c r="AB368" i="28"/>
  <c r="AF368" i="28" s="1"/>
  <c r="R368" i="28"/>
  <c r="V368" i="28" s="1"/>
  <c r="AB135" i="28"/>
  <c r="AF135" i="28" s="1"/>
  <c r="AB110" i="28"/>
  <c r="AF110" i="28" s="1"/>
  <c r="R101" i="28"/>
  <c r="V101" i="28" s="1"/>
  <c r="AB277" i="28"/>
  <c r="AF277" i="28" s="1"/>
  <c r="AB484" i="28"/>
  <c r="AF484" i="28" s="1"/>
  <c r="AJ484" i="28" s="1"/>
  <c r="AP484" i="28" s="1"/>
  <c r="AT484" i="28" s="1"/>
  <c r="AB372" i="28"/>
  <c r="AF372" i="28" s="1"/>
  <c r="R372" i="28"/>
  <c r="V372" i="28" s="1"/>
  <c r="AB356" i="28"/>
  <c r="AF356" i="28" s="1"/>
  <c r="R356" i="28"/>
  <c r="V356" i="28" s="1"/>
  <c r="R171" i="28"/>
  <c r="V171" i="28" s="1"/>
  <c r="AB450" i="28"/>
  <c r="AF450" i="28" s="1"/>
  <c r="AB80" i="28"/>
  <c r="AF80" i="28" s="1"/>
  <c r="R247" i="28"/>
  <c r="V247" i="28" s="1"/>
  <c r="R204" i="28"/>
  <c r="V204" i="28" s="1"/>
  <c r="T103" i="9" l="1"/>
  <c r="S80" i="26"/>
  <c r="S112" i="26" l="1"/>
  <c r="R110" i="26"/>
  <c r="R108" i="26"/>
  <c r="R106" i="26"/>
  <c r="R104" i="26"/>
  <c r="R102" i="26"/>
  <c r="R100" i="26"/>
  <c r="R98" i="26"/>
  <c r="R96" i="26"/>
  <c r="S92" i="26"/>
  <c r="R89" i="26"/>
  <c r="R87" i="26"/>
  <c r="R85" i="26"/>
  <c r="R83" i="26"/>
  <c r="S81" i="26"/>
  <c r="R78" i="26"/>
  <c r="R76" i="26"/>
  <c r="S73" i="26"/>
  <c r="R71" i="26"/>
  <c r="R69" i="26"/>
  <c r="R67" i="26"/>
  <c r="R65" i="26"/>
  <c r="R63" i="26"/>
  <c r="R61" i="26"/>
  <c r="R59" i="26"/>
  <c r="R57" i="26"/>
  <c r="R52" i="26"/>
  <c r="R50" i="26"/>
  <c r="S48" i="26"/>
  <c r="R46" i="26"/>
  <c r="S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R11" i="26"/>
  <c r="R9" i="26"/>
  <c r="S18" i="26" l="1"/>
  <c r="R48" i="26"/>
  <c r="R54" i="26" s="1"/>
  <c r="S55" i="26"/>
  <c r="R81" i="26"/>
  <c r="R92" i="26"/>
  <c r="R80" i="26"/>
  <c r="R112" i="26"/>
  <c r="R73" i="26"/>
  <c r="R43" i="26"/>
  <c r="R12" i="26"/>
  <c r="S13" i="26"/>
  <c r="S19" i="26"/>
  <c r="S54" i="26"/>
  <c r="S49" i="26"/>
  <c r="U80" i="17"/>
  <c r="R18" i="26" l="1"/>
  <c r="R49" i="26"/>
  <c r="R55" i="26"/>
  <c r="R19" i="26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S57" i="17"/>
  <c r="R57" i="17"/>
  <c r="S56" i="17"/>
  <c r="R56" i="17"/>
  <c r="S55" i="17"/>
  <c r="R55" i="17"/>
  <c r="S54" i="17"/>
  <c r="R54" i="17"/>
  <c r="S53" i="17"/>
  <c r="R53" i="17"/>
  <c r="S44" i="17"/>
  <c r="R44" i="17"/>
  <c r="S37" i="17"/>
  <c r="S39" i="17" s="1"/>
  <c r="R37" i="17"/>
  <c r="R39" i="17" s="1"/>
  <c r="R31" i="17"/>
  <c r="S29" i="17"/>
  <c r="S30" i="17" s="1"/>
  <c r="R28" i="17"/>
  <c r="R25" i="17"/>
  <c r="S22" i="17"/>
  <c r="S23" i="17" s="1"/>
  <c r="R22" i="17"/>
  <c r="S19" i="17"/>
  <c r="R18" i="17"/>
  <c r="S17" i="17"/>
  <c r="R16" i="17"/>
  <c r="S14" i="17"/>
  <c r="S15" i="17" s="1"/>
  <c r="R14" i="17"/>
  <c r="S13" i="17"/>
  <c r="S11" i="17"/>
  <c r="S9" i="17"/>
  <c r="S85" i="17" l="1"/>
  <c r="R85" i="17"/>
  <c r="R29" i="17"/>
  <c r="R32" i="17" s="1"/>
  <c r="R20" i="17"/>
  <c r="S32" i="17"/>
  <c r="S20" i="17"/>
  <c r="T17" i="49"/>
  <c r="T18" i="49" s="1"/>
  <c r="T11" i="49"/>
  <c r="S11" i="49"/>
  <c r="T9" i="49"/>
  <c r="T8" i="49"/>
  <c r="R30" i="17" l="1"/>
  <c r="R24" i="17"/>
  <c r="S24" i="17"/>
  <c r="S21" i="17"/>
  <c r="S25" i="17" l="1"/>
  <c r="S100" i="90"/>
  <c r="S91" i="90"/>
  <c r="S116" i="90" l="1"/>
  <c r="S128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0" i="50"/>
  <c r="U51" i="50"/>
  <c r="U52" i="50"/>
  <c r="U53" i="50"/>
  <c r="U79" i="50"/>
  <c r="U128" i="50" s="1"/>
  <c r="U93" i="50"/>
  <c r="U138" i="50" s="1"/>
  <c r="U101" i="50"/>
  <c r="U102" i="50"/>
  <c r="U111" i="50"/>
  <c r="U112" i="50"/>
  <c r="U115" i="50"/>
  <c r="U127" i="50"/>
  <c r="U137" i="50"/>
  <c r="U141" i="50"/>
  <c r="U142" i="50"/>
  <c r="U144" i="50"/>
  <c r="O31" i="72"/>
  <c r="S31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AU34" i="71"/>
  <c r="AW34" i="71"/>
  <c r="BA34" i="71"/>
  <c r="BE34" i="71"/>
  <c r="BI34" i="71"/>
  <c r="CQ34" i="71"/>
  <c r="CS34" i="71" s="1"/>
  <c r="AY34" i="71" l="1"/>
  <c r="BC34" i="71"/>
  <c r="CU34" i="71"/>
  <c r="BO34" i="71"/>
  <c r="U139" i="50"/>
  <c r="U54" i="50"/>
  <c r="U124" i="50" s="1"/>
  <c r="U46" i="50"/>
  <c r="U120" i="50" s="1"/>
  <c r="U38" i="50"/>
  <c r="U108" i="50" s="1"/>
  <c r="U116" i="50"/>
  <c r="U140" i="50"/>
  <c r="S32" i="15"/>
  <c r="U129" i="50"/>
  <c r="U130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50" i="71"/>
  <c r="S83" i="90" s="1"/>
  <c r="BI51" i="71"/>
  <c r="S84" i="90" s="1"/>
  <c r="BI52" i="71"/>
  <c r="BI53" i="71"/>
  <c r="BI54" i="71"/>
  <c r="BI55" i="71"/>
  <c r="S85" i="90" s="1"/>
  <c r="BI56" i="71"/>
  <c r="AE177" i="45"/>
  <c r="X94" i="38"/>
  <c r="X93" i="38"/>
  <c r="X92" i="38"/>
  <c r="X91" i="38"/>
  <c r="W90" i="38"/>
  <c r="X89" i="38"/>
  <c r="W88" i="38"/>
  <c r="X86" i="38"/>
  <c r="X85" i="38"/>
  <c r="X84" i="38"/>
  <c r="X83" i="38"/>
  <c r="W82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X68" i="38"/>
  <c r="X67" i="38"/>
  <c r="W66" i="38"/>
  <c r="X62" i="38"/>
  <c r="X61" i="38"/>
  <c r="W60" i="38"/>
  <c r="X59" i="38"/>
  <c r="X58" i="38"/>
  <c r="X57" i="38"/>
  <c r="X56" i="38"/>
  <c r="X55" i="38"/>
  <c r="W54" i="38"/>
  <c r="W52" i="38"/>
  <c r="X51" i="38"/>
  <c r="W51" i="38"/>
  <c r="W46" i="38"/>
  <c r="W45" i="38"/>
  <c r="W44" i="38"/>
  <c r="W43" i="38"/>
  <c r="X42" i="38"/>
  <c r="X90" i="38" s="1"/>
  <c r="W41" i="38"/>
  <c r="W40" i="38" s="1"/>
  <c r="X40" i="38"/>
  <c r="W38" i="38"/>
  <c r="W37" i="38"/>
  <c r="W36" i="38"/>
  <c r="W35" i="38"/>
  <c r="X34" i="38"/>
  <c r="X82" i="38" s="1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W19" i="38"/>
  <c r="X18" i="38"/>
  <c r="W14" i="38"/>
  <c r="W13" i="38"/>
  <c r="X12" i="38"/>
  <c r="X60" i="38" s="1"/>
  <c r="W11" i="38"/>
  <c r="W10" i="38"/>
  <c r="W9" i="38"/>
  <c r="W8" i="38"/>
  <c r="W7" i="38"/>
  <c r="X6" i="38"/>
  <c r="BQ34" i="71" l="1"/>
  <c r="BU34" i="71" s="1"/>
  <c r="BY34" i="71" s="1"/>
  <c r="CE34" i="71"/>
  <c r="W34" i="38"/>
  <c r="W12" i="38"/>
  <c r="W42" i="38"/>
  <c r="W39" i="38" s="1"/>
  <c r="W87" i="38"/>
  <c r="X39" i="38"/>
  <c r="X87" i="38" s="1"/>
  <c r="X17" i="38"/>
  <c r="X65" i="38" s="1"/>
  <c r="U94" i="50"/>
  <c r="W65" i="38"/>
  <c r="W64" i="38" s="1"/>
  <c r="X88" i="38"/>
  <c r="X15" i="38"/>
  <c r="X63" i="38" s="1"/>
  <c r="X54" i="38"/>
  <c r="W18" i="38"/>
  <c r="W63" i="38"/>
  <c r="W6" i="38"/>
  <c r="W15" i="38" s="1"/>
  <c r="X66" i="38"/>
  <c r="W17" i="38" l="1"/>
  <c r="CI34" i="71"/>
  <c r="CM34" i="71" s="1"/>
  <c r="X16" i="38"/>
  <c r="X64" i="38" s="1"/>
  <c r="X96" i="38" s="1"/>
  <c r="W16" i="38"/>
  <c r="W48" i="38" s="1"/>
  <c r="W96" i="38"/>
  <c r="X48" i="38" l="1"/>
  <c r="T28" i="22"/>
  <c r="T24" i="22"/>
  <c r="T23" i="22"/>
  <c r="T14" i="22"/>
  <c r="T10" i="22"/>
  <c r="T9" i="22"/>
  <c r="S75" i="45"/>
  <c r="S96" i="45"/>
  <c r="W96" i="45" s="1"/>
  <c r="S101" i="45"/>
  <c r="W101" i="45" s="1"/>
  <c r="T12" i="22" l="1"/>
  <c r="T26" i="22"/>
  <c r="W75" i="45"/>
  <c r="N19" i="11"/>
  <c r="R19" i="11" l="1"/>
  <c r="V19" i="11" s="1"/>
  <c r="AB19" i="11"/>
  <c r="AF19" i="11" s="1"/>
  <c r="AJ19" i="11" s="1"/>
  <c r="AP19" i="11" s="1"/>
  <c r="AT19" i="11" s="1"/>
  <c r="AX19" i="11" s="1"/>
  <c r="BF19" i="11" s="1"/>
  <c r="U127" i="45"/>
  <c r="U158" i="45"/>
  <c r="U157" i="45"/>
  <c r="U155" i="45"/>
  <c r="U149" i="45"/>
  <c r="U144" i="45"/>
  <c r="T144" i="45"/>
  <c r="U143" i="45"/>
  <c r="T143" i="45"/>
  <c r="U142" i="45"/>
  <c r="T142" i="45"/>
  <c r="U141" i="45"/>
  <c r="T141" i="45"/>
  <c r="U139" i="45"/>
  <c r="T139" i="45"/>
  <c r="U137" i="45"/>
  <c r="T137" i="45"/>
  <c r="U135" i="45"/>
  <c r="T135" i="45"/>
  <c r="U132" i="45"/>
  <c r="T132" i="45"/>
  <c r="T133" i="45" s="1"/>
  <c r="U123" i="45"/>
  <c r="U160" i="45" s="1"/>
  <c r="U122" i="45"/>
  <c r="T122" i="45"/>
  <c r="T145" i="45" s="1"/>
  <c r="U121" i="45"/>
  <c r="U159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60" i="10"/>
  <c r="S159" i="10"/>
  <c r="T159" i="10"/>
  <c r="T158" i="10"/>
  <c r="T192" i="10" l="1"/>
  <c r="T196" i="10"/>
  <c r="T210" i="10"/>
  <c r="T140" i="45"/>
  <c r="U156" i="45"/>
  <c r="U133" i="45"/>
  <c r="T92" i="11"/>
  <c r="T61" i="11"/>
  <c r="S67" i="11"/>
  <c r="T84" i="11"/>
  <c r="T85" i="11"/>
  <c r="T67" i="11"/>
  <c r="S161" i="10"/>
  <c r="S203" i="10"/>
  <c r="T200" i="10"/>
  <c r="S178" i="10"/>
  <c r="S173" i="10"/>
  <c r="U107" i="50"/>
  <c r="U110" i="50" s="1"/>
  <c r="U117" i="50" s="1"/>
  <c r="S158" i="10"/>
  <c r="S210" i="10" s="1"/>
  <c r="U125" i="45"/>
  <c r="U126" i="45" s="1"/>
  <c r="U123" i="50"/>
  <c r="U125" i="50" s="1"/>
  <c r="T58" i="11"/>
  <c r="U119" i="50"/>
  <c r="U121" i="50" s="1"/>
  <c r="T124" i="45"/>
  <c r="U161" i="45"/>
  <c r="S55" i="11"/>
  <c r="S79" i="11"/>
  <c r="S74" i="11"/>
  <c r="S97" i="11"/>
  <c r="T79" i="11"/>
  <c r="U145" i="45"/>
  <c r="U140" i="45"/>
  <c r="U124" i="45"/>
  <c r="T121" i="45"/>
  <c r="U150" i="45"/>
  <c r="T125" i="45"/>
  <c r="U151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U109" i="5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T49" i="9" s="1"/>
  <c r="T72" i="9" s="1"/>
  <c r="S90" i="90"/>
  <c r="U133" i="50"/>
  <c r="T89" i="9"/>
  <c r="S130" i="26"/>
  <c r="T33" i="22"/>
  <c r="T37" i="9"/>
  <c r="T100" i="9"/>
  <c r="T94" i="9"/>
  <c r="S19" i="15" s="1"/>
  <c r="T90" i="9"/>
  <c r="T91" i="9" s="1"/>
  <c r="T96" i="9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2" i="8" s="1"/>
  <c r="T120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T68" i="8"/>
  <c r="T66" i="8"/>
  <c r="T64" i="8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6" i="8"/>
  <c r="S6" i="8"/>
  <c r="S28" i="8" l="1"/>
  <c r="T65" i="8"/>
  <c r="T16" i="8"/>
  <c r="T67" i="8"/>
  <c r="T37" i="8" s="1"/>
  <c r="T69" i="8"/>
  <c r="S24" i="8"/>
  <c r="S27" i="8"/>
  <c r="S59" i="8" s="1"/>
  <c r="S6" i="49"/>
  <c r="S29" i="8"/>
  <c r="S91" i="8"/>
  <c r="T47" i="8"/>
  <c r="T6" i="49"/>
  <c r="S23" i="8"/>
  <c r="T81" i="8"/>
  <c r="T39" i="8"/>
  <c r="T45" i="8"/>
  <c r="T91" i="8"/>
  <c r="T110" i="8"/>
  <c r="T111" i="8" s="1"/>
  <c r="T53" i="8" s="1"/>
  <c r="T122" i="8" s="1"/>
  <c r="T121" i="8" s="1"/>
  <c r="T125" i="8" s="1"/>
  <c r="T126" i="8" s="1"/>
  <c r="T34" i="8"/>
  <c r="S25" i="8"/>
  <c r="S30" i="8"/>
  <c r="S50" i="8"/>
  <c r="S51" i="8" s="1"/>
  <c r="S31" i="8"/>
  <c r="T40" i="8"/>
  <c r="T43" i="8"/>
  <c r="T135" i="8" s="1"/>
  <c r="T46" i="8"/>
  <c r="T137" i="8" s="1"/>
  <c r="T50" i="8"/>
  <c r="T51" i="8" s="1"/>
  <c r="T59" i="8"/>
  <c r="S84" i="8"/>
  <c r="T85" i="8"/>
  <c r="T41" i="8"/>
  <c r="T44" i="8"/>
  <c r="T136" i="8" s="1"/>
  <c r="S69" i="8" l="1"/>
  <c r="S63" i="8"/>
  <c r="S9" i="49"/>
  <c r="T73" i="8"/>
  <c r="T74" i="8"/>
  <c r="S8" i="49"/>
  <c r="T36" i="8"/>
  <c r="T10" i="49"/>
  <c r="T12" i="49" s="1"/>
  <c r="T72" i="8"/>
  <c r="T130" i="8"/>
  <c r="T143" i="8" s="1"/>
  <c r="T129" i="8"/>
  <c r="T142" i="8" s="1"/>
  <c r="T131" i="8"/>
  <c r="T144" i="8" s="1"/>
  <c r="T123" i="8"/>
  <c r="T138" i="8"/>
  <c r="S26" i="8"/>
  <c r="S17" i="49"/>
  <c r="S18" i="49" s="1"/>
  <c r="S65" i="8"/>
  <c r="T77" i="8"/>
  <c r="S6" i="26"/>
  <c r="T42" i="8"/>
  <c r="S67" i="8"/>
  <c r="T63" i="8"/>
  <c r="S108" i="8"/>
  <c r="S35" i="8" l="1"/>
  <c r="S37" i="8"/>
  <c r="S36" i="8"/>
  <c r="T132" i="8"/>
  <c r="T145" i="8" s="1"/>
  <c r="S34" i="8"/>
  <c r="S10" i="49"/>
  <c r="S12" i="49" s="1"/>
  <c r="S110" i="8"/>
  <c r="S109" i="8"/>
  <c r="T35" i="8"/>
  <c r="T70" i="8"/>
  <c r="T71" i="8"/>
  <c r="S111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5" i="7"/>
  <c r="S75" i="7"/>
  <c r="T71" i="7"/>
  <c r="T73" i="7" s="1"/>
  <c r="S71" i="7"/>
  <c r="S73" i="7" s="1"/>
  <c r="T67" i="7"/>
  <c r="T81" i="7" s="1"/>
  <c r="S67" i="7"/>
  <c r="S81" i="7" s="1"/>
  <c r="T21" i="7"/>
  <c r="S49" i="39" s="1"/>
  <c r="S21" i="7"/>
  <c r="S41" i="7" s="1"/>
  <c r="S51" i="7" s="1"/>
  <c r="S61" i="39"/>
  <c r="T43" i="22" s="1"/>
  <c r="S60" i="39"/>
  <c r="T42" i="22" s="1"/>
  <c r="S48" i="39"/>
  <c r="S47" i="39"/>
  <c r="S46" i="39"/>
  <c r="S43" i="39"/>
  <c r="S42" i="39"/>
  <c r="S8" i="39"/>
  <c r="S22" i="39" l="1"/>
  <c r="S68" i="7"/>
  <c r="S78" i="7"/>
  <c r="T83" i="7"/>
  <c r="T69" i="7"/>
  <c r="T76" i="7"/>
  <c r="T78" i="7"/>
  <c r="S83" i="7"/>
  <c r="S23" i="39"/>
  <c r="T41" i="7"/>
  <c r="T51" i="7" s="1"/>
  <c r="S76" i="7"/>
  <c r="S50" i="39"/>
  <c r="S45" i="39"/>
  <c r="S51" i="39" l="1"/>
  <c r="S24" i="39"/>
  <c r="T38" i="7"/>
  <c r="S38" i="7"/>
  <c r="S53" i="7" s="1"/>
  <c r="T53" i="7" l="1"/>
  <c r="T77" i="7" s="1"/>
  <c r="T63" i="7"/>
  <c r="T104" i="7"/>
  <c r="S104" i="7"/>
  <c r="S77" i="7"/>
  <c r="S63" i="7"/>
  <c r="T218" i="6" l="1"/>
  <c r="S218" i="6"/>
  <c r="T217" i="6"/>
  <c r="S217" i="6"/>
  <c r="S195" i="6"/>
  <c r="T194" i="6"/>
  <c r="S194" i="6"/>
  <c r="S193" i="6"/>
  <c r="T189" i="6"/>
  <c r="S189" i="6"/>
  <c r="T188" i="6"/>
  <c r="S188" i="6"/>
  <c r="T187" i="6"/>
  <c r="S187" i="6"/>
  <c r="S186" i="6"/>
  <c r="S185" i="6"/>
  <c r="S182" i="6"/>
  <c r="S181" i="6"/>
  <c r="S180" i="6"/>
  <c r="S179" i="6"/>
  <c r="S178" i="6"/>
  <c r="S177" i="6"/>
  <c r="S175" i="6"/>
  <c r="S174" i="6"/>
  <c r="S173" i="6"/>
  <c r="T163" i="6"/>
  <c r="S163" i="6"/>
  <c r="T162" i="6"/>
  <c r="S162" i="6"/>
  <c r="S161" i="6"/>
  <c r="S160" i="6"/>
  <c r="S157" i="6"/>
  <c r="S156" i="6"/>
  <c r="S155" i="6"/>
  <c r="S154" i="6"/>
  <c r="S153" i="6"/>
  <c r="S152" i="6"/>
  <c r="S150" i="6"/>
  <c r="S149" i="6"/>
  <c r="S148" i="6"/>
  <c r="T138" i="6"/>
  <c r="T135" i="6"/>
  <c r="S135" i="6"/>
  <c r="T134" i="6"/>
  <c r="S134" i="6"/>
  <c r="T133" i="6"/>
  <c r="S133" i="6"/>
  <c r="T132" i="6"/>
  <c r="S132" i="6"/>
  <c r="T130" i="6"/>
  <c r="S130" i="6"/>
  <c r="T129" i="6"/>
  <c r="S129" i="6"/>
  <c r="T127" i="6"/>
  <c r="S127" i="6"/>
  <c r="T126" i="6"/>
  <c r="S126" i="6"/>
  <c r="T125" i="6"/>
  <c r="S125" i="6"/>
  <c r="T124" i="6"/>
  <c r="S124" i="6"/>
  <c r="T119" i="6"/>
  <c r="S119" i="6"/>
  <c r="T114" i="6"/>
  <c r="S114" i="6"/>
  <c r="T103" i="6"/>
  <c r="S103" i="6"/>
  <c r="S98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17" i="6"/>
  <c r="S24" i="6" s="1"/>
  <c r="S16" i="6"/>
  <c r="S15" i="6"/>
  <c r="T9" i="6"/>
  <c r="T8" i="6"/>
  <c r="S7" i="6"/>
  <c r="S34" i="39" l="1"/>
  <c r="S164" i="6"/>
  <c r="S25" i="6"/>
  <c r="T120" i="6"/>
  <c r="S120" i="6"/>
  <c r="S136" i="6"/>
  <c r="S131" i="6"/>
  <c r="T136" i="6"/>
  <c r="T57" i="6"/>
  <c r="T35" i="6"/>
  <c r="S27" i="6"/>
  <c r="S159" i="6"/>
  <c r="S21" i="6"/>
  <c r="S30" i="6"/>
  <c r="S104" i="6"/>
  <c r="S19" i="6"/>
  <c r="S22" i="6"/>
  <c r="S31" i="6"/>
  <c r="T131" i="6"/>
  <c r="S190" i="6"/>
  <c r="S28" i="6"/>
  <c r="S184" i="6"/>
  <c r="S91" i="77"/>
  <c r="S90" i="77"/>
  <c r="S81" i="77"/>
  <c r="S80" i="77"/>
  <c r="S524" i="28"/>
  <c r="T481" i="28"/>
  <c r="T475" i="28"/>
  <c r="T443" i="28"/>
  <c r="T431" i="28"/>
  <c r="S431" i="28"/>
  <c r="T415" i="28"/>
  <c r="T304" i="28"/>
  <c r="S304" i="28"/>
  <c r="T298" i="28"/>
  <c r="S298" i="28"/>
  <c r="T297" i="28"/>
  <c r="S297" i="28"/>
  <c r="T256" i="28"/>
  <c r="S256" i="28"/>
  <c r="T235" i="28"/>
  <c r="T233" i="28"/>
  <c r="T96" i="28"/>
  <c r="T95" i="28"/>
  <c r="T93" i="28"/>
  <c r="T89" i="28"/>
  <c r="T85" i="28"/>
  <c r="T81" i="28"/>
  <c r="S68" i="28"/>
  <c r="S67" i="28"/>
  <c r="S65" i="28"/>
  <c r="T56" i="28"/>
  <c r="T29" i="28"/>
  <c r="S23" i="28"/>
  <c r="T21" i="28"/>
  <c r="S15" i="28"/>
  <c r="T13" i="28"/>
  <c r="S7" i="28"/>
  <c r="S231" i="73"/>
  <c r="S229" i="73"/>
  <c r="S218" i="73"/>
  <c r="S42" i="77" s="1"/>
  <c r="S209" i="73"/>
  <c r="S173" i="73"/>
  <c r="S160" i="73"/>
  <c r="S171" i="73" s="1"/>
  <c r="S129" i="73"/>
  <c r="S127" i="73"/>
  <c r="S125" i="73"/>
  <c r="S121" i="73"/>
  <c r="S117" i="73"/>
  <c r="S108" i="73"/>
  <c r="S101" i="73"/>
  <c r="S97" i="73"/>
  <c r="S57" i="73"/>
  <c r="S51" i="73"/>
  <c r="S46" i="73"/>
  <c r="S41" i="73"/>
  <c r="S30" i="73"/>
  <c r="S25" i="73"/>
  <c r="S18" i="73"/>
  <c r="T58" i="28" s="1"/>
  <c r="T60" i="28" s="1"/>
  <c r="S16" i="73"/>
  <c r="S119" i="90" s="1"/>
  <c r="S8" i="73"/>
  <c r="W78" i="59"/>
  <c r="W77" i="59"/>
  <c r="W76" i="59"/>
  <c r="V75" i="59"/>
  <c r="V74" i="59"/>
  <c r="W73" i="59"/>
  <c r="V73" i="59"/>
  <c r="W72" i="59"/>
  <c r="V72" i="59"/>
  <c r="W69" i="59"/>
  <c r="V69" i="59"/>
  <c r="W68" i="59"/>
  <c r="V68" i="59"/>
  <c r="W65" i="59"/>
  <c r="V65" i="59"/>
  <c r="W64" i="59"/>
  <c r="V64" i="59"/>
  <c r="W61" i="59"/>
  <c r="V61" i="59"/>
  <c r="W60" i="59"/>
  <c r="V60" i="59"/>
  <c r="W59" i="59"/>
  <c r="W58" i="59"/>
  <c r="V58" i="59"/>
  <c r="W57" i="59"/>
  <c r="V57" i="59"/>
  <c r="V52" i="59"/>
  <c r="W51" i="59"/>
  <c r="V51" i="59"/>
  <c r="W50" i="59"/>
  <c r="V50" i="59"/>
  <c r="W49" i="59"/>
  <c r="V49" i="59"/>
  <c r="W47" i="59"/>
  <c r="V47" i="59"/>
  <c r="W46" i="59"/>
  <c r="V46" i="59"/>
  <c r="W45" i="59"/>
  <c r="V45" i="59"/>
  <c r="W44" i="59"/>
  <c r="V44" i="59"/>
  <c r="W42" i="59"/>
  <c r="V42" i="59"/>
  <c r="W41" i="59"/>
  <c r="V41" i="59"/>
  <c r="W40" i="59"/>
  <c r="V40" i="59"/>
  <c r="V38" i="59"/>
  <c r="V37" i="59"/>
  <c r="V36" i="59"/>
  <c r="W35" i="59"/>
  <c r="V35" i="59"/>
  <c r="W34" i="59"/>
  <c r="V34" i="59"/>
  <c r="W33" i="59"/>
  <c r="V33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W20" i="59"/>
  <c r="W19" i="59"/>
  <c r="W18" i="59"/>
  <c r="W17" i="59"/>
  <c r="W16" i="59"/>
  <c r="W12" i="59"/>
  <c r="V12" i="59"/>
  <c r="V11" i="59"/>
  <c r="S72" i="36"/>
  <c r="S71" i="36"/>
  <c r="S69" i="36"/>
  <c r="S67" i="36"/>
  <c r="S66" i="36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4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4" i="59" s="1"/>
  <c r="T23" i="36"/>
  <c r="W71" i="59" s="1"/>
  <c r="S23" i="36"/>
  <c r="V71" i="59" s="1"/>
  <c r="T22" i="36"/>
  <c r="W67" i="59" s="1"/>
  <c r="S22" i="36"/>
  <c r="V67" i="59" s="1"/>
  <c r="T21" i="36"/>
  <c r="W63" i="59" s="1"/>
  <c r="S21" i="36"/>
  <c r="V63" i="59" s="1"/>
  <c r="S17" i="36"/>
  <c r="S90" i="9" s="1"/>
  <c r="S16" i="36"/>
  <c r="V53" i="59" s="1"/>
  <c r="S13" i="36"/>
  <c r="V39" i="59" s="1"/>
  <c r="T12" i="36"/>
  <c r="W38" i="59" s="1"/>
  <c r="T11" i="36"/>
  <c r="W37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8" i="35"/>
  <c r="S33" i="36" s="1"/>
  <c r="S16" i="35"/>
  <c r="V43" i="59" l="1"/>
  <c r="S68" i="36"/>
  <c r="S6" i="73"/>
  <c r="T46" i="28"/>
  <c r="T35" i="28" s="1"/>
  <c r="S37" i="77"/>
  <c r="S113" i="73"/>
  <c r="S26" i="6"/>
  <c r="S16" i="8"/>
  <c r="S29" i="28"/>
  <c r="S74" i="28" s="1"/>
  <c r="T416" i="28"/>
  <c r="T516" i="28"/>
  <c r="T512" i="28"/>
  <c r="T508" i="28"/>
  <c r="T72" i="28"/>
  <c r="S21" i="28"/>
  <c r="T73" i="28"/>
  <c r="S81" i="6"/>
  <c r="S106" i="6"/>
  <c r="S122" i="6"/>
  <c r="T122" i="6"/>
  <c r="T236" i="28"/>
  <c r="T506" i="28" s="1"/>
  <c r="S89" i="77"/>
  <c r="S57" i="36"/>
  <c r="S61" i="36"/>
  <c r="S63" i="36" s="1"/>
  <c r="S12" i="15"/>
  <c r="S13" i="15" s="1"/>
  <c r="S14" i="15" s="1"/>
  <c r="S84" i="77"/>
  <c r="R18" i="15"/>
  <c r="R15" i="15" s="1"/>
  <c r="R16" i="15" s="1"/>
  <c r="S5" i="9"/>
  <c r="S19" i="9" s="1"/>
  <c r="S64" i="36"/>
  <c r="V54" i="59"/>
  <c r="V76" i="59"/>
  <c r="S58" i="36"/>
  <c r="V77" i="59"/>
  <c r="S59" i="36"/>
  <c r="S56" i="36"/>
  <c r="S89" i="9"/>
  <c r="S91" i="9" s="1"/>
  <c r="V6" i="59"/>
  <c r="V78" i="59"/>
  <c r="S84" i="6"/>
  <c r="S132" i="73"/>
  <c r="T299" i="28"/>
  <c r="T492" i="28"/>
  <c r="S5" i="73"/>
  <c r="U143" i="50"/>
  <c r="U145" i="50" s="1"/>
  <c r="U146" i="50" s="1"/>
  <c r="T97" i="28"/>
  <c r="T68" i="36"/>
  <c r="T18" i="36"/>
  <c r="W55" i="59" s="1"/>
  <c r="T71" i="36"/>
  <c r="W48" i="59"/>
  <c r="T13" i="36"/>
  <c r="W39" i="59" s="1"/>
  <c r="T137" i="6"/>
  <c r="W53" i="59"/>
  <c r="T63" i="36"/>
  <c r="T60" i="36"/>
  <c r="W36" i="59"/>
  <c r="W43" i="59"/>
  <c r="V48" i="59"/>
  <c r="S137" i="6"/>
  <c r="S32" i="6"/>
  <c r="S29" i="6"/>
  <c r="S34" i="6"/>
  <c r="S33" i="6"/>
  <c r="S23" i="6"/>
  <c r="T513" i="28"/>
  <c r="T74" i="28"/>
  <c r="T509" i="28"/>
  <c r="S13" i="28"/>
  <c r="S73" i="28"/>
  <c r="S299" i="28"/>
  <c r="T505" i="28"/>
  <c r="T20" i="21"/>
  <c r="S22" i="21"/>
  <c r="S416" i="28" l="1"/>
  <c r="T67" i="28"/>
  <c r="T37" i="28"/>
  <c r="T442" i="28"/>
  <c r="T473" i="28" s="1"/>
  <c r="T48" i="28"/>
  <c r="T69" i="28"/>
  <c r="T507" i="28"/>
  <c r="T525" i="28"/>
  <c r="S87" i="28"/>
  <c r="S514" i="28" s="1"/>
  <c r="S143" i="6"/>
  <c r="S145" i="6" s="1"/>
  <c r="T515" i="28"/>
  <c r="T511" i="28"/>
  <c r="T98" i="28"/>
  <c r="S83" i="28"/>
  <c r="S509" i="28" s="1"/>
  <c r="T524" i="28"/>
  <c r="S515" i="28"/>
  <c r="S144" i="6"/>
  <c r="T514" i="28"/>
  <c r="S171" i="6"/>
  <c r="S168" i="6"/>
  <c r="S169" i="6"/>
  <c r="S146" i="6"/>
  <c r="T139" i="6"/>
  <c r="T203" i="6" s="1"/>
  <c r="S139" i="6"/>
  <c r="S204" i="6" s="1"/>
  <c r="T169" i="6"/>
  <c r="W22" i="59" s="1"/>
  <c r="T171" i="6"/>
  <c r="T168" i="6"/>
  <c r="T503" i="28"/>
  <c r="T510" i="28"/>
  <c r="T502" i="28"/>
  <c r="S121" i="90"/>
  <c r="S125" i="90" s="1"/>
  <c r="S95" i="77"/>
  <c r="S60" i="36"/>
  <c r="S69" i="9"/>
  <c r="R130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93" i="28"/>
  <c r="T19" i="36"/>
  <c r="W56" i="59" s="1"/>
  <c r="T517" i="28"/>
  <c r="T75" i="28"/>
  <c r="S236" i="28"/>
  <c r="S72" i="28"/>
  <c r="S503" i="28"/>
  <c r="S511" i="28"/>
  <c r="T70" i="28" l="1"/>
  <c r="T522" i="28"/>
  <c r="S510" i="28"/>
  <c r="S502" i="28"/>
  <c r="T170" i="6"/>
  <c r="T8" i="36" s="1"/>
  <c r="W9" i="59" s="1"/>
  <c r="T204" i="6"/>
  <c r="T199" i="6"/>
  <c r="T202" i="6"/>
  <c r="T200" i="6"/>
  <c r="S208" i="6"/>
  <c r="T207" i="6"/>
  <c r="T209" i="6"/>
  <c r="T210" i="6"/>
  <c r="T213" i="6"/>
  <c r="T208" i="6"/>
  <c r="T518" i="28"/>
  <c r="S507" i="28"/>
  <c r="S513" i="28"/>
  <c r="S200" i="6"/>
  <c r="S205" i="6"/>
  <c r="T76" i="28"/>
  <c r="S209" i="6"/>
  <c r="S207" i="6"/>
  <c r="S213" i="6"/>
  <c r="S214" i="6" s="1"/>
  <c r="T205" i="6"/>
  <c r="S199" i="6"/>
  <c r="S202" i="6"/>
  <c r="S210" i="6"/>
  <c r="S170" i="6"/>
  <c r="S203" i="6"/>
  <c r="T195" i="6"/>
  <c r="S57" i="9"/>
  <c r="T496" i="28"/>
  <c r="T497" i="28"/>
  <c r="S60" i="9"/>
  <c r="S21" i="22"/>
  <c r="S7" i="22"/>
  <c r="T519" i="28"/>
  <c r="S79" i="28"/>
  <c r="T211" i="6" l="1"/>
  <c r="W11" i="59" s="1"/>
  <c r="T206" i="6"/>
  <c r="T212" i="6" s="1"/>
  <c r="S211" i="6"/>
  <c r="T214" i="6"/>
  <c r="T523" i="28"/>
  <c r="S206" i="6"/>
  <c r="S62" i="9"/>
  <c r="S8" i="22"/>
  <c r="S22" i="22"/>
  <c r="S506" i="28"/>
  <c r="S505" i="28"/>
  <c r="T215" i="6" l="1"/>
  <c r="S212" i="6"/>
  <c r="S215" i="6" s="1"/>
  <c r="S24" i="22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3" i="35"/>
  <c r="T11" i="35"/>
  <c r="T10" i="6" s="1"/>
  <c r="S10" i="35"/>
  <c r="S9" i="35"/>
  <c r="S8" i="35"/>
  <c r="T7" i="35"/>
  <c r="T6" i="6" s="1"/>
  <c r="T6" i="35"/>
  <c r="T5" i="6" s="1"/>
  <c r="T98" i="6" s="1"/>
  <c r="T104" i="6" l="1"/>
  <c r="T106" i="6" s="1"/>
  <c r="T143" i="6" s="1"/>
  <c r="S11" i="22"/>
  <c r="S25" i="22"/>
  <c r="S26" i="21"/>
  <c r="S28" i="21" s="1"/>
  <c r="S34" i="36"/>
  <c r="S35" i="36" s="1"/>
  <c r="S36" i="36" s="1"/>
  <c r="S38" i="36" s="1"/>
  <c r="S30" i="36" s="1"/>
  <c r="V79" i="59" s="1"/>
  <c r="S14" i="35"/>
  <c r="S9" i="6"/>
  <c r="S48" i="35"/>
  <c r="S31" i="28"/>
  <c r="S11" i="35"/>
  <c r="S10" i="6" s="1"/>
  <c r="S8" i="6"/>
  <c r="T33" i="35"/>
  <c r="T37" i="35" s="1"/>
  <c r="T97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T41" i="35"/>
  <c r="T49" i="35" s="1"/>
  <c r="K69" i="90"/>
  <c r="G69" i="90"/>
  <c r="E69" i="90"/>
  <c r="T146" i="6" l="1"/>
  <c r="T144" i="6"/>
  <c r="W15" i="59" s="1"/>
  <c r="T193" i="6"/>
  <c r="T15" i="49" s="1"/>
  <c r="T16" i="49" s="1"/>
  <c r="T19" i="49" s="1"/>
  <c r="T20" i="49" s="1"/>
  <c r="S15" i="35"/>
  <c r="S27" i="22"/>
  <c r="S13" i="22"/>
  <c r="T35" i="36"/>
  <c r="T36" i="36" s="1"/>
  <c r="T38" i="36" s="1"/>
  <c r="T30" i="36" s="1"/>
  <c r="W79" i="59" s="1"/>
  <c r="T41" i="36"/>
  <c r="S37" i="28"/>
  <c r="S63" i="28"/>
  <c r="T25" i="36"/>
  <c r="W75" i="59" s="1"/>
  <c r="U97" i="50"/>
  <c r="U95" i="50" s="1"/>
  <c r="T55" i="35"/>
  <c r="T190" i="6"/>
  <c r="T185" i="6"/>
  <c r="T160" i="6"/>
  <c r="T164" i="6"/>
  <c r="T19" i="6"/>
  <c r="T145" i="6" l="1"/>
  <c r="T7" i="36" s="1"/>
  <c r="W8" i="59" s="1"/>
  <c r="S69" i="28"/>
  <c r="S75" i="28"/>
  <c r="S493" i="28"/>
  <c r="T40" i="6"/>
  <c r="T39" i="6"/>
  <c r="T38" i="6"/>
  <c r="T37" i="6"/>
  <c r="T84" i="6"/>
  <c r="T81" i="6"/>
  <c r="Q129" i="45"/>
  <c r="P108" i="10"/>
  <c r="Z108" i="10" s="1"/>
  <c r="P89" i="10"/>
  <c r="Z89" i="10" s="1"/>
  <c r="P67" i="10"/>
  <c r="Z67" i="10" s="1"/>
  <c r="P24" i="10"/>
  <c r="P32" i="10"/>
  <c r="Z32" i="10" s="1"/>
  <c r="P39" i="10"/>
  <c r="Z39" i="10" s="1"/>
  <c r="S522" i="28" l="1"/>
  <c r="P199" i="10"/>
  <c r="Z24" i="10"/>
  <c r="S519" i="28"/>
  <c r="S496" i="28"/>
  <c r="S91" i="28"/>
  <c r="S76" i="28"/>
  <c r="T41" i="6"/>
  <c r="S523" i="28" l="1"/>
  <c r="S497" i="28"/>
  <c r="S518" i="28"/>
  <c r="S95" i="28"/>
  <c r="S517" i="28"/>
  <c r="AZ218" i="73" l="1"/>
  <c r="AT218" i="73"/>
  <c r="AT42" i="77" s="1"/>
  <c r="AR218" i="73"/>
  <c r="AN218" i="73"/>
  <c r="AL218" i="73"/>
  <c r="AJ218" i="73"/>
  <c r="AJ42" i="77" s="1"/>
  <c r="AJ37" i="77" s="1"/>
  <c r="AH218" i="73"/>
  <c r="AF218" i="73"/>
  <c r="AF42" i="77" s="1"/>
  <c r="AF37" i="77" s="1"/>
  <c r="AD218" i="73"/>
  <c r="AB218" i="73"/>
  <c r="AB42" i="77" s="1"/>
  <c r="X218" i="73"/>
  <c r="V218" i="73"/>
  <c r="V42" i="77" s="1"/>
  <c r="V37" i="77" s="1"/>
  <c r="T218" i="73"/>
  <c r="R218" i="73"/>
  <c r="R42" i="77" s="1"/>
  <c r="R37" i="77" s="1"/>
  <c r="P218" i="73"/>
  <c r="O218" i="73"/>
  <c r="O42" i="77" s="1"/>
  <c r="N218" i="73"/>
  <c r="N42" i="77" s="1"/>
  <c r="L218" i="73"/>
  <c r="K218" i="73"/>
  <c r="K42" i="77" s="1"/>
  <c r="K37" i="77" s="1"/>
  <c r="J218" i="73"/>
  <c r="J42" i="77" s="1"/>
  <c r="H218" i="73"/>
  <c r="G218" i="73"/>
  <c r="G42" i="77" s="1"/>
  <c r="AZ231" i="73"/>
  <c r="AV231" i="73"/>
  <c r="AT231" i="73"/>
  <c r="AR231" i="73"/>
  <c r="AN231" i="73"/>
  <c r="AL231" i="73"/>
  <c r="AJ231" i="73"/>
  <c r="AH231" i="73"/>
  <c r="AF231" i="73"/>
  <c r="AD231" i="73"/>
  <c r="AB231" i="73"/>
  <c r="X231" i="73"/>
  <c r="V231" i="73"/>
  <c r="T231" i="73"/>
  <c r="R231" i="73"/>
  <c r="P231" i="73"/>
  <c r="O231" i="73"/>
  <c r="N231" i="73"/>
  <c r="L231" i="73"/>
  <c r="K231" i="73"/>
  <c r="J231" i="73"/>
  <c r="H231" i="73"/>
  <c r="G231" i="73"/>
  <c r="AZ229" i="73"/>
  <c r="AV229" i="73"/>
  <c r="AT229" i="73"/>
  <c r="AR229" i="73"/>
  <c r="AN229" i="73"/>
  <c r="AL229" i="73"/>
  <c r="AJ229" i="73"/>
  <c r="AH229" i="73"/>
  <c r="AF229" i="73"/>
  <c r="AD229" i="73"/>
  <c r="AB229" i="73"/>
  <c r="X229" i="73"/>
  <c r="V229" i="73"/>
  <c r="T229" i="73"/>
  <c r="R229" i="73"/>
  <c r="P229" i="73"/>
  <c r="O229" i="73"/>
  <c r="N229" i="73"/>
  <c r="L229" i="73"/>
  <c r="K229" i="73"/>
  <c r="J229" i="73"/>
  <c r="H229" i="73"/>
  <c r="G229" i="73"/>
  <c r="J37" i="77" l="1"/>
  <c r="L42" i="77"/>
  <c r="O37" i="77"/>
  <c r="Y42" i="77"/>
  <c r="AE42" i="77"/>
  <c r="AE37" i="77" s="1"/>
  <c r="AA42" i="77"/>
  <c r="BE42" i="77" s="1"/>
  <c r="AS42" i="77"/>
  <c r="AS37" i="77" s="1"/>
  <c r="AO42" i="77"/>
  <c r="AO37" i="77" s="1"/>
  <c r="AI42" i="77"/>
  <c r="AI37" i="77" s="1"/>
  <c r="AW42" i="77"/>
  <c r="AW37" i="77" s="1"/>
  <c r="U42" i="77"/>
  <c r="U37" i="77" s="1"/>
  <c r="M42" i="77"/>
  <c r="Q42" i="77"/>
  <c r="Q37" i="77" s="1"/>
  <c r="G37" i="77"/>
  <c r="I42" i="77"/>
  <c r="I37" i="77" s="1"/>
  <c r="AB37" i="77"/>
  <c r="AL42" i="77"/>
  <c r="AT37" i="77"/>
  <c r="AZ42" i="77"/>
  <c r="AZ37" i="77" s="1"/>
  <c r="N37" i="77"/>
  <c r="X42" i="77"/>
  <c r="X37" i="77" s="1"/>
  <c r="Y231" i="73"/>
  <c r="Y229" i="73"/>
  <c r="Y218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M37" i="77" l="1"/>
  <c r="Y37" i="77"/>
  <c r="AA37" i="77"/>
  <c r="BE37" i="77" s="1"/>
  <c r="AL37" i="77"/>
  <c r="BB42" i="77"/>
  <c r="BB37" i="77" s="1"/>
  <c r="P42" i="77"/>
  <c r="L37" i="77"/>
  <c r="Z42" i="77"/>
  <c r="Q69" i="83"/>
  <c r="Q76" i="83"/>
  <c r="Q51" i="83"/>
  <c r="Q38" i="83"/>
  <c r="Q45" i="83"/>
  <c r="P147" i="9"/>
  <c r="P148" i="9" s="1"/>
  <c r="AD42" i="77" l="1"/>
  <c r="Z37" i="77"/>
  <c r="T42" i="77"/>
  <c r="T37" i="77" s="1"/>
  <c r="P37" i="77"/>
  <c r="Q77" i="83"/>
  <c r="R109" i="9"/>
  <c r="AH42" i="77" l="1"/>
  <c r="AD37" i="77"/>
  <c r="P62" i="77"/>
  <c r="T62" i="77" s="1"/>
  <c r="P44" i="77"/>
  <c r="T44" i="77" s="1"/>
  <c r="AN42" i="77" l="1"/>
  <c r="AH37" i="77"/>
  <c r="P16" i="52"/>
  <c r="O16" i="52"/>
  <c r="P103" i="9"/>
  <c r="AN37" i="77" l="1"/>
  <c r="AR42" i="77"/>
  <c r="O80" i="26"/>
  <c r="AV42" i="77" l="1"/>
  <c r="AR37" i="77"/>
  <c r="O31" i="15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BD42" i="77" l="1"/>
  <c r="BD37" i="77" s="1"/>
  <c r="AV37" i="77"/>
  <c r="O32" i="15"/>
  <c r="O36" i="15" s="1"/>
  <c r="O16" i="15" s="1"/>
  <c r="O17" i="15" s="1"/>
  <c r="O57" i="17"/>
  <c r="O56" i="17"/>
  <c r="O55" i="17"/>
  <c r="O54" i="17"/>
  <c r="O53" i="17"/>
  <c r="N53" i="17"/>
  <c r="O44" i="17"/>
  <c r="N44" i="17"/>
  <c r="O37" i="17"/>
  <c r="O39" i="17" s="1"/>
  <c r="N37" i="17"/>
  <c r="N39" i="17" s="1"/>
  <c r="N31" i="17"/>
  <c r="O29" i="17"/>
  <c r="O30" i="17" s="1"/>
  <c r="N28" i="17"/>
  <c r="N25" i="17"/>
  <c r="O22" i="17"/>
  <c r="O23" i="17" s="1"/>
  <c r="N22" i="17"/>
  <c r="O19" i="17"/>
  <c r="N18" i="17"/>
  <c r="O17" i="17"/>
  <c r="N16" i="17"/>
  <c r="O14" i="17"/>
  <c r="O20" i="17" s="1"/>
  <c r="N14" i="17"/>
  <c r="O13" i="17"/>
  <c r="O11" i="17"/>
  <c r="O9" i="17"/>
  <c r="O45" i="72"/>
  <c r="K33" i="72"/>
  <c r="Y33" i="72" s="1"/>
  <c r="AC33" i="72" s="1"/>
  <c r="AG33" i="72" s="1"/>
  <c r="AM33" i="72" s="1"/>
  <c r="AQ33" i="72" s="1"/>
  <c r="AU33" i="72" s="1"/>
  <c r="BC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50" i="71"/>
  <c r="BE51" i="71"/>
  <c r="BE52" i="71"/>
  <c r="BO52" i="71" s="1"/>
  <c r="BE53" i="71"/>
  <c r="BO53" i="71" s="1"/>
  <c r="BE54" i="71"/>
  <c r="BO54" i="71" s="1"/>
  <c r="BE55" i="71"/>
  <c r="BE56" i="71"/>
  <c r="BC19" i="71"/>
  <c r="BC17" i="71"/>
  <c r="N29" i="17" l="1"/>
  <c r="O85" i="17"/>
  <c r="BG17" i="71"/>
  <c r="BK17" i="71" s="1"/>
  <c r="N85" i="17"/>
  <c r="BO17" i="71"/>
  <c r="BQ17" i="71" s="1"/>
  <c r="BU17" i="71" s="1"/>
  <c r="BY17" i="71" s="1"/>
  <c r="CE17" i="71" s="1"/>
  <c r="CI17" i="71" s="1"/>
  <c r="CM17" i="71" s="1"/>
  <c r="CU17" i="71"/>
  <c r="O83" i="90"/>
  <c r="BO50" i="71"/>
  <c r="O76" i="90"/>
  <c r="BO41" i="71"/>
  <c r="O73" i="90"/>
  <c r="BO26" i="71"/>
  <c r="O69" i="90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5" i="90"/>
  <c r="BO55" i="71"/>
  <c r="O80" i="90"/>
  <c r="BO47" i="71"/>
  <c r="BG19" i="71"/>
  <c r="BK19" i="71" s="1"/>
  <c r="O84" i="90"/>
  <c r="BO51" i="71"/>
  <c r="O78" i="90"/>
  <c r="BO44" i="71"/>
  <c r="O72" i="90"/>
  <c r="BO22" i="71"/>
  <c r="O32" i="17"/>
  <c r="N20" i="17"/>
  <c r="N32" i="17"/>
  <c r="N30" i="17"/>
  <c r="O24" i="17"/>
  <c r="O21" i="17"/>
  <c r="O25" i="17" s="1"/>
  <c r="O15" i="17"/>
  <c r="AI69" i="90" l="1"/>
  <c r="BE69" i="90"/>
  <c r="N24" i="17"/>
  <c r="O112" i="26" l="1"/>
  <c r="N110" i="26"/>
  <c r="N108" i="26"/>
  <c r="N106" i="26"/>
  <c r="N104" i="26"/>
  <c r="N102" i="26"/>
  <c r="N100" i="26"/>
  <c r="N98" i="26"/>
  <c r="N96" i="26"/>
  <c r="O92" i="26"/>
  <c r="N89" i="26"/>
  <c r="N87" i="26"/>
  <c r="N85" i="26"/>
  <c r="N83" i="26"/>
  <c r="O81" i="26"/>
  <c r="N78" i="26"/>
  <c r="N76" i="26"/>
  <c r="O73" i="26"/>
  <c r="N71" i="26"/>
  <c r="N69" i="26"/>
  <c r="N67" i="26"/>
  <c r="N65" i="26"/>
  <c r="N63" i="26"/>
  <c r="N61" i="26"/>
  <c r="N59" i="26"/>
  <c r="N57" i="26"/>
  <c r="N52" i="26"/>
  <c r="N50" i="26"/>
  <c r="O48" i="26"/>
  <c r="N46" i="26"/>
  <c r="O43" i="26"/>
  <c r="N41" i="26"/>
  <c r="N39" i="26"/>
  <c r="N37" i="26"/>
  <c r="N35" i="26"/>
  <c r="N33" i="26"/>
  <c r="N31" i="26"/>
  <c r="N29" i="26"/>
  <c r="N27" i="26"/>
  <c r="N25" i="26"/>
  <c r="N23" i="26"/>
  <c r="N21" i="26"/>
  <c r="N17" i="26"/>
  <c r="N15" i="26"/>
  <c r="O12" i="26"/>
  <c r="N11" i="26"/>
  <c r="N9" i="26"/>
  <c r="X89" i="26" l="1"/>
  <c r="N48" i="26"/>
  <c r="N54" i="26" s="1"/>
  <c r="O55" i="26"/>
  <c r="N54" i="17"/>
  <c r="X85" i="26"/>
  <c r="O19" i="26"/>
  <c r="N55" i="17"/>
  <c r="X87" i="26"/>
  <c r="N56" i="17"/>
  <c r="X83" i="26"/>
  <c r="N112" i="26"/>
  <c r="N57" i="17"/>
  <c r="N81" i="26"/>
  <c r="N80" i="26"/>
  <c r="N92" i="26"/>
  <c r="N73" i="26"/>
  <c r="N43" i="26"/>
  <c r="N12" i="26"/>
  <c r="N55" i="26"/>
  <c r="N49" i="26"/>
  <c r="O18" i="26"/>
  <c r="O54" i="26"/>
  <c r="O13" i="26"/>
  <c r="O49" i="26"/>
  <c r="N19" i="26" l="1"/>
  <c r="N13" i="26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BF46" i="35" s="1"/>
  <c r="O79" i="45" l="1"/>
  <c r="O175" i="45" s="1"/>
  <c r="O71" i="45"/>
  <c r="AC71" i="45" s="1"/>
  <c r="AG71" i="45" s="1"/>
  <c r="AK71" i="45" s="1"/>
  <c r="AQ71" i="45" s="1"/>
  <c r="AU71" i="45" s="1"/>
  <c r="AY71" i="45" s="1"/>
  <c r="BG71" i="45" s="1"/>
  <c r="BI71" i="45" s="1"/>
  <c r="O72" i="45"/>
  <c r="AC72" i="45" s="1"/>
  <c r="AG72" i="45" s="1"/>
  <c r="AK72" i="45" s="1"/>
  <c r="AQ72" i="45" s="1"/>
  <c r="AU72" i="45" s="1"/>
  <c r="AY72" i="45" s="1"/>
  <c r="BG72" i="45" s="1"/>
  <c r="BI72" i="45" s="1"/>
  <c r="O73" i="45"/>
  <c r="AC73" i="45" s="1"/>
  <c r="AG73" i="45" s="1"/>
  <c r="AK73" i="45" s="1"/>
  <c r="AQ73" i="45" s="1"/>
  <c r="AU73" i="45" s="1"/>
  <c r="AY73" i="45" s="1"/>
  <c r="BG73" i="45" s="1"/>
  <c r="BI73" i="45" s="1"/>
  <c r="S71" i="45" l="1"/>
  <c r="W71" i="45" s="1"/>
  <c r="AC79" i="45"/>
  <c r="S72" i="45"/>
  <c r="W72" i="45" s="1"/>
  <c r="S79" i="45"/>
  <c r="S175" i="45" s="1"/>
  <c r="O34" i="35"/>
  <c r="AG79" i="45" l="1"/>
  <c r="AK79" i="45" s="1"/>
  <c r="AC175" i="45"/>
  <c r="W79" i="45"/>
  <c r="W175" i="45" s="1"/>
  <c r="T94" i="38"/>
  <c r="T93" i="38"/>
  <c r="T92" i="38"/>
  <c r="T91" i="38"/>
  <c r="S90" i="38"/>
  <c r="T89" i="38"/>
  <c r="S88" i="38"/>
  <c r="T86" i="38"/>
  <c r="T85" i="38"/>
  <c r="T84" i="38"/>
  <c r="T83" i="38"/>
  <c r="S82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S66" i="38"/>
  <c r="S65" i="38" s="1"/>
  <c r="T62" i="38"/>
  <c r="T61" i="38"/>
  <c r="S60" i="38"/>
  <c r="T59" i="38"/>
  <c r="T58" i="38"/>
  <c r="T57" i="38"/>
  <c r="T56" i="38"/>
  <c r="T55" i="38"/>
  <c r="S54" i="38"/>
  <c r="S52" i="38"/>
  <c r="T51" i="38"/>
  <c r="S51" i="38"/>
  <c r="S46" i="38"/>
  <c r="S45" i="38"/>
  <c r="S44" i="38"/>
  <c r="S43" i="38"/>
  <c r="T42" i="38"/>
  <c r="T90" i="38" s="1"/>
  <c r="S41" i="38"/>
  <c r="S40" i="38" s="1"/>
  <c r="T40" i="38"/>
  <c r="T88" i="38" s="1"/>
  <c r="S38" i="38"/>
  <c r="S37" i="38"/>
  <c r="S36" i="38"/>
  <c r="S35" i="38"/>
  <c r="T34" i="38"/>
  <c r="T82" i="38" s="1"/>
  <c r="S32" i="38"/>
  <c r="S31" i="38"/>
  <c r="S30" i="38"/>
  <c r="S29" i="38"/>
  <c r="S28" i="38"/>
  <c r="S27" i="38"/>
  <c r="P139" i="45" s="1"/>
  <c r="S26" i="38"/>
  <c r="S25" i="38"/>
  <c r="S24" i="38"/>
  <c r="S23" i="38"/>
  <c r="S22" i="38"/>
  <c r="S21" i="38"/>
  <c r="S20" i="38"/>
  <c r="S19" i="38"/>
  <c r="T18" i="38"/>
  <c r="T66" i="38" s="1"/>
  <c r="S14" i="38"/>
  <c r="S13" i="38"/>
  <c r="T12" i="38"/>
  <c r="T60" i="38" s="1"/>
  <c r="S11" i="38"/>
  <c r="S10" i="38"/>
  <c r="S9" i="38"/>
  <c r="S8" i="38"/>
  <c r="S7" i="38"/>
  <c r="T6" i="38"/>
  <c r="T54" i="38" s="1"/>
  <c r="O29" i="72"/>
  <c r="S29" i="72" s="1"/>
  <c r="O30" i="72"/>
  <c r="S30" i="72" s="1"/>
  <c r="O32" i="72"/>
  <c r="S32" i="72" s="1"/>
  <c r="O34" i="72"/>
  <c r="S34" i="72" s="1"/>
  <c r="O35" i="72"/>
  <c r="Q158" i="45"/>
  <c r="Q157" i="45"/>
  <c r="Q155" i="45"/>
  <c r="Q149" i="45"/>
  <c r="Q144" i="45"/>
  <c r="P144" i="45"/>
  <c r="Q143" i="45"/>
  <c r="P143" i="45"/>
  <c r="Q142" i="45"/>
  <c r="P142" i="45"/>
  <c r="Q141" i="45"/>
  <c r="P141" i="45"/>
  <c r="Q139" i="45"/>
  <c r="Q137" i="45"/>
  <c r="P137" i="45"/>
  <c r="Q135" i="45"/>
  <c r="P135" i="45"/>
  <c r="Q132" i="45"/>
  <c r="P132" i="45"/>
  <c r="P133" i="45" s="1"/>
  <c r="Q130" i="45"/>
  <c r="Q123" i="45"/>
  <c r="Q160" i="45" s="1"/>
  <c r="Q122" i="45"/>
  <c r="Q145" i="45" s="1"/>
  <c r="P122" i="45"/>
  <c r="P145" i="45" s="1"/>
  <c r="Q121" i="45"/>
  <c r="Q159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60" i="10"/>
  <c r="P159" i="10"/>
  <c r="O159" i="10"/>
  <c r="P158" i="10"/>
  <c r="P210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P68" i="8"/>
  <c r="P66" i="8"/>
  <c r="P64" i="8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O13" i="8"/>
  <c r="P6" i="8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5" i="7"/>
  <c r="O75" i="7"/>
  <c r="P71" i="7"/>
  <c r="P73" i="7" s="1"/>
  <c r="O71" i="7"/>
  <c r="O73" i="7" s="1"/>
  <c r="P67" i="7"/>
  <c r="P81" i="7" s="1"/>
  <c r="O67" i="7"/>
  <c r="O78" i="7" s="1"/>
  <c r="P21" i="7"/>
  <c r="O49" i="39" s="1"/>
  <c r="O21" i="7"/>
  <c r="O41" i="7" s="1"/>
  <c r="O51" i="7" s="1"/>
  <c r="O61" i="39"/>
  <c r="P43" i="22" s="1"/>
  <c r="O60" i="39"/>
  <c r="P42" i="22" s="1"/>
  <c r="O48" i="39"/>
  <c r="O47" i="39"/>
  <c r="O46" i="39"/>
  <c r="O43" i="39"/>
  <c r="O42" i="39"/>
  <c r="O8" i="39"/>
  <c r="P218" i="6"/>
  <c r="O218" i="6"/>
  <c r="P217" i="6"/>
  <c r="O217" i="6"/>
  <c r="O195" i="6"/>
  <c r="P194" i="6"/>
  <c r="O194" i="6"/>
  <c r="O193" i="6"/>
  <c r="P189" i="6"/>
  <c r="O189" i="6"/>
  <c r="P188" i="6"/>
  <c r="O188" i="6"/>
  <c r="P187" i="6"/>
  <c r="O187" i="6"/>
  <c r="O186" i="6"/>
  <c r="O185" i="6"/>
  <c r="O182" i="6"/>
  <c r="O181" i="6"/>
  <c r="O180" i="6"/>
  <c r="O179" i="6"/>
  <c r="O178" i="6"/>
  <c r="O177" i="6"/>
  <c r="O175" i="6"/>
  <c r="O174" i="6"/>
  <c r="O173" i="6"/>
  <c r="P163" i="6"/>
  <c r="O163" i="6"/>
  <c r="P162" i="6"/>
  <c r="O162" i="6"/>
  <c r="O161" i="6"/>
  <c r="O160" i="6"/>
  <c r="O157" i="6"/>
  <c r="O156" i="6"/>
  <c r="O155" i="6"/>
  <c r="O154" i="6"/>
  <c r="O153" i="6"/>
  <c r="O152" i="6"/>
  <c r="O150" i="6"/>
  <c r="O149" i="6"/>
  <c r="O148" i="6"/>
  <c r="P138" i="6"/>
  <c r="P135" i="6"/>
  <c r="O135" i="6"/>
  <c r="P134" i="6"/>
  <c r="O134" i="6"/>
  <c r="P133" i="6"/>
  <c r="O133" i="6"/>
  <c r="P132" i="6"/>
  <c r="O132" i="6"/>
  <c r="P130" i="6"/>
  <c r="O130" i="6"/>
  <c r="P129" i="6"/>
  <c r="O129" i="6"/>
  <c r="P127" i="6"/>
  <c r="O127" i="6"/>
  <c r="P126" i="6"/>
  <c r="O126" i="6"/>
  <c r="P125" i="6"/>
  <c r="O125" i="6"/>
  <c r="P124" i="6"/>
  <c r="O124" i="6"/>
  <c r="P119" i="6"/>
  <c r="O119" i="6"/>
  <c r="P114" i="6"/>
  <c r="O114" i="6"/>
  <c r="P103" i="6"/>
  <c r="O103" i="6"/>
  <c r="O98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91" i="77"/>
  <c r="O90" i="77"/>
  <c r="O83" i="77"/>
  <c r="O81" i="77"/>
  <c r="O80" i="77"/>
  <c r="P65" i="8" l="1"/>
  <c r="P67" i="8"/>
  <c r="O29" i="8"/>
  <c r="P16" i="8"/>
  <c r="P69" i="8"/>
  <c r="O22" i="39"/>
  <c r="P192" i="10"/>
  <c r="P196" i="10"/>
  <c r="P40" i="8"/>
  <c r="O30" i="6"/>
  <c r="O19" i="6"/>
  <c r="O84" i="6" s="1"/>
  <c r="Q133" i="45"/>
  <c r="S34" i="38"/>
  <c r="Q156" i="45"/>
  <c r="S12" i="38"/>
  <c r="AQ79" i="45"/>
  <c r="AU79" i="45" s="1"/>
  <c r="AY79" i="45" s="1"/>
  <c r="BG79" i="45" s="1"/>
  <c r="BI79" i="45" s="1"/>
  <c r="Q127" i="45"/>
  <c r="P93" i="11"/>
  <c r="P67" i="11"/>
  <c r="P92" i="11"/>
  <c r="P61" i="11"/>
  <c r="O67" i="11"/>
  <c r="P84" i="11"/>
  <c r="O89" i="77"/>
  <c r="P14" i="9"/>
  <c r="O158" i="10"/>
  <c r="O210" i="10" s="1"/>
  <c r="O203" i="10"/>
  <c r="P200" i="10"/>
  <c r="AG175" i="45"/>
  <c r="AK175" i="45"/>
  <c r="Y80" i="77"/>
  <c r="O84" i="77"/>
  <c r="Y81" i="77"/>
  <c r="Y83" i="77"/>
  <c r="Y90" i="77"/>
  <c r="Y91" i="77"/>
  <c r="P94" i="9"/>
  <c r="O19" i="15" s="1"/>
  <c r="O130" i="26"/>
  <c r="P33" i="22"/>
  <c r="O42" i="8"/>
  <c r="O97" i="11"/>
  <c r="P74" i="8"/>
  <c r="P36" i="8"/>
  <c r="S87" i="38"/>
  <c r="S64" i="38" s="1"/>
  <c r="S63" i="38"/>
  <c r="O31" i="8"/>
  <c r="O24" i="8"/>
  <c r="O84" i="8"/>
  <c r="O91" i="8"/>
  <c r="O27" i="8"/>
  <c r="Q140" i="45"/>
  <c r="P184" i="10"/>
  <c r="P173" i="10"/>
  <c r="P62" i="9"/>
  <c r="P96" i="9"/>
  <c r="P90" i="9"/>
  <c r="P89" i="9"/>
  <c r="P100" i="9"/>
  <c r="P37" i="9"/>
  <c r="P59" i="8"/>
  <c r="P131" i="6"/>
  <c r="O34" i="39"/>
  <c r="P91" i="8"/>
  <c r="O83" i="7"/>
  <c r="O164" i="6"/>
  <c r="O159" i="6"/>
  <c r="O27" i="6"/>
  <c r="O50" i="8"/>
  <c r="O51" i="8" s="1"/>
  <c r="O58" i="11"/>
  <c r="O79" i="11"/>
  <c r="O74" i="11"/>
  <c r="O178" i="10"/>
  <c r="O161" i="10"/>
  <c r="O173" i="10"/>
  <c r="O16" i="8"/>
  <c r="S42" i="38"/>
  <c r="S39" i="38" s="1"/>
  <c r="S18" i="38"/>
  <c r="S17" i="38" s="1"/>
  <c r="S6" i="38"/>
  <c r="S15" i="38" s="1"/>
  <c r="T17" i="38"/>
  <c r="T39" i="38"/>
  <c r="T87" i="38" s="1"/>
  <c r="T15" i="38"/>
  <c r="Q161" i="45"/>
  <c r="Q151" i="45"/>
  <c r="Q124" i="45"/>
  <c r="Q125" i="45"/>
  <c r="Q126" i="45" s="1"/>
  <c r="P124" i="45"/>
  <c r="P140" i="45"/>
  <c r="P121" i="45"/>
  <c r="Q150" i="45"/>
  <c r="P125" i="45"/>
  <c r="P90" i="11"/>
  <c r="P85" i="11"/>
  <c r="P74" i="11"/>
  <c r="P60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5" i="8" s="1"/>
  <c r="P50" i="8"/>
  <c r="P51" i="8" s="1"/>
  <c r="P85" i="8"/>
  <c r="P41" i="8"/>
  <c r="P44" i="8"/>
  <c r="P136" i="8" s="1"/>
  <c r="P47" i="8"/>
  <c r="O23" i="8"/>
  <c r="O28" i="8"/>
  <c r="P109" i="8"/>
  <c r="P46" i="8"/>
  <c r="P137" i="8" s="1"/>
  <c r="P39" i="8"/>
  <c r="P45" i="8"/>
  <c r="O25" i="8"/>
  <c r="O30" i="8"/>
  <c r="P81" i="8"/>
  <c r="P69" i="7"/>
  <c r="P78" i="7"/>
  <c r="P83" i="7"/>
  <c r="O76" i="7"/>
  <c r="P41" i="7"/>
  <c r="P51" i="7" s="1"/>
  <c r="P76" i="7"/>
  <c r="O81" i="7"/>
  <c r="O23" i="39"/>
  <c r="O68" i="7"/>
  <c r="O50" i="39"/>
  <c r="O45" i="39"/>
  <c r="P136" i="6"/>
  <c r="O120" i="6"/>
  <c r="P120" i="6"/>
  <c r="O131" i="6"/>
  <c r="P57" i="6"/>
  <c r="P35" i="6"/>
  <c r="O31" i="6"/>
  <c r="O22" i="6"/>
  <c r="O24" i="6"/>
  <c r="O136" i="6"/>
  <c r="O184" i="6"/>
  <c r="O25" i="6"/>
  <c r="O21" i="6"/>
  <c r="O104" i="6"/>
  <c r="O190" i="6"/>
  <c r="O28" i="6"/>
  <c r="O81" i="6" l="1"/>
  <c r="O59" i="8"/>
  <c r="P63" i="8"/>
  <c r="P34" i="8"/>
  <c r="O51" i="39"/>
  <c r="O24" i="39"/>
  <c r="AY175" i="45"/>
  <c r="BG175" i="45"/>
  <c r="P91" i="9"/>
  <c r="P94" i="11"/>
  <c r="P137" i="6"/>
  <c r="O32" i="6"/>
  <c r="O29" i="6"/>
  <c r="O106" i="6"/>
  <c r="P122" i="6"/>
  <c r="O122" i="6"/>
  <c r="AQ175" i="45"/>
  <c r="P138" i="8"/>
  <c r="AU175" i="45"/>
  <c r="Y89" i="77"/>
  <c r="Y95" i="77" s="1"/>
  <c r="O95" i="77"/>
  <c r="Y84" i="77"/>
  <c r="P77" i="8"/>
  <c r="O6" i="26"/>
  <c r="S16" i="38"/>
  <c r="S48" i="38" s="1"/>
  <c r="P73" i="9"/>
  <c r="P74" i="9" s="1"/>
  <c r="P71" i="8"/>
  <c r="P42" i="8"/>
  <c r="T63" i="38"/>
  <c r="T16" i="38"/>
  <c r="T64" i="38" s="1"/>
  <c r="T65" i="38"/>
  <c r="P193" i="10"/>
  <c r="P83" i="9"/>
  <c r="P81" i="9"/>
  <c r="P53" i="9"/>
  <c r="P87" i="9"/>
  <c r="P75" i="9"/>
  <c r="P76" i="9"/>
  <c r="P52" i="9"/>
  <c r="P80" i="9"/>
  <c r="P82" i="9"/>
  <c r="P85" i="9"/>
  <c r="P86" i="9"/>
  <c r="P78" i="9"/>
  <c r="P52" i="8"/>
  <c r="P120" i="8" s="1"/>
  <c r="P111" i="8"/>
  <c r="P53" i="8" s="1"/>
  <c r="P122" i="8" s="1"/>
  <c r="O67" i="8"/>
  <c r="O108" i="8"/>
  <c r="O109" i="8" s="1"/>
  <c r="O69" i="8"/>
  <c r="O65" i="8"/>
  <c r="O26" i="8"/>
  <c r="P70" i="8"/>
  <c r="P38" i="7"/>
  <c r="P53" i="7" s="1"/>
  <c r="O38" i="7"/>
  <c r="O53" i="7" s="1"/>
  <c r="O137" i="6"/>
  <c r="O34" i="6"/>
  <c r="O33" i="6"/>
  <c r="O23" i="6"/>
  <c r="O26" i="6"/>
  <c r="O34" i="8" l="1"/>
  <c r="O36" i="8"/>
  <c r="O63" i="8"/>
  <c r="P168" i="6"/>
  <c r="P35" i="8"/>
  <c r="O143" i="6"/>
  <c r="O169" i="6"/>
  <c r="O37" i="8"/>
  <c r="P169" i="6"/>
  <c r="O171" i="6"/>
  <c r="P171" i="6"/>
  <c r="P139" i="6"/>
  <c r="O146" i="6"/>
  <c r="O144" i="6"/>
  <c r="O168" i="6"/>
  <c r="O139" i="6"/>
  <c r="P123" i="8"/>
  <c r="P121" i="8"/>
  <c r="P125" i="8" s="1"/>
  <c r="P126" i="8" s="1"/>
  <c r="O104" i="7"/>
  <c r="T48" i="38"/>
  <c r="P77" i="9"/>
  <c r="P79" i="9" s="1"/>
  <c r="O110" i="8"/>
  <c r="O111" i="8" s="1"/>
  <c r="P77" i="7"/>
  <c r="P63" i="7"/>
  <c r="O77" i="7"/>
  <c r="O63" i="7"/>
  <c r="P104" i="7"/>
  <c r="O35" i="6"/>
  <c r="P170" i="6" l="1"/>
  <c r="O35" i="8"/>
  <c r="O170" i="6"/>
  <c r="O208" i="6"/>
  <c r="O145" i="6"/>
  <c r="O205" i="6"/>
  <c r="O203" i="6"/>
  <c r="O202" i="6"/>
  <c r="O200" i="6"/>
  <c r="O207" i="6"/>
  <c r="O199" i="6"/>
  <c r="O213" i="6"/>
  <c r="O214" i="6" s="1"/>
  <c r="P195" i="6"/>
  <c r="P204" i="6"/>
  <c r="P209" i="6"/>
  <c r="P205" i="6"/>
  <c r="P207" i="6"/>
  <c r="P203" i="6"/>
  <c r="P208" i="6"/>
  <c r="P202" i="6"/>
  <c r="P199" i="6"/>
  <c r="P210" i="6"/>
  <c r="P213" i="6"/>
  <c r="P200" i="6"/>
  <c r="O210" i="6"/>
  <c r="O209" i="6"/>
  <c r="O204" i="6"/>
  <c r="P129" i="8"/>
  <c r="P131" i="8"/>
  <c r="P144" i="8" s="1"/>
  <c r="P130" i="8"/>
  <c r="P143" i="8" s="1"/>
  <c r="O206" i="6" l="1"/>
  <c r="O211" i="6"/>
  <c r="O212" i="6" s="1"/>
  <c r="O215" i="6" s="1"/>
  <c r="P211" i="6"/>
  <c r="P214" i="6"/>
  <c r="P206" i="6"/>
  <c r="P132" i="8"/>
  <c r="P145" i="8" s="1"/>
  <c r="P142" i="8"/>
  <c r="O524" i="28"/>
  <c r="P481" i="28"/>
  <c r="P475" i="28"/>
  <c r="P443" i="28"/>
  <c r="P431" i="28"/>
  <c r="O431" i="28"/>
  <c r="P415" i="28"/>
  <c r="P304" i="28"/>
  <c r="O304" i="28"/>
  <c r="P298" i="28"/>
  <c r="O298" i="28"/>
  <c r="P297" i="28"/>
  <c r="O297" i="28"/>
  <c r="P256" i="28"/>
  <c r="O256" i="28"/>
  <c r="P235" i="28"/>
  <c r="P233" i="28"/>
  <c r="P96" i="28"/>
  <c r="P95" i="28"/>
  <c r="P93" i="28"/>
  <c r="P89" i="28"/>
  <c r="P85" i="28"/>
  <c r="P81" i="28"/>
  <c r="O68" i="28"/>
  <c r="O67" i="28"/>
  <c r="O65" i="28"/>
  <c r="P56" i="28"/>
  <c r="Z56" i="28" s="1"/>
  <c r="P29" i="28"/>
  <c r="Z29" i="28" s="1"/>
  <c r="O23" i="28"/>
  <c r="P21" i="28"/>
  <c r="Z21" i="28" s="1"/>
  <c r="O15" i="28"/>
  <c r="P13" i="28"/>
  <c r="Z13" i="28" s="1"/>
  <c r="O7" i="28"/>
  <c r="P212" i="6" l="1"/>
  <c r="P215" i="6" s="1"/>
  <c r="O21" i="28"/>
  <c r="O29" i="28"/>
  <c r="O74" i="28" s="1"/>
  <c r="P236" i="28"/>
  <c r="P507" i="28" s="1"/>
  <c r="P512" i="28"/>
  <c r="P416" i="28"/>
  <c r="P514" i="28" s="1"/>
  <c r="P516" i="28"/>
  <c r="P72" i="28"/>
  <c r="Z64" i="28"/>
  <c r="Z68" i="28"/>
  <c r="P508" i="28"/>
  <c r="Z65" i="28"/>
  <c r="Z63" i="28"/>
  <c r="P299" i="28"/>
  <c r="P97" i="28"/>
  <c r="P492" i="28"/>
  <c r="P513" i="28"/>
  <c r="P509" i="28"/>
  <c r="P73" i="28"/>
  <c r="O299" i="28"/>
  <c r="O73" i="28"/>
  <c r="O416" i="28"/>
  <c r="P74" i="28"/>
  <c r="P505" i="28"/>
  <c r="O13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5" i="73"/>
  <c r="U15" i="73" s="1"/>
  <c r="Q23" i="73"/>
  <c r="U23" i="73" s="1"/>
  <c r="Q24" i="73"/>
  <c r="U24" i="73" s="1"/>
  <c r="Q111" i="73"/>
  <c r="U111" i="73" s="1"/>
  <c r="Q135" i="73"/>
  <c r="Q172" i="73"/>
  <c r="U172" i="73" s="1"/>
  <c r="M85" i="73"/>
  <c r="Q85" i="73" s="1"/>
  <c r="U85" i="73" s="1"/>
  <c r="M88" i="73"/>
  <c r="O209" i="73"/>
  <c r="O173" i="73"/>
  <c r="O160" i="73"/>
  <c r="O171" i="73" s="1"/>
  <c r="O129" i="73"/>
  <c r="O127" i="73"/>
  <c r="O125" i="73"/>
  <c r="O121" i="73"/>
  <c r="O117" i="73"/>
  <c r="O108" i="73"/>
  <c r="O101" i="73"/>
  <c r="O97" i="73"/>
  <c r="O51" i="73"/>
  <c r="O46" i="73"/>
  <c r="O41" i="73"/>
  <c r="O30" i="73"/>
  <c r="O25" i="73"/>
  <c r="O18" i="73"/>
  <c r="P58" i="28" s="1"/>
  <c r="O16" i="73"/>
  <c r="O119" i="90" s="1"/>
  <c r="O8" i="73"/>
  <c r="S78" i="59"/>
  <c r="S77" i="59"/>
  <c r="S76" i="59"/>
  <c r="R75" i="59"/>
  <c r="R74" i="59"/>
  <c r="S73" i="59"/>
  <c r="R73" i="59"/>
  <c r="S72" i="59"/>
  <c r="R72" i="59"/>
  <c r="S69" i="59"/>
  <c r="R69" i="59"/>
  <c r="S68" i="59"/>
  <c r="R68" i="59"/>
  <c r="S65" i="59"/>
  <c r="R65" i="59"/>
  <c r="S64" i="59"/>
  <c r="R64" i="59"/>
  <c r="S61" i="59"/>
  <c r="R61" i="59"/>
  <c r="S60" i="59"/>
  <c r="R60" i="59"/>
  <c r="S59" i="59"/>
  <c r="S58" i="59"/>
  <c r="R58" i="59"/>
  <c r="S57" i="59"/>
  <c r="R57" i="59"/>
  <c r="R52" i="59"/>
  <c r="S51" i="59"/>
  <c r="R51" i="59"/>
  <c r="S50" i="59"/>
  <c r="R50" i="59"/>
  <c r="S49" i="59"/>
  <c r="R49" i="59"/>
  <c r="S47" i="59"/>
  <c r="R47" i="59"/>
  <c r="S46" i="59"/>
  <c r="R46" i="59"/>
  <c r="S45" i="59"/>
  <c r="R45" i="59"/>
  <c r="S44" i="59"/>
  <c r="R44" i="59"/>
  <c r="S42" i="59"/>
  <c r="R42" i="59"/>
  <c r="S41" i="59"/>
  <c r="R41" i="59"/>
  <c r="S40" i="59"/>
  <c r="R40" i="59"/>
  <c r="R38" i="59"/>
  <c r="R37" i="59"/>
  <c r="R36" i="59"/>
  <c r="S35" i="59"/>
  <c r="R35" i="59"/>
  <c r="S34" i="59"/>
  <c r="R34" i="59"/>
  <c r="S33" i="59"/>
  <c r="R33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S22" i="59"/>
  <c r="S20" i="59"/>
  <c r="S19" i="59"/>
  <c r="S18" i="59"/>
  <c r="S17" i="59"/>
  <c r="S16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4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4" i="59" s="1"/>
  <c r="P23" i="36"/>
  <c r="S71" i="59" s="1"/>
  <c r="O23" i="36"/>
  <c r="R71" i="59" s="1"/>
  <c r="P22" i="36"/>
  <c r="S67" i="59" s="1"/>
  <c r="O22" i="36"/>
  <c r="R67" i="59" s="1"/>
  <c r="P21" i="36"/>
  <c r="S63" i="59" s="1"/>
  <c r="O21" i="36"/>
  <c r="R63" i="59" s="1"/>
  <c r="O17" i="36"/>
  <c r="O16" i="36"/>
  <c r="R53" i="59" s="1"/>
  <c r="O13" i="36"/>
  <c r="R39" i="59" s="1"/>
  <c r="P12" i="36"/>
  <c r="S38" i="59" s="1"/>
  <c r="P11" i="36"/>
  <c r="S37" i="59" s="1"/>
  <c r="P10" i="36"/>
  <c r="P9" i="36"/>
  <c r="S10" i="59" s="1"/>
  <c r="O9" i="36"/>
  <c r="R10" i="59" s="1"/>
  <c r="P8" i="36"/>
  <c r="S9" i="59" s="1"/>
  <c r="O8" i="36"/>
  <c r="R9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6" i="73" l="1"/>
  <c r="P46" i="28"/>
  <c r="P35" i="28" s="1"/>
  <c r="P60" i="28"/>
  <c r="Z60" i="28" s="1"/>
  <c r="Z58" i="28"/>
  <c r="O113" i="73"/>
  <c r="O515" i="28"/>
  <c r="O87" i="28"/>
  <c r="O514" i="28" s="1"/>
  <c r="O83" i="28"/>
  <c r="O502" i="28" s="1"/>
  <c r="O511" i="28"/>
  <c r="P506" i="28"/>
  <c r="P98" i="28"/>
  <c r="Y127" i="73"/>
  <c r="Y129" i="73"/>
  <c r="Y209" i="73"/>
  <c r="O12" i="15"/>
  <c r="O13" i="15" s="1"/>
  <c r="O14" i="15" s="1"/>
  <c r="R76" i="59"/>
  <c r="R77" i="59"/>
  <c r="O68" i="36"/>
  <c r="R78" i="59"/>
  <c r="Q88" i="73"/>
  <c r="U88" i="73" s="1"/>
  <c r="AA88" i="73"/>
  <c r="P510" i="28"/>
  <c r="P503" i="28"/>
  <c r="P502" i="28"/>
  <c r="P515" i="28"/>
  <c r="P511" i="28"/>
  <c r="O132" i="73"/>
  <c r="Y132" i="73" s="1"/>
  <c r="Q143" i="50"/>
  <c r="O5" i="73"/>
  <c r="P524" i="28"/>
  <c r="O90" i="9"/>
  <c r="R54" i="59"/>
  <c r="O13" i="49"/>
  <c r="O89" i="9"/>
  <c r="P68" i="36"/>
  <c r="P13" i="36"/>
  <c r="S39" i="59" s="1"/>
  <c r="S36" i="59"/>
  <c r="P63" i="36"/>
  <c r="P60" i="36"/>
  <c r="S53" i="59"/>
  <c r="P18" i="36"/>
  <c r="S55" i="59" s="1"/>
  <c r="R48" i="59"/>
  <c r="S43" i="59"/>
  <c r="S48" i="59"/>
  <c r="R43" i="59"/>
  <c r="O12" i="49"/>
  <c r="O14" i="49" s="1"/>
  <c r="O15" i="49" s="1"/>
  <c r="O16" i="49" s="1"/>
  <c r="O19" i="49" s="1"/>
  <c r="O20" i="49" s="1"/>
  <c r="O236" i="28"/>
  <c r="O72" i="28"/>
  <c r="O503" i="28"/>
  <c r="P69" i="36"/>
  <c r="P71" i="36" s="1"/>
  <c r="P20" i="21"/>
  <c r="O15" i="21"/>
  <c r="O18" i="35"/>
  <c r="O16" i="35"/>
  <c r="P67" i="28" l="1"/>
  <c r="P37" i="28"/>
  <c r="Z46" i="28"/>
  <c r="P442" i="28"/>
  <c r="P473" i="28" s="1"/>
  <c r="P48" i="28"/>
  <c r="O507" i="28"/>
  <c r="O510" i="28"/>
  <c r="O509" i="28"/>
  <c r="O513" i="28"/>
  <c r="O91" i="9"/>
  <c r="P19" i="36"/>
  <c r="S56" i="59" s="1"/>
  <c r="N18" i="15"/>
  <c r="N15" i="15" s="1"/>
  <c r="N16" i="15" s="1"/>
  <c r="O5" i="9"/>
  <c r="O19" i="9" s="1"/>
  <c r="O33" i="36"/>
  <c r="O64" i="36"/>
  <c r="O58" i="36"/>
  <c r="O59" i="36"/>
  <c r="O61" i="36"/>
  <c r="O63" i="36" s="1"/>
  <c r="O79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Z48" i="28" l="1"/>
  <c r="P525" i="28"/>
  <c r="P493" i="28"/>
  <c r="Z35" i="28"/>
  <c r="P35" i="36"/>
  <c r="P36" i="36" s="1"/>
  <c r="P38" i="36" s="1"/>
  <c r="P30" i="36" s="1"/>
  <c r="S79" i="59" s="1"/>
  <c r="P41" i="36"/>
  <c r="O13" i="35"/>
  <c r="O8" i="6"/>
  <c r="O60" i="36"/>
  <c r="O14" i="35"/>
  <c r="O9" i="6"/>
  <c r="O57" i="36"/>
  <c r="O56" i="36"/>
  <c r="O70" i="9"/>
  <c r="N130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P98" i="6" s="1"/>
  <c r="O48" i="35"/>
  <c r="O49" i="35" s="1"/>
  <c r="O31" i="28"/>
  <c r="O26" i="21"/>
  <c r="O28" i="21" s="1"/>
  <c r="O34" i="36"/>
  <c r="O35" i="36" s="1"/>
  <c r="O36" i="36" s="1"/>
  <c r="O38" i="36" s="1"/>
  <c r="O30" i="36" s="1"/>
  <c r="R79" i="59" s="1"/>
  <c r="P33" i="35"/>
  <c r="P41" i="35"/>
  <c r="P97" i="11"/>
  <c r="P15" i="35"/>
  <c r="S6" i="59"/>
  <c r="P13" i="49"/>
  <c r="O506" i="28"/>
  <c r="O505" i="28"/>
  <c r="O11" i="35"/>
  <c r="O10" i="6" s="1"/>
  <c r="O37" i="35"/>
  <c r="P104" i="6" l="1"/>
  <c r="P106" i="6" s="1"/>
  <c r="P143" i="6" s="1"/>
  <c r="O15" i="35"/>
  <c r="Z67" i="28"/>
  <c r="P69" i="28"/>
  <c r="P70" i="28" s="1"/>
  <c r="P518" i="28"/>
  <c r="P496" i="28"/>
  <c r="P497" i="28"/>
  <c r="Z37" i="28"/>
  <c r="P75" i="28"/>
  <c r="P76" i="28" s="1"/>
  <c r="P523" i="28" s="1"/>
  <c r="P517" i="28"/>
  <c r="P519" i="28"/>
  <c r="O55" i="35"/>
  <c r="O21" i="22"/>
  <c r="O7" i="22"/>
  <c r="O57" i="9"/>
  <c r="O60" i="9"/>
  <c r="P185" i="6"/>
  <c r="P190" i="6"/>
  <c r="P17" i="6"/>
  <c r="P15" i="6"/>
  <c r="P7" i="6"/>
  <c r="O37" i="28"/>
  <c r="O63" i="28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P144" i="6" l="1"/>
  <c r="S15" i="59" s="1"/>
  <c r="P146" i="6"/>
  <c r="P193" i="6"/>
  <c r="Z69" i="28"/>
  <c r="Z70" i="28" s="1"/>
  <c r="P522" i="28"/>
  <c r="O69" i="28"/>
  <c r="O22" i="22"/>
  <c r="O62" i="9"/>
  <c r="O8" i="22"/>
  <c r="O10" i="22" s="1"/>
  <c r="M76" i="83"/>
  <c r="M51" i="83"/>
  <c r="M45" i="83"/>
  <c r="P19" i="6"/>
  <c r="P164" i="6"/>
  <c r="P160" i="6"/>
  <c r="O493" i="28"/>
  <c r="O75" i="28"/>
  <c r="M69" i="83"/>
  <c r="P145" i="6" l="1"/>
  <c r="P7" i="36" s="1"/>
  <c r="S8" i="59" s="1"/>
  <c r="O522" i="28"/>
  <c r="P81" i="6"/>
  <c r="O11" i="22"/>
  <c r="O24" i="22"/>
  <c r="P40" i="6"/>
  <c r="P37" i="6"/>
  <c r="P38" i="6"/>
  <c r="P39" i="6"/>
  <c r="P84" i="6"/>
  <c r="O91" i="28"/>
  <c r="O76" i="28"/>
  <c r="O519" i="28"/>
  <c r="O496" i="28"/>
  <c r="L107" i="10"/>
  <c r="M31" i="83" s="1"/>
  <c r="L67" i="10"/>
  <c r="L39" i="10"/>
  <c r="M24" i="83" s="1"/>
  <c r="O523" i="28" l="1"/>
  <c r="O497" i="28"/>
  <c r="L199" i="10"/>
  <c r="O25" i="22"/>
  <c r="O13" i="22"/>
  <c r="M27" i="83"/>
  <c r="M38" i="83" s="1"/>
  <c r="M77" i="83" s="1"/>
  <c r="P41" i="6"/>
  <c r="O518" i="28"/>
  <c r="O95" i="28"/>
  <c r="O517" i="28"/>
  <c r="L103" i="9"/>
  <c r="O27" i="22" l="1"/>
  <c r="M129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U20" i="39" s="1"/>
  <c r="AA20" i="39" s="1"/>
  <c r="G209" i="73"/>
  <c r="K209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AN7" i="52"/>
  <c r="BA7" i="52"/>
  <c r="BB7" i="52"/>
  <c r="K57" i="17"/>
  <c r="K56" i="17"/>
  <c r="K55" i="17"/>
  <c r="K54" i="17"/>
  <c r="K53" i="17"/>
  <c r="J53" i="17"/>
  <c r="K49" i="17"/>
  <c r="J49" i="17"/>
  <c r="K44" i="17"/>
  <c r="J44" i="17"/>
  <c r="K37" i="17"/>
  <c r="K39" i="17" s="1"/>
  <c r="J37" i="17"/>
  <c r="J39" i="17" s="1"/>
  <c r="J31" i="17"/>
  <c r="K29" i="17"/>
  <c r="K32" i="17" s="1"/>
  <c r="J28" i="17"/>
  <c r="J25" i="17"/>
  <c r="K22" i="17"/>
  <c r="K23" i="17" s="1"/>
  <c r="J22" i="17"/>
  <c r="K19" i="17"/>
  <c r="J18" i="17"/>
  <c r="K17" i="17"/>
  <c r="J16" i="17"/>
  <c r="K14" i="17"/>
  <c r="K20" i="17" s="1"/>
  <c r="J14" i="17"/>
  <c r="K13" i="17"/>
  <c r="K11" i="17"/>
  <c r="K9" i="17"/>
  <c r="J85" i="17" l="1"/>
  <c r="K85" i="17"/>
  <c r="AE20" i="39"/>
  <c r="AI20" i="39" s="1"/>
  <c r="AO20" i="39" s="1"/>
  <c r="AS20" i="39" s="1"/>
  <c r="AW20" i="39" s="1"/>
  <c r="BE20" i="39" s="1"/>
  <c r="BF20" i="39" s="1"/>
  <c r="BC7" i="52"/>
  <c r="AA7" i="52"/>
  <c r="AE7" i="52" s="1"/>
  <c r="AI7" i="52" s="1"/>
  <c r="AO7" i="52" s="1"/>
  <c r="AS7" i="52" s="1"/>
  <c r="AW7" i="52" s="1"/>
  <c r="BE7" i="52" s="1"/>
  <c r="BD7" i="52"/>
  <c r="J20" i="17"/>
  <c r="J29" i="17"/>
  <c r="J32" i="17" s="1"/>
  <c r="K30" i="17"/>
  <c r="K21" i="17"/>
  <c r="K25" i="17" s="1"/>
  <c r="K24" i="17"/>
  <c r="K15" i="17"/>
  <c r="M124" i="73"/>
  <c r="AA124" i="73" s="1"/>
  <c r="AE124" i="73" s="1"/>
  <c r="AI124" i="73" s="1"/>
  <c r="AO124" i="73" s="1"/>
  <c r="AS124" i="73" s="1"/>
  <c r="AW124" i="73" s="1"/>
  <c r="BE124" i="73" s="1"/>
  <c r="K37" i="27"/>
  <c r="K35" i="27"/>
  <c r="K27" i="27"/>
  <c r="K29" i="27"/>
  <c r="K28" i="27"/>
  <c r="K20" i="27"/>
  <c r="K19" i="27"/>
  <c r="K18" i="27"/>
  <c r="BI20" i="39" l="1"/>
  <c r="J30" i="17"/>
  <c r="Q124" i="73"/>
  <c r="U124" i="73" s="1"/>
  <c r="J24" i="17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2" i="26"/>
  <c r="J110" i="26"/>
  <c r="J108" i="26"/>
  <c r="J106" i="26"/>
  <c r="J104" i="26"/>
  <c r="J102" i="26"/>
  <c r="J100" i="26"/>
  <c r="J98" i="26"/>
  <c r="J96" i="26"/>
  <c r="K92" i="26"/>
  <c r="J89" i="26"/>
  <c r="J87" i="26"/>
  <c r="J85" i="26"/>
  <c r="J83" i="26"/>
  <c r="K81" i="26"/>
  <c r="K80" i="26"/>
  <c r="J78" i="26"/>
  <c r="J76" i="26"/>
  <c r="K73" i="26"/>
  <c r="J71" i="26"/>
  <c r="J69" i="26"/>
  <c r="J67" i="26"/>
  <c r="J65" i="26"/>
  <c r="J63" i="26"/>
  <c r="J61" i="26"/>
  <c r="J59" i="26"/>
  <c r="J57" i="26"/>
  <c r="J52" i="26"/>
  <c r="J50" i="26"/>
  <c r="K48" i="26"/>
  <c r="J46" i="26"/>
  <c r="K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J11" i="26"/>
  <c r="J9" i="26"/>
  <c r="AC61" i="50"/>
  <c r="AG61" i="50" s="1"/>
  <c r="AK61" i="50" s="1"/>
  <c r="AQ61" i="50" s="1"/>
  <c r="AU61" i="50" s="1"/>
  <c r="AY61" i="50" s="1"/>
  <c r="BG61" i="50" s="1"/>
  <c r="BH61" i="50" s="1"/>
  <c r="K34" i="72"/>
  <c r="Y34" i="72" s="1"/>
  <c r="AC34" i="72" s="1"/>
  <c r="AG34" i="72" s="1"/>
  <c r="AM34" i="72" s="1"/>
  <c r="AQ34" i="72" s="1"/>
  <c r="AU34" i="72" s="1"/>
  <c r="BC34" i="72" s="1"/>
  <c r="K29" i="72"/>
  <c r="Y29" i="72" s="1"/>
  <c r="AC29" i="72" s="1"/>
  <c r="AG29" i="72" s="1"/>
  <c r="AM29" i="72" s="1"/>
  <c r="AQ29" i="72" s="1"/>
  <c r="AU29" i="72" s="1"/>
  <c r="BC29" i="72" s="1"/>
  <c r="K30" i="72"/>
  <c r="Y30" i="72" s="1"/>
  <c r="AC30" i="72" s="1"/>
  <c r="AG30" i="72" s="1"/>
  <c r="AM30" i="72" s="1"/>
  <c r="AQ30" i="72" s="1"/>
  <c r="AU30" i="72" s="1"/>
  <c r="BC30" i="72" s="1"/>
  <c r="K35" i="72"/>
  <c r="Y35" i="72" s="1"/>
  <c r="AC35" i="72" s="1"/>
  <c r="AG35" i="72" s="1"/>
  <c r="AM35" i="72" s="1"/>
  <c r="J48" i="26" l="1"/>
  <c r="J54" i="17"/>
  <c r="J57" i="17"/>
  <c r="K55" i="26"/>
  <c r="J55" i="17"/>
  <c r="J56" i="17"/>
  <c r="K19" i="26"/>
  <c r="J12" i="26"/>
  <c r="J81" i="26"/>
  <c r="J112" i="26"/>
  <c r="J80" i="26"/>
  <c r="J92" i="26"/>
  <c r="J73" i="26"/>
  <c r="J43" i="26"/>
  <c r="J55" i="26"/>
  <c r="J49" i="26"/>
  <c r="J54" i="26"/>
  <c r="K18" i="26"/>
  <c r="K54" i="26"/>
  <c r="K13" i="26"/>
  <c r="K49" i="26"/>
  <c r="AU54" i="71"/>
  <c r="AW54" i="71"/>
  <c r="BA54" i="71"/>
  <c r="CQ54" i="71"/>
  <c r="CS54" i="71" s="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50" i="71"/>
  <c r="K83" i="90" s="1"/>
  <c r="BA51" i="71"/>
  <c r="K84" i="90" s="1"/>
  <c r="BA52" i="71"/>
  <c r="BA53" i="71"/>
  <c r="BA55" i="71"/>
  <c r="K85" i="90" s="1"/>
  <c r="J13" i="26" l="1"/>
  <c r="AY54" i="71"/>
  <c r="CU54" i="71"/>
  <c r="AY48" i="71"/>
  <c r="CU48" i="71"/>
  <c r="E81" i="90"/>
  <c r="J19" i="26"/>
  <c r="J18" i="26"/>
  <c r="BC54" i="71"/>
  <c r="BC48" i="71"/>
  <c r="AI81" i="90" l="1"/>
  <c r="BE81" i="90"/>
  <c r="BQ48" i="71"/>
  <c r="BU48" i="71" s="1"/>
  <c r="BY48" i="71" s="1"/>
  <c r="CE48" i="71" s="1"/>
  <c r="CI48" i="71" s="1"/>
  <c r="CM48" i="71" s="1"/>
  <c r="BG48" i="71"/>
  <c r="BK48" i="71" s="1"/>
  <c r="BQ54" i="71"/>
  <c r="BU54" i="71" s="1"/>
  <c r="BG54" i="71"/>
  <c r="BK54" i="71" s="1"/>
  <c r="L28" i="22"/>
  <c r="L24" i="22"/>
  <c r="L23" i="22"/>
  <c r="L14" i="22"/>
  <c r="L10" i="22"/>
  <c r="L9" i="22"/>
  <c r="K18" i="15"/>
  <c r="M34" i="15"/>
  <c r="Q34" i="15" s="1"/>
  <c r="U34" i="15" s="1"/>
  <c r="Y34" i="15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AA34" i="15" l="1"/>
  <c r="AE34" i="15" s="1"/>
  <c r="AI34" i="15" s="1"/>
  <c r="AO34" i="15" s="1"/>
  <c r="AS34" i="15" s="1"/>
  <c r="AW34" i="15" s="1"/>
  <c r="BE34" i="15" s="1"/>
  <c r="L12" i="22"/>
  <c r="L26" i="22"/>
  <c r="BY54" i="71"/>
  <c r="BC34" i="15"/>
  <c r="K32" i="15"/>
  <c r="K36" i="15" s="1"/>
  <c r="CE54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4" i="71" l="1"/>
  <c r="CM54" i="71" s="1"/>
  <c r="P42" i="35"/>
  <c r="P94" i="38"/>
  <c r="P93" i="38"/>
  <c r="P92" i="38"/>
  <c r="P91" i="38"/>
  <c r="O90" i="38"/>
  <c r="P89" i="38"/>
  <c r="O88" i="38"/>
  <c r="P86" i="38"/>
  <c r="P85" i="38"/>
  <c r="P84" i="38"/>
  <c r="P83" i="38"/>
  <c r="O82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O66" i="38"/>
  <c r="P62" i="38"/>
  <c r="P61" i="38"/>
  <c r="O60" i="38"/>
  <c r="P59" i="38"/>
  <c r="P58" i="38"/>
  <c r="P57" i="38"/>
  <c r="P56" i="38"/>
  <c r="P55" i="38"/>
  <c r="O54" i="38"/>
  <c r="O52" i="38"/>
  <c r="P51" i="38"/>
  <c r="O51" i="38"/>
  <c r="O46" i="38"/>
  <c r="O45" i="38"/>
  <c r="O44" i="38"/>
  <c r="O43" i="38"/>
  <c r="P42" i="38"/>
  <c r="O41" i="38"/>
  <c r="O40" i="38" s="1"/>
  <c r="P40" i="38"/>
  <c r="O38" i="38"/>
  <c r="O37" i="38"/>
  <c r="O36" i="38"/>
  <c r="O35" i="38"/>
  <c r="P34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P18" i="38"/>
  <c r="O14" i="38"/>
  <c r="O13" i="38"/>
  <c r="P12" i="38"/>
  <c r="O11" i="38"/>
  <c r="O10" i="38"/>
  <c r="O9" i="38"/>
  <c r="O8" i="38"/>
  <c r="O7" i="38"/>
  <c r="P6" i="38"/>
  <c r="K117" i="45"/>
  <c r="O117" i="45"/>
  <c r="K76" i="45"/>
  <c r="K77" i="45"/>
  <c r="K78" i="45"/>
  <c r="O76" i="45"/>
  <c r="O77" i="45"/>
  <c r="AC77" i="45" s="1"/>
  <c r="AG77" i="45" s="1"/>
  <c r="AK77" i="45" s="1"/>
  <c r="AQ77" i="45" s="1"/>
  <c r="AU77" i="45" s="1"/>
  <c r="AY77" i="45" s="1"/>
  <c r="BG77" i="45" s="1"/>
  <c r="BI77" i="45" s="1"/>
  <c r="O78" i="45"/>
  <c r="AC78" i="45" s="1"/>
  <c r="AG78" i="45" s="1"/>
  <c r="AK78" i="45" s="1"/>
  <c r="AQ78" i="45" s="1"/>
  <c r="AU78" i="45" s="1"/>
  <c r="AY78" i="45" s="1"/>
  <c r="BG78" i="45" s="1"/>
  <c r="BI78" i="45" s="1"/>
  <c r="O63" i="45"/>
  <c r="AC63" i="45" s="1"/>
  <c r="AG63" i="45" s="1"/>
  <c r="AK63" i="45" s="1"/>
  <c r="AQ63" i="45" s="1"/>
  <c r="AU63" i="45" s="1"/>
  <c r="AY63" i="45" s="1"/>
  <c r="BG63" i="45" s="1"/>
  <c r="BI63" i="45" s="1"/>
  <c r="P90" i="38" l="1"/>
  <c r="P88" i="38"/>
  <c r="P82" i="38"/>
  <c r="P60" i="38"/>
  <c r="O176" i="45"/>
  <c r="N47" i="35" s="1"/>
  <c r="K176" i="45"/>
  <c r="J47" i="35" s="1"/>
  <c r="P15" i="38"/>
  <c r="O87" i="38"/>
  <c r="O64" i="38" s="1"/>
  <c r="S117" i="45"/>
  <c r="W117" i="45" s="1"/>
  <c r="AC117" i="45"/>
  <c r="AG117" i="45" s="1"/>
  <c r="AK117" i="45" s="1"/>
  <c r="AQ117" i="45" s="1"/>
  <c r="AU117" i="45" s="1"/>
  <c r="AY117" i="45" s="1"/>
  <c r="BG117" i="45" s="1"/>
  <c r="BI117" i="45" s="1"/>
  <c r="AC76" i="45"/>
  <c r="S78" i="45"/>
  <c r="W78" i="45" s="1"/>
  <c r="S77" i="45"/>
  <c r="W77" i="45" s="1"/>
  <c r="S63" i="45"/>
  <c r="W63" i="45" s="1"/>
  <c r="S76" i="45"/>
  <c r="O42" i="38"/>
  <c r="O39" i="38" s="1"/>
  <c r="O65" i="38"/>
  <c r="O63" i="38"/>
  <c r="P17" i="38"/>
  <c r="O34" i="38"/>
  <c r="O18" i="38"/>
  <c r="O12" i="38"/>
  <c r="O6" i="38"/>
  <c r="P66" i="38"/>
  <c r="P54" i="38"/>
  <c r="P39" i="38"/>
  <c r="O96" i="38" l="1"/>
  <c r="P65" i="38"/>
  <c r="P63" i="38"/>
  <c r="S176" i="45"/>
  <c r="O17" i="38"/>
  <c r="AG76" i="45"/>
  <c r="AK76" i="45" s="1"/>
  <c r="AC176" i="45"/>
  <c r="R47" i="35"/>
  <c r="V47" i="35" s="1"/>
  <c r="AB47" i="35"/>
  <c r="AF47" i="35" s="1"/>
  <c r="AJ47" i="35" s="1"/>
  <c r="AP47" i="35" s="1"/>
  <c r="AT47" i="35" s="1"/>
  <c r="AX47" i="35" s="1"/>
  <c r="BF47" i="35" s="1"/>
  <c r="W76" i="45"/>
  <c r="W176" i="45" s="1"/>
  <c r="O16" i="38"/>
  <c r="O15" i="38"/>
  <c r="P87" i="38"/>
  <c r="P16" i="38"/>
  <c r="O48" i="38" l="1"/>
  <c r="AQ76" i="45"/>
  <c r="AU76" i="45" s="1"/>
  <c r="AY76" i="45" s="1"/>
  <c r="BG76" i="45" s="1"/>
  <c r="BI76" i="45" s="1"/>
  <c r="AG176" i="45"/>
  <c r="AK176" i="45"/>
  <c r="P64" i="38"/>
  <c r="P96" i="38" s="1"/>
  <c r="P48" i="38"/>
  <c r="AY176" i="45" l="1"/>
  <c r="BG176" i="45"/>
  <c r="AU176" i="45"/>
  <c r="AQ176" i="45"/>
  <c r="O50" i="45"/>
  <c r="K50" i="45"/>
  <c r="S50" i="45" l="1"/>
  <c r="W50" i="45" s="1"/>
  <c r="AC50" i="45"/>
  <c r="AG50" i="45" s="1"/>
  <c r="AK50" i="45" s="1"/>
  <c r="AQ50" i="45" s="1"/>
  <c r="AU50" i="45" s="1"/>
  <c r="AY50" i="45" s="1"/>
  <c r="BG50" i="45" s="1"/>
  <c r="BI50" i="45" s="1"/>
  <c r="BA49" i="83"/>
  <c r="AS49" i="83"/>
  <c r="AM49" i="83"/>
  <c r="AE49" i="83"/>
  <c r="Y49" i="83"/>
  <c r="U49" i="83"/>
  <c r="I49" i="83"/>
  <c r="G49" i="83"/>
  <c r="BA52" i="50"/>
  <c r="AW52" i="50"/>
  <c r="AS52" i="50"/>
  <c r="AM52" i="50"/>
  <c r="AI52" i="50"/>
  <c r="AE52" i="50"/>
  <c r="Y52" i="50"/>
  <c r="Q52" i="50"/>
  <c r="M52" i="50"/>
  <c r="I52" i="50"/>
  <c r="G52" i="50"/>
  <c r="O30" i="45"/>
  <c r="AC30" i="45" s="1"/>
  <c r="AG30" i="45" s="1"/>
  <c r="AK30" i="45" s="1"/>
  <c r="AQ30" i="45" s="1"/>
  <c r="AU30" i="45" s="1"/>
  <c r="AY30" i="45" s="1"/>
  <c r="BG30" i="45" s="1"/>
  <c r="BI30" i="45" s="1"/>
  <c r="K30" i="45"/>
  <c r="O29" i="45"/>
  <c r="AC29" i="45" s="1"/>
  <c r="AG29" i="45" s="1"/>
  <c r="AK29" i="45" s="1"/>
  <c r="AQ29" i="45" s="1"/>
  <c r="AU29" i="45" s="1"/>
  <c r="AY29" i="45" s="1"/>
  <c r="BG29" i="45" s="1"/>
  <c r="BI29" i="45" s="1"/>
  <c r="K29" i="45"/>
  <c r="N53" i="11"/>
  <c r="N123" i="10"/>
  <c r="N124" i="10"/>
  <c r="N126" i="10"/>
  <c r="J126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8" i="10"/>
  <c r="N109" i="10"/>
  <c r="N110" i="10"/>
  <c r="N111" i="10"/>
  <c r="N112" i="10"/>
  <c r="N115" i="10"/>
  <c r="N116" i="10"/>
  <c r="N117" i="10"/>
  <c r="N119" i="10"/>
  <c r="N121" i="10"/>
  <c r="N122" i="10"/>
  <c r="N125" i="10"/>
  <c r="N127" i="10"/>
  <c r="N128" i="10"/>
  <c r="R128" i="10" s="1"/>
  <c r="V128" i="10" s="1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R152" i="10" s="1"/>
  <c r="V152" i="10" s="1"/>
  <c r="N153" i="10"/>
  <c r="N154" i="10"/>
  <c r="N155" i="10"/>
  <c r="N156" i="10"/>
  <c r="R156" i="10" s="1"/>
  <c r="N157" i="10"/>
  <c r="R157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6" i="10"/>
  <c r="V146" i="10" s="1"/>
  <c r="AB146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4" i="10"/>
  <c r="V144" i="10" s="1"/>
  <c r="AB144" i="10"/>
  <c r="R143" i="10"/>
  <c r="V143" i="10" s="1"/>
  <c r="AB143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2" i="10"/>
  <c r="V112" i="10" s="1"/>
  <c r="AB112" i="10"/>
  <c r="AF112" i="10" s="1"/>
  <c r="AJ112" i="10" s="1"/>
  <c r="AP112" i="10" s="1"/>
  <c r="AT112" i="10" s="1"/>
  <c r="AX112" i="10" s="1"/>
  <c r="R130" i="10"/>
  <c r="V130" i="10" s="1"/>
  <c r="AB130" i="10"/>
  <c r="R111" i="10"/>
  <c r="V111" i="10" s="1"/>
  <c r="AB111" i="10"/>
  <c r="AF111" i="10" s="1"/>
  <c r="AJ111" i="10" s="1"/>
  <c r="AP111" i="10" s="1"/>
  <c r="AT111" i="10" s="1"/>
  <c r="AX111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9" i="10"/>
  <c r="V129" i="10" s="1"/>
  <c r="AB129" i="10"/>
  <c r="R50" i="10"/>
  <c r="V50" i="10" s="1"/>
  <c r="AB50" i="10"/>
  <c r="AF50" i="10" s="1"/>
  <c r="AJ50" i="10" s="1"/>
  <c r="AP50" i="10" s="1"/>
  <c r="AT50" i="10" s="1"/>
  <c r="AX50" i="10" s="1"/>
  <c r="R126" i="10"/>
  <c r="V126" i="10" s="1"/>
  <c r="AB126" i="10"/>
  <c r="AF126" i="10" s="1"/>
  <c r="AJ126" i="10" s="1"/>
  <c r="AP126" i="10" s="1"/>
  <c r="AT126" i="10" s="1"/>
  <c r="AX126" i="10" s="1"/>
  <c r="R116" i="10"/>
  <c r="V116" i="10" s="1"/>
  <c r="AB116" i="10"/>
  <c r="AF116" i="10" s="1"/>
  <c r="AJ116" i="10" s="1"/>
  <c r="AP116" i="10" s="1"/>
  <c r="AT116" i="10" s="1"/>
  <c r="AX116" i="10" s="1"/>
  <c r="R98" i="10"/>
  <c r="V98" i="10" s="1"/>
  <c r="AB98" i="10"/>
  <c r="AF98" i="10" s="1"/>
  <c r="AJ98" i="10" s="1"/>
  <c r="AP98" i="10" s="1"/>
  <c r="AT98" i="10" s="1"/>
  <c r="AX98" i="10" s="1"/>
  <c r="R134" i="10"/>
  <c r="V134" i="10" s="1"/>
  <c r="AB134" i="10"/>
  <c r="R132" i="10"/>
  <c r="V132" i="10" s="1"/>
  <c r="AB132" i="10"/>
  <c r="R131" i="10"/>
  <c r="V131" i="10" s="1"/>
  <c r="AB131" i="10"/>
  <c r="R100" i="10"/>
  <c r="V100" i="10" s="1"/>
  <c r="AB100" i="10"/>
  <c r="AF100" i="10" s="1"/>
  <c r="AJ100" i="10" s="1"/>
  <c r="AP100" i="10" s="1"/>
  <c r="AT100" i="10" s="1"/>
  <c r="AX100" i="10" s="1"/>
  <c r="R133" i="10"/>
  <c r="V133" i="10" s="1"/>
  <c r="AB133" i="10"/>
  <c r="R82" i="10"/>
  <c r="V82" i="10" s="1"/>
  <c r="AB82" i="10"/>
  <c r="AF82" i="10" s="1"/>
  <c r="AJ82" i="10" s="1"/>
  <c r="AP82" i="10" s="1"/>
  <c r="AT82" i="10" s="1"/>
  <c r="AX82" i="10" s="1"/>
  <c r="R155" i="10"/>
  <c r="V155" i="10" s="1"/>
  <c r="R153" i="10"/>
  <c r="V153" i="10" s="1"/>
  <c r="R71" i="10"/>
  <c r="V71" i="10" s="1"/>
  <c r="AB71" i="10"/>
  <c r="AF71" i="10" s="1"/>
  <c r="R145" i="10"/>
  <c r="V145" i="10" s="1"/>
  <c r="AB145" i="10"/>
  <c r="R115" i="10"/>
  <c r="V115" i="10" s="1"/>
  <c r="AB115" i="10"/>
  <c r="AF115" i="10" s="1"/>
  <c r="AJ115" i="10" s="1"/>
  <c r="AP115" i="10" s="1"/>
  <c r="AT115" i="10" s="1"/>
  <c r="AX115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7" i="10"/>
  <c r="V117" i="10" s="1"/>
  <c r="AB117" i="10"/>
  <c r="AF117" i="10" s="1"/>
  <c r="AJ117" i="10" s="1"/>
  <c r="AP117" i="10" s="1"/>
  <c r="AT117" i="10" s="1"/>
  <c r="AX117" i="10" s="1"/>
  <c r="R9" i="10"/>
  <c r="V9" i="10" s="1"/>
  <c r="AB9" i="10"/>
  <c r="AF9" i="10" s="1"/>
  <c r="AJ9" i="10" s="1"/>
  <c r="AP9" i="10" s="1"/>
  <c r="AT9" i="10" s="1"/>
  <c r="AX9" i="10" s="1"/>
  <c r="R142" i="10"/>
  <c r="V142" i="10" s="1"/>
  <c r="R110" i="10"/>
  <c r="V110" i="10" s="1"/>
  <c r="AB110" i="10"/>
  <c r="AF110" i="10" s="1"/>
  <c r="AJ110" i="10" s="1"/>
  <c r="AP110" i="10" s="1"/>
  <c r="AT110" i="10" s="1"/>
  <c r="AX110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7" i="10"/>
  <c r="V127" i="10" s="1"/>
  <c r="AB127" i="10"/>
  <c r="AF127" i="10" s="1"/>
  <c r="AJ127" i="10" s="1"/>
  <c r="AP127" i="10" s="1"/>
  <c r="AT127" i="10" s="1"/>
  <c r="AX127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7" i="10"/>
  <c r="V137" i="10" s="1"/>
  <c r="AB137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8" i="10"/>
  <c r="V148" i="10" s="1"/>
  <c r="AB148" i="10"/>
  <c r="R136" i="10"/>
  <c r="V136" i="10" s="1"/>
  <c r="AB136" i="10"/>
  <c r="R121" i="10"/>
  <c r="V121" i="10" s="1"/>
  <c r="AB121" i="10"/>
  <c r="AF121" i="10" s="1"/>
  <c r="AJ121" i="10" s="1"/>
  <c r="AP121" i="10" s="1"/>
  <c r="AT121" i="10" s="1"/>
  <c r="AX121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4" i="10"/>
  <c r="V154" i="10" s="1"/>
  <c r="R141" i="10"/>
  <c r="V141" i="10" s="1"/>
  <c r="AB141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40" i="10"/>
  <c r="V140" i="10" s="1"/>
  <c r="AB140" i="10"/>
  <c r="R109" i="10"/>
  <c r="V109" i="10" s="1"/>
  <c r="AB109" i="10"/>
  <c r="AF109" i="10" s="1"/>
  <c r="AJ109" i="10" s="1"/>
  <c r="AP109" i="10" s="1"/>
  <c r="AT109" i="10" s="1"/>
  <c r="AX109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4" i="10"/>
  <c r="V124" i="10" s="1"/>
  <c r="AB124" i="10"/>
  <c r="AF124" i="10" s="1"/>
  <c r="AJ124" i="10" s="1"/>
  <c r="AP124" i="10" s="1"/>
  <c r="AT124" i="10" s="1"/>
  <c r="AX124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50" i="10"/>
  <c r="V150" i="10" s="1"/>
  <c r="AB150" i="10"/>
  <c r="R125" i="10"/>
  <c r="V125" i="10" s="1"/>
  <c r="AB125" i="10"/>
  <c r="AF125" i="10" s="1"/>
  <c r="AJ125" i="10" s="1"/>
  <c r="AP125" i="10" s="1"/>
  <c r="AT125" i="10" s="1"/>
  <c r="AX125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9" i="10"/>
  <c r="V149" i="10" s="1"/>
  <c r="AB149" i="10"/>
  <c r="R122" i="10"/>
  <c r="V122" i="10" s="1"/>
  <c r="AB122" i="10"/>
  <c r="AF122" i="10" s="1"/>
  <c r="AJ122" i="10" s="1"/>
  <c r="AP122" i="10" s="1"/>
  <c r="AT122" i="10" s="1"/>
  <c r="AX122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7" i="10"/>
  <c r="V147" i="10" s="1"/>
  <c r="AB147" i="10"/>
  <c r="R135" i="10"/>
  <c r="V135" i="10" s="1"/>
  <c r="AB135" i="10"/>
  <c r="R119" i="10"/>
  <c r="V119" i="10" s="1"/>
  <c r="AB119" i="10"/>
  <c r="AF119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1" i="10"/>
  <c r="V151" i="10" s="1"/>
  <c r="AB151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BF53" i="11" s="1"/>
  <c r="S29" i="45"/>
  <c r="W29" i="45" s="1"/>
  <c r="S30" i="45"/>
  <c r="W30" i="45" s="1"/>
  <c r="BC49" i="83"/>
  <c r="AA52" i="50"/>
  <c r="K49" i="83"/>
  <c r="AO49" i="83"/>
  <c r="AA49" i="83"/>
  <c r="O49" i="83"/>
  <c r="K52" i="50"/>
  <c r="AO52" i="50"/>
  <c r="BC52" i="50"/>
  <c r="O52" i="50"/>
  <c r="BF123" i="10" l="1"/>
  <c r="BI123" i="10" s="1"/>
  <c r="BF124" i="10"/>
  <c r="BI124" i="10" s="1"/>
  <c r="BF126" i="10"/>
  <c r="BI126" i="10" s="1"/>
  <c r="AF88" i="10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BH52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7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60" i="10"/>
  <c r="K159" i="10"/>
  <c r="L159" i="10"/>
  <c r="L158" i="10"/>
  <c r="L210" i="10" s="1"/>
  <c r="L196" i="10" l="1"/>
  <c r="L61" i="11"/>
  <c r="L79" i="11"/>
  <c r="K67" i="11"/>
  <c r="L84" i="11"/>
  <c r="L85" i="11"/>
  <c r="L67" i="11"/>
  <c r="L92" i="11"/>
  <c r="L192" i="10"/>
  <c r="K158" i="10"/>
  <c r="K210" i="10" s="1"/>
  <c r="K203" i="10"/>
  <c r="L200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L19" i="9"/>
  <c r="L10" i="9"/>
  <c r="L5" i="9"/>
  <c r="K25" i="9" l="1"/>
  <c r="K88" i="9" s="1"/>
  <c r="L193" i="10"/>
  <c r="L94" i="11"/>
  <c r="L62" i="9"/>
  <c r="L96" i="9"/>
  <c r="K130" i="26"/>
  <c r="L33" i="22"/>
  <c r="L37" i="9"/>
  <c r="L49" i="9"/>
  <c r="L87" i="9" s="1"/>
  <c r="L14" i="9"/>
  <c r="L100" i="9"/>
  <c r="L89" i="9"/>
  <c r="L94" i="9"/>
  <c r="K19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L68" i="8"/>
  <c r="L66" i="8"/>
  <c r="L64" i="8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6" i="8"/>
  <c r="L67" i="8" l="1"/>
  <c r="L65" i="8"/>
  <c r="L16" i="8"/>
  <c r="L69" i="8"/>
  <c r="L74" i="8" s="1"/>
  <c r="L85" i="8"/>
  <c r="K42" i="8"/>
  <c r="L86" i="9"/>
  <c r="L53" i="9"/>
  <c r="L91" i="9"/>
  <c r="L81" i="8"/>
  <c r="L91" i="8"/>
  <c r="L39" i="8"/>
  <c r="L45" i="8"/>
  <c r="L75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3" i="8" s="1"/>
  <c r="L122" i="8" s="1"/>
  <c r="L63" i="8"/>
  <c r="L72" i="8"/>
  <c r="L34" i="8"/>
  <c r="L37" i="8"/>
  <c r="L41" i="8"/>
  <c r="L44" i="8"/>
  <c r="L136" i="8" s="1"/>
  <c r="L47" i="8"/>
  <c r="L62" i="8"/>
  <c r="L40" i="8"/>
  <c r="L43" i="8"/>
  <c r="L135" i="8" s="1"/>
  <c r="L46" i="8"/>
  <c r="L137" i="8" s="1"/>
  <c r="L50" i="8"/>
  <c r="L51" i="8" s="1"/>
  <c r="L36" i="8" l="1"/>
  <c r="L73" i="8"/>
  <c r="L138" i="8"/>
  <c r="L77" i="8"/>
  <c r="K6" i="26"/>
  <c r="L77" i="9"/>
  <c r="L74" i="9"/>
  <c r="L52" i="8"/>
  <c r="L120" i="8" s="1"/>
  <c r="L42" i="8"/>
  <c r="L35" i="8"/>
  <c r="L70" i="8"/>
  <c r="L71" i="8"/>
  <c r="L121" i="8" l="1"/>
  <c r="L125" i="8" s="1"/>
  <c r="L126" i="8" s="1"/>
  <c r="L123" i="8"/>
  <c r="L79" i="9"/>
  <c r="M18" i="7"/>
  <c r="N18" i="7"/>
  <c r="M19" i="7"/>
  <c r="Q19" i="7" s="1"/>
  <c r="N19" i="7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5" i="7"/>
  <c r="K75" i="7"/>
  <c r="L71" i="7"/>
  <c r="L73" i="7" s="1"/>
  <c r="K71" i="7"/>
  <c r="K73" i="7" s="1"/>
  <c r="L67" i="7"/>
  <c r="K67" i="7"/>
  <c r="L21" i="7"/>
  <c r="L41" i="7" s="1"/>
  <c r="L51" i="7" s="1"/>
  <c r="K21" i="7"/>
  <c r="K41" i="7" s="1"/>
  <c r="K51" i="7" s="1"/>
  <c r="R19" i="7" l="1"/>
  <c r="L129" i="8"/>
  <c r="L130" i="8"/>
  <c r="L143" i="8" s="1"/>
  <c r="L131" i="8"/>
  <c r="L144" i="8" s="1"/>
  <c r="AB18" i="7"/>
  <c r="R18" i="7"/>
  <c r="AA18" i="7"/>
  <c r="Q18" i="7"/>
  <c r="U18" i="7" s="1"/>
  <c r="L83" i="7"/>
  <c r="K83" i="7"/>
  <c r="L81" i="7"/>
  <c r="L69" i="7"/>
  <c r="L78" i="7"/>
  <c r="K81" i="7"/>
  <c r="K76" i="7"/>
  <c r="K68" i="7"/>
  <c r="K78" i="7"/>
  <c r="L76" i="7"/>
  <c r="K61" i="39"/>
  <c r="L43" i="22" s="1"/>
  <c r="K60" i="39"/>
  <c r="L42" i="22" s="1"/>
  <c r="K49" i="39"/>
  <c r="K48" i="39"/>
  <c r="K47" i="39"/>
  <c r="K46" i="39"/>
  <c r="K43" i="39"/>
  <c r="K42" i="39"/>
  <c r="K8" i="39"/>
  <c r="K194" i="6"/>
  <c r="E194" i="6"/>
  <c r="G194" i="6"/>
  <c r="Y127" i="6"/>
  <c r="Z127" i="6"/>
  <c r="Z129" i="6"/>
  <c r="AM129" i="6"/>
  <c r="M111" i="6"/>
  <c r="Q111" i="6" s="1"/>
  <c r="U111" i="6" s="1"/>
  <c r="N111" i="6"/>
  <c r="R111" i="6" s="1"/>
  <c r="V111" i="6" s="1"/>
  <c r="Y111" i="6"/>
  <c r="Z111" i="6"/>
  <c r="AM111" i="6"/>
  <c r="AN111" i="6"/>
  <c r="BA111" i="6"/>
  <c r="BB111" i="6"/>
  <c r="M94" i="6"/>
  <c r="Q94" i="6" s="1"/>
  <c r="U94" i="6" s="1"/>
  <c r="N94" i="6"/>
  <c r="Y94" i="6"/>
  <c r="Z94" i="6"/>
  <c r="AM94" i="6"/>
  <c r="AN94" i="6"/>
  <c r="BA94" i="6"/>
  <c r="BB94" i="6"/>
  <c r="L218" i="6"/>
  <c r="K218" i="6"/>
  <c r="L217" i="6"/>
  <c r="K217" i="6"/>
  <c r="K195" i="6"/>
  <c r="L194" i="6"/>
  <c r="K193" i="6"/>
  <c r="L189" i="6"/>
  <c r="K189" i="6"/>
  <c r="L188" i="6"/>
  <c r="K188" i="6"/>
  <c r="L187" i="6"/>
  <c r="K187" i="6"/>
  <c r="K186" i="6"/>
  <c r="K185" i="6"/>
  <c r="K182" i="6"/>
  <c r="K181" i="6"/>
  <c r="K180" i="6"/>
  <c r="K179" i="6"/>
  <c r="K178" i="6"/>
  <c r="K177" i="6"/>
  <c r="K175" i="6"/>
  <c r="K174" i="6"/>
  <c r="K173" i="6"/>
  <c r="L163" i="6"/>
  <c r="K163" i="6"/>
  <c r="L162" i="6"/>
  <c r="K162" i="6"/>
  <c r="K161" i="6"/>
  <c r="K160" i="6"/>
  <c r="K157" i="6"/>
  <c r="K156" i="6"/>
  <c r="K155" i="6"/>
  <c r="K154" i="6"/>
  <c r="K153" i="6"/>
  <c r="K152" i="6"/>
  <c r="K150" i="6"/>
  <c r="K149" i="6"/>
  <c r="K148" i="6"/>
  <c r="L138" i="6"/>
  <c r="L135" i="6"/>
  <c r="K135" i="6"/>
  <c r="L134" i="6"/>
  <c r="K134" i="6"/>
  <c r="L133" i="6"/>
  <c r="K133" i="6"/>
  <c r="L132" i="6"/>
  <c r="K132" i="6"/>
  <c r="L130" i="6"/>
  <c r="K130" i="6"/>
  <c r="L129" i="6"/>
  <c r="K129" i="6"/>
  <c r="L127" i="6"/>
  <c r="K127" i="6"/>
  <c r="L126" i="6"/>
  <c r="K126" i="6"/>
  <c r="L125" i="6"/>
  <c r="K125" i="6"/>
  <c r="L124" i="6"/>
  <c r="K124" i="6"/>
  <c r="L119" i="6"/>
  <c r="K119" i="6"/>
  <c r="L114" i="6"/>
  <c r="K114" i="6"/>
  <c r="L103" i="6"/>
  <c r="K103" i="6"/>
  <c r="K98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8" i="35"/>
  <c r="K17" i="35"/>
  <c r="K6" i="8" s="1"/>
  <c r="K16" i="35"/>
  <c r="AF18" i="7" l="1"/>
  <c r="V18" i="7"/>
  <c r="K22" i="39"/>
  <c r="K16" i="8"/>
  <c r="K34" i="39"/>
  <c r="AB111" i="6"/>
  <c r="AF111" i="6" s="1"/>
  <c r="AJ111" i="6" s="1"/>
  <c r="AP111" i="6" s="1"/>
  <c r="AT111" i="6" s="1"/>
  <c r="AX111" i="6" s="1"/>
  <c r="K31" i="6"/>
  <c r="K30" i="6"/>
  <c r="L132" i="8"/>
  <c r="L145" i="8" s="1"/>
  <c r="L142" i="8"/>
  <c r="K104" i="6"/>
  <c r="BA127" i="6"/>
  <c r="BB127" i="6"/>
  <c r="BA129" i="6"/>
  <c r="BC129" i="6" s="1"/>
  <c r="BJ129" i="6" s="1"/>
  <c r="BD111" i="6"/>
  <c r="BK111" i="6" s="1"/>
  <c r="BC111" i="6"/>
  <c r="BJ111" i="6" s="1"/>
  <c r="J18" i="15"/>
  <c r="J15" i="15" s="1"/>
  <c r="J16" i="15" s="1"/>
  <c r="K5" i="9"/>
  <c r="AE18" i="7"/>
  <c r="AI18" i="7" s="1"/>
  <c r="AO18" i="7" s="1"/>
  <c r="AS18" i="7" s="1"/>
  <c r="K84" i="8"/>
  <c r="K27" i="8"/>
  <c r="K24" i="8"/>
  <c r="K30" i="8"/>
  <c r="K29" i="8"/>
  <c r="K23" i="8"/>
  <c r="K31" i="8"/>
  <c r="K91" i="8"/>
  <c r="K50" i="8"/>
  <c r="K51" i="8" s="1"/>
  <c r="K28" i="8"/>
  <c r="K25" i="8"/>
  <c r="AB94" i="6"/>
  <c r="AF94" i="6" s="1"/>
  <c r="AJ94" i="6" s="1"/>
  <c r="AP94" i="6" s="1"/>
  <c r="AT94" i="6" s="1"/>
  <c r="AX94" i="6" s="1"/>
  <c r="BD94" i="6"/>
  <c r="BK94" i="6" s="1"/>
  <c r="AM127" i="6"/>
  <c r="BC94" i="6"/>
  <c r="BJ94" i="6" s="1"/>
  <c r="AA111" i="6"/>
  <c r="AE111" i="6" s="1"/>
  <c r="AI111" i="6" s="1"/>
  <c r="AO111" i="6" s="1"/>
  <c r="AS111" i="6" s="1"/>
  <c r="AW111" i="6" s="1"/>
  <c r="BB129" i="6"/>
  <c r="Y129" i="6"/>
  <c r="AA94" i="6"/>
  <c r="AE94" i="6" s="1"/>
  <c r="AI94" i="6" s="1"/>
  <c r="AO94" i="6" s="1"/>
  <c r="AS94" i="6" s="1"/>
  <c r="AW94" i="6" s="1"/>
  <c r="AN129" i="6"/>
  <c r="AN127" i="6"/>
  <c r="K45" i="39"/>
  <c r="R94" i="6"/>
  <c r="V94" i="6" s="1"/>
  <c r="K23" i="39"/>
  <c r="K38" i="7"/>
  <c r="K53" i="7" s="1"/>
  <c r="K50" i="39"/>
  <c r="L38" i="7"/>
  <c r="L53" i="7" s="1"/>
  <c r="L120" i="6"/>
  <c r="L57" i="6"/>
  <c r="L35" i="6"/>
  <c r="K28" i="6"/>
  <c r="K159" i="6"/>
  <c r="K24" i="6"/>
  <c r="K19" i="6"/>
  <c r="K27" i="6"/>
  <c r="K120" i="6"/>
  <c r="K136" i="6"/>
  <c r="K164" i="6"/>
  <c r="K190" i="6"/>
  <c r="K25" i="6"/>
  <c r="L136" i="6"/>
  <c r="K184" i="6"/>
  <c r="K21" i="6"/>
  <c r="K131" i="6"/>
  <c r="K22" i="6"/>
  <c r="L131" i="6"/>
  <c r="AJ18" i="7" l="1"/>
  <c r="K67" i="8"/>
  <c r="K51" i="39"/>
  <c r="K24" i="39"/>
  <c r="K32" i="6"/>
  <c r="AW18" i="7"/>
  <c r="BE18" i="7" s="1"/>
  <c r="BD129" i="6"/>
  <c r="BK129" i="6" s="1"/>
  <c r="BD127" i="6"/>
  <c r="BK127" i="6" s="1"/>
  <c r="K122" i="6"/>
  <c r="K168" i="6" s="1"/>
  <c r="BF111" i="6"/>
  <c r="BH111" i="6" s="1"/>
  <c r="K34" i="6"/>
  <c r="BE94" i="6"/>
  <c r="BG94" i="6" s="1"/>
  <c r="BF94" i="6"/>
  <c r="BH94" i="6" s="1"/>
  <c r="BE111" i="6"/>
  <c r="BG111" i="6" s="1"/>
  <c r="K106" i="6"/>
  <c r="K81" i="6"/>
  <c r="L122" i="6"/>
  <c r="L169" i="6" s="1"/>
  <c r="K29" i="6"/>
  <c r="BC127" i="6"/>
  <c r="BJ127" i="6" s="1"/>
  <c r="K26" i="8"/>
  <c r="K69" i="8"/>
  <c r="K27" i="9"/>
  <c r="K55" i="9"/>
  <c r="K69" i="9"/>
  <c r="K68" i="9"/>
  <c r="K63" i="9"/>
  <c r="K70" i="9"/>
  <c r="K92" i="9"/>
  <c r="K56" i="9"/>
  <c r="K66" i="9"/>
  <c r="K64" i="9"/>
  <c r="K67" i="9"/>
  <c r="J130" i="26"/>
  <c r="K100" i="9"/>
  <c r="K61" i="9"/>
  <c r="K33" i="22"/>
  <c r="K7" i="9"/>
  <c r="K59" i="9"/>
  <c r="K65" i="9"/>
  <c r="K58" i="9"/>
  <c r="K95" i="9"/>
  <c r="K65" i="8"/>
  <c r="K59" i="8"/>
  <c r="K108" i="8"/>
  <c r="K110" i="8" s="1"/>
  <c r="K84" i="6"/>
  <c r="L104" i="7"/>
  <c r="L137" i="6"/>
  <c r="K104" i="7"/>
  <c r="K63" i="7"/>
  <c r="K77" i="7"/>
  <c r="L63" i="7"/>
  <c r="L77" i="7"/>
  <c r="K26" i="6"/>
  <c r="K137" i="6"/>
  <c r="K33" i="6"/>
  <c r="K23" i="6"/>
  <c r="AP18" i="7" l="1"/>
  <c r="K169" i="6"/>
  <c r="K36" i="8"/>
  <c r="K34" i="8"/>
  <c r="K37" i="8"/>
  <c r="K63" i="8"/>
  <c r="L139" i="6"/>
  <c r="L200" i="6" s="1"/>
  <c r="K35" i="6"/>
  <c r="K139" i="6"/>
  <c r="L171" i="6"/>
  <c r="K146" i="6"/>
  <c r="K143" i="6"/>
  <c r="K144" i="6"/>
  <c r="K171" i="6"/>
  <c r="L168" i="6"/>
  <c r="L170" i="6" s="1"/>
  <c r="K60" i="9"/>
  <c r="K109" i="8"/>
  <c r="K111" i="8" s="1"/>
  <c r="K21" i="22"/>
  <c r="K7" i="22"/>
  <c r="K57" i="9"/>
  <c r="K170" i="6"/>
  <c r="AT18" i="7" l="1"/>
  <c r="L204" i="6"/>
  <c r="K209" i="6"/>
  <c r="L207" i="6"/>
  <c r="L209" i="6"/>
  <c r="L205" i="6"/>
  <c r="K200" i="6"/>
  <c r="L210" i="6"/>
  <c r="K208" i="6"/>
  <c r="L203" i="6"/>
  <c r="K199" i="6"/>
  <c r="K35" i="8"/>
  <c r="L213" i="6"/>
  <c r="L199" i="6"/>
  <c r="L202" i="6"/>
  <c r="K204" i="6"/>
  <c r="K203" i="6"/>
  <c r="L208" i="6"/>
  <c r="K210" i="6"/>
  <c r="K145" i="6"/>
  <c r="K205" i="6"/>
  <c r="K62" i="9"/>
  <c r="L195" i="6"/>
  <c r="K213" i="6"/>
  <c r="K214" i="6" s="1"/>
  <c r="K207" i="6"/>
  <c r="K202" i="6"/>
  <c r="K8" i="22"/>
  <c r="K22" i="22"/>
  <c r="AX18" i="7" l="1"/>
  <c r="K206" i="6"/>
  <c r="L206" i="6"/>
  <c r="L211" i="6"/>
  <c r="L212" i="6" s="1"/>
  <c r="L215" i="6" s="1"/>
  <c r="L214" i="6"/>
  <c r="K211" i="6"/>
  <c r="K24" i="22"/>
  <c r="K10" i="22"/>
  <c r="K212" i="6"/>
  <c r="K215" i="6" s="1"/>
  <c r="BF18" i="7" l="1"/>
  <c r="K11" i="22"/>
  <c r="K25" i="22"/>
  <c r="L16" i="77"/>
  <c r="Z16" i="77" s="1"/>
  <c r="AD16" i="77" s="1"/>
  <c r="L17" i="77"/>
  <c r="Z17" i="77" s="1"/>
  <c r="AD17" i="77" s="1"/>
  <c r="L18" i="77"/>
  <c r="Z18" i="77" s="1"/>
  <c r="AD18" i="77" s="1"/>
  <c r="K91" i="77"/>
  <c r="K90" i="77"/>
  <c r="K83" i="77"/>
  <c r="K81" i="77"/>
  <c r="K80" i="77"/>
  <c r="L13" i="28"/>
  <c r="K524" i="28"/>
  <c r="L481" i="28"/>
  <c r="L475" i="28"/>
  <c r="L443" i="28"/>
  <c r="L431" i="28"/>
  <c r="K431" i="28"/>
  <c r="L415" i="28"/>
  <c r="L304" i="28"/>
  <c r="K304" i="28"/>
  <c r="L298" i="28"/>
  <c r="K298" i="28"/>
  <c r="L297" i="28"/>
  <c r="K297" i="28"/>
  <c r="L256" i="28"/>
  <c r="K256" i="28"/>
  <c r="L235" i="28"/>
  <c r="L233" i="28"/>
  <c r="L96" i="28"/>
  <c r="L95" i="28"/>
  <c r="L93" i="28"/>
  <c r="L89" i="28"/>
  <c r="L85" i="28"/>
  <c r="L81" i="28"/>
  <c r="K68" i="28"/>
  <c r="K67" i="28"/>
  <c r="K65" i="28"/>
  <c r="L56" i="28"/>
  <c r="L29" i="28"/>
  <c r="K23" i="28"/>
  <c r="L21" i="28"/>
  <c r="K15" i="28"/>
  <c r="K7" i="28"/>
  <c r="L17" i="49"/>
  <c r="L18" i="49" s="1"/>
  <c r="L11" i="49"/>
  <c r="K11" i="49"/>
  <c r="L9" i="49"/>
  <c r="L8" i="49"/>
  <c r="L6" i="49"/>
  <c r="M177" i="73"/>
  <c r="Q177" i="73" s="1"/>
  <c r="U177" i="73" s="1"/>
  <c r="M128" i="73"/>
  <c r="AA128" i="73" s="1"/>
  <c r="AE128" i="73" s="1"/>
  <c r="AI128" i="73" s="1"/>
  <c r="AO128" i="73" s="1"/>
  <c r="AS128" i="73" s="1"/>
  <c r="AW128" i="73" s="1"/>
  <c r="BE128" i="73" s="1"/>
  <c r="M62" i="73"/>
  <c r="Q62" i="73" s="1"/>
  <c r="U62" i="73" s="1"/>
  <c r="M63" i="73"/>
  <c r="Q63" i="73" s="1"/>
  <c r="U63" i="73" s="1"/>
  <c r="M64" i="73"/>
  <c r="Q64" i="73" s="1"/>
  <c r="U64" i="73" s="1"/>
  <c r="M65" i="73"/>
  <c r="Q65" i="73" s="1"/>
  <c r="U65" i="73" s="1"/>
  <c r="M66" i="73"/>
  <c r="Q66" i="73" s="1"/>
  <c r="U66" i="73" s="1"/>
  <c r="K173" i="73"/>
  <c r="K160" i="73"/>
  <c r="K171" i="73" s="1"/>
  <c r="K129" i="73"/>
  <c r="K127" i="73"/>
  <c r="K125" i="73"/>
  <c r="K121" i="73"/>
  <c r="K117" i="73"/>
  <c r="K108" i="73"/>
  <c r="K101" i="73"/>
  <c r="K97" i="73"/>
  <c r="K57" i="73"/>
  <c r="K51" i="73"/>
  <c r="K46" i="73"/>
  <c r="K41" i="73"/>
  <c r="K30" i="73"/>
  <c r="K25" i="73"/>
  <c r="K18" i="73"/>
  <c r="L58" i="28" s="1"/>
  <c r="L60" i="28" s="1"/>
  <c r="K16" i="73"/>
  <c r="K8" i="73"/>
  <c r="O78" i="59"/>
  <c r="O77" i="59"/>
  <c r="O76" i="59"/>
  <c r="N75" i="59"/>
  <c r="N74" i="59"/>
  <c r="O69" i="59"/>
  <c r="O68" i="59"/>
  <c r="N68" i="59"/>
  <c r="O65" i="59"/>
  <c r="O64" i="59"/>
  <c r="N64" i="59"/>
  <c r="O61" i="59"/>
  <c r="N61" i="59"/>
  <c r="O60" i="59"/>
  <c r="N60" i="59"/>
  <c r="O59" i="59"/>
  <c r="O58" i="59"/>
  <c r="N58" i="59"/>
  <c r="O57" i="59"/>
  <c r="N57" i="59"/>
  <c r="N52" i="59"/>
  <c r="O51" i="59"/>
  <c r="N51" i="59"/>
  <c r="O50" i="59"/>
  <c r="N50" i="59"/>
  <c r="O49" i="59"/>
  <c r="N49" i="59"/>
  <c r="O47" i="59"/>
  <c r="N47" i="59"/>
  <c r="O46" i="59"/>
  <c r="N46" i="59"/>
  <c r="O45" i="59"/>
  <c r="N45" i="59"/>
  <c r="O44" i="59"/>
  <c r="N44" i="59"/>
  <c r="O42" i="59"/>
  <c r="N42" i="59"/>
  <c r="O41" i="59"/>
  <c r="N41" i="59"/>
  <c r="O40" i="59"/>
  <c r="N40" i="59"/>
  <c r="N38" i="59"/>
  <c r="N37" i="59"/>
  <c r="N36" i="59"/>
  <c r="O35" i="59"/>
  <c r="N35" i="59"/>
  <c r="O34" i="59"/>
  <c r="N34" i="59"/>
  <c r="O33" i="59"/>
  <c r="N33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O22" i="59"/>
  <c r="O20" i="59"/>
  <c r="O19" i="59"/>
  <c r="O18" i="59"/>
  <c r="O17" i="59"/>
  <c r="O16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4" i="59" s="1"/>
  <c r="L56" i="36"/>
  <c r="L16" i="36" s="1"/>
  <c r="O53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1" i="59" s="1"/>
  <c r="L22" i="36"/>
  <c r="O67" i="59" s="1"/>
  <c r="K22" i="36"/>
  <c r="N67" i="59" s="1"/>
  <c r="L21" i="36"/>
  <c r="O63" i="59" s="1"/>
  <c r="K21" i="36"/>
  <c r="N63" i="59" s="1"/>
  <c r="K17" i="36"/>
  <c r="K90" i="9" s="1"/>
  <c r="K19" i="9" s="1"/>
  <c r="K16" i="36"/>
  <c r="K13" i="36"/>
  <c r="N39" i="59" s="1"/>
  <c r="L12" i="36"/>
  <c r="O38" i="59" s="1"/>
  <c r="L11" i="36"/>
  <c r="O37" i="59" s="1"/>
  <c r="L10" i="36"/>
  <c r="O36" i="59" s="1"/>
  <c r="L9" i="36"/>
  <c r="O10" i="59" s="1"/>
  <c r="K9" i="36"/>
  <c r="N10" i="59" s="1"/>
  <c r="L8" i="36"/>
  <c r="O9" i="59" s="1"/>
  <c r="K8" i="36"/>
  <c r="N9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L98" i="6" s="1"/>
  <c r="L104" i="6" l="1"/>
  <c r="L106" i="6" s="1"/>
  <c r="L143" i="6" s="1"/>
  <c r="K6" i="73"/>
  <c r="L46" i="28"/>
  <c r="L35" i="28" s="1"/>
  <c r="K113" i="73"/>
  <c r="K29" i="28"/>
  <c r="K416" i="28" s="1"/>
  <c r="L72" i="28"/>
  <c r="L512" i="28"/>
  <c r="L416" i="28"/>
  <c r="L515" i="28" s="1"/>
  <c r="L516" i="28"/>
  <c r="L508" i="28"/>
  <c r="K21" i="28"/>
  <c r="K73" i="28" s="1"/>
  <c r="M143" i="50"/>
  <c r="K119" i="90"/>
  <c r="L15" i="35"/>
  <c r="AW127" i="73"/>
  <c r="BE127" i="73" s="1"/>
  <c r="K89" i="77"/>
  <c r="K27" i="22"/>
  <c r="K13" i="22"/>
  <c r="L35" i="36"/>
  <c r="L36" i="36" s="1"/>
  <c r="L38" i="36" s="1"/>
  <c r="L30" i="36" s="1"/>
  <c r="O79" i="59" s="1"/>
  <c r="L41" i="36"/>
  <c r="K12" i="15"/>
  <c r="K13" i="15" s="1"/>
  <c r="K14" i="15" s="1"/>
  <c r="K26" i="21"/>
  <c r="K28" i="21" s="1"/>
  <c r="N43" i="59"/>
  <c r="K84" i="77"/>
  <c r="K14" i="35"/>
  <c r="K9" i="6"/>
  <c r="N76" i="59"/>
  <c r="N77" i="59"/>
  <c r="L8" i="35"/>
  <c r="N78" i="59"/>
  <c r="K11" i="35"/>
  <c r="K10" i="6" s="1"/>
  <c r="K8" i="6"/>
  <c r="N48" i="59"/>
  <c r="P18" i="77"/>
  <c r="T18" i="77" s="1"/>
  <c r="P17" i="77"/>
  <c r="T17" i="77" s="1"/>
  <c r="P16" i="77"/>
  <c r="T16" i="77" s="1"/>
  <c r="K132" i="73"/>
  <c r="Q128" i="73"/>
  <c r="U128" i="73" s="1"/>
  <c r="M127" i="73"/>
  <c r="L299" i="28"/>
  <c r="L236" i="28"/>
  <c r="K60" i="36"/>
  <c r="K68" i="36"/>
  <c r="K5" i="73"/>
  <c r="L492" i="28"/>
  <c r="L97" i="28"/>
  <c r="L73" i="28"/>
  <c r="K56" i="36"/>
  <c r="K89" i="9"/>
  <c r="K91" i="9" s="1"/>
  <c r="N6" i="59"/>
  <c r="N53" i="59"/>
  <c r="N54" i="59"/>
  <c r="K57" i="36"/>
  <c r="L68" i="36"/>
  <c r="L71" i="36"/>
  <c r="L13" i="36"/>
  <c r="O39" i="59" s="1"/>
  <c r="L16" i="6"/>
  <c r="L18" i="6"/>
  <c r="L17" i="6"/>
  <c r="L15" i="6"/>
  <c r="L7" i="6"/>
  <c r="L41" i="35"/>
  <c r="L97" i="11"/>
  <c r="L60" i="36"/>
  <c r="L63" i="36"/>
  <c r="L18" i="36"/>
  <c r="O55" i="59" s="1"/>
  <c r="O48" i="59"/>
  <c r="O43" i="59"/>
  <c r="O6" i="59"/>
  <c r="K31" i="28"/>
  <c r="K13" i="35"/>
  <c r="L513" i="28"/>
  <c r="L74" i="28"/>
  <c r="L505" i="28"/>
  <c r="L509" i="28"/>
  <c r="K13" i="28"/>
  <c r="K36" i="36"/>
  <c r="K38" i="36" s="1"/>
  <c r="K30" i="36" s="1"/>
  <c r="N79" i="59" s="1"/>
  <c r="L20" i="21"/>
  <c r="K15" i="21"/>
  <c r="L144" i="6" l="1"/>
  <c r="O15" i="59" s="1"/>
  <c r="L146" i="6"/>
  <c r="L193" i="6"/>
  <c r="K74" i="28"/>
  <c r="K299" i="28"/>
  <c r="L67" i="28"/>
  <c r="L37" i="28"/>
  <c r="L442" i="28"/>
  <c r="L473" i="28" s="1"/>
  <c r="L493" i="28" s="1"/>
  <c r="L48" i="28"/>
  <c r="L98" i="28"/>
  <c r="L506" i="28"/>
  <c r="L514" i="28"/>
  <c r="K83" i="28"/>
  <c r="L524" i="28"/>
  <c r="L69" i="28"/>
  <c r="L511" i="28"/>
  <c r="K37" i="28"/>
  <c r="K87" i="28"/>
  <c r="K513" i="28" s="1"/>
  <c r="K515" i="28"/>
  <c r="K15" i="35"/>
  <c r="K95" i="77"/>
  <c r="L19" i="36"/>
  <c r="O56" i="59" s="1"/>
  <c r="Q127" i="73"/>
  <c r="U127" i="73" s="1"/>
  <c r="AA127" i="73"/>
  <c r="AE127" i="73" s="1"/>
  <c r="AI127" i="73" s="1"/>
  <c r="AO127" i="73" s="1"/>
  <c r="L510" i="28"/>
  <c r="L502" i="28"/>
  <c r="L503" i="28"/>
  <c r="L507" i="28"/>
  <c r="L185" i="6"/>
  <c r="L190" i="6"/>
  <c r="L164" i="6"/>
  <c r="L19" i="6"/>
  <c r="L160" i="6"/>
  <c r="K63" i="28"/>
  <c r="K72" i="28"/>
  <c r="K236" i="28"/>
  <c r="K503" i="28"/>
  <c r="K511" i="28"/>
  <c r="N120" i="10"/>
  <c r="N90" i="10"/>
  <c r="N94" i="10"/>
  <c r="N95" i="10"/>
  <c r="N86" i="10"/>
  <c r="J134" i="10"/>
  <c r="J135" i="10"/>
  <c r="N23" i="10"/>
  <c r="N32" i="10"/>
  <c r="L145" i="6" l="1"/>
  <c r="L7" i="36" s="1"/>
  <c r="O8" i="59" s="1"/>
  <c r="L517" i="28"/>
  <c r="L525" i="28"/>
  <c r="L70" i="28"/>
  <c r="K514" i="28"/>
  <c r="L75" i="28"/>
  <c r="L76" i="28" s="1"/>
  <c r="L523" i="28" s="1"/>
  <c r="K69" i="28"/>
  <c r="K509" i="28"/>
  <c r="K493" i="28"/>
  <c r="K519" i="28" s="1"/>
  <c r="L519" i="28"/>
  <c r="L522" i="28"/>
  <c r="K507" i="28"/>
  <c r="K510" i="28"/>
  <c r="K75" i="28"/>
  <c r="K502" i="28"/>
  <c r="L518" i="28"/>
  <c r="L81" i="6"/>
  <c r="H199" i="10"/>
  <c r="R86" i="10"/>
  <c r="V86" i="10" s="1"/>
  <c r="AB86" i="10"/>
  <c r="AF86" i="10" s="1"/>
  <c r="AJ86" i="10" s="1"/>
  <c r="AP86" i="10" s="1"/>
  <c r="AT86" i="10" s="1"/>
  <c r="AX86" i="10" s="1"/>
  <c r="BF86" i="10" s="1"/>
  <c r="BI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20" i="10"/>
  <c r="V120" i="10" s="1"/>
  <c r="AB120" i="10"/>
  <c r="AF120" i="10" s="1"/>
  <c r="AJ120" i="10" s="1"/>
  <c r="AP120" i="10" s="1"/>
  <c r="AT120" i="10" s="1"/>
  <c r="AX120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97" i="28"/>
  <c r="L496" i="28"/>
  <c r="L84" i="6"/>
  <c r="L38" i="6"/>
  <c r="L40" i="6"/>
  <c r="L39" i="6"/>
  <c r="L37" i="6"/>
  <c r="K79" i="28"/>
  <c r="K522" i="28" l="1"/>
  <c r="K91" i="28"/>
  <c r="K76" i="28"/>
  <c r="K496" i="28"/>
  <c r="L41" i="6"/>
  <c r="K95" i="28"/>
  <c r="K506" i="28"/>
  <c r="K505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50" i="71"/>
  <c r="G83" i="90" s="1"/>
  <c r="AW51" i="71"/>
  <c r="G84" i="90" s="1"/>
  <c r="AW52" i="71"/>
  <c r="AW53" i="71"/>
  <c r="AW55" i="71"/>
  <c r="G85" i="90" s="1"/>
  <c r="AW56" i="71"/>
  <c r="AW58" i="71"/>
  <c r="G87" i="90" s="1"/>
  <c r="AW59" i="71"/>
  <c r="G88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AU47" i="71"/>
  <c r="AU50" i="71"/>
  <c r="AU51" i="71"/>
  <c r="AU52" i="71"/>
  <c r="AU53" i="71"/>
  <c r="AU55" i="71"/>
  <c r="AU56" i="71"/>
  <c r="AU58" i="71"/>
  <c r="AU59" i="71"/>
  <c r="AO56" i="71"/>
  <c r="AQ56" i="71" s="1"/>
  <c r="AO58" i="71"/>
  <c r="AO59" i="71"/>
  <c r="AK58" i="71"/>
  <c r="AK59" i="71"/>
  <c r="AF58" i="71"/>
  <c r="AF59" i="71"/>
  <c r="AB58" i="71"/>
  <c r="AB59" i="71"/>
  <c r="AW6" i="71"/>
  <c r="AU6" i="71"/>
  <c r="K523" i="28" l="1"/>
  <c r="CU47" i="71"/>
  <c r="K517" i="28"/>
  <c r="K497" i="28"/>
  <c r="K518" i="28"/>
  <c r="CU46" i="71"/>
  <c r="AY8" i="71"/>
  <c r="AY29" i="71"/>
  <c r="AY14" i="71"/>
  <c r="CU9" i="71"/>
  <c r="CU41" i="71"/>
  <c r="CU55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BC45" i="71"/>
  <c r="BG45" i="71" s="1"/>
  <c r="BK45" i="71" s="1"/>
  <c r="BC32" i="71"/>
  <c r="BG32" i="71" s="1"/>
  <c r="BK32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2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6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3" i="71"/>
  <c r="BG53" i="71" s="1"/>
  <c r="BK53" i="71" s="1"/>
  <c r="BC38" i="71"/>
  <c r="BG38" i="71" s="1"/>
  <c r="BK38" i="71" s="1"/>
  <c r="BC24" i="71"/>
  <c r="BG24" i="71" s="1"/>
  <c r="BK24" i="71" s="1"/>
  <c r="E72" i="90"/>
  <c r="AR55" i="71"/>
  <c r="AR56" i="71"/>
  <c r="AY59" i="71"/>
  <c r="E88" i="90"/>
  <c r="BC51" i="71"/>
  <c r="E84" i="90"/>
  <c r="BC42" i="71"/>
  <c r="E77" i="90"/>
  <c r="BC37" i="71"/>
  <c r="E74" i="90"/>
  <c r="BC21" i="71"/>
  <c r="E71" i="90"/>
  <c r="AY44" i="71"/>
  <c r="G78" i="90"/>
  <c r="AY22" i="71"/>
  <c r="G72" i="90"/>
  <c r="AY58" i="71"/>
  <c r="E87" i="90"/>
  <c r="BC50" i="71"/>
  <c r="E83" i="90"/>
  <c r="BC41" i="71"/>
  <c r="E76" i="90"/>
  <c r="BC20" i="71"/>
  <c r="E70" i="90"/>
  <c r="AP59" i="71"/>
  <c r="BC47" i="71"/>
  <c r="E80" i="90"/>
  <c r="BC26" i="71"/>
  <c r="E73" i="90"/>
  <c r="BC55" i="71"/>
  <c r="E85" i="90"/>
  <c r="BC46" i="71"/>
  <c r="E79" i="90"/>
  <c r="BC39" i="71"/>
  <c r="BC33" i="71"/>
  <c r="BC25" i="71"/>
  <c r="BC16" i="71"/>
  <c r="BC10" i="71"/>
  <c r="BC9" i="71"/>
  <c r="E68" i="90"/>
  <c r="AG59" i="71"/>
  <c r="AG56" i="71"/>
  <c r="AP56" i="71"/>
  <c r="AQ58" i="71"/>
  <c r="AG58" i="71"/>
  <c r="AP58" i="71"/>
  <c r="AY53" i="71"/>
  <c r="AY45" i="71"/>
  <c r="AY38" i="71"/>
  <c r="AQ59" i="71"/>
  <c r="AY37" i="71"/>
  <c r="AY28" i="71"/>
  <c r="AY21" i="71"/>
  <c r="AY13" i="71"/>
  <c r="AY51" i="71"/>
  <c r="AY42" i="71"/>
  <c r="AY36" i="71"/>
  <c r="AY27" i="71"/>
  <c r="AY20" i="71"/>
  <c r="AY12" i="71"/>
  <c r="AY50" i="71"/>
  <c r="AY41" i="71"/>
  <c r="AY35" i="71"/>
  <c r="AY26" i="71"/>
  <c r="AY18" i="71"/>
  <c r="AY11" i="71"/>
  <c r="AY47" i="71"/>
  <c r="AY40" i="71"/>
  <c r="AY33" i="71"/>
  <c r="AY25" i="71"/>
  <c r="AY16" i="71"/>
  <c r="AY10" i="71"/>
  <c r="BC52" i="71"/>
  <c r="BC44" i="71"/>
  <c r="BC29" i="71"/>
  <c r="BC22" i="71"/>
  <c r="BC14" i="71"/>
  <c r="BC8" i="71"/>
  <c r="AY55" i="71"/>
  <c r="AY46" i="71"/>
  <c r="AY39" i="71"/>
  <c r="AY32" i="71"/>
  <c r="AY24" i="71"/>
  <c r="AY15" i="71"/>
  <c r="AY9" i="71"/>
  <c r="AY6" i="71"/>
  <c r="BE78" i="90" l="1"/>
  <c r="BE72" i="90"/>
  <c r="AI76" i="90"/>
  <c r="BE76" i="90"/>
  <c r="AI79" i="90"/>
  <c r="BE79" i="90"/>
  <c r="AI85" i="90"/>
  <c r="BE85" i="90"/>
  <c r="AI84" i="90"/>
  <c r="BE84" i="90"/>
  <c r="AI83" i="90"/>
  <c r="BE83" i="90"/>
  <c r="AI74" i="90"/>
  <c r="BE74" i="90"/>
  <c r="AI77" i="90"/>
  <c r="BE77" i="90"/>
  <c r="AI73" i="90"/>
  <c r="BE73" i="90"/>
  <c r="AE68" i="90"/>
  <c r="BE68" i="90"/>
  <c r="AI80" i="90"/>
  <c r="BE80" i="90"/>
  <c r="AI70" i="90"/>
  <c r="BE70" i="90"/>
  <c r="AI71" i="90"/>
  <c r="BE71" i="90"/>
  <c r="BG11" i="71"/>
  <c r="BK11" i="71" s="1"/>
  <c r="BQ35" i="71"/>
  <c r="BU35" i="71" s="1"/>
  <c r="BY35" i="71" s="1"/>
  <c r="CE35" i="71" s="1"/>
  <c r="CI35" i="71" s="1"/>
  <c r="CM35" i="71" s="1"/>
  <c r="BG13" i="71"/>
  <c r="BK13" i="71" s="1"/>
  <c r="E89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3" i="71"/>
  <c r="BU53" i="71" s="1"/>
  <c r="BY53" i="71" s="1"/>
  <c r="CE53" i="71" s="1"/>
  <c r="CI53" i="71" s="1"/>
  <c r="CM53" i="71" s="1"/>
  <c r="BQ36" i="71"/>
  <c r="BU36" i="71" s="1"/>
  <c r="BY36" i="71" s="1"/>
  <c r="CE36" i="71" s="1"/>
  <c r="CI36" i="71" s="1"/>
  <c r="CM36" i="71" s="1"/>
  <c r="AR58" i="71"/>
  <c r="AR59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50" i="71"/>
  <c r="BK50" i="71" s="1"/>
  <c r="BQ50" i="71"/>
  <c r="BU50" i="71" s="1"/>
  <c r="BY50" i="71" s="1"/>
  <c r="CE50" i="71" s="1"/>
  <c r="CI50" i="71" s="1"/>
  <c r="CM50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2" i="71"/>
  <c r="BK52" i="71" s="1"/>
  <c r="BQ52" i="71"/>
  <c r="BU52" i="71" s="1"/>
  <c r="BY52" i="71" s="1"/>
  <c r="CE52" i="71" s="1"/>
  <c r="CI52" i="71" s="1"/>
  <c r="CM52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5" i="71"/>
  <c r="BK55" i="71" s="1"/>
  <c r="BQ55" i="71"/>
  <c r="BU55" i="71" s="1"/>
  <c r="BY55" i="71" s="1"/>
  <c r="CE55" i="71" s="1"/>
  <c r="CI55" i="71" s="1"/>
  <c r="CM55" i="71" s="1"/>
  <c r="BG51" i="71"/>
  <c r="BK51" i="71" s="1"/>
  <c r="BQ51" i="71"/>
  <c r="BU51" i="71" s="1"/>
  <c r="BY51" i="71" s="1"/>
  <c r="CE51" i="71" s="1"/>
  <c r="CI51" i="71" s="1"/>
  <c r="CM51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6" i="90"/>
  <c r="G106" i="90"/>
  <c r="H106" i="90"/>
  <c r="I106" i="90"/>
  <c r="J106" i="90"/>
  <c r="K106" i="90"/>
  <c r="L106" i="90"/>
  <c r="M106" i="90"/>
  <c r="N106" i="90"/>
  <c r="O106" i="90"/>
  <c r="P106" i="90"/>
  <c r="Q106" i="90"/>
  <c r="R106" i="90"/>
  <c r="S106" i="90"/>
  <c r="T106" i="90"/>
  <c r="U106" i="90"/>
  <c r="V106" i="90"/>
  <c r="W106" i="90"/>
  <c r="X106" i="90"/>
  <c r="Y106" i="90"/>
  <c r="Z106" i="90"/>
  <c r="AA106" i="90"/>
  <c r="AB106" i="90"/>
  <c r="AC106" i="90"/>
  <c r="AD106" i="90"/>
  <c r="AE106" i="90"/>
  <c r="AJ106" i="90"/>
  <c r="AK106" i="90"/>
  <c r="AL106" i="90"/>
  <c r="AM106" i="90"/>
  <c r="AN106" i="90"/>
  <c r="AO106" i="90"/>
  <c r="AP106" i="90"/>
  <c r="AQ106" i="90"/>
  <c r="AR106" i="90"/>
  <c r="AS106" i="90"/>
  <c r="AT106" i="90"/>
  <c r="AU106" i="90"/>
  <c r="AV106" i="90"/>
  <c r="AW106" i="90"/>
  <c r="AX106" i="90"/>
  <c r="AY106" i="90"/>
  <c r="AZ106" i="90"/>
  <c r="BA106" i="90"/>
  <c r="BB106" i="90"/>
  <c r="BC106" i="90"/>
  <c r="BD106" i="90"/>
  <c r="BE106" i="90"/>
  <c r="E106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0" i="73" l="1"/>
  <c r="I201" i="73"/>
  <c r="M201" i="73" s="1"/>
  <c r="I202" i="73"/>
  <c r="M202" i="73" s="1"/>
  <c r="I204" i="73"/>
  <c r="I205" i="73"/>
  <c r="M205" i="73" s="1"/>
  <c r="I206" i="73"/>
  <c r="M206" i="73" s="1"/>
  <c r="I207" i="73"/>
  <c r="M207" i="73" s="1"/>
  <c r="I208" i="73"/>
  <c r="M208" i="73" s="1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9" i="73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30" i="73"/>
  <c r="I232" i="73"/>
  <c r="I233" i="73"/>
  <c r="M233" i="73" s="1"/>
  <c r="I234" i="73"/>
  <c r="I235" i="73"/>
  <c r="I236" i="73"/>
  <c r="I237" i="73"/>
  <c r="I199" i="73"/>
  <c r="M199" i="73" s="1"/>
  <c r="I203" i="73" l="1"/>
  <c r="Q225" i="73"/>
  <c r="U225" i="73" s="1"/>
  <c r="AA225" i="73"/>
  <c r="AE225" i="73" s="1"/>
  <c r="AI225" i="73" s="1"/>
  <c r="AO225" i="73" s="1"/>
  <c r="AS225" i="73" s="1"/>
  <c r="AW225" i="73" s="1"/>
  <c r="BE225" i="73" s="1"/>
  <c r="Q211" i="73"/>
  <c r="U211" i="73" s="1"/>
  <c r="AA211" i="73"/>
  <c r="AE211" i="73" s="1"/>
  <c r="AI211" i="73" s="1"/>
  <c r="AO211" i="73" s="1"/>
  <c r="Q222" i="73"/>
  <c r="U222" i="73" s="1"/>
  <c r="AA222" i="73"/>
  <c r="AE222" i="73" s="1"/>
  <c r="AI222" i="73" s="1"/>
  <c r="AO222" i="73" s="1"/>
  <c r="Q227" i="73"/>
  <c r="U227" i="73" s="1"/>
  <c r="AA227" i="73"/>
  <c r="AE227" i="73" s="1"/>
  <c r="AI227" i="73" s="1"/>
  <c r="AO227" i="73" s="1"/>
  <c r="AS227" i="73" s="1"/>
  <c r="AW227" i="73" s="1"/>
  <c r="BE227" i="73" s="1"/>
  <c r="Q208" i="73"/>
  <c r="U208" i="73" s="1"/>
  <c r="AA208" i="73"/>
  <c r="AE208" i="73" s="1"/>
  <c r="AI208" i="73" s="1"/>
  <c r="AO208" i="73" s="1"/>
  <c r="Q216" i="73"/>
  <c r="U216" i="73" s="1"/>
  <c r="AA216" i="73"/>
  <c r="AE216" i="73" s="1"/>
  <c r="AI216" i="73" s="1"/>
  <c r="AO216" i="73" s="1"/>
  <c r="Q212" i="73"/>
  <c r="U212" i="73" s="1"/>
  <c r="AA212" i="73"/>
  <c r="AE212" i="73" s="1"/>
  <c r="AI212" i="73" s="1"/>
  <c r="AO212" i="73" s="1"/>
  <c r="AS212" i="73" s="1"/>
  <c r="Q209" i="73"/>
  <c r="U209" i="73" s="1"/>
  <c r="AA209" i="73"/>
  <c r="AE209" i="73" s="1"/>
  <c r="AI209" i="73" s="1"/>
  <c r="AO209" i="73" s="1"/>
  <c r="Q217" i="73"/>
  <c r="U217" i="73" s="1"/>
  <c r="AA217" i="73"/>
  <c r="AE217" i="73" s="1"/>
  <c r="AI217" i="73" s="1"/>
  <c r="AO217" i="73" s="1"/>
  <c r="Q215" i="73"/>
  <c r="U215" i="73" s="1"/>
  <c r="AA215" i="73"/>
  <c r="AE215" i="73" s="1"/>
  <c r="AI215" i="73" s="1"/>
  <c r="AO215" i="73" s="1"/>
  <c r="Q226" i="73"/>
  <c r="U226" i="73" s="1"/>
  <c r="AA226" i="73"/>
  <c r="AE226" i="73" s="1"/>
  <c r="AI226" i="73" s="1"/>
  <c r="AO226" i="73" s="1"/>
  <c r="AS226" i="73" s="1"/>
  <c r="AW226" i="73" s="1"/>
  <c r="BE226" i="73" s="1"/>
  <c r="Q224" i="73"/>
  <c r="U224" i="73" s="1"/>
  <c r="AA224" i="73"/>
  <c r="AE224" i="73" s="1"/>
  <c r="AI224" i="73" s="1"/>
  <c r="AO224" i="73" s="1"/>
  <c r="Q207" i="73"/>
  <c r="U207" i="73" s="1"/>
  <c r="AA207" i="73"/>
  <c r="AE207" i="73" s="1"/>
  <c r="AI207" i="73" s="1"/>
  <c r="AO207" i="73" s="1"/>
  <c r="Q210" i="73"/>
  <c r="U210" i="73" s="1"/>
  <c r="AA210" i="73"/>
  <c r="AE210" i="73" s="1"/>
  <c r="AI210" i="73" s="1"/>
  <c r="AO210" i="73" s="1"/>
  <c r="Q223" i="73"/>
  <c r="U223" i="73" s="1"/>
  <c r="AA223" i="73"/>
  <c r="AE223" i="73" s="1"/>
  <c r="AI223" i="73" s="1"/>
  <c r="AO223" i="73" s="1"/>
  <c r="Q206" i="73"/>
  <c r="U206" i="73" s="1"/>
  <c r="AA206" i="73"/>
  <c r="AE206" i="73" s="1"/>
  <c r="AI206" i="73" s="1"/>
  <c r="AO206" i="73" s="1"/>
  <c r="AS206" i="73" s="1"/>
  <c r="AW206" i="73" s="1"/>
  <c r="BE206" i="73" s="1"/>
  <c r="Q233" i="73"/>
  <c r="U233" i="73" s="1"/>
  <c r="AA233" i="73"/>
  <c r="AE233" i="73" s="1"/>
  <c r="AI233" i="73" s="1"/>
  <c r="AO233" i="73" s="1"/>
  <c r="AS233" i="73" s="1"/>
  <c r="Q214" i="73"/>
  <c r="U214" i="73" s="1"/>
  <c r="AA214" i="73"/>
  <c r="AE214" i="73" s="1"/>
  <c r="AI214" i="73" s="1"/>
  <c r="AO214" i="73" s="1"/>
  <c r="Q228" i="73"/>
  <c r="U228" i="73" s="1"/>
  <c r="AA228" i="73"/>
  <c r="AE228" i="73" s="1"/>
  <c r="AI228" i="73" s="1"/>
  <c r="AO228" i="73" s="1"/>
  <c r="AS228" i="73" s="1"/>
  <c r="AW228" i="73" s="1"/>
  <c r="BE228" i="73" s="1"/>
  <c r="Q213" i="73"/>
  <c r="U213" i="73" s="1"/>
  <c r="AA213" i="73"/>
  <c r="AE213" i="73" s="1"/>
  <c r="AI213" i="73" s="1"/>
  <c r="AO213" i="73" s="1"/>
  <c r="AS213" i="73" s="1"/>
  <c r="AW213" i="73" s="1"/>
  <c r="BE213" i="73" s="1"/>
  <c r="Q205" i="73"/>
  <c r="U205" i="73" s="1"/>
  <c r="AA205" i="73"/>
  <c r="AE205" i="73" s="1"/>
  <c r="AI205" i="73" s="1"/>
  <c r="AO205" i="73" s="1"/>
  <c r="AS205" i="73" s="1"/>
  <c r="AW205" i="73" s="1"/>
  <c r="BE205" i="73" s="1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202" i="73"/>
  <c r="U202" i="73" s="1"/>
  <c r="AA202" i="73"/>
  <c r="AE202" i="73" s="1"/>
  <c r="AI202" i="73" s="1"/>
  <c r="AO202" i="73" s="1"/>
  <c r="AS202" i="73" s="1"/>
  <c r="AW202" i="73" s="1"/>
  <c r="BE202" i="73" s="1"/>
  <c r="M200" i="73"/>
  <c r="AA200" i="73" s="1"/>
  <c r="AE200" i="73" s="1"/>
  <c r="AI200" i="73" s="1"/>
  <c r="AO200" i="73" s="1"/>
  <c r="AS200" i="73" s="1"/>
  <c r="AW200" i="73" s="1"/>
  <c r="BE200" i="73" s="1"/>
  <c r="I198" i="73"/>
  <c r="M219" i="73"/>
  <c r="AA219" i="73" s="1"/>
  <c r="AE219" i="73" s="1"/>
  <c r="AI219" i="73" s="1"/>
  <c r="AO219" i="73" s="1"/>
  <c r="AS219" i="73" s="1"/>
  <c r="I218" i="73"/>
  <c r="M230" i="73"/>
  <c r="AA230" i="73" s="1"/>
  <c r="AE230" i="73" s="1"/>
  <c r="AI230" i="73" s="1"/>
  <c r="AO230" i="73" s="1"/>
  <c r="AS230" i="73" s="1"/>
  <c r="I229" i="73"/>
  <c r="M232" i="73"/>
  <c r="AA232" i="73" s="1"/>
  <c r="AE232" i="73" s="1"/>
  <c r="AI232" i="73" s="1"/>
  <c r="AO232" i="73" s="1"/>
  <c r="I231" i="73"/>
  <c r="M204" i="73"/>
  <c r="H103" i="9"/>
  <c r="H184" i="6"/>
  <c r="H159" i="6"/>
  <c r="AW219" i="73" l="1"/>
  <c r="AS218" i="73"/>
  <c r="AW233" i="73"/>
  <c r="BE233" i="73" s="1"/>
  <c r="AS231" i="73"/>
  <c r="AW198" i="73"/>
  <c r="BE198" i="73" s="1"/>
  <c r="AW230" i="73"/>
  <c r="BE230" i="73" s="1"/>
  <c r="AS229" i="73"/>
  <c r="AW92" i="77"/>
  <c r="AW212" i="73"/>
  <c r="BE212" i="73" s="1"/>
  <c r="AS209" i="73"/>
  <c r="AS198" i="73"/>
  <c r="AA204" i="73"/>
  <c r="M203" i="73"/>
  <c r="Q204" i="73"/>
  <c r="Q203" i="73" s="1"/>
  <c r="Q200" i="73"/>
  <c r="M198" i="73"/>
  <c r="AA198" i="73" s="1"/>
  <c r="AE198" i="73" s="1"/>
  <c r="AI198" i="73" s="1"/>
  <c r="AO198" i="73" s="1"/>
  <c r="Q219" i="73"/>
  <c r="M218" i="73"/>
  <c r="AA218" i="73" s="1"/>
  <c r="AE218" i="73" s="1"/>
  <c r="AI218" i="73" s="1"/>
  <c r="AO218" i="73" s="1"/>
  <c r="Q230" i="73"/>
  <c r="M229" i="73"/>
  <c r="AA229" i="73" s="1"/>
  <c r="AE229" i="73" s="1"/>
  <c r="AI229" i="73" s="1"/>
  <c r="AO229" i="73" s="1"/>
  <c r="Q232" i="73"/>
  <c r="M231" i="73"/>
  <c r="AA231" i="73" s="1"/>
  <c r="AE231" i="73" s="1"/>
  <c r="AI231" i="73" s="1"/>
  <c r="AO231" i="73" s="1"/>
  <c r="K61" i="50"/>
  <c r="BE219" i="73" l="1"/>
  <c r="AW218" i="73"/>
  <c r="BE218" i="73" s="1"/>
  <c r="AW209" i="73"/>
  <c r="BE209" i="73" s="1"/>
  <c r="AW229" i="73"/>
  <c r="BE229" i="73" s="1"/>
  <c r="AW231" i="73"/>
  <c r="BE231" i="73" s="1"/>
  <c r="AE204" i="73"/>
  <c r="AA203" i="73"/>
  <c r="U204" i="73"/>
  <c r="U203" i="73" s="1"/>
  <c r="U200" i="73"/>
  <c r="U198" i="73" s="1"/>
  <c r="Q198" i="73"/>
  <c r="Q231" i="73"/>
  <c r="U231" i="73" s="1"/>
  <c r="U232" i="73"/>
  <c r="U230" i="73"/>
  <c r="Q229" i="73"/>
  <c r="U229" i="73" s="1"/>
  <c r="U219" i="73"/>
  <c r="Q218" i="73"/>
  <c r="U218" i="73" s="1"/>
  <c r="AI204" i="73" l="1"/>
  <c r="AE203" i="73"/>
  <c r="G112" i="26"/>
  <c r="F110" i="26"/>
  <c r="F108" i="26"/>
  <c r="F106" i="26"/>
  <c r="F104" i="26"/>
  <c r="F102" i="26"/>
  <c r="F100" i="26"/>
  <c r="F98" i="26"/>
  <c r="F96" i="26"/>
  <c r="G92" i="26"/>
  <c r="F89" i="26"/>
  <c r="F87" i="26"/>
  <c r="F85" i="26"/>
  <c r="F83" i="26"/>
  <c r="G81" i="26"/>
  <c r="G80" i="26"/>
  <c r="F78" i="26"/>
  <c r="F76" i="26"/>
  <c r="G73" i="26"/>
  <c r="F71" i="26"/>
  <c r="F69" i="26"/>
  <c r="F67" i="26"/>
  <c r="F65" i="26"/>
  <c r="F63" i="26"/>
  <c r="F61" i="26"/>
  <c r="F59" i="26"/>
  <c r="F57" i="26"/>
  <c r="F52" i="26"/>
  <c r="F50" i="26"/>
  <c r="G48" i="26"/>
  <c r="F46" i="26"/>
  <c r="G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F11" i="26"/>
  <c r="F9" i="26"/>
  <c r="G57" i="17"/>
  <c r="G56" i="17"/>
  <c r="G55" i="17"/>
  <c r="G54" i="17"/>
  <c r="G53" i="17"/>
  <c r="F53" i="17"/>
  <c r="G49" i="17"/>
  <c r="F49" i="17"/>
  <c r="G44" i="17"/>
  <c r="F44" i="17"/>
  <c r="G37" i="17"/>
  <c r="G39" i="17" s="1"/>
  <c r="F37" i="17"/>
  <c r="F39" i="17" s="1"/>
  <c r="F31" i="17"/>
  <c r="G29" i="17"/>
  <c r="G30" i="17" s="1"/>
  <c r="F28" i="17"/>
  <c r="F29" i="17"/>
  <c r="F25" i="17"/>
  <c r="G22" i="17"/>
  <c r="G23" i="17" s="1"/>
  <c r="F22" i="17"/>
  <c r="G19" i="17"/>
  <c r="F18" i="17"/>
  <c r="G17" i="17"/>
  <c r="F16" i="17"/>
  <c r="G14" i="17"/>
  <c r="G20" i="17" s="1"/>
  <c r="F14" i="17"/>
  <c r="G13" i="17"/>
  <c r="G11" i="17"/>
  <c r="G9" i="17"/>
  <c r="F85" i="17" l="1"/>
  <c r="F57" i="17"/>
  <c r="G55" i="26"/>
  <c r="F54" i="17"/>
  <c r="F56" i="17"/>
  <c r="F55" i="17"/>
  <c r="F48" i="26"/>
  <c r="G19" i="26"/>
  <c r="G85" i="17"/>
  <c r="AI203" i="73"/>
  <c r="AO204" i="73"/>
  <c r="F112" i="26"/>
  <c r="F80" i="26"/>
  <c r="F92" i="26"/>
  <c r="F81" i="26"/>
  <c r="F73" i="26"/>
  <c r="F43" i="26"/>
  <c r="F12" i="26"/>
  <c r="G13" i="26"/>
  <c r="G18" i="26"/>
  <c r="G54" i="26"/>
  <c r="G49" i="26"/>
  <c r="F20" i="17"/>
  <c r="G32" i="17"/>
  <c r="G24" i="17"/>
  <c r="G21" i="17"/>
  <c r="G25" i="17" s="1"/>
  <c r="F32" i="17"/>
  <c r="F30" i="17"/>
  <c r="G15" i="17"/>
  <c r="G37" i="27"/>
  <c r="G35" i="27"/>
  <c r="G28" i="27"/>
  <c r="G29" i="27"/>
  <c r="G27" i="27"/>
  <c r="G26" i="27"/>
  <c r="G20" i="27"/>
  <c r="G19" i="27"/>
  <c r="G18" i="27"/>
  <c r="F54" i="26" l="1"/>
  <c r="F19" i="26"/>
  <c r="F49" i="26"/>
  <c r="F55" i="26"/>
  <c r="AO203" i="73"/>
  <c r="AS204" i="73"/>
  <c r="F13" i="26"/>
  <c r="F18" i="26"/>
  <c r="F24" i="17"/>
  <c r="F39" i="27"/>
  <c r="G36" i="27"/>
  <c r="G39" i="27" s="1"/>
  <c r="F28" i="27"/>
  <c r="F27" i="27"/>
  <c r="G33" i="27"/>
  <c r="G22" i="27"/>
  <c r="G21" i="27"/>
  <c r="F18" i="27"/>
  <c r="F24" i="27" s="1"/>
  <c r="F33" i="27" l="1"/>
  <c r="AW204" i="73"/>
  <c r="BE204" i="73" s="1"/>
  <c r="AS203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03" i="73" l="1"/>
  <c r="BE203" i="73" s="1"/>
  <c r="H12" i="22"/>
  <c r="H26" i="22"/>
  <c r="G32" i="15"/>
  <c r="G36" i="15" s="1"/>
  <c r="G16" i="15" s="1"/>
  <c r="G17" i="15" s="1"/>
  <c r="L94" i="38" l="1"/>
  <c r="L93" i="38"/>
  <c r="L92" i="38"/>
  <c r="L91" i="38"/>
  <c r="K90" i="38"/>
  <c r="L89" i="38"/>
  <c r="K88" i="38"/>
  <c r="L86" i="38"/>
  <c r="L85" i="38"/>
  <c r="L84" i="38"/>
  <c r="L83" i="38"/>
  <c r="K82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K66" i="38"/>
  <c r="L62" i="38"/>
  <c r="L61" i="38"/>
  <c r="K60" i="38"/>
  <c r="L59" i="38"/>
  <c r="L58" i="38"/>
  <c r="L57" i="38"/>
  <c r="L56" i="38"/>
  <c r="L55" i="38"/>
  <c r="K54" i="38"/>
  <c r="K52" i="38"/>
  <c r="L51" i="38"/>
  <c r="K51" i="38"/>
  <c r="K46" i="38"/>
  <c r="K45" i="38"/>
  <c r="K44" i="38"/>
  <c r="K43" i="38"/>
  <c r="L42" i="38"/>
  <c r="K41" i="38"/>
  <c r="K40" i="38" s="1"/>
  <c r="L40" i="38"/>
  <c r="K38" i="38"/>
  <c r="K37" i="38"/>
  <c r="K36" i="38"/>
  <c r="K35" i="38"/>
  <c r="L34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K19" i="38"/>
  <c r="L18" i="38"/>
  <c r="K14" i="38"/>
  <c r="K13" i="38"/>
  <c r="L12" i="38"/>
  <c r="K11" i="38"/>
  <c r="K10" i="38"/>
  <c r="K9" i="38"/>
  <c r="K8" i="38"/>
  <c r="K7" i="38"/>
  <c r="L6" i="38"/>
  <c r="G127" i="73"/>
  <c r="F127" i="73"/>
  <c r="I128" i="73"/>
  <c r="I88" i="73"/>
  <c r="I89" i="73"/>
  <c r="I59" i="73"/>
  <c r="I60" i="73"/>
  <c r="I61" i="73"/>
  <c r="I62" i="73"/>
  <c r="I63" i="73"/>
  <c r="I64" i="73"/>
  <c r="I65" i="73"/>
  <c r="I66" i="73"/>
  <c r="I67" i="73"/>
  <c r="I68" i="73"/>
  <c r="I70" i="73"/>
  <c r="I74" i="73"/>
  <c r="I75" i="73"/>
  <c r="I76" i="73"/>
  <c r="I77" i="73"/>
  <c r="I78" i="73"/>
  <c r="I79" i="73"/>
  <c r="I80" i="73"/>
  <c r="I82" i="73"/>
  <c r="I83" i="73"/>
  <c r="L90" i="38" l="1"/>
  <c r="L88" i="38"/>
  <c r="L82" i="38"/>
  <c r="L66" i="38"/>
  <c r="L60" i="38"/>
  <c r="K12" i="38"/>
  <c r="K63" i="38"/>
  <c r="I127" i="73"/>
  <c r="K65" i="38"/>
  <c r="L17" i="38"/>
  <c r="L15" i="38"/>
  <c r="K87" i="38"/>
  <c r="K64" i="38" s="1"/>
  <c r="K42" i="38"/>
  <c r="K39" i="38" s="1"/>
  <c r="K34" i="38"/>
  <c r="K18" i="38"/>
  <c r="K6" i="38"/>
  <c r="L54" i="38"/>
  <c r="L39" i="38"/>
  <c r="K96" i="38" l="1"/>
  <c r="K15" i="38"/>
  <c r="L65" i="38"/>
  <c r="L63" i="38"/>
  <c r="K17" i="38"/>
  <c r="K16" i="38"/>
  <c r="K48" i="38" s="1"/>
  <c r="L16" i="38"/>
  <c r="L87" i="38"/>
  <c r="I19" i="39"/>
  <c r="I20" i="39"/>
  <c r="I21" i="39"/>
  <c r="I59" i="39"/>
  <c r="L64" i="38" l="1"/>
  <c r="L96" i="38" s="1"/>
  <c r="L48" i="38"/>
  <c r="G32" i="72"/>
  <c r="G35" i="72"/>
  <c r="G30" i="72"/>
  <c r="J151" i="10" l="1"/>
  <c r="J152" i="10"/>
  <c r="J153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8" i="10"/>
  <c r="J109" i="10"/>
  <c r="J110" i="10"/>
  <c r="J111" i="10"/>
  <c r="J112" i="10"/>
  <c r="J115" i="10"/>
  <c r="J116" i="10"/>
  <c r="J117" i="10"/>
  <c r="J119" i="10"/>
  <c r="J120" i="10"/>
  <c r="J121" i="10"/>
  <c r="J122" i="10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9" i="7"/>
  <c r="J49" i="7"/>
  <c r="I18" i="7"/>
  <c r="J18" i="7"/>
  <c r="H3" i="8" l="1"/>
  <c r="I158" i="45" l="1"/>
  <c r="I157" i="45"/>
  <c r="I155" i="45"/>
  <c r="I149" i="45"/>
  <c r="I156" i="45" s="1"/>
  <c r="I144" i="45"/>
  <c r="H144" i="45"/>
  <c r="I143" i="45"/>
  <c r="H143" i="45"/>
  <c r="I142" i="45"/>
  <c r="H142" i="45"/>
  <c r="I141" i="45"/>
  <c r="H141" i="45"/>
  <c r="I139" i="45"/>
  <c r="H139" i="45"/>
  <c r="I137" i="45"/>
  <c r="H137" i="45"/>
  <c r="I135" i="45"/>
  <c r="H135" i="45"/>
  <c r="I132" i="45"/>
  <c r="I133" i="45" s="1"/>
  <c r="H132" i="45"/>
  <c r="H133" i="45" s="1"/>
  <c r="I130" i="45"/>
  <c r="I127" i="45" s="1"/>
  <c r="I123" i="45"/>
  <c r="I160" i="45" s="1"/>
  <c r="I122" i="45"/>
  <c r="I145" i="45" s="1"/>
  <c r="H122" i="45"/>
  <c r="H145" i="45" s="1"/>
  <c r="I121" i="45"/>
  <c r="I159" i="45" s="1"/>
  <c r="I161" i="45" l="1"/>
  <c r="I140" i="45"/>
  <c r="H124" i="45"/>
  <c r="H121" i="45"/>
  <c r="H140" i="45"/>
  <c r="H125" i="45"/>
  <c r="I125" i="45"/>
  <c r="I126" i="45" s="1"/>
  <c r="I124" i="45"/>
  <c r="I150" i="45"/>
  <c r="I151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60" i="10"/>
  <c r="H159" i="10"/>
  <c r="G159" i="10"/>
  <c r="H158" i="10"/>
  <c r="H210" i="10" s="1"/>
  <c r="H184" i="10" l="1"/>
  <c r="H92" i="11"/>
  <c r="H61" i="11"/>
  <c r="H79" i="11"/>
  <c r="G67" i="11"/>
  <c r="H84" i="11"/>
  <c r="H85" i="11"/>
  <c r="H67" i="11"/>
  <c r="H196" i="10"/>
  <c r="G178" i="10"/>
  <c r="G203" i="10"/>
  <c r="H200" i="10"/>
  <c r="G58" i="11"/>
  <c r="G173" i="10"/>
  <c r="G55" i="11"/>
  <c r="G97" i="11"/>
  <c r="G158" i="10"/>
  <c r="G210" i="10" s="1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H68" i="8"/>
  <c r="H66" i="8"/>
  <c r="H64" i="8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G6" i="8"/>
  <c r="H65" i="8" l="1"/>
  <c r="H72" i="8" s="1"/>
  <c r="H67" i="8"/>
  <c r="H69" i="8"/>
  <c r="H85" i="8"/>
  <c r="H94" i="11"/>
  <c r="G50" i="8"/>
  <c r="G51" i="8" s="1"/>
  <c r="G42" i="8"/>
  <c r="H37" i="9"/>
  <c r="G27" i="8"/>
  <c r="G29" i="8"/>
  <c r="G84" i="8"/>
  <c r="G91" i="8"/>
  <c r="G31" i="8"/>
  <c r="G16" i="8"/>
  <c r="G24" i="8"/>
  <c r="H14" i="9"/>
  <c r="H89" i="9"/>
  <c r="G130" i="26"/>
  <c r="H33" i="22"/>
  <c r="G25" i="9"/>
  <c r="G88" i="9" s="1"/>
  <c r="H193" i="10"/>
  <c r="H49" i="9"/>
  <c r="H76" i="9" s="1"/>
  <c r="H94" i="9"/>
  <c r="G19" i="15" s="1"/>
  <c r="H90" i="9"/>
  <c r="H96" i="9"/>
  <c r="H100" i="9"/>
  <c r="H74" i="8"/>
  <c r="H16" i="8"/>
  <c r="H91" i="8"/>
  <c r="H62" i="9"/>
  <c r="H109" i="8"/>
  <c r="H52" i="8" s="1"/>
  <c r="H120" i="8" s="1"/>
  <c r="H63" i="8"/>
  <c r="H44" i="8"/>
  <c r="H136" i="8" s="1"/>
  <c r="H47" i="8"/>
  <c r="H62" i="8"/>
  <c r="G23" i="8"/>
  <c r="G28" i="8"/>
  <c r="H39" i="8"/>
  <c r="H45" i="8"/>
  <c r="G25" i="8"/>
  <c r="G30" i="8"/>
  <c r="H40" i="8"/>
  <c r="H43" i="8"/>
  <c r="H135" i="8" s="1"/>
  <c r="H46" i="8"/>
  <c r="H137" i="8" s="1"/>
  <c r="H50" i="8"/>
  <c r="H51" i="8" s="1"/>
  <c r="H81" i="8"/>
  <c r="H41" i="8"/>
  <c r="H34" i="8" l="1"/>
  <c r="H36" i="8"/>
  <c r="G59" i="8"/>
  <c r="H73" i="8"/>
  <c r="H35" i="8"/>
  <c r="H37" i="8"/>
  <c r="H138" i="8"/>
  <c r="H77" i="8"/>
  <c r="G6" i="26"/>
  <c r="H91" i="9"/>
  <c r="H83" i="9"/>
  <c r="H52" i="9"/>
  <c r="H86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3" i="8" s="1"/>
  <c r="H122" i="8" s="1"/>
  <c r="H123" i="8" s="1"/>
  <c r="G67" i="8"/>
  <c r="G69" i="8"/>
  <c r="G65" i="8"/>
  <c r="G26" i="8"/>
  <c r="G108" i="8"/>
  <c r="G109" i="8" s="1"/>
  <c r="H70" i="8"/>
  <c r="H71" i="8"/>
  <c r="G34" i="8" l="1"/>
  <c r="G63" i="8"/>
  <c r="G36" i="8"/>
  <c r="G37" i="8"/>
  <c r="H121" i="8"/>
  <c r="H125" i="8" s="1"/>
  <c r="H126" i="8" s="1"/>
  <c r="H74" i="9"/>
  <c r="H79" i="9" s="1"/>
  <c r="G110" i="8"/>
  <c r="G111" i="8" s="1"/>
  <c r="G35" i="8" l="1"/>
  <c r="H130" i="8"/>
  <c r="H143" i="8" s="1"/>
  <c r="H129" i="8"/>
  <c r="H131" i="8"/>
  <c r="H144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5" i="7"/>
  <c r="G75" i="7"/>
  <c r="H71" i="7"/>
  <c r="H73" i="7" s="1"/>
  <c r="G71" i="7"/>
  <c r="G73" i="7" s="1"/>
  <c r="H67" i="7"/>
  <c r="G67" i="7"/>
  <c r="H21" i="7"/>
  <c r="H41" i="7" s="1"/>
  <c r="H51" i="7" s="1"/>
  <c r="G21" i="7"/>
  <c r="G41" i="7" s="1"/>
  <c r="G51" i="7" s="1"/>
  <c r="I62" i="39"/>
  <c r="G61" i="39"/>
  <c r="G60" i="39"/>
  <c r="G48" i="39"/>
  <c r="G47" i="39"/>
  <c r="G46" i="39"/>
  <c r="G43" i="39"/>
  <c r="G42" i="39"/>
  <c r="G8" i="39"/>
  <c r="G35" i="7" l="1"/>
  <c r="G99" i="7" s="1"/>
  <c r="G31" i="7"/>
  <c r="G95" i="7" s="1"/>
  <c r="G26" i="7"/>
  <c r="G34" i="7"/>
  <c r="G98" i="7" s="1"/>
  <c r="G29" i="7"/>
  <c r="G93" i="7" s="1"/>
  <c r="G25" i="7"/>
  <c r="G37" i="7"/>
  <c r="G101" i="7" s="1"/>
  <c r="G33" i="7"/>
  <c r="G97" i="7" s="1"/>
  <c r="G28" i="7"/>
  <c r="G92" i="7" s="1"/>
  <c r="G24" i="7"/>
  <c r="G36" i="7"/>
  <c r="G100" i="7" s="1"/>
  <c r="G32" i="7"/>
  <c r="G96" i="7" s="1"/>
  <c r="G27" i="7"/>
  <c r="G91" i="7" s="1"/>
  <c r="G23" i="7"/>
  <c r="G87" i="7" s="1"/>
  <c r="G62" i="7"/>
  <c r="G61" i="7"/>
  <c r="G103" i="7" s="1"/>
  <c r="G60" i="7"/>
  <c r="G59" i="7"/>
  <c r="G58" i="7"/>
  <c r="G57" i="7"/>
  <c r="G56" i="7"/>
  <c r="G102" i="7" s="1"/>
  <c r="G55" i="7"/>
  <c r="G54" i="7"/>
  <c r="G22" i="39"/>
  <c r="H132" i="8"/>
  <c r="H145" i="8" s="1"/>
  <c r="H142" i="8"/>
  <c r="G81" i="7"/>
  <c r="H76" i="7"/>
  <c r="H78" i="7"/>
  <c r="G68" i="7"/>
  <c r="G78" i="7"/>
  <c r="G83" i="7"/>
  <c r="G76" i="7"/>
  <c r="H83" i="7"/>
  <c r="G23" i="39"/>
  <c r="G50" i="39"/>
  <c r="G45" i="39"/>
  <c r="H81" i="7"/>
  <c r="G49" i="39"/>
  <c r="H69" i="7"/>
  <c r="I111" i="6"/>
  <c r="J111" i="6"/>
  <c r="I94" i="6"/>
  <c r="J94" i="6"/>
  <c r="I96" i="6"/>
  <c r="J96" i="6"/>
  <c r="G90" i="7" l="1"/>
  <c r="G88" i="7"/>
  <c r="G89" i="7"/>
  <c r="G24" i="39"/>
  <c r="H38" i="7"/>
  <c r="H53" i="7" s="1"/>
  <c r="G51" i="39"/>
  <c r="G38" i="7"/>
  <c r="H218" i="6"/>
  <c r="G218" i="6"/>
  <c r="H217" i="6"/>
  <c r="G217" i="6"/>
  <c r="G195" i="6"/>
  <c r="H194" i="6"/>
  <c r="G193" i="6"/>
  <c r="H189" i="6"/>
  <c r="G189" i="6"/>
  <c r="H188" i="6"/>
  <c r="G188" i="6"/>
  <c r="H187" i="6"/>
  <c r="G187" i="6"/>
  <c r="G186" i="6"/>
  <c r="G185" i="6"/>
  <c r="G182" i="6"/>
  <c r="G181" i="6"/>
  <c r="G180" i="6"/>
  <c r="G179" i="6"/>
  <c r="G178" i="6"/>
  <c r="G177" i="6"/>
  <c r="G175" i="6"/>
  <c r="G174" i="6"/>
  <c r="G173" i="6"/>
  <c r="H163" i="6"/>
  <c r="G163" i="6"/>
  <c r="H162" i="6"/>
  <c r="G162" i="6"/>
  <c r="G161" i="6"/>
  <c r="G160" i="6"/>
  <c r="G157" i="6"/>
  <c r="G156" i="6"/>
  <c r="G155" i="6"/>
  <c r="G154" i="6"/>
  <c r="G153" i="6"/>
  <c r="G152" i="6"/>
  <c r="G150" i="6"/>
  <c r="G149" i="6"/>
  <c r="G148" i="6"/>
  <c r="H138" i="6"/>
  <c r="H135" i="6"/>
  <c r="G135" i="6"/>
  <c r="H134" i="6"/>
  <c r="G134" i="6"/>
  <c r="H133" i="6"/>
  <c r="G133" i="6"/>
  <c r="H132" i="6"/>
  <c r="G132" i="6"/>
  <c r="H130" i="6"/>
  <c r="G130" i="6"/>
  <c r="H129" i="6"/>
  <c r="G129" i="6"/>
  <c r="H127" i="6"/>
  <c r="G127" i="6"/>
  <c r="H126" i="6"/>
  <c r="G126" i="6"/>
  <c r="H125" i="6"/>
  <c r="G125" i="6"/>
  <c r="H124" i="6"/>
  <c r="G124" i="6"/>
  <c r="H119" i="6"/>
  <c r="G119" i="6"/>
  <c r="H114" i="6"/>
  <c r="G114" i="6"/>
  <c r="H103" i="6"/>
  <c r="G103" i="6"/>
  <c r="G98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G104" i="7" l="1"/>
  <c r="G53" i="7"/>
  <c r="G63" i="7" s="1"/>
  <c r="H104" i="7"/>
  <c r="G30" i="6"/>
  <c r="G34" i="39"/>
  <c r="G184" i="6"/>
  <c r="G22" i="6"/>
  <c r="H136" i="6"/>
  <c r="H63" i="7"/>
  <c r="H77" i="7"/>
  <c r="G120" i="6"/>
  <c r="G131" i="6"/>
  <c r="G136" i="6"/>
  <c r="H57" i="6"/>
  <c r="H35" i="6"/>
  <c r="G31" i="6"/>
  <c r="G27" i="6"/>
  <c r="G164" i="6"/>
  <c r="G159" i="6"/>
  <c r="G24" i="6"/>
  <c r="H131" i="6"/>
  <c r="G28" i="6"/>
  <c r="H120" i="6"/>
  <c r="G25" i="6"/>
  <c r="G21" i="6"/>
  <c r="G104" i="6"/>
  <c r="G190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43" i="77"/>
  <c r="H45" i="77"/>
  <c r="H46" i="77"/>
  <c r="H47" i="77"/>
  <c r="H48" i="77"/>
  <c r="H49" i="77"/>
  <c r="H50" i="77"/>
  <c r="H51" i="77"/>
  <c r="H52" i="77"/>
  <c r="H54" i="77"/>
  <c r="H55" i="77"/>
  <c r="H56" i="77"/>
  <c r="H57" i="77"/>
  <c r="H58" i="77"/>
  <c r="H60" i="77"/>
  <c r="H61" i="77"/>
  <c r="H63" i="77"/>
  <c r="H64" i="77"/>
  <c r="H65" i="77"/>
  <c r="H66" i="77"/>
  <c r="H67" i="77"/>
  <c r="H68" i="77"/>
  <c r="H69" i="77"/>
  <c r="H70" i="77"/>
  <c r="H72" i="77"/>
  <c r="H73" i="77"/>
  <c r="H74" i="77"/>
  <c r="H75" i="77"/>
  <c r="H76" i="77"/>
  <c r="H80" i="77"/>
  <c r="H81" i="77"/>
  <c r="H83" i="77"/>
  <c r="H77" i="77"/>
  <c r="H87" i="77"/>
  <c r="H86" i="77" s="1"/>
  <c r="H90" i="77"/>
  <c r="H91" i="77"/>
  <c r="G91" i="77"/>
  <c r="G90" i="77"/>
  <c r="G83" i="77"/>
  <c r="G81" i="77"/>
  <c r="G80" i="77"/>
  <c r="G77" i="7" l="1"/>
  <c r="H89" i="77"/>
  <c r="G81" i="6"/>
  <c r="G106" i="6"/>
  <c r="G29" i="6"/>
  <c r="H137" i="6"/>
  <c r="H139" i="6" s="1"/>
  <c r="H21" i="77"/>
  <c r="G32" i="6"/>
  <c r="H122" i="6"/>
  <c r="G122" i="6"/>
  <c r="G89" i="77"/>
  <c r="H36" i="77"/>
  <c r="H95" i="77"/>
  <c r="H84" i="77"/>
  <c r="H32" i="77"/>
  <c r="H71" i="77"/>
  <c r="H13" i="77"/>
  <c r="H53" i="77"/>
  <c r="H26" i="77"/>
  <c r="G84" i="77"/>
  <c r="G137" i="6"/>
  <c r="G84" i="6"/>
  <c r="G34" i="6"/>
  <c r="G26" i="6"/>
  <c r="G33" i="6"/>
  <c r="G23" i="6"/>
  <c r="G524" i="28"/>
  <c r="H481" i="28"/>
  <c r="H475" i="28"/>
  <c r="H443" i="28"/>
  <c r="H431" i="28"/>
  <c r="G431" i="28"/>
  <c r="H415" i="28"/>
  <c r="H304" i="28"/>
  <c r="G304" i="28"/>
  <c r="H298" i="28"/>
  <c r="G298" i="28"/>
  <c r="H297" i="28"/>
  <c r="G297" i="28"/>
  <c r="H256" i="28"/>
  <c r="G256" i="28"/>
  <c r="H235" i="28"/>
  <c r="H233" i="28"/>
  <c r="H96" i="28"/>
  <c r="H95" i="28"/>
  <c r="H93" i="28"/>
  <c r="H89" i="28"/>
  <c r="H85" i="28"/>
  <c r="H81" i="28"/>
  <c r="G68" i="28"/>
  <c r="G67" i="28"/>
  <c r="G65" i="28"/>
  <c r="H56" i="28"/>
  <c r="H29" i="28"/>
  <c r="G23" i="28"/>
  <c r="H21" i="28"/>
  <c r="G15" i="28"/>
  <c r="H13" i="28"/>
  <c r="G7" i="28"/>
  <c r="H169" i="6" l="1"/>
  <c r="H72" i="28"/>
  <c r="H512" i="28"/>
  <c r="G29" i="28"/>
  <c r="H416" i="28"/>
  <c r="H514" i="28" s="1"/>
  <c r="H516" i="28"/>
  <c r="H508" i="28"/>
  <c r="G21" i="28"/>
  <c r="G171" i="6"/>
  <c r="G146" i="6"/>
  <c r="G168" i="6"/>
  <c r="G169" i="6"/>
  <c r="G139" i="6"/>
  <c r="G143" i="6"/>
  <c r="H171" i="6"/>
  <c r="H195" i="6"/>
  <c r="H168" i="6"/>
  <c r="H170" i="6" s="1"/>
  <c r="G144" i="6"/>
  <c r="G145" i="6" s="1"/>
  <c r="H513" i="28"/>
  <c r="G95" i="77"/>
  <c r="H299" i="28"/>
  <c r="G35" i="6"/>
  <c r="H236" i="28"/>
  <c r="H492" i="28"/>
  <c r="H74" i="28"/>
  <c r="H208" i="6"/>
  <c r="H202" i="6"/>
  <c r="H213" i="6"/>
  <c r="H210" i="6"/>
  <c r="H207" i="6"/>
  <c r="H204" i="6"/>
  <c r="H200" i="6"/>
  <c r="H205" i="6"/>
  <c r="H199" i="6"/>
  <c r="H209" i="6"/>
  <c r="H203" i="6"/>
  <c r="H97" i="28"/>
  <c r="H509" i="28"/>
  <c r="H73" i="28"/>
  <c r="H505" i="28"/>
  <c r="G13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507" i="28" l="1"/>
  <c r="G199" i="6"/>
  <c r="G299" i="28"/>
  <c r="H98" i="28"/>
  <c r="G204" i="6"/>
  <c r="H502" i="28"/>
  <c r="G416" i="28"/>
  <c r="G74" i="28"/>
  <c r="H515" i="28"/>
  <c r="H524" i="28"/>
  <c r="G73" i="28"/>
  <c r="G170" i="6"/>
  <c r="G202" i="6"/>
  <c r="G210" i="6"/>
  <c r="G203" i="6"/>
  <c r="G207" i="6"/>
  <c r="G208" i="6"/>
  <c r="G200" i="6"/>
  <c r="G213" i="6"/>
  <c r="G214" i="6" s="1"/>
  <c r="G209" i="6"/>
  <c r="G205" i="6"/>
  <c r="H511" i="28"/>
  <c r="H510" i="28"/>
  <c r="H503" i="28"/>
  <c r="H506" i="28"/>
  <c r="G12" i="49"/>
  <c r="H214" i="6"/>
  <c r="H206" i="6"/>
  <c r="H211" i="6"/>
  <c r="K11" i="59" s="1"/>
  <c r="G236" i="28"/>
  <c r="G72" i="28"/>
  <c r="G173" i="73"/>
  <c r="G160" i="73"/>
  <c r="G171" i="73" s="1"/>
  <c r="G129" i="73"/>
  <c r="G125" i="73"/>
  <c r="G121" i="73"/>
  <c r="G117" i="73"/>
  <c r="G108" i="73"/>
  <c r="G101" i="73"/>
  <c r="G97" i="73"/>
  <c r="G57" i="73"/>
  <c r="G51" i="73"/>
  <c r="G46" i="73"/>
  <c r="G41" i="73"/>
  <c r="G30" i="73"/>
  <c r="G25" i="73"/>
  <c r="G18" i="73"/>
  <c r="H58" i="28" s="1"/>
  <c r="H60" i="28" s="1"/>
  <c r="G16" i="73"/>
  <c r="G8" i="73"/>
  <c r="K78" i="59"/>
  <c r="K77" i="59"/>
  <c r="K76" i="59"/>
  <c r="J75" i="59"/>
  <c r="J74" i="59"/>
  <c r="K73" i="59"/>
  <c r="J73" i="59"/>
  <c r="K72" i="59"/>
  <c r="J72" i="59"/>
  <c r="K69" i="59"/>
  <c r="J69" i="59"/>
  <c r="K68" i="59"/>
  <c r="J68" i="59"/>
  <c r="K65" i="59"/>
  <c r="J65" i="59"/>
  <c r="K64" i="59"/>
  <c r="J64" i="59"/>
  <c r="K61" i="59"/>
  <c r="J61" i="59"/>
  <c r="K60" i="59"/>
  <c r="J60" i="59"/>
  <c r="K59" i="59"/>
  <c r="K58" i="59"/>
  <c r="J58" i="59"/>
  <c r="K57" i="59"/>
  <c r="J57" i="59"/>
  <c r="J52" i="59"/>
  <c r="K51" i="59"/>
  <c r="J51" i="59"/>
  <c r="K50" i="59"/>
  <c r="J50" i="59"/>
  <c r="K49" i="59"/>
  <c r="J49" i="59"/>
  <c r="K47" i="59"/>
  <c r="J47" i="59"/>
  <c r="K46" i="59"/>
  <c r="J46" i="59"/>
  <c r="K45" i="59"/>
  <c r="J45" i="59"/>
  <c r="K44" i="59"/>
  <c r="J44" i="59"/>
  <c r="K42" i="59"/>
  <c r="J42" i="59"/>
  <c r="K41" i="59"/>
  <c r="J41" i="59"/>
  <c r="K40" i="59"/>
  <c r="J40" i="59"/>
  <c r="J38" i="59"/>
  <c r="J37" i="59"/>
  <c r="J36" i="59"/>
  <c r="K35" i="59"/>
  <c r="J35" i="59"/>
  <c r="K34" i="59"/>
  <c r="J34" i="59"/>
  <c r="K33" i="59"/>
  <c r="J33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K22" i="59"/>
  <c r="K20" i="59"/>
  <c r="K19" i="59"/>
  <c r="K18" i="59"/>
  <c r="K17" i="59"/>
  <c r="K16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4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4" i="59" s="1"/>
  <c r="H23" i="36"/>
  <c r="K71" i="59" s="1"/>
  <c r="G23" i="36"/>
  <c r="J71" i="59" s="1"/>
  <c r="H22" i="36"/>
  <c r="K67" i="59" s="1"/>
  <c r="G22" i="36"/>
  <c r="J67" i="59" s="1"/>
  <c r="H21" i="36"/>
  <c r="K63" i="59" s="1"/>
  <c r="G21" i="36"/>
  <c r="J63" i="59" s="1"/>
  <c r="G17" i="36"/>
  <c r="G90" i="9" s="1"/>
  <c r="G16" i="36"/>
  <c r="J53" i="59" s="1"/>
  <c r="G13" i="36"/>
  <c r="J39" i="59" s="1"/>
  <c r="H12" i="36"/>
  <c r="K38" i="59" s="1"/>
  <c r="H11" i="36"/>
  <c r="K37" i="59" s="1"/>
  <c r="H10" i="36"/>
  <c r="K36" i="59" s="1"/>
  <c r="G9" i="36"/>
  <c r="J10" i="59" s="1"/>
  <c r="H8" i="36"/>
  <c r="K9" i="59" s="1"/>
  <c r="G8" i="36"/>
  <c r="J9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G12" i="21"/>
  <c r="G15" i="21" s="1"/>
  <c r="G6" i="73" l="1"/>
  <c r="H46" i="28"/>
  <c r="H35" i="28" s="1"/>
  <c r="G113" i="73"/>
  <c r="G87" i="28"/>
  <c r="G515" i="28"/>
  <c r="G503" i="28"/>
  <c r="G507" i="28"/>
  <c r="G511" i="28"/>
  <c r="G83" i="28"/>
  <c r="I143" i="50"/>
  <c r="G119" i="90"/>
  <c r="G211" i="6"/>
  <c r="G206" i="6"/>
  <c r="G12" i="15"/>
  <c r="G13" i="15" s="1"/>
  <c r="G14" i="15" s="1"/>
  <c r="G132" i="73"/>
  <c r="J48" i="59"/>
  <c r="J76" i="59"/>
  <c r="J77" i="59"/>
  <c r="J78" i="59"/>
  <c r="J43" i="59"/>
  <c r="J6" i="59"/>
  <c r="H71" i="36"/>
  <c r="K43" i="59"/>
  <c r="G89" i="9"/>
  <c r="G91" i="9" s="1"/>
  <c r="J54" i="59"/>
  <c r="G68" i="36"/>
  <c r="G14" i="49"/>
  <c r="G15" i="49" s="1"/>
  <c r="G16" i="49" s="1"/>
  <c r="G19" i="49" s="1"/>
  <c r="G20" i="49" s="1"/>
  <c r="G5" i="73"/>
  <c r="H18" i="36"/>
  <c r="K55" i="59" s="1"/>
  <c r="H68" i="36"/>
  <c r="H60" i="36"/>
  <c r="K53" i="59"/>
  <c r="K48" i="59"/>
  <c r="H13" i="36"/>
  <c r="K39" i="59" s="1"/>
  <c r="H212" i="6"/>
  <c r="H215" i="6" s="1"/>
  <c r="G79" i="28"/>
  <c r="H63" i="36"/>
  <c r="H20" i="21"/>
  <c r="G22" i="21"/>
  <c r="G18" i="35"/>
  <c r="G61" i="36" s="1"/>
  <c r="G63" i="36" s="1"/>
  <c r="G16" i="35"/>
  <c r="H67" i="28" l="1"/>
  <c r="H37" i="28"/>
  <c r="H69" i="28"/>
  <c r="H48" i="28"/>
  <c r="H442" i="28"/>
  <c r="H473" i="28" s="1"/>
  <c r="G212" i="6"/>
  <c r="G215" i="6" s="1"/>
  <c r="G514" i="28"/>
  <c r="G513" i="28"/>
  <c r="G510" i="28"/>
  <c r="G502" i="28"/>
  <c r="G509" i="28"/>
  <c r="G58" i="36"/>
  <c r="H19" i="36"/>
  <c r="K56" i="59" s="1"/>
  <c r="F18" i="15"/>
  <c r="F15" i="15" s="1"/>
  <c r="F16" i="15" s="1"/>
  <c r="G5" i="9"/>
  <c r="G33" i="36"/>
  <c r="G64" i="36"/>
  <c r="G59" i="36"/>
  <c r="H9" i="36"/>
  <c r="K10" i="59" s="1"/>
  <c r="G506" i="28"/>
  <c r="G505" i="28"/>
  <c r="H30" i="35"/>
  <c r="H203" i="10" s="1"/>
  <c r="G42" i="35"/>
  <c r="G41" i="35"/>
  <c r="H40" i="35"/>
  <c r="H39" i="35"/>
  <c r="G39" i="35"/>
  <c r="H36" i="35"/>
  <c r="H48" i="35" s="1"/>
  <c r="G36" i="35"/>
  <c r="G31" i="28" s="1"/>
  <c r="G33" i="35"/>
  <c r="H32" i="35"/>
  <c r="H31" i="35"/>
  <c r="H97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98" i="6" s="1"/>
  <c r="H104" i="6" l="1"/>
  <c r="H106" i="6" s="1"/>
  <c r="H143" i="6"/>
  <c r="H70" i="28"/>
  <c r="H525" i="28"/>
  <c r="H493" i="28"/>
  <c r="H517" i="28"/>
  <c r="H75" i="28"/>
  <c r="H76" i="28" s="1"/>
  <c r="H523" i="28" s="1"/>
  <c r="H519" i="28"/>
  <c r="H522" i="28"/>
  <c r="G60" i="36"/>
  <c r="H35" i="36"/>
  <c r="H36" i="36" s="1"/>
  <c r="H41" i="36"/>
  <c r="G13" i="35"/>
  <c r="G8" i="6"/>
  <c r="H8" i="35"/>
  <c r="G56" i="36"/>
  <c r="G57" i="36"/>
  <c r="G14" i="35"/>
  <c r="G33" i="22"/>
  <c r="G59" i="9"/>
  <c r="G92" i="9"/>
  <c r="G93" i="9" s="1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0" i="26"/>
  <c r="G68" i="9"/>
  <c r="G19" i="9"/>
  <c r="G26" i="21"/>
  <c r="G28" i="21" s="1"/>
  <c r="G34" i="36"/>
  <c r="G35" i="36" s="1"/>
  <c r="G36" i="36" s="1"/>
  <c r="G38" i="36" s="1"/>
  <c r="G30" i="36" s="1"/>
  <c r="J79" i="59" s="1"/>
  <c r="G37" i="28"/>
  <c r="G63" i="28"/>
  <c r="H41" i="35"/>
  <c r="H16" i="6"/>
  <c r="H18" i="6"/>
  <c r="H15" i="6"/>
  <c r="H7" i="6"/>
  <c r="H17" i="6"/>
  <c r="H33" i="35"/>
  <c r="H37" i="35" s="1"/>
  <c r="H25" i="36" s="1"/>
  <c r="K75" i="59" s="1"/>
  <c r="H15" i="35"/>
  <c r="H13" i="49"/>
  <c r="K6" i="59"/>
  <c r="G37" i="35"/>
  <c r="G48" i="35"/>
  <c r="G49" i="35" s="1"/>
  <c r="G11" i="35"/>
  <c r="G10" i="6" s="1"/>
  <c r="H144" i="6" l="1"/>
  <c r="K15" i="59" s="1"/>
  <c r="H193" i="6"/>
  <c r="H146" i="6"/>
  <c r="G15" i="35"/>
  <c r="H496" i="28"/>
  <c r="H518" i="28"/>
  <c r="H497" i="28"/>
  <c r="H38" i="36"/>
  <c r="H30" i="36" s="1"/>
  <c r="K79" i="59" s="1"/>
  <c r="G69" i="28"/>
  <c r="G57" i="9"/>
  <c r="G7" i="22"/>
  <c r="G21" i="22"/>
  <c r="G60" i="9"/>
  <c r="G62" i="9" s="1"/>
  <c r="G493" i="28"/>
  <c r="G75" i="28"/>
  <c r="H185" i="6"/>
  <c r="H190" i="6"/>
  <c r="H164" i="6"/>
  <c r="H160" i="6"/>
  <c r="H19" i="6"/>
  <c r="G55" i="35"/>
  <c r="H145" i="6" l="1"/>
  <c r="H7" i="36" s="1"/>
  <c r="K8" i="59" s="1"/>
  <c r="H81" i="6"/>
  <c r="G522" i="28"/>
  <c r="H84" i="6"/>
  <c r="G22" i="22"/>
  <c r="G8" i="22"/>
  <c r="G91" i="28"/>
  <c r="G76" i="28"/>
  <c r="G519" i="28"/>
  <c r="G496" i="28"/>
  <c r="H40" i="6"/>
  <c r="H37" i="6"/>
  <c r="H38" i="6"/>
  <c r="H39" i="6"/>
  <c r="G497" i="28" l="1"/>
  <c r="G523" i="28"/>
  <c r="G10" i="22"/>
  <c r="G24" i="22"/>
  <c r="G518" i="28"/>
  <c r="G95" i="28"/>
  <c r="G517" i="28"/>
  <c r="H41" i="6"/>
  <c r="G25" i="22" l="1"/>
  <c r="G11" i="22"/>
  <c r="G13" i="22" l="1"/>
  <c r="G27" i="22"/>
  <c r="E49" i="17"/>
  <c r="D49" i="17"/>
  <c r="E44" i="17"/>
  <c r="D44" i="17"/>
  <c r="AI21" i="77" l="1"/>
  <c r="F199" i="10" l="1"/>
  <c r="N13" i="10" l="1"/>
  <c r="G25" i="83"/>
  <c r="J13" i="10"/>
  <c r="N24" i="10"/>
  <c r="G27" i="83"/>
  <c r="J24" i="10"/>
  <c r="N31" i="10"/>
  <c r="G26" i="83"/>
  <c r="J31" i="10"/>
  <c r="N113" i="10"/>
  <c r="J113" i="10"/>
  <c r="N60" i="10"/>
  <c r="G9" i="83"/>
  <c r="J60" i="10"/>
  <c r="N55" i="10"/>
  <c r="J55" i="10"/>
  <c r="N76" i="10"/>
  <c r="J76" i="10"/>
  <c r="N25" i="10"/>
  <c r="G29" i="83"/>
  <c r="J25" i="10"/>
  <c r="N107" i="10"/>
  <c r="AB107" i="10" s="1"/>
  <c r="AF107" i="10" s="1"/>
  <c r="AJ107" i="10" s="1"/>
  <c r="AP107" i="10" s="1"/>
  <c r="AT107" i="10" s="1"/>
  <c r="AX107" i="10" s="1"/>
  <c r="G31" i="83"/>
  <c r="J107" i="10"/>
  <c r="N67" i="10"/>
  <c r="G24" i="83"/>
  <c r="J67" i="10"/>
  <c r="N56" i="10"/>
  <c r="G30" i="83"/>
  <c r="J56" i="10"/>
  <c r="N118" i="10"/>
  <c r="J118" i="10"/>
  <c r="R107" i="10" l="1"/>
  <c r="V107" i="10" s="1"/>
  <c r="R113" i="10"/>
  <c r="V113" i="10" s="1"/>
  <c r="AB113" i="10"/>
  <c r="AF113" i="10" s="1"/>
  <c r="AJ113" i="10" s="1"/>
  <c r="AP113" i="10" s="1"/>
  <c r="AT113" i="10" s="1"/>
  <c r="AX113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8" i="10"/>
  <c r="V118" i="10" s="1"/>
  <c r="AB118" i="10"/>
  <c r="AF118" i="10" s="1"/>
  <c r="AJ118" i="10" s="1"/>
  <c r="AP118" i="10" s="1"/>
  <c r="AT118" i="10" s="1"/>
  <c r="AX118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83" i="11" l="1"/>
  <c r="F87" i="8" l="1"/>
  <c r="D17" i="8" l="1"/>
  <c r="D14" i="8"/>
  <c r="M127" i="6" l="1"/>
  <c r="I127" i="6"/>
  <c r="N127" i="6"/>
  <c r="J127" i="6"/>
  <c r="R127" i="6" l="1"/>
  <c r="V127" i="6" s="1"/>
  <c r="AB127" i="6"/>
  <c r="AF127" i="6" s="1"/>
  <c r="AJ127" i="6" s="1"/>
  <c r="AP127" i="6" s="1"/>
  <c r="AT127" i="6" s="1"/>
  <c r="AX127" i="6" s="1"/>
  <c r="Q127" i="6"/>
  <c r="U127" i="6" s="1"/>
  <c r="AA127" i="6"/>
  <c r="AE127" i="6" s="1"/>
  <c r="AI127" i="6" s="1"/>
  <c r="AO127" i="6" s="1"/>
  <c r="AS127" i="6" s="1"/>
  <c r="AW127" i="6" s="1"/>
  <c r="BF127" i="6" l="1"/>
  <c r="BH127" i="6" s="1"/>
  <c r="BE127" i="6"/>
  <c r="BG127" i="6" s="1"/>
  <c r="H42" i="35" l="1"/>
  <c r="H43" i="35"/>
  <c r="L43" i="35"/>
  <c r="H44" i="35"/>
  <c r="L44" i="35"/>
  <c r="H45" i="35"/>
  <c r="L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Y108" i="90" s="1"/>
  <c r="W12" i="72"/>
  <c r="Y112" i="90" s="1"/>
  <c r="W13" i="72"/>
  <c r="Y113" i="90" s="1"/>
  <c r="W14" i="72"/>
  <c r="Y114" i="90" s="1"/>
  <c r="W16" i="72"/>
  <c r="W17" i="72"/>
  <c r="Y115" i="90" s="1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O12" i="72"/>
  <c r="O13" i="72"/>
  <c r="O14" i="72"/>
  <c r="O16" i="72"/>
  <c r="S16" i="72" s="1"/>
  <c r="O17" i="72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M108" i="90" s="1"/>
  <c r="K12" i="72"/>
  <c r="M112" i="90" s="1"/>
  <c r="K13" i="72"/>
  <c r="M113" i="90" s="1"/>
  <c r="K14" i="72"/>
  <c r="M114" i="90" s="1"/>
  <c r="K16" i="72"/>
  <c r="K17" i="72"/>
  <c r="K19" i="72"/>
  <c r="K20" i="72"/>
  <c r="Y20" i="72" s="1"/>
  <c r="AC20" i="72" s="1"/>
  <c r="AG20" i="72" s="1"/>
  <c r="K21" i="72"/>
  <c r="K22" i="72"/>
  <c r="K23" i="72"/>
  <c r="K24" i="72"/>
  <c r="K26" i="72"/>
  <c r="K27" i="72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I108" i="90" s="1"/>
  <c r="G12" i="72"/>
  <c r="I112" i="90" s="1"/>
  <c r="G13" i="72"/>
  <c r="I113" i="90" s="1"/>
  <c r="G14" i="72"/>
  <c r="I114" i="90" s="1"/>
  <c r="G16" i="72"/>
  <c r="G17" i="72"/>
  <c r="I115" i="90" s="1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BA14" i="72" l="1"/>
  <c r="BA13" i="72"/>
  <c r="Y17" i="72"/>
  <c r="M115" i="90"/>
  <c r="BA12" i="72"/>
  <c r="S8" i="72"/>
  <c r="U108" i="90" s="1"/>
  <c r="Q108" i="90"/>
  <c r="S17" i="72"/>
  <c r="U115" i="90" s="1"/>
  <c r="Q115" i="90"/>
  <c r="S14" i="72"/>
  <c r="U114" i="90" s="1"/>
  <c r="Q114" i="90"/>
  <c r="Y27" i="72"/>
  <c r="AC27" i="72" s="1"/>
  <c r="AG27" i="72" s="1"/>
  <c r="AM27" i="72" s="1"/>
  <c r="AQ27" i="72" s="1"/>
  <c r="AU27" i="72" s="1"/>
  <c r="BC27" i="72" s="1"/>
  <c r="S13" i="72"/>
  <c r="U113" i="90" s="1"/>
  <c r="Q113" i="90"/>
  <c r="S12" i="72"/>
  <c r="U112" i="90" s="1"/>
  <c r="Q112" i="90"/>
  <c r="Y47" i="72"/>
  <c r="AC47" i="72" s="1"/>
  <c r="AG47" i="72" s="1"/>
  <c r="AM47" i="72" s="1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BA19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Y26" i="72"/>
  <c r="AC26" i="72" s="1"/>
  <c r="AG26" i="72" s="1"/>
  <c r="Y19" i="72"/>
  <c r="AC19" i="72" s="1"/>
  <c r="AG19" i="72" s="1"/>
  <c r="Y45" i="72"/>
  <c r="AC45" i="72" s="1"/>
  <c r="AG45" i="72" s="1"/>
  <c r="Y8" i="72"/>
  <c r="Y24" i="72"/>
  <c r="AC24" i="72" s="1"/>
  <c r="AG24" i="72" s="1"/>
  <c r="BA47" i="72"/>
  <c r="BA40" i="72"/>
  <c r="BA21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K25" i="72"/>
  <c r="G25" i="72"/>
  <c r="O25" i="72"/>
  <c r="Y13" i="72"/>
  <c r="S23" i="72"/>
  <c r="S25" i="72" s="1"/>
  <c r="W25" i="72"/>
  <c r="Y23" i="72"/>
  <c r="AP49" i="72"/>
  <c r="AR49" i="72"/>
  <c r="AT49" i="72"/>
  <c r="AV49" i="72"/>
  <c r="AX49" i="72"/>
  <c r="AZ49" i="72"/>
  <c r="BB49" i="72"/>
  <c r="AC14" i="72" l="1"/>
  <c r="AA114" i="90"/>
  <c r="AC12" i="72"/>
  <c r="AA112" i="90"/>
  <c r="AC17" i="72"/>
  <c r="AA115" i="90"/>
  <c r="AC8" i="72"/>
  <c r="AA108" i="90"/>
  <c r="AC13" i="72"/>
  <c r="AA113" i="90"/>
  <c r="AM45" i="72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22" i="72"/>
  <c r="AQ22" i="72" s="1"/>
  <c r="AU22" i="72" s="1"/>
  <c r="BC22" i="72" s="1"/>
  <c r="AG44" i="72"/>
  <c r="AG36" i="72"/>
  <c r="Y25" i="72"/>
  <c r="AC23" i="72"/>
  <c r="AG13" i="72" l="1"/>
  <c r="AE113" i="90"/>
  <c r="AG17" i="72"/>
  <c r="AE115" i="90"/>
  <c r="AG8" i="72"/>
  <c r="AE108" i="90"/>
  <c r="AG12" i="72"/>
  <c r="AE112" i="90"/>
  <c r="AG14" i="72"/>
  <c r="AE114" i="90"/>
  <c r="AQ16" i="72"/>
  <c r="AM44" i="72"/>
  <c r="AQ44" i="72" s="1"/>
  <c r="AU44" i="72" s="1"/>
  <c r="AM36" i="72"/>
  <c r="AQ36" i="72" s="1"/>
  <c r="AU36" i="72" s="1"/>
  <c r="AC25" i="72"/>
  <c r="AG23" i="72"/>
  <c r="AM23" i="72" s="1"/>
  <c r="AI108" i="90" l="1"/>
  <c r="AM8" i="72"/>
  <c r="AI114" i="90"/>
  <c r="AM14" i="72"/>
  <c r="AI112" i="90"/>
  <c r="AM12" i="72"/>
  <c r="AI115" i="90"/>
  <c r="AM17" i="72"/>
  <c r="AI113" i="90"/>
  <c r="AM13" i="72"/>
  <c r="AU16" i="72"/>
  <c r="BC16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O112" i="90" l="1"/>
  <c r="AQ12" i="72"/>
  <c r="AO114" i="90"/>
  <c r="AQ14" i="72"/>
  <c r="AQ8" i="72"/>
  <c r="AO108" i="90"/>
  <c r="AO113" i="90"/>
  <c r="AQ13" i="72"/>
  <c r="AQ17" i="72"/>
  <c r="AO115" i="90"/>
  <c r="AY25" i="72"/>
  <c r="BA23" i="72"/>
  <c r="BA25" i="72" s="1"/>
  <c r="AQ23" i="72"/>
  <c r="D132" i="50"/>
  <c r="D131" i="50"/>
  <c r="BA58" i="71"/>
  <c r="K87" i="90" s="1"/>
  <c r="BE58" i="71"/>
  <c r="O87" i="90" s="1"/>
  <c r="BI58" i="71"/>
  <c r="S87" i="90" s="1"/>
  <c r="BS58" i="71"/>
  <c r="AC87" i="90" s="1"/>
  <c r="BW58" i="71"/>
  <c r="AG87" i="90" s="1"/>
  <c r="CA58" i="71"/>
  <c r="AK87" i="90" s="1"/>
  <c r="CG58" i="71"/>
  <c r="AQ87" i="90" s="1"/>
  <c r="CK58" i="71"/>
  <c r="AU87" i="90" s="1"/>
  <c r="CO58" i="71"/>
  <c r="AY87" i="90" s="1"/>
  <c r="CO59" i="71"/>
  <c r="AY88" i="90" s="1"/>
  <c r="CK59" i="71"/>
  <c r="AU88" i="90" s="1"/>
  <c r="CG59" i="71"/>
  <c r="AQ88" i="90" s="1"/>
  <c r="CA59" i="71"/>
  <c r="AK88" i="90" s="1"/>
  <c r="BW59" i="71"/>
  <c r="AG88" i="90" s="1"/>
  <c r="BS59" i="71"/>
  <c r="AC88" i="90" s="1"/>
  <c r="BM59" i="71"/>
  <c r="W88" i="90" s="1"/>
  <c r="BI59" i="71"/>
  <c r="S88" i="90" s="1"/>
  <c r="BE59" i="71"/>
  <c r="O88" i="90" s="1"/>
  <c r="BA59" i="71"/>
  <c r="K88" i="90" s="1"/>
  <c r="BA87" i="90" l="1"/>
  <c r="AY89" i="90"/>
  <c r="BE88" i="90"/>
  <c r="BA88" i="90"/>
  <c r="AU17" i="72"/>
  <c r="AS115" i="90"/>
  <c r="AS113" i="90"/>
  <c r="AU13" i="72"/>
  <c r="AU8" i="72"/>
  <c r="AS108" i="90"/>
  <c r="AS114" i="90"/>
  <c r="AU14" i="72"/>
  <c r="AS112" i="90"/>
  <c r="AU12" i="72"/>
  <c r="U131" i="50"/>
  <c r="AG89" i="90"/>
  <c r="AG96" i="90" s="1"/>
  <c r="AG102" i="90" s="1"/>
  <c r="AI88" i="90"/>
  <c r="AC89" i="90"/>
  <c r="S89" i="90"/>
  <c r="S96" i="90" s="1"/>
  <c r="U132" i="50"/>
  <c r="AQ25" i="72"/>
  <c r="AU23" i="72"/>
  <c r="CQ58" i="71"/>
  <c r="BM58" i="71"/>
  <c r="CC58" i="71"/>
  <c r="BC58" i="71"/>
  <c r="CU59" i="71"/>
  <c r="BO59" i="71"/>
  <c r="CQ59" i="71"/>
  <c r="CC59" i="71"/>
  <c r="BC59" i="71"/>
  <c r="AY96" i="90" l="1"/>
  <c r="BC8" i="72"/>
  <c r="AW108" i="90"/>
  <c r="BC14" i="72"/>
  <c r="AW114" i="90"/>
  <c r="BC13" i="72"/>
  <c r="AW113" i="90"/>
  <c r="BC12" i="72"/>
  <c r="AW112" i="90"/>
  <c r="BC17" i="72"/>
  <c r="AW115" i="90"/>
  <c r="U134" i="50"/>
  <c r="U135" i="50" s="1"/>
  <c r="AG127" i="90"/>
  <c r="AG130" i="90" s="1"/>
  <c r="AC96" i="90"/>
  <c r="AC127" i="90" s="1"/>
  <c r="CS58" i="71"/>
  <c r="CU58" i="71"/>
  <c r="W87" i="90"/>
  <c r="BE87" i="90" s="1"/>
  <c r="S102" i="90"/>
  <c r="S127" i="90"/>
  <c r="S130" i="90" s="1"/>
  <c r="AU25" i="72"/>
  <c r="BC23" i="72"/>
  <c r="BC25" i="72" s="1"/>
  <c r="BO58" i="71"/>
  <c r="BQ58" i="71" s="1"/>
  <c r="BU58" i="71" s="1"/>
  <c r="BY58" i="71" s="1"/>
  <c r="CE58" i="71" s="1"/>
  <c r="BG58" i="71"/>
  <c r="BK58" i="71" s="1"/>
  <c r="CS59" i="71"/>
  <c r="BQ59" i="71"/>
  <c r="BU59" i="71" s="1"/>
  <c r="BY59" i="71" s="1"/>
  <c r="CE59" i="71" s="1"/>
  <c r="BG59" i="71"/>
  <c r="BK59" i="71" s="1"/>
  <c r="AY102" i="90" l="1"/>
  <c r="AY127" i="90"/>
  <c r="AY130" i="90" s="1"/>
  <c r="CI59" i="71"/>
  <c r="CM59" i="71" s="1"/>
  <c r="CI58" i="71"/>
  <c r="CM58" i="71" s="1"/>
  <c r="AC102" i="90"/>
  <c r="W89" i="90"/>
  <c r="AI87" i="90"/>
  <c r="AC130" i="90"/>
  <c r="W96" i="90" l="1"/>
  <c r="W102" i="90" l="1"/>
  <c r="W127" i="90"/>
  <c r="W130" i="90" l="1"/>
  <c r="BA6" i="71" l="1"/>
  <c r="BE6" i="71"/>
  <c r="BI6" i="71"/>
  <c r="BM6" i="71"/>
  <c r="BS6" i="71"/>
  <c r="BW6" i="71"/>
  <c r="CA6" i="71"/>
  <c r="CG6" i="71"/>
  <c r="CK6" i="71"/>
  <c r="CO6" i="71"/>
  <c r="CG7" i="71"/>
  <c r="CQ11" i="71"/>
  <c r="CS11" i="71" s="1"/>
  <c r="CQ12" i="71"/>
  <c r="CS12" i="71" s="1"/>
  <c r="CQ14" i="71"/>
  <c r="CS14" i="71" s="1"/>
  <c r="CQ15" i="71"/>
  <c r="CS15" i="71" s="1"/>
  <c r="CQ16" i="71"/>
  <c r="CS16" i="71" s="1"/>
  <c r="CQ18" i="71"/>
  <c r="CS18" i="71" s="1"/>
  <c r="CQ24" i="71"/>
  <c r="CS24" i="71" s="1"/>
  <c r="CQ25" i="71"/>
  <c r="CS25" i="71" s="1"/>
  <c r="CQ27" i="71"/>
  <c r="CS27" i="71" s="1"/>
  <c r="CQ28" i="71"/>
  <c r="CS28" i="71" s="1"/>
  <c r="CQ29" i="71"/>
  <c r="CS29" i="71" s="1"/>
  <c r="CQ32" i="71"/>
  <c r="CS32" i="71" s="1"/>
  <c r="CQ33" i="71"/>
  <c r="CS33" i="71" s="1"/>
  <c r="CQ35" i="71"/>
  <c r="CS35" i="71" s="1"/>
  <c r="CQ36" i="71"/>
  <c r="CS36" i="71" s="1"/>
  <c r="CQ38" i="71"/>
  <c r="CS38" i="71" s="1"/>
  <c r="CQ39" i="71"/>
  <c r="CS39" i="71" s="1"/>
  <c r="CQ40" i="71"/>
  <c r="CS40" i="71" s="1"/>
  <c r="CQ45" i="71"/>
  <c r="CS45" i="71" s="1"/>
  <c r="CQ52" i="71"/>
  <c r="CS52" i="71" s="1"/>
  <c r="CQ53" i="71"/>
  <c r="CS53" i="71" s="1"/>
  <c r="BA56" i="71"/>
  <c r="BS56" i="71"/>
  <c r="CQ56" i="71"/>
  <c r="AO6" i="71"/>
  <c r="CQ44" i="71" l="1"/>
  <c r="CS44" i="71" s="1"/>
  <c r="CQ37" i="71"/>
  <c r="CS37" i="71" s="1"/>
  <c r="CQ26" i="71"/>
  <c r="CS26" i="71" s="1"/>
  <c r="CQ21" i="71"/>
  <c r="CS21" i="71" s="1"/>
  <c r="CQ20" i="71"/>
  <c r="CS20" i="71" s="1"/>
  <c r="CQ51" i="71"/>
  <c r="CS51" i="71" s="1"/>
  <c r="CQ22" i="71"/>
  <c r="CS22" i="71" s="1"/>
  <c r="CQ50" i="71"/>
  <c r="CS50" i="71" s="1"/>
  <c r="CQ42" i="71"/>
  <c r="CS42" i="71" s="1"/>
  <c r="CU26" i="71"/>
  <c r="CU7" i="71"/>
  <c r="CU52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3" i="71"/>
  <c r="CU50" i="71"/>
  <c r="CU29" i="71"/>
  <c r="CU14" i="71"/>
  <c r="CU51" i="71"/>
  <c r="CU39" i="71"/>
  <c r="CU24" i="71"/>
  <c r="CQ7" i="71"/>
  <c r="CQ6" i="71"/>
  <c r="BO6" i="71"/>
  <c r="CC56" i="71"/>
  <c r="CC6" i="71"/>
  <c r="CU6" i="71"/>
  <c r="BO56" i="71"/>
  <c r="BC56" i="71"/>
  <c r="CU56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7" i="71"/>
  <c r="CS56" i="71"/>
  <c r="BQ56" i="71"/>
  <c r="BU56" i="71" s="1"/>
  <c r="BY56" i="71" s="1"/>
  <c r="BG56" i="71"/>
  <c r="BK56" i="71" s="1"/>
  <c r="CS6" i="71"/>
  <c r="BG6" i="71"/>
  <c r="BK6" i="71" s="1"/>
  <c r="BQ6" i="71"/>
  <c r="BU6" i="71" s="1"/>
  <c r="BY6" i="71" s="1"/>
  <c r="CE6" i="71" s="1"/>
  <c r="CI6" i="71" s="1"/>
  <c r="CM6" i="71" s="1"/>
  <c r="CE56" i="71" l="1"/>
  <c r="AK6" i="71"/>
  <c r="AP6" i="71" s="1"/>
  <c r="AF6" i="71"/>
  <c r="AB6" i="71"/>
  <c r="AZ76" i="77"/>
  <c r="AL76" i="77"/>
  <c r="L76" i="77"/>
  <c r="Z76" i="77" s="1"/>
  <c r="AD76" i="77" s="1"/>
  <c r="AZ75" i="77"/>
  <c r="AL75" i="77"/>
  <c r="L75" i="77"/>
  <c r="Z75" i="77" s="1"/>
  <c r="AD75" i="77" s="1"/>
  <c r="AZ74" i="77"/>
  <c r="AL74" i="77"/>
  <c r="L74" i="77"/>
  <c r="Z74" i="77" s="1"/>
  <c r="AD74" i="77" s="1"/>
  <c r="AZ73" i="77"/>
  <c r="AL73" i="77"/>
  <c r="L73" i="77"/>
  <c r="Z73" i="77" s="1"/>
  <c r="AD73" i="77" s="1"/>
  <c r="AZ72" i="77"/>
  <c r="AL72" i="77"/>
  <c r="L72" i="77"/>
  <c r="Z72" i="77" s="1"/>
  <c r="AD72" i="77" s="1"/>
  <c r="AI71" i="77"/>
  <c r="AZ70" i="77"/>
  <c r="AL70" i="77"/>
  <c r="L70" i="77"/>
  <c r="Z70" i="77" s="1"/>
  <c r="AD70" i="77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AZ64" i="77"/>
  <c r="AL64" i="77"/>
  <c r="L64" i="77"/>
  <c r="Z64" i="77" s="1"/>
  <c r="AD64" i="77" s="1"/>
  <c r="AZ63" i="77"/>
  <c r="AL63" i="77"/>
  <c r="L63" i="77"/>
  <c r="Z63" i="77" s="1"/>
  <c r="AD63" i="77" s="1"/>
  <c r="AZ61" i="77"/>
  <c r="AL61" i="77"/>
  <c r="L61" i="77"/>
  <c r="AZ60" i="77"/>
  <c r="AL60" i="77"/>
  <c r="L60" i="77"/>
  <c r="Z60" i="77" s="1"/>
  <c r="AD60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5" i="77"/>
  <c r="AL55" i="77"/>
  <c r="L55" i="77"/>
  <c r="Z55" i="77" s="1"/>
  <c r="AD55" i="77" s="1"/>
  <c r="AZ54" i="77"/>
  <c r="AL54" i="77"/>
  <c r="L54" i="77"/>
  <c r="Z54" i="77" s="1"/>
  <c r="AD54" i="77" s="1"/>
  <c r="AI53" i="77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AZ47" i="77"/>
  <c r="AL47" i="77"/>
  <c r="L47" i="77"/>
  <c r="Z47" i="77" s="1"/>
  <c r="AD47" i="77" s="1"/>
  <c r="AZ46" i="77"/>
  <c r="AL46" i="77"/>
  <c r="L46" i="77"/>
  <c r="Z46" i="77" s="1"/>
  <c r="AD46" i="77" s="1"/>
  <c r="AZ45" i="77"/>
  <c r="AL45" i="77"/>
  <c r="L45" i="77"/>
  <c r="Z45" i="77" s="1"/>
  <c r="AD45" i="77" s="1"/>
  <c r="AZ43" i="77"/>
  <c r="AL43" i="77"/>
  <c r="L43" i="77"/>
  <c r="AI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L33" i="77"/>
  <c r="L33" i="77"/>
  <c r="AI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AI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AZ20" i="77"/>
  <c r="AL20" i="77"/>
  <c r="L20" i="77"/>
  <c r="Z20" i="77" s="1"/>
  <c r="AD20" i="77" s="1"/>
  <c r="AZ19" i="77"/>
  <c r="AL19" i="77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AI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AI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M4" i="77"/>
  <c r="AL4" i="77"/>
  <c r="X4" i="77"/>
  <c r="X7" i="77" s="1"/>
  <c r="M4" i="77"/>
  <c r="M7" i="77" s="1"/>
  <c r="L4" i="77"/>
  <c r="I4" i="77"/>
  <c r="I7" i="77" s="1"/>
  <c r="H4" i="77"/>
  <c r="H7" i="77" s="1"/>
  <c r="AZ7" i="77" l="1"/>
  <c r="AL21" i="77"/>
  <c r="AZ36" i="77"/>
  <c r="AL71" i="77"/>
  <c r="AZ21" i="77"/>
  <c r="CI56" i="71"/>
  <c r="CM56" i="71" s="1"/>
  <c r="AZ32" i="77"/>
  <c r="AQ6" i="71"/>
  <c r="AR6" i="71" s="1"/>
  <c r="L7" i="77"/>
  <c r="AL53" i="77"/>
  <c r="AL36" i="77"/>
  <c r="AL7" i="77"/>
  <c r="Z61" i="77"/>
  <c r="L71" i="77"/>
  <c r="Z43" i="77"/>
  <c r="L53" i="77"/>
  <c r="AM7" i="77"/>
  <c r="BC4" i="77"/>
  <c r="Z33" i="77"/>
  <c r="L36" i="77"/>
  <c r="AZ71" i="77"/>
  <c r="AZ53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61" i="77"/>
  <c r="BB75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8" i="77"/>
  <c r="P28" i="77"/>
  <c r="T28" i="77" s="1"/>
  <c r="P34" i="77"/>
  <c r="T34" i="77" s="1"/>
  <c r="P47" i="77"/>
  <c r="T47" i="77" s="1"/>
  <c r="P50" i="77"/>
  <c r="T50" i="77" s="1"/>
  <c r="P60" i="77"/>
  <c r="T60" i="77" s="1"/>
  <c r="P64" i="77"/>
  <c r="T64" i="77" s="1"/>
  <c r="P70" i="77"/>
  <c r="T70" i="77" s="1"/>
  <c r="P73" i="77"/>
  <c r="T73" i="77" s="1"/>
  <c r="P76" i="77"/>
  <c r="T76" i="77" s="1"/>
  <c r="P19" i="77"/>
  <c r="P35" i="77"/>
  <c r="T35" i="77" s="1"/>
  <c r="P45" i="77"/>
  <c r="T45" i="77" s="1"/>
  <c r="P48" i="77"/>
  <c r="T48" i="77" s="1"/>
  <c r="P51" i="77"/>
  <c r="T51" i="77" s="1"/>
  <c r="P54" i="77"/>
  <c r="T54" i="77" s="1"/>
  <c r="P68" i="77"/>
  <c r="T68" i="77" s="1"/>
  <c r="P74" i="77"/>
  <c r="T74" i="77" s="1"/>
  <c r="P20" i="77"/>
  <c r="T20" i="77" s="1"/>
  <c r="P24" i="77"/>
  <c r="T24" i="77" s="1"/>
  <c r="P27" i="77"/>
  <c r="P30" i="77"/>
  <c r="T30" i="77" s="1"/>
  <c r="BB31" i="77"/>
  <c r="P46" i="77"/>
  <c r="T46" i="77" s="1"/>
  <c r="P49" i="77"/>
  <c r="T49" i="77" s="1"/>
  <c r="P58" i="77"/>
  <c r="T58" i="77" s="1"/>
  <c r="P66" i="77"/>
  <c r="T66" i="77" s="1"/>
  <c r="BB67" i="77"/>
  <c r="P72" i="77"/>
  <c r="T72" i="77" s="1"/>
  <c r="BB29" i="77"/>
  <c r="BB55" i="77"/>
  <c r="BB22" i="77"/>
  <c r="AH31" i="77"/>
  <c r="AN31" i="77" s="1"/>
  <c r="AR31" i="77" s="1"/>
  <c r="AV31" i="77" s="1"/>
  <c r="BD31" i="77" s="1"/>
  <c r="BB56" i="77"/>
  <c r="AH15" i="77"/>
  <c r="AN15" i="77" s="1"/>
  <c r="AR15" i="77" s="1"/>
  <c r="AV15" i="77" s="1"/>
  <c r="BD15" i="77" s="1"/>
  <c r="BB19" i="77"/>
  <c r="BB76" i="77"/>
  <c r="BB50" i="77"/>
  <c r="BB72" i="77"/>
  <c r="BB25" i="77"/>
  <c r="BB47" i="77"/>
  <c r="BB51" i="77"/>
  <c r="BB6" i="77"/>
  <c r="AH66" i="77"/>
  <c r="AN66" i="77" s="1"/>
  <c r="AR66" i="77" s="1"/>
  <c r="AV66" i="77" s="1"/>
  <c r="BD66" i="77" s="1"/>
  <c r="BB9" i="77"/>
  <c r="AH12" i="77"/>
  <c r="AN12" i="77" s="1"/>
  <c r="AR12" i="77" s="1"/>
  <c r="AV12" i="77" s="1"/>
  <c r="BD12" i="77" s="1"/>
  <c r="AH58" i="77"/>
  <c r="AN58" i="77" s="1"/>
  <c r="AR58" i="77" s="1"/>
  <c r="AV58" i="77" s="1"/>
  <c r="BD58" i="77" s="1"/>
  <c r="AH68" i="77"/>
  <c r="AN68" i="77" s="1"/>
  <c r="AR68" i="77" s="1"/>
  <c r="AV68" i="77" s="1"/>
  <c r="BD68" i="77" s="1"/>
  <c r="BB10" i="77"/>
  <c r="AH11" i="77"/>
  <c r="AN11" i="77" s="1"/>
  <c r="AR11" i="77" s="1"/>
  <c r="AV11" i="77" s="1"/>
  <c r="BD11" i="77" s="1"/>
  <c r="AH67" i="77"/>
  <c r="AN67" i="77" s="1"/>
  <c r="AR67" i="77" s="1"/>
  <c r="AV67" i="77" s="1"/>
  <c r="BD67" i="77" s="1"/>
  <c r="AH64" i="77"/>
  <c r="AN64" i="77" s="1"/>
  <c r="AR64" i="77" s="1"/>
  <c r="AV64" i="77" s="1"/>
  <c r="BD64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43" i="77"/>
  <c r="BB54" i="77"/>
  <c r="AH55" i="77"/>
  <c r="AN55" i="77" s="1"/>
  <c r="AR55" i="77" s="1"/>
  <c r="AV55" i="77" s="1"/>
  <c r="BD55" i="77" s="1"/>
  <c r="BB57" i="77"/>
  <c r="BB20" i="77"/>
  <c r="AH24" i="77"/>
  <c r="AN24" i="77" s="1"/>
  <c r="AR24" i="77" s="1"/>
  <c r="AV24" i="77" s="1"/>
  <c r="BD24" i="77" s="1"/>
  <c r="P43" i="77"/>
  <c r="BB70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45" i="77"/>
  <c r="AN45" i="77" s="1"/>
  <c r="AR45" i="77" s="1"/>
  <c r="AV45" i="77" s="1"/>
  <c r="BD45" i="77" s="1"/>
  <c r="BB60" i="77"/>
  <c r="BB5" i="77"/>
  <c r="BB14" i="77"/>
  <c r="BB23" i="77"/>
  <c r="BB24" i="77"/>
  <c r="BB33" i="77"/>
  <c r="BB45" i="77"/>
  <c r="BB49" i="77"/>
  <c r="BB64" i="77"/>
  <c r="AH5" i="77"/>
  <c r="AN5" i="77" s="1"/>
  <c r="AR5" i="77" s="1"/>
  <c r="AV5" i="77" s="1"/>
  <c r="BD5" i="77" s="1"/>
  <c r="BB27" i="77"/>
  <c r="P31" i="77"/>
  <c r="T31" i="77" s="1"/>
  <c r="AH47" i="77"/>
  <c r="AN47" i="77" s="1"/>
  <c r="AR47" i="77" s="1"/>
  <c r="AV47" i="77" s="1"/>
  <c r="BD47" i="77" s="1"/>
  <c r="P67" i="77"/>
  <c r="T67" i="77" s="1"/>
  <c r="AH20" i="77"/>
  <c r="AN20" i="77" s="1"/>
  <c r="AR20" i="77" s="1"/>
  <c r="AV20" i="77" s="1"/>
  <c r="BD20" i="77" s="1"/>
  <c r="AH50" i="77"/>
  <c r="AN50" i="77" s="1"/>
  <c r="AR50" i="77" s="1"/>
  <c r="AV50" i="77" s="1"/>
  <c r="BD50" i="77" s="1"/>
  <c r="AH54" i="77"/>
  <c r="AN54" i="77" s="1"/>
  <c r="AR54" i="77" s="1"/>
  <c r="AV54" i="77" s="1"/>
  <c r="BD54" i="77" s="1"/>
  <c r="AH69" i="77"/>
  <c r="AN69" i="77" s="1"/>
  <c r="AR69" i="77" s="1"/>
  <c r="AV69" i="77" s="1"/>
  <c r="BD69" i="77" s="1"/>
  <c r="AH70" i="77"/>
  <c r="AN70" i="77" s="1"/>
  <c r="AR70" i="77" s="1"/>
  <c r="AV70" i="77" s="1"/>
  <c r="BD70" i="77" s="1"/>
  <c r="BB30" i="77"/>
  <c r="BB52" i="77"/>
  <c r="AH63" i="77"/>
  <c r="AN63" i="77" s="1"/>
  <c r="AR63" i="77" s="1"/>
  <c r="AV63" i="77" s="1"/>
  <c r="BD63" i="77" s="1"/>
  <c r="BB69" i="77"/>
  <c r="BB73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65" i="77"/>
  <c r="BB66" i="77"/>
  <c r="P69" i="77"/>
  <c r="T69" i="77" s="1"/>
  <c r="AG6" i="71"/>
  <c r="AH74" i="77"/>
  <c r="AN74" i="77" s="1"/>
  <c r="AR74" i="77" s="1"/>
  <c r="AV74" i="77" s="1"/>
  <c r="BD74" i="77" s="1"/>
  <c r="BB74" i="77"/>
  <c r="BB68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55" i="77"/>
  <c r="T55" i="77" s="1"/>
  <c r="P65" i="77"/>
  <c r="T65" i="77" s="1"/>
  <c r="AH65" i="77"/>
  <c r="AN65" i="77" s="1"/>
  <c r="AR65" i="77" s="1"/>
  <c r="AV65" i="77" s="1"/>
  <c r="BD65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6" i="77"/>
  <c r="T56" i="77" s="1"/>
  <c r="AH56" i="77"/>
  <c r="AN56" i="77" s="1"/>
  <c r="AR56" i="77" s="1"/>
  <c r="AV56" i="77" s="1"/>
  <c r="BD56" i="77" s="1"/>
  <c r="P61" i="77"/>
  <c r="AH57" i="77"/>
  <c r="AN57" i="77" s="1"/>
  <c r="AR57" i="77" s="1"/>
  <c r="AV57" i="77" s="1"/>
  <c r="BD57" i="77" s="1"/>
  <c r="P57" i="77"/>
  <c r="T57" i="77" s="1"/>
  <c r="P63" i="77"/>
  <c r="T63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51" i="77"/>
  <c r="AN51" i="77" s="1"/>
  <c r="AR51" i="77" s="1"/>
  <c r="AV51" i="77" s="1"/>
  <c r="BD51" i="77" s="1"/>
  <c r="P52" i="77"/>
  <c r="T52" i="77" s="1"/>
  <c r="AH52" i="77"/>
  <c r="AN52" i="77" s="1"/>
  <c r="AR52" i="77" s="1"/>
  <c r="AV52" i="77" s="1"/>
  <c r="BD52" i="77" s="1"/>
  <c r="BB63" i="77"/>
  <c r="BB46" i="77"/>
  <c r="BB28" i="77"/>
  <c r="AH46" i="77"/>
  <c r="AN46" i="77" s="1"/>
  <c r="AR46" i="77" s="1"/>
  <c r="AV46" i="77" s="1"/>
  <c r="BD46" i="77" s="1"/>
  <c r="BB12" i="77"/>
  <c r="AH49" i="77"/>
  <c r="AN49" i="77" s="1"/>
  <c r="AR49" i="77" s="1"/>
  <c r="AV49" i="77" s="1"/>
  <c r="BD49" i="77" s="1"/>
  <c r="AH73" i="77"/>
  <c r="AN73" i="77" s="1"/>
  <c r="AR73" i="77" s="1"/>
  <c r="AV73" i="77" s="1"/>
  <c r="BD73" i="77" s="1"/>
  <c r="P75" i="77"/>
  <c r="T75" i="77" s="1"/>
  <c r="AH75" i="77"/>
  <c r="AN75" i="77" s="1"/>
  <c r="AR75" i="77" s="1"/>
  <c r="AV75" i="77" s="1"/>
  <c r="BD75" i="77" s="1"/>
  <c r="AH48" i="77"/>
  <c r="AN48" i="77" s="1"/>
  <c r="AR48" i="77" s="1"/>
  <c r="AV48" i="77" s="1"/>
  <c r="BD48" i="77" s="1"/>
  <c r="BB48" i="77"/>
  <c r="AH76" i="77"/>
  <c r="AN76" i="77" s="1"/>
  <c r="AR76" i="77" s="1"/>
  <c r="AV76" i="77" s="1"/>
  <c r="BD76" i="77" s="1"/>
  <c r="AH60" i="77"/>
  <c r="AN60" i="77" s="1"/>
  <c r="AR60" i="77" s="1"/>
  <c r="AV60" i="77" s="1"/>
  <c r="BD60" i="77" s="1"/>
  <c r="AH72" i="77"/>
  <c r="AN72" i="77" s="1"/>
  <c r="AR72" i="77" s="1"/>
  <c r="AV72" i="77" s="1"/>
  <c r="BD72" i="77" s="1"/>
  <c r="BB36" i="77" l="1"/>
  <c r="BB7" i="77"/>
  <c r="T43" i="77"/>
  <c r="T53" i="77" s="1"/>
  <c r="P53" i="77"/>
  <c r="BB71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53" i="77"/>
  <c r="BB26" i="77"/>
  <c r="BC7" i="77"/>
  <c r="BE4" i="77"/>
  <c r="BE7" i="77" s="1"/>
  <c r="T33" i="77"/>
  <c r="T36" i="77" s="1"/>
  <c r="P36" i="77"/>
  <c r="T61" i="77"/>
  <c r="T71" i="77" s="1"/>
  <c r="P71" i="77"/>
  <c r="BB32" i="77"/>
  <c r="AD22" i="77"/>
  <c r="Z26" i="77"/>
  <c r="AD43" i="77"/>
  <c r="AD53" i="77" s="1"/>
  <c r="Z53" i="77"/>
  <c r="AD10" i="77"/>
  <c r="AD13" i="77" s="1"/>
  <c r="Z13" i="77"/>
  <c r="AD61" i="77"/>
  <c r="AD71" i="77" s="1"/>
  <c r="Z71" i="77"/>
  <c r="AD4" i="77"/>
  <c r="AD7" i="77" s="1"/>
  <c r="AD26" i="77" l="1"/>
  <c r="AH22" i="77"/>
  <c r="AH43" i="77"/>
  <c r="AH53" i="77" s="1"/>
  <c r="AH19" i="77"/>
  <c r="AH21" i="77" s="1"/>
  <c r="AH33" i="77"/>
  <c r="AH36" i="77" s="1"/>
  <c r="AH61" i="77"/>
  <c r="AH71" i="77" s="1"/>
  <c r="AH27" i="77"/>
  <c r="AH32" i="77" s="1"/>
  <c r="AH10" i="77"/>
  <c r="AH13" i="77" s="1"/>
  <c r="AN33" i="77"/>
  <c r="AN36" i="77" s="1"/>
  <c r="AH4" i="77"/>
  <c r="AH7" i="77" s="1"/>
  <c r="AN43" i="77" l="1"/>
  <c r="AN53" i="77" s="1"/>
  <c r="AN19" i="77"/>
  <c r="AN21" i="77" s="1"/>
  <c r="AN22" i="77"/>
  <c r="AH26" i="77"/>
  <c r="AN4" i="77"/>
  <c r="AN7" i="77" s="1"/>
  <c r="AN27" i="77"/>
  <c r="AN32" i="77" s="1"/>
  <c r="AN61" i="77"/>
  <c r="AN71" i="77" s="1"/>
  <c r="AR33" i="77"/>
  <c r="AR36" i="77" s="1"/>
  <c r="AR43" i="77"/>
  <c r="AR53" i="77" s="1"/>
  <c r="AN10" i="77"/>
  <c r="AN13" i="77" s="1"/>
  <c r="AR19" i="77" l="1"/>
  <c r="AV19" i="77"/>
  <c r="AV21" i="77" s="1"/>
  <c r="AR21" i="77"/>
  <c r="AR22" i="77"/>
  <c r="AN26" i="77"/>
  <c r="AR10" i="77"/>
  <c r="AR13" i="77" s="1"/>
  <c r="AR4" i="77"/>
  <c r="AR7" i="77" s="1"/>
  <c r="AR27" i="77"/>
  <c r="AR32" i="77" s="1"/>
  <c r="AV43" i="77"/>
  <c r="AV53" i="77" s="1"/>
  <c r="AR61" i="77"/>
  <c r="AR71" i="77" s="1"/>
  <c r="AV33" i="77"/>
  <c r="AV36" i="77" s="1"/>
  <c r="BD19" i="77" l="1"/>
  <c r="BD21" i="77" s="1"/>
  <c r="AR26" i="77"/>
  <c r="AV22" i="77"/>
  <c r="BD43" i="77"/>
  <c r="BD53" i="77" s="1"/>
  <c r="BD33" i="77"/>
  <c r="BD36" i="77" s="1"/>
  <c r="AV4" i="77"/>
  <c r="AV7" i="77" s="1"/>
  <c r="AV10" i="77"/>
  <c r="AV13" i="77" s="1"/>
  <c r="AV27" i="77"/>
  <c r="AV32" i="77" s="1"/>
  <c r="AV61" i="77"/>
  <c r="AV71" i="77" s="1"/>
  <c r="AV26" i="77" l="1"/>
  <c r="BD22" i="77"/>
  <c r="BD26" i="77" s="1"/>
  <c r="BD4" i="77"/>
  <c r="BD7" i="77" s="1"/>
  <c r="BD61" i="77"/>
  <c r="BD71" i="77" s="1"/>
  <c r="BD27" i="77"/>
  <c r="BD32" i="77" s="1"/>
  <c r="BD10" i="77"/>
  <c r="BD13" i="77" s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7" i="45"/>
  <c r="K28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1" i="45"/>
  <c r="K52" i="45"/>
  <c r="K54" i="45"/>
  <c r="K55" i="45"/>
  <c r="K56" i="45"/>
  <c r="K57" i="45"/>
  <c r="K58" i="45"/>
  <c r="K59" i="45"/>
  <c r="K60" i="45"/>
  <c r="K61" i="45"/>
  <c r="K62" i="45"/>
  <c r="K64" i="45"/>
  <c r="K65" i="45"/>
  <c r="K66" i="45"/>
  <c r="K67" i="45"/>
  <c r="K68" i="45"/>
  <c r="K69" i="45"/>
  <c r="K70" i="45"/>
  <c r="K73" i="45"/>
  <c r="K74" i="45"/>
  <c r="K89" i="45"/>
  <c r="K90" i="45"/>
  <c r="K91" i="45"/>
  <c r="K92" i="45"/>
  <c r="K93" i="45"/>
  <c r="K94" i="45"/>
  <c r="K97" i="45"/>
  <c r="K98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6" i="45"/>
  <c r="K120" i="45"/>
  <c r="BC9" i="45"/>
  <c r="BC10" i="45"/>
  <c r="BC11" i="45"/>
  <c r="BE11" i="45" s="1"/>
  <c r="BL11" i="45" s="1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7" i="45"/>
  <c r="BC28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E47" i="45" s="1"/>
  <c r="BL47" i="45" s="1"/>
  <c r="BC48" i="45"/>
  <c r="BC49" i="45"/>
  <c r="BC51" i="45"/>
  <c r="BC52" i="45"/>
  <c r="BC54" i="45"/>
  <c r="BC55" i="45"/>
  <c r="BC56" i="45"/>
  <c r="BC57" i="45"/>
  <c r="BC58" i="45"/>
  <c r="BC59" i="45"/>
  <c r="BC60" i="45"/>
  <c r="BE60" i="45" s="1"/>
  <c r="BL60" i="45" s="1"/>
  <c r="BC61" i="45"/>
  <c r="BC62" i="45"/>
  <c r="BC64" i="45"/>
  <c r="BC65" i="45"/>
  <c r="BC66" i="45"/>
  <c r="BC67" i="45"/>
  <c r="BC68" i="45"/>
  <c r="BC69" i="45"/>
  <c r="BC70" i="45"/>
  <c r="BC73" i="45"/>
  <c r="BC74" i="45"/>
  <c r="BC89" i="45"/>
  <c r="BC90" i="45"/>
  <c r="BC91" i="45"/>
  <c r="BC92" i="45"/>
  <c r="BC93" i="45"/>
  <c r="BC94" i="45"/>
  <c r="BC97" i="45"/>
  <c r="BC98" i="45"/>
  <c r="BC102" i="45"/>
  <c r="BC103" i="45"/>
  <c r="BC104" i="45"/>
  <c r="BC105" i="45"/>
  <c r="BC106" i="45"/>
  <c r="BC107" i="45"/>
  <c r="BC108" i="45"/>
  <c r="BC109" i="45"/>
  <c r="BC110" i="45"/>
  <c r="BC111" i="45"/>
  <c r="BE111" i="45" s="1"/>
  <c r="BL111" i="45" s="1"/>
  <c r="BC112" i="45"/>
  <c r="BC113" i="45"/>
  <c r="BE113" i="45" s="1"/>
  <c r="BL113" i="45" s="1"/>
  <c r="BC114" i="45"/>
  <c r="BC115" i="45"/>
  <c r="BE115" i="45" s="1"/>
  <c r="BL115" i="45" s="1"/>
  <c r="BC116" i="45"/>
  <c r="BE12" i="45"/>
  <c r="BL12" i="45" s="1"/>
  <c r="BE13" i="45"/>
  <c r="BL13" i="45" s="1"/>
  <c r="BE27" i="45"/>
  <c r="BL27" i="45" s="1"/>
  <c r="BE35" i="45"/>
  <c r="BL35" i="45" s="1"/>
  <c r="BE41" i="45"/>
  <c r="BL41" i="45" s="1"/>
  <c r="BE42" i="45"/>
  <c r="BL42" i="45" s="1"/>
  <c r="BE54" i="45"/>
  <c r="BL54" i="45" s="1"/>
  <c r="BE55" i="45"/>
  <c r="BL55" i="45" s="1"/>
  <c r="BE67" i="45"/>
  <c r="BL67" i="45" s="1"/>
  <c r="BE68" i="45"/>
  <c r="BL68" i="45" s="1"/>
  <c r="BE70" i="45"/>
  <c r="BL70" i="45" s="1"/>
  <c r="BE97" i="45"/>
  <c r="BL97" i="45" s="1"/>
  <c r="BE98" i="45"/>
  <c r="BL98" i="45" s="1"/>
  <c r="BE103" i="45"/>
  <c r="BL103" i="45" s="1"/>
  <c r="BE112" i="45"/>
  <c r="BL112" i="45" s="1"/>
  <c r="O9" i="45"/>
  <c r="O10" i="45"/>
  <c r="AC10" i="45" s="1"/>
  <c r="AG10" i="45" s="1"/>
  <c r="AK10" i="45" s="1"/>
  <c r="AQ10" i="45" s="1"/>
  <c r="AU10" i="45" s="1"/>
  <c r="AY10" i="45" s="1"/>
  <c r="BG10" i="45" s="1"/>
  <c r="BI10" i="45" s="1"/>
  <c r="O11" i="45"/>
  <c r="AC11" i="45" s="1"/>
  <c r="AG11" i="45" s="1"/>
  <c r="AK11" i="45" s="1"/>
  <c r="AQ11" i="45" s="1"/>
  <c r="AU11" i="45" s="1"/>
  <c r="AY11" i="45" s="1"/>
  <c r="BG11" i="45" s="1"/>
  <c r="BI11" i="45" s="1"/>
  <c r="O12" i="45"/>
  <c r="AC12" i="45" s="1"/>
  <c r="AG12" i="45" s="1"/>
  <c r="AK12" i="45" s="1"/>
  <c r="AQ12" i="45" s="1"/>
  <c r="AU12" i="45" s="1"/>
  <c r="AY12" i="45" s="1"/>
  <c r="BG12" i="45" s="1"/>
  <c r="BI12" i="45" s="1"/>
  <c r="O13" i="45"/>
  <c r="AC13" i="45" s="1"/>
  <c r="AG13" i="45" s="1"/>
  <c r="AK13" i="45" s="1"/>
  <c r="AQ13" i="45" s="1"/>
  <c r="AU13" i="45" s="1"/>
  <c r="AY13" i="45" s="1"/>
  <c r="BG13" i="45" s="1"/>
  <c r="BI13" i="45" s="1"/>
  <c r="O14" i="45"/>
  <c r="AC14" i="45" s="1"/>
  <c r="AG14" i="45" s="1"/>
  <c r="AK14" i="45" s="1"/>
  <c r="AQ14" i="45" s="1"/>
  <c r="AU14" i="45" s="1"/>
  <c r="AY14" i="45" s="1"/>
  <c r="BG14" i="45" s="1"/>
  <c r="BI14" i="45" s="1"/>
  <c r="O15" i="45"/>
  <c r="AC15" i="45" s="1"/>
  <c r="AG15" i="45" s="1"/>
  <c r="AK15" i="45" s="1"/>
  <c r="AQ15" i="45" s="1"/>
  <c r="AU15" i="45" s="1"/>
  <c r="AY15" i="45" s="1"/>
  <c r="BG15" i="45" s="1"/>
  <c r="BI15" i="45" s="1"/>
  <c r="O16" i="45"/>
  <c r="AC16" i="45" s="1"/>
  <c r="AG16" i="45" s="1"/>
  <c r="AK16" i="45" s="1"/>
  <c r="AQ16" i="45" s="1"/>
  <c r="AU16" i="45" s="1"/>
  <c r="AY16" i="45" s="1"/>
  <c r="BG16" i="45" s="1"/>
  <c r="BI16" i="45" s="1"/>
  <c r="O17" i="45"/>
  <c r="AC17" i="45" s="1"/>
  <c r="AG17" i="45" s="1"/>
  <c r="AK17" i="45" s="1"/>
  <c r="AQ17" i="45" s="1"/>
  <c r="AU17" i="45" s="1"/>
  <c r="AY17" i="45" s="1"/>
  <c r="BG17" i="45" s="1"/>
  <c r="BI17" i="45" s="1"/>
  <c r="O18" i="45"/>
  <c r="AC18" i="45" s="1"/>
  <c r="AG18" i="45" s="1"/>
  <c r="AK18" i="45" s="1"/>
  <c r="AQ18" i="45" s="1"/>
  <c r="AU18" i="45" s="1"/>
  <c r="AY18" i="45" s="1"/>
  <c r="BG18" i="45" s="1"/>
  <c r="BI18" i="45" s="1"/>
  <c r="O19" i="45"/>
  <c r="AC19" i="45" s="1"/>
  <c r="AG19" i="45" s="1"/>
  <c r="AK19" i="45" s="1"/>
  <c r="AQ19" i="45" s="1"/>
  <c r="AU19" i="45" s="1"/>
  <c r="AY19" i="45" s="1"/>
  <c r="BG19" i="45" s="1"/>
  <c r="BI19" i="45" s="1"/>
  <c r="O20" i="45"/>
  <c r="AC20" i="45" s="1"/>
  <c r="AG20" i="45" s="1"/>
  <c r="AK20" i="45" s="1"/>
  <c r="AQ20" i="45" s="1"/>
  <c r="AU20" i="45" s="1"/>
  <c r="AY20" i="45" s="1"/>
  <c r="BG20" i="45" s="1"/>
  <c r="BI20" i="45" s="1"/>
  <c r="O22" i="45"/>
  <c r="AC22" i="45" s="1"/>
  <c r="AG22" i="45" s="1"/>
  <c r="AK22" i="45" s="1"/>
  <c r="AQ22" i="45" s="1"/>
  <c r="AU22" i="45" s="1"/>
  <c r="AY22" i="45" s="1"/>
  <c r="BG22" i="45" s="1"/>
  <c r="BI22" i="45" s="1"/>
  <c r="O23" i="45"/>
  <c r="AC23" i="45" s="1"/>
  <c r="AG23" i="45" s="1"/>
  <c r="AK23" i="45" s="1"/>
  <c r="AQ23" i="45" s="1"/>
  <c r="AU23" i="45" s="1"/>
  <c r="AY23" i="45" s="1"/>
  <c r="BG23" i="45" s="1"/>
  <c r="BI23" i="45" s="1"/>
  <c r="O24" i="45"/>
  <c r="O25" i="45"/>
  <c r="AC25" i="45" s="1"/>
  <c r="AG25" i="45" s="1"/>
  <c r="AK25" i="45" s="1"/>
  <c r="AQ25" i="45" s="1"/>
  <c r="AU25" i="45" s="1"/>
  <c r="AY25" i="45" s="1"/>
  <c r="BG25" i="45" s="1"/>
  <c r="BI25" i="45" s="1"/>
  <c r="O27" i="45"/>
  <c r="AC27" i="45" s="1"/>
  <c r="AG27" i="45" s="1"/>
  <c r="AK27" i="45" s="1"/>
  <c r="AQ27" i="45" s="1"/>
  <c r="AU27" i="45" s="1"/>
  <c r="AY27" i="45" s="1"/>
  <c r="BG27" i="45" s="1"/>
  <c r="BI27" i="45" s="1"/>
  <c r="O28" i="45"/>
  <c r="AC28" i="45" s="1"/>
  <c r="AG28" i="45" s="1"/>
  <c r="AK28" i="45" s="1"/>
  <c r="AQ28" i="45" s="1"/>
  <c r="AU28" i="45" s="1"/>
  <c r="AY28" i="45" s="1"/>
  <c r="BG28" i="45" s="1"/>
  <c r="BI28" i="45" s="1"/>
  <c r="O32" i="45"/>
  <c r="AC32" i="45" s="1"/>
  <c r="AG32" i="45" s="1"/>
  <c r="AK32" i="45" s="1"/>
  <c r="AQ32" i="45" s="1"/>
  <c r="AU32" i="45" s="1"/>
  <c r="AY32" i="45" s="1"/>
  <c r="BG32" i="45" s="1"/>
  <c r="BI32" i="45" s="1"/>
  <c r="O33" i="45"/>
  <c r="AC33" i="45" s="1"/>
  <c r="AG33" i="45" s="1"/>
  <c r="AK33" i="45" s="1"/>
  <c r="AQ33" i="45" s="1"/>
  <c r="AU33" i="45" s="1"/>
  <c r="AY33" i="45" s="1"/>
  <c r="BG33" i="45" s="1"/>
  <c r="BI33" i="45" s="1"/>
  <c r="O34" i="45"/>
  <c r="AC34" i="45" s="1"/>
  <c r="AG34" i="45" s="1"/>
  <c r="AK34" i="45" s="1"/>
  <c r="AQ34" i="45" s="1"/>
  <c r="AU34" i="45" s="1"/>
  <c r="AY34" i="45" s="1"/>
  <c r="BG34" i="45" s="1"/>
  <c r="BI34" i="45" s="1"/>
  <c r="O35" i="45"/>
  <c r="AC35" i="45" s="1"/>
  <c r="AG35" i="45" s="1"/>
  <c r="AK35" i="45" s="1"/>
  <c r="AQ35" i="45" s="1"/>
  <c r="AU35" i="45" s="1"/>
  <c r="AY35" i="45" s="1"/>
  <c r="BG35" i="45" s="1"/>
  <c r="BI35" i="45" s="1"/>
  <c r="O36" i="45"/>
  <c r="AC36" i="45" s="1"/>
  <c r="AG36" i="45" s="1"/>
  <c r="AK36" i="45" s="1"/>
  <c r="AQ36" i="45" s="1"/>
  <c r="AU36" i="45" s="1"/>
  <c r="AY36" i="45" s="1"/>
  <c r="BG36" i="45" s="1"/>
  <c r="BI36" i="45" s="1"/>
  <c r="O37" i="45"/>
  <c r="AC37" i="45" s="1"/>
  <c r="AG37" i="45" s="1"/>
  <c r="AK37" i="45" s="1"/>
  <c r="AQ37" i="45" s="1"/>
  <c r="AU37" i="45" s="1"/>
  <c r="AY37" i="45" s="1"/>
  <c r="BG37" i="45" s="1"/>
  <c r="BI37" i="45" s="1"/>
  <c r="O38" i="45"/>
  <c r="AC38" i="45" s="1"/>
  <c r="AG38" i="45" s="1"/>
  <c r="AK38" i="45" s="1"/>
  <c r="AQ38" i="45" s="1"/>
  <c r="AU38" i="45" s="1"/>
  <c r="AY38" i="45" s="1"/>
  <c r="BG38" i="45" s="1"/>
  <c r="BI38" i="45" s="1"/>
  <c r="O39" i="45"/>
  <c r="AC39" i="45" s="1"/>
  <c r="AG39" i="45" s="1"/>
  <c r="AK39" i="45" s="1"/>
  <c r="AQ39" i="45" s="1"/>
  <c r="AU39" i="45" s="1"/>
  <c r="AY39" i="45" s="1"/>
  <c r="BG39" i="45" s="1"/>
  <c r="BI39" i="45" s="1"/>
  <c r="O40" i="45"/>
  <c r="AC40" i="45" s="1"/>
  <c r="AG40" i="45" s="1"/>
  <c r="AK40" i="45" s="1"/>
  <c r="AQ40" i="45" s="1"/>
  <c r="AU40" i="45" s="1"/>
  <c r="AY40" i="45" s="1"/>
  <c r="BG40" i="45" s="1"/>
  <c r="BI40" i="45" s="1"/>
  <c r="O41" i="45"/>
  <c r="AC41" i="45" s="1"/>
  <c r="AG41" i="45" s="1"/>
  <c r="AK41" i="45" s="1"/>
  <c r="AQ41" i="45" s="1"/>
  <c r="AU41" i="45" s="1"/>
  <c r="AY41" i="45" s="1"/>
  <c r="BG41" i="45" s="1"/>
  <c r="BI41" i="45" s="1"/>
  <c r="O42" i="45"/>
  <c r="AC42" i="45" s="1"/>
  <c r="AG42" i="45" s="1"/>
  <c r="AK42" i="45" s="1"/>
  <c r="AQ42" i="45" s="1"/>
  <c r="AU42" i="45" s="1"/>
  <c r="AY42" i="45" s="1"/>
  <c r="BG42" i="45" s="1"/>
  <c r="BI42" i="45" s="1"/>
  <c r="O43" i="45"/>
  <c r="AC43" i="45" s="1"/>
  <c r="AG43" i="45" s="1"/>
  <c r="AK43" i="45" s="1"/>
  <c r="AQ43" i="45" s="1"/>
  <c r="AU43" i="45" s="1"/>
  <c r="AY43" i="45" s="1"/>
  <c r="BG43" i="45" s="1"/>
  <c r="BI43" i="45" s="1"/>
  <c r="O44" i="45"/>
  <c r="AC44" i="45" s="1"/>
  <c r="AG44" i="45" s="1"/>
  <c r="AK44" i="45" s="1"/>
  <c r="AQ44" i="45" s="1"/>
  <c r="AU44" i="45" s="1"/>
  <c r="AY44" i="45" s="1"/>
  <c r="BG44" i="45" s="1"/>
  <c r="BI44" i="45" s="1"/>
  <c r="O45" i="45"/>
  <c r="AC45" i="45" s="1"/>
  <c r="AG45" i="45" s="1"/>
  <c r="AK45" i="45" s="1"/>
  <c r="AQ45" i="45" s="1"/>
  <c r="AU45" i="45" s="1"/>
  <c r="AY45" i="45" s="1"/>
  <c r="BG45" i="45" s="1"/>
  <c r="BI45" i="45" s="1"/>
  <c r="O46" i="45"/>
  <c r="AC46" i="45" s="1"/>
  <c r="AG46" i="45" s="1"/>
  <c r="AK46" i="45" s="1"/>
  <c r="AQ46" i="45" s="1"/>
  <c r="AU46" i="45" s="1"/>
  <c r="AY46" i="45" s="1"/>
  <c r="BG46" i="45" s="1"/>
  <c r="BI46" i="45" s="1"/>
  <c r="O47" i="45"/>
  <c r="AC47" i="45" s="1"/>
  <c r="AG47" i="45" s="1"/>
  <c r="AK47" i="45" s="1"/>
  <c r="AQ47" i="45" s="1"/>
  <c r="AU47" i="45" s="1"/>
  <c r="AY47" i="45" s="1"/>
  <c r="BG47" i="45" s="1"/>
  <c r="BI47" i="45" s="1"/>
  <c r="O48" i="45"/>
  <c r="AC48" i="45" s="1"/>
  <c r="AG48" i="45" s="1"/>
  <c r="AK48" i="45" s="1"/>
  <c r="AQ48" i="45" s="1"/>
  <c r="AU48" i="45" s="1"/>
  <c r="AY48" i="45" s="1"/>
  <c r="BG48" i="45" s="1"/>
  <c r="BI48" i="45" s="1"/>
  <c r="O49" i="45"/>
  <c r="AC49" i="45" s="1"/>
  <c r="AG49" i="45" s="1"/>
  <c r="AK49" i="45" s="1"/>
  <c r="AQ49" i="45" s="1"/>
  <c r="AU49" i="45" s="1"/>
  <c r="AY49" i="45" s="1"/>
  <c r="BG49" i="45" s="1"/>
  <c r="BI49" i="45" s="1"/>
  <c r="O51" i="45"/>
  <c r="O52" i="45"/>
  <c r="AC52" i="45" s="1"/>
  <c r="AG52" i="45" s="1"/>
  <c r="AK52" i="45" s="1"/>
  <c r="AQ52" i="45" s="1"/>
  <c r="AU52" i="45" s="1"/>
  <c r="AY52" i="45" s="1"/>
  <c r="BG52" i="45" s="1"/>
  <c r="BI52" i="45" s="1"/>
  <c r="O54" i="45"/>
  <c r="AC54" i="45" s="1"/>
  <c r="AG54" i="45" s="1"/>
  <c r="AK54" i="45" s="1"/>
  <c r="AQ54" i="45" s="1"/>
  <c r="AU54" i="45" s="1"/>
  <c r="AY54" i="45" s="1"/>
  <c r="BG54" i="45" s="1"/>
  <c r="BI54" i="45" s="1"/>
  <c r="O55" i="45"/>
  <c r="AC55" i="45" s="1"/>
  <c r="AG55" i="45" s="1"/>
  <c r="AK55" i="45" s="1"/>
  <c r="AQ55" i="45" s="1"/>
  <c r="AU55" i="45" s="1"/>
  <c r="AY55" i="45" s="1"/>
  <c r="BG55" i="45" s="1"/>
  <c r="BI55" i="45" s="1"/>
  <c r="O56" i="45"/>
  <c r="AC56" i="45" s="1"/>
  <c r="AG56" i="45" s="1"/>
  <c r="AK56" i="45" s="1"/>
  <c r="AQ56" i="45" s="1"/>
  <c r="AU56" i="45" s="1"/>
  <c r="AY56" i="45" s="1"/>
  <c r="BG56" i="45" s="1"/>
  <c r="BI56" i="45" s="1"/>
  <c r="O57" i="45"/>
  <c r="AC57" i="45" s="1"/>
  <c r="AG57" i="45" s="1"/>
  <c r="AK57" i="45" s="1"/>
  <c r="AQ57" i="45" s="1"/>
  <c r="AU57" i="45" s="1"/>
  <c r="AY57" i="45" s="1"/>
  <c r="BG57" i="45" s="1"/>
  <c r="BI57" i="45" s="1"/>
  <c r="O58" i="45"/>
  <c r="AC58" i="45" s="1"/>
  <c r="AG58" i="45" s="1"/>
  <c r="AK58" i="45" s="1"/>
  <c r="AQ58" i="45" s="1"/>
  <c r="AU58" i="45" s="1"/>
  <c r="AY58" i="45" s="1"/>
  <c r="BG58" i="45" s="1"/>
  <c r="BI58" i="45" s="1"/>
  <c r="O59" i="45"/>
  <c r="AC59" i="45" s="1"/>
  <c r="AG59" i="45" s="1"/>
  <c r="AK59" i="45" s="1"/>
  <c r="AQ59" i="45" s="1"/>
  <c r="AU59" i="45" s="1"/>
  <c r="AY59" i="45" s="1"/>
  <c r="BG59" i="45" s="1"/>
  <c r="BI59" i="45" s="1"/>
  <c r="O60" i="45"/>
  <c r="AC60" i="45" s="1"/>
  <c r="AG60" i="45" s="1"/>
  <c r="AK60" i="45" s="1"/>
  <c r="AQ60" i="45" s="1"/>
  <c r="AU60" i="45" s="1"/>
  <c r="AY60" i="45" s="1"/>
  <c r="BG60" i="45" s="1"/>
  <c r="BI60" i="45" s="1"/>
  <c r="O61" i="45"/>
  <c r="O62" i="45"/>
  <c r="AC62" i="45" s="1"/>
  <c r="AG62" i="45" s="1"/>
  <c r="AK62" i="45" s="1"/>
  <c r="AQ62" i="45" s="1"/>
  <c r="AU62" i="45" s="1"/>
  <c r="AY62" i="45" s="1"/>
  <c r="BG62" i="45" s="1"/>
  <c r="BI62" i="45" s="1"/>
  <c r="O64" i="45"/>
  <c r="AC64" i="45" s="1"/>
  <c r="AG64" i="45" s="1"/>
  <c r="AK64" i="45" s="1"/>
  <c r="AQ64" i="45" s="1"/>
  <c r="AU64" i="45" s="1"/>
  <c r="AY64" i="45" s="1"/>
  <c r="BG64" i="45" s="1"/>
  <c r="BI64" i="45" s="1"/>
  <c r="O65" i="45"/>
  <c r="AC65" i="45" s="1"/>
  <c r="AG65" i="45" s="1"/>
  <c r="AK65" i="45" s="1"/>
  <c r="AQ65" i="45" s="1"/>
  <c r="AU65" i="45" s="1"/>
  <c r="AY65" i="45" s="1"/>
  <c r="BG65" i="45" s="1"/>
  <c r="BI65" i="45" s="1"/>
  <c r="O66" i="45"/>
  <c r="AC66" i="45" s="1"/>
  <c r="AG66" i="45" s="1"/>
  <c r="AK66" i="45" s="1"/>
  <c r="AQ66" i="45" s="1"/>
  <c r="AU66" i="45" s="1"/>
  <c r="AY66" i="45" s="1"/>
  <c r="BG66" i="45" s="1"/>
  <c r="BI66" i="45" s="1"/>
  <c r="O67" i="45"/>
  <c r="AC67" i="45" s="1"/>
  <c r="AG67" i="45" s="1"/>
  <c r="AK67" i="45" s="1"/>
  <c r="AQ67" i="45" s="1"/>
  <c r="AU67" i="45" s="1"/>
  <c r="AY67" i="45" s="1"/>
  <c r="BG67" i="45" s="1"/>
  <c r="BI67" i="45" s="1"/>
  <c r="O68" i="45"/>
  <c r="AC68" i="45" s="1"/>
  <c r="AG68" i="45" s="1"/>
  <c r="AK68" i="45" s="1"/>
  <c r="AQ68" i="45" s="1"/>
  <c r="AU68" i="45" s="1"/>
  <c r="AY68" i="45" s="1"/>
  <c r="BG68" i="45" s="1"/>
  <c r="BI68" i="45" s="1"/>
  <c r="O69" i="45"/>
  <c r="AC69" i="45" s="1"/>
  <c r="AG69" i="45" s="1"/>
  <c r="AK69" i="45" s="1"/>
  <c r="AQ69" i="45" s="1"/>
  <c r="AU69" i="45" s="1"/>
  <c r="AY69" i="45" s="1"/>
  <c r="BG69" i="45" s="1"/>
  <c r="BI69" i="45" s="1"/>
  <c r="O70" i="45"/>
  <c r="AC70" i="45" s="1"/>
  <c r="AG70" i="45" s="1"/>
  <c r="AK70" i="45" s="1"/>
  <c r="AQ70" i="45" s="1"/>
  <c r="AU70" i="45" s="1"/>
  <c r="AY70" i="45" s="1"/>
  <c r="BG70" i="45" s="1"/>
  <c r="BI70" i="45" s="1"/>
  <c r="O74" i="45"/>
  <c r="AC74" i="45" s="1"/>
  <c r="AG74" i="45" s="1"/>
  <c r="AK74" i="45" s="1"/>
  <c r="AQ74" i="45" s="1"/>
  <c r="AU74" i="45" s="1"/>
  <c r="AY74" i="45" s="1"/>
  <c r="BG74" i="45" s="1"/>
  <c r="BI74" i="45" s="1"/>
  <c r="O89" i="45"/>
  <c r="O90" i="45"/>
  <c r="AC90" i="45" s="1"/>
  <c r="AG90" i="45" s="1"/>
  <c r="AK90" i="45" s="1"/>
  <c r="AQ90" i="45" s="1"/>
  <c r="AU90" i="45" s="1"/>
  <c r="AY90" i="45" s="1"/>
  <c r="BG90" i="45" s="1"/>
  <c r="BI90" i="45" s="1"/>
  <c r="O91" i="45"/>
  <c r="O92" i="45"/>
  <c r="AC92" i="45" s="1"/>
  <c r="AG92" i="45" s="1"/>
  <c r="AK92" i="45" s="1"/>
  <c r="AQ92" i="45" s="1"/>
  <c r="AU92" i="45" s="1"/>
  <c r="AY92" i="45" s="1"/>
  <c r="BG92" i="45" s="1"/>
  <c r="BI92" i="45" s="1"/>
  <c r="O93" i="45"/>
  <c r="AC93" i="45" s="1"/>
  <c r="AG93" i="45" s="1"/>
  <c r="AK93" i="45" s="1"/>
  <c r="AQ93" i="45" s="1"/>
  <c r="AU93" i="45" s="1"/>
  <c r="AY93" i="45" s="1"/>
  <c r="BG93" i="45" s="1"/>
  <c r="BI93" i="45" s="1"/>
  <c r="O94" i="45"/>
  <c r="O97" i="45"/>
  <c r="AC97" i="45" s="1"/>
  <c r="AG97" i="45" s="1"/>
  <c r="AK97" i="45" s="1"/>
  <c r="AQ97" i="45" s="1"/>
  <c r="AU97" i="45" s="1"/>
  <c r="AY97" i="45" s="1"/>
  <c r="BG97" i="45" s="1"/>
  <c r="BI97" i="45" s="1"/>
  <c r="O98" i="45"/>
  <c r="O102" i="45"/>
  <c r="O103" i="45"/>
  <c r="AC103" i="45" s="1"/>
  <c r="AG103" i="45" s="1"/>
  <c r="AK103" i="45" s="1"/>
  <c r="AQ103" i="45" s="1"/>
  <c r="AU103" i="45" s="1"/>
  <c r="AY103" i="45" s="1"/>
  <c r="BG103" i="45" s="1"/>
  <c r="BI103" i="45" s="1"/>
  <c r="O104" i="45"/>
  <c r="AC104" i="45" s="1"/>
  <c r="AG104" i="45" s="1"/>
  <c r="AK104" i="45" s="1"/>
  <c r="AQ104" i="45" s="1"/>
  <c r="AU104" i="45" s="1"/>
  <c r="AY104" i="45" s="1"/>
  <c r="BG104" i="45" s="1"/>
  <c r="BI104" i="45" s="1"/>
  <c r="O105" i="45"/>
  <c r="AC105" i="45" s="1"/>
  <c r="AG105" i="45" s="1"/>
  <c r="AK105" i="45" s="1"/>
  <c r="AQ105" i="45" s="1"/>
  <c r="AU105" i="45" s="1"/>
  <c r="AY105" i="45" s="1"/>
  <c r="BG105" i="45" s="1"/>
  <c r="BI105" i="45" s="1"/>
  <c r="O106" i="45"/>
  <c r="AC106" i="45" s="1"/>
  <c r="AG106" i="45" s="1"/>
  <c r="AK106" i="45" s="1"/>
  <c r="AQ106" i="45" s="1"/>
  <c r="AU106" i="45" s="1"/>
  <c r="AY106" i="45" s="1"/>
  <c r="BG106" i="45" s="1"/>
  <c r="BI106" i="45" s="1"/>
  <c r="O107" i="45"/>
  <c r="AC107" i="45" s="1"/>
  <c r="AG107" i="45" s="1"/>
  <c r="AK107" i="45" s="1"/>
  <c r="AQ107" i="45" s="1"/>
  <c r="AU107" i="45" s="1"/>
  <c r="AY107" i="45" s="1"/>
  <c r="BG107" i="45" s="1"/>
  <c r="BI107" i="45" s="1"/>
  <c r="O108" i="45"/>
  <c r="AC108" i="45" s="1"/>
  <c r="AG108" i="45" s="1"/>
  <c r="AK108" i="45" s="1"/>
  <c r="AQ108" i="45" s="1"/>
  <c r="AU108" i="45" s="1"/>
  <c r="AY108" i="45" s="1"/>
  <c r="BG108" i="45" s="1"/>
  <c r="BI108" i="45" s="1"/>
  <c r="O109" i="45"/>
  <c r="AC109" i="45" s="1"/>
  <c r="AG109" i="45" s="1"/>
  <c r="AK109" i="45" s="1"/>
  <c r="AQ109" i="45" s="1"/>
  <c r="AU109" i="45" s="1"/>
  <c r="AY109" i="45" s="1"/>
  <c r="BG109" i="45" s="1"/>
  <c r="BI109" i="45" s="1"/>
  <c r="O110" i="45"/>
  <c r="AC110" i="45" s="1"/>
  <c r="AG110" i="45" s="1"/>
  <c r="AK110" i="45" s="1"/>
  <c r="AQ110" i="45" s="1"/>
  <c r="AU110" i="45" s="1"/>
  <c r="AY110" i="45" s="1"/>
  <c r="BG110" i="45" s="1"/>
  <c r="BI110" i="45" s="1"/>
  <c r="O111" i="45"/>
  <c r="AC111" i="45" s="1"/>
  <c r="AG111" i="45" s="1"/>
  <c r="AK111" i="45" s="1"/>
  <c r="AQ111" i="45" s="1"/>
  <c r="AU111" i="45" s="1"/>
  <c r="AY111" i="45" s="1"/>
  <c r="BG111" i="45" s="1"/>
  <c r="BI111" i="45" s="1"/>
  <c r="O112" i="45"/>
  <c r="AC112" i="45" s="1"/>
  <c r="AG112" i="45" s="1"/>
  <c r="AK112" i="45" s="1"/>
  <c r="AQ112" i="45" s="1"/>
  <c r="AU112" i="45" s="1"/>
  <c r="AY112" i="45" s="1"/>
  <c r="BG112" i="45" s="1"/>
  <c r="BI112" i="45" s="1"/>
  <c r="O113" i="45"/>
  <c r="AC113" i="45" s="1"/>
  <c r="AG113" i="45" s="1"/>
  <c r="AK113" i="45" s="1"/>
  <c r="AQ113" i="45" s="1"/>
  <c r="AU113" i="45" s="1"/>
  <c r="AY113" i="45" s="1"/>
  <c r="BG113" i="45" s="1"/>
  <c r="BI113" i="45" s="1"/>
  <c r="O114" i="45"/>
  <c r="AC114" i="45" s="1"/>
  <c r="AG114" i="45" s="1"/>
  <c r="AK114" i="45" s="1"/>
  <c r="AQ114" i="45" s="1"/>
  <c r="AU114" i="45" s="1"/>
  <c r="AY114" i="45" s="1"/>
  <c r="BG114" i="45" s="1"/>
  <c r="BI114" i="45" s="1"/>
  <c r="O115" i="45"/>
  <c r="AC115" i="45" s="1"/>
  <c r="AG115" i="45" s="1"/>
  <c r="AK115" i="45" s="1"/>
  <c r="AQ115" i="45" s="1"/>
  <c r="AU115" i="45" s="1"/>
  <c r="AY115" i="45" s="1"/>
  <c r="BG115" i="45" s="1"/>
  <c r="BI115" i="45" s="1"/>
  <c r="O116" i="45"/>
  <c r="AC116" i="45" s="1"/>
  <c r="AG116" i="45" s="1"/>
  <c r="AK116" i="45" s="1"/>
  <c r="AQ116" i="45" s="1"/>
  <c r="AU116" i="45" s="1"/>
  <c r="AY116" i="45" s="1"/>
  <c r="BG116" i="45" s="1"/>
  <c r="BI116" i="45" s="1"/>
  <c r="O120" i="45"/>
  <c r="AC24" i="45" l="1"/>
  <c r="AC94" i="45"/>
  <c r="BE109" i="45"/>
  <c r="BL109" i="45" s="1"/>
  <c r="BE92" i="45"/>
  <c r="BL92" i="45" s="1"/>
  <c r="BE64" i="45"/>
  <c r="BL64" i="45" s="1"/>
  <c r="BE62" i="45"/>
  <c r="BL62" i="45" s="1"/>
  <c r="BE49" i="45"/>
  <c r="BL49" i="45" s="1"/>
  <c r="BE37" i="45"/>
  <c r="BL37" i="45" s="1"/>
  <c r="BE20" i="45"/>
  <c r="BL20" i="45" s="1"/>
  <c r="BE90" i="45"/>
  <c r="BL90" i="45" s="1"/>
  <c r="BE48" i="45"/>
  <c r="BL48" i="45" s="1"/>
  <c r="K173" i="45"/>
  <c r="BE51" i="45"/>
  <c r="BL51" i="45" s="1"/>
  <c r="BE44" i="45"/>
  <c r="BL44" i="45" s="1"/>
  <c r="BE38" i="45"/>
  <c r="BL38" i="45" s="1"/>
  <c r="BE32" i="45"/>
  <c r="BL32" i="45" s="1"/>
  <c r="K172" i="45"/>
  <c r="AO174" i="45"/>
  <c r="BC173" i="45"/>
  <c r="K174" i="45"/>
  <c r="BC172" i="45"/>
  <c r="BE22" i="45"/>
  <c r="BL22" i="45" s="1"/>
  <c r="BC174" i="45"/>
  <c r="AO173" i="45"/>
  <c r="AO172" i="45"/>
  <c r="O173" i="45"/>
  <c r="O172" i="45"/>
  <c r="AC89" i="45"/>
  <c r="AC174" i="45" s="1"/>
  <c r="O174" i="45"/>
  <c r="BE110" i="45"/>
  <c r="BL110" i="45" s="1"/>
  <c r="S120" i="45"/>
  <c r="W120" i="45" s="1"/>
  <c r="AC120" i="45"/>
  <c r="AC98" i="45"/>
  <c r="AG98" i="45" s="1"/>
  <c r="AK98" i="45" s="1"/>
  <c r="AQ98" i="45" s="1"/>
  <c r="AU98" i="45" s="1"/>
  <c r="AY98" i="45" s="1"/>
  <c r="BG98" i="45" s="1"/>
  <c r="BI98" i="45" s="1"/>
  <c r="S98" i="45"/>
  <c r="W98" i="45" s="1"/>
  <c r="AC102" i="45"/>
  <c r="AG102" i="45" s="1"/>
  <c r="AK102" i="45" s="1"/>
  <c r="AQ102" i="45" s="1"/>
  <c r="AU102" i="45" s="1"/>
  <c r="AY102" i="45" s="1"/>
  <c r="BG102" i="45" s="1"/>
  <c r="BI102" i="45" s="1"/>
  <c r="S102" i="45"/>
  <c r="W102" i="45" s="1"/>
  <c r="S51" i="45"/>
  <c r="W51" i="45" s="1"/>
  <c r="AC51" i="45"/>
  <c r="AG51" i="45" s="1"/>
  <c r="AK51" i="45" s="1"/>
  <c r="AQ51" i="45" s="1"/>
  <c r="AU51" i="45" s="1"/>
  <c r="AY51" i="45" s="1"/>
  <c r="BG51" i="45" s="1"/>
  <c r="BI51" i="45" s="1"/>
  <c r="AC9" i="45"/>
  <c r="AG9" i="45" s="1"/>
  <c r="AK9" i="45" s="1"/>
  <c r="AQ9" i="45" s="1"/>
  <c r="AU9" i="45" s="1"/>
  <c r="AY9" i="45" s="1"/>
  <c r="BG9" i="45" s="1"/>
  <c r="BI9" i="45" s="1"/>
  <c r="BE94" i="45"/>
  <c r="BL94" i="45" s="1"/>
  <c r="BE66" i="45"/>
  <c r="BL66" i="45" s="1"/>
  <c r="BE40" i="45"/>
  <c r="BL40" i="45" s="1"/>
  <c r="BE24" i="45"/>
  <c r="AC91" i="45"/>
  <c r="AC61" i="45"/>
  <c r="S69" i="45"/>
  <c r="W69" i="45" s="1"/>
  <c r="S90" i="45"/>
  <c r="W90" i="45" s="1"/>
  <c r="S97" i="45"/>
  <c r="W97" i="45" s="1"/>
  <c r="S89" i="45"/>
  <c r="S103" i="45"/>
  <c r="W103" i="45" s="1"/>
  <c r="S108" i="45"/>
  <c r="W108" i="45" s="1"/>
  <c r="S115" i="45"/>
  <c r="W115" i="45" s="1"/>
  <c r="S113" i="45"/>
  <c r="W113" i="45" s="1"/>
  <c r="S112" i="45"/>
  <c r="W112" i="45" s="1"/>
  <c r="S106" i="45"/>
  <c r="W106" i="45" s="1"/>
  <c r="S109" i="45"/>
  <c r="W109" i="45" s="1"/>
  <c r="S107" i="45"/>
  <c r="W107" i="45" s="1"/>
  <c r="S111" i="45"/>
  <c r="W111" i="45" s="1"/>
  <c r="S105" i="45"/>
  <c r="W105" i="45" s="1"/>
  <c r="S114" i="45"/>
  <c r="W114" i="45" s="1"/>
  <c r="S116" i="45"/>
  <c r="W116" i="45" s="1"/>
  <c r="S110" i="45"/>
  <c r="W110" i="45" s="1"/>
  <c r="S104" i="45"/>
  <c r="W104" i="45" s="1"/>
  <c r="S43" i="45"/>
  <c r="W43" i="45" s="1"/>
  <c r="S37" i="45"/>
  <c r="W37" i="45" s="1"/>
  <c r="S28" i="45"/>
  <c r="W28" i="45" s="1"/>
  <c r="S20" i="45"/>
  <c r="W20" i="45" s="1"/>
  <c r="S14" i="45"/>
  <c r="W14" i="45" s="1"/>
  <c r="S68" i="45"/>
  <c r="W68" i="45" s="1"/>
  <c r="S36" i="45"/>
  <c r="W36" i="45" s="1"/>
  <c r="S27" i="45"/>
  <c r="W27" i="45" s="1"/>
  <c r="S19" i="45"/>
  <c r="W19" i="45" s="1"/>
  <c r="S13" i="45"/>
  <c r="W13" i="45" s="1"/>
  <c r="S56" i="45"/>
  <c r="W56" i="45" s="1"/>
  <c r="S61" i="45"/>
  <c r="S67" i="45"/>
  <c r="W67" i="45" s="1"/>
  <c r="S47" i="45"/>
  <c r="W47" i="45" s="1"/>
  <c r="S41" i="45"/>
  <c r="W41" i="45" s="1"/>
  <c r="S35" i="45"/>
  <c r="W35" i="45" s="1"/>
  <c r="S25" i="45"/>
  <c r="W25" i="45" s="1"/>
  <c r="S18" i="45"/>
  <c r="W18" i="45" s="1"/>
  <c r="S12" i="45"/>
  <c r="W12" i="45" s="1"/>
  <c r="S49" i="45"/>
  <c r="W49" i="45" s="1"/>
  <c r="S55" i="45"/>
  <c r="W55" i="45" s="1"/>
  <c r="S54" i="45"/>
  <c r="W54" i="45" s="1"/>
  <c r="S94" i="45"/>
  <c r="S74" i="45"/>
  <c r="W74" i="45" s="1"/>
  <c r="S66" i="45"/>
  <c r="W66" i="45" s="1"/>
  <c r="S59" i="45"/>
  <c r="W59" i="45" s="1"/>
  <c r="S46" i="45"/>
  <c r="W46" i="45" s="1"/>
  <c r="S40" i="45"/>
  <c r="W40" i="45" s="1"/>
  <c r="S34" i="45"/>
  <c r="W34" i="45" s="1"/>
  <c r="S24" i="45"/>
  <c r="S17" i="45"/>
  <c r="W17" i="45" s="1"/>
  <c r="S11" i="45"/>
  <c r="W11" i="45" s="1"/>
  <c r="S62" i="45"/>
  <c r="W62" i="45" s="1"/>
  <c r="S42" i="45"/>
  <c r="W42" i="45" s="1"/>
  <c r="S93" i="45"/>
  <c r="W93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3" i="45"/>
  <c r="W23" i="45" s="1"/>
  <c r="S16" i="45"/>
  <c r="W16" i="45" s="1"/>
  <c r="S10" i="45"/>
  <c r="W10" i="45" s="1"/>
  <c r="BE9" i="45"/>
  <c r="BL9" i="45" s="1"/>
  <c r="S91" i="45"/>
  <c r="S48" i="45"/>
  <c r="W48" i="45" s="1"/>
  <c r="S60" i="45"/>
  <c r="W60" i="45" s="1"/>
  <c r="S92" i="45"/>
  <c r="W92" i="45" s="1"/>
  <c r="S70" i="45"/>
  <c r="W70" i="45" s="1"/>
  <c r="S64" i="45"/>
  <c r="W64" i="45" s="1"/>
  <c r="S57" i="45"/>
  <c r="W57" i="45" s="1"/>
  <c r="S44" i="45"/>
  <c r="W44" i="45" s="1"/>
  <c r="S38" i="45"/>
  <c r="W38" i="45" s="1"/>
  <c r="S32" i="45"/>
  <c r="W32" i="45" s="1"/>
  <c r="S22" i="45"/>
  <c r="W22" i="45" s="1"/>
  <c r="S15" i="45"/>
  <c r="W15" i="45" s="1"/>
  <c r="S9" i="45"/>
  <c r="BE61" i="45"/>
  <c r="BL61" i="45" s="1"/>
  <c r="BE89" i="45"/>
  <c r="BL89" i="45" s="1"/>
  <c r="BE91" i="45"/>
  <c r="BL91" i="45" s="1"/>
  <c r="BE93" i="45"/>
  <c r="BL93" i="45" s="1"/>
  <c r="BE65" i="45"/>
  <c r="BL65" i="45" s="1"/>
  <c r="BE52" i="45"/>
  <c r="BL52" i="45" s="1"/>
  <c r="BE39" i="45"/>
  <c r="BL39" i="45" s="1"/>
  <c r="BE23" i="45"/>
  <c r="BL23" i="45" s="1"/>
  <c r="BE10" i="45"/>
  <c r="BL10" i="45" s="1"/>
  <c r="BE36" i="45"/>
  <c r="BL36" i="45" s="1"/>
  <c r="BE19" i="45"/>
  <c r="BL19" i="45" s="1"/>
  <c r="BE18" i="45"/>
  <c r="BL18" i="45" s="1"/>
  <c r="BE105" i="45"/>
  <c r="BL105" i="45" s="1"/>
  <c r="BE74" i="45"/>
  <c r="BL74" i="45" s="1"/>
  <c r="BE59" i="45"/>
  <c r="BL59" i="45" s="1"/>
  <c r="BE46" i="45"/>
  <c r="BL46" i="45" s="1"/>
  <c r="BE34" i="45"/>
  <c r="BL34" i="45" s="1"/>
  <c r="BE17" i="45"/>
  <c r="BL17" i="45" s="1"/>
  <c r="BE116" i="45"/>
  <c r="BL116" i="45" s="1"/>
  <c r="BE104" i="45"/>
  <c r="BL104" i="45" s="1"/>
  <c r="BE73" i="45"/>
  <c r="BL73" i="45" s="1"/>
  <c r="BE58" i="45"/>
  <c r="BL58" i="45" s="1"/>
  <c r="BE45" i="45"/>
  <c r="BL45" i="45" s="1"/>
  <c r="BE33" i="45"/>
  <c r="BL33" i="45" s="1"/>
  <c r="BE16" i="45"/>
  <c r="BL16" i="45" s="1"/>
  <c r="BE15" i="45"/>
  <c r="BL15" i="45" s="1"/>
  <c r="BE114" i="45"/>
  <c r="BL114" i="45" s="1"/>
  <c r="BE102" i="45"/>
  <c r="BL102" i="45" s="1"/>
  <c r="BE69" i="45"/>
  <c r="BL69" i="45" s="1"/>
  <c r="BE56" i="45"/>
  <c r="BL56" i="45" s="1"/>
  <c r="BE43" i="45"/>
  <c r="BL43" i="45" s="1"/>
  <c r="BE28" i="45"/>
  <c r="BL28" i="45" s="1"/>
  <c r="BE14" i="45"/>
  <c r="BL14" i="45" s="1"/>
  <c r="BE57" i="45"/>
  <c r="BL57" i="45" s="1"/>
  <c r="BE25" i="45"/>
  <c r="BL25" i="45" s="1"/>
  <c r="BE108" i="45"/>
  <c r="BL108" i="45" s="1"/>
  <c r="BE107" i="45"/>
  <c r="BL107" i="45" s="1"/>
  <c r="BE106" i="45"/>
  <c r="BL106" i="45" s="1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L24" i="45" l="1"/>
  <c r="W24" i="45"/>
  <c r="AG24" i="45"/>
  <c r="W94" i="45"/>
  <c r="AG94" i="45"/>
  <c r="BE174" i="45"/>
  <c r="BE172" i="45"/>
  <c r="S173" i="45"/>
  <c r="S174" i="45"/>
  <c r="BE173" i="45"/>
  <c r="S172" i="45"/>
  <c r="AG61" i="45"/>
  <c r="AK61" i="45" s="1"/>
  <c r="AQ61" i="45" s="1"/>
  <c r="AU61" i="45" s="1"/>
  <c r="AY61" i="45" s="1"/>
  <c r="BG61" i="45" s="1"/>
  <c r="BI61" i="45" s="1"/>
  <c r="AC172" i="45"/>
  <c r="AG91" i="45"/>
  <c r="AK91" i="45" s="1"/>
  <c r="AQ91" i="45" s="1"/>
  <c r="AU91" i="45" s="1"/>
  <c r="AY91" i="45" s="1"/>
  <c r="BG91" i="45" s="1"/>
  <c r="BI91" i="45" s="1"/>
  <c r="AC173" i="45"/>
  <c r="AG89" i="45"/>
  <c r="AK89" i="45" s="1"/>
  <c r="AQ89" i="45" s="1"/>
  <c r="AU89" i="45" s="1"/>
  <c r="AY89" i="45" s="1"/>
  <c r="BG89" i="45" s="1"/>
  <c r="BI89" i="45" s="1"/>
  <c r="W61" i="45"/>
  <c r="W172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9" i="45"/>
  <c r="W174" i="45" s="1"/>
  <c r="W91" i="45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25" i="90"/>
  <c r="J125" i="90"/>
  <c r="N125" i="90"/>
  <c r="R125" i="90"/>
  <c r="V125" i="90"/>
  <c r="AB125" i="90"/>
  <c r="AJ125" i="90"/>
  <c r="AP125" i="90"/>
  <c r="AT125" i="90"/>
  <c r="AX125" i="90"/>
  <c r="F102" i="90"/>
  <c r="H102" i="90"/>
  <c r="J102" i="90"/>
  <c r="L102" i="90"/>
  <c r="N102" i="90"/>
  <c r="P102" i="90"/>
  <c r="R102" i="90"/>
  <c r="T102" i="90"/>
  <c r="V102" i="90"/>
  <c r="X102" i="90"/>
  <c r="Z102" i="90"/>
  <c r="AB102" i="90"/>
  <c r="AD102" i="90"/>
  <c r="AJ102" i="90"/>
  <c r="AL102" i="90"/>
  <c r="AN102" i="90"/>
  <c r="AP102" i="90"/>
  <c r="AR102" i="90"/>
  <c r="AT102" i="90"/>
  <c r="AV102" i="90"/>
  <c r="AX102" i="90"/>
  <c r="AZ102" i="90"/>
  <c r="BB102" i="90"/>
  <c r="BD102" i="90"/>
  <c r="AO94" i="90"/>
  <c r="AS94" i="90" s="1"/>
  <c r="AW94" i="90" s="1"/>
  <c r="AM94" i="90"/>
  <c r="BC94" i="90" s="1"/>
  <c r="AE94" i="90"/>
  <c r="AA94" i="90"/>
  <c r="Y94" i="90"/>
  <c r="U94" i="90"/>
  <c r="Q94" i="90"/>
  <c r="AU91" i="90"/>
  <c r="AQ91" i="90"/>
  <c r="AK91" i="90"/>
  <c r="O91" i="90"/>
  <c r="K91" i="90"/>
  <c r="G91" i="90"/>
  <c r="E91" i="90"/>
  <c r="M94" i="90"/>
  <c r="I94" i="90"/>
  <c r="I95" i="90"/>
  <c r="AO92" i="90"/>
  <c r="AS92" i="90" s="1"/>
  <c r="AW92" i="90" s="1"/>
  <c r="AO93" i="90"/>
  <c r="AS93" i="90" s="1"/>
  <c r="AW93" i="90" s="1"/>
  <c r="AO95" i="90"/>
  <c r="AS95" i="90" s="1"/>
  <c r="AW95" i="90" s="1"/>
  <c r="AO98" i="90"/>
  <c r="AS98" i="90" s="1"/>
  <c r="AW98" i="90" s="1"/>
  <c r="AO99" i="90"/>
  <c r="AS99" i="90" s="1"/>
  <c r="AW99" i="90" s="1"/>
  <c r="AM92" i="90"/>
  <c r="BC92" i="90" s="1"/>
  <c r="AM93" i="90"/>
  <c r="BC93" i="90" s="1"/>
  <c r="AM95" i="90"/>
  <c r="BC95" i="90" s="1"/>
  <c r="AM98" i="90"/>
  <c r="BC98" i="90" s="1"/>
  <c r="AM99" i="90"/>
  <c r="BC99" i="90" s="1"/>
  <c r="AE92" i="90"/>
  <c r="AE93" i="90"/>
  <c r="AE95" i="90"/>
  <c r="AE98" i="90"/>
  <c r="AE99" i="90"/>
  <c r="AA92" i="90"/>
  <c r="AA93" i="90"/>
  <c r="AA95" i="90"/>
  <c r="AA98" i="90"/>
  <c r="AA99" i="90"/>
  <c r="Y92" i="90"/>
  <c r="Y93" i="90"/>
  <c r="Y95" i="90"/>
  <c r="Y98" i="90"/>
  <c r="Y99" i="90"/>
  <c r="U92" i="90"/>
  <c r="U93" i="90"/>
  <c r="U95" i="90"/>
  <c r="U98" i="90"/>
  <c r="U99" i="90"/>
  <c r="Q92" i="90"/>
  <c r="Q93" i="90"/>
  <c r="Q95" i="90"/>
  <c r="Q98" i="90"/>
  <c r="Q99" i="90"/>
  <c r="M92" i="90"/>
  <c r="M93" i="90"/>
  <c r="M95" i="90"/>
  <c r="M98" i="90"/>
  <c r="M99" i="90"/>
  <c r="I98" i="90"/>
  <c r="I99" i="90"/>
  <c r="I92" i="90"/>
  <c r="I93" i="90"/>
  <c r="AU100" i="90"/>
  <c r="AQ100" i="90"/>
  <c r="AK100" i="90"/>
  <c r="K100" i="90"/>
  <c r="G100" i="90"/>
  <c r="G90" i="90"/>
  <c r="AN92" i="8"/>
  <c r="BE91" i="90" l="1"/>
  <c r="AK24" i="45"/>
  <c r="BA100" i="90"/>
  <c r="BA91" i="90"/>
  <c r="W173" i="45"/>
  <c r="AK94" i="45"/>
  <c r="AI91" i="90"/>
  <c r="K128" i="90"/>
  <c r="AG173" i="45"/>
  <c r="AG172" i="45"/>
  <c r="AG174" i="45"/>
  <c r="M91" i="90"/>
  <c r="I91" i="90"/>
  <c r="AM91" i="90"/>
  <c r="AE91" i="90"/>
  <c r="U91" i="90"/>
  <c r="Y91" i="90"/>
  <c r="AA91" i="90"/>
  <c r="Q91" i="90"/>
  <c r="AO91" i="90"/>
  <c r="AS91" i="90" s="1"/>
  <c r="AW91" i="90" s="1"/>
  <c r="G116" i="90"/>
  <c r="K116" i="90"/>
  <c r="AK128" i="90"/>
  <c r="AQ128" i="90"/>
  <c r="AU128" i="90"/>
  <c r="AK116" i="90"/>
  <c r="AQ116" i="90"/>
  <c r="AM100" i="90"/>
  <c r="O116" i="90"/>
  <c r="AU116" i="90"/>
  <c r="BA116" i="90" s="1"/>
  <c r="AQ24" i="45" l="1"/>
  <c r="BA128" i="90"/>
  <c r="BC91" i="90"/>
  <c r="BC100" i="90"/>
  <c r="AQ94" i="45"/>
  <c r="AM128" i="90"/>
  <c r="BC128" i="90" s="1"/>
  <c r="AM116" i="90"/>
  <c r="BC116" i="90" s="1"/>
  <c r="Y116" i="90"/>
  <c r="AU24" i="45" l="1"/>
  <c r="AU94" i="45"/>
  <c r="AY94" i="45" s="1"/>
  <c r="BG94" i="45" s="1"/>
  <c r="BI94" i="45" s="1"/>
  <c r="AY24" i="45" l="1"/>
  <c r="BF262" i="28"/>
  <c r="BH262" i="28" s="1"/>
  <c r="BB262" i="28"/>
  <c r="BD262" i="28" s="1"/>
  <c r="BK262" i="28" s="1"/>
  <c r="BB440" i="28"/>
  <c r="BF467" i="28"/>
  <c r="BH467" i="28" s="1"/>
  <c r="BB442" i="28"/>
  <c r="BB444" i="28"/>
  <c r="BB445" i="28"/>
  <c r="BB446" i="28"/>
  <c r="BB447" i="28"/>
  <c r="BB448" i="28"/>
  <c r="BB449" i="28"/>
  <c r="BB450" i="28"/>
  <c r="BB451" i="28"/>
  <c r="BB452" i="28"/>
  <c r="BB453" i="28"/>
  <c r="BB454" i="28"/>
  <c r="BB455" i="28"/>
  <c r="BB456" i="28"/>
  <c r="BB458" i="28"/>
  <c r="BB460" i="28"/>
  <c r="BB461" i="28"/>
  <c r="BB462" i="28"/>
  <c r="BB463" i="28"/>
  <c r="BB464" i="28"/>
  <c r="BB465" i="28"/>
  <c r="BB466" i="28"/>
  <c r="BB467" i="28"/>
  <c r="BD467" i="28" s="1"/>
  <c r="BK467" i="28" s="1"/>
  <c r="BB468" i="28"/>
  <c r="BB469" i="28"/>
  <c r="BB470" i="28"/>
  <c r="BB471" i="28"/>
  <c r="BB264" i="28"/>
  <c r="BB265" i="28"/>
  <c r="BB266" i="28"/>
  <c r="BB267" i="28"/>
  <c r="BB268" i="28"/>
  <c r="BB270" i="28"/>
  <c r="BB271" i="28"/>
  <c r="BB273" i="28"/>
  <c r="BB274" i="28"/>
  <c r="BB275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6" i="28"/>
  <c r="BB245" i="28"/>
  <c r="BB247" i="28"/>
  <c r="BB249" i="28"/>
  <c r="BB251" i="28"/>
  <c r="BB253" i="28"/>
  <c r="BB254" i="28"/>
  <c r="BB101" i="28"/>
  <c r="BB102" i="28"/>
  <c r="BB103" i="28"/>
  <c r="BB104" i="28"/>
  <c r="BB105" i="28"/>
  <c r="BB106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B140" i="28"/>
  <c r="BB141" i="28"/>
  <c r="BB143" i="28"/>
  <c r="BB144" i="28"/>
  <c r="BB145" i="28"/>
  <c r="BB146" i="28"/>
  <c r="BB147" i="28"/>
  <c r="BB148" i="28"/>
  <c r="BB149" i="28"/>
  <c r="BB150" i="28"/>
  <c r="BB151" i="28"/>
  <c r="BB152" i="28"/>
  <c r="BB153" i="28"/>
  <c r="BD153" i="28" s="1"/>
  <c r="BK153" i="28" s="1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D165" i="28" s="1"/>
  <c r="BK165" i="28" s="1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87" i="28"/>
  <c r="BB188" i="28"/>
  <c r="BB190" i="28"/>
  <c r="BB191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B213" i="28"/>
  <c r="BB214" i="28"/>
  <c r="BB215" i="28"/>
  <c r="BB216" i="28"/>
  <c r="BB217" i="28"/>
  <c r="BB220" i="28"/>
  <c r="BB221" i="28"/>
  <c r="BB222" i="28"/>
  <c r="BB223" i="28"/>
  <c r="BB224" i="28"/>
  <c r="BB225" i="28"/>
  <c r="BB226" i="28"/>
  <c r="BB227" i="28"/>
  <c r="Y67" i="39"/>
  <c r="Y66" i="39"/>
  <c r="BA67" i="39"/>
  <c r="BA66" i="39"/>
  <c r="BG24" i="45" l="1"/>
  <c r="BC66" i="39"/>
  <c r="AA66" i="39"/>
  <c r="AA67" i="39"/>
  <c r="BC67" i="39"/>
  <c r="BI24" i="45" l="1"/>
  <c r="BB3" i="8"/>
  <c r="BE66" i="39"/>
  <c r="BE67" i="39"/>
  <c r="BD420" i="28"/>
  <c r="BK420" i="28" s="1"/>
  <c r="BD425" i="28"/>
  <c r="BK425" i="28" s="1"/>
  <c r="AN101" i="28"/>
  <c r="BD101" i="28" s="1"/>
  <c r="BK101" i="28" s="1"/>
  <c r="AJ101" i="28" l="1"/>
  <c r="AP101" i="28" s="1"/>
  <c r="AT101" i="28" l="1"/>
  <c r="AX101" i="28" s="1"/>
  <c r="BF101" i="28" s="1"/>
  <c r="BH101" i="28" s="1"/>
  <c r="J63" i="11"/>
  <c r="J62" i="11"/>
  <c r="AA129" i="45"/>
  <c r="AA128" i="45"/>
  <c r="K129" i="45"/>
  <c r="K128" i="45"/>
  <c r="M130" i="45" l="1"/>
  <c r="BC129" i="45"/>
  <c r="AO129" i="45"/>
  <c r="O129" i="45"/>
  <c r="BC128" i="45"/>
  <c r="AO128" i="45"/>
  <c r="O128" i="45"/>
  <c r="M127" i="45" l="1"/>
  <c r="AA130" i="45"/>
  <c r="AA127" i="45" s="1"/>
  <c r="BE129" i="45"/>
  <c r="BL129" i="45" s="1"/>
  <c r="AO130" i="45"/>
  <c r="S129" i="45"/>
  <c r="W129" i="45" s="1"/>
  <c r="AC129" i="45"/>
  <c r="AC128" i="45"/>
  <c r="AG128" i="45" s="1"/>
  <c r="AK128" i="45" s="1"/>
  <c r="K130" i="45"/>
  <c r="K127" i="45" s="1"/>
  <c r="BC130" i="45"/>
  <c r="BC127" i="45" s="1"/>
  <c r="O130" i="45"/>
  <c r="S130" i="45" s="1"/>
  <c r="W130" i="45" s="1"/>
  <c r="BE128" i="45"/>
  <c r="BL128" i="45" s="1"/>
  <c r="S128" i="45"/>
  <c r="AZ144" i="45"/>
  <c r="AY78" i="11"/>
  <c r="AY177" i="10"/>
  <c r="AY98" i="9"/>
  <c r="AX57" i="17"/>
  <c r="AZ142" i="45"/>
  <c r="AY76" i="11"/>
  <c r="AY175" i="10"/>
  <c r="AX55" i="17"/>
  <c r="AY188" i="6"/>
  <c r="AY88" i="8"/>
  <c r="AY84" i="7"/>
  <c r="AZ141" i="45"/>
  <c r="AY75" i="11"/>
  <c r="AY174" i="10"/>
  <c r="AY97" i="9"/>
  <c r="AX54" i="17"/>
  <c r="AY87" i="8"/>
  <c r="AY187" i="6"/>
  <c r="AY162" i="6"/>
  <c r="BB159" i="6"/>
  <c r="BB161" i="6" s="1"/>
  <c r="BB184" i="6"/>
  <c r="BB186" i="6" s="1"/>
  <c r="BE130" i="45" l="1"/>
  <c r="AO127" i="45"/>
  <c r="AC130" i="45"/>
  <c r="AC127" i="45" s="1"/>
  <c r="AG129" i="45"/>
  <c r="AK129" i="45" s="1"/>
  <c r="AQ129" i="45" s="1"/>
  <c r="AU129" i="45" s="1"/>
  <c r="O127" i="45"/>
  <c r="S127" i="45"/>
  <c r="W128" i="45"/>
  <c r="W127" i="45" s="1"/>
  <c r="BE127" i="45" l="1"/>
  <c r="BL127" i="45" s="1"/>
  <c r="BL130" i="45"/>
  <c r="AX56" i="17"/>
  <c r="AY129" i="45"/>
  <c r="AG130" i="45"/>
  <c r="AK130" i="45" s="1"/>
  <c r="AQ130" i="45" s="1"/>
  <c r="AU130" i="45" s="1"/>
  <c r="AQ128" i="45"/>
  <c r="AU128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62" i="73"/>
  <c r="BA63" i="73"/>
  <c r="BA64" i="73"/>
  <c r="BG129" i="45" l="1"/>
  <c r="BI129" i="45" s="1"/>
  <c r="AY130" i="45"/>
  <c r="AY128" i="45"/>
  <c r="AG127" i="45"/>
  <c r="AK127" i="45"/>
  <c r="AQ127" i="45"/>
  <c r="BA45" i="83"/>
  <c r="BA76" i="83"/>
  <c r="BA69" i="83"/>
  <c r="BA51" i="83"/>
  <c r="BA38" i="83"/>
  <c r="BD94" i="38"/>
  <c r="BD93" i="38"/>
  <c r="BD92" i="38"/>
  <c r="BD91" i="38"/>
  <c r="BC90" i="38"/>
  <c r="BD89" i="38"/>
  <c r="BC88" i="38"/>
  <c r="BD86" i="38"/>
  <c r="BD85" i="38"/>
  <c r="BD84" i="38"/>
  <c r="BD83" i="38"/>
  <c r="BC82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D68" i="38"/>
  <c r="BD67" i="38"/>
  <c r="BC66" i="38"/>
  <c r="BD62" i="38"/>
  <c r="BD61" i="38"/>
  <c r="BC60" i="38"/>
  <c r="BD59" i="38"/>
  <c r="BD58" i="38"/>
  <c r="BD57" i="38"/>
  <c r="BD56" i="38"/>
  <c r="BD55" i="38"/>
  <c r="BC54" i="38"/>
  <c r="BC52" i="38"/>
  <c r="BD51" i="38"/>
  <c r="BC51" i="38"/>
  <c r="BC46" i="38"/>
  <c r="BC45" i="38"/>
  <c r="BC44" i="38"/>
  <c r="BC43" i="38"/>
  <c r="BD42" i="38"/>
  <c r="BC41" i="38"/>
  <c r="BC40" i="38" s="1"/>
  <c r="BD40" i="38"/>
  <c r="BC38" i="38"/>
  <c r="BC37" i="38"/>
  <c r="BC36" i="38"/>
  <c r="BC35" i="38"/>
  <c r="AY163" i="6" s="1"/>
  <c r="BD34" i="38"/>
  <c r="BC32" i="38"/>
  <c r="BC31" i="38"/>
  <c r="BC30" i="38"/>
  <c r="BC29" i="38"/>
  <c r="BC28" i="38"/>
  <c r="BC27" i="38"/>
  <c r="AZ139" i="45" s="1"/>
  <c r="BC26" i="38"/>
  <c r="AY73" i="11" s="1"/>
  <c r="AY74" i="11" s="1"/>
  <c r="BC25" i="38"/>
  <c r="AY172" i="10" s="1"/>
  <c r="BC24" i="38"/>
  <c r="BC23" i="38"/>
  <c r="AY99" i="9" s="1"/>
  <c r="AY100" i="9" s="1"/>
  <c r="BC22" i="38"/>
  <c r="AY90" i="8" s="1"/>
  <c r="BC21" i="38"/>
  <c r="AY82" i="7" s="1"/>
  <c r="BC20" i="38"/>
  <c r="BC19" i="38"/>
  <c r="AY189" i="6" s="1"/>
  <c r="BD18" i="38"/>
  <c r="BC14" i="38"/>
  <c r="BC13" i="38"/>
  <c r="BD12" i="38"/>
  <c r="BC11" i="38"/>
  <c r="BC10" i="38"/>
  <c r="BC9" i="38"/>
  <c r="BC8" i="38"/>
  <c r="BC7" i="38"/>
  <c r="BD6" i="38"/>
  <c r="BC12" i="38" l="1"/>
  <c r="AZ140" i="45"/>
  <c r="AY190" i="6"/>
  <c r="AY91" i="8"/>
  <c r="AY164" i="6"/>
  <c r="AY173" i="10"/>
  <c r="AY83" i="7"/>
  <c r="BB35" i="59" s="1"/>
  <c r="BD90" i="38"/>
  <c r="BD88" i="38"/>
  <c r="BD82" i="38"/>
  <c r="BD66" i="38"/>
  <c r="BD60" i="38"/>
  <c r="BG128" i="45"/>
  <c r="BI128" i="45" s="1"/>
  <c r="BG130" i="45"/>
  <c r="BI130" i="45" s="1"/>
  <c r="BC65" i="38"/>
  <c r="BC63" i="38"/>
  <c r="AU127" i="45"/>
  <c r="BA77" i="83"/>
  <c r="BD15" i="38"/>
  <c r="BC87" i="38"/>
  <c r="BC42" i="38"/>
  <c r="BC39" i="38" s="1"/>
  <c r="BC34" i="38"/>
  <c r="BC18" i="38"/>
  <c r="BC6" i="38"/>
  <c r="BC15" i="38" s="1"/>
  <c r="BD17" i="38"/>
  <c r="BD54" i="38"/>
  <c r="BD39" i="38"/>
  <c r="AN109" i="9"/>
  <c r="Z109" i="9"/>
  <c r="N109" i="9"/>
  <c r="BB109" i="9"/>
  <c r="BC64" i="38" l="1"/>
  <c r="BD63" i="38"/>
  <c r="BC96" i="38"/>
  <c r="BC17" i="38"/>
  <c r="BD65" i="38"/>
  <c r="AZ26" i="36"/>
  <c r="AZ25" i="36"/>
  <c r="BC75" i="59" s="1"/>
  <c r="BC16" i="38"/>
  <c r="BC48" i="38" s="1"/>
  <c r="BD109" i="9"/>
  <c r="AB109" i="9"/>
  <c r="BG127" i="45"/>
  <c r="BI127" i="45" s="1"/>
  <c r="AY127" i="45"/>
  <c r="BD16" i="38"/>
  <c r="BD87" i="38"/>
  <c r="BA88" i="73"/>
  <c r="BA89" i="73"/>
  <c r="BD64" i="38" l="1"/>
  <c r="BD96" i="38" s="1"/>
  <c r="BD48" i="38"/>
  <c r="P91" i="77" l="1"/>
  <c r="T91" i="77" s="1"/>
  <c r="AF91" i="77"/>
  <c r="AH91" i="77"/>
  <c r="AJ91" i="77"/>
  <c r="AL91" i="77"/>
  <c r="AN91" i="77"/>
  <c r="AR91" i="77"/>
  <c r="AV91" i="77"/>
  <c r="AW91" i="77"/>
  <c r="AZ91" i="77"/>
  <c r="BB91" i="77"/>
  <c r="BD91" i="77"/>
  <c r="P90" i="77"/>
  <c r="AF90" i="77"/>
  <c r="AH90" i="77"/>
  <c r="AH89" i="77" s="1"/>
  <c r="AJ90" i="77"/>
  <c r="AL90" i="77"/>
  <c r="AN90" i="77"/>
  <c r="AR90" i="77"/>
  <c r="AR89" i="77" s="1"/>
  <c r="AV90" i="77"/>
  <c r="AW90" i="77"/>
  <c r="AZ90" i="77"/>
  <c r="BB90" i="77"/>
  <c r="BD90" i="77"/>
  <c r="AI81" i="77"/>
  <c r="P81" i="77"/>
  <c r="T81" i="77" s="1"/>
  <c r="AF81" i="77"/>
  <c r="AF84" i="77" s="1"/>
  <c r="AH81" i="77"/>
  <c r="AJ81" i="77"/>
  <c r="AL81" i="77"/>
  <c r="AN81" i="77"/>
  <c r="AR81" i="77"/>
  <c r="AV81" i="77"/>
  <c r="AZ81" i="77"/>
  <c r="BB81" i="77"/>
  <c r="BD81" i="77"/>
  <c r="AI83" i="77"/>
  <c r="P83" i="77"/>
  <c r="T83" i="77" s="1"/>
  <c r="AH83" i="77"/>
  <c r="AJ83" i="77"/>
  <c r="AL83" i="77"/>
  <c r="AN83" i="77"/>
  <c r="AR83" i="77"/>
  <c r="AV83" i="77"/>
  <c r="AZ83" i="77"/>
  <c r="BB83" i="77"/>
  <c r="BD83" i="77"/>
  <c r="P80" i="77"/>
  <c r="AH80" i="77"/>
  <c r="AJ80" i="77"/>
  <c r="AL80" i="77"/>
  <c r="AN80" i="77"/>
  <c r="AR80" i="77"/>
  <c r="AV80" i="77"/>
  <c r="AZ80" i="77"/>
  <c r="BB80" i="77"/>
  <c r="BD80" i="77"/>
  <c r="AI80" i="77"/>
  <c r="AZ87" i="77"/>
  <c r="AZ86" i="77" s="1"/>
  <c r="AL87" i="77"/>
  <c r="AL86" i="77" s="1"/>
  <c r="AR77" i="77"/>
  <c r="AV77" i="77" s="1"/>
  <c r="AZ77" i="77" s="1"/>
  <c r="BB77" i="77" s="1"/>
  <c r="AL77" i="77"/>
  <c r="L77" i="77"/>
  <c r="Z77" i="77" s="1"/>
  <c r="AD77" i="77" s="1"/>
  <c r="BA135" i="73"/>
  <c r="I136" i="73"/>
  <c r="M136" i="73"/>
  <c r="Q136" i="73" s="1"/>
  <c r="Y136" i="73"/>
  <c r="AM136" i="73"/>
  <c r="BA136" i="73"/>
  <c r="I137" i="73"/>
  <c r="M137" i="73"/>
  <c r="Y137" i="73"/>
  <c r="AM137" i="73"/>
  <c r="BA137" i="73"/>
  <c r="I138" i="73"/>
  <c r="M138" i="73"/>
  <c r="Q138" i="73" s="1"/>
  <c r="U138" i="73" s="1"/>
  <c r="Y138" i="73"/>
  <c r="AM138" i="73"/>
  <c r="BA138" i="73"/>
  <c r="I139" i="73"/>
  <c r="M139" i="73"/>
  <c r="Y139" i="73"/>
  <c r="AM139" i="73"/>
  <c r="BA139" i="73"/>
  <c r="I140" i="73"/>
  <c r="M140" i="73"/>
  <c r="Q140" i="73" s="1"/>
  <c r="Y140" i="73"/>
  <c r="AM140" i="73"/>
  <c r="BA140" i="73"/>
  <c r="I141" i="73"/>
  <c r="M141" i="73"/>
  <c r="Q141" i="73" s="1"/>
  <c r="Y141" i="73"/>
  <c r="AM141" i="73"/>
  <c r="BA141" i="73"/>
  <c r="I142" i="73"/>
  <c r="M142" i="73"/>
  <c r="Q142" i="73" s="1"/>
  <c r="Y142" i="73"/>
  <c r="AM142" i="73"/>
  <c r="BA142" i="73"/>
  <c r="I143" i="73"/>
  <c r="M143" i="73"/>
  <c r="Y143" i="73"/>
  <c r="AM143" i="73"/>
  <c r="BA143" i="73"/>
  <c r="I148" i="73"/>
  <c r="M148" i="73"/>
  <c r="Y148" i="73"/>
  <c r="AM148" i="73"/>
  <c r="BA148" i="73"/>
  <c r="I150" i="73"/>
  <c r="M150" i="73"/>
  <c r="Y150" i="73"/>
  <c r="AM150" i="73"/>
  <c r="BA150" i="73"/>
  <c r="I152" i="73"/>
  <c r="M152" i="73"/>
  <c r="Q152" i="73" s="1"/>
  <c r="Y152" i="73"/>
  <c r="AM152" i="73"/>
  <c r="BA152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Y156" i="73"/>
  <c r="AM156" i="73"/>
  <c r="BA156" i="73"/>
  <c r="P89" i="77" l="1"/>
  <c r="AN89" i="77"/>
  <c r="BB89" i="77"/>
  <c r="AL89" i="77"/>
  <c r="AL95" i="77" s="1"/>
  <c r="BD89" i="77"/>
  <c r="AA137" i="73"/>
  <c r="AE137" i="73" s="1"/>
  <c r="AI137" i="73" s="1"/>
  <c r="AO137" i="73" s="1"/>
  <c r="AS137" i="73" s="1"/>
  <c r="AW137" i="73" s="1"/>
  <c r="AZ89" i="77"/>
  <c r="AZ95" i="77" s="1"/>
  <c r="P84" i="77"/>
  <c r="AV89" i="77"/>
  <c r="AJ89" i="77"/>
  <c r="AJ95" i="77" s="1"/>
  <c r="AW89" i="77"/>
  <c r="AW95" i="77" s="1"/>
  <c r="AF89" i="77"/>
  <c r="AF95" i="77" s="1"/>
  <c r="AI90" i="77"/>
  <c r="AO90" i="77"/>
  <c r="AI91" i="77"/>
  <c r="AO91" i="77"/>
  <c r="AV84" i="77"/>
  <c r="AR84" i="77"/>
  <c r="AO83" i="77"/>
  <c r="AM90" i="77"/>
  <c r="AW80" i="77"/>
  <c r="AS91" i="77"/>
  <c r="BA91" i="77"/>
  <c r="U91" i="77"/>
  <c r="M91" i="77"/>
  <c r="Q91" i="77"/>
  <c r="I91" i="77"/>
  <c r="AA91" i="77"/>
  <c r="AE91" i="77"/>
  <c r="BA80" i="77"/>
  <c r="AS80" i="77"/>
  <c r="AW81" i="77"/>
  <c r="AM81" i="77"/>
  <c r="Q81" i="77"/>
  <c r="M81" i="77"/>
  <c r="U81" i="77"/>
  <c r="I81" i="77"/>
  <c r="AA81" i="77"/>
  <c r="AE81" i="77"/>
  <c r="AS90" i="77"/>
  <c r="BA90" i="77"/>
  <c r="AI84" i="77"/>
  <c r="M80" i="77"/>
  <c r="U80" i="77"/>
  <c r="Q80" i="77"/>
  <c r="AE80" i="77"/>
  <c r="I80" i="77"/>
  <c r="AA80" i="77"/>
  <c r="AN84" i="77"/>
  <c r="AM83" i="77"/>
  <c r="Q90" i="77"/>
  <c r="U90" i="77"/>
  <c r="M90" i="77"/>
  <c r="AE90" i="77"/>
  <c r="AA90" i="77"/>
  <c r="I90" i="77"/>
  <c r="BD84" i="77"/>
  <c r="AL84" i="77"/>
  <c r="BA81" i="77"/>
  <c r="AS81" i="77"/>
  <c r="BB84" i="77"/>
  <c r="AO80" i="77"/>
  <c r="AW83" i="77"/>
  <c r="AZ84" i="77"/>
  <c r="AJ84" i="77"/>
  <c r="M83" i="77"/>
  <c r="Q83" i="77"/>
  <c r="U83" i="77"/>
  <c r="I83" i="77"/>
  <c r="AA83" i="77"/>
  <c r="AE83" i="77"/>
  <c r="AM91" i="77"/>
  <c r="AH84" i="77"/>
  <c r="AM80" i="77"/>
  <c r="AS83" i="77"/>
  <c r="BA83" i="77"/>
  <c r="AO81" i="77"/>
  <c r="T90" i="77"/>
  <c r="T89" i="77" s="1"/>
  <c r="T80" i="77"/>
  <c r="T84" i="77" s="1"/>
  <c r="BC137" i="73"/>
  <c r="BC139" i="73"/>
  <c r="BC143" i="73"/>
  <c r="Q154" i="73"/>
  <c r="U154" i="73" s="1"/>
  <c r="Q148" i="73"/>
  <c r="U148" i="73" s="1"/>
  <c r="Q150" i="73"/>
  <c r="U150" i="73" s="1"/>
  <c r="AA143" i="73"/>
  <c r="AE143" i="73" s="1"/>
  <c r="AI143" i="73" s="1"/>
  <c r="AO143" i="73" s="1"/>
  <c r="AS143" i="73" s="1"/>
  <c r="Q143" i="73"/>
  <c r="U143" i="73" s="1"/>
  <c r="BC140" i="73"/>
  <c r="Q137" i="73"/>
  <c r="U137" i="73" s="1"/>
  <c r="Q156" i="73"/>
  <c r="U156" i="73" s="1"/>
  <c r="BC154" i="73"/>
  <c r="Q139" i="73"/>
  <c r="U139" i="73" s="1"/>
  <c r="AA141" i="73"/>
  <c r="AE141" i="73" s="1"/>
  <c r="AI141" i="73" s="1"/>
  <c r="AO141" i="73" s="1"/>
  <c r="AS141" i="73" s="1"/>
  <c r="AA142" i="73"/>
  <c r="AE142" i="73" s="1"/>
  <c r="AI142" i="73" s="1"/>
  <c r="AO142" i="73" s="1"/>
  <c r="AS142" i="73" s="1"/>
  <c r="BC138" i="73"/>
  <c r="BC136" i="73"/>
  <c r="BC152" i="73"/>
  <c r="AA136" i="73"/>
  <c r="AE136" i="73" s="1"/>
  <c r="AI136" i="73" s="1"/>
  <c r="AO136" i="73" s="1"/>
  <c r="AS136" i="73" s="1"/>
  <c r="AW136" i="73" s="1"/>
  <c r="BC156" i="73"/>
  <c r="AA150" i="73"/>
  <c r="AE150" i="73" s="1"/>
  <c r="BC142" i="73"/>
  <c r="AA138" i="73"/>
  <c r="AE138" i="73" s="1"/>
  <c r="AI138" i="73" s="1"/>
  <c r="AO138" i="73" s="1"/>
  <c r="AS138" i="73" s="1"/>
  <c r="AA155" i="73"/>
  <c r="AE155" i="73" s="1"/>
  <c r="U141" i="73"/>
  <c r="AA140" i="73"/>
  <c r="AE140" i="73" s="1"/>
  <c r="AI140" i="73" s="1"/>
  <c r="AO140" i="73" s="1"/>
  <c r="AS140" i="73" s="1"/>
  <c r="U136" i="73"/>
  <c r="AA139" i="73"/>
  <c r="AE139" i="73" s="1"/>
  <c r="AI139" i="73" s="1"/>
  <c r="AO139" i="73" s="1"/>
  <c r="AS139" i="73" s="1"/>
  <c r="BC155" i="73"/>
  <c r="AA152" i="73"/>
  <c r="AE152" i="73" s="1"/>
  <c r="BC148" i="73"/>
  <c r="U142" i="73"/>
  <c r="BC150" i="73"/>
  <c r="AA148" i="73"/>
  <c r="AE148" i="73" s="1"/>
  <c r="BC141" i="73"/>
  <c r="U140" i="73"/>
  <c r="AA154" i="73"/>
  <c r="AE154" i="73" s="1"/>
  <c r="BB87" i="77"/>
  <c r="BB86" i="77" s="1"/>
  <c r="BD77" i="77"/>
  <c r="AA156" i="73"/>
  <c r="AE156" i="73" s="1"/>
  <c r="U155" i="73"/>
  <c r="AH87" i="77"/>
  <c r="AH86" i="77" s="1"/>
  <c r="U152" i="73"/>
  <c r="P87" i="77"/>
  <c r="P86" i="77" s="1"/>
  <c r="BA177" i="73"/>
  <c r="BA178" i="73"/>
  <c r="BA179" i="73"/>
  <c r="I89" i="77" l="1"/>
  <c r="M89" i="77"/>
  <c r="Q89" i="77"/>
  <c r="Q95" i="77" s="1"/>
  <c r="U89" i="77"/>
  <c r="U95" i="77" s="1"/>
  <c r="BE137" i="73"/>
  <c r="AW139" i="73"/>
  <c r="AW143" i="73"/>
  <c r="AW138" i="73"/>
  <c r="AW140" i="73"/>
  <c r="AW142" i="73"/>
  <c r="AW141" i="73"/>
  <c r="BE136" i="73"/>
  <c r="AS89" i="77"/>
  <c r="AS95" i="77" s="1"/>
  <c r="AE89" i="77"/>
  <c r="AE95" i="77" s="1"/>
  <c r="AO89" i="77"/>
  <c r="AA89" i="77"/>
  <c r="AA95" i="77" s="1"/>
  <c r="M84" i="77"/>
  <c r="AM89" i="77"/>
  <c r="AM95" i="77" s="1"/>
  <c r="AI89" i="77"/>
  <c r="BA89" i="77"/>
  <c r="BA95" i="77" s="1"/>
  <c r="BC81" i="77"/>
  <c r="BE81" i="77" s="1"/>
  <c r="P95" i="77"/>
  <c r="BC83" i="77"/>
  <c r="BE83" i="77" s="1"/>
  <c r="AH95" i="77"/>
  <c r="AI156" i="73"/>
  <c r="AO156" i="73" s="1"/>
  <c r="AS156" i="73" s="1"/>
  <c r="AI148" i="73"/>
  <c r="AO148" i="73" s="1"/>
  <c r="AS148" i="73" s="1"/>
  <c r="AI154" i="73"/>
  <c r="AO154" i="73" s="1"/>
  <c r="AS154" i="73" s="1"/>
  <c r="AI150" i="73"/>
  <c r="AO150" i="73" s="1"/>
  <c r="AS150" i="73" s="1"/>
  <c r="AI152" i="73"/>
  <c r="AO152" i="73" s="1"/>
  <c r="AS152" i="73" s="1"/>
  <c r="AI155" i="73"/>
  <c r="AO155" i="73" s="1"/>
  <c r="AS155" i="73" s="1"/>
  <c r="AO84" i="77"/>
  <c r="M95" i="77"/>
  <c r="BC91" i="77"/>
  <c r="BE91" i="77" s="1"/>
  <c r="BB95" i="77"/>
  <c r="U84" i="77"/>
  <c r="BC80" i="77"/>
  <c r="AM84" i="77"/>
  <c r="AS84" i="77"/>
  <c r="AA84" i="77"/>
  <c r="BA84" i="77"/>
  <c r="AW84" i="77"/>
  <c r="I84" i="77"/>
  <c r="BC90" i="77"/>
  <c r="AE84" i="77"/>
  <c r="I95" i="77"/>
  <c r="Q84" i="77"/>
  <c r="T87" i="77"/>
  <c r="T86" i="77" s="1"/>
  <c r="AN87" i="77"/>
  <c r="BB63" i="11"/>
  <c r="BB62" i="11"/>
  <c r="BE139" i="73" l="1"/>
  <c r="AW152" i="73"/>
  <c r="AW154" i="73"/>
  <c r="AW155" i="73"/>
  <c r="AW148" i="73"/>
  <c r="BE142" i="73"/>
  <c r="BE140" i="73"/>
  <c r="BE143" i="73"/>
  <c r="AW150" i="73"/>
  <c r="AW156" i="73"/>
  <c r="BE141" i="73"/>
  <c r="BE138" i="73"/>
  <c r="AN86" i="77"/>
  <c r="AN95" i="77" s="1"/>
  <c r="BC89" i="77"/>
  <c r="BC95" i="77" s="1"/>
  <c r="AI95" i="77"/>
  <c r="AO95" i="77"/>
  <c r="T95" i="77"/>
  <c r="BE90" i="77"/>
  <c r="BC84" i="77"/>
  <c r="BE80" i="77"/>
  <c r="BE84" i="77" s="1"/>
  <c r="AR87" i="77"/>
  <c r="BB220" i="6"/>
  <c r="J220" i="6"/>
  <c r="N220" i="6"/>
  <c r="R220" i="6" s="1"/>
  <c r="V220" i="6" s="1"/>
  <c r="Z220" i="6"/>
  <c r="AN220" i="6"/>
  <c r="BE148" i="73" l="1"/>
  <c r="BE155" i="73"/>
  <c r="BE156" i="73"/>
  <c r="BE150" i="73"/>
  <c r="BE154" i="73"/>
  <c r="BE152" i="73"/>
  <c r="AR86" i="77"/>
  <c r="AR95" i="77" s="1"/>
  <c r="BE89" i="77"/>
  <c r="BE95" i="77" s="1"/>
  <c r="BD220" i="6"/>
  <c r="BK220" i="6" s="1"/>
  <c r="AB220" i="6"/>
  <c r="AJ220" i="6" s="1"/>
  <c r="AP220" i="6" s="1"/>
  <c r="AT220" i="6" s="1"/>
  <c r="AX220" i="6" s="1"/>
  <c r="BF220" i="6" s="1"/>
  <c r="BH220" i="6" s="1"/>
  <c r="AV87" i="77"/>
  <c r="AV86" i="77" l="1"/>
  <c r="AV95" i="77" s="1"/>
  <c r="BD87" i="77"/>
  <c r="AF220" i="6"/>
  <c r="BD86" i="77" l="1"/>
  <c r="BD95" i="77" s="1"/>
  <c r="AX39" i="27"/>
  <c r="AY36" i="27"/>
  <c r="AY26" i="27"/>
  <c r="AY21" i="27"/>
  <c r="AX24" i="27"/>
  <c r="AZ28" i="22"/>
  <c r="AZ24" i="22"/>
  <c r="AZ23" i="22"/>
  <c r="AZ14" i="22"/>
  <c r="AZ10" i="22"/>
  <c r="AZ9" i="22"/>
  <c r="AZ12" i="22" l="1"/>
  <c r="AY24" i="27"/>
  <c r="AZ26" i="22"/>
  <c r="AY33" i="27"/>
  <c r="AY39" i="27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13" i="50"/>
  <c r="BA14" i="50"/>
  <c r="BA15" i="50"/>
  <c r="BA16" i="50"/>
  <c r="BA17" i="50"/>
  <c r="BA18" i="50"/>
  <c r="BA19" i="50"/>
  <c r="BA20" i="50"/>
  <c r="BA21" i="50"/>
  <c r="BA22" i="50"/>
  <c r="BA23" i="50"/>
  <c r="BA24" i="50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4" i="50"/>
  <c r="BD135" i="50"/>
  <c r="BD117" i="50"/>
  <c r="BD93" i="50"/>
  <c r="BD79" i="50"/>
  <c r="BD54" i="50"/>
  <c r="BD46" i="50"/>
  <c r="BD38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6" i="50"/>
  <c r="BC65" i="50"/>
  <c r="BC64" i="50"/>
  <c r="BC63" i="50"/>
  <c r="BC62" i="50"/>
  <c r="BC60" i="50"/>
  <c r="BC59" i="50"/>
  <c r="BC58" i="50"/>
  <c r="BC57" i="50"/>
  <c r="BC56" i="50"/>
  <c r="BC55" i="50"/>
  <c r="BA144" i="50"/>
  <c r="BA142" i="50"/>
  <c r="BA141" i="50"/>
  <c r="BA137" i="50"/>
  <c r="BF135" i="50"/>
  <c r="AZ135" i="50"/>
  <c r="AZ133" i="50"/>
  <c r="AZ132" i="50"/>
  <c r="AZ131" i="50"/>
  <c r="BA127" i="50"/>
  <c r="BF117" i="50"/>
  <c r="AZ117" i="50"/>
  <c r="BA115" i="50"/>
  <c r="AZ115" i="50"/>
  <c r="BA112" i="50"/>
  <c r="AZ112" i="50"/>
  <c r="BA111" i="50"/>
  <c r="AZ111" i="50"/>
  <c r="BF103" i="50"/>
  <c r="AZ103" i="50"/>
  <c r="BA102" i="50"/>
  <c r="BA101" i="50"/>
  <c r="BF93" i="50"/>
  <c r="BA93" i="50"/>
  <c r="BA138" i="50" s="1"/>
  <c r="AZ93" i="50"/>
  <c r="BF79" i="50"/>
  <c r="BA79" i="50"/>
  <c r="AZ79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A140" i="50" l="1"/>
  <c r="BA13" i="61"/>
  <c r="BA9" i="61"/>
  <c r="BA5" i="61"/>
  <c r="BA15" i="61"/>
  <c r="BA12" i="61"/>
  <c r="BA8" i="61"/>
  <c r="BA4" i="61"/>
  <c r="BA11" i="61"/>
  <c r="BA7" i="61"/>
  <c r="BA14" i="61"/>
  <c r="BA10" i="61"/>
  <c r="BA6" i="61"/>
  <c r="BA128" i="50"/>
  <c r="AX85" i="17"/>
  <c r="AY85" i="17"/>
  <c r="BD94" i="50"/>
  <c r="BC93" i="50"/>
  <c r="BA38" i="50"/>
  <c r="BC79" i="50"/>
  <c r="AZ104" i="50"/>
  <c r="BF104" i="50"/>
  <c r="BA116" i="50"/>
  <c r="AZ94" i="50"/>
  <c r="BF94" i="50"/>
  <c r="BA54" i="50"/>
  <c r="BA139" i="50"/>
  <c r="BA129" i="50"/>
  <c r="BA46" i="50"/>
  <c r="BA130" i="50"/>
  <c r="BA16" i="61" l="1"/>
  <c r="BA124" i="50"/>
  <c r="BA120" i="50"/>
  <c r="BA108" i="50"/>
  <c r="AZ162" i="10"/>
  <c r="BA94" i="50"/>
  <c r="AZ163" i="10" l="1"/>
  <c r="BF10" i="11"/>
  <c r="BF58" i="10" l="1"/>
  <c r="BI58" i="10" s="1"/>
  <c r="BB58" i="10"/>
  <c r="BB59" i="10"/>
  <c r="BM59" i="10" s="1"/>
  <c r="BD58" i="10" l="1"/>
  <c r="BK58" i="10" s="1"/>
  <c r="BM58" i="10"/>
  <c r="BB11" i="8"/>
  <c r="BA119" i="50" l="1"/>
  <c r="BB8" i="10"/>
  <c r="BM8" i="10" s="1"/>
  <c r="BB9" i="10"/>
  <c r="BM9" i="10" s="1"/>
  <c r="BB10" i="10"/>
  <c r="BM10" i="10" s="1"/>
  <c r="BB11" i="10"/>
  <c r="BM11" i="10" s="1"/>
  <c r="BB12" i="10"/>
  <c r="BM12" i="10" s="1"/>
  <c r="BB13" i="10"/>
  <c r="BM13" i="10" s="1"/>
  <c r="BB14" i="10"/>
  <c r="BM14" i="10" s="1"/>
  <c r="BB15" i="10"/>
  <c r="BM15" i="10" s="1"/>
  <c r="BB16" i="10"/>
  <c r="BM16" i="10" s="1"/>
  <c r="BB17" i="10"/>
  <c r="BM17" i="10" s="1"/>
  <c r="BB18" i="10"/>
  <c r="BM18" i="10" s="1"/>
  <c r="BB19" i="10"/>
  <c r="BM19" i="10" s="1"/>
  <c r="BB20" i="10"/>
  <c r="BM20" i="10" s="1"/>
  <c r="BB23" i="10"/>
  <c r="BM23" i="10" s="1"/>
  <c r="BB26" i="10"/>
  <c r="BM26" i="10" s="1"/>
  <c r="BB27" i="10"/>
  <c r="BM27" i="10" s="1"/>
  <c r="BB28" i="10"/>
  <c r="BB29" i="10"/>
  <c r="BM29" i="10" s="1"/>
  <c r="BB30" i="10"/>
  <c r="BM30" i="10" s="1"/>
  <c r="BB31" i="10"/>
  <c r="BM31" i="10" s="1"/>
  <c r="BB33" i="10"/>
  <c r="BM33" i="10" s="1"/>
  <c r="BB34" i="10"/>
  <c r="BM34" i="10" s="1"/>
  <c r="BB35" i="10"/>
  <c r="BM35" i="10" s="1"/>
  <c r="BB36" i="10"/>
  <c r="BM36" i="10" s="1"/>
  <c r="BB37" i="10"/>
  <c r="BM37" i="10" s="1"/>
  <c r="BB38" i="10"/>
  <c r="BM38" i="10" s="1"/>
  <c r="BB41" i="10"/>
  <c r="BM41" i="10" s="1"/>
  <c r="BB42" i="10"/>
  <c r="BM42" i="10" s="1"/>
  <c r="BB43" i="10"/>
  <c r="BM43" i="10" s="1"/>
  <c r="BB44" i="10"/>
  <c r="BM44" i="10" s="1"/>
  <c r="BB45" i="10"/>
  <c r="BM45" i="10" s="1"/>
  <c r="BB46" i="10"/>
  <c r="BM46" i="10" s="1"/>
  <c r="BB47" i="10"/>
  <c r="BM47" i="10" s="1"/>
  <c r="BB48" i="10"/>
  <c r="BM48" i="10" s="1"/>
  <c r="BB49" i="10"/>
  <c r="BM49" i="10" s="1"/>
  <c r="BB50" i="10"/>
  <c r="BM50" i="10" s="1"/>
  <c r="BB51" i="10"/>
  <c r="BM51" i="10" s="1"/>
  <c r="BB52" i="10"/>
  <c r="BM52" i="10" s="1"/>
  <c r="BB53" i="10"/>
  <c r="BM53" i="10" s="1"/>
  <c r="BB54" i="10"/>
  <c r="BM54" i="10" s="1"/>
  <c r="BB56" i="10"/>
  <c r="BM56" i="10" s="1"/>
  <c r="BB57" i="10"/>
  <c r="BM57" i="10" s="1"/>
  <c r="BB61" i="10"/>
  <c r="BM61" i="10" s="1"/>
  <c r="BB62" i="10"/>
  <c r="BM62" i="10" s="1"/>
  <c r="BB63" i="10"/>
  <c r="BM63" i="10" s="1"/>
  <c r="BB65" i="10"/>
  <c r="BM65" i="10" s="1"/>
  <c r="BB66" i="10"/>
  <c r="BM66" i="10" s="1"/>
  <c r="BB68" i="10"/>
  <c r="BM68" i="10" s="1"/>
  <c r="BB69" i="10"/>
  <c r="BM69" i="10" s="1"/>
  <c r="BB70" i="10"/>
  <c r="BM70" i="10" s="1"/>
  <c r="BB71" i="10"/>
  <c r="BM71" i="10" s="1"/>
  <c r="BB72" i="10"/>
  <c r="BM72" i="10" s="1"/>
  <c r="BB73" i="10"/>
  <c r="BM73" i="10" s="1"/>
  <c r="BB74" i="10"/>
  <c r="BM74" i="10" s="1"/>
  <c r="BB76" i="10"/>
  <c r="BM76" i="10" s="1"/>
  <c r="BB77" i="10"/>
  <c r="BB78" i="10"/>
  <c r="BM78" i="10" s="1"/>
  <c r="BB79" i="10"/>
  <c r="BM79" i="10" s="1"/>
  <c r="BB80" i="10"/>
  <c r="BM80" i="10" s="1"/>
  <c r="BB81" i="10"/>
  <c r="BM81" i="10" s="1"/>
  <c r="BB82" i="10"/>
  <c r="BM82" i="10" s="1"/>
  <c r="BB83" i="10"/>
  <c r="BM83" i="10" s="1"/>
  <c r="BB84" i="10"/>
  <c r="BM84" i="10" s="1"/>
  <c r="BB87" i="10"/>
  <c r="BM87" i="10" s="1"/>
  <c r="BB88" i="10"/>
  <c r="BM88" i="10" s="1"/>
  <c r="BB89" i="10"/>
  <c r="BM89" i="10" s="1"/>
  <c r="BB90" i="10"/>
  <c r="BM90" i="10" s="1"/>
  <c r="BB91" i="10"/>
  <c r="BM91" i="10" s="1"/>
  <c r="BB92" i="10"/>
  <c r="BM92" i="10" s="1"/>
  <c r="BB93" i="10"/>
  <c r="BM93" i="10" s="1"/>
  <c r="BB94" i="10"/>
  <c r="BM94" i="10" s="1"/>
  <c r="BB95" i="10"/>
  <c r="BM95" i="10" s="1"/>
  <c r="BB96" i="10"/>
  <c r="BM96" i="10" s="1"/>
  <c r="BB97" i="10"/>
  <c r="BM97" i="10" s="1"/>
  <c r="BB98" i="10"/>
  <c r="BM98" i="10" s="1"/>
  <c r="BB99" i="10"/>
  <c r="BM99" i="10" s="1"/>
  <c r="BB100" i="10"/>
  <c r="BM100" i="10" s="1"/>
  <c r="BB101" i="10"/>
  <c r="BM101" i="10" s="1"/>
  <c r="BB102" i="10"/>
  <c r="BM102" i="10" s="1"/>
  <c r="BB103" i="10"/>
  <c r="BM103" i="10" s="1"/>
  <c r="BB104" i="10"/>
  <c r="BM104" i="10" s="1"/>
  <c r="BB107" i="10"/>
  <c r="BM107" i="10" s="1"/>
  <c r="BB108" i="10"/>
  <c r="BM108" i="10" s="1"/>
  <c r="BB109" i="10"/>
  <c r="BM109" i="10" s="1"/>
  <c r="BB110" i="10"/>
  <c r="BM110" i="10" s="1"/>
  <c r="BB111" i="10"/>
  <c r="BM111" i="10" s="1"/>
  <c r="BB112" i="10"/>
  <c r="BM112" i="10" s="1"/>
  <c r="BB113" i="10"/>
  <c r="BM113" i="10" s="1"/>
  <c r="BB115" i="10"/>
  <c r="BM115" i="10" s="1"/>
  <c r="BB116" i="10"/>
  <c r="BM116" i="10" s="1"/>
  <c r="BB117" i="10"/>
  <c r="BM117" i="10" s="1"/>
  <c r="BB118" i="10"/>
  <c r="BM118" i="10" s="1"/>
  <c r="BB119" i="10"/>
  <c r="BM119" i="10" s="1"/>
  <c r="BB120" i="10"/>
  <c r="BM120" i="10" s="1"/>
  <c r="BB121" i="10"/>
  <c r="BM121" i="10" s="1"/>
  <c r="BB150" i="10"/>
  <c r="BM150" i="10" s="1"/>
  <c r="BB151" i="10"/>
  <c r="BM151" i="10" s="1"/>
  <c r="BB152" i="10"/>
  <c r="BM152" i="10" s="1"/>
  <c r="BB153" i="10"/>
  <c r="BM153" i="10" s="1"/>
  <c r="BA11" i="8"/>
  <c r="AZ10" i="49"/>
  <c r="AZ12" i="49" s="1"/>
  <c r="AZ14" i="49" s="1"/>
  <c r="AZ15" i="49" s="1"/>
  <c r="AZ16" i="49" s="1"/>
  <c r="AZ19" i="49" s="1"/>
  <c r="AZ20" i="49" s="1"/>
  <c r="BA49" i="7"/>
  <c r="BB49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X50" i="39"/>
  <c r="AX45" i="39"/>
  <c r="AX8" i="39"/>
  <c r="BA194" i="6"/>
  <c r="BA121" i="50" l="1"/>
  <c r="BD28" i="10"/>
  <c r="BK28" i="10" s="1"/>
  <c r="BM28" i="10"/>
  <c r="BD77" i="10"/>
  <c r="BK77" i="10" s="1"/>
  <c r="BM77" i="10"/>
  <c r="AX51" i="39"/>
  <c r="AX22" i="39"/>
  <c r="AX24" i="39" s="1"/>
  <c r="AY2" i="17"/>
  <c r="AY2" i="26"/>
  <c r="AZ33" i="22"/>
  <c r="BA133" i="50"/>
  <c r="BA123" i="50"/>
  <c r="BA125" i="50" l="1"/>
  <c r="AX2" i="26"/>
  <c r="AX2" i="17"/>
  <c r="BA107" i="50"/>
  <c r="BA109" i="50" l="1"/>
  <c r="BA110" i="50"/>
  <c r="BA117" i="50" l="1"/>
  <c r="BB121" i="6" l="1"/>
  <c r="BB118" i="6"/>
  <c r="BA118" i="6"/>
  <c r="BB117" i="6"/>
  <c r="BA117" i="6"/>
  <c r="BB116" i="6"/>
  <c r="BA116" i="6"/>
  <c r="BB115" i="6"/>
  <c r="BA115" i="6"/>
  <c r="BB113" i="6"/>
  <c r="BA113" i="6"/>
  <c r="BB112" i="6"/>
  <c r="BA112" i="6"/>
  <c r="BB110" i="6"/>
  <c r="BA110" i="6"/>
  <c r="BB109" i="6"/>
  <c r="BA109" i="6"/>
  <c r="BB108" i="6"/>
  <c r="BA108" i="6"/>
  <c r="BB105" i="6"/>
  <c r="BB102" i="6"/>
  <c r="BA102" i="6"/>
  <c r="BB101" i="6"/>
  <c r="BA101" i="6"/>
  <c r="BB100" i="6"/>
  <c r="BA100" i="6"/>
  <c r="BB99" i="6"/>
  <c r="BA99" i="6"/>
  <c r="BB97" i="6"/>
  <c r="BA97" i="6"/>
  <c r="BB96" i="6"/>
  <c r="BA96" i="6"/>
  <c r="BB93" i="6"/>
  <c r="BA93" i="6"/>
  <c r="BB92" i="6"/>
  <c r="BA92" i="6"/>
  <c r="BB91" i="6"/>
  <c r="BA91" i="6"/>
  <c r="BB119" i="6" l="1"/>
  <c r="BB103" i="6"/>
  <c r="BB114" i="6"/>
  <c r="BA114" i="6"/>
  <c r="BA103" i="6"/>
  <c r="BA119" i="6"/>
  <c r="BB120" i="6" l="1"/>
  <c r="BA120" i="6"/>
  <c r="BA122" i="6" l="1"/>
  <c r="BB122" i="6"/>
  <c r="BA7" i="73" l="1"/>
  <c r="BA9" i="73"/>
  <c r="BA10" i="73"/>
  <c r="BA14" i="73"/>
  <c r="BA17" i="73"/>
  <c r="AZ18" i="73"/>
  <c r="BB18" i="73"/>
  <c r="BA19" i="73"/>
  <c r="BA20" i="73"/>
  <c r="BA21" i="73"/>
  <c r="BA26" i="73"/>
  <c r="BA27" i="73"/>
  <c r="BA28" i="73"/>
  <c r="BA29" i="73"/>
  <c r="BA31" i="73"/>
  <c r="BA32" i="73"/>
  <c r="BA33" i="73"/>
  <c r="BA35" i="73"/>
  <c r="BA36" i="73"/>
  <c r="BA37" i="73"/>
  <c r="BA39" i="73"/>
  <c r="BA40" i="73"/>
  <c r="BA42" i="73"/>
  <c r="BA43" i="73"/>
  <c r="BA44" i="73"/>
  <c r="BA45" i="73"/>
  <c r="BA47" i="73"/>
  <c r="BA48" i="73"/>
  <c r="BA49" i="73"/>
  <c r="BA50" i="73"/>
  <c r="BA52" i="73"/>
  <c r="BA54" i="73"/>
  <c r="BA55" i="73"/>
  <c r="BA56" i="73"/>
  <c r="BA58" i="73"/>
  <c r="BA59" i="73"/>
  <c r="BA60" i="73"/>
  <c r="BA61" i="73"/>
  <c r="BA65" i="73"/>
  <c r="BA66" i="73"/>
  <c r="BA67" i="73"/>
  <c r="BA68" i="73"/>
  <c r="BA74" i="73"/>
  <c r="BA75" i="73"/>
  <c r="BA76" i="73"/>
  <c r="BA77" i="73"/>
  <c r="BA78" i="73"/>
  <c r="BA79" i="73"/>
  <c r="BA80" i="73"/>
  <c r="BA82" i="73"/>
  <c r="BA83" i="73"/>
  <c r="BA85" i="73"/>
  <c r="BA90" i="73"/>
  <c r="BA91" i="73"/>
  <c r="BA92" i="73"/>
  <c r="BA93" i="73"/>
  <c r="BA94" i="73"/>
  <c r="BA95" i="73"/>
  <c r="BA96" i="73"/>
  <c r="BA98" i="73"/>
  <c r="BA99" i="73"/>
  <c r="BA112" i="73"/>
  <c r="BA100" i="73"/>
  <c r="BA102" i="73"/>
  <c r="BA103" i="73"/>
  <c r="BA104" i="73"/>
  <c r="BA106" i="73"/>
  <c r="BA109" i="73"/>
  <c r="BA110" i="73"/>
  <c r="BA118" i="73"/>
  <c r="BA119" i="73"/>
  <c r="BA120" i="73"/>
  <c r="AZ121" i="73"/>
  <c r="BB121" i="73"/>
  <c r="BA122" i="73"/>
  <c r="BA123" i="73"/>
  <c r="AZ125" i="73"/>
  <c r="BB125" i="73"/>
  <c r="BA126" i="73"/>
  <c r="AZ129" i="73"/>
  <c r="BB129" i="73"/>
  <c r="BA130" i="73"/>
  <c r="BA131" i="73"/>
  <c r="BA157" i="73"/>
  <c r="BA159" i="73"/>
  <c r="BA161" i="73"/>
  <c r="BA162" i="73"/>
  <c r="BA164" i="73"/>
  <c r="BA165" i="73"/>
  <c r="BA167" i="73"/>
  <c r="BA168" i="73"/>
  <c r="BA169" i="73"/>
  <c r="BA170" i="73"/>
  <c r="AZ171" i="73"/>
  <c r="BB171" i="73"/>
  <c r="BA174" i="73"/>
  <c r="BA175" i="73"/>
  <c r="AZ132" i="73" l="1"/>
  <c r="BB132" i="73"/>
  <c r="BA18" i="73"/>
  <c r="BA143" i="50"/>
  <c r="BA145" i="50" l="1"/>
  <c r="BA146" i="50" s="1"/>
  <c r="AY203" i="10"/>
  <c r="AY33" i="22" l="1"/>
  <c r="AZ203" i="10"/>
  <c r="AY21" i="22" l="1"/>
  <c r="AY7" i="22"/>
  <c r="AZ97" i="50"/>
  <c r="AZ95" i="50" s="1"/>
  <c r="AY8" i="22" l="1"/>
  <c r="AY22" i="22"/>
  <c r="BA97" i="50"/>
  <c r="BA80" i="83"/>
  <c r="BA78" i="83" s="1"/>
  <c r="AY24" i="22" l="1"/>
  <c r="AY10" i="22"/>
  <c r="BA95" i="50"/>
  <c r="AY11" i="22" l="1"/>
  <c r="AY25" i="22"/>
  <c r="AY27" i="22" l="1"/>
  <c r="AY13" i="22"/>
  <c r="AX16" i="61" l="1"/>
  <c r="BB64" i="10" l="1"/>
  <c r="BM64" i="10" s="1"/>
  <c r="BB67" i="10" l="1"/>
  <c r="BM67" i="10" s="1"/>
  <c r="K74" i="50" l="1"/>
  <c r="S74" i="50"/>
  <c r="W74" i="50" s="1"/>
  <c r="BE74" i="50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13" i="50"/>
  <c r="AW14" i="50"/>
  <c r="AW15" i="50"/>
  <c r="AW16" i="50"/>
  <c r="AW17" i="50"/>
  <c r="AW18" i="50"/>
  <c r="AW19" i="50"/>
  <c r="AW20" i="50"/>
  <c r="AW21" i="50"/>
  <c r="AW22" i="50"/>
  <c r="AW23" i="50"/>
  <c r="AW24" i="50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4" i="50"/>
  <c r="AW144" i="50"/>
  <c r="AW142" i="50"/>
  <c r="AW141" i="50"/>
  <c r="AW137" i="50"/>
  <c r="AX135" i="50"/>
  <c r="AV135" i="50"/>
  <c r="AV133" i="50"/>
  <c r="AV132" i="50"/>
  <c r="AV131" i="50"/>
  <c r="AW127" i="50"/>
  <c r="AX117" i="50"/>
  <c r="AV117" i="50"/>
  <c r="AW115" i="50"/>
  <c r="AV115" i="50"/>
  <c r="AW112" i="50"/>
  <c r="AV112" i="50"/>
  <c r="AW111" i="50"/>
  <c r="AV111" i="50"/>
  <c r="AX103" i="50"/>
  <c r="AV103" i="50"/>
  <c r="AW102" i="50"/>
  <c r="AW101" i="50"/>
  <c r="AX93" i="50"/>
  <c r="AW93" i="50"/>
  <c r="AW138" i="50" s="1"/>
  <c r="AV93" i="50"/>
  <c r="AX79" i="50"/>
  <c r="AW79" i="50"/>
  <c r="AW128" i="50" s="1"/>
  <c r="AV79" i="50"/>
  <c r="AX54" i="50"/>
  <c r="AV54" i="50"/>
  <c r="AW47" i="50"/>
  <c r="AX46" i="50"/>
  <c r="AV46" i="50"/>
  <c r="AX38" i="50"/>
  <c r="AV38" i="50"/>
  <c r="G32" i="50"/>
  <c r="I32" i="50"/>
  <c r="Q32" i="50"/>
  <c r="AE32" i="50"/>
  <c r="AI32" i="50"/>
  <c r="AS32" i="50"/>
  <c r="G33" i="50"/>
  <c r="I33" i="50"/>
  <c r="Q33" i="50"/>
  <c r="AE33" i="50"/>
  <c r="AI33" i="50"/>
  <c r="G34" i="50"/>
  <c r="I34" i="50"/>
  <c r="Q34" i="50"/>
  <c r="AE34" i="50"/>
  <c r="AI34" i="50"/>
  <c r="AM34" i="50"/>
  <c r="AS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BG102" i="50" l="1"/>
  <c r="AW13" i="61"/>
  <c r="AW9" i="61"/>
  <c r="AW5" i="61"/>
  <c r="BG101" i="50"/>
  <c r="AW15" i="61"/>
  <c r="AW12" i="61"/>
  <c r="AW8" i="61"/>
  <c r="AW4" i="61"/>
  <c r="AW11" i="61"/>
  <c r="AW7" i="61"/>
  <c r="AW14" i="61"/>
  <c r="AW10" i="61"/>
  <c r="AW6" i="61"/>
  <c r="BC37" i="50"/>
  <c r="BC34" i="50"/>
  <c r="BC36" i="50"/>
  <c r="AW139" i="50"/>
  <c r="BC32" i="50"/>
  <c r="BC35" i="50"/>
  <c r="AC74" i="50"/>
  <c r="AG74" i="50" s="1"/>
  <c r="AA32" i="50"/>
  <c r="AV104" i="50"/>
  <c r="AW116" i="50"/>
  <c r="AW54" i="50"/>
  <c r="AV94" i="50"/>
  <c r="AX104" i="50"/>
  <c r="AO36" i="50"/>
  <c r="K36" i="50"/>
  <c r="O33" i="50"/>
  <c r="S33" i="50" s="1"/>
  <c r="W33" i="50" s="1"/>
  <c r="AX94" i="50"/>
  <c r="AW46" i="50"/>
  <c r="AW129" i="50"/>
  <c r="AW38" i="50"/>
  <c r="AW130" i="50"/>
  <c r="AW140" i="50"/>
  <c r="AO37" i="50"/>
  <c r="AA35" i="50"/>
  <c r="O37" i="50"/>
  <c r="S37" i="50" s="1"/>
  <c r="W37" i="50" s="1"/>
  <c r="K37" i="50"/>
  <c r="AA36" i="50"/>
  <c r="AO34" i="50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AW16" i="61" l="1"/>
  <c r="BE37" i="50"/>
  <c r="AW120" i="50"/>
  <c r="AW124" i="50"/>
  <c r="BE34" i="50"/>
  <c r="BE36" i="50"/>
  <c r="AW108" i="50"/>
  <c r="AV162" i="10"/>
  <c r="AK74" i="50"/>
  <c r="AQ74" i="50" s="1"/>
  <c r="AU74" i="50" s="1"/>
  <c r="AY74" i="50" s="1"/>
  <c r="BG74" i="50" s="1"/>
  <c r="BH74" i="50" s="1"/>
  <c r="BE35" i="50"/>
  <c r="AC35" i="50"/>
  <c r="AG35" i="50" s="1"/>
  <c r="AW94" i="50"/>
  <c r="S32" i="50"/>
  <c r="W32" i="50" s="1"/>
  <c r="AC32" i="50"/>
  <c r="AG32" i="50" s="1"/>
  <c r="AK32" i="50" s="1"/>
  <c r="S34" i="50"/>
  <c r="W34" i="50" s="1"/>
  <c r="AC34" i="50"/>
  <c r="AG34" i="50" s="1"/>
  <c r="S36" i="50"/>
  <c r="W36" i="50" s="1"/>
  <c r="AC36" i="50"/>
  <c r="AG36" i="50" s="1"/>
  <c r="AV163" i="10" l="1"/>
  <c r="AK35" i="50"/>
  <c r="AQ35" i="50" s="1"/>
  <c r="AU35" i="50" s="1"/>
  <c r="AY35" i="50" s="1"/>
  <c r="BG35" i="50" s="1"/>
  <c r="BH35" i="50" s="1"/>
  <c r="AK36" i="50"/>
  <c r="AQ36" i="50" s="1"/>
  <c r="AU36" i="50" s="1"/>
  <c r="AY36" i="50" s="1"/>
  <c r="BG36" i="50" s="1"/>
  <c r="BH36" i="50" s="1"/>
  <c r="AK34" i="50"/>
  <c r="AQ34" i="50" s="1"/>
  <c r="AU34" i="50" s="1"/>
  <c r="AY34" i="50" s="1"/>
  <c r="BG34" i="50" s="1"/>
  <c r="BH34" i="50" s="1"/>
  <c r="AX153" i="28" l="1"/>
  <c r="BF153" i="28" s="1"/>
  <c r="BH153" i="28" s="1"/>
  <c r="AV144" i="45" l="1"/>
  <c r="AU78" i="11"/>
  <c r="AU177" i="10"/>
  <c r="AU98" i="9"/>
  <c r="AT57" i="17"/>
  <c r="AV142" i="45"/>
  <c r="AU76" i="11"/>
  <c r="AU175" i="10"/>
  <c r="AT55" i="17"/>
  <c r="AU188" i="6"/>
  <c r="AV141" i="45"/>
  <c r="AU75" i="11"/>
  <c r="AU174" i="10"/>
  <c r="AU97" i="9"/>
  <c r="AT54" i="17"/>
  <c r="AU187" i="6"/>
  <c r="AU162" i="6"/>
  <c r="G64" i="83"/>
  <c r="I64" i="83"/>
  <c r="U64" i="83"/>
  <c r="Y64" i="83"/>
  <c r="AE64" i="83"/>
  <c r="AM64" i="83"/>
  <c r="AS64" i="83"/>
  <c r="BC64" i="83" s="1"/>
  <c r="AA64" i="83" l="1"/>
  <c r="O64" i="83"/>
  <c r="S64" i="83" s="1"/>
  <c r="K64" i="83"/>
  <c r="AO64" i="83"/>
  <c r="BE64" i="83" s="1"/>
  <c r="AT56" i="17" l="1"/>
  <c r="AC64" i="83"/>
  <c r="AG64" i="83" s="1"/>
  <c r="AK64" i="83" s="1"/>
  <c r="AQ64" i="83" s="1"/>
  <c r="AU64" i="83" s="1"/>
  <c r="AY64" i="83" s="1"/>
  <c r="BG64" i="83" s="1"/>
  <c r="AU85" i="17" l="1"/>
  <c r="AT85" i="17" l="1"/>
  <c r="F218" i="6" l="1"/>
  <c r="F217" i="6"/>
  <c r="BF28" i="10" l="1"/>
  <c r="BI28" i="10" s="1"/>
  <c r="AV32" i="35" l="1"/>
  <c r="BB32" i="35" s="1"/>
  <c r="AV31" i="35"/>
  <c r="AV41" i="35" l="1"/>
  <c r="AV97" i="11"/>
  <c r="AY73" i="59"/>
  <c r="AW123" i="50"/>
  <c r="AY67" i="59"/>
  <c r="AW119" i="50"/>
  <c r="AX73" i="59"/>
  <c r="AY71" i="59"/>
  <c r="AY69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25" i="50" l="1"/>
  <c r="AW121" i="50"/>
  <c r="AA21" i="83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90" i="90"/>
  <c r="AY59" i="59"/>
  <c r="AW133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5" i="59"/>
  <c r="AY63" i="59"/>
  <c r="AW110" i="50" l="1"/>
  <c r="AW109" i="50"/>
  <c r="AV33" i="35"/>
  <c r="AV37" i="35" s="1"/>
  <c r="AW80" i="83" s="1"/>
  <c r="AW78" i="83" s="1"/>
  <c r="AV203" i="10"/>
  <c r="AW80" i="8"/>
  <c r="AW73" i="8"/>
  <c r="AW52" i="8"/>
  <c r="AW117" i="50" l="1"/>
  <c r="AV25" i="36"/>
  <c r="AY75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5" i="59" l="1"/>
  <c r="AX69" i="59"/>
  <c r="AW113" i="7"/>
  <c r="AW112" i="7"/>
  <c r="AW111" i="7"/>
  <c r="AW110" i="7"/>
  <c r="AW109" i="7"/>
  <c r="AW108" i="7"/>
  <c r="AW107" i="7"/>
  <c r="AW106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5" i="7"/>
  <c r="AU75" i="7"/>
  <c r="AV71" i="7"/>
  <c r="AU71" i="7"/>
  <c r="AV67" i="7"/>
  <c r="AU67" i="7"/>
  <c r="AV21" i="7"/>
  <c r="AU21" i="7"/>
  <c r="AU73" i="7" l="1"/>
  <c r="AV73" i="7"/>
  <c r="AU41" i="7"/>
  <c r="AV41" i="7"/>
  <c r="AU49" i="39"/>
  <c r="AV83" i="7"/>
  <c r="AY35" i="59" s="1"/>
  <c r="AY33" i="59"/>
  <c r="AY29" i="59"/>
  <c r="AT2" i="26"/>
  <c r="AT2" i="17"/>
  <c r="AX33" i="59"/>
  <c r="AX29" i="59"/>
  <c r="AU83" i="7"/>
  <c r="AX35" i="59" s="1"/>
  <c r="AU81" i="7"/>
  <c r="AX28" i="59" s="1"/>
  <c r="AV81" i="7"/>
  <c r="AY28" i="59" s="1"/>
  <c r="AU68" i="7"/>
  <c r="AU78" i="7"/>
  <c r="AV69" i="7"/>
  <c r="AV78" i="7"/>
  <c r="AX34" i="59"/>
  <c r="AU76" i="7"/>
  <c r="AY34" i="59"/>
  <c r="AV76" i="7"/>
  <c r="AT50" i="39"/>
  <c r="AT45" i="39"/>
  <c r="AT8" i="39"/>
  <c r="AW195" i="6"/>
  <c r="AW194" i="6"/>
  <c r="AW193" i="6"/>
  <c r="AW186" i="6"/>
  <c r="AW185" i="6"/>
  <c r="AW182" i="6"/>
  <c r="AW181" i="6"/>
  <c r="AW180" i="6"/>
  <c r="AW179" i="6"/>
  <c r="AW178" i="6"/>
  <c r="AW177" i="6"/>
  <c r="AW175" i="6"/>
  <c r="AW174" i="6"/>
  <c r="AW173" i="6"/>
  <c r="AW161" i="6"/>
  <c r="AW160" i="6"/>
  <c r="AW157" i="6"/>
  <c r="AW156" i="6"/>
  <c r="AW155" i="6"/>
  <c r="AW154" i="6"/>
  <c r="AW153" i="6"/>
  <c r="AW152" i="6"/>
  <c r="AW150" i="6"/>
  <c r="AW149" i="6"/>
  <c r="AW148" i="6"/>
  <c r="AW85" i="6"/>
  <c r="AW83" i="6"/>
  <c r="AW82" i="6"/>
  <c r="AW80" i="6"/>
  <c r="AW79" i="6"/>
  <c r="AW40" i="6"/>
  <c r="AW39" i="6"/>
  <c r="AW38" i="6"/>
  <c r="AW37" i="6"/>
  <c r="AU51" i="39" l="1"/>
  <c r="AV51" i="7"/>
  <c r="AU51" i="7"/>
  <c r="AY31" i="59"/>
  <c r="AX31" i="59"/>
  <c r="AT51" i="39"/>
  <c r="AT22" i="39"/>
  <c r="AW41" i="6"/>
  <c r="AV38" i="7"/>
  <c r="AV53" i="7" s="1"/>
  <c r="AU38" i="7"/>
  <c r="AU53" i="7" s="1"/>
  <c r="AU104" i="7" l="1"/>
  <c r="AX30" i="59"/>
  <c r="AV104" i="7"/>
  <c r="AY30" i="59"/>
  <c r="AT24" i="39"/>
  <c r="AV63" i="7"/>
  <c r="AV77" i="7"/>
  <c r="AU63" i="7"/>
  <c r="AU77" i="7"/>
  <c r="AZ59" i="59" l="1"/>
  <c r="AZ44" i="59"/>
  <c r="AZ41" i="59"/>
  <c r="BA12" i="59"/>
  <c r="AZ12" i="59"/>
  <c r="AZ11" i="59"/>
  <c r="AW143" i="50" l="1"/>
  <c r="AV97" i="50"/>
  <c r="AV95" i="50" s="1"/>
  <c r="AV1" i="35"/>
  <c r="AV21" i="35" s="1"/>
  <c r="AV26" i="9" s="1"/>
  <c r="AR1" i="35"/>
  <c r="AR21" i="35" s="1"/>
  <c r="AW145" i="50" l="1"/>
  <c r="AU121" i="90"/>
  <c r="AW97" i="50"/>
  <c r="AW95" i="50" l="1"/>
  <c r="AW146" i="50"/>
  <c r="AU125" i="90"/>
  <c r="M143" i="45" l="1"/>
  <c r="L143" i="45"/>
  <c r="F77" i="11"/>
  <c r="E77" i="11"/>
  <c r="AR176" i="10"/>
  <c r="AQ176" i="10"/>
  <c r="AY52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BE12" i="38" l="1"/>
  <c r="BE11" i="38"/>
  <c r="AX311" i="28" l="1"/>
  <c r="BF311" i="28" s="1"/>
  <c r="BH311" i="28" s="1"/>
  <c r="AT425" i="28"/>
  <c r="AX425" i="28" s="1"/>
  <c r="BF425" i="28" s="1"/>
  <c r="BH425" i="28" s="1"/>
  <c r="AT420" i="28"/>
  <c r="AX420" i="28" s="1"/>
  <c r="BF420" i="28" s="1"/>
  <c r="BH420" i="28" s="1"/>
  <c r="BD168" i="28"/>
  <c r="BK168" i="28" s="1"/>
  <c r="AP168" i="28"/>
  <c r="AT168" i="28" l="1"/>
  <c r="AX168" i="28" s="1"/>
  <c r="BF168" i="28" s="1"/>
  <c r="BH168" i="28" s="1"/>
  <c r="BF77" i="10"/>
  <c r="BI77" i="10" s="1"/>
  <c r="BB135" i="10"/>
  <c r="BM135" i="10" s="1"/>
  <c r="BF85" i="10"/>
  <c r="BI85" i="10" s="1"/>
  <c r="BB75" i="10"/>
  <c r="BM75" i="10" s="1"/>
  <c r="BB60" i="10"/>
  <c r="BM60" i="10" s="1"/>
  <c r="BB55" i="10"/>
  <c r="BM55" i="10" s="1"/>
  <c r="BB40" i="10" l="1"/>
  <c r="BM40" i="10" s="1"/>
  <c r="AS23" i="83"/>
  <c r="BB24" i="10"/>
  <c r="BM24" i="10" s="1"/>
  <c r="AS27" i="83"/>
  <c r="BC27" i="83" s="1"/>
  <c r="BB25" i="10"/>
  <c r="BM25" i="10" s="1"/>
  <c r="AS29" i="83"/>
  <c r="BC29" i="83" s="1"/>
  <c r="BB32" i="10"/>
  <c r="BM32" i="10" s="1"/>
  <c r="AS9" i="83"/>
  <c r="BB39" i="10"/>
  <c r="BM39" i="10" s="1"/>
  <c r="AS24" i="83"/>
  <c r="BC24" i="83" s="1"/>
  <c r="BB85" i="10"/>
  <c r="AS33" i="50"/>
  <c r="AS32" i="83"/>
  <c r="BC32" i="83" s="1"/>
  <c r="BC33" i="50" l="1"/>
  <c r="BD85" i="10"/>
  <c r="BK85" i="10" s="1"/>
  <c r="BM85" i="10"/>
  <c r="BC9" i="83"/>
  <c r="AS38" i="83"/>
  <c r="BC23" i="83"/>
  <c r="BE23" i="83" s="1"/>
  <c r="AU23" i="83"/>
  <c r="AY23" i="83" s="1"/>
  <c r="BG23" i="83" s="1"/>
  <c r="AS40" i="50"/>
  <c r="AS41" i="50"/>
  <c r="AS42" i="50"/>
  <c r="AS43" i="50"/>
  <c r="AS44" i="50"/>
  <c r="AS45" i="50"/>
  <c r="AS39" i="50"/>
  <c r="AS5" i="50"/>
  <c r="AS6" i="50"/>
  <c r="AS7" i="50"/>
  <c r="AS8" i="50"/>
  <c r="AS9" i="50"/>
  <c r="AS10" i="50"/>
  <c r="AS11" i="50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AS24" i="50"/>
  <c r="AS25" i="50"/>
  <c r="AS26" i="50"/>
  <c r="AS27" i="50"/>
  <c r="AS29" i="50"/>
  <c r="AS30" i="50"/>
  <c r="AS31" i="50"/>
  <c r="AS4" i="50"/>
  <c r="AT135" i="50"/>
  <c r="AT117" i="50"/>
  <c r="AT103" i="50"/>
  <c r="AT93" i="50"/>
  <c r="AT79" i="50"/>
  <c r="AT54" i="50"/>
  <c r="AT46" i="50"/>
  <c r="AT38" i="50"/>
  <c r="AS144" i="50"/>
  <c r="AS142" i="50"/>
  <c r="AS141" i="50"/>
  <c r="AS137" i="50"/>
  <c r="AR135" i="50"/>
  <c r="AR133" i="50"/>
  <c r="AR132" i="50"/>
  <c r="AR131" i="50"/>
  <c r="AS127" i="50"/>
  <c r="AR117" i="50"/>
  <c r="AS115" i="50"/>
  <c r="AR115" i="50"/>
  <c r="AS112" i="50"/>
  <c r="AR112" i="50"/>
  <c r="AS111" i="50"/>
  <c r="AR111" i="50"/>
  <c r="AR103" i="50"/>
  <c r="AS102" i="50"/>
  <c r="AS101" i="50"/>
  <c r="AS93" i="50"/>
  <c r="AR93" i="50"/>
  <c r="AS79" i="50"/>
  <c r="AR79" i="50"/>
  <c r="AR54" i="50"/>
  <c r="AS53" i="50"/>
  <c r="AS51" i="50"/>
  <c r="AS50" i="50"/>
  <c r="AS49" i="50"/>
  <c r="AS48" i="50"/>
  <c r="AS47" i="50"/>
  <c r="AR46" i="50"/>
  <c r="AR38" i="50"/>
  <c r="BC47" i="50" l="1"/>
  <c r="BC51" i="50"/>
  <c r="BC142" i="50"/>
  <c r="BC30" i="50"/>
  <c r="BC25" i="50"/>
  <c r="BC9" i="50"/>
  <c r="BC5" i="50"/>
  <c r="BC43" i="50"/>
  <c r="BC48" i="50"/>
  <c r="BC53" i="50"/>
  <c r="BC112" i="50"/>
  <c r="BC127" i="50"/>
  <c r="BC144" i="50"/>
  <c r="BC29" i="50"/>
  <c r="BC8" i="50"/>
  <c r="BC39" i="50"/>
  <c r="BC42" i="50"/>
  <c r="BC49" i="50"/>
  <c r="BC137" i="50"/>
  <c r="BC4" i="50"/>
  <c r="BC27" i="50"/>
  <c r="BC23" i="50"/>
  <c r="BC11" i="50"/>
  <c r="BC7" i="50"/>
  <c r="BC45" i="50"/>
  <c r="BC41" i="50"/>
  <c r="BC50" i="50"/>
  <c r="BC111" i="50"/>
  <c r="BC115" i="50"/>
  <c r="BC141" i="50"/>
  <c r="BC31" i="50"/>
  <c r="BC26" i="50"/>
  <c r="BC10" i="50"/>
  <c r="BC6" i="50"/>
  <c r="BC44" i="50"/>
  <c r="BC40" i="50"/>
  <c r="BC38" i="83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8" i="50"/>
  <c r="AS68" i="83"/>
  <c r="AR104" i="50"/>
  <c r="AT104" i="50"/>
  <c r="AR94" i="50"/>
  <c r="AT94" i="50"/>
  <c r="AS54" i="50"/>
  <c r="AS116" i="50"/>
  <c r="AS46" i="50"/>
  <c r="AS38" i="50"/>
  <c r="AS138" i="50"/>
  <c r="BC138" i="50" s="1"/>
  <c r="AU68" i="59"/>
  <c r="AT68" i="59"/>
  <c r="AR190" i="10"/>
  <c r="AR188" i="10"/>
  <c r="AR182" i="10"/>
  <c r="AR177" i="10"/>
  <c r="AQ177" i="10"/>
  <c r="AR175" i="10"/>
  <c r="AQ175" i="10"/>
  <c r="AR174" i="10"/>
  <c r="AQ174" i="10"/>
  <c r="AR172" i="10"/>
  <c r="AR170" i="10"/>
  <c r="AQ170" i="10"/>
  <c r="AR168" i="10"/>
  <c r="AU64" i="59" s="1"/>
  <c r="AQ168" i="10"/>
  <c r="AT64" i="59" s="1"/>
  <c r="AR165" i="10"/>
  <c r="AQ165" i="10"/>
  <c r="AR160" i="10"/>
  <c r="AR158" i="10"/>
  <c r="AR210" i="10" s="1"/>
  <c r="AR159" i="10"/>
  <c r="AR199" i="10"/>
  <c r="AR39" i="35" s="1"/>
  <c r="BB39" i="35" s="1"/>
  <c r="BC46" i="50" l="1"/>
  <c r="BC54" i="50"/>
  <c r="AQ166" i="10"/>
  <c r="AR183" i="10"/>
  <c r="BC139" i="50"/>
  <c r="AR166" i="10"/>
  <c r="BC128" i="50"/>
  <c r="BC129" i="50" s="1"/>
  <c r="BC116" i="50"/>
  <c r="AS124" i="50"/>
  <c r="AS108" i="50"/>
  <c r="AR191" i="10"/>
  <c r="AR192" i="10"/>
  <c r="AS120" i="50"/>
  <c r="AS94" i="50"/>
  <c r="AS119" i="50"/>
  <c r="AR31" i="35"/>
  <c r="BB31" i="35" s="1"/>
  <c r="AS107" i="50"/>
  <c r="AR30" i="35"/>
  <c r="AS129" i="50"/>
  <c r="AS130" i="50"/>
  <c r="AR173" i="10"/>
  <c r="BB64" i="11"/>
  <c r="AS69" i="83"/>
  <c r="AS77" i="83" s="1"/>
  <c r="BC77" i="83" s="1"/>
  <c r="BC68" i="83"/>
  <c r="AS16" i="61"/>
  <c r="BC38" i="50"/>
  <c r="AS123" i="50"/>
  <c r="AR162" i="10"/>
  <c r="AS140" i="50"/>
  <c r="BC140" i="50" s="1"/>
  <c r="AS139" i="50"/>
  <c r="AT69" i="59"/>
  <c r="AR22" i="36"/>
  <c r="AU67" i="59" s="1"/>
  <c r="AU69" i="59"/>
  <c r="AR189" i="10"/>
  <c r="AR184" i="10"/>
  <c r="AR200" i="10"/>
  <c r="AR40" i="35" s="1"/>
  <c r="BB40" i="35" s="1"/>
  <c r="AR161" i="10"/>
  <c r="AR21" i="36" s="1"/>
  <c r="AU63" i="59" s="1"/>
  <c r="AR178" i="10"/>
  <c r="AU65" i="59" s="1"/>
  <c r="AR196" i="10"/>
  <c r="AR193" i="10" l="1"/>
  <c r="AS121" i="50"/>
  <c r="BC119" i="50"/>
  <c r="BC124" i="50"/>
  <c r="BC108" i="50"/>
  <c r="BC123" i="50"/>
  <c r="BC107" i="50"/>
  <c r="BC120" i="50"/>
  <c r="BC130" i="50"/>
  <c r="AR163" i="10"/>
  <c r="AR203" i="10"/>
  <c r="BB30" i="35"/>
  <c r="AR33" i="35"/>
  <c r="AR37" i="35" s="1"/>
  <c r="AR25" i="36" s="1"/>
  <c r="AU75" i="59" s="1"/>
  <c r="AS110" i="50"/>
  <c r="AS109" i="50"/>
  <c r="AR41" i="35"/>
  <c r="BB41" i="35" s="1"/>
  <c r="AR97" i="11"/>
  <c r="BB61" i="11"/>
  <c r="BC69" i="83"/>
  <c r="BB162" i="10"/>
  <c r="BM162" i="10" s="1"/>
  <c r="BC94" i="50"/>
  <c r="AS125" i="50"/>
  <c r="BC121" i="50" l="1"/>
  <c r="BC125" i="50"/>
  <c r="BC109" i="50"/>
  <c r="BC110" i="50"/>
  <c r="BC117" i="50" s="1"/>
  <c r="AS117" i="50"/>
  <c r="AR49" i="35"/>
  <c r="AT159" i="9"/>
  <c r="AT158" i="9"/>
  <c r="AT157" i="9"/>
  <c r="AQ104" i="9"/>
  <c r="AT58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7" i="59" s="1"/>
  <c r="AQ51" i="9"/>
  <c r="AQ47" i="9"/>
  <c r="AR46" i="9"/>
  <c r="AR20" i="35" s="1"/>
  <c r="BB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AR10" i="49"/>
  <c r="AR12" i="49" s="1"/>
  <c r="AR14" i="49" s="1"/>
  <c r="AR15" i="49" s="1"/>
  <c r="AR16" i="49" s="1"/>
  <c r="AR19" i="49" s="1"/>
  <c r="AR20" i="49" s="1"/>
  <c r="AR21" i="39"/>
  <c r="BB138" i="6"/>
  <c r="BB135" i="6"/>
  <c r="BA135" i="6"/>
  <c r="BB134" i="6"/>
  <c r="BA134" i="6"/>
  <c r="BB133" i="6"/>
  <c r="BA133" i="6"/>
  <c r="BB132" i="6"/>
  <c r="BA132" i="6"/>
  <c r="BB130" i="6"/>
  <c r="BA130" i="6"/>
  <c r="BB126" i="6"/>
  <c r="BA126" i="6"/>
  <c r="BB125" i="6"/>
  <c r="BA125" i="6"/>
  <c r="BB124" i="6"/>
  <c r="BA124" i="6"/>
  <c r="AU59" i="59" l="1"/>
  <c r="AQ130" i="26"/>
  <c r="AR33" i="22"/>
  <c r="AR55" i="35"/>
  <c r="AU54" i="59"/>
  <c r="AR18" i="36"/>
  <c r="AU55" i="59" s="1"/>
  <c r="AS133" i="50"/>
  <c r="AQ90" i="90"/>
  <c r="BA90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6" i="6"/>
  <c r="BB131" i="6"/>
  <c r="BA131" i="6"/>
  <c r="BA136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9" i="35" s="1"/>
  <c r="BC133" i="50" l="1"/>
  <c r="BB137" i="6"/>
  <c r="BB139" i="6" s="1"/>
  <c r="BB203" i="6" s="1"/>
  <c r="BA45" i="39"/>
  <c r="BA50" i="39"/>
  <c r="BA23" i="39"/>
  <c r="BA22" i="39"/>
  <c r="BA34" i="39"/>
  <c r="BD21" i="39"/>
  <c r="BB175" i="6"/>
  <c r="BB174" i="6"/>
  <c r="BB173" i="6"/>
  <c r="BA137" i="6"/>
  <c r="BA139" i="6" s="1"/>
  <c r="BA203" i="6" s="1"/>
  <c r="AR86" i="9"/>
  <c r="AR52" i="9"/>
  <c r="AU57" i="59" s="1"/>
  <c r="AR83" i="9"/>
  <c r="AR87" i="9"/>
  <c r="AU60" i="59" s="1"/>
  <c r="AR82" i="9"/>
  <c r="AU61" i="59" s="1"/>
  <c r="AR85" i="9"/>
  <c r="AR73" i="9"/>
  <c r="AR81" i="9"/>
  <c r="AR91" i="9"/>
  <c r="AR84" i="9"/>
  <c r="AR76" i="9"/>
  <c r="AR75" i="9"/>
  <c r="AR72" i="9"/>
  <c r="AR53" i="9"/>
  <c r="AR80" i="9"/>
  <c r="AR78" i="9"/>
  <c r="BA24" i="39" l="1"/>
  <c r="AR77" i="9"/>
  <c r="AR74" i="9"/>
  <c r="AR79" i="9" l="1"/>
  <c r="BB17" i="49" l="1"/>
  <c r="BB9" i="49"/>
  <c r="BB8" i="49"/>
  <c r="BA173" i="73"/>
  <c r="BA129" i="73"/>
  <c r="BA125" i="73"/>
  <c r="BA121" i="73"/>
  <c r="BA101" i="73"/>
  <c r="BA97" i="73"/>
  <c r="BA57" i="73"/>
  <c r="BA51" i="73"/>
  <c r="BA46" i="73"/>
  <c r="BA41" i="73"/>
  <c r="BA30" i="73"/>
  <c r="BA25" i="73"/>
  <c r="AQ90" i="9"/>
  <c r="AQ159" i="10"/>
  <c r="AQ203" i="10" l="1"/>
  <c r="BB443" i="28"/>
  <c r="AQ5" i="9"/>
  <c r="AQ178" i="10"/>
  <c r="AT65" i="59" s="1"/>
  <c r="AQ158" i="10"/>
  <c r="AQ210" i="10" s="1"/>
  <c r="AQ161" i="10"/>
  <c r="BA171" i="73"/>
  <c r="BA160" i="73"/>
  <c r="BA117" i="73"/>
  <c r="BA132" i="73" s="1"/>
  <c r="BA6" i="73"/>
  <c r="BA8" i="73"/>
  <c r="BA16" i="73"/>
  <c r="AS143" i="50"/>
  <c r="AQ89" i="9"/>
  <c r="AQ91" i="9" s="1"/>
  <c r="BA11" i="49"/>
  <c r="BB11" i="49"/>
  <c r="BB6" i="49"/>
  <c r="BA108" i="73"/>
  <c r="BA113" i="73" s="1"/>
  <c r="BB18" i="49"/>
  <c r="BA5" i="73"/>
  <c r="AQ19" i="9" l="1"/>
  <c r="AP130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3" i="50"/>
  <c r="AS145" i="50"/>
  <c r="AQ121" i="90"/>
  <c r="BA121" i="90" s="1"/>
  <c r="AQ21" i="22" l="1"/>
  <c r="AQ7" i="22"/>
  <c r="AQ57" i="9"/>
  <c r="AQ60" i="9"/>
  <c r="AQ62" i="9" s="1"/>
  <c r="BC145" i="50"/>
  <c r="AS146" i="50"/>
  <c r="BC146" i="50" s="1"/>
  <c r="AQ125" i="90"/>
  <c r="BA125" i="90" s="1"/>
  <c r="AQ22" i="22" l="1"/>
  <c r="AQ8" i="22"/>
  <c r="AQ10" i="22" l="1"/>
  <c r="AQ24" i="22"/>
  <c r="AQ26" i="9"/>
  <c r="AQ25" i="22" l="1"/>
  <c r="AQ11" i="22"/>
  <c r="AR97" i="50"/>
  <c r="AR95" i="50" s="1"/>
  <c r="AS97" i="50"/>
  <c r="AS80" i="83"/>
  <c r="AQ13" i="22" l="1"/>
  <c r="AQ27" i="22"/>
  <c r="AS95" i="50"/>
  <c r="AS78" i="83"/>
  <c r="BC80" i="83"/>
  <c r="BC78" i="83" s="1"/>
  <c r="AM32" i="50"/>
  <c r="AM33" i="50"/>
  <c r="AO33" i="50" l="1"/>
  <c r="BE33" i="50" s="1"/>
  <c r="AO32" i="50"/>
  <c r="BE32" i="50" s="1"/>
  <c r="AQ32" i="50"/>
  <c r="AU32" i="50" s="1"/>
  <c r="AY32" i="50" s="1"/>
  <c r="BG32" i="50" s="1"/>
  <c r="BH32" i="50" s="1"/>
  <c r="AR15" i="36" l="1"/>
  <c r="AU52" i="59" l="1"/>
  <c r="BB98" i="8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N102" i="8"/>
  <c r="N103" i="8"/>
  <c r="N104" i="8"/>
  <c r="N105" i="8"/>
  <c r="N106" i="8"/>
  <c r="J98" i="8"/>
  <c r="J99" i="8"/>
  <c r="J100" i="8"/>
  <c r="J101" i="8"/>
  <c r="J102" i="8"/>
  <c r="J103" i="8"/>
  <c r="J104" i="8"/>
  <c r="J105" i="8"/>
  <c r="J106" i="8"/>
  <c r="R101" i="8" l="1"/>
  <c r="V101" i="8" s="1"/>
  <c r="R106" i="8"/>
  <c r="V106" i="8" s="1"/>
  <c r="R105" i="8"/>
  <c r="V105" i="8" s="1"/>
  <c r="AB106" i="8"/>
  <c r="BD105" i="8"/>
  <c r="BD104" i="8"/>
  <c r="AB98" i="8"/>
  <c r="BD106" i="8"/>
  <c r="BD102" i="8"/>
  <c r="BD100" i="8"/>
  <c r="AB104" i="8"/>
  <c r="BD99" i="8"/>
  <c r="AB103" i="8"/>
  <c r="AF103" i="8" s="1"/>
  <c r="AJ103" i="8" s="1"/>
  <c r="AP103" i="8" s="1"/>
  <c r="AT103" i="8" s="1"/>
  <c r="BD98" i="8"/>
  <c r="AB100" i="8"/>
  <c r="AB99" i="8"/>
  <c r="BD101" i="8"/>
  <c r="R100" i="8"/>
  <c r="V100" i="8" s="1"/>
  <c r="R99" i="8"/>
  <c r="V99" i="8" s="1"/>
  <c r="AB101" i="8"/>
  <c r="R98" i="8"/>
  <c r="V98" i="8" s="1"/>
  <c r="AB105" i="8"/>
  <c r="BD103" i="8"/>
  <c r="AB102" i="8"/>
  <c r="R104" i="8"/>
  <c r="V104" i="8" s="1"/>
  <c r="R102" i="8"/>
  <c r="V102" i="8" s="1"/>
  <c r="R103" i="8"/>
  <c r="V103" i="8" s="1"/>
  <c r="AF99" i="8" l="1"/>
  <c r="AJ99" i="8" s="1"/>
  <c r="AP99" i="8" s="1"/>
  <c r="AT99" i="8" s="1"/>
  <c r="AX99" i="8" s="1"/>
  <c r="BF99" i="8" s="1"/>
  <c r="AF100" i="8"/>
  <c r="AJ100" i="8" s="1"/>
  <c r="AP100" i="8" s="1"/>
  <c r="AT100" i="8" s="1"/>
  <c r="AX100" i="8" s="1"/>
  <c r="BF100" i="8" s="1"/>
  <c r="AF105" i="8"/>
  <c r="AJ105" i="8" s="1"/>
  <c r="AP105" i="8" s="1"/>
  <c r="AT105" i="8" s="1"/>
  <c r="AX105" i="8" s="1"/>
  <c r="BF105" i="8" s="1"/>
  <c r="AF106" i="8"/>
  <c r="AJ106" i="8" s="1"/>
  <c r="AP106" i="8" s="1"/>
  <c r="AT106" i="8" s="1"/>
  <c r="AX106" i="8" s="1"/>
  <c r="BF106" i="8" s="1"/>
  <c r="AF98" i="8"/>
  <c r="AJ98" i="8" s="1"/>
  <c r="AP98" i="8" s="1"/>
  <c r="AT98" i="8" s="1"/>
  <c r="AX98" i="8" s="1"/>
  <c r="BF98" i="8" s="1"/>
  <c r="AF102" i="8"/>
  <c r="AJ102" i="8" s="1"/>
  <c r="AP102" i="8" s="1"/>
  <c r="AT102" i="8" s="1"/>
  <c r="AX102" i="8" s="1"/>
  <c r="BF102" i="8" s="1"/>
  <c r="AF104" i="8"/>
  <c r="AJ104" i="8" s="1"/>
  <c r="AP104" i="8" s="1"/>
  <c r="AT104" i="8" s="1"/>
  <c r="AX104" i="8" s="1"/>
  <c r="BF104" i="8" s="1"/>
  <c r="AF101" i="8"/>
  <c r="AJ101" i="8" s="1"/>
  <c r="AP101" i="8" s="1"/>
  <c r="AT101" i="8" s="1"/>
  <c r="AX101" i="8" s="1"/>
  <c r="BF101" i="8" s="1"/>
  <c r="AX103" i="8"/>
  <c r="BF103" i="8" s="1"/>
  <c r="BH103" i="8" s="1"/>
  <c r="BH104" i="8" l="1"/>
  <c r="BH101" i="8"/>
  <c r="BH102" i="8"/>
  <c r="BH106" i="8"/>
  <c r="BH105" i="8"/>
  <c r="BH100" i="8"/>
  <c r="BH99" i="8"/>
  <c r="BH98" i="8"/>
  <c r="AM70" i="83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40" i="28" l="1"/>
  <c r="BD440" i="28" s="1"/>
  <c r="BK440" i="28" s="1"/>
  <c r="AJ427" i="28" l="1"/>
  <c r="AP427" i="28" s="1"/>
  <c r="AT427" i="28" s="1"/>
  <c r="AX427" i="28" s="1"/>
  <c r="BF427" i="28" s="1"/>
  <c r="BH427" i="28" s="1"/>
  <c r="AN427" i="28"/>
  <c r="BD427" i="28" s="1"/>
  <c r="BK427" i="28" s="1"/>
  <c r="AJ424" i="28"/>
  <c r="BD424" i="28"/>
  <c r="BK424" i="28" s="1"/>
  <c r="AP424" i="28" l="1"/>
  <c r="AT424" i="28" s="1"/>
  <c r="AX424" i="28" s="1"/>
  <c r="BF424" i="28" s="1"/>
  <c r="BH424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BC8" i="39" l="1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13" i="50"/>
  <c r="AM14" i="50"/>
  <c r="AM15" i="50"/>
  <c r="AM16" i="50"/>
  <c r="AM17" i="50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6" i="50"/>
  <c r="BE65" i="50"/>
  <c r="BE64" i="50"/>
  <c r="BE63" i="50"/>
  <c r="BE62" i="50"/>
  <c r="BE60" i="50"/>
  <c r="BE59" i="50"/>
  <c r="BE58" i="50"/>
  <c r="BE57" i="50"/>
  <c r="BE56" i="50"/>
  <c r="AO55" i="50"/>
  <c r="BE55" i="50" s="1"/>
  <c r="AM144" i="50"/>
  <c r="AM142" i="50"/>
  <c r="AM141" i="50"/>
  <c r="AM137" i="50"/>
  <c r="AP135" i="50"/>
  <c r="AL135" i="50"/>
  <c r="AL133" i="50"/>
  <c r="AL132" i="50"/>
  <c r="AL131" i="50"/>
  <c r="AM127" i="50"/>
  <c r="AP117" i="50"/>
  <c r="AL117" i="50"/>
  <c r="AM115" i="50"/>
  <c r="AL115" i="50"/>
  <c r="AM112" i="50"/>
  <c r="AL112" i="50"/>
  <c r="AM111" i="50"/>
  <c r="AL111" i="50"/>
  <c r="AP103" i="50"/>
  <c r="AL103" i="50"/>
  <c r="AM102" i="50"/>
  <c r="AM101" i="50"/>
  <c r="AP93" i="50"/>
  <c r="AM93" i="50"/>
  <c r="AM138" i="50" s="1"/>
  <c r="AL93" i="50"/>
  <c r="AP79" i="50"/>
  <c r="AM79" i="50"/>
  <c r="AL79" i="50"/>
  <c r="AP54" i="50"/>
  <c r="AL54" i="50"/>
  <c r="AM47" i="50"/>
  <c r="AP46" i="50"/>
  <c r="AL46" i="50"/>
  <c r="AP38" i="50"/>
  <c r="AL38" i="50"/>
  <c r="AM15" i="61" l="1"/>
  <c r="AM12" i="61"/>
  <c r="AM8" i="61"/>
  <c r="AM4" i="61"/>
  <c r="AM11" i="61"/>
  <c r="AM7" i="61"/>
  <c r="AM14" i="61"/>
  <c r="AM10" i="61"/>
  <c r="AM6" i="61"/>
  <c r="AM13" i="61"/>
  <c r="AM9" i="61"/>
  <c r="AM5" i="61"/>
  <c r="BE79" i="50"/>
  <c r="BE93" i="50"/>
  <c r="AL104" i="50"/>
  <c r="AO93" i="50"/>
  <c r="AM128" i="50"/>
  <c r="AM68" i="83"/>
  <c r="AM69" i="83" s="1"/>
  <c r="AM77" i="83" s="1"/>
  <c r="AP104" i="50"/>
  <c r="AM123" i="50"/>
  <c r="AO79" i="50"/>
  <c r="AM116" i="50"/>
  <c r="AM38" i="50"/>
  <c r="AM54" i="50"/>
  <c r="AP94" i="50"/>
  <c r="AL94" i="50"/>
  <c r="AM139" i="50"/>
  <c r="AM46" i="50"/>
  <c r="AM140" i="50"/>
  <c r="AN73" i="59"/>
  <c r="AM16" i="61" l="1"/>
  <c r="AM129" i="50"/>
  <c r="AM120" i="50"/>
  <c r="AM124" i="50"/>
  <c r="AM125" i="50" s="1"/>
  <c r="AM108" i="50"/>
  <c r="AL162" i="10"/>
  <c r="AM130" i="50"/>
  <c r="AM94" i="50"/>
  <c r="AL163" i="10" l="1"/>
  <c r="AN45" i="11"/>
  <c r="AN46" i="11"/>
  <c r="AN47" i="11"/>
  <c r="AN48" i="11"/>
  <c r="AN49" i="11"/>
  <c r="AN50" i="11"/>
  <c r="AN51" i="11"/>
  <c r="AN52" i="11"/>
  <c r="AN54" i="11"/>
  <c r="BD54" i="11" s="1"/>
  <c r="AN42" i="11"/>
  <c r="BD42" i="11" s="1"/>
  <c r="AP142" i="10"/>
  <c r="BD8" i="10"/>
  <c r="BK8" i="10" s="1"/>
  <c r="BD9" i="10"/>
  <c r="BK9" i="10" s="1"/>
  <c r="BD10" i="10"/>
  <c r="BK10" i="10" s="1"/>
  <c r="BD11" i="10"/>
  <c r="BK11" i="10" s="1"/>
  <c r="BD13" i="10"/>
  <c r="BK13" i="10" s="1"/>
  <c r="BD14" i="10"/>
  <c r="BK14" i="10" s="1"/>
  <c r="BD15" i="10"/>
  <c r="BK15" i="10" s="1"/>
  <c r="BD16" i="10"/>
  <c r="BK16" i="10" s="1"/>
  <c r="BD17" i="10"/>
  <c r="BK17" i="10" s="1"/>
  <c r="BD18" i="10"/>
  <c r="BK18" i="10" s="1"/>
  <c r="BD19" i="10"/>
  <c r="BK19" i="10" s="1"/>
  <c r="BD20" i="10"/>
  <c r="BK20" i="10" s="1"/>
  <c r="BD25" i="10"/>
  <c r="BK25" i="10" s="1"/>
  <c r="BD26" i="10"/>
  <c r="BK26" i="10" s="1"/>
  <c r="BD27" i="10"/>
  <c r="BK27" i="10" s="1"/>
  <c r="BD29" i="10"/>
  <c r="BK29" i="10" s="1"/>
  <c r="BD30" i="10"/>
  <c r="BK30" i="10" s="1"/>
  <c r="BD31" i="10"/>
  <c r="BK31" i="10" s="1"/>
  <c r="BD32" i="10"/>
  <c r="BK32" i="10" s="1"/>
  <c r="BD33" i="10"/>
  <c r="BK33" i="10" s="1"/>
  <c r="BD34" i="10"/>
  <c r="BK34" i="10" s="1"/>
  <c r="BD35" i="10"/>
  <c r="BK35" i="10" s="1"/>
  <c r="BD36" i="10"/>
  <c r="BK36" i="10" s="1"/>
  <c r="BD37" i="10"/>
  <c r="BK37" i="10" s="1"/>
  <c r="BD38" i="10"/>
  <c r="BK38" i="10" s="1"/>
  <c r="BD39" i="10"/>
  <c r="BK39" i="10" s="1"/>
  <c r="BD40" i="10"/>
  <c r="BK40" i="10" s="1"/>
  <c r="BD41" i="10"/>
  <c r="BK41" i="10" s="1"/>
  <c r="BD42" i="10"/>
  <c r="BK42" i="10" s="1"/>
  <c r="BD43" i="10"/>
  <c r="BK43" i="10" s="1"/>
  <c r="BD44" i="10"/>
  <c r="BK44" i="10" s="1"/>
  <c r="BD45" i="10"/>
  <c r="BK45" i="10" s="1"/>
  <c r="BD46" i="10"/>
  <c r="BK46" i="10" s="1"/>
  <c r="BD47" i="10"/>
  <c r="BK47" i="10" s="1"/>
  <c r="BD48" i="10"/>
  <c r="BK48" i="10" s="1"/>
  <c r="BD49" i="10"/>
  <c r="BK49" i="10" s="1"/>
  <c r="BD50" i="10"/>
  <c r="BK50" i="10" s="1"/>
  <c r="BD51" i="10"/>
  <c r="BK51" i="10" s="1"/>
  <c r="BD52" i="10"/>
  <c r="BK52" i="10" s="1"/>
  <c r="BD53" i="10"/>
  <c r="BK53" i="10" s="1"/>
  <c r="BD54" i="10"/>
  <c r="BK54" i="10" s="1"/>
  <c r="BD55" i="10"/>
  <c r="BK55" i="10" s="1"/>
  <c r="BD57" i="10"/>
  <c r="BK57" i="10" s="1"/>
  <c r="BD59" i="10"/>
  <c r="BK59" i="10" s="1"/>
  <c r="BD61" i="10"/>
  <c r="BK61" i="10" s="1"/>
  <c r="BD62" i="10"/>
  <c r="BK62" i="10" s="1"/>
  <c r="BD63" i="10"/>
  <c r="BK63" i="10" s="1"/>
  <c r="BD64" i="10"/>
  <c r="BK64" i="10" s="1"/>
  <c r="BD65" i="10"/>
  <c r="BK65" i="10" s="1"/>
  <c r="BD66" i="10"/>
  <c r="BK66" i="10" s="1"/>
  <c r="BD68" i="10"/>
  <c r="BK68" i="10" s="1"/>
  <c r="BD69" i="10"/>
  <c r="BK69" i="10" s="1"/>
  <c r="BD70" i="10"/>
  <c r="BK70" i="10" s="1"/>
  <c r="BD71" i="10"/>
  <c r="BK71" i="10" s="1"/>
  <c r="BD72" i="10"/>
  <c r="BK72" i="10" s="1"/>
  <c r="BD73" i="10"/>
  <c r="BK73" i="10" s="1"/>
  <c r="BD74" i="10"/>
  <c r="BK74" i="10" s="1"/>
  <c r="BD75" i="10"/>
  <c r="BK75" i="10" s="1"/>
  <c r="BD76" i="10"/>
  <c r="BK76" i="10" s="1"/>
  <c r="BD78" i="10"/>
  <c r="BK78" i="10" s="1"/>
  <c r="BD79" i="10"/>
  <c r="BK79" i="10" s="1"/>
  <c r="BD80" i="10"/>
  <c r="BK80" i="10" s="1"/>
  <c r="BD81" i="10"/>
  <c r="BK81" i="10" s="1"/>
  <c r="BD82" i="10"/>
  <c r="BK82" i="10" s="1"/>
  <c r="BD83" i="10"/>
  <c r="BK83" i="10" s="1"/>
  <c r="BD87" i="10"/>
  <c r="BK87" i="10" s="1"/>
  <c r="BD88" i="10"/>
  <c r="BK88" i="10" s="1"/>
  <c r="BD89" i="10"/>
  <c r="BK89" i="10" s="1"/>
  <c r="BD91" i="10"/>
  <c r="BK91" i="10" s="1"/>
  <c r="BD92" i="10"/>
  <c r="BK92" i="10" s="1"/>
  <c r="BD93" i="10"/>
  <c r="BK93" i="10" s="1"/>
  <c r="BD94" i="10"/>
  <c r="BK94" i="10" s="1"/>
  <c r="BD95" i="10"/>
  <c r="BK95" i="10" s="1"/>
  <c r="BD96" i="10"/>
  <c r="BK96" i="10" s="1"/>
  <c r="BD97" i="10"/>
  <c r="BK97" i="10" s="1"/>
  <c r="BD98" i="10"/>
  <c r="BK98" i="10" s="1"/>
  <c r="BD99" i="10"/>
  <c r="BK99" i="10" s="1"/>
  <c r="BD100" i="10"/>
  <c r="BK100" i="10" s="1"/>
  <c r="BD101" i="10"/>
  <c r="BK101" i="10" s="1"/>
  <c r="BD102" i="10"/>
  <c r="BK102" i="10" s="1"/>
  <c r="BD103" i="10"/>
  <c r="BK103" i="10" s="1"/>
  <c r="BD104" i="10"/>
  <c r="BK104" i="10" s="1"/>
  <c r="BD107" i="10"/>
  <c r="BK107" i="10" s="1"/>
  <c r="BD108" i="10"/>
  <c r="BK108" i="10" s="1"/>
  <c r="BD109" i="10"/>
  <c r="BK109" i="10" s="1"/>
  <c r="BD110" i="10"/>
  <c r="BK110" i="10" s="1"/>
  <c r="BD111" i="10"/>
  <c r="BK111" i="10" s="1"/>
  <c r="BD112" i="10"/>
  <c r="BK112" i="10" s="1"/>
  <c r="BD113" i="10"/>
  <c r="BK113" i="10" s="1"/>
  <c r="BD115" i="10"/>
  <c r="BK115" i="10" s="1"/>
  <c r="BD116" i="10"/>
  <c r="BK116" i="10" s="1"/>
  <c r="BD117" i="10"/>
  <c r="BK117" i="10" s="1"/>
  <c r="BD118" i="10"/>
  <c r="BK118" i="10" s="1"/>
  <c r="BD119" i="10"/>
  <c r="BK119" i="10" s="1"/>
  <c r="BD120" i="10"/>
  <c r="BK120" i="10" s="1"/>
  <c r="BD121" i="10"/>
  <c r="BK121" i="10" s="1"/>
  <c r="AN129" i="10"/>
  <c r="AN130" i="10"/>
  <c r="AN131" i="10"/>
  <c r="AN132" i="10"/>
  <c r="AN133" i="10"/>
  <c r="AN134" i="10"/>
  <c r="AN135" i="10"/>
  <c r="BD135" i="10" s="1"/>
  <c r="BK135" i="10" s="1"/>
  <c r="AN136" i="10"/>
  <c r="AN137" i="10"/>
  <c r="AN138" i="10"/>
  <c r="AN139" i="10"/>
  <c r="AN140" i="10"/>
  <c r="AN141" i="10"/>
  <c r="AN142" i="10"/>
  <c r="AN143" i="10"/>
  <c r="AN144" i="10"/>
  <c r="AN145" i="10"/>
  <c r="AN147" i="10"/>
  <c r="AN148" i="10"/>
  <c r="AN149" i="10"/>
  <c r="AN150" i="10"/>
  <c r="BD150" i="10" s="1"/>
  <c r="BK150" i="10" s="1"/>
  <c r="AN151" i="10"/>
  <c r="BD151" i="10" s="1"/>
  <c r="BK151" i="10" s="1"/>
  <c r="AN152" i="10"/>
  <c r="BD152" i="10" s="1"/>
  <c r="BK152" i="10" s="1"/>
  <c r="AN153" i="10"/>
  <c r="BD153" i="10" s="1"/>
  <c r="BK153" i="10" s="1"/>
  <c r="AN154" i="10"/>
  <c r="AN155" i="10"/>
  <c r="AN156" i="10"/>
  <c r="AN157" i="10"/>
  <c r="AN65" i="59"/>
  <c r="AM107" i="50"/>
  <c r="AT142" i="10" l="1"/>
  <c r="AX142" i="10" s="1"/>
  <c r="AM119" i="50"/>
  <c r="AM110" i="50"/>
  <c r="AM109" i="50"/>
  <c r="AN69" i="59"/>
  <c r="AM121" i="50" l="1"/>
  <c r="AM117" i="50"/>
  <c r="AK90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9" i="7"/>
  <c r="AM49" i="7"/>
  <c r="AM61" i="7" s="1"/>
  <c r="AM103" i="7" s="1"/>
  <c r="BD49" i="7" l="1"/>
  <c r="AN61" i="7"/>
  <c r="AN103" i="7" s="1"/>
  <c r="BC49" i="7"/>
  <c r="AM133" i="50"/>
  <c r="AJ2" i="17" l="1"/>
  <c r="AJ2" i="26"/>
  <c r="AK2" i="17"/>
  <c r="AK2" i="26"/>
  <c r="AJ50" i="39" l="1"/>
  <c r="AJ45" i="39"/>
  <c r="AJ8" i="39"/>
  <c r="AJ22" i="39" l="1"/>
  <c r="AJ51" i="39"/>
  <c r="AJ24" i="39"/>
  <c r="AN442" i="28" l="1"/>
  <c r="BD442" i="28" s="1"/>
  <c r="BK442" i="28" s="1"/>
  <c r="AN444" i="28"/>
  <c r="BD444" i="28" s="1"/>
  <c r="BK444" i="28" s="1"/>
  <c r="AN445" i="28"/>
  <c r="BD445" i="28" s="1"/>
  <c r="BK445" i="28" s="1"/>
  <c r="AN446" i="28"/>
  <c r="BD446" i="28" s="1"/>
  <c r="BK446" i="28" s="1"/>
  <c r="AN447" i="28"/>
  <c r="BD447" i="28" s="1"/>
  <c r="BK447" i="28" s="1"/>
  <c r="AN448" i="28"/>
  <c r="BD448" i="28" s="1"/>
  <c r="BK448" i="28" s="1"/>
  <c r="AN449" i="28"/>
  <c r="BD449" i="28" s="1"/>
  <c r="BK449" i="28" s="1"/>
  <c r="AN450" i="28"/>
  <c r="BD450" i="28" s="1"/>
  <c r="BK450" i="28" s="1"/>
  <c r="AN451" i="28"/>
  <c r="BD451" i="28" s="1"/>
  <c r="BK451" i="28" s="1"/>
  <c r="AN452" i="28"/>
  <c r="BD452" i="28" s="1"/>
  <c r="BK452" i="28" s="1"/>
  <c r="AN453" i="28"/>
  <c r="BD453" i="28" s="1"/>
  <c r="BK453" i="28" s="1"/>
  <c r="AN454" i="28"/>
  <c r="BD454" i="28" s="1"/>
  <c r="BK454" i="28" s="1"/>
  <c r="AN455" i="28"/>
  <c r="BD455" i="28" s="1"/>
  <c r="BK455" i="28" s="1"/>
  <c r="AN456" i="28"/>
  <c r="BD456" i="28" s="1"/>
  <c r="BK456" i="28" s="1"/>
  <c r="BD458" i="28"/>
  <c r="BK458" i="28" s="1"/>
  <c r="BD460" i="28"/>
  <c r="BK460" i="28" s="1"/>
  <c r="BD461" i="28"/>
  <c r="BK461" i="28" s="1"/>
  <c r="BD462" i="28"/>
  <c r="BK462" i="28" s="1"/>
  <c r="BD463" i="28"/>
  <c r="BK463" i="28" s="1"/>
  <c r="BD464" i="28"/>
  <c r="BK464" i="28" s="1"/>
  <c r="BD465" i="28"/>
  <c r="BK465" i="28" s="1"/>
  <c r="AN466" i="28"/>
  <c r="BD466" i="28" s="1"/>
  <c r="BK466" i="28" s="1"/>
  <c r="BD468" i="28"/>
  <c r="BK468" i="28" s="1"/>
  <c r="AN469" i="28"/>
  <c r="BD469" i="28" s="1"/>
  <c r="BK469" i="28" s="1"/>
  <c r="AN470" i="28"/>
  <c r="AN471" i="28"/>
  <c r="AN419" i="28"/>
  <c r="BD419" i="28" s="1"/>
  <c r="BK419" i="28" s="1"/>
  <c r="BD421" i="28"/>
  <c r="BK421" i="28" s="1"/>
  <c r="BD422" i="28"/>
  <c r="BK422" i="28" s="1"/>
  <c r="BD423" i="28"/>
  <c r="BK423" i="28" s="1"/>
  <c r="BD426" i="28"/>
  <c r="BK426" i="28" s="1"/>
  <c r="AN428" i="28"/>
  <c r="BD428" i="28" s="1"/>
  <c r="BK428" i="28" s="1"/>
  <c r="AN429" i="28"/>
  <c r="AN308" i="28"/>
  <c r="BD308" i="28" s="1"/>
  <c r="BK308" i="28" s="1"/>
  <c r="AN310" i="28"/>
  <c r="BD310" i="28" s="1"/>
  <c r="BK310" i="28" s="1"/>
  <c r="AN312" i="28"/>
  <c r="BD312" i="28" s="1"/>
  <c r="BK312" i="28" s="1"/>
  <c r="AN313" i="28"/>
  <c r="BD313" i="28" s="1"/>
  <c r="BK313" i="28" s="1"/>
  <c r="AN314" i="28"/>
  <c r="BD314" i="28" s="1"/>
  <c r="BK314" i="28" s="1"/>
  <c r="AN315" i="28"/>
  <c r="BD315" i="28" s="1"/>
  <c r="BK315" i="28" s="1"/>
  <c r="AN360" i="28"/>
  <c r="BD360" i="28" s="1"/>
  <c r="BK360" i="28" s="1"/>
  <c r="AN361" i="28"/>
  <c r="BD361" i="28" s="1"/>
  <c r="BK361" i="28" s="1"/>
  <c r="AN362" i="28"/>
  <c r="BD362" i="28" s="1"/>
  <c r="BK362" i="28" s="1"/>
  <c r="AN363" i="28"/>
  <c r="BD363" i="28" s="1"/>
  <c r="BK363" i="28" s="1"/>
  <c r="AN364" i="28"/>
  <c r="BD364" i="28" s="1"/>
  <c r="BK364" i="28" s="1"/>
  <c r="AN365" i="28"/>
  <c r="BD365" i="28" s="1"/>
  <c r="BK365" i="28" s="1"/>
  <c r="AN366" i="28"/>
  <c r="BD366" i="28" s="1"/>
  <c r="BK366" i="28" s="1"/>
  <c r="AN367" i="28"/>
  <c r="BD367" i="28" s="1"/>
  <c r="BK367" i="28" s="1"/>
  <c r="AN368" i="28"/>
  <c r="BD368" i="28" s="1"/>
  <c r="BK368" i="28" s="1"/>
  <c r="AN369" i="28"/>
  <c r="BD369" i="28" s="1"/>
  <c r="BK369" i="28" s="1"/>
  <c r="AN370" i="28"/>
  <c r="BD370" i="28" s="1"/>
  <c r="BK370" i="28" s="1"/>
  <c r="AN371" i="28"/>
  <c r="BD371" i="28" s="1"/>
  <c r="BK371" i="28" s="1"/>
  <c r="AN372" i="28"/>
  <c r="BD372" i="28" s="1"/>
  <c r="BK372" i="28" s="1"/>
  <c r="AN373" i="28"/>
  <c r="BD373" i="28" s="1"/>
  <c r="BK373" i="28" s="1"/>
  <c r="AN374" i="28"/>
  <c r="BD374" i="28" s="1"/>
  <c r="BK374" i="28" s="1"/>
  <c r="AN375" i="28"/>
  <c r="BD375" i="28" s="1"/>
  <c r="BK375" i="28" s="1"/>
  <c r="AN376" i="28"/>
  <c r="BD376" i="28" s="1"/>
  <c r="BK376" i="28" s="1"/>
  <c r="AN377" i="28"/>
  <c r="BD377" i="28" s="1"/>
  <c r="BK377" i="28" s="1"/>
  <c r="AN378" i="28"/>
  <c r="BD378" i="28" s="1"/>
  <c r="BK378" i="28" s="1"/>
  <c r="AN379" i="28"/>
  <c r="BD379" i="28" s="1"/>
  <c r="BK379" i="28" s="1"/>
  <c r="AN380" i="28"/>
  <c r="BD380" i="28" s="1"/>
  <c r="BK380" i="28" s="1"/>
  <c r="AN381" i="28"/>
  <c r="BD381" i="28" s="1"/>
  <c r="BK381" i="28" s="1"/>
  <c r="AN382" i="28"/>
  <c r="BD382" i="28" s="1"/>
  <c r="BK382" i="28" s="1"/>
  <c r="AN383" i="28"/>
  <c r="BD383" i="28" s="1"/>
  <c r="BK383" i="28" s="1"/>
  <c r="AN401" i="28"/>
  <c r="BD401" i="28" s="1"/>
  <c r="BK401" i="28" s="1"/>
  <c r="AN411" i="28"/>
  <c r="BD411" i="28" s="1"/>
  <c r="BK411" i="28" s="1"/>
  <c r="AN412" i="28"/>
  <c r="BD412" i="28" s="1"/>
  <c r="BK412" i="28" s="1"/>
  <c r="AN413" i="28"/>
  <c r="BD413" i="28" s="1"/>
  <c r="BK413" i="28" s="1"/>
  <c r="AN260" i="28"/>
  <c r="BD264" i="28"/>
  <c r="BK264" i="28" s="1"/>
  <c r="BD265" i="28"/>
  <c r="BK265" i="28" s="1"/>
  <c r="BD266" i="28"/>
  <c r="BK266" i="28" s="1"/>
  <c r="AN267" i="28"/>
  <c r="BD267" i="28" s="1"/>
  <c r="BK267" i="28" s="1"/>
  <c r="AN268" i="28"/>
  <c r="BD268" i="28" s="1"/>
  <c r="BK268" i="28" s="1"/>
  <c r="AN270" i="28"/>
  <c r="BD270" i="28" s="1"/>
  <c r="BK270" i="28" s="1"/>
  <c r="AN271" i="28"/>
  <c r="BD271" i="28" s="1"/>
  <c r="BK271" i="28" s="1"/>
  <c r="BD273" i="28"/>
  <c r="BK273" i="28" s="1"/>
  <c r="BD274" i="28"/>
  <c r="BK274" i="28" s="1"/>
  <c r="AN275" i="28"/>
  <c r="BD275" i="28" s="1"/>
  <c r="BK275" i="28" s="1"/>
  <c r="AN276" i="28"/>
  <c r="BD276" i="28" s="1"/>
  <c r="BK276" i="28" s="1"/>
  <c r="AN277" i="28"/>
  <c r="BD277" i="28" s="1"/>
  <c r="BK277" i="28" s="1"/>
  <c r="AN278" i="28"/>
  <c r="BD278" i="28" s="1"/>
  <c r="BK278" i="28" s="1"/>
  <c r="AN279" i="28"/>
  <c r="BD279" i="28" s="1"/>
  <c r="BK279" i="28" s="1"/>
  <c r="AN280" i="28"/>
  <c r="BD280" i="28" s="1"/>
  <c r="BK280" i="28" s="1"/>
  <c r="AN281" i="28"/>
  <c r="BD281" i="28" s="1"/>
  <c r="BK281" i="28" s="1"/>
  <c r="AN282" i="28"/>
  <c r="BD282" i="28" s="1"/>
  <c r="BK282" i="28" s="1"/>
  <c r="AN283" i="28"/>
  <c r="BD283" i="28" s="1"/>
  <c r="BK283" i="28" s="1"/>
  <c r="AN284" i="28"/>
  <c r="BD284" i="28" s="1"/>
  <c r="BK284" i="28" s="1"/>
  <c r="AN285" i="28"/>
  <c r="BD285" i="28" s="1"/>
  <c r="BK285" i="28" s="1"/>
  <c r="AN286" i="28"/>
  <c r="BD286" i="28" s="1"/>
  <c r="BK286" i="28" s="1"/>
  <c r="AN287" i="28"/>
  <c r="BD287" i="28" s="1"/>
  <c r="BK287" i="28" s="1"/>
  <c r="AN288" i="28"/>
  <c r="BD288" i="28" s="1"/>
  <c r="BK288" i="28" s="1"/>
  <c r="AN289" i="28"/>
  <c r="BD289" i="28" s="1"/>
  <c r="BK289" i="28" s="1"/>
  <c r="AN290" i="28"/>
  <c r="BD290" i="28" s="1"/>
  <c r="BK290" i="28" s="1"/>
  <c r="AN291" i="28"/>
  <c r="BD291" i="28" s="1"/>
  <c r="BK291" i="28" s="1"/>
  <c r="AN292" i="28"/>
  <c r="BD292" i="28" s="1"/>
  <c r="BK292" i="28" s="1"/>
  <c r="AN293" i="28"/>
  <c r="BD293" i="28" s="1"/>
  <c r="BK293" i="28" s="1"/>
  <c r="AN294" i="28"/>
  <c r="BD294" i="28" s="1"/>
  <c r="BK294" i="28" s="1"/>
  <c r="AN296" i="28"/>
  <c r="BD296" i="28" s="1"/>
  <c r="BK296" i="28" s="1"/>
  <c r="AP244" i="28"/>
  <c r="AT244" i="28" s="1"/>
  <c r="AX244" i="28" s="1"/>
  <c r="AP246" i="28"/>
  <c r="AT246" i="28" s="1"/>
  <c r="AX246" i="28" s="1"/>
  <c r="AP248" i="28"/>
  <c r="AT248" i="28" s="1"/>
  <c r="AX248" i="28" s="1"/>
  <c r="AP250" i="28"/>
  <c r="AT250" i="28" s="1"/>
  <c r="AX250" i="28" s="1"/>
  <c r="AP252" i="28"/>
  <c r="AT252" i="28" s="1"/>
  <c r="AX252" i="28" s="1"/>
  <c r="AN244" i="28"/>
  <c r="AN245" i="28"/>
  <c r="BD245" i="28" s="1"/>
  <c r="BK245" i="28" s="1"/>
  <c r="AN246" i="28"/>
  <c r="AN247" i="28"/>
  <c r="BD247" i="28" s="1"/>
  <c r="BK247" i="28" s="1"/>
  <c r="AN248" i="28"/>
  <c r="AN249" i="28"/>
  <c r="BD249" i="28" s="1"/>
  <c r="BK249" i="28" s="1"/>
  <c r="AN250" i="28"/>
  <c r="AN251" i="28"/>
  <c r="BD251" i="28" s="1"/>
  <c r="BK251" i="28" s="1"/>
  <c r="AN252" i="28"/>
  <c r="AN253" i="28"/>
  <c r="BD253" i="28" s="1"/>
  <c r="BK253" i="28" s="1"/>
  <c r="AN254" i="28"/>
  <c r="BD254" i="28" s="1"/>
  <c r="BK254" i="28" s="1"/>
  <c r="AN255" i="28"/>
  <c r="AN102" i="28"/>
  <c r="BD102" i="28" s="1"/>
  <c r="BK102" i="28" s="1"/>
  <c r="AN103" i="28"/>
  <c r="BD103" i="28" s="1"/>
  <c r="BK103" i="28" s="1"/>
  <c r="AN104" i="28"/>
  <c r="BD104" i="28" s="1"/>
  <c r="BK104" i="28" s="1"/>
  <c r="AN105" i="28"/>
  <c r="BD105" i="28" s="1"/>
  <c r="BK105" i="28" s="1"/>
  <c r="AN106" i="28"/>
  <c r="BD106" i="28" s="1"/>
  <c r="BK106" i="28" s="1"/>
  <c r="AN107" i="28"/>
  <c r="AN108" i="28"/>
  <c r="AN110" i="28"/>
  <c r="AN111" i="28"/>
  <c r="AN112" i="28"/>
  <c r="AN113" i="28"/>
  <c r="AN114" i="28"/>
  <c r="AN115" i="28"/>
  <c r="AN116" i="28"/>
  <c r="AN117" i="28"/>
  <c r="BD117" i="28" s="1"/>
  <c r="BK117" i="28" s="1"/>
  <c r="AN118" i="28"/>
  <c r="BD118" i="28" s="1"/>
  <c r="BK118" i="28" s="1"/>
  <c r="AN120" i="28"/>
  <c r="BD120" i="28" s="1"/>
  <c r="BK120" i="28" s="1"/>
  <c r="AN121" i="28"/>
  <c r="BD121" i="28" s="1"/>
  <c r="BK121" i="28" s="1"/>
  <c r="AN122" i="28"/>
  <c r="BD122" i="28" s="1"/>
  <c r="BK122" i="28" s="1"/>
  <c r="AN123" i="28"/>
  <c r="BD123" i="28" s="1"/>
  <c r="BK123" i="28" s="1"/>
  <c r="AN124" i="28"/>
  <c r="BD124" i="28" s="1"/>
  <c r="BK124" i="28" s="1"/>
  <c r="AN125" i="28"/>
  <c r="BD125" i="28" s="1"/>
  <c r="BK125" i="28" s="1"/>
  <c r="AN126" i="28"/>
  <c r="BD126" i="28" s="1"/>
  <c r="BK126" i="28" s="1"/>
  <c r="AN127" i="28"/>
  <c r="BD127" i="28" s="1"/>
  <c r="BK127" i="28" s="1"/>
  <c r="AN128" i="28"/>
  <c r="BD128" i="28" s="1"/>
  <c r="BK128" i="28" s="1"/>
  <c r="AN129" i="28"/>
  <c r="BD129" i="28" s="1"/>
  <c r="BK129" i="28" s="1"/>
  <c r="AN130" i="28"/>
  <c r="BD130" i="28" s="1"/>
  <c r="BK130" i="28" s="1"/>
  <c r="AN131" i="28"/>
  <c r="BD131" i="28" s="1"/>
  <c r="BK131" i="28" s="1"/>
  <c r="AN132" i="28"/>
  <c r="BD132" i="28" s="1"/>
  <c r="BK132" i="28" s="1"/>
  <c r="AN133" i="28"/>
  <c r="BD133" i="28" s="1"/>
  <c r="BK133" i="28" s="1"/>
  <c r="AN134" i="28"/>
  <c r="BD134" i="28" s="1"/>
  <c r="BK134" i="28" s="1"/>
  <c r="AN135" i="28"/>
  <c r="BD135" i="28" s="1"/>
  <c r="BK135" i="28" s="1"/>
  <c r="AN136" i="28"/>
  <c r="BD136" i="28" s="1"/>
  <c r="BK136" i="28" s="1"/>
  <c r="AN137" i="28"/>
  <c r="BD137" i="28" s="1"/>
  <c r="BK137" i="28" s="1"/>
  <c r="AN138" i="28"/>
  <c r="BD138" i="28" s="1"/>
  <c r="BK138" i="28" s="1"/>
  <c r="AN139" i="28"/>
  <c r="BD139" i="28" s="1"/>
  <c r="BK139" i="28" s="1"/>
  <c r="AN140" i="28"/>
  <c r="BD140" i="28" s="1"/>
  <c r="BK140" i="28" s="1"/>
  <c r="AN141" i="28"/>
  <c r="BD141" i="28" s="1"/>
  <c r="BK141" i="28" s="1"/>
  <c r="BD143" i="28"/>
  <c r="BK143" i="28" s="1"/>
  <c r="AN144" i="28"/>
  <c r="BD144" i="28" s="1"/>
  <c r="BK144" i="28" s="1"/>
  <c r="AN145" i="28"/>
  <c r="BD145" i="28" s="1"/>
  <c r="BK145" i="28" s="1"/>
  <c r="AN146" i="28"/>
  <c r="BD146" i="28" s="1"/>
  <c r="BK146" i="28" s="1"/>
  <c r="AN147" i="28"/>
  <c r="BD147" i="28" s="1"/>
  <c r="BK147" i="28" s="1"/>
  <c r="AN148" i="28"/>
  <c r="BD148" i="28" s="1"/>
  <c r="BK148" i="28" s="1"/>
  <c r="AN149" i="28"/>
  <c r="BD149" i="28" s="1"/>
  <c r="BK149" i="28" s="1"/>
  <c r="AN150" i="28"/>
  <c r="BD150" i="28" s="1"/>
  <c r="BK150" i="28" s="1"/>
  <c r="AN151" i="28"/>
  <c r="BD151" i="28" s="1"/>
  <c r="BK151" i="28" s="1"/>
  <c r="AN152" i="28"/>
  <c r="BD152" i="28" s="1"/>
  <c r="BK152" i="28" s="1"/>
  <c r="BD154" i="28"/>
  <c r="BK154" i="28" s="1"/>
  <c r="BD155" i="28"/>
  <c r="BK155" i="28" s="1"/>
  <c r="BD156" i="28"/>
  <c r="BK156" i="28" s="1"/>
  <c r="BD157" i="28"/>
  <c r="BK157" i="28" s="1"/>
  <c r="AN158" i="28"/>
  <c r="BD158" i="28" s="1"/>
  <c r="BK158" i="28" s="1"/>
  <c r="AN159" i="28"/>
  <c r="BD159" i="28" s="1"/>
  <c r="BK159" i="28" s="1"/>
  <c r="AN160" i="28"/>
  <c r="BD160" i="28" s="1"/>
  <c r="BK160" i="28" s="1"/>
  <c r="AN161" i="28"/>
  <c r="BD161" i="28" s="1"/>
  <c r="BK161" i="28" s="1"/>
  <c r="AN162" i="28"/>
  <c r="BD162" i="28" s="1"/>
  <c r="BK162" i="28" s="1"/>
  <c r="AN163" i="28"/>
  <c r="BD163" i="28" s="1"/>
  <c r="BK163" i="28" s="1"/>
  <c r="AN164" i="28"/>
  <c r="BD164" i="28" s="1"/>
  <c r="BK164" i="28" s="1"/>
  <c r="BD166" i="28"/>
  <c r="BK166" i="28" s="1"/>
  <c r="BD167" i="28"/>
  <c r="BK167" i="28" s="1"/>
  <c r="BD169" i="28"/>
  <c r="BK169" i="28" s="1"/>
  <c r="BD170" i="28"/>
  <c r="BK170" i="28" s="1"/>
  <c r="BD171" i="28"/>
  <c r="BK171" i="28" s="1"/>
  <c r="BD172" i="28"/>
  <c r="BK172" i="28" s="1"/>
  <c r="BD173" i="28"/>
  <c r="BK173" i="28" s="1"/>
  <c r="AN174" i="28"/>
  <c r="BD174" i="28" s="1"/>
  <c r="BK174" i="28" s="1"/>
  <c r="AN175" i="28"/>
  <c r="BD175" i="28" s="1"/>
  <c r="BK175" i="28" s="1"/>
  <c r="AN176" i="28"/>
  <c r="BD176" i="28" s="1"/>
  <c r="BK176" i="28" s="1"/>
  <c r="AN177" i="28"/>
  <c r="BD177" i="28" s="1"/>
  <c r="BK177" i="28" s="1"/>
  <c r="AN178" i="28"/>
  <c r="BD178" i="28" s="1"/>
  <c r="BK178" i="28" s="1"/>
  <c r="AN179" i="28"/>
  <c r="AN180" i="28"/>
  <c r="AN181" i="28"/>
  <c r="AN183" i="28"/>
  <c r="AN184" i="28"/>
  <c r="AN185" i="28"/>
  <c r="AN186" i="28"/>
  <c r="AN187" i="28"/>
  <c r="BD187" i="28" s="1"/>
  <c r="BK187" i="28" s="1"/>
  <c r="AN188" i="28"/>
  <c r="BD188" i="28" s="1"/>
  <c r="BK188" i="28" s="1"/>
  <c r="AN189" i="28"/>
  <c r="BD189" i="28" s="1"/>
  <c r="BK189" i="28" s="1"/>
  <c r="AN190" i="28"/>
  <c r="BD190" i="28" s="1"/>
  <c r="BK190" i="28" s="1"/>
  <c r="AN191" i="28"/>
  <c r="BD191" i="28" s="1"/>
  <c r="BK191" i="28" s="1"/>
  <c r="AN192" i="28"/>
  <c r="BD192" i="28" s="1"/>
  <c r="BK192" i="28" s="1"/>
  <c r="AN193" i="28"/>
  <c r="BD193" i="28" s="1"/>
  <c r="BK193" i="28" s="1"/>
  <c r="AN194" i="28"/>
  <c r="BD194" i="28" s="1"/>
  <c r="BK194" i="28" s="1"/>
  <c r="AN195" i="28"/>
  <c r="BD195" i="28" s="1"/>
  <c r="BK195" i="28" s="1"/>
  <c r="AN196" i="28"/>
  <c r="BD196" i="28" s="1"/>
  <c r="BK196" i="28" s="1"/>
  <c r="AN197" i="28"/>
  <c r="BD197" i="28" s="1"/>
  <c r="BK197" i="28" s="1"/>
  <c r="AN198" i="28"/>
  <c r="BD198" i="28" s="1"/>
  <c r="BK198" i="28" s="1"/>
  <c r="AN199" i="28"/>
  <c r="BD199" i="28" s="1"/>
  <c r="BK199" i="28" s="1"/>
  <c r="AN200" i="28"/>
  <c r="BD200" i="28" s="1"/>
  <c r="BK200" i="28" s="1"/>
  <c r="AN201" i="28"/>
  <c r="BD201" i="28" s="1"/>
  <c r="BK201" i="28" s="1"/>
  <c r="AN202" i="28"/>
  <c r="BD202" i="28" s="1"/>
  <c r="BK202" i="28" s="1"/>
  <c r="AN203" i="28"/>
  <c r="BD203" i="28" s="1"/>
  <c r="BK203" i="28" s="1"/>
  <c r="AN204" i="28"/>
  <c r="BD204" i="28" s="1"/>
  <c r="BK204" i="28" s="1"/>
  <c r="AN205" i="28"/>
  <c r="BD205" i="28" s="1"/>
  <c r="BK205" i="28" s="1"/>
  <c r="AN206" i="28"/>
  <c r="BD206" i="28" s="1"/>
  <c r="BK206" i="28" s="1"/>
  <c r="AN207" i="28"/>
  <c r="BD207" i="28" s="1"/>
  <c r="BK207" i="28" s="1"/>
  <c r="AN208" i="28"/>
  <c r="BD208" i="28" s="1"/>
  <c r="BK208" i="28" s="1"/>
  <c r="AN209" i="28"/>
  <c r="BD209" i="28" s="1"/>
  <c r="BK209" i="28" s="1"/>
  <c r="AN210" i="28"/>
  <c r="BD210" i="28" s="1"/>
  <c r="BK210" i="28" s="1"/>
  <c r="AN211" i="28"/>
  <c r="BD211" i="28" s="1"/>
  <c r="BK211" i="28" s="1"/>
  <c r="AN212" i="28"/>
  <c r="BD212" i="28" s="1"/>
  <c r="BK212" i="28" s="1"/>
  <c r="AN213" i="28"/>
  <c r="BD213" i="28" s="1"/>
  <c r="BK213" i="28" s="1"/>
  <c r="AN214" i="28"/>
  <c r="BD214" i="28" s="1"/>
  <c r="BK214" i="28" s="1"/>
  <c r="AN215" i="28"/>
  <c r="BD215" i="28" s="1"/>
  <c r="BK215" i="28" s="1"/>
  <c r="AN216" i="28"/>
  <c r="BD216" i="28" s="1"/>
  <c r="BK216" i="28" s="1"/>
  <c r="AN217" i="28"/>
  <c r="BD217" i="28" s="1"/>
  <c r="BK217" i="28" s="1"/>
  <c r="AN220" i="28"/>
  <c r="BD220" i="28" s="1"/>
  <c r="BK220" i="28" s="1"/>
  <c r="AN221" i="28"/>
  <c r="BD221" i="28" s="1"/>
  <c r="BK221" i="28" s="1"/>
  <c r="AN222" i="28"/>
  <c r="BD222" i="28" s="1"/>
  <c r="BK222" i="28" s="1"/>
  <c r="AN223" i="28"/>
  <c r="BD223" i="28" s="1"/>
  <c r="BK223" i="28" s="1"/>
  <c r="AN224" i="28"/>
  <c r="BD224" i="28" s="1"/>
  <c r="BK224" i="28" s="1"/>
  <c r="AN225" i="28"/>
  <c r="BD225" i="28" s="1"/>
  <c r="BK225" i="28" s="1"/>
  <c r="AN226" i="28"/>
  <c r="BD226" i="28" s="1"/>
  <c r="BK226" i="28" s="1"/>
  <c r="AM177" i="73"/>
  <c r="BC177" i="73" s="1"/>
  <c r="AM178" i="73"/>
  <c r="BC178" i="73" s="1"/>
  <c r="AM179" i="73"/>
  <c r="BC179" i="73" s="1"/>
  <c r="AM157" i="73"/>
  <c r="AM88" i="73"/>
  <c r="BC88" i="73" s="1"/>
  <c r="AM59" i="73"/>
  <c r="AM60" i="73"/>
  <c r="AM61" i="73"/>
  <c r="AM62" i="73"/>
  <c r="BC62" i="73" s="1"/>
  <c r="AM63" i="73"/>
  <c r="BC63" i="73" s="1"/>
  <c r="AM64" i="73"/>
  <c r="BC64" i="73" s="1"/>
  <c r="AM65" i="73"/>
  <c r="AM66" i="73"/>
  <c r="AM67" i="73"/>
  <c r="AM68" i="73"/>
  <c r="AM70" i="73"/>
  <c r="BC70" i="73" s="1"/>
  <c r="BD185" i="28" l="1"/>
  <c r="BK185" i="28" s="1"/>
  <c r="BD184" i="28"/>
  <c r="BK184" i="28" s="1"/>
  <c r="BD181" i="28"/>
  <c r="BK181" i="28" s="1"/>
  <c r="BD116" i="28"/>
  <c r="BK116" i="28" s="1"/>
  <c r="BD180" i="28"/>
  <c r="BK180" i="28" s="1"/>
  <c r="BD115" i="28"/>
  <c r="BK115" i="28" s="1"/>
  <c r="BD179" i="28"/>
  <c r="BK179" i="28" s="1"/>
  <c r="BD114" i="28"/>
  <c r="BK114" i="28" s="1"/>
  <c r="BD113" i="28"/>
  <c r="BK113" i="28" s="1"/>
  <c r="BD183" i="28"/>
  <c r="BK183" i="28" s="1"/>
  <c r="BD112" i="28"/>
  <c r="BK112" i="28" s="1"/>
  <c r="BD111" i="28"/>
  <c r="BK111" i="28" s="1"/>
  <c r="BD110" i="28"/>
  <c r="BK110" i="28" s="1"/>
  <c r="BD108" i="28"/>
  <c r="BK108" i="28" s="1"/>
  <c r="BD186" i="28"/>
  <c r="BK186" i="28" s="1"/>
  <c r="BD107" i="28"/>
  <c r="BK107" i="28" s="1"/>
  <c r="AM143" i="50"/>
  <c r="AM145" i="50" l="1"/>
  <c r="AK121" i="90"/>
  <c r="AM146" i="50"/>
  <c r="AK125" i="90" l="1"/>
  <c r="AL15" i="36" l="1"/>
  <c r="AO52" i="59" l="1"/>
  <c r="AL97" i="50"/>
  <c r="AL95" i="50" s="1"/>
  <c r="AM80" i="83" l="1"/>
  <c r="AM78" i="83" s="1"/>
  <c r="AM97" i="50" l="1"/>
  <c r="AM95" i="50" l="1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20" i="50"/>
  <c r="AI21" i="50"/>
  <c r="AI22" i="50"/>
  <c r="AI23" i="50"/>
  <c r="AI24" i="50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AI15" i="61" l="1"/>
  <c r="AI11" i="61"/>
  <c r="AO11" i="61" s="1"/>
  <c r="BE11" i="61" s="1"/>
  <c r="Q14" i="6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5" i="50"/>
  <c r="J135" i="50"/>
  <c r="L135" i="50"/>
  <c r="N135" i="50"/>
  <c r="P135" i="50"/>
  <c r="R135" i="50"/>
  <c r="T135" i="50"/>
  <c r="V135" i="50"/>
  <c r="X135" i="50"/>
  <c r="Z135" i="50"/>
  <c r="AB135" i="50"/>
  <c r="AD135" i="50"/>
  <c r="AF135" i="50"/>
  <c r="AH135" i="50"/>
  <c r="AJ135" i="50"/>
  <c r="H117" i="50"/>
  <c r="J117" i="50"/>
  <c r="L117" i="50"/>
  <c r="N117" i="50"/>
  <c r="P117" i="50"/>
  <c r="R117" i="50"/>
  <c r="T117" i="50"/>
  <c r="V117" i="50"/>
  <c r="X117" i="50"/>
  <c r="Z117" i="50"/>
  <c r="AB117" i="50"/>
  <c r="AD117" i="50"/>
  <c r="AF117" i="50"/>
  <c r="AH117" i="50"/>
  <c r="AJ117" i="50"/>
  <c r="AI144" i="50"/>
  <c r="AI142" i="50"/>
  <c r="AI141" i="50"/>
  <c r="AE144" i="50"/>
  <c r="AE142" i="50"/>
  <c r="AE141" i="50"/>
  <c r="Y144" i="50"/>
  <c r="Y142" i="50"/>
  <c r="Y141" i="50"/>
  <c r="Q144" i="50"/>
  <c r="Q142" i="50"/>
  <c r="Q141" i="50"/>
  <c r="M144" i="50"/>
  <c r="M142" i="50"/>
  <c r="M141" i="50"/>
  <c r="I144" i="50"/>
  <c r="I142" i="50"/>
  <c r="I141" i="50"/>
  <c r="G142" i="50"/>
  <c r="G141" i="50"/>
  <c r="AI115" i="50"/>
  <c r="AI112" i="50"/>
  <c r="AI111" i="50"/>
  <c r="AE115" i="50"/>
  <c r="Q115" i="50"/>
  <c r="Q112" i="50"/>
  <c r="Q111" i="50"/>
  <c r="M115" i="50"/>
  <c r="M112" i="50"/>
  <c r="M111" i="50"/>
  <c r="I115" i="50"/>
  <c r="I112" i="50"/>
  <c r="I111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9" i="50"/>
  <c r="I79" i="50"/>
  <c r="J79" i="50"/>
  <c r="L79" i="50"/>
  <c r="M79" i="50"/>
  <c r="M128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5" i="50"/>
  <c r="AA80" i="50"/>
  <c r="AA81" i="50"/>
  <c r="AA82" i="50"/>
  <c r="AA83" i="50"/>
  <c r="AA84" i="50"/>
  <c r="AA87" i="50"/>
  <c r="AA88" i="50"/>
  <c r="AA89" i="50"/>
  <c r="AA90" i="50"/>
  <c r="AA91" i="50"/>
  <c r="AA92" i="50"/>
  <c r="O55" i="50"/>
  <c r="S55" i="50" s="1"/>
  <c r="W55" i="50" s="1"/>
  <c r="S56" i="50"/>
  <c r="W56" i="50" s="1"/>
  <c r="S57" i="50"/>
  <c r="W57" i="50" s="1"/>
  <c r="S58" i="50"/>
  <c r="W58" i="50" s="1"/>
  <c r="S59" i="50"/>
  <c r="W59" i="50" s="1"/>
  <c r="S64" i="50"/>
  <c r="W64" i="50" s="1"/>
  <c r="S65" i="50"/>
  <c r="W65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5" i="50"/>
  <c r="K56" i="50"/>
  <c r="K57" i="50"/>
  <c r="K58" i="50"/>
  <c r="K59" i="50"/>
  <c r="K60" i="50"/>
  <c r="K62" i="50"/>
  <c r="K63" i="50"/>
  <c r="K64" i="50"/>
  <c r="K65" i="50"/>
  <c r="K66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3" i="50"/>
  <c r="AF133" i="50"/>
  <c r="AH132" i="50"/>
  <c r="AF132" i="50"/>
  <c r="AH131" i="50"/>
  <c r="AF131" i="50"/>
  <c r="X133" i="50"/>
  <c r="V133" i="50"/>
  <c r="T133" i="50"/>
  <c r="R133" i="50"/>
  <c r="X132" i="50"/>
  <c r="V132" i="50"/>
  <c r="T132" i="50"/>
  <c r="R132" i="50"/>
  <c r="X131" i="50"/>
  <c r="V131" i="50"/>
  <c r="T131" i="50"/>
  <c r="R131" i="50"/>
  <c r="H131" i="50"/>
  <c r="J131" i="50"/>
  <c r="L131" i="50"/>
  <c r="H132" i="50"/>
  <c r="J132" i="50"/>
  <c r="L132" i="50"/>
  <c r="H133" i="50"/>
  <c r="J133" i="50"/>
  <c r="L133" i="50"/>
  <c r="AH115" i="50"/>
  <c r="AF115" i="50"/>
  <c r="AH112" i="50"/>
  <c r="AF112" i="50"/>
  <c r="AH111" i="50"/>
  <c r="AF111" i="50"/>
  <c r="X115" i="50"/>
  <c r="V115" i="50"/>
  <c r="T115" i="50"/>
  <c r="R115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5" i="50"/>
  <c r="L115" i="50"/>
  <c r="H111" i="50"/>
  <c r="G112" i="50"/>
  <c r="G115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5" i="50"/>
  <c r="BE115" i="50" s="1"/>
  <c r="AO144" i="50"/>
  <c r="BE144" i="50" s="1"/>
  <c r="AO141" i="50"/>
  <c r="BE141" i="50" s="1"/>
  <c r="AO142" i="50"/>
  <c r="BE142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BH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0" i="50"/>
  <c r="AG60" i="50" s="1"/>
  <c r="AK60" i="50" s="1"/>
  <c r="AQ60" i="50" s="1"/>
  <c r="AU60" i="50" s="1"/>
  <c r="AY60" i="50" s="1"/>
  <c r="BG60" i="50" s="1"/>
  <c r="BH60" i="50" s="1"/>
  <c r="AF94" i="50"/>
  <c r="AB94" i="50"/>
  <c r="H94" i="50"/>
  <c r="T94" i="50"/>
  <c r="P94" i="50"/>
  <c r="AC69" i="50"/>
  <c r="AG69" i="50" s="1"/>
  <c r="AC68" i="50"/>
  <c r="AG68" i="50" s="1"/>
  <c r="K142" i="50"/>
  <c r="AC81" i="50"/>
  <c r="AG81" i="50" s="1"/>
  <c r="AK81" i="50" s="1"/>
  <c r="AQ81" i="50" s="1"/>
  <c r="AU81" i="50" s="1"/>
  <c r="AY81" i="50" s="1"/>
  <c r="BG81" i="50" s="1"/>
  <c r="BH81" i="50" s="1"/>
  <c r="AC77" i="50"/>
  <c r="AG77" i="50" s="1"/>
  <c r="AK77" i="50" s="1"/>
  <c r="AQ77" i="50" s="1"/>
  <c r="AU77" i="50" s="1"/>
  <c r="AY77" i="50" s="1"/>
  <c r="BG77" i="50" s="1"/>
  <c r="BH77" i="50" s="1"/>
  <c r="AC64" i="50"/>
  <c r="AG64" i="50" s="1"/>
  <c r="AC58" i="50"/>
  <c r="AG58" i="50" s="1"/>
  <c r="AK58" i="50" s="1"/>
  <c r="AQ58" i="50" s="1"/>
  <c r="AU58" i="50" s="1"/>
  <c r="AY58" i="50" s="1"/>
  <c r="BG58" i="50" s="1"/>
  <c r="BH58" i="50" s="1"/>
  <c r="AC87" i="50"/>
  <c r="AG87" i="50" s="1"/>
  <c r="AK87" i="50" s="1"/>
  <c r="AQ87" i="50" s="1"/>
  <c r="AU87" i="50" s="1"/>
  <c r="AY87" i="50" s="1"/>
  <c r="BG87" i="50" s="1"/>
  <c r="BH87" i="50" s="1"/>
  <c r="AC91" i="50"/>
  <c r="AG91" i="50" s="1"/>
  <c r="AK91" i="50" s="1"/>
  <c r="AQ91" i="50" s="1"/>
  <c r="AU91" i="50" s="1"/>
  <c r="AY91" i="50" s="1"/>
  <c r="BG91" i="50" s="1"/>
  <c r="BH91" i="50" s="1"/>
  <c r="AC76" i="50"/>
  <c r="AG76" i="50" s="1"/>
  <c r="AK76" i="50" s="1"/>
  <c r="AQ76" i="50" s="1"/>
  <c r="AU76" i="50" s="1"/>
  <c r="AY76" i="50" s="1"/>
  <c r="BG76" i="50" s="1"/>
  <c r="BH76" i="50" s="1"/>
  <c r="AC63" i="50"/>
  <c r="AG63" i="50" s="1"/>
  <c r="S63" i="50"/>
  <c r="W63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BH90" i="50" s="1"/>
  <c r="AC75" i="50"/>
  <c r="AG75" i="50" s="1"/>
  <c r="AC62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2" i="50"/>
  <c r="W62" i="50" s="1"/>
  <c r="AC56" i="50"/>
  <c r="AG56" i="50" s="1"/>
  <c r="AK56" i="50" s="1"/>
  <c r="AQ56" i="50" s="1"/>
  <c r="AU56" i="50" s="1"/>
  <c r="AY56" i="50" s="1"/>
  <c r="BG56" i="50" s="1"/>
  <c r="BH56" i="50" s="1"/>
  <c r="S91" i="50"/>
  <c r="W91" i="50" s="1"/>
  <c r="S60" i="50"/>
  <c r="W60" i="50" s="1"/>
  <c r="AC78" i="50"/>
  <c r="AG78" i="50" s="1"/>
  <c r="AK78" i="50" s="1"/>
  <c r="AQ78" i="50" s="1"/>
  <c r="AU78" i="50" s="1"/>
  <c r="AY78" i="50" s="1"/>
  <c r="BG78" i="50" s="1"/>
  <c r="BH78" i="50" s="1"/>
  <c r="AC65" i="50"/>
  <c r="AG65" i="50" s="1"/>
  <c r="S89" i="50"/>
  <c r="W89" i="50" s="1"/>
  <c r="AC83" i="50"/>
  <c r="AG83" i="50" s="1"/>
  <c r="AK83" i="50" s="1"/>
  <c r="AQ83" i="50" s="1"/>
  <c r="AU83" i="50" s="1"/>
  <c r="AY83" i="50" s="1"/>
  <c r="BG83" i="50" s="1"/>
  <c r="BH83" i="50" s="1"/>
  <c r="AC70" i="50"/>
  <c r="AG70" i="50" s="1"/>
  <c r="O93" i="50"/>
  <c r="AC66" i="50"/>
  <c r="AG66" i="50" s="1"/>
  <c r="AC59" i="50"/>
  <c r="AG59" i="50" s="1"/>
  <c r="AK59" i="50" s="1"/>
  <c r="AQ59" i="50" s="1"/>
  <c r="AU59" i="50" s="1"/>
  <c r="AY59" i="50" s="1"/>
  <c r="BG59" i="50" s="1"/>
  <c r="BH59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BH92" i="50" s="1"/>
  <c r="K115" i="50"/>
  <c r="AC88" i="50"/>
  <c r="AG88" i="50" s="1"/>
  <c r="AK88" i="50" s="1"/>
  <c r="AQ88" i="50" s="1"/>
  <c r="AU88" i="50" s="1"/>
  <c r="AY88" i="50" s="1"/>
  <c r="BG88" i="50" s="1"/>
  <c r="BH88" i="50" s="1"/>
  <c r="AC57" i="50"/>
  <c r="AG57" i="50" s="1"/>
  <c r="AK57" i="50" s="1"/>
  <c r="AQ57" i="50" s="1"/>
  <c r="AU57" i="50" s="1"/>
  <c r="AY57" i="50" s="1"/>
  <c r="BG57" i="50" s="1"/>
  <c r="BH57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BH82" i="50" s="1"/>
  <c r="AC55" i="50"/>
  <c r="S69" i="50"/>
  <c r="W69" i="50" s="1"/>
  <c r="S80" i="50"/>
  <c r="S66" i="50"/>
  <c r="W66" i="50" s="1"/>
  <c r="AC80" i="50"/>
  <c r="AA144" i="50"/>
  <c r="AA141" i="50"/>
  <c r="AA142" i="50"/>
  <c r="O141" i="50"/>
  <c r="O142" i="50"/>
  <c r="K141" i="50"/>
  <c r="O115" i="50"/>
  <c r="S115" i="50" s="1"/>
  <c r="W115" i="50" s="1"/>
  <c r="O111" i="50"/>
  <c r="O112" i="50"/>
  <c r="Z94" i="50"/>
  <c r="N94" i="50"/>
  <c r="AJ94" i="50"/>
  <c r="X94" i="50"/>
  <c r="L94" i="50"/>
  <c r="AH94" i="50"/>
  <c r="V94" i="50"/>
  <c r="J94" i="50"/>
  <c r="AU84" i="50" l="1"/>
  <c r="AK68" i="50"/>
  <c r="AQ68" i="50" s="1"/>
  <c r="AU68" i="50" s="1"/>
  <c r="AY68" i="50" s="1"/>
  <c r="BG68" i="50" s="1"/>
  <c r="BH68" i="50" s="1"/>
  <c r="AK69" i="50"/>
  <c r="AQ69" i="50" s="1"/>
  <c r="AU69" i="50" s="1"/>
  <c r="AY69" i="50" s="1"/>
  <c r="BG69" i="50" s="1"/>
  <c r="BH69" i="50" s="1"/>
  <c r="AK65" i="50"/>
  <c r="AQ65" i="50" s="1"/>
  <c r="AU65" i="50" s="1"/>
  <c r="AY65" i="50" s="1"/>
  <c r="BG65" i="50" s="1"/>
  <c r="BH65" i="50" s="1"/>
  <c r="AK63" i="50"/>
  <c r="AQ63" i="50" s="1"/>
  <c r="AU63" i="50" s="1"/>
  <c r="AY63" i="50" s="1"/>
  <c r="BG63" i="50" s="1"/>
  <c r="BH63" i="50" s="1"/>
  <c r="AK75" i="50"/>
  <c r="AQ75" i="50" s="1"/>
  <c r="AU75" i="50" s="1"/>
  <c r="AY75" i="50" s="1"/>
  <c r="BG75" i="50" s="1"/>
  <c r="BH75" i="50" s="1"/>
  <c r="AK66" i="50"/>
  <c r="AQ66" i="50" s="1"/>
  <c r="AU66" i="50" s="1"/>
  <c r="AY66" i="50" s="1"/>
  <c r="BG66" i="50" s="1"/>
  <c r="BH66" i="50" s="1"/>
  <c r="AK71" i="50"/>
  <c r="AQ71" i="50" s="1"/>
  <c r="AU71" i="50" s="1"/>
  <c r="AY71" i="50" s="1"/>
  <c r="BG71" i="50" s="1"/>
  <c r="BH71" i="50" s="1"/>
  <c r="AK70" i="50"/>
  <c r="AQ70" i="50" s="1"/>
  <c r="AU70" i="50" s="1"/>
  <c r="AY70" i="50" s="1"/>
  <c r="BG70" i="50" s="1"/>
  <c r="BH70" i="50" s="1"/>
  <c r="AK72" i="50"/>
  <c r="AQ72" i="50" s="1"/>
  <c r="AU72" i="50" s="1"/>
  <c r="AY72" i="50" s="1"/>
  <c r="BG72" i="50" s="1"/>
  <c r="BH72" i="50" s="1"/>
  <c r="AK73" i="50"/>
  <c r="AQ73" i="50" s="1"/>
  <c r="AU73" i="50" s="1"/>
  <c r="AY73" i="50" s="1"/>
  <c r="BG73" i="50" s="1"/>
  <c r="BH73" i="50" s="1"/>
  <c r="AK64" i="50"/>
  <c r="AQ64" i="50" s="1"/>
  <c r="AU64" i="50" s="1"/>
  <c r="AY64" i="50" s="1"/>
  <c r="BG64" i="50" s="1"/>
  <c r="BH64" i="50" s="1"/>
  <c r="AK26" i="50"/>
  <c r="AQ26" i="50" s="1"/>
  <c r="AU26" i="50" s="1"/>
  <c r="AY26" i="50" s="1"/>
  <c r="BG26" i="50" s="1"/>
  <c r="BH26" i="50" s="1"/>
  <c r="AK21" i="50"/>
  <c r="AQ21" i="50" s="1"/>
  <c r="AU21" i="50" s="1"/>
  <c r="AY21" i="50" s="1"/>
  <c r="BG21" i="50" s="1"/>
  <c r="BH21" i="50" s="1"/>
  <c r="AK22" i="50"/>
  <c r="AQ22" i="50" s="1"/>
  <c r="AU22" i="50" s="1"/>
  <c r="AY22" i="50" s="1"/>
  <c r="BG22" i="50" s="1"/>
  <c r="BH22" i="50" s="1"/>
  <c r="AK20" i="50"/>
  <c r="AQ20" i="50" s="1"/>
  <c r="AU20" i="50" s="1"/>
  <c r="AY20" i="50" s="1"/>
  <c r="BG20" i="50" s="1"/>
  <c r="BH20" i="50" s="1"/>
  <c r="AG62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5" i="50"/>
  <c r="AC141" i="50"/>
  <c r="AG141" i="50" s="1"/>
  <c r="AK141" i="50" s="1"/>
  <c r="AQ141" i="50" s="1"/>
  <c r="AU141" i="50" s="1"/>
  <c r="AY141" i="50" s="1"/>
  <c r="BG141" i="50" s="1"/>
  <c r="BH141" i="50" s="1"/>
  <c r="AC142" i="50"/>
  <c r="AG142" i="50" s="1"/>
  <c r="AK142" i="50" s="1"/>
  <c r="AQ142" i="50" s="1"/>
  <c r="AU142" i="50" s="1"/>
  <c r="AY142" i="50" s="1"/>
  <c r="BG142" i="50" s="1"/>
  <c r="BH142" i="50" s="1"/>
  <c r="S141" i="50"/>
  <c r="W141" i="50" s="1"/>
  <c r="S142" i="50"/>
  <c r="W142" i="50" s="1"/>
  <c r="S111" i="50"/>
  <c r="W111" i="50" s="1"/>
  <c r="S112" i="50"/>
  <c r="W112" i="50" s="1"/>
  <c r="AM52" i="38"/>
  <c r="AD21" i="35"/>
  <c r="AD26" i="9" s="1"/>
  <c r="P1" i="35"/>
  <c r="P21" i="35" s="1"/>
  <c r="P26" i="9" s="1"/>
  <c r="L1" i="35"/>
  <c r="L21" i="35" s="1"/>
  <c r="L26" i="9" s="1"/>
  <c r="F1" i="35"/>
  <c r="AY84" i="50" l="1"/>
  <c r="BG84" i="50" s="1"/>
  <c r="BH84" i="50" s="1"/>
  <c r="AK62" i="50"/>
  <c r="AG79" i="50"/>
  <c r="AK55" i="50"/>
  <c r="AK80" i="50"/>
  <c r="AG93" i="50"/>
  <c r="AK54" i="83"/>
  <c r="AQ54" i="83" s="1"/>
  <c r="AU54" i="83" s="1"/>
  <c r="AY54" i="83" s="1"/>
  <c r="BG54" i="83" s="1"/>
  <c r="AQ62" i="50" l="1"/>
  <c r="AU62" i="50" s="1"/>
  <c r="AY62" i="50" s="1"/>
  <c r="BG62" i="50" s="1"/>
  <c r="BH62" i="50" s="1"/>
  <c r="AK79" i="50"/>
  <c r="AQ55" i="50"/>
  <c r="AU55" i="50" s="1"/>
  <c r="AK93" i="50"/>
  <c r="AQ80" i="50"/>
  <c r="AJ158" i="9"/>
  <c r="AJ159" i="9"/>
  <c r="AJ157" i="9"/>
  <c r="AQ93" i="50" l="1"/>
  <c r="AU80" i="50"/>
  <c r="AQ79" i="50"/>
  <c r="AU79" i="50" l="1"/>
  <c r="AY55" i="50"/>
  <c r="AU93" i="50"/>
  <c r="AY80" i="50"/>
  <c r="AJ205" i="28"/>
  <c r="AP205" i="28" s="1"/>
  <c r="AJ251" i="28"/>
  <c r="AP251" i="28" s="1"/>
  <c r="AT251" i="28" s="1"/>
  <c r="AX251" i="28" s="1"/>
  <c r="BF251" i="28" s="1"/>
  <c r="BH251" i="28" s="1"/>
  <c r="AJ140" i="28"/>
  <c r="AP140" i="28" s="1"/>
  <c r="AJ141" i="28"/>
  <c r="AP141" i="28" s="1"/>
  <c r="AT205" i="28" l="1"/>
  <c r="AX205" i="28" s="1"/>
  <c r="BF205" i="28" s="1"/>
  <c r="BH205" i="28" s="1"/>
  <c r="AT141" i="28"/>
  <c r="AX141" i="28" s="1"/>
  <c r="BF141" i="28" s="1"/>
  <c r="BH141" i="28" s="1"/>
  <c r="AT140" i="28"/>
  <c r="AX140" i="28" s="1"/>
  <c r="BF140" i="28" s="1"/>
  <c r="BH140" i="28" s="1"/>
  <c r="AY79" i="50"/>
  <c r="BG55" i="50"/>
  <c r="AY93" i="50"/>
  <c r="BG80" i="50"/>
  <c r="BG93" i="50" l="1"/>
  <c r="BH80" i="50"/>
  <c r="BG79" i="50"/>
  <c r="BH55" i="50"/>
  <c r="AN146" i="10"/>
  <c r="AI30" i="50"/>
  <c r="BD60" i="10" l="1"/>
  <c r="BK60" i="10" s="1"/>
  <c r="BD67" i="10"/>
  <c r="BK67" i="10" s="1"/>
  <c r="AE24" i="50"/>
  <c r="AE15" i="61" l="1"/>
  <c r="AO15" i="61" s="1"/>
  <c r="AO24" i="50"/>
  <c r="BE24" i="50" s="1"/>
  <c r="AI40" i="50" l="1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14" i="50"/>
  <c r="AI15" i="50"/>
  <c r="AI16" i="50"/>
  <c r="AI17" i="50"/>
  <c r="AI18" i="50"/>
  <c r="AI4" i="50"/>
  <c r="AI137" i="50"/>
  <c r="AI127" i="50"/>
  <c r="AI102" i="50"/>
  <c r="AI101" i="50"/>
  <c r="AI138" i="50"/>
  <c r="AI128" i="50"/>
  <c r="AI53" i="50"/>
  <c r="AI51" i="50"/>
  <c r="AI50" i="50"/>
  <c r="AI49" i="50"/>
  <c r="AI48" i="50"/>
  <c r="AI47" i="50"/>
  <c r="AI119" i="50"/>
  <c r="AI80" i="8"/>
  <c r="AI73" i="8"/>
  <c r="AI52" i="8"/>
  <c r="AH10" i="49"/>
  <c r="AH12" i="49" s="1"/>
  <c r="AH14" i="49" s="1"/>
  <c r="AH15" i="49" s="1"/>
  <c r="AH16" i="49" s="1"/>
  <c r="AH19" i="49" s="1"/>
  <c r="AH20" i="49" s="1"/>
  <c r="AQ102" i="50" l="1"/>
  <c r="AI9" i="61"/>
  <c r="AI5" i="61"/>
  <c r="AI8" i="61"/>
  <c r="AQ101" i="50"/>
  <c r="AI7" i="61"/>
  <c r="AI10" i="61"/>
  <c r="AI6" i="61"/>
  <c r="AI132" i="50"/>
  <c r="AI131" i="50"/>
  <c r="AI123" i="50"/>
  <c r="AI107" i="50"/>
  <c r="AI133" i="50"/>
  <c r="AI46" i="50"/>
  <c r="AI54" i="50"/>
  <c r="AI38" i="50"/>
  <c r="AI129" i="50"/>
  <c r="AI116" i="50"/>
  <c r="AI139" i="50"/>
  <c r="AJ73" i="59"/>
  <c r="AI140" i="50"/>
  <c r="AI130" i="50"/>
  <c r="AJ69" i="59"/>
  <c r="AJ65" i="59"/>
  <c r="AI120" i="50" l="1"/>
  <c r="AI124" i="50"/>
  <c r="AI125" i="50" s="1"/>
  <c r="AI108" i="50"/>
  <c r="AH162" i="10"/>
  <c r="AI134" i="50"/>
  <c r="AI135" i="50" s="1"/>
  <c r="AF2" i="17"/>
  <c r="AF2" i="26"/>
  <c r="AG2" i="26"/>
  <c r="AG2" i="17"/>
  <c r="AI94" i="50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I109" i="50" l="1"/>
  <c r="AI121" i="50"/>
  <c r="AI110" i="50"/>
  <c r="AH163" i="10"/>
  <c r="AF22" i="39"/>
  <c r="AF51" i="39"/>
  <c r="AI117" i="50" l="1"/>
  <c r="AF24" i="39"/>
  <c r="AJ444" i="28" l="1"/>
  <c r="AP444" i="28" s="1"/>
  <c r="AT444" i="28" s="1"/>
  <c r="AX444" i="28" s="1"/>
  <c r="BF444" i="28" s="1"/>
  <c r="BH444" i="28" s="1"/>
  <c r="AI143" i="50" l="1"/>
  <c r="AI145" i="50" l="1"/>
  <c r="AI97" i="50"/>
  <c r="AA73" i="8"/>
  <c r="AI95" i="50" l="1"/>
  <c r="AI146" i="50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I87" i="10" s="1"/>
  <c r="BF88" i="10"/>
  <c r="BI88" i="10" s="1"/>
  <c r="AF151" i="10"/>
  <c r="BF31" i="10"/>
  <c r="BI31" i="10" s="1"/>
  <c r="AF135" i="10"/>
  <c r="AJ135" i="10" l="1"/>
  <c r="AJ151" i="10"/>
  <c r="AP151" i="10" l="1"/>
  <c r="AP135" i="10"/>
  <c r="AB167" i="26"/>
  <c r="AE88" i="73"/>
  <c r="AT151" i="10" l="1"/>
  <c r="AX151" i="10" s="1"/>
  <c r="AT135" i="10"/>
  <c r="AX135" i="10" s="1"/>
  <c r="AI88" i="73"/>
  <c r="AO88" i="73" s="1"/>
  <c r="AS88" i="73" s="1"/>
  <c r="AW88" i="73" s="1"/>
  <c r="AB172" i="26"/>
  <c r="BF135" i="10" l="1"/>
  <c r="BI135" i="10" s="1"/>
  <c r="BF151" i="10"/>
  <c r="BI151" i="10" s="1"/>
  <c r="BE88" i="73"/>
  <c r="AB164" i="26"/>
  <c r="AB171" i="26"/>
  <c r="AE14" i="50" l="1"/>
  <c r="AE6" i="61" l="1"/>
  <c r="AO6" i="61" s="1"/>
  <c r="BE6" i="61" s="1"/>
  <c r="AO14" i="50"/>
  <c r="BE14" i="50" s="1"/>
  <c r="AQ11" i="38" l="1"/>
  <c r="BG11" i="38" s="1"/>
  <c r="BD23" i="10" l="1"/>
  <c r="BK23" i="10" s="1"/>
  <c r="BD12" i="10" l="1"/>
  <c r="BK12" i="10" s="1"/>
  <c r="AE9" i="83"/>
  <c r="AO9" i="83" s="1"/>
  <c r="BE9" i="83" s="1"/>
  <c r="BD24" i="10"/>
  <c r="BK24" i="10" s="1"/>
  <c r="AE27" i="50"/>
  <c r="AE27" i="83"/>
  <c r="BD56" i="10"/>
  <c r="BK56" i="10" s="1"/>
  <c r="AE30" i="50"/>
  <c r="AE30" i="83"/>
  <c r="BD84" i="10"/>
  <c r="BK84" i="10" s="1"/>
  <c r="AE112" i="50"/>
  <c r="AJ84" i="10"/>
  <c r="BD90" i="10"/>
  <c r="BK90" i="10" s="1"/>
  <c r="AE111" i="50"/>
  <c r="AO27" i="50" l="1"/>
  <c r="BE27" i="50" s="1"/>
  <c r="AO112" i="50"/>
  <c r="BE112" i="50" s="1"/>
  <c r="AO111" i="50"/>
  <c r="BE111" i="50" s="1"/>
  <c r="AP84" i="10"/>
  <c r="AT84" i="10" s="1"/>
  <c r="AO30" i="50"/>
  <c r="BE30" i="50" s="1"/>
  <c r="AG30" i="50"/>
  <c r="AK30" i="50" s="1"/>
  <c r="AF73" i="59"/>
  <c r="AX84" i="10" l="1"/>
  <c r="AJ447" i="28"/>
  <c r="AP447" i="28" s="1"/>
  <c r="BF84" i="10" l="1"/>
  <c r="BI84" i="10" s="1"/>
  <c r="AT447" i="28"/>
  <c r="AX447" i="28" s="1"/>
  <c r="BF447" i="28" s="1"/>
  <c r="BH447" i="28" s="1"/>
  <c r="AJ331" i="28"/>
  <c r="AP331" i="28" l="1"/>
  <c r="AM90" i="90"/>
  <c r="BC90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31" i="28" l="1"/>
  <c r="AX331" i="28" s="1"/>
  <c r="BF331" i="28" s="1"/>
  <c r="BH331" i="28" s="1"/>
  <c r="AM42" i="39"/>
  <c r="AB22" i="39"/>
  <c r="AM43" i="39"/>
  <c r="AM46" i="39"/>
  <c r="AM47" i="39"/>
  <c r="AM48" i="39"/>
  <c r="AM49" i="39"/>
  <c r="AB51" i="39"/>
  <c r="AM60" i="39"/>
  <c r="AM61" i="39"/>
  <c r="AE133" i="50"/>
  <c r="AM8" i="39"/>
  <c r="AF65" i="59"/>
  <c r="AC17" i="49"/>
  <c r="AC18" i="49" s="1"/>
  <c r="AF69" i="59"/>
  <c r="AC8" i="49"/>
  <c r="AC9" i="49"/>
  <c r="AO133" i="50" l="1"/>
  <c r="BE133" i="50" s="1"/>
  <c r="AM22" i="39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43" i="28"/>
  <c r="BD443" i="28" s="1"/>
  <c r="BK443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3" i="50" l="1"/>
  <c r="AM34" i="39"/>
  <c r="AM18" i="49"/>
  <c r="AM17" i="49"/>
  <c r="AN18" i="49"/>
  <c r="BD18" i="49" s="1"/>
  <c r="AN17" i="49"/>
  <c r="BD17" i="49" s="1"/>
  <c r="AM12" i="49"/>
  <c r="AN12" i="49"/>
  <c r="AO143" i="50" l="1"/>
  <c r="BE143" i="50" s="1"/>
  <c r="BC34" i="39"/>
  <c r="AM121" i="90" l="1"/>
  <c r="BC121" i="90" s="1"/>
  <c r="AD15" i="36" l="1"/>
  <c r="AG52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Y18" i="83" l="1"/>
  <c r="Y112" i="50"/>
  <c r="Y4" i="83"/>
  <c r="Y111" i="50"/>
  <c r="AA111" i="50" l="1"/>
  <c r="AC111" i="50" s="1"/>
  <c r="AG111" i="50" s="1"/>
  <c r="AK111" i="50" s="1"/>
  <c r="AQ111" i="50" s="1"/>
  <c r="AU111" i="50" s="1"/>
  <c r="AY111" i="50" s="1"/>
  <c r="BG111" i="50" s="1"/>
  <c r="BH111" i="50" s="1"/>
  <c r="AA112" i="50"/>
  <c r="AC112" i="50" s="1"/>
  <c r="AG112" i="50" s="1"/>
  <c r="AK112" i="50" s="1"/>
  <c r="AQ112" i="50" s="1"/>
  <c r="AU112" i="50" s="1"/>
  <c r="AY112" i="50" s="1"/>
  <c r="BG112" i="50" s="1"/>
  <c r="BH112" i="50" s="1"/>
  <c r="Y32" i="83"/>
  <c r="AA33" i="50"/>
  <c r="AC33" i="50" s="1"/>
  <c r="AG33" i="50" s="1"/>
  <c r="Y24" i="83"/>
  <c r="Y15" i="61"/>
  <c r="Y29" i="83"/>
  <c r="AA29" i="50"/>
  <c r="AC29" i="50" s="1"/>
  <c r="AG29" i="50" s="1"/>
  <c r="AK29" i="50" s="1"/>
  <c r="Y37" i="83"/>
  <c r="AA37" i="50"/>
  <c r="AC37" i="50" s="1"/>
  <c r="AG37" i="50" s="1"/>
  <c r="Y27" i="83"/>
  <c r="Y115" i="50"/>
  <c r="AA115" i="50" l="1"/>
  <c r="AC115" i="50" s="1"/>
  <c r="AG115" i="50" s="1"/>
  <c r="AK115" i="50" s="1"/>
  <c r="AQ115" i="50" s="1"/>
  <c r="AU115" i="50" s="1"/>
  <c r="AY115" i="50" s="1"/>
  <c r="BG115" i="50" s="1"/>
  <c r="BH115" i="50" s="1"/>
  <c r="AK33" i="50"/>
  <c r="AQ33" i="50" s="1"/>
  <c r="AU33" i="50" s="1"/>
  <c r="AY33" i="50" s="1"/>
  <c r="BG33" i="50" s="1"/>
  <c r="BH33" i="50" s="1"/>
  <c r="AK37" i="50"/>
  <c r="AQ37" i="50" s="1"/>
  <c r="AU37" i="50" s="1"/>
  <c r="AY37" i="50" s="1"/>
  <c r="BG37" i="50" s="1"/>
  <c r="BH37" i="50" s="1"/>
  <c r="Y38" i="83"/>
  <c r="Y77" i="83" s="1"/>
  <c r="AB159" i="9"/>
  <c r="Z159" i="9"/>
  <c r="AB158" i="9"/>
  <c r="Z158" i="9"/>
  <c r="AB157" i="9"/>
  <c r="Z157" i="9"/>
  <c r="Y48" i="50" l="1"/>
  <c r="Y49" i="50"/>
  <c r="Y50" i="50"/>
  <c r="Y51" i="50"/>
  <c r="Y53" i="50"/>
  <c r="Y40" i="50"/>
  <c r="Y41" i="50"/>
  <c r="Y42" i="50"/>
  <c r="Y43" i="50"/>
  <c r="Y44" i="50"/>
  <c r="Y45" i="50"/>
  <c r="Y39" i="50"/>
  <c r="Y4" i="61"/>
  <c r="Y5" i="61"/>
  <c r="Y6" i="61"/>
  <c r="Y7" i="61"/>
  <c r="Y8" i="61"/>
  <c r="Y9" i="61"/>
  <c r="Y10" i="61"/>
  <c r="Y11" i="61"/>
  <c r="Y4" i="50"/>
  <c r="Y137" i="50"/>
  <c r="Y127" i="50"/>
  <c r="Y102" i="50"/>
  <c r="Y101" i="50"/>
  <c r="Y100" i="50"/>
  <c r="Y138" i="50"/>
  <c r="Y47" i="50"/>
  <c r="Y16" i="61" l="1"/>
  <c r="Y54" i="50"/>
  <c r="Y124" i="50" s="1"/>
  <c r="Y38" i="50"/>
  <c r="Y46" i="50"/>
  <c r="Y120" i="50" s="1"/>
  <c r="Y139" i="50"/>
  <c r="Y103" i="50"/>
  <c r="Y104" i="50" s="1"/>
  <c r="Y140" i="50"/>
  <c r="Y116" i="50"/>
  <c r="Y128" i="50"/>
  <c r="Y129" i="50" s="1"/>
  <c r="AJ422" i="28"/>
  <c r="X1" i="35"/>
  <c r="X21" i="35" s="1"/>
  <c r="X26" i="9" s="1"/>
  <c r="AP422" i="28" l="1"/>
  <c r="AT422" i="28" s="1"/>
  <c r="AX422" i="28" s="1"/>
  <c r="BF422" i="28" s="1"/>
  <c r="BH422" i="28" s="1"/>
  <c r="Y108" i="50"/>
  <c r="X162" i="10"/>
  <c r="X163" i="10" s="1"/>
  <c r="Y94" i="50"/>
  <c r="Y130" i="50"/>
  <c r="AJ128" i="28" l="1"/>
  <c r="AP128" i="28" s="1"/>
  <c r="AJ144" i="28"/>
  <c r="AP144" i="28" s="1"/>
  <c r="AJ103" i="28"/>
  <c r="AP103" i="28" s="1"/>
  <c r="AJ107" i="28"/>
  <c r="AP107" i="28" s="1"/>
  <c r="AT107" i="28" l="1"/>
  <c r="AX107" i="28" s="1"/>
  <c r="BF107" i="28" s="1"/>
  <c r="BH107" i="28" s="1"/>
  <c r="AT144" i="28"/>
  <c r="AX144" i="28" s="1"/>
  <c r="BF144" i="28" s="1"/>
  <c r="BH144" i="28" s="1"/>
  <c r="AT103" i="28"/>
  <c r="AX103" i="28" s="1"/>
  <c r="BF103" i="28" s="1"/>
  <c r="BH103" i="28" s="1"/>
  <c r="AT128" i="28"/>
  <c r="AX128" i="28" s="1"/>
  <c r="BF128" i="28" s="1"/>
  <c r="BH128" i="28" s="1"/>
  <c r="Y78" i="90"/>
  <c r="Y83" i="90" l="1"/>
  <c r="Y74" i="90"/>
  <c r="Y85" i="90"/>
  <c r="Y72" i="90"/>
  <c r="Y76" i="90"/>
  <c r="Y84" i="90"/>
  <c r="Y79" i="90"/>
  <c r="Y69" i="90"/>
  <c r="Y70" i="90"/>
  <c r="Y80" i="90"/>
  <c r="Y88" i="90"/>
  <c r="Y87" i="90"/>
  <c r="Y81" i="90"/>
  <c r="Y77" i="90"/>
  <c r="Y73" i="90"/>
  <c r="Y71" i="90"/>
  <c r="Y68" i="90" l="1"/>
  <c r="Y62" i="39"/>
  <c r="Z62" i="39"/>
  <c r="U62" i="39"/>
  <c r="AA62" i="39" l="1"/>
  <c r="BF121" i="10"/>
  <c r="BI121" i="10" s="1"/>
  <c r="BF116" i="10"/>
  <c r="BI116" i="10" s="1"/>
  <c r="BF81" i="10"/>
  <c r="BI81" i="10" s="1"/>
  <c r="BF80" i="10"/>
  <c r="BI80" i="10" s="1"/>
  <c r="BF66" i="10"/>
  <c r="BI66" i="10" s="1"/>
  <c r="AE62" i="39" l="1"/>
  <c r="Y123" i="50"/>
  <c r="Y125" i="50" s="1"/>
  <c r="Y119" i="50"/>
  <c r="Y121" i="50" s="1"/>
  <c r="Z73" i="59"/>
  <c r="Z69" i="59"/>
  <c r="BF33" i="10"/>
  <c r="BI33" i="10" s="1"/>
  <c r="AI62" i="39" l="1"/>
  <c r="AO62" i="39" l="1"/>
  <c r="BF36" i="10"/>
  <c r="BI36" i="10" s="1"/>
  <c r="Z152" i="10"/>
  <c r="AB152" i="10" s="1"/>
  <c r="Z153" i="10"/>
  <c r="AB153" i="10" s="1"/>
  <c r="Z154" i="10"/>
  <c r="AB154" i="10" s="1"/>
  <c r="Z155" i="10"/>
  <c r="AB155" i="10" s="1"/>
  <c r="Z156" i="10"/>
  <c r="Z157" i="10"/>
  <c r="AS62" i="39" l="1"/>
  <c r="Z65" i="59"/>
  <c r="Y107" i="50"/>
  <c r="AW62" i="39" l="1"/>
  <c r="Y109" i="50"/>
  <c r="Y110" i="50"/>
  <c r="Y117" i="50" s="1"/>
  <c r="BE62" i="39" l="1"/>
  <c r="Y49" i="7"/>
  <c r="Z49" i="7"/>
  <c r="BF62" i="39" l="1"/>
  <c r="BI62" i="39"/>
  <c r="Y133" i="50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60" i="28"/>
  <c r="BH460" i="28" s="1"/>
  <c r="AJ329" i="28"/>
  <c r="AJ330" i="28"/>
  <c r="AJ332" i="28"/>
  <c r="AJ245" i="28"/>
  <c r="AP245" i="28" s="1"/>
  <c r="AT245" i="28" s="1"/>
  <c r="AX245" i="28" s="1"/>
  <c r="BF245" i="28" s="1"/>
  <c r="BH245" i="28" s="1"/>
  <c r="AJ249" i="28"/>
  <c r="AP249" i="28" s="1"/>
  <c r="AT249" i="28" s="1"/>
  <c r="AX249" i="28" s="1"/>
  <c r="BF249" i="28" s="1"/>
  <c r="BH249" i="28" s="1"/>
  <c r="AJ254" i="28"/>
  <c r="AP254" i="28" s="1"/>
  <c r="AT254" i="28" s="1"/>
  <c r="AX254" i="28" s="1"/>
  <c r="BF254" i="28" s="1"/>
  <c r="BH254" i="28" s="1"/>
  <c r="AJ214" i="28"/>
  <c r="AP214" i="28" s="1"/>
  <c r="AJ132" i="28"/>
  <c r="AP132" i="28" s="1"/>
  <c r="AJ135" i="28"/>
  <c r="AP135" i="28" s="1"/>
  <c r="AJ138" i="28"/>
  <c r="AP138" i="28" s="1"/>
  <c r="AJ145" i="28"/>
  <c r="AP145" i="28" s="1"/>
  <c r="AJ146" i="28"/>
  <c r="AP146" i="28" s="1"/>
  <c r="AJ190" i="28"/>
  <c r="AP190" i="28" s="1"/>
  <c r="AJ192" i="28"/>
  <c r="AP192" i="28" s="1"/>
  <c r="Z481" i="28"/>
  <c r="Z475" i="28"/>
  <c r="Z443" i="28"/>
  <c r="Z442" i="28"/>
  <c r="Z298" i="28"/>
  <c r="Z297" i="28"/>
  <c r="Z235" i="28"/>
  <c r="Z233" i="28"/>
  <c r="Z96" i="28"/>
  <c r="Z95" i="28"/>
  <c r="Z93" i="28"/>
  <c r="Z89" i="28"/>
  <c r="Z85" i="28"/>
  <c r="Z81" i="28"/>
  <c r="Y61" i="73"/>
  <c r="Y62" i="73"/>
  <c r="AA62" i="73" s="1"/>
  <c r="AE62" i="73" s="1"/>
  <c r="Y63" i="73"/>
  <c r="AA63" i="73" s="1"/>
  <c r="AE63" i="73" s="1"/>
  <c r="Y64" i="73"/>
  <c r="Y65" i="73"/>
  <c r="Y177" i="73"/>
  <c r="AA177" i="73" s="1"/>
  <c r="AE177" i="73" s="1"/>
  <c r="Y178" i="73"/>
  <c r="Y179" i="73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X123" i="90" s="1"/>
  <c r="X125" i="90" s="1"/>
  <c r="Z35" i="35"/>
  <c r="Y123" i="90" s="1"/>
  <c r="Z42" i="35"/>
  <c r="Z43" i="35"/>
  <c r="Z44" i="35"/>
  <c r="Z45" i="35"/>
  <c r="Y50" i="35"/>
  <c r="Z50" i="35"/>
  <c r="Y51" i="35"/>
  <c r="Z51" i="35"/>
  <c r="Y53" i="35"/>
  <c r="Z53" i="35"/>
  <c r="AT135" i="28" l="1"/>
  <c r="AX135" i="28" s="1"/>
  <c r="BF135" i="28" s="1"/>
  <c r="BH135" i="28" s="1"/>
  <c r="AT146" i="28"/>
  <c r="AX146" i="28" s="1"/>
  <c r="BF146" i="28" s="1"/>
  <c r="BH146" i="28" s="1"/>
  <c r="AT132" i="28"/>
  <c r="AX132" i="28" s="1"/>
  <c r="BF132" i="28" s="1"/>
  <c r="BH132" i="28" s="1"/>
  <c r="AT145" i="28"/>
  <c r="AX145" i="28" s="1"/>
  <c r="BF145" i="28" s="1"/>
  <c r="BH145" i="28" s="1"/>
  <c r="AT138" i="28"/>
  <c r="AX138" i="28" s="1"/>
  <c r="BF138" i="28" s="1"/>
  <c r="BH138" i="28" s="1"/>
  <c r="AT190" i="28"/>
  <c r="AX190" i="28" s="1"/>
  <c r="BF190" i="28" s="1"/>
  <c r="BH190" i="28" s="1"/>
  <c r="AT192" i="28"/>
  <c r="AX192" i="28" s="1"/>
  <c r="BF192" i="28" s="1"/>
  <c r="BH192" i="28" s="1"/>
  <c r="AT214" i="28"/>
  <c r="AX214" i="28" s="1"/>
  <c r="BF214" i="28" s="1"/>
  <c r="BH214" i="28" s="1"/>
  <c r="AP329" i="28"/>
  <c r="AP332" i="28"/>
  <c r="AP330" i="28"/>
  <c r="AI63" i="73"/>
  <c r="AO63" i="73" s="1"/>
  <c r="AS63" i="73" s="1"/>
  <c r="AW63" i="73" s="1"/>
  <c r="AI62" i="73"/>
  <c r="AO62" i="73" s="1"/>
  <c r="AS62" i="73" s="1"/>
  <c r="AW62" i="73" s="1"/>
  <c r="AI177" i="73"/>
  <c r="AO177" i="73" s="1"/>
  <c r="AS177" i="73" s="1"/>
  <c r="AW177" i="73" s="1"/>
  <c r="Z72" i="28"/>
  <c r="Z508" i="28"/>
  <c r="Z256" i="28"/>
  <c r="Z512" i="28"/>
  <c r="Z304" i="28"/>
  <c r="Z416" i="28"/>
  <c r="Z415" i="28"/>
  <c r="Z516" i="28"/>
  <c r="Z431" i="28"/>
  <c r="Z236" i="28"/>
  <c r="Z11" i="35"/>
  <c r="Y143" i="50"/>
  <c r="W2" i="26"/>
  <c r="W2" i="17"/>
  <c r="V2" i="26"/>
  <c r="V2" i="17"/>
  <c r="Z26" i="35"/>
  <c r="Y80" i="83"/>
  <c r="Y78" i="83" s="1"/>
  <c r="Y33" i="35"/>
  <c r="V24" i="39"/>
  <c r="Z513" i="28"/>
  <c r="Z509" i="28"/>
  <c r="Z73" i="28"/>
  <c r="Z74" i="28"/>
  <c r="Z505" i="28"/>
  <c r="Y26" i="35"/>
  <c r="Y145" i="50" l="1"/>
  <c r="Y146" i="50" s="1"/>
  <c r="BE177" i="73"/>
  <c r="BE62" i="73"/>
  <c r="BE63" i="73"/>
  <c r="AT330" i="28"/>
  <c r="AX330" i="28" s="1"/>
  <c r="BF330" i="28" s="1"/>
  <c r="BH330" i="28" s="1"/>
  <c r="AT332" i="28"/>
  <c r="AX332" i="28" s="1"/>
  <c r="BF332" i="28" s="1"/>
  <c r="BH332" i="28" s="1"/>
  <c r="AT329" i="28"/>
  <c r="AX329" i="28" s="1"/>
  <c r="BF329" i="28" s="1"/>
  <c r="BH329" i="28" s="1"/>
  <c r="Z507" i="28"/>
  <c r="Z502" i="28"/>
  <c r="Z299" i="28"/>
  <c r="Z75" i="28"/>
  <c r="Z97" i="28"/>
  <c r="Z98" i="28" s="1"/>
  <c r="Z514" i="28"/>
  <c r="Z515" i="28"/>
  <c r="Z506" i="28"/>
  <c r="Z522" i="28"/>
  <c r="Z525" i="28"/>
  <c r="Z473" i="28"/>
  <c r="Z524" i="28"/>
  <c r="Z492" i="28"/>
  <c r="Z510" i="28"/>
  <c r="Y97" i="50"/>
  <c r="Y95" i="50" s="1"/>
  <c r="Z511" i="28"/>
  <c r="Z503" i="28"/>
  <c r="Z517" i="28"/>
  <c r="Z523" i="28" l="1"/>
  <c r="Z76" i="28"/>
  <c r="Z496" i="28"/>
  <c r="Z493" i="28"/>
  <c r="Z519" i="28"/>
  <c r="Z497" i="28"/>
  <c r="Z518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K54" i="83"/>
  <c r="U69" i="83"/>
  <c r="U76" i="83"/>
  <c r="U51" i="83"/>
  <c r="U45" i="83"/>
  <c r="S54" i="83" l="1"/>
  <c r="W54" i="83" s="1"/>
  <c r="U186" i="6"/>
  <c r="U161" i="6"/>
  <c r="AA27" i="50" l="1"/>
  <c r="AC27" i="50" s="1"/>
  <c r="AG27" i="50" s="1"/>
  <c r="AK27" i="50" s="1"/>
  <c r="Q24" i="50" l="1"/>
  <c r="U27" i="83"/>
  <c r="AA27" i="83" s="1"/>
  <c r="U9" i="83"/>
  <c r="AA9" i="83" s="1"/>
  <c r="U6" i="83"/>
  <c r="AA6" i="83" s="1"/>
  <c r="S24" i="50" l="1"/>
  <c r="W24" i="50" s="1"/>
  <c r="Q15" i="61"/>
  <c r="AA24" i="50"/>
  <c r="AC24" i="50" s="1"/>
  <c r="AG24" i="50" s="1"/>
  <c r="AK24" i="50" s="1"/>
  <c r="U38" i="83"/>
  <c r="U77" i="83" s="1"/>
  <c r="AA15" i="61" l="1"/>
  <c r="AC15" i="61" s="1"/>
  <c r="S15" i="61"/>
  <c r="M49" i="7"/>
  <c r="N49" i="7"/>
  <c r="AB49" i="7" s="1"/>
  <c r="AF49" i="7" s="1"/>
  <c r="AJ49" i="7" s="1"/>
  <c r="AA49" i="7" l="1"/>
  <c r="AP49" i="7"/>
  <c r="AT49" i="7" s="1"/>
  <c r="AX49" i="7" s="1"/>
  <c r="R49" i="7"/>
  <c r="Q49" i="7"/>
  <c r="U49" i="7" l="1"/>
  <c r="AE49" i="7"/>
  <c r="BF49" i="7"/>
  <c r="V49" i="7"/>
  <c r="AI49" i="7" l="1"/>
  <c r="AO49" i="7" l="1"/>
  <c r="AS49" i="7" l="1"/>
  <c r="AW49" i="7" l="1"/>
  <c r="BE49" i="7" l="1"/>
  <c r="R172" i="26"/>
  <c r="R167" i="26" l="1"/>
  <c r="R164" i="26" l="1"/>
  <c r="R171" i="26"/>
  <c r="U6" i="61" l="1"/>
  <c r="U7" i="61"/>
  <c r="U8" i="61"/>
  <c r="U9" i="61"/>
  <c r="U10" i="61"/>
  <c r="U11" i="61"/>
  <c r="Q18" i="72"/>
  <c r="Q38" i="72"/>
  <c r="Q46" i="72"/>
  <c r="Q49" i="72" s="1"/>
  <c r="BJ60" i="71"/>
  <c r="BH60" i="71"/>
  <c r="BI60" i="71" l="1"/>
  <c r="BI62" i="71" s="1"/>
  <c r="Q51" i="72" l="1"/>
  <c r="U194" i="6" l="1"/>
  <c r="U37" i="36" l="1"/>
  <c r="V37" i="36"/>
  <c r="V92" i="8"/>
  <c r="U80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5" i="6"/>
  <c r="U193" i="6"/>
  <c r="U185" i="6"/>
  <c r="U182" i="6"/>
  <c r="U181" i="6"/>
  <c r="U180" i="6"/>
  <c r="U179" i="6"/>
  <c r="U178" i="6"/>
  <c r="U177" i="6"/>
  <c r="U175" i="6"/>
  <c r="U174" i="6"/>
  <c r="U173" i="6"/>
  <c r="U160" i="6"/>
  <c r="U157" i="6"/>
  <c r="U156" i="6"/>
  <c r="U155" i="6"/>
  <c r="U154" i="6"/>
  <c r="U153" i="6"/>
  <c r="U152" i="6"/>
  <c r="U150" i="6"/>
  <c r="U149" i="6"/>
  <c r="U148" i="6"/>
  <c r="U85" i="6"/>
  <c r="U83" i="6"/>
  <c r="U82" i="6"/>
  <c r="U80" i="6"/>
  <c r="U79" i="6"/>
  <c r="U40" i="6"/>
  <c r="U39" i="6"/>
  <c r="U38" i="6"/>
  <c r="U37" i="6"/>
  <c r="U525" i="28"/>
  <c r="U524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4" i="59" l="1"/>
  <c r="X41" i="59"/>
  <c r="Y12" i="59"/>
  <c r="X12" i="59"/>
  <c r="X11" i="59"/>
  <c r="U72" i="36"/>
  <c r="U71" i="36"/>
  <c r="U69" i="36"/>
  <c r="U67" i="36"/>
  <c r="U66" i="36"/>
  <c r="U29" i="36"/>
  <c r="X78" i="59" s="1"/>
  <c r="U28" i="36"/>
  <c r="X77" i="59" s="1"/>
  <c r="U27" i="36"/>
  <c r="X76" i="59" s="1"/>
  <c r="U23" i="36"/>
  <c r="U22" i="36"/>
  <c r="U21" i="36"/>
  <c r="U17" i="36"/>
  <c r="X54" i="59" s="1"/>
  <c r="U16" i="36"/>
  <c r="X53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3" i="90" l="1"/>
  <c r="BE123" i="90" s="1"/>
  <c r="E118" i="90"/>
  <c r="BE118" i="90" s="1"/>
  <c r="E100" i="90"/>
  <c r="E43" i="39"/>
  <c r="E42" i="39"/>
  <c r="E61" i="39"/>
  <c r="E60" i="39"/>
  <c r="M46" i="72"/>
  <c r="I46" i="72"/>
  <c r="I49" i="72" s="1"/>
  <c r="E46" i="72"/>
  <c r="E49" i="72" s="1"/>
  <c r="C46" i="72"/>
  <c r="M38" i="72"/>
  <c r="I38" i="72"/>
  <c r="E38" i="72"/>
  <c r="C38" i="72"/>
  <c r="C25" i="72"/>
  <c r="M18" i="72"/>
  <c r="I18" i="72"/>
  <c r="E18" i="72"/>
  <c r="C18" i="72"/>
  <c r="C49" i="72" l="1"/>
  <c r="M49" i="72"/>
  <c r="O46" i="72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I100" i="90"/>
  <c r="M100" i="90"/>
  <c r="E116" i="90"/>
  <c r="Y61" i="39"/>
  <c r="Y60" i="39"/>
  <c r="T15" i="36"/>
  <c r="AI116" i="90" l="1"/>
  <c r="BE116" i="90"/>
  <c r="W52" i="59"/>
  <c r="AA116" i="90"/>
  <c r="M116" i="90"/>
  <c r="I116" i="90"/>
  <c r="U116" i="90"/>
  <c r="Q116" i="90"/>
  <c r="AO116" i="90"/>
  <c r="AS116" i="90" s="1"/>
  <c r="AW116" i="90" s="1"/>
  <c r="AE116" i="90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F94" i="10" l="1"/>
  <c r="BI94" i="10" s="1"/>
  <c r="BF93" i="10"/>
  <c r="BI93" i="10" s="1"/>
  <c r="BF92" i="10"/>
  <c r="BI92" i="10" s="1"/>
  <c r="J78" i="8" l="1"/>
  <c r="J76" i="8"/>
  <c r="J79" i="8" l="1"/>
  <c r="R159" i="9" l="1"/>
  <c r="R158" i="9"/>
  <c r="R157" i="9"/>
  <c r="E218" i="6" l="1"/>
  <c r="E217" i="6"/>
  <c r="Y17" i="35" l="1"/>
  <c r="Y16" i="35"/>
  <c r="Y18" i="35" l="1"/>
  <c r="Y34" i="35"/>
  <c r="Y36" i="35" s="1"/>
  <c r="AC11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0" i="6"/>
  <c r="Y130" i="6"/>
  <c r="Z17" i="49"/>
  <c r="Q133" i="50" l="1"/>
  <c r="O90" i="90"/>
  <c r="AA143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AA133" i="50" l="1"/>
  <c r="Y90" i="90"/>
  <c r="O121" i="90"/>
  <c r="Y50" i="39"/>
  <c r="Y23" i="39"/>
  <c r="Y22" i="39"/>
  <c r="Y49" i="39"/>
  <c r="Y45" i="39"/>
  <c r="N2" i="26"/>
  <c r="N2" i="17"/>
  <c r="O2" i="17"/>
  <c r="O2" i="26"/>
  <c r="T96" i="38"/>
  <c r="Z14" i="35"/>
  <c r="Y41" i="35"/>
  <c r="Y49" i="35" s="1"/>
  <c r="Z13" i="35"/>
  <c r="Y10" i="35"/>
  <c r="Y11" i="35" s="1"/>
  <c r="Y19" i="35"/>
  <c r="Z19" i="35"/>
  <c r="Z32" i="35"/>
  <c r="Z33" i="35" s="1"/>
  <c r="S96" i="38"/>
  <c r="P125" i="7"/>
  <c r="P128" i="7" s="1"/>
  <c r="Z41" i="35"/>
  <c r="P133" i="7"/>
  <c r="O125" i="90" l="1"/>
  <c r="Y121" i="90"/>
  <c r="Y125" i="90" s="1"/>
  <c r="Y51" i="39"/>
  <c r="Y24" i="39"/>
  <c r="Z15" i="35"/>
  <c r="Y13" i="35"/>
  <c r="Y14" i="35"/>
  <c r="P135" i="7"/>
  <c r="Y15" i="35" l="1"/>
  <c r="N78" i="8" l="1"/>
  <c r="R78" i="8" s="1"/>
  <c r="V78" i="8" s="1"/>
  <c r="N76" i="8"/>
  <c r="F75" i="8"/>
  <c r="J75" i="8" l="1"/>
  <c r="N75" i="8"/>
  <c r="R75" i="8" s="1"/>
  <c r="V75" i="8" s="1"/>
  <c r="R76" i="8"/>
  <c r="N79" i="8"/>
  <c r="R79" i="8" l="1"/>
  <c r="V76" i="8"/>
  <c r="V79" i="8" l="1"/>
  <c r="J3" i="8" l="1"/>
  <c r="H1" i="35"/>
  <c r="H21" i="35" s="1"/>
  <c r="H26" i="9" s="1"/>
  <c r="AJ440" i="28" l="1"/>
  <c r="AP440" i="28" s="1"/>
  <c r="AT440" i="28" s="1"/>
  <c r="AX440" i="28" s="1"/>
  <c r="BF440" i="28" s="1"/>
  <c r="BH440" i="28" s="1"/>
  <c r="B10" i="6" l="1"/>
  <c r="F8" i="6"/>
  <c r="F9" i="6"/>
  <c r="AX400" i="28" l="1"/>
  <c r="BF400" i="28" s="1"/>
  <c r="BH400" i="28" s="1"/>
  <c r="AJ369" i="28"/>
  <c r="AP369" i="28" s="1"/>
  <c r="AT369" i="28" l="1"/>
  <c r="AX369" i="28" s="1"/>
  <c r="BF369" i="28" s="1"/>
  <c r="BH369" i="28" s="1"/>
  <c r="I11" i="8"/>
  <c r="M11" i="8"/>
  <c r="N11" i="8"/>
  <c r="AB11" i="8" l="1"/>
  <c r="AF11" i="8" s="1"/>
  <c r="AJ11" i="8" s="1"/>
  <c r="AP11" i="8" s="1"/>
  <c r="AT11" i="8" s="1"/>
  <c r="AX11" i="8" s="1"/>
  <c r="BF11" i="8" s="1"/>
  <c r="BH11" i="8" s="1"/>
  <c r="R11" i="8"/>
  <c r="V11" i="8" s="1"/>
  <c r="AA11" i="8"/>
  <c r="AE11" i="8" s="1"/>
  <c r="AI11" i="8" s="1"/>
  <c r="AO11" i="8" s="1"/>
  <c r="AS11" i="8" s="1"/>
  <c r="AW11" i="8" s="1"/>
  <c r="BE11" i="8" s="1"/>
  <c r="BG11" i="8" s="1"/>
  <c r="Q11" i="8"/>
  <c r="U11" i="8" s="1"/>
  <c r="N159" i="9"/>
  <c r="N158" i="9"/>
  <c r="N157" i="9"/>
  <c r="L24" i="36" l="1"/>
  <c r="O74" i="59" s="1"/>
  <c r="R11" i="38" l="1"/>
  <c r="V11" i="38" s="1"/>
  <c r="Z11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7" i="50"/>
  <c r="M127" i="50"/>
  <c r="M130" i="50" s="1"/>
  <c r="M100" i="50"/>
  <c r="M138" i="50"/>
  <c r="M47" i="50"/>
  <c r="M16" i="61" l="1"/>
  <c r="M54" i="50"/>
  <c r="M124" i="50" s="1"/>
  <c r="M38" i="50"/>
  <c r="L162" i="10" s="1"/>
  <c r="L163" i="10" s="1"/>
  <c r="M46" i="50"/>
  <c r="M120" i="50" s="1"/>
  <c r="M129" i="50"/>
  <c r="M139" i="50"/>
  <c r="M116" i="50"/>
  <c r="M140" i="50"/>
  <c r="I51" i="72"/>
  <c r="AZ60" i="71"/>
  <c r="BB60" i="71"/>
  <c r="BD60" i="71"/>
  <c r="BF60" i="71"/>
  <c r="BL60" i="71"/>
  <c r="BN60" i="71"/>
  <c r="BP60" i="71"/>
  <c r="BR60" i="71"/>
  <c r="BT60" i="71"/>
  <c r="BV60" i="71"/>
  <c r="BV62" i="71" s="1"/>
  <c r="BX60" i="71"/>
  <c r="BZ60" i="71"/>
  <c r="BZ62" i="71" s="1"/>
  <c r="CB60" i="71"/>
  <c r="CD60" i="71"/>
  <c r="CF60" i="71"/>
  <c r="CF62" i="71" s="1"/>
  <c r="CH60" i="71"/>
  <c r="CJ60" i="71"/>
  <c r="CJ62" i="71" s="1"/>
  <c r="CL60" i="71"/>
  <c r="CN60" i="71"/>
  <c r="CN62" i="71" s="1"/>
  <c r="CP60" i="71"/>
  <c r="CR60" i="71"/>
  <c r="CT60" i="71"/>
  <c r="M94" i="50" l="1"/>
  <c r="M108" i="50"/>
  <c r="AF143" i="10"/>
  <c r="AF144" i="10"/>
  <c r="AF145" i="10"/>
  <c r="AF146" i="10"/>
  <c r="AF147" i="10"/>
  <c r="AF148" i="10"/>
  <c r="AF149" i="10"/>
  <c r="AF150" i="10"/>
  <c r="AF152" i="10"/>
  <c r="AF153" i="10"/>
  <c r="AF154" i="10"/>
  <c r="AF155" i="10"/>
  <c r="AB156" i="10"/>
  <c r="AF156" i="10" s="1"/>
  <c r="AB157" i="10"/>
  <c r="AF157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8" i="45"/>
  <c r="M157" i="45"/>
  <c r="M155" i="45"/>
  <c r="M149" i="45"/>
  <c r="M144" i="45"/>
  <c r="L144" i="45"/>
  <c r="M142" i="45"/>
  <c r="L142" i="45"/>
  <c r="M141" i="45"/>
  <c r="L141" i="45"/>
  <c r="M139" i="45"/>
  <c r="L139" i="45"/>
  <c r="M137" i="45"/>
  <c r="L137" i="45"/>
  <c r="M135" i="45"/>
  <c r="O72" i="59" s="1"/>
  <c r="L135" i="45"/>
  <c r="N72" i="59" s="1"/>
  <c r="M132" i="45"/>
  <c r="L132" i="45"/>
  <c r="L133" i="45" s="1"/>
  <c r="M123" i="45"/>
  <c r="M160" i="45" s="1"/>
  <c r="M122" i="45"/>
  <c r="L122" i="45"/>
  <c r="M121" i="45"/>
  <c r="M29" i="9"/>
  <c r="K90" i="90"/>
  <c r="M150" i="45" l="1"/>
  <c r="M133" i="45"/>
  <c r="AJ153" i="10"/>
  <c r="AJ146" i="10"/>
  <c r="AJ145" i="10"/>
  <c r="AJ152" i="10"/>
  <c r="AJ157" i="10"/>
  <c r="AJ150" i="10"/>
  <c r="AJ144" i="10"/>
  <c r="AJ156" i="10"/>
  <c r="AJ149" i="10"/>
  <c r="AJ143" i="10"/>
  <c r="AJ155" i="10"/>
  <c r="AJ148" i="10"/>
  <c r="AJ154" i="10"/>
  <c r="AJ147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40" i="45"/>
  <c r="L125" i="45"/>
  <c r="L140" i="45"/>
  <c r="M159" i="45"/>
  <c r="M151" i="45"/>
  <c r="M133" i="50"/>
  <c r="AF140" i="10"/>
  <c r="AF132" i="10"/>
  <c r="BF113" i="10"/>
  <c r="BI113" i="10" s="1"/>
  <c r="AJ104" i="10"/>
  <c r="BF98" i="10"/>
  <c r="BI98" i="10" s="1"/>
  <c r="AJ89" i="10"/>
  <c r="AF136" i="10"/>
  <c r="BF95" i="10"/>
  <c r="BI95" i="10" s="1"/>
  <c r="AF139" i="10"/>
  <c r="AF131" i="10"/>
  <c r="BF120" i="10"/>
  <c r="BI120" i="10" s="1"/>
  <c r="BF112" i="10"/>
  <c r="BI112" i="10" s="1"/>
  <c r="BF103" i="10"/>
  <c r="BI103" i="10" s="1"/>
  <c r="AJ97" i="10"/>
  <c r="BF83" i="10"/>
  <c r="BI83" i="10" s="1"/>
  <c r="BF110" i="10"/>
  <c r="BI110" i="10" s="1"/>
  <c r="AF137" i="10"/>
  <c r="AF129" i="10"/>
  <c r="AJ119" i="10"/>
  <c r="BF111" i="10"/>
  <c r="BI111" i="10" s="1"/>
  <c r="BF102" i="10"/>
  <c r="BI102" i="10" s="1"/>
  <c r="BF96" i="10"/>
  <c r="BI96" i="10" s="1"/>
  <c r="AF134" i="10"/>
  <c r="BF117" i="10"/>
  <c r="BI117" i="10" s="1"/>
  <c r="BF109" i="10"/>
  <c r="BI109" i="10" s="1"/>
  <c r="BF100" i="10"/>
  <c r="BI100" i="10" s="1"/>
  <c r="BF91" i="10"/>
  <c r="BI91" i="10" s="1"/>
  <c r="BF118" i="10"/>
  <c r="BI118" i="10" s="1"/>
  <c r="BF101" i="10"/>
  <c r="BI101" i="10" s="1"/>
  <c r="AF141" i="10"/>
  <c r="AF133" i="10"/>
  <c r="BF115" i="10"/>
  <c r="BI115" i="10" s="1"/>
  <c r="BF107" i="10"/>
  <c r="BI107" i="10" s="1"/>
  <c r="BF99" i="10"/>
  <c r="BI99" i="10" s="1"/>
  <c r="AJ90" i="10"/>
  <c r="BF61" i="10"/>
  <c r="BI61" i="10" s="1"/>
  <c r="BF53" i="10"/>
  <c r="BI53" i="10" s="1"/>
  <c r="BF46" i="10"/>
  <c r="BI46" i="10" s="1"/>
  <c r="BF74" i="10"/>
  <c r="BI74" i="10" s="1"/>
  <c r="BF68" i="10"/>
  <c r="BI68" i="10" s="1"/>
  <c r="BF60" i="10"/>
  <c r="BI60" i="10" s="1"/>
  <c r="BF51" i="10"/>
  <c r="BI51" i="10" s="1"/>
  <c r="BF45" i="10"/>
  <c r="BI45" i="10" s="1"/>
  <c r="BF39" i="10"/>
  <c r="BI39" i="10" s="1"/>
  <c r="AJ27" i="10"/>
  <c r="BF17" i="10"/>
  <c r="BI17" i="10" s="1"/>
  <c r="BF10" i="10"/>
  <c r="BI10" i="10" s="1"/>
  <c r="AJ75" i="10"/>
  <c r="AJ11" i="10"/>
  <c r="BF82" i="10"/>
  <c r="BI82" i="10" s="1"/>
  <c r="BF73" i="10"/>
  <c r="BI73" i="10" s="1"/>
  <c r="BF67" i="10"/>
  <c r="BI67" i="10" s="1"/>
  <c r="AJ59" i="10"/>
  <c r="BF50" i="10"/>
  <c r="BI50" i="10" s="1"/>
  <c r="BF44" i="10"/>
  <c r="BI44" i="10" s="1"/>
  <c r="BF38" i="10"/>
  <c r="BI38" i="10" s="1"/>
  <c r="BF26" i="10"/>
  <c r="BI26" i="10" s="1"/>
  <c r="BF16" i="10"/>
  <c r="BI16" i="10" s="1"/>
  <c r="BF9" i="10"/>
  <c r="BI9" i="10" s="1"/>
  <c r="BF69" i="10"/>
  <c r="BI69" i="10" s="1"/>
  <c r="BF18" i="10"/>
  <c r="BI18" i="10" s="1"/>
  <c r="BF79" i="10"/>
  <c r="BI79" i="10" s="1"/>
  <c r="AJ72" i="10"/>
  <c r="BF65" i="10"/>
  <c r="BI65" i="10" s="1"/>
  <c r="BF56" i="10"/>
  <c r="BI56" i="10" s="1"/>
  <c r="AJ49" i="10"/>
  <c r="BF43" i="10"/>
  <c r="BI43" i="10" s="1"/>
  <c r="BF37" i="10"/>
  <c r="BI37" i="10" s="1"/>
  <c r="BF23" i="10"/>
  <c r="BI23" i="10" s="1"/>
  <c r="BF15" i="10"/>
  <c r="BI15" i="10" s="1"/>
  <c r="BF8" i="10"/>
  <c r="BI8" i="10" s="1"/>
  <c r="BF29" i="10"/>
  <c r="BI29" i="10" s="1"/>
  <c r="BF78" i="10"/>
  <c r="BI78" i="10" s="1"/>
  <c r="AJ71" i="10"/>
  <c r="BF63" i="10"/>
  <c r="BI63" i="10" s="1"/>
  <c r="BF55" i="10"/>
  <c r="BI55" i="10" s="1"/>
  <c r="BF48" i="10"/>
  <c r="BI48" i="10" s="1"/>
  <c r="BF42" i="10"/>
  <c r="BI42" i="10" s="1"/>
  <c r="BF35" i="10"/>
  <c r="BI35" i="10" s="1"/>
  <c r="BF20" i="10"/>
  <c r="BI20" i="10" s="1"/>
  <c r="BF14" i="10"/>
  <c r="BI14" i="10" s="1"/>
  <c r="BF40" i="10"/>
  <c r="BI40" i="10" s="1"/>
  <c r="AJ76" i="10"/>
  <c r="BF70" i="10"/>
  <c r="BI70" i="10" s="1"/>
  <c r="BF62" i="10"/>
  <c r="BI62" i="10" s="1"/>
  <c r="BF54" i="10"/>
  <c r="BI54" i="10" s="1"/>
  <c r="BF47" i="10"/>
  <c r="BI47" i="10" s="1"/>
  <c r="BF41" i="10"/>
  <c r="BI41" i="10" s="1"/>
  <c r="BF34" i="10"/>
  <c r="BI34" i="10" s="1"/>
  <c r="BF19" i="10"/>
  <c r="BI19" i="10" s="1"/>
  <c r="BF12" i="10"/>
  <c r="BI12" i="10" s="1"/>
  <c r="M125" i="45"/>
  <c r="M126" i="45" s="1"/>
  <c r="M123" i="50"/>
  <c r="M125" i="50" s="1"/>
  <c r="M119" i="50"/>
  <c r="M121" i="50" s="1"/>
  <c r="M101" i="50"/>
  <c r="M156" i="45"/>
  <c r="L145" i="45"/>
  <c r="N73" i="59" s="1"/>
  <c r="L124" i="45"/>
  <c r="M145" i="45"/>
  <c r="O73" i="59" s="1"/>
  <c r="L121" i="45"/>
  <c r="M124" i="45"/>
  <c r="L23" i="36" s="1"/>
  <c r="O71" i="59" s="1"/>
  <c r="N69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9" i="10"/>
  <c r="AT119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5" i="10"/>
  <c r="AP157" i="10"/>
  <c r="AP143" i="10"/>
  <c r="AP152" i="10"/>
  <c r="AP148" i="10"/>
  <c r="AP149" i="10"/>
  <c r="AP145" i="10"/>
  <c r="AP150" i="10"/>
  <c r="AP147" i="10"/>
  <c r="AP156" i="10"/>
  <c r="AP146" i="10"/>
  <c r="AP154" i="10"/>
  <c r="AP144" i="10"/>
  <c r="AP153" i="10"/>
  <c r="AJ160" i="10"/>
  <c r="AJ139" i="10"/>
  <c r="AJ133" i="10"/>
  <c r="AJ132" i="10"/>
  <c r="AJ141" i="10"/>
  <c r="AJ136" i="10"/>
  <c r="AJ140" i="10"/>
  <c r="AJ129" i="10"/>
  <c r="AJ134" i="10"/>
  <c r="AJ137" i="10"/>
  <c r="AJ131" i="10"/>
  <c r="AF26" i="11"/>
  <c r="AF32" i="11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1" i="45"/>
  <c r="M110" i="50"/>
  <c r="M117" i="50" s="1"/>
  <c r="M109" i="50"/>
  <c r="AJ192" i="10" l="1"/>
  <c r="BF59" i="10"/>
  <c r="BI59" i="10" s="1"/>
  <c r="AX104" i="10"/>
  <c r="AX97" i="10"/>
  <c r="AX119" i="10"/>
  <c r="AX90" i="10"/>
  <c r="AX89" i="10"/>
  <c r="AX75" i="10"/>
  <c r="AX27" i="10"/>
  <c r="AX72" i="10"/>
  <c r="AX49" i="10"/>
  <c r="AX11" i="10"/>
  <c r="AX76" i="10"/>
  <c r="AX71" i="10"/>
  <c r="L55" i="35"/>
  <c r="AT150" i="10"/>
  <c r="AX150" i="10" s="1"/>
  <c r="AT155" i="10"/>
  <c r="AX155" i="10" s="1"/>
  <c r="AT154" i="10"/>
  <c r="AX154" i="10" s="1"/>
  <c r="AT156" i="10"/>
  <c r="AX156" i="10" s="1"/>
  <c r="AT149" i="10"/>
  <c r="AX149" i="10" s="1"/>
  <c r="L25" i="36"/>
  <c r="O75" i="59" s="1"/>
  <c r="AT148" i="10"/>
  <c r="AX148" i="10" s="1"/>
  <c r="AT152" i="10"/>
  <c r="AX152" i="10" s="1"/>
  <c r="AT147" i="10"/>
  <c r="AX147" i="10" s="1"/>
  <c r="AT153" i="10"/>
  <c r="AX153" i="10" s="1"/>
  <c r="AT157" i="10"/>
  <c r="AX157" i="10" s="1"/>
  <c r="AT146" i="10"/>
  <c r="AT145" i="10"/>
  <c r="AT143" i="10"/>
  <c r="AT144" i="10"/>
  <c r="AJ184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40" i="10"/>
  <c r="AP141" i="10"/>
  <c r="AP136" i="10"/>
  <c r="AP131" i="10"/>
  <c r="AP137" i="10"/>
  <c r="AP134" i="10"/>
  <c r="AP133" i="10"/>
  <c r="AP132" i="10"/>
  <c r="AP129" i="10"/>
  <c r="AP139" i="10"/>
  <c r="L10" i="49"/>
  <c r="L12" i="49" s="1"/>
  <c r="L14" i="49" s="1"/>
  <c r="L15" i="49" s="1"/>
  <c r="L16" i="49" s="1"/>
  <c r="L19" i="49" s="1"/>
  <c r="L20" i="49" s="1"/>
  <c r="K6" i="49"/>
  <c r="BF71" i="10" l="1"/>
  <c r="BI71" i="10" s="1"/>
  <c r="BF72" i="10"/>
  <c r="BI72" i="10" s="1"/>
  <c r="BF90" i="10"/>
  <c r="BI90" i="10" s="1"/>
  <c r="BF76" i="10"/>
  <c r="BI76" i="10" s="1"/>
  <c r="BF27" i="10"/>
  <c r="BI27" i="10" s="1"/>
  <c r="BF119" i="10"/>
  <c r="BI119" i="10" s="1"/>
  <c r="BF152" i="10"/>
  <c r="BI152" i="10" s="1"/>
  <c r="BF11" i="10"/>
  <c r="BI11" i="10" s="1"/>
  <c r="BF75" i="10"/>
  <c r="BI75" i="10" s="1"/>
  <c r="BF97" i="10"/>
  <c r="BI97" i="10" s="1"/>
  <c r="BF49" i="10"/>
  <c r="BI49" i="10" s="1"/>
  <c r="BF89" i="10"/>
  <c r="BI89" i="10" s="1"/>
  <c r="BF104" i="10"/>
  <c r="BI104" i="10" s="1"/>
  <c r="AT132" i="10"/>
  <c r="AX132" i="10" s="1"/>
  <c r="AT141" i="10"/>
  <c r="AX141" i="10" s="1"/>
  <c r="AT139" i="10"/>
  <c r="AX139" i="10" s="1"/>
  <c r="AT133" i="10"/>
  <c r="AX133" i="10" s="1"/>
  <c r="AT136" i="10"/>
  <c r="AX136" i="10" s="1"/>
  <c r="AT140" i="10"/>
  <c r="AX140" i="10" s="1"/>
  <c r="AT134" i="10"/>
  <c r="AX134" i="10" s="1"/>
  <c r="AT137" i="10"/>
  <c r="AX137" i="10" s="1"/>
  <c r="AT131" i="10"/>
  <c r="AX131" i="10" s="1"/>
  <c r="AX146" i="10"/>
  <c r="AX145" i="10"/>
  <c r="AX143" i="10"/>
  <c r="AX144" i="10"/>
  <c r="AT129" i="10"/>
  <c r="K8" i="49"/>
  <c r="K9" i="49"/>
  <c r="K17" i="49"/>
  <c r="K18" i="49" s="1"/>
  <c r="M21" i="39"/>
  <c r="Q21" i="39" s="1"/>
  <c r="BF131" i="10" l="1"/>
  <c r="BI131" i="10" s="1"/>
  <c r="BF136" i="10"/>
  <c r="BI136" i="10" s="1"/>
  <c r="BF132" i="10"/>
  <c r="BI132" i="10" s="1"/>
  <c r="BF137" i="10"/>
  <c r="BI137" i="10" s="1"/>
  <c r="BF133" i="10"/>
  <c r="BI133" i="10" s="1"/>
  <c r="BF134" i="10"/>
  <c r="BI134" i="10" s="1"/>
  <c r="AX160" i="10"/>
  <c r="AX129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2" i="10" l="1"/>
  <c r="U21" i="39"/>
  <c r="BF122" i="10" l="1"/>
  <c r="BI122" i="10" s="1"/>
  <c r="AA21" i="39"/>
  <c r="AX401" i="28"/>
  <c r="BF401" i="28" s="1"/>
  <c r="BH401" i="28" s="1"/>
  <c r="AP379" i="28"/>
  <c r="AJ373" i="28"/>
  <c r="AP373" i="28" s="1"/>
  <c r="AJ366" i="28"/>
  <c r="AP366" i="28" s="1"/>
  <c r="AJ354" i="28"/>
  <c r="AP354" i="28" s="1"/>
  <c r="AJ340" i="28"/>
  <c r="AX322" i="28"/>
  <c r="BF322" i="28" s="1"/>
  <c r="BH322" i="28" s="1"/>
  <c r="AJ470" i="28"/>
  <c r="AP470" i="28" s="1"/>
  <c r="AJ397" i="28"/>
  <c r="AP378" i="28"/>
  <c r="AJ372" i="28"/>
  <c r="AP372" i="28" s="1"/>
  <c r="AJ365" i="28"/>
  <c r="AP365" i="28" s="1"/>
  <c r="AJ353" i="28"/>
  <c r="AP353" i="28" s="1"/>
  <c r="AJ346" i="28"/>
  <c r="AJ338" i="28"/>
  <c r="AX320" i="28"/>
  <c r="BF320" i="28" s="1"/>
  <c r="BH320" i="28" s="1"/>
  <c r="AJ285" i="28"/>
  <c r="AP285" i="28" s="1"/>
  <c r="AT285" i="28" s="1"/>
  <c r="AJ469" i="28"/>
  <c r="AP469" i="28" s="1"/>
  <c r="AP383" i="28"/>
  <c r="AP377" i="28"/>
  <c r="AJ371" i="28"/>
  <c r="AP371" i="28" s="1"/>
  <c r="AJ364" i="28"/>
  <c r="AP364" i="28" s="1"/>
  <c r="AJ352" i="28"/>
  <c r="AJ345" i="28"/>
  <c r="AJ337" i="28"/>
  <c r="AX318" i="28"/>
  <c r="BF318" i="28" s="1"/>
  <c r="BH318" i="28" s="1"/>
  <c r="AJ468" i="28"/>
  <c r="AP382" i="28"/>
  <c r="AJ370" i="28"/>
  <c r="AP370" i="28" s="1"/>
  <c r="AJ363" i="28"/>
  <c r="AP363" i="28" s="1"/>
  <c r="AJ350" i="28"/>
  <c r="AJ344" i="28"/>
  <c r="AJ325" i="28"/>
  <c r="AX317" i="28"/>
  <c r="BF317" i="28" s="1"/>
  <c r="BH317" i="28" s="1"/>
  <c r="AJ222" i="28"/>
  <c r="AP222" i="28" s="1"/>
  <c r="AJ455" i="28"/>
  <c r="AP455" i="28" s="1"/>
  <c r="AP381" i="28"/>
  <c r="AP375" i="28"/>
  <c r="AJ368" i="28"/>
  <c r="AP368" i="28" s="1"/>
  <c r="AJ362" i="28"/>
  <c r="AP362" i="28" s="1"/>
  <c r="AJ349" i="28"/>
  <c r="AJ343" i="28"/>
  <c r="AJ324" i="28"/>
  <c r="AP315" i="28"/>
  <c r="AJ221" i="28"/>
  <c r="AP221" i="28" s="1"/>
  <c r="AX405" i="28"/>
  <c r="BF405" i="28" s="1"/>
  <c r="BH405" i="28" s="1"/>
  <c r="AP380" i="28"/>
  <c r="AP374" i="28"/>
  <c r="AJ367" i="28"/>
  <c r="AP367" i="28" s="1"/>
  <c r="AJ361" i="28"/>
  <c r="AP361" i="28" s="1"/>
  <c r="AJ341" i="28"/>
  <c r="AX323" i="28"/>
  <c r="BF323" i="28" s="1"/>
  <c r="BH323" i="28" s="1"/>
  <c r="AJ134" i="28"/>
  <c r="AP134" i="28" s="1"/>
  <c r="AJ186" i="28"/>
  <c r="AP186" i="28" s="1"/>
  <c r="AJ169" i="28"/>
  <c r="AP169" i="28" s="1"/>
  <c r="AJ147" i="28"/>
  <c r="AP147" i="28" s="1"/>
  <c r="AJ133" i="28"/>
  <c r="AP133" i="28" s="1"/>
  <c r="AJ125" i="28"/>
  <c r="AP125" i="28" s="1"/>
  <c r="AJ170" i="28"/>
  <c r="AP170" i="28" s="1"/>
  <c r="AJ126" i="28"/>
  <c r="AP126" i="28" s="1"/>
  <c r="AJ174" i="28"/>
  <c r="AP174" i="28" s="1"/>
  <c r="AJ161" i="28"/>
  <c r="AP161" i="28" s="1"/>
  <c r="AJ143" i="28"/>
  <c r="AJ131" i="28"/>
  <c r="AP131" i="28" s="1"/>
  <c r="AJ124" i="28"/>
  <c r="AP124" i="28" s="1"/>
  <c r="AJ157" i="28"/>
  <c r="AJ173" i="28"/>
  <c r="AP173" i="28" s="1"/>
  <c r="AJ160" i="28"/>
  <c r="AP160" i="28" s="1"/>
  <c r="AJ139" i="28"/>
  <c r="AP139" i="28" s="1"/>
  <c r="AJ130" i="28"/>
  <c r="AP130" i="28" s="1"/>
  <c r="AJ123" i="28"/>
  <c r="AP123" i="28" s="1"/>
  <c r="AJ187" i="28"/>
  <c r="AP187" i="28" s="1"/>
  <c r="AJ172" i="28"/>
  <c r="AP172" i="28" s="1"/>
  <c r="AJ159" i="28"/>
  <c r="AP159" i="28" s="1"/>
  <c r="AJ137" i="28"/>
  <c r="AP137" i="28" s="1"/>
  <c r="AJ129" i="28"/>
  <c r="AP129" i="28" s="1"/>
  <c r="AJ122" i="28"/>
  <c r="AP122" i="28" s="1"/>
  <c r="AJ185" i="28"/>
  <c r="AP185" i="28" s="1"/>
  <c r="AJ171" i="28"/>
  <c r="AP171" i="28" s="1"/>
  <c r="AJ158" i="28"/>
  <c r="AP158" i="28" s="1"/>
  <c r="AJ136" i="28"/>
  <c r="AP136" i="28" s="1"/>
  <c r="AJ127" i="28"/>
  <c r="AP127" i="28" s="1"/>
  <c r="M179" i="73"/>
  <c r="Q179" i="73" s="1"/>
  <c r="U179" i="73" s="1"/>
  <c r="M167" i="73"/>
  <c r="M76" i="73"/>
  <c r="M77" i="73"/>
  <c r="M78" i="73"/>
  <c r="M79" i="73"/>
  <c r="M60" i="73"/>
  <c r="M61" i="73"/>
  <c r="Q61" i="73" s="1"/>
  <c r="U61" i="73" s="1"/>
  <c r="M37" i="73"/>
  <c r="M39" i="73"/>
  <c r="M20" i="73"/>
  <c r="Q20" i="73" s="1"/>
  <c r="U20" i="73" s="1"/>
  <c r="M21" i="73"/>
  <c r="M22" i="73"/>
  <c r="Q22" i="73" s="1"/>
  <c r="U22" i="73" s="1"/>
  <c r="AT469" i="28" l="1"/>
  <c r="AX469" i="28" s="1"/>
  <c r="BF469" i="28" s="1"/>
  <c r="BH469" i="28" s="1"/>
  <c r="AT455" i="28"/>
  <c r="AX455" i="28" s="1"/>
  <c r="BF455" i="28" s="1"/>
  <c r="BH455" i="28" s="1"/>
  <c r="AT470" i="28"/>
  <c r="AX470" i="28" s="1"/>
  <c r="BF470" i="28" s="1"/>
  <c r="BH470" i="28" s="1"/>
  <c r="AT361" i="28"/>
  <c r="AX361" i="28" s="1"/>
  <c r="BF361" i="28" s="1"/>
  <c r="BH361" i="28" s="1"/>
  <c r="AT375" i="28"/>
  <c r="AX375" i="28" s="1"/>
  <c r="BF375" i="28" s="1"/>
  <c r="BH375" i="28" s="1"/>
  <c r="AT363" i="28"/>
  <c r="AX363" i="28" s="1"/>
  <c r="BF363" i="28" s="1"/>
  <c r="BH363" i="28" s="1"/>
  <c r="AT364" i="28"/>
  <c r="AX364" i="28" s="1"/>
  <c r="BF364" i="28" s="1"/>
  <c r="BH364" i="28" s="1"/>
  <c r="AT378" i="28"/>
  <c r="AX378" i="28" s="1"/>
  <c r="BF378" i="28" s="1"/>
  <c r="BH378" i="28" s="1"/>
  <c r="AT379" i="28"/>
  <c r="AX379" i="28" s="1"/>
  <c r="BF379" i="28" s="1"/>
  <c r="BH379" i="28" s="1"/>
  <c r="AT367" i="28"/>
  <c r="AX367" i="28" s="1"/>
  <c r="BF367" i="28" s="1"/>
  <c r="BH367" i="28" s="1"/>
  <c r="AT221" i="28"/>
  <c r="AX221" i="28" s="1"/>
  <c r="BF221" i="28" s="1"/>
  <c r="BH221" i="28" s="1"/>
  <c r="AT381" i="28"/>
  <c r="AX381" i="28" s="1"/>
  <c r="BF381" i="28" s="1"/>
  <c r="BH381" i="28" s="1"/>
  <c r="AT370" i="28"/>
  <c r="AX370" i="28" s="1"/>
  <c r="BF370" i="28" s="1"/>
  <c r="BH370" i="28" s="1"/>
  <c r="AT371" i="28"/>
  <c r="AX371" i="28" s="1"/>
  <c r="BF371" i="28" s="1"/>
  <c r="BH371" i="28" s="1"/>
  <c r="AT353" i="28"/>
  <c r="AX353" i="28" s="1"/>
  <c r="BF353" i="28" s="1"/>
  <c r="BH353" i="28" s="1"/>
  <c r="AT354" i="28"/>
  <c r="AX354" i="28" s="1"/>
  <c r="BF354" i="28" s="1"/>
  <c r="BH354" i="28" s="1"/>
  <c r="AT374" i="28"/>
  <c r="AX374" i="28" s="1"/>
  <c r="BF374" i="28" s="1"/>
  <c r="BH374" i="28" s="1"/>
  <c r="AT315" i="28"/>
  <c r="AX315" i="28" s="1"/>
  <c r="BF315" i="28" s="1"/>
  <c r="BH315" i="28" s="1"/>
  <c r="AT362" i="28"/>
  <c r="AX362" i="28" s="1"/>
  <c r="BF362" i="28" s="1"/>
  <c r="BH362" i="28" s="1"/>
  <c r="AT382" i="28"/>
  <c r="AX382" i="28" s="1"/>
  <c r="BF382" i="28" s="1"/>
  <c r="BH382" i="28" s="1"/>
  <c r="AT377" i="28"/>
  <c r="AX377" i="28" s="1"/>
  <c r="BF377" i="28" s="1"/>
  <c r="BH377" i="28" s="1"/>
  <c r="AT365" i="28"/>
  <c r="AX365" i="28" s="1"/>
  <c r="BF365" i="28" s="1"/>
  <c r="BH365" i="28" s="1"/>
  <c r="AT366" i="28"/>
  <c r="AX366" i="28" s="1"/>
  <c r="BF366" i="28" s="1"/>
  <c r="BH366" i="28" s="1"/>
  <c r="AT380" i="28"/>
  <c r="AX380" i="28" s="1"/>
  <c r="BF380" i="28" s="1"/>
  <c r="BH380" i="28" s="1"/>
  <c r="AT368" i="28"/>
  <c r="AX368" i="28" s="1"/>
  <c r="BF368" i="28" s="1"/>
  <c r="BH368" i="28" s="1"/>
  <c r="AT222" i="28"/>
  <c r="AX222" i="28" s="1"/>
  <c r="BF222" i="28" s="1"/>
  <c r="BH222" i="28" s="1"/>
  <c r="AT383" i="28"/>
  <c r="AX383" i="28" s="1"/>
  <c r="BF383" i="28" s="1"/>
  <c r="BH383" i="28" s="1"/>
  <c r="AT372" i="28"/>
  <c r="AX372" i="28" s="1"/>
  <c r="BF372" i="28" s="1"/>
  <c r="BH372" i="28" s="1"/>
  <c r="AT373" i="28"/>
  <c r="AX373" i="28" s="1"/>
  <c r="BF373" i="28" s="1"/>
  <c r="BH373" i="28" s="1"/>
  <c r="AT127" i="28"/>
  <c r="AX127" i="28" s="1"/>
  <c r="BF127" i="28" s="1"/>
  <c r="BH127" i="28" s="1"/>
  <c r="AT185" i="28"/>
  <c r="AX185" i="28" s="1"/>
  <c r="BF185" i="28" s="1"/>
  <c r="BH185" i="28" s="1"/>
  <c r="AT159" i="28"/>
  <c r="AX159" i="28" s="1"/>
  <c r="BF159" i="28" s="1"/>
  <c r="BH159" i="28" s="1"/>
  <c r="AT130" i="28"/>
  <c r="AX130" i="28" s="1"/>
  <c r="BF130" i="28" s="1"/>
  <c r="BH130" i="28" s="1"/>
  <c r="AT161" i="28"/>
  <c r="AX161" i="28" s="1"/>
  <c r="BF161" i="28" s="1"/>
  <c r="BH161" i="28" s="1"/>
  <c r="AT125" i="28"/>
  <c r="AX125" i="28" s="1"/>
  <c r="BF125" i="28" s="1"/>
  <c r="BH125" i="28" s="1"/>
  <c r="AT186" i="28"/>
  <c r="AX186" i="28" s="1"/>
  <c r="BF186" i="28" s="1"/>
  <c r="BH186" i="28" s="1"/>
  <c r="AT136" i="28"/>
  <c r="AX136" i="28" s="1"/>
  <c r="BF136" i="28" s="1"/>
  <c r="BH136" i="28" s="1"/>
  <c r="AT122" i="28"/>
  <c r="AX122" i="28" s="1"/>
  <c r="BF122" i="28" s="1"/>
  <c r="BH122" i="28" s="1"/>
  <c r="AT172" i="28"/>
  <c r="AX172" i="28" s="1"/>
  <c r="BF172" i="28" s="1"/>
  <c r="BH172" i="28" s="1"/>
  <c r="AT139" i="28"/>
  <c r="AX139" i="28" s="1"/>
  <c r="BF139" i="28" s="1"/>
  <c r="BH139" i="28" s="1"/>
  <c r="AT124" i="28"/>
  <c r="AX124" i="28" s="1"/>
  <c r="BF124" i="28" s="1"/>
  <c r="BH124" i="28" s="1"/>
  <c r="AT174" i="28"/>
  <c r="AX174" i="28" s="1"/>
  <c r="BF174" i="28" s="1"/>
  <c r="BH174" i="28" s="1"/>
  <c r="AT133" i="28"/>
  <c r="AX133" i="28" s="1"/>
  <c r="BF133" i="28" s="1"/>
  <c r="BH133" i="28" s="1"/>
  <c r="AT134" i="28"/>
  <c r="AX134" i="28" s="1"/>
  <c r="BF134" i="28" s="1"/>
  <c r="BH134" i="28" s="1"/>
  <c r="AT158" i="28"/>
  <c r="AX158" i="28" s="1"/>
  <c r="BF158" i="28" s="1"/>
  <c r="BH158" i="28" s="1"/>
  <c r="AT129" i="28"/>
  <c r="AX129" i="28" s="1"/>
  <c r="BF129" i="28" s="1"/>
  <c r="BH129" i="28" s="1"/>
  <c r="AT187" i="28"/>
  <c r="AX187" i="28" s="1"/>
  <c r="BF187" i="28" s="1"/>
  <c r="BH187" i="28" s="1"/>
  <c r="AT160" i="28"/>
  <c r="AX160" i="28" s="1"/>
  <c r="BF160" i="28" s="1"/>
  <c r="BH160" i="28" s="1"/>
  <c r="AT131" i="28"/>
  <c r="AX131" i="28" s="1"/>
  <c r="BF131" i="28" s="1"/>
  <c r="BH131" i="28" s="1"/>
  <c r="AT126" i="28"/>
  <c r="AX126" i="28" s="1"/>
  <c r="BF126" i="28" s="1"/>
  <c r="BH126" i="28" s="1"/>
  <c r="AT147" i="28"/>
  <c r="AX147" i="28" s="1"/>
  <c r="BF147" i="28" s="1"/>
  <c r="BH147" i="28" s="1"/>
  <c r="AT171" i="28"/>
  <c r="AX171" i="28" s="1"/>
  <c r="BF171" i="28" s="1"/>
  <c r="BH171" i="28" s="1"/>
  <c r="AT137" i="28"/>
  <c r="AX137" i="28" s="1"/>
  <c r="BF137" i="28" s="1"/>
  <c r="BH137" i="28" s="1"/>
  <c r="AT123" i="28"/>
  <c r="AX123" i="28" s="1"/>
  <c r="BF123" i="28" s="1"/>
  <c r="BH123" i="28" s="1"/>
  <c r="AT173" i="28"/>
  <c r="AX173" i="28" s="1"/>
  <c r="BF173" i="28" s="1"/>
  <c r="BH173" i="28" s="1"/>
  <c r="AT170" i="28"/>
  <c r="AX170" i="28" s="1"/>
  <c r="BF170" i="28" s="1"/>
  <c r="BH170" i="28" s="1"/>
  <c r="AT169" i="28"/>
  <c r="AX169" i="28" s="1"/>
  <c r="BF169" i="28" s="1"/>
  <c r="BH169" i="28" s="1"/>
  <c r="AP343" i="28"/>
  <c r="AP346" i="28"/>
  <c r="AP340" i="28"/>
  <c r="AP349" i="28"/>
  <c r="AP325" i="28"/>
  <c r="AP337" i="28"/>
  <c r="AP344" i="28"/>
  <c r="AP345" i="28"/>
  <c r="AP341" i="28"/>
  <c r="AP324" i="28"/>
  <c r="AP350" i="28"/>
  <c r="AP352" i="28"/>
  <c r="AP338" i="28"/>
  <c r="AP157" i="28"/>
  <c r="AP143" i="28"/>
  <c r="AP468" i="28"/>
  <c r="AP397" i="28"/>
  <c r="Q79" i="73"/>
  <c r="U79" i="73" s="1"/>
  <c r="Q78" i="73"/>
  <c r="U78" i="73" s="1"/>
  <c r="Q77" i="73"/>
  <c r="U77" i="73" s="1"/>
  <c r="Q167" i="73"/>
  <c r="U167" i="73" s="1"/>
  <c r="Q76" i="73"/>
  <c r="U76" i="73" s="1"/>
  <c r="Q21" i="73"/>
  <c r="U21" i="73" s="1"/>
  <c r="Q60" i="73"/>
  <c r="U60" i="73" s="1"/>
  <c r="Q37" i="73"/>
  <c r="U37" i="73" s="1"/>
  <c r="Q39" i="73"/>
  <c r="U39" i="73" s="1"/>
  <c r="AE21" i="39"/>
  <c r="AI21" i="39" s="1"/>
  <c r="AA179" i="73"/>
  <c r="AE179" i="73" s="1"/>
  <c r="AA64" i="73"/>
  <c r="AE64" i="73" s="1"/>
  <c r="AA61" i="73"/>
  <c r="AE61" i="73" s="1"/>
  <c r="M145" i="50"/>
  <c r="M146" i="50" s="1"/>
  <c r="G41" i="59"/>
  <c r="G42" i="59"/>
  <c r="G45" i="59"/>
  <c r="G46" i="59"/>
  <c r="G47" i="59"/>
  <c r="H42" i="59"/>
  <c r="AT468" i="28" l="1"/>
  <c r="AX468" i="28" s="1"/>
  <c r="BF468" i="28" s="1"/>
  <c r="BH468" i="28" s="1"/>
  <c r="AT340" i="28"/>
  <c r="AX340" i="28" s="1"/>
  <c r="BF340" i="28" s="1"/>
  <c r="BH340" i="28" s="1"/>
  <c r="AT397" i="28"/>
  <c r="AX397" i="28" s="1"/>
  <c r="BF397" i="28" s="1"/>
  <c r="BH397" i="28" s="1"/>
  <c r="AT352" i="28"/>
  <c r="AX352" i="28" s="1"/>
  <c r="BF352" i="28" s="1"/>
  <c r="BH352" i="28" s="1"/>
  <c r="AT345" i="28"/>
  <c r="AX345" i="28" s="1"/>
  <c r="BF345" i="28" s="1"/>
  <c r="BH345" i="28" s="1"/>
  <c r="AT349" i="28"/>
  <c r="AX349" i="28" s="1"/>
  <c r="BF349" i="28" s="1"/>
  <c r="BH349" i="28" s="1"/>
  <c r="AT350" i="28"/>
  <c r="AX350" i="28" s="1"/>
  <c r="BF350" i="28" s="1"/>
  <c r="BH350" i="28" s="1"/>
  <c r="AT324" i="28"/>
  <c r="AX324" i="28" s="1"/>
  <c r="BF324" i="28" s="1"/>
  <c r="BH324" i="28" s="1"/>
  <c r="AT337" i="28"/>
  <c r="AX337" i="28" s="1"/>
  <c r="BF337" i="28" s="1"/>
  <c r="BH337" i="28" s="1"/>
  <c r="AT346" i="28"/>
  <c r="AX346" i="28" s="1"/>
  <c r="BF346" i="28" s="1"/>
  <c r="BH346" i="28" s="1"/>
  <c r="AT344" i="28"/>
  <c r="AX344" i="28" s="1"/>
  <c r="BF344" i="28" s="1"/>
  <c r="BH344" i="28" s="1"/>
  <c r="AT338" i="28"/>
  <c r="AX338" i="28" s="1"/>
  <c r="BF338" i="28" s="1"/>
  <c r="BH338" i="28" s="1"/>
  <c r="AT341" i="28"/>
  <c r="AX341" i="28" s="1"/>
  <c r="BF341" i="28" s="1"/>
  <c r="BH341" i="28" s="1"/>
  <c r="AT325" i="28"/>
  <c r="AX325" i="28" s="1"/>
  <c r="BF325" i="28" s="1"/>
  <c r="BH325" i="28" s="1"/>
  <c r="AT343" i="28"/>
  <c r="AX343" i="28" s="1"/>
  <c r="BF343" i="28" s="1"/>
  <c r="BH343" i="28" s="1"/>
  <c r="AT143" i="28"/>
  <c r="AX143" i="28" s="1"/>
  <c r="BF143" i="28" s="1"/>
  <c r="BH143" i="28" s="1"/>
  <c r="AT157" i="28"/>
  <c r="AX157" i="28" s="1"/>
  <c r="BF157" i="28" s="1"/>
  <c r="BH157" i="28" s="1"/>
  <c r="AI64" i="73"/>
  <c r="AO64" i="73" s="1"/>
  <c r="AS64" i="73" s="1"/>
  <c r="AW64" i="73" s="1"/>
  <c r="AI61" i="73"/>
  <c r="AO61" i="73" s="1"/>
  <c r="AS61" i="73" s="1"/>
  <c r="AW61" i="73" s="1"/>
  <c r="K121" i="90"/>
  <c r="AI179" i="73"/>
  <c r="AO179" i="73" s="1"/>
  <c r="AS179" i="73" s="1"/>
  <c r="AW179" i="73" s="1"/>
  <c r="G48" i="59"/>
  <c r="G43" i="59"/>
  <c r="BH59" i="59"/>
  <c r="BF59" i="59"/>
  <c r="BD59" i="59"/>
  <c r="BE179" i="73" l="1"/>
  <c r="K125" i="90"/>
  <c r="AO21" i="39"/>
  <c r="AS21" i="39" l="1"/>
  <c r="AW21" i="39" l="1"/>
  <c r="BE21" i="39" l="1"/>
  <c r="BF21" i="39" l="1"/>
  <c r="BI21" i="39"/>
  <c r="M97" i="50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98" i="28" l="1"/>
  <c r="E297" i="28"/>
  <c r="I20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7" i="10"/>
  <c r="J129" i="10"/>
  <c r="J131" i="10"/>
  <c r="J132" i="10"/>
  <c r="J133" i="10"/>
  <c r="J136" i="10"/>
  <c r="J137" i="10"/>
  <c r="J139" i="10"/>
  <c r="J140" i="10"/>
  <c r="J141" i="10"/>
  <c r="J143" i="10"/>
  <c r="J144" i="10"/>
  <c r="J145" i="10"/>
  <c r="J146" i="10"/>
  <c r="J147" i="10"/>
  <c r="J148" i="10"/>
  <c r="J149" i="10"/>
  <c r="J150" i="10"/>
  <c r="J154" i="10"/>
  <c r="J155" i="10"/>
  <c r="J156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8" i="10"/>
  <c r="I29" i="83"/>
  <c r="O29" i="83" s="1"/>
  <c r="AC29" i="83" s="1"/>
  <c r="I18" i="83"/>
  <c r="O18" i="83" s="1"/>
  <c r="AC18" i="83" s="1"/>
  <c r="J130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30" i="10"/>
  <c r="BF108" i="10"/>
  <c r="BI108" i="10" s="1"/>
  <c r="AF138" i="10"/>
  <c r="BF25" i="10"/>
  <c r="BI25" i="10" s="1"/>
  <c r="BF64" i="10"/>
  <c r="BI64" i="10" s="1"/>
  <c r="BF24" i="10"/>
  <c r="BI24" i="10" s="1"/>
  <c r="AJ30" i="10"/>
  <c r="I38" i="83"/>
  <c r="I77" i="83" s="1"/>
  <c r="I177" i="73"/>
  <c r="I167" i="73"/>
  <c r="I168" i="73"/>
  <c r="I164" i="73"/>
  <c r="I157" i="73"/>
  <c r="I95" i="73"/>
  <c r="I85" i="73"/>
  <c r="I49" i="73"/>
  <c r="I50" i="73"/>
  <c r="I33" i="73"/>
  <c r="I35" i="73"/>
  <c r="I36" i="73"/>
  <c r="I37" i="73"/>
  <c r="I39" i="73"/>
  <c r="I40" i="73"/>
  <c r="AP30" i="10" l="1"/>
  <c r="AT30" i="10" s="1"/>
  <c r="AJ138" i="10"/>
  <c r="AJ130" i="10"/>
  <c r="AX30" i="10" l="1"/>
  <c r="AP130" i="10"/>
  <c r="AP138" i="10"/>
  <c r="G128" i="90"/>
  <c r="BF30" i="10" l="1"/>
  <c r="BI30" i="10" s="1"/>
  <c r="AT138" i="10"/>
  <c r="AX138" i="10" s="1"/>
  <c r="AT130" i="10"/>
  <c r="AX130" i="10" s="1"/>
  <c r="H21" i="39"/>
  <c r="BF130" i="10" l="1"/>
  <c r="BI130" i="10" s="1"/>
  <c r="BF138" i="10"/>
  <c r="BI138" i="10" s="1"/>
  <c r="N11" i="38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7" i="50"/>
  <c r="I127" i="50"/>
  <c r="I100" i="50"/>
  <c r="I138" i="50"/>
  <c r="I128" i="50"/>
  <c r="I47" i="50"/>
  <c r="I7" i="61" l="1"/>
  <c r="I6" i="61"/>
  <c r="I5" i="61"/>
  <c r="I10" i="61"/>
  <c r="I4" i="61"/>
  <c r="I9" i="61"/>
  <c r="I8" i="61"/>
  <c r="I54" i="50"/>
  <c r="I124" i="50" s="1"/>
  <c r="I38" i="50"/>
  <c r="I46" i="50"/>
  <c r="I139" i="50"/>
  <c r="I129" i="50"/>
  <c r="I116" i="50"/>
  <c r="I140" i="50"/>
  <c r="I130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9" i="50"/>
  <c r="I123" i="50"/>
  <c r="I125" i="50" s="1"/>
  <c r="I133" i="50"/>
  <c r="I94" i="50"/>
  <c r="I120" i="50"/>
  <c r="I101" i="50"/>
  <c r="I121" i="50" l="1"/>
  <c r="I107" i="50"/>
  <c r="I109" i="50" s="1"/>
  <c r="G2" i="17"/>
  <c r="G2" i="26"/>
  <c r="F2" i="17"/>
  <c r="F2" i="26"/>
  <c r="H55" i="35"/>
  <c r="I110" i="50" l="1"/>
  <c r="I117" i="50" s="1"/>
  <c r="M12" i="59" l="1"/>
  <c r="L12" i="59"/>
  <c r="L11" i="59"/>
  <c r="I145" i="50" l="1"/>
  <c r="I146" i="50" s="1"/>
  <c r="G121" i="90" l="1"/>
  <c r="I97" i="50"/>
  <c r="I95" i="50" s="1"/>
  <c r="I80" i="83"/>
  <c r="I78" i="83" s="1"/>
  <c r="G125" i="90" l="1"/>
  <c r="E128" i="90"/>
  <c r="I128" i="90" l="1"/>
  <c r="M128" i="90"/>
  <c r="E46" i="8" l="1"/>
  <c r="H46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79" i="59"/>
  <c r="G78" i="59"/>
  <c r="G77" i="59"/>
  <c r="G76" i="59"/>
  <c r="G75" i="59"/>
  <c r="G74" i="59"/>
  <c r="G61" i="59"/>
  <c r="G60" i="59"/>
  <c r="G58" i="59"/>
  <c r="G57" i="59"/>
  <c r="G54" i="59"/>
  <c r="G53" i="59"/>
  <c r="G52" i="59"/>
  <c r="H61" i="59"/>
  <c r="H60" i="59"/>
  <c r="H52" i="59"/>
  <c r="G51" i="59"/>
  <c r="G50" i="59"/>
  <c r="G49" i="59"/>
  <c r="G44" i="59"/>
  <c r="G40" i="59"/>
  <c r="G38" i="59"/>
  <c r="G37" i="59"/>
  <c r="G36" i="59"/>
  <c r="H49" i="59"/>
  <c r="H40" i="59"/>
  <c r="H38" i="59"/>
  <c r="H37" i="59"/>
  <c r="H36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BH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BI13" i="10" s="1"/>
  <c r="AJ57" i="10"/>
  <c r="BF32" i="10"/>
  <c r="BI32" i="10" s="1"/>
  <c r="BF52" i="10"/>
  <c r="BI52" i="10" s="1"/>
  <c r="AP57" i="10" l="1"/>
  <c r="AT57" i="10" s="1"/>
  <c r="AJ199" i="10"/>
  <c r="AX57" i="10" l="1"/>
  <c r="BF57" i="10" l="1"/>
  <c r="BI57" i="10" s="1"/>
  <c r="M11" i="38"/>
  <c r="Q11" i="38"/>
  <c r="F24" i="36"/>
  <c r="AE11" i="38" l="1"/>
  <c r="AI11" i="38" s="1"/>
  <c r="AM11" i="38" s="1"/>
  <c r="U11" i="38"/>
  <c r="Y11" i="38" s="1"/>
  <c r="E17" i="17"/>
  <c r="E22" i="27"/>
  <c r="E21" i="27"/>
  <c r="AS11" i="38" l="1"/>
  <c r="AW11" i="38" s="1"/>
  <c r="BA11" i="38" s="1"/>
  <c r="BI11" i="38" l="1"/>
  <c r="G7" i="72" l="1"/>
  <c r="I107" i="90" s="1"/>
  <c r="O7" i="72"/>
  <c r="S7" i="72" l="1"/>
  <c r="U107" i="90" s="1"/>
  <c r="Q107" i="90"/>
  <c r="E48" i="39"/>
  <c r="E47" i="39"/>
  <c r="E46" i="39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BJ101" i="6" s="1"/>
  <c r="AN101" i="6"/>
  <c r="BD101" i="6" s="1"/>
  <c r="BK101" i="6" s="1"/>
  <c r="I102" i="6"/>
  <c r="J102" i="6"/>
  <c r="M102" i="6"/>
  <c r="Q102" i="6" s="1"/>
  <c r="U102" i="6" s="1"/>
  <c r="N102" i="6"/>
  <c r="R102" i="6" s="1"/>
  <c r="V102" i="6" s="1"/>
  <c r="Y102" i="6"/>
  <c r="Z102" i="6"/>
  <c r="AM102" i="6"/>
  <c r="BC102" i="6" s="1"/>
  <c r="BJ102" i="6" s="1"/>
  <c r="AN102" i="6"/>
  <c r="BD102" i="6" s="1"/>
  <c r="BK102" i="6" s="1"/>
  <c r="AA102" i="6" l="1"/>
  <c r="AE102" i="6" s="1"/>
  <c r="AI102" i="6" s="1"/>
  <c r="AO102" i="6" s="1"/>
  <c r="AS102" i="6" s="1"/>
  <c r="AA101" i="6"/>
  <c r="AE101" i="6" s="1"/>
  <c r="AI101" i="6" s="1"/>
  <c r="AO101" i="6" s="1"/>
  <c r="AS101" i="6" s="1"/>
  <c r="AB102" i="6"/>
  <c r="AF102" i="6" s="1"/>
  <c r="AJ102" i="6" s="1"/>
  <c r="AP102" i="6" s="1"/>
  <c r="AT102" i="6" s="1"/>
  <c r="AB101" i="6"/>
  <c r="AF101" i="6" s="1"/>
  <c r="AJ101" i="6" s="1"/>
  <c r="AP101" i="6" s="1"/>
  <c r="AT101" i="6" s="1"/>
  <c r="AW102" i="6" l="1"/>
  <c r="AX102" i="6"/>
  <c r="AW101" i="6"/>
  <c r="AX101" i="6"/>
  <c r="BF101" i="6" l="1"/>
  <c r="BH101" i="6" s="1"/>
  <c r="BE101" i="6"/>
  <c r="BG101" i="6" s="1"/>
  <c r="BF102" i="6"/>
  <c r="BH102" i="6" s="1"/>
  <c r="BE102" i="6"/>
  <c r="BG102" i="6" s="1"/>
  <c r="D15" i="8"/>
  <c r="D33" i="36" l="1"/>
  <c r="D58" i="36"/>
  <c r="D64" i="36"/>
  <c r="D61" i="36"/>
  <c r="D63" i="36" s="1"/>
  <c r="D59" i="36"/>
  <c r="D60" i="36" l="1"/>
  <c r="D56" i="36"/>
  <c r="D57" i="36"/>
  <c r="I17" i="7"/>
  <c r="J17" i="7"/>
  <c r="Y17" i="7" l="1"/>
  <c r="Y34" i="7" s="1"/>
  <c r="Y98" i="7" s="1"/>
  <c r="Z17" i="7"/>
  <c r="Z34" i="7" s="1"/>
  <c r="Z98" i="7" s="1"/>
  <c r="M17" i="7"/>
  <c r="Q17" i="7" s="1"/>
  <c r="U17" i="7" s="1"/>
  <c r="N17" i="7"/>
  <c r="AB17" i="7" l="1"/>
  <c r="AA17" i="7"/>
  <c r="R17" i="7"/>
  <c r="V17" i="7" l="1"/>
  <c r="AE17" i="7"/>
  <c r="AI17" i="7"/>
  <c r="AO17" i="7" s="1"/>
  <c r="AF17" i="7"/>
  <c r="AS17" i="7" l="1"/>
  <c r="AW17" i="7" s="1"/>
  <c r="AJ17" i="7"/>
  <c r="AP17" i="7" l="1"/>
  <c r="BE17" i="7"/>
  <c r="AT17" i="7"/>
  <c r="AX17" i="7" l="1"/>
  <c r="BF17" i="7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3" i="50" l="1"/>
  <c r="AE51" i="50"/>
  <c r="AE50" i="50"/>
  <c r="AE49" i="50"/>
  <c r="AE48" i="50"/>
  <c r="AE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7" i="50"/>
  <c r="Q137" i="50"/>
  <c r="AE5" i="50"/>
  <c r="AE6" i="50"/>
  <c r="AE7" i="50"/>
  <c r="AE8" i="50"/>
  <c r="AE10" i="50"/>
  <c r="AE11" i="50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5" i="10"/>
  <c r="BB127" i="10"/>
  <c r="BB129" i="10"/>
  <c r="BB130" i="10"/>
  <c r="BB131" i="10"/>
  <c r="BB132" i="10"/>
  <c r="BB133" i="10"/>
  <c r="BB134" i="10"/>
  <c r="BB136" i="10"/>
  <c r="BB137" i="10"/>
  <c r="BB138" i="10"/>
  <c r="BB139" i="10"/>
  <c r="BB140" i="10"/>
  <c r="BB141" i="10"/>
  <c r="BB142" i="10"/>
  <c r="BB143" i="10"/>
  <c r="BB144" i="10"/>
  <c r="BB146" i="10"/>
  <c r="BB147" i="10"/>
  <c r="BB148" i="10"/>
  <c r="BB149" i="10"/>
  <c r="BB154" i="10"/>
  <c r="BB155" i="10"/>
  <c r="BB156" i="10"/>
  <c r="BB157" i="10"/>
  <c r="BM157" i="10" s="1"/>
  <c r="V156" i="10"/>
  <c r="J157" i="10"/>
  <c r="AN480" i="28"/>
  <c r="BB480" i="28"/>
  <c r="BE56" i="28"/>
  <c r="BG56" i="28" s="1"/>
  <c r="BE48" i="28"/>
  <c r="BG48" i="28" s="1"/>
  <c r="F18" i="73"/>
  <c r="H18" i="73"/>
  <c r="I58" i="28" s="1"/>
  <c r="I60" i="28" s="1"/>
  <c r="J18" i="73"/>
  <c r="L18" i="73"/>
  <c r="N18" i="73"/>
  <c r="P18" i="73"/>
  <c r="R18" i="73"/>
  <c r="T18" i="73"/>
  <c r="V18" i="73"/>
  <c r="X18" i="73"/>
  <c r="Z18" i="73"/>
  <c r="AB18" i="73"/>
  <c r="AD18" i="73"/>
  <c r="AF18" i="73"/>
  <c r="AH18" i="73"/>
  <c r="AJ18" i="73"/>
  <c r="AL18" i="73"/>
  <c r="AN18" i="73"/>
  <c r="AR18" i="73"/>
  <c r="AT18" i="73"/>
  <c r="AV18" i="73"/>
  <c r="BD18" i="73"/>
  <c r="F58" i="28"/>
  <c r="J58" i="28" l="1"/>
  <c r="N58" i="28" s="1"/>
  <c r="F60" i="28"/>
  <c r="J60" i="28" s="1"/>
  <c r="N60" i="28" s="1"/>
  <c r="BD144" i="10"/>
  <c r="BK144" i="10" s="1"/>
  <c r="BM144" i="10"/>
  <c r="BD131" i="10"/>
  <c r="BK131" i="10" s="1"/>
  <c r="BM131" i="10"/>
  <c r="BD132" i="10"/>
  <c r="BK132" i="10" s="1"/>
  <c r="BM132" i="10"/>
  <c r="BD143" i="10"/>
  <c r="BK143" i="10" s="1"/>
  <c r="BM143" i="10"/>
  <c r="BD142" i="10"/>
  <c r="BK142" i="10" s="1"/>
  <c r="BM142" i="10"/>
  <c r="BD129" i="10"/>
  <c r="BK129" i="10" s="1"/>
  <c r="BM129" i="10"/>
  <c r="BD148" i="10"/>
  <c r="BK148" i="10" s="1"/>
  <c r="BM148" i="10"/>
  <c r="BD134" i="10"/>
  <c r="BK134" i="10" s="1"/>
  <c r="BM134" i="10"/>
  <c r="BD141" i="10"/>
  <c r="BK141" i="10" s="1"/>
  <c r="BM141" i="10"/>
  <c r="BD127" i="10"/>
  <c r="BK127" i="10" s="1"/>
  <c r="BM127" i="10"/>
  <c r="BD125" i="10"/>
  <c r="BK125" i="10" s="1"/>
  <c r="BM125" i="10"/>
  <c r="BD147" i="10"/>
  <c r="BK147" i="10" s="1"/>
  <c r="BM147" i="10"/>
  <c r="BD133" i="10"/>
  <c r="BK133" i="10" s="1"/>
  <c r="BM133" i="10"/>
  <c r="BD155" i="10"/>
  <c r="BK155" i="10" s="1"/>
  <c r="BM155" i="10"/>
  <c r="BD154" i="10"/>
  <c r="BK154" i="10" s="1"/>
  <c r="BM154" i="10"/>
  <c r="BD137" i="10"/>
  <c r="BK137" i="10" s="1"/>
  <c r="BM137" i="10"/>
  <c r="BD146" i="10"/>
  <c r="BK146" i="10" s="1"/>
  <c r="BM146" i="10"/>
  <c r="BD156" i="10"/>
  <c r="BK156" i="10" s="1"/>
  <c r="BM156" i="10"/>
  <c r="BD139" i="10"/>
  <c r="BK139" i="10" s="1"/>
  <c r="BM139" i="10"/>
  <c r="BD149" i="10"/>
  <c r="BK149" i="10" s="1"/>
  <c r="BM149" i="10"/>
  <c r="BD136" i="10"/>
  <c r="BK136" i="10" s="1"/>
  <c r="BM136" i="10"/>
  <c r="BD130" i="10"/>
  <c r="BK130" i="10" s="1"/>
  <c r="BM130" i="10"/>
  <c r="BD138" i="10"/>
  <c r="BK138" i="10" s="1"/>
  <c r="BM138" i="10"/>
  <c r="BD140" i="10"/>
  <c r="BK140" i="10" s="1"/>
  <c r="BM140" i="10"/>
  <c r="AE10" i="61"/>
  <c r="AO10" i="61" s="1"/>
  <c r="BE10" i="61" s="1"/>
  <c r="AE5" i="61"/>
  <c r="AO8" i="50"/>
  <c r="BE8" i="50" s="1"/>
  <c r="AO49" i="50"/>
  <c r="BE49" i="50" s="1"/>
  <c r="AE9" i="61"/>
  <c r="AO9" i="61" s="1"/>
  <c r="BE9" i="61" s="1"/>
  <c r="AE4" i="61"/>
  <c r="AO7" i="50"/>
  <c r="BE7" i="50" s="1"/>
  <c r="AO137" i="50"/>
  <c r="BE137" i="50" s="1"/>
  <c r="AO50" i="50"/>
  <c r="BE50" i="50" s="1"/>
  <c r="AE8" i="61"/>
  <c r="AO8" i="61" s="1"/>
  <c r="BE8" i="61" s="1"/>
  <c r="AO11" i="50"/>
  <c r="BE11" i="50" s="1"/>
  <c r="AO6" i="50"/>
  <c r="BE6" i="50" s="1"/>
  <c r="AO47" i="50"/>
  <c r="BE47" i="50" s="1"/>
  <c r="AO51" i="50"/>
  <c r="BE51" i="50" s="1"/>
  <c r="AE7" i="61"/>
  <c r="AO7" i="61" s="1"/>
  <c r="BE7" i="61" s="1"/>
  <c r="AO10" i="50"/>
  <c r="BE10" i="50" s="1"/>
  <c r="AO48" i="50"/>
  <c r="BE48" i="50" s="1"/>
  <c r="AO53" i="50"/>
  <c r="BE53" i="50" s="1"/>
  <c r="G7" i="6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AO18" i="50"/>
  <c r="BE18" i="50" s="1"/>
  <c r="AO17" i="50"/>
  <c r="BE17" i="50" s="1"/>
  <c r="AO5" i="50"/>
  <c r="BE5" i="50" s="1"/>
  <c r="AA5" i="50"/>
  <c r="AO16" i="50"/>
  <c r="BE16" i="50" s="1"/>
  <c r="AO12" i="50"/>
  <c r="BE12" i="50" s="1"/>
  <c r="AO15" i="50"/>
  <c r="BE15" i="50" s="1"/>
  <c r="AO5" i="61"/>
  <c r="BE5" i="61" s="1"/>
  <c r="AO13" i="50"/>
  <c r="BE13" i="50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7" i="50"/>
  <c r="K25" i="50"/>
  <c r="O7" i="50"/>
  <c r="O6" i="50"/>
  <c r="U4" i="61"/>
  <c r="Q128" i="50"/>
  <c r="AJ480" i="28"/>
  <c r="AP480" i="28" s="1"/>
  <c r="AT480" i="28" s="1"/>
  <c r="BF141" i="10"/>
  <c r="BI141" i="10" s="1"/>
  <c r="BF157" i="10"/>
  <c r="BI157" i="10" s="1"/>
  <c r="BF150" i="10"/>
  <c r="BI150" i="10" s="1"/>
  <c r="BF154" i="10"/>
  <c r="BI154" i="10" s="1"/>
  <c r="G54" i="50"/>
  <c r="BD157" i="10"/>
  <c r="BK157" i="10" s="1"/>
  <c r="V157" i="10"/>
  <c r="BF156" i="10"/>
  <c r="BI156" i="10" s="1"/>
  <c r="BF148" i="10"/>
  <c r="BI148" i="10" s="1"/>
  <c r="BF139" i="10"/>
  <c r="BI139" i="10" s="1"/>
  <c r="BF129" i="10"/>
  <c r="BI129" i="10" s="1"/>
  <c r="BF153" i="10"/>
  <c r="BI153" i="10" s="1"/>
  <c r="BF142" i="10"/>
  <c r="BI142" i="10" s="1"/>
  <c r="BF127" i="10"/>
  <c r="BI127" i="10" s="1"/>
  <c r="BF155" i="10"/>
  <c r="BI155" i="10" s="1"/>
  <c r="BF125" i="10"/>
  <c r="BI125" i="10" s="1"/>
  <c r="BF149" i="10"/>
  <c r="BI149" i="10" s="1"/>
  <c r="AE116" i="50"/>
  <c r="BD480" i="28"/>
  <c r="BK480" i="28" s="1"/>
  <c r="R60" i="28" l="1"/>
  <c r="V60" i="28" s="1"/>
  <c r="AB60" i="28"/>
  <c r="AF60" i="28" s="1"/>
  <c r="AJ60" i="28" s="1"/>
  <c r="AP60" i="28" s="1"/>
  <c r="AT60" i="28" s="1"/>
  <c r="AX60" i="28" s="1"/>
  <c r="BF60" i="28" s="1"/>
  <c r="R58" i="28"/>
  <c r="V58" i="28" s="1"/>
  <c r="AB58" i="28"/>
  <c r="AF58" i="28" s="1"/>
  <c r="AJ58" i="28" s="1"/>
  <c r="AP58" i="28" s="1"/>
  <c r="AT58" i="28" s="1"/>
  <c r="AX58" i="28" s="1"/>
  <c r="BF58" i="28" s="1"/>
  <c r="AO54" i="50"/>
  <c r="BE54" i="50"/>
  <c r="AO116" i="50"/>
  <c r="BE116" i="50" s="1"/>
  <c r="O10" i="6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80" i="28"/>
  <c r="BF480" i="28" s="1"/>
  <c r="BH480" i="28" s="1"/>
  <c r="AE16" i="61"/>
  <c r="U16" i="61"/>
  <c r="AA54" i="50"/>
  <c r="AA128" i="50"/>
  <c r="AQ31" i="50"/>
  <c r="AU31" i="50" s="1"/>
  <c r="AY31" i="50" s="1"/>
  <c r="BG31" i="50" s="1"/>
  <c r="BH31" i="50" s="1"/>
  <c r="AC48" i="50"/>
  <c r="AG48" i="50" s="1"/>
  <c r="AK48" i="50" s="1"/>
  <c r="AQ48" i="50" s="1"/>
  <c r="AU48" i="50" s="1"/>
  <c r="AY48" i="50" s="1"/>
  <c r="BG48" i="50" s="1"/>
  <c r="BH48" i="50" s="1"/>
  <c r="S48" i="50"/>
  <c r="W48" i="50" s="1"/>
  <c r="AC51" i="50"/>
  <c r="AG51" i="50" s="1"/>
  <c r="AK51" i="50" s="1"/>
  <c r="AQ51" i="50" s="1"/>
  <c r="AU51" i="50" s="1"/>
  <c r="AY51" i="50" s="1"/>
  <c r="BG51" i="50" s="1"/>
  <c r="BH51" i="50" s="1"/>
  <c r="S51" i="50"/>
  <c r="W51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BH50" i="50" s="1"/>
  <c r="K54" i="50"/>
  <c r="S11" i="50"/>
  <c r="W11" i="50" s="1"/>
  <c r="AC11" i="50"/>
  <c r="AG11" i="50" s="1"/>
  <c r="O54" i="50"/>
  <c r="AC47" i="50"/>
  <c r="S47" i="50"/>
  <c r="AQ25" i="50"/>
  <c r="AU25" i="50" s="1"/>
  <c r="AY25" i="50" s="1"/>
  <c r="BG25" i="50" s="1"/>
  <c r="BH25" i="50" s="1"/>
  <c r="AC53" i="50"/>
  <c r="AG53" i="50" s="1"/>
  <c r="AK53" i="50" s="1"/>
  <c r="AQ53" i="50" s="1"/>
  <c r="AU53" i="50" s="1"/>
  <c r="AY53" i="50" s="1"/>
  <c r="BG53" i="50" s="1"/>
  <c r="BH53" i="50" s="1"/>
  <c r="S53" i="50"/>
  <c r="W53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BH49" i="50" s="1"/>
  <c r="S19" i="50"/>
  <c r="W19" i="50" s="1"/>
  <c r="AG19" i="50"/>
  <c r="AC10" i="61" l="1"/>
  <c r="AK6" i="50"/>
  <c r="AQ6" i="50" s="1"/>
  <c r="AU6" i="50" s="1"/>
  <c r="AY6" i="50" s="1"/>
  <c r="BG6" i="50" s="1"/>
  <c r="BH6" i="50" s="1"/>
  <c r="AK10" i="50"/>
  <c r="AQ10" i="50" s="1"/>
  <c r="AU10" i="50" s="1"/>
  <c r="AY10" i="50" s="1"/>
  <c r="BG10" i="50" s="1"/>
  <c r="BH10" i="50" s="1"/>
  <c r="AK16" i="50"/>
  <c r="AQ16" i="50" s="1"/>
  <c r="AU16" i="50" s="1"/>
  <c r="AY16" i="50" s="1"/>
  <c r="BG16" i="50" s="1"/>
  <c r="BH16" i="50" s="1"/>
  <c r="AK13" i="50"/>
  <c r="AQ13" i="50" s="1"/>
  <c r="AU13" i="50" s="1"/>
  <c r="AY13" i="50" s="1"/>
  <c r="BG13" i="50" s="1"/>
  <c r="BH13" i="50" s="1"/>
  <c r="AK8" i="50"/>
  <c r="AQ8" i="50" s="1"/>
  <c r="AU8" i="50" s="1"/>
  <c r="AY8" i="50" s="1"/>
  <c r="BG8" i="50" s="1"/>
  <c r="BH8" i="50" s="1"/>
  <c r="AK11" i="50"/>
  <c r="AQ11" i="50" s="1"/>
  <c r="AU11" i="50" s="1"/>
  <c r="AY11" i="50" s="1"/>
  <c r="BG11" i="50" s="1"/>
  <c r="BH11" i="50" s="1"/>
  <c r="AK18" i="50"/>
  <c r="AQ18" i="50" s="1"/>
  <c r="AU18" i="50" s="1"/>
  <c r="AY18" i="50" s="1"/>
  <c r="BG18" i="50" s="1"/>
  <c r="BH18" i="50" s="1"/>
  <c r="AK7" i="50"/>
  <c r="AQ7" i="50" s="1"/>
  <c r="AU7" i="50" s="1"/>
  <c r="AY7" i="50" s="1"/>
  <c r="BG7" i="50" s="1"/>
  <c r="BH7" i="50" s="1"/>
  <c r="AK12" i="50"/>
  <c r="AQ12" i="50" s="1"/>
  <c r="AU12" i="50" s="1"/>
  <c r="AY12" i="50" s="1"/>
  <c r="BG12" i="50" s="1"/>
  <c r="BH12" i="50" s="1"/>
  <c r="AK17" i="50"/>
  <c r="AQ17" i="50" s="1"/>
  <c r="AU17" i="50" s="1"/>
  <c r="AY17" i="50" s="1"/>
  <c r="BG17" i="50" s="1"/>
  <c r="BH17" i="50" s="1"/>
  <c r="AK19" i="50"/>
  <c r="AQ19" i="50" s="1"/>
  <c r="AU19" i="50" s="1"/>
  <c r="AY19" i="50" s="1"/>
  <c r="BG19" i="50" s="1"/>
  <c r="BH19" i="50" s="1"/>
  <c r="AK15" i="50"/>
  <c r="AQ15" i="50" s="1"/>
  <c r="AU15" i="50" s="1"/>
  <c r="AY15" i="50" s="1"/>
  <c r="BG15" i="50" s="1"/>
  <c r="BH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7" i="50"/>
  <c r="W54" i="50" s="1"/>
  <c r="S54" i="50"/>
  <c r="AC54" i="50"/>
  <c r="AG47" i="50"/>
  <c r="AK47" i="50" l="1"/>
  <c r="AG54" i="50"/>
  <c r="AQ5" i="50" l="1"/>
  <c r="AU5" i="50" s="1"/>
  <c r="AY5" i="50" s="1"/>
  <c r="BG5" i="50" s="1"/>
  <c r="BH5" i="50" s="1"/>
  <c r="AK54" i="50"/>
  <c r="AQ47" i="50"/>
  <c r="AU47" i="50" s="1"/>
  <c r="AU54" i="50" l="1"/>
  <c r="AY47" i="50"/>
  <c r="AQ54" i="50"/>
  <c r="AY54" i="50" l="1"/>
  <c r="BG47" i="50"/>
  <c r="BG54" i="50" l="1"/>
  <c r="BH54" i="50" s="1"/>
  <c r="BH47" i="50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82" i="17" l="1"/>
  <c r="BA79" i="17"/>
  <c r="BA78" i="17"/>
  <c r="BA77" i="17"/>
  <c r="BA76" i="17"/>
  <c r="BA75" i="17"/>
  <c r="BA74" i="17"/>
  <c r="BA73" i="17"/>
  <c r="BA72" i="17"/>
  <c r="BA71" i="17"/>
  <c r="BA70" i="17"/>
  <c r="BA69" i="17"/>
  <c r="BA68" i="17"/>
  <c r="BA67" i="17"/>
  <c r="BA66" i="17"/>
  <c r="BA65" i="17"/>
  <c r="BA64" i="17"/>
  <c r="BA63" i="17"/>
  <c r="BA59" i="17"/>
  <c r="AZ59" i="17"/>
  <c r="BA31" i="17"/>
  <c r="BA28" i="17"/>
  <c r="BA18" i="17"/>
  <c r="BA16" i="17"/>
  <c r="BA12" i="17"/>
  <c r="BA10" i="17"/>
  <c r="BA8" i="17"/>
  <c r="BA3" i="17"/>
  <c r="AZ3" i="17"/>
  <c r="BA41" i="17" l="1"/>
  <c r="AZ45" i="17"/>
  <c r="AZ38" i="17"/>
  <c r="AZ43" i="17"/>
  <c r="AZ47" i="17"/>
  <c r="AZ48" i="17"/>
  <c r="AZ35" i="17"/>
  <c r="AZ36" i="17"/>
  <c r="AZ51" i="17"/>
  <c r="AZ41" i="17"/>
  <c r="AZ52" i="17"/>
  <c r="BA19" i="17"/>
  <c r="BA13" i="17"/>
  <c r="BA11" i="17"/>
  <c r="BA9" i="17"/>
  <c r="BA29" i="17"/>
  <c r="BA32" i="17" s="1"/>
  <c r="BA38" i="17"/>
  <c r="BA42" i="17"/>
  <c r="BA14" i="17"/>
  <c r="BA17" i="17"/>
  <c r="BA35" i="17"/>
  <c r="BA43" i="17"/>
  <c r="BA48" i="17"/>
  <c r="BA51" i="17"/>
  <c r="BA36" i="17"/>
  <c r="BA45" i="17"/>
  <c r="BA52" i="17"/>
  <c r="AZ42" i="17"/>
  <c r="BA47" i="17"/>
  <c r="BA49" i="17" l="1"/>
  <c r="BA44" i="17"/>
  <c r="AZ49" i="17"/>
  <c r="AZ44" i="17"/>
  <c r="BA30" i="17"/>
  <c r="AZ37" i="17"/>
  <c r="AZ39" i="17" s="1"/>
  <c r="AZ53" i="17"/>
  <c r="BA53" i="17"/>
  <c r="BA37" i="17"/>
  <c r="BA39" i="17" s="1"/>
  <c r="BA15" i="17"/>
  <c r="BA20" i="17"/>
  <c r="BA10" i="15"/>
  <c r="AM175" i="73"/>
  <c r="AM174" i="73"/>
  <c r="AM170" i="73"/>
  <c r="AM169" i="73"/>
  <c r="AM168" i="73"/>
  <c r="AM167" i="73"/>
  <c r="AM165" i="73"/>
  <c r="AM164" i="73"/>
  <c r="AM162" i="73"/>
  <c r="AM161" i="73"/>
  <c r="AM159" i="73"/>
  <c r="AM131" i="73"/>
  <c r="AM130" i="73"/>
  <c r="AM126" i="73"/>
  <c r="AM123" i="73"/>
  <c r="AM122" i="73"/>
  <c r="AM120" i="73"/>
  <c r="AM119" i="73"/>
  <c r="AM118" i="73"/>
  <c r="AM110" i="73"/>
  <c r="AM109" i="73"/>
  <c r="AM106" i="73"/>
  <c r="AM104" i="73"/>
  <c r="AM103" i="73"/>
  <c r="AM102" i="73"/>
  <c r="AM100" i="73"/>
  <c r="AM112" i="73"/>
  <c r="AM99" i="73"/>
  <c r="AM98" i="73"/>
  <c r="AM96" i="73"/>
  <c r="AM95" i="73"/>
  <c r="AM94" i="73"/>
  <c r="AM93" i="73"/>
  <c r="AM92" i="73"/>
  <c r="AM91" i="73"/>
  <c r="AM90" i="73"/>
  <c r="AM89" i="73"/>
  <c r="BC89" i="73" s="1"/>
  <c r="AM85" i="73"/>
  <c r="AM83" i="73"/>
  <c r="AM82" i="73"/>
  <c r="AM80" i="73"/>
  <c r="AM79" i="73"/>
  <c r="AM78" i="73"/>
  <c r="AM77" i="73"/>
  <c r="AM76" i="73"/>
  <c r="AM75" i="73"/>
  <c r="AM74" i="73"/>
  <c r="AM58" i="73"/>
  <c r="AM56" i="73"/>
  <c r="AM55" i="73"/>
  <c r="AM54" i="73"/>
  <c r="AM52" i="73"/>
  <c r="AM50" i="73"/>
  <c r="AM49" i="73"/>
  <c r="AM48" i="73"/>
  <c r="AM47" i="73"/>
  <c r="AM45" i="73"/>
  <c r="AM44" i="73"/>
  <c r="AM43" i="73"/>
  <c r="AM42" i="73"/>
  <c r="AM40" i="73"/>
  <c r="AM39" i="73"/>
  <c r="AM37" i="73"/>
  <c r="AM36" i="73"/>
  <c r="AM35" i="73"/>
  <c r="AM33" i="73"/>
  <c r="AM32" i="73"/>
  <c r="AM31" i="73"/>
  <c r="AM29" i="73"/>
  <c r="AM28" i="73"/>
  <c r="AM27" i="73"/>
  <c r="AM26" i="73"/>
  <c r="AM21" i="73"/>
  <c r="AM20" i="73"/>
  <c r="AM19" i="73"/>
  <c r="AM17" i="73"/>
  <c r="AM14" i="73"/>
  <c r="AM10" i="73"/>
  <c r="AM9" i="73"/>
  <c r="AM7" i="73"/>
  <c r="Y7" i="73"/>
  <c r="Y9" i="73"/>
  <c r="Y10" i="73"/>
  <c r="Y14" i="73"/>
  <c r="Y17" i="73"/>
  <c r="Y19" i="73"/>
  <c r="Y20" i="73"/>
  <c r="Y21" i="73"/>
  <c r="Y26" i="73"/>
  <c r="Y27" i="73"/>
  <c r="Y28" i="73"/>
  <c r="Y29" i="73"/>
  <c r="Y31" i="73"/>
  <c r="Y32" i="73"/>
  <c r="Y33" i="73"/>
  <c r="Y35" i="73"/>
  <c r="Y36" i="73"/>
  <c r="Y37" i="73"/>
  <c r="AA37" i="73" s="1"/>
  <c r="Y39" i="73"/>
  <c r="Y40" i="73"/>
  <c r="Y42" i="73"/>
  <c r="Y43" i="73"/>
  <c r="Y44" i="73"/>
  <c r="Y45" i="73"/>
  <c r="Y47" i="73"/>
  <c r="Y48" i="73"/>
  <c r="Y49" i="73"/>
  <c r="Y50" i="73"/>
  <c r="Y52" i="73"/>
  <c r="Y54" i="73"/>
  <c r="Y55" i="73"/>
  <c r="Y56" i="73"/>
  <c r="Y58" i="73"/>
  <c r="Y59" i="73"/>
  <c r="Y60" i="73"/>
  <c r="AA65" i="73"/>
  <c r="AE65" i="73" s="1"/>
  <c r="Y66" i="73"/>
  <c r="Y67" i="73"/>
  <c r="Y68" i="73"/>
  <c r="Y70" i="73"/>
  <c r="Y74" i="73"/>
  <c r="Y75" i="73"/>
  <c r="Y76" i="73"/>
  <c r="Y77" i="73"/>
  <c r="Y78" i="73"/>
  <c r="AA78" i="73" s="1"/>
  <c r="AE78" i="73" s="1"/>
  <c r="Y79" i="73"/>
  <c r="AA79" i="73" s="1"/>
  <c r="AE79" i="73" s="1"/>
  <c r="Y80" i="73"/>
  <c r="Y82" i="73"/>
  <c r="Y83" i="73"/>
  <c r="Y85" i="73"/>
  <c r="Y89" i="73"/>
  <c r="Y90" i="73"/>
  <c r="Y91" i="73"/>
  <c r="Y92" i="73"/>
  <c r="Y93" i="73"/>
  <c r="Y94" i="73"/>
  <c r="Y95" i="73"/>
  <c r="Y96" i="73"/>
  <c r="Y98" i="73"/>
  <c r="Y99" i="73"/>
  <c r="Y112" i="73"/>
  <c r="Y100" i="73"/>
  <c r="Y102" i="73"/>
  <c r="Y103" i="73"/>
  <c r="Y104" i="73"/>
  <c r="Y106" i="73"/>
  <c r="Y109" i="73"/>
  <c r="Y110" i="73"/>
  <c r="Y118" i="73"/>
  <c r="Y119" i="73"/>
  <c r="Y120" i="73"/>
  <c r="Y122" i="73"/>
  <c r="Y123" i="73"/>
  <c r="Y157" i="73"/>
  <c r="Y159" i="73"/>
  <c r="Y161" i="73"/>
  <c r="Y162" i="73"/>
  <c r="Y164" i="73"/>
  <c r="Y165" i="73"/>
  <c r="Y167" i="73"/>
  <c r="AA167" i="73" s="1"/>
  <c r="AE167" i="73" s="1"/>
  <c r="AI167" i="73" s="1"/>
  <c r="AO167" i="73" s="1"/>
  <c r="AS167" i="73" s="1"/>
  <c r="Y168" i="73"/>
  <c r="Y169" i="73"/>
  <c r="Y170" i="73"/>
  <c r="Y174" i="73"/>
  <c r="Y175" i="73"/>
  <c r="G143" i="50"/>
  <c r="BD171" i="73"/>
  <c r="BD129" i="73"/>
  <c r="BD125" i="73"/>
  <c r="BD121" i="73"/>
  <c r="BD101" i="73"/>
  <c r="BD113" i="73" s="1"/>
  <c r="AW167" i="73" l="1"/>
  <c r="BD132" i="73"/>
  <c r="AZ85" i="17"/>
  <c r="BA85" i="17"/>
  <c r="AI79" i="73"/>
  <c r="AO79" i="73" s="1"/>
  <c r="AS79" i="73" s="1"/>
  <c r="AW79" i="73" s="1"/>
  <c r="AI65" i="73"/>
  <c r="AO65" i="73" s="1"/>
  <c r="AS65" i="73" s="1"/>
  <c r="AW65" i="73" s="1"/>
  <c r="AI78" i="73"/>
  <c r="AO78" i="73" s="1"/>
  <c r="AS78" i="73" s="1"/>
  <c r="AW78" i="73" s="1"/>
  <c r="E119" i="90"/>
  <c r="BE119" i="90" s="1"/>
  <c r="BC167" i="73"/>
  <c r="Y16" i="73"/>
  <c r="Y119" i="90" s="1"/>
  <c r="Q145" i="50"/>
  <c r="AA145" i="50" s="1"/>
  <c r="AM16" i="73"/>
  <c r="AM119" i="90" s="1"/>
  <c r="BC119" i="90" s="1"/>
  <c r="AE145" i="50"/>
  <c r="AA20" i="73"/>
  <c r="AE20" i="73" s="1"/>
  <c r="Y18" i="73"/>
  <c r="AM18" i="73"/>
  <c r="BC20" i="73"/>
  <c r="BA21" i="17"/>
  <c r="AO145" i="50" l="1"/>
  <c r="BE145" i="50" s="1"/>
  <c r="BE167" i="73"/>
  <c r="AI20" i="73"/>
  <c r="AO20" i="73" s="1"/>
  <c r="E121" i="90"/>
  <c r="BE121" i="90" s="1"/>
  <c r="K143" i="50"/>
  <c r="O143" i="50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C97" i="26"/>
  <c r="BB97" i="26"/>
  <c r="BB89" i="26"/>
  <c r="BB87" i="26"/>
  <c r="BB85" i="26"/>
  <c r="BB70" i="26"/>
  <c r="BB68" i="26"/>
  <c r="BB66" i="26"/>
  <c r="BB64" i="26"/>
  <c r="BB62" i="26"/>
  <c r="BB60" i="26"/>
  <c r="BB58" i="26"/>
  <c r="BC51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5" i="90" l="1"/>
  <c r="BE125" i="90" s="1"/>
  <c r="AI121" i="90"/>
  <c r="M121" i="90"/>
  <c r="AA121" i="90"/>
  <c r="I121" i="90"/>
  <c r="AE121" i="90"/>
  <c r="Q121" i="90"/>
  <c r="AO121" i="90"/>
  <c r="U121" i="90"/>
  <c r="AC143" i="50"/>
  <c r="AG143" i="50" s="1"/>
  <c r="AK143" i="50" s="1"/>
  <c r="AQ143" i="50" s="1"/>
  <c r="AU143" i="50" s="1"/>
  <c r="AY143" i="50" s="1"/>
  <c r="BG143" i="50" s="1"/>
  <c r="BH143" i="50" s="1"/>
  <c r="S143" i="50"/>
  <c r="W143" i="50" s="1"/>
  <c r="BA110" i="26"/>
  <c r="BA108" i="26"/>
  <c r="BA106" i="26"/>
  <c r="BA104" i="26"/>
  <c r="BA102" i="26"/>
  <c r="BA100" i="26"/>
  <c r="BA98" i="26"/>
  <c r="BA96" i="26"/>
  <c r="BA91" i="26"/>
  <c r="BA89" i="26"/>
  <c r="BA87" i="26"/>
  <c r="BA85" i="26"/>
  <c r="BA83" i="26"/>
  <c r="BA78" i="26"/>
  <c r="BA76" i="26"/>
  <c r="BA75" i="26" s="1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8" i="26"/>
  <c r="BA57" i="26"/>
  <c r="BA52" i="26"/>
  <c r="AZ51" i="26"/>
  <c r="BA50" i="26"/>
  <c r="BA46" i="26"/>
  <c r="BA48" i="26" s="1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BB77" i="11" l="1"/>
  <c r="BB143" i="45"/>
  <c r="BA77" i="11"/>
  <c r="BA176" i="10"/>
  <c r="BB176" i="10"/>
  <c r="BC143" i="45"/>
  <c r="AS121" i="90"/>
  <c r="BA49" i="26"/>
  <c r="BA56" i="17"/>
  <c r="BA57" i="17"/>
  <c r="BA55" i="17"/>
  <c r="BA54" i="17"/>
  <c r="BA112" i="26"/>
  <c r="BA92" i="26"/>
  <c r="BA80" i="26"/>
  <c r="BA81" i="26"/>
  <c r="BA73" i="26"/>
  <c r="BA43" i="26"/>
  <c r="BA12" i="26"/>
  <c r="BA13" i="26" s="1"/>
  <c r="BA54" i="26"/>
  <c r="AW121" i="90" l="1"/>
  <c r="BA18" i="26"/>
  <c r="BA19" i="26"/>
  <c r="G137" i="50"/>
  <c r="K137" i="50" l="1"/>
  <c r="O137" i="50"/>
  <c r="AE138" i="50"/>
  <c r="AO138" i="50" s="1"/>
  <c r="AO139" i="50" l="1"/>
  <c r="BE138" i="50"/>
  <c r="BE139" i="50" s="1"/>
  <c r="S137" i="50"/>
  <c r="W137" i="50" s="1"/>
  <c r="AC137" i="50"/>
  <c r="AG137" i="50" s="1"/>
  <c r="AK137" i="50" s="1"/>
  <c r="AQ137" i="50" s="1"/>
  <c r="AU137" i="50" s="1"/>
  <c r="AY137" i="50" s="1"/>
  <c r="BG137" i="50" s="1"/>
  <c r="BH137" i="50" s="1"/>
  <c r="AE139" i="50"/>
  <c r="AE140" i="50"/>
  <c r="AO140" i="50" s="1"/>
  <c r="BE140" i="50" s="1"/>
  <c r="Q138" i="50"/>
  <c r="AA138" i="50" s="1"/>
  <c r="BC525" i="28"/>
  <c r="BJ525" i="28" s="1"/>
  <c r="BA525" i="28"/>
  <c r="BC524" i="28"/>
  <c r="BJ524" i="28" s="1"/>
  <c r="BA524" i="28"/>
  <c r="BB491" i="28"/>
  <c r="BB490" i="28"/>
  <c r="BB489" i="28"/>
  <c r="BB488" i="28"/>
  <c r="BB487" i="28"/>
  <c r="BB486" i="28"/>
  <c r="BB485" i="28"/>
  <c r="BB483" i="28"/>
  <c r="BB482" i="28"/>
  <c r="BB479" i="28"/>
  <c r="BB476" i="28"/>
  <c r="BB472" i="28"/>
  <c r="BB441" i="28"/>
  <c r="BB307" i="28"/>
  <c r="BB303" i="28"/>
  <c r="BB302" i="28"/>
  <c r="BB301" i="28"/>
  <c r="BB263" i="28"/>
  <c r="BB260" i="28"/>
  <c r="BB259" i="28"/>
  <c r="BB255" i="28"/>
  <c r="BB239" i="28"/>
  <c r="BB100" i="28"/>
  <c r="BA97" i="28"/>
  <c r="BA96" i="28"/>
  <c r="BA93" i="28"/>
  <c r="BB92" i="28"/>
  <c r="BA92" i="28"/>
  <c r="BB91" i="28"/>
  <c r="BA89" i="28"/>
  <c r="BB88" i="28"/>
  <c r="BA88" i="28"/>
  <c r="BB87" i="28"/>
  <c r="BA85" i="28"/>
  <c r="BB84" i="28"/>
  <c r="BA84" i="28"/>
  <c r="BB83" i="28"/>
  <c r="BA81" i="28"/>
  <c r="BB80" i="28"/>
  <c r="BA80" i="28"/>
  <c r="BB79" i="28"/>
  <c r="BA64" i="28"/>
  <c r="BA36" i="28"/>
  <c r="BA35" i="28"/>
  <c r="BA33" i="28"/>
  <c r="BA28" i="28"/>
  <c r="BA27" i="28"/>
  <c r="BA25" i="28"/>
  <c r="BA20" i="28"/>
  <c r="BA19" i="28"/>
  <c r="BA17" i="28"/>
  <c r="BA304" i="28" s="1"/>
  <c r="BA16" i="28"/>
  <c r="BA12" i="28"/>
  <c r="BA11" i="28"/>
  <c r="BA9" i="28"/>
  <c r="BB7" i="28"/>
  <c r="AE146" i="50" l="1"/>
  <c r="AO146" i="50" s="1"/>
  <c r="Q139" i="50"/>
  <c r="Q140" i="50"/>
  <c r="AA140" i="50" s="1"/>
  <c r="Q146" i="50" l="1"/>
  <c r="AA146" i="50" s="1"/>
  <c r="AY7" i="72" l="1"/>
  <c r="AW46" i="72"/>
  <c r="AW38" i="72"/>
  <c r="AW18" i="72"/>
  <c r="AW49" i="72" l="1"/>
  <c r="AW51" i="72"/>
  <c r="AM73" i="90"/>
  <c r="BC73" i="90" s="1"/>
  <c r="AM72" i="90"/>
  <c r="BC72" i="90" s="1"/>
  <c r="AA73" i="90" l="1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C153" i="45" l="1"/>
  <c r="BC152" i="45"/>
  <c r="BC157" i="45" s="1"/>
  <c r="BC148" i="45"/>
  <c r="BC147" i="45"/>
  <c r="BC136" i="45"/>
  <c r="BB136" i="45"/>
  <c r="BC134" i="45"/>
  <c r="BB134" i="45"/>
  <c r="BC8" i="45"/>
  <c r="BC7" i="45"/>
  <c r="BC138" i="45" s="1"/>
  <c r="BB7" i="45"/>
  <c r="BC2" i="45"/>
  <c r="BB2" i="45"/>
  <c r="BB45" i="11"/>
  <c r="BB46" i="11"/>
  <c r="BB47" i="11"/>
  <c r="BB48" i="11"/>
  <c r="BB49" i="11"/>
  <c r="BB50" i="11"/>
  <c r="BB51" i="11"/>
  <c r="BB52" i="11"/>
  <c r="BB86" i="11"/>
  <c r="BB82" i="11"/>
  <c r="BB81" i="11"/>
  <c r="BB70" i="11"/>
  <c r="BA70" i="11"/>
  <c r="BB68" i="11"/>
  <c r="BA68" i="11"/>
  <c r="BB44" i="11"/>
  <c r="BB7" i="11"/>
  <c r="BB5" i="11"/>
  <c r="BB72" i="11" s="1"/>
  <c r="BA5" i="11"/>
  <c r="BB2" i="11"/>
  <c r="BA2" i="11"/>
  <c r="BB185" i="10"/>
  <c r="BB181" i="10"/>
  <c r="BM181" i="10" s="1"/>
  <c r="BB180" i="10"/>
  <c r="BM180" i="10" s="1"/>
  <c r="BB169" i="10"/>
  <c r="BM169" i="10" s="1"/>
  <c r="BA169" i="10"/>
  <c r="BL169" i="10" s="1"/>
  <c r="BB167" i="10"/>
  <c r="BM167" i="10" s="1"/>
  <c r="BA167" i="10"/>
  <c r="BL167" i="10" s="1"/>
  <c r="BB7" i="10"/>
  <c r="BM7" i="10" s="1"/>
  <c r="BB5" i="10"/>
  <c r="BA5" i="10"/>
  <c r="BL5" i="10" s="1"/>
  <c r="BB2" i="10"/>
  <c r="BA2" i="10"/>
  <c r="BB190" i="10" l="1"/>
  <c r="BM190" i="10" s="1"/>
  <c r="BM185" i="10"/>
  <c r="BB188" i="10"/>
  <c r="BM188" i="10" s="1"/>
  <c r="BM5" i="10"/>
  <c r="BC171" i="45"/>
  <c r="BC177" i="45" s="1"/>
  <c r="BC121" i="45"/>
  <c r="BC159" i="45" s="1"/>
  <c r="BB171" i="10"/>
  <c r="BB135" i="45"/>
  <c r="BD72" i="59" s="1"/>
  <c r="BA71" i="11"/>
  <c r="BA69" i="11"/>
  <c r="BD68" i="59" s="1"/>
  <c r="BA170" i="10"/>
  <c r="BB83" i="11"/>
  <c r="BB90" i="11" s="1"/>
  <c r="BB71" i="11"/>
  <c r="BB182" i="10"/>
  <c r="BC122" i="45"/>
  <c r="BB137" i="45"/>
  <c r="BC149" i="45"/>
  <c r="BC137" i="45"/>
  <c r="BC123" i="45"/>
  <c r="BC155" i="45"/>
  <c r="BC135" i="45"/>
  <c r="BE72" i="59" s="1"/>
  <c r="BB55" i="11"/>
  <c r="BB92" i="11" s="1"/>
  <c r="BB56" i="11"/>
  <c r="BB69" i="11"/>
  <c r="BE68" i="59" s="1"/>
  <c r="BB89" i="11"/>
  <c r="BB57" i="11"/>
  <c r="BB59" i="11"/>
  <c r="BB91" i="11"/>
  <c r="BB168" i="10"/>
  <c r="BE64" i="59" s="1"/>
  <c r="BB170" i="10"/>
  <c r="BA168" i="10"/>
  <c r="BD64" i="59" s="1"/>
  <c r="BB58" i="11" l="1"/>
  <c r="BB183" i="10"/>
  <c r="BM183" i="10" s="1"/>
  <c r="BM182" i="10"/>
  <c r="W123" i="45"/>
  <c r="BB84" i="11"/>
  <c r="BB189" i="10"/>
  <c r="BM189" i="10" s="1"/>
  <c r="BC145" i="45"/>
  <c r="BE73" i="59" s="1"/>
  <c r="BB22" i="36"/>
  <c r="BC124" i="45"/>
  <c r="BB79" i="11"/>
  <c r="BE69" i="59" s="1"/>
  <c r="BC125" i="45"/>
  <c r="BC126" i="45" s="1"/>
  <c r="BC150" i="45"/>
  <c r="BC156" i="45"/>
  <c r="BC151" i="45"/>
  <c r="BC160" i="45"/>
  <c r="BC161" i="45" s="1"/>
  <c r="BB60" i="11"/>
  <c r="BB93" i="11"/>
  <c r="BB94" i="11" s="1"/>
  <c r="BB85" i="11"/>
  <c r="AZ1" i="35"/>
  <c r="BE67" i="59" l="1"/>
  <c r="AZ21" i="35"/>
  <c r="AZ26" i="9" s="1"/>
  <c r="W151" i="45"/>
  <c r="W160" i="45"/>
  <c r="BB23" i="36"/>
  <c r="BE71" i="59"/>
  <c r="BE52" i="38" l="1"/>
  <c r="BF46" i="38"/>
  <c r="BF45" i="38"/>
  <c r="BF44" i="38"/>
  <c r="BF43" i="38"/>
  <c r="BF41" i="38"/>
  <c r="BF38" i="38"/>
  <c r="BF37" i="38"/>
  <c r="BF36" i="38"/>
  <c r="BF35" i="38"/>
  <c r="BB163" i="6" s="1"/>
  <c r="BF32" i="38"/>
  <c r="BF31" i="38"/>
  <c r="BF30" i="38"/>
  <c r="BF29" i="38"/>
  <c r="BF28" i="38"/>
  <c r="BF27" i="38"/>
  <c r="BF26" i="38"/>
  <c r="BF25" i="38"/>
  <c r="BF24" i="38"/>
  <c r="BF23" i="38"/>
  <c r="BB99" i="9" s="1"/>
  <c r="BF22" i="38"/>
  <c r="BB90" i="8" s="1"/>
  <c r="BF21" i="38"/>
  <c r="BF20" i="38"/>
  <c r="BF19" i="38"/>
  <c r="BF14" i="38"/>
  <c r="BF13" i="38"/>
  <c r="BF11" i="38"/>
  <c r="BF10" i="38"/>
  <c r="BF9" i="38"/>
  <c r="BF8" i="38"/>
  <c r="BF7" i="38"/>
  <c r="BF3" i="38"/>
  <c r="BF51" i="38" s="1"/>
  <c r="BE3" i="38"/>
  <c r="BE59" i="38" s="1"/>
  <c r="BI52" i="38"/>
  <c r="BF55" i="38" l="1"/>
  <c r="BF61" i="38"/>
  <c r="BF79" i="38"/>
  <c r="BF85" i="38"/>
  <c r="BF72" i="38"/>
  <c r="BF86" i="38"/>
  <c r="BF67" i="38"/>
  <c r="BB189" i="6"/>
  <c r="BF73" i="38"/>
  <c r="BF89" i="38"/>
  <c r="BF94" i="38"/>
  <c r="BF78" i="38"/>
  <c r="BF59" i="38"/>
  <c r="BF91" i="38"/>
  <c r="BF69" i="38"/>
  <c r="BF75" i="38"/>
  <c r="BF83" i="38"/>
  <c r="BF92" i="38"/>
  <c r="BF70" i="38"/>
  <c r="BF76" i="38"/>
  <c r="BF58" i="38"/>
  <c r="BF80" i="38"/>
  <c r="BF68" i="38"/>
  <c r="BF77" i="38"/>
  <c r="BE51" i="38"/>
  <c r="BF74" i="38"/>
  <c r="BF84" i="38"/>
  <c r="BF93" i="38"/>
  <c r="BF62" i="38"/>
  <c r="BF71" i="38"/>
  <c r="BF57" i="38"/>
  <c r="BF56" i="38"/>
  <c r="BE72" i="36" l="1"/>
  <c r="BE71" i="36"/>
  <c r="BC72" i="36"/>
  <c r="BC71" i="36"/>
  <c r="BA72" i="36"/>
  <c r="BA71" i="36"/>
  <c r="BF37" i="36"/>
  <c r="BC37" i="36"/>
  <c r="BD37" i="36"/>
  <c r="BC195" i="6"/>
  <c r="BA195" i="6"/>
  <c r="BC194" i="6"/>
  <c r="BC193" i="6"/>
  <c r="BA193" i="6"/>
  <c r="BC186" i="6"/>
  <c r="BA186" i="6"/>
  <c r="BC185" i="6"/>
  <c r="BA185" i="6"/>
  <c r="BC182" i="6"/>
  <c r="BA182" i="6"/>
  <c r="BC181" i="6"/>
  <c r="BA181" i="6"/>
  <c r="BC180" i="6"/>
  <c r="BA180" i="6"/>
  <c r="BC179" i="6"/>
  <c r="BA179" i="6"/>
  <c r="BC178" i="6"/>
  <c r="BA178" i="6"/>
  <c r="BC177" i="6"/>
  <c r="BA177" i="6"/>
  <c r="BC175" i="6"/>
  <c r="BA175" i="6"/>
  <c r="BC174" i="6"/>
  <c r="BA174" i="6"/>
  <c r="BC173" i="6"/>
  <c r="BA173" i="6"/>
  <c r="BC161" i="6"/>
  <c r="BA161" i="6"/>
  <c r="BC160" i="6"/>
  <c r="BA160" i="6"/>
  <c r="BC157" i="6"/>
  <c r="BA157" i="6"/>
  <c r="BC156" i="6"/>
  <c r="BA156" i="6"/>
  <c r="BC155" i="6"/>
  <c r="BA155" i="6"/>
  <c r="BC154" i="6"/>
  <c r="BA154" i="6"/>
  <c r="BC153" i="6"/>
  <c r="BA153" i="6"/>
  <c r="BC152" i="6"/>
  <c r="BA152" i="6"/>
  <c r="BC150" i="6"/>
  <c r="BA150" i="6"/>
  <c r="BC149" i="6"/>
  <c r="BA149" i="6"/>
  <c r="BC148" i="6"/>
  <c r="BA148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3" i="6" s="1"/>
  <c r="BB2" i="6"/>
  <c r="BA2" i="6"/>
  <c r="BA13" i="6" s="1"/>
  <c r="BA218" i="6" s="1"/>
  <c r="BE195" i="6"/>
  <c r="BE194" i="6"/>
  <c r="BE193" i="6"/>
  <c r="BE186" i="6"/>
  <c r="BE185" i="6"/>
  <c r="BE182" i="6"/>
  <c r="BE181" i="6"/>
  <c r="BE180" i="6"/>
  <c r="BE179" i="6"/>
  <c r="BE178" i="6"/>
  <c r="BE177" i="6"/>
  <c r="BE175" i="6"/>
  <c r="BE174" i="6"/>
  <c r="BE173" i="6"/>
  <c r="BE161" i="6"/>
  <c r="BE160" i="6"/>
  <c r="BE157" i="6"/>
  <c r="BE156" i="6"/>
  <c r="BE155" i="6"/>
  <c r="BE154" i="6"/>
  <c r="BE153" i="6"/>
  <c r="BE152" i="6"/>
  <c r="BE150" i="6"/>
  <c r="BE149" i="6"/>
  <c r="BE148" i="6"/>
  <c r="BE85" i="6"/>
  <c r="BE83" i="6"/>
  <c r="BE82" i="6"/>
  <c r="BE80" i="6"/>
  <c r="BE79" i="6"/>
  <c r="BE40" i="6"/>
  <c r="BE39" i="6"/>
  <c r="BE38" i="6"/>
  <c r="BE37" i="6"/>
  <c r="BB155" i="6" l="1"/>
  <c r="BE18" i="59" s="1"/>
  <c r="BB154" i="6"/>
  <c r="BE17" i="59" s="1"/>
  <c r="BB157" i="6"/>
  <c r="BE20" i="59" s="1"/>
  <c r="BB152" i="6"/>
  <c r="BB156" i="6"/>
  <c r="BE19" i="59" s="1"/>
  <c r="BB182" i="6"/>
  <c r="BE27" i="59" s="1"/>
  <c r="BB178" i="6"/>
  <c r="BB181" i="6"/>
  <c r="BE26" i="59" s="1"/>
  <c r="BB180" i="6"/>
  <c r="BE25" i="59" s="1"/>
  <c r="BB177" i="6"/>
  <c r="BB179" i="6"/>
  <c r="BE24" i="59" s="1"/>
  <c r="BA12" i="6"/>
  <c r="BA217" i="6" s="1"/>
  <c r="BE41" i="6"/>
  <c r="BC41" i="6"/>
  <c r="BB188" i="6"/>
  <c r="BB187" i="6"/>
  <c r="BB162" i="6"/>
  <c r="BB54" i="6"/>
  <c r="BB45" i="6"/>
  <c r="BA69" i="6"/>
  <c r="BA66" i="6"/>
  <c r="BB51" i="6"/>
  <c r="BB48" i="6"/>
  <c r="BB32" i="6"/>
  <c r="BB12" i="6"/>
  <c r="BB217" i="6" s="1"/>
  <c r="BB13" i="6"/>
  <c r="BB218" i="6" s="1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62" i="36" l="1"/>
  <c r="BB194" i="6"/>
  <c r="CP62" i="71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85" i="7"/>
  <c r="BA85" i="7"/>
  <c r="BB74" i="7"/>
  <c r="BA74" i="7"/>
  <c r="BB72" i="7"/>
  <c r="BA72" i="7"/>
  <c r="BB68" i="7"/>
  <c r="BB66" i="7"/>
  <c r="BA66" i="7"/>
  <c r="BB65" i="7"/>
  <c r="BA65" i="7"/>
  <c r="BB50" i="7"/>
  <c r="BB62" i="7" s="1"/>
  <c r="BA50" i="7"/>
  <c r="BA62" i="7" s="1"/>
  <c r="BB48" i="7"/>
  <c r="BB60" i="7" s="1"/>
  <c r="BA48" i="7"/>
  <c r="BA60" i="7" s="1"/>
  <c r="BB47" i="7"/>
  <c r="BB59" i="7" s="1"/>
  <c r="BA47" i="7"/>
  <c r="BA59" i="7" s="1"/>
  <c r="BB46" i="7"/>
  <c r="BB58" i="7" s="1"/>
  <c r="BA46" i="7"/>
  <c r="BA58" i="7" s="1"/>
  <c r="BB45" i="7"/>
  <c r="BA45" i="7"/>
  <c r="BB44" i="7"/>
  <c r="BB56" i="7" s="1"/>
  <c r="BB102" i="7" s="1"/>
  <c r="BA44" i="7"/>
  <c r="BA56" i="7" s="1"/>
  <c r="BA102" i="7" s="1"/>
  <c r="BB43" i="7"/>
  <c r="BB55" i="7" s="1"/>
  <c r="BB89" i="7" s="1"/>
  <c r="BA43" i="7"/>
  <c r="BA55" i="7" s="1"/>
  <c r="BA89" i="7" s="1"/>
  <c r="BB42" i="7"/>
  <c r="BB54" i="7" s="1"/>
  <c r="BB88" i="7" s="1"/>
  <c r="BA42" i="7"/>
  <c r="BA54" i="7" s="1"/>
  <c r="BA88" i="7" s="1"/>
  <c r="BB2" i="7"/>
  <c r="BA2" i="7"/>
  <c r="BE113" i="7"/>
  <c r="BE112" i="7"/>
  <c r="BE111" i="7"/>
  <c r="BE110" i="7"/>
  <c r="BE109" i="7"/>
  <c r="BE108" i="7"/>
  <c r="BE107" i="7"/>
  <c r="BE106" i="7"/>
  <c r="BE85" i="7"/>
  <c r="AZ1" i="7"/>
  <c r="AZ80" i="7" s="1"/>
  <c r="AY1" i="7"/>
  <c r="AY80" i="7" s="1"/>
  <c r="BA161" i="7" l="1"/>
  <c r="BA57" i="7"/>
  <c r="BA90" i="7" s="1"/>
  <c r="BD32" i="59" s="1"/>
  <c r="BB161" i="7"/>
  <c r="BB57" i="7"/>
  <c r="BB90" i="7" s="1"/>
  <c r="BE32" i="59" s="1"/>
  <c r="BA67" i="7"/>
  <c r="BB37" i="9"/>
  <c r="BB75" i="7"/>
  <c r="BB67" i="7"/>
  <c r="BB168" i="6"/>
  <c r="BB169" i="6"/>
  <c r="BB171" i="6"/>
  <c r="BA75" i="7"/>
  <c r="BA81" i="7" l="1"/>
  <c r="BD28" i="59" s="1"/>
  <c r="BE22" i="59"/>
  <c r="BB76" i="7"/>
  <c r="BA76" i="7"/>
  <c r="BB78" i="7"/>
  <c r="BA78" i="7"/>
  <c r="BE34" i="59"/>
  <c r="BE33" i="59"/>
  <c r="BB69" i="7"/>
  <c r="BB81" i="7"/>
  <c r="BE28" i="59" s="1"/>
  <c r="BE29" i="59"/>
  <c r="BA171" i="6"/>
  <c r="BA169" i="6"/>
  <c r="BA168" i="6"/>
  <c r="BB170" i="6"/>
  <c r="BB8" i="36" l="1"/>
  <c r="BE9" i="59" s="1"/>
  <c r="BE30" i="59"/>
  <c r="BE31" i="59"/>
  <c r="BA170" i="6"/>
  <c r="BB97" i="8" l="1"/>
  <c r="BB92" i="8"/>
  <c r="BB84" i="8"/>
  <c r="BA73" i="8"/>
  <c r="BA61" i="8"/>
  <c r="BB60" i="8"/>
  <c r="BB33" i="8"/>
  <c r="BB151" i="8" s="1"/>
  <c r="BA33" i="8"/>
  <c r="BB31" i="8"/>
  <c r="BB155" i="8" s="1"/>
  <c r="BB30" i="8"/>
  <c r="BB156" i="8" s="1"/>
  <c r="BB29" i="8"/>
  <c r="BB154" i="8" s="1"/>
  <c r="BB28" i="8"/>
  <c r="BB27" i="8"/>
  <c r="BB153" i="8" s="1"/>
  <c r="BB25" i="8"/>
  <c r="BB152" i="8" s="1"/>
  <c r="BB24" i="8"/>
  <c r="BB150" i="8" s="1"/>
  <c r="BB23" i="8"/>
  <c r="BB149" i="8" s="1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4" i="59" s="1"/>
  <c r="BE73" i="8"/>
  <c r="BE52" i="8"/>
  <c r="BH41" i="59" s="1"/>
  <c r="BB148" i="8" l="1"/>
  <c r="AZ8" i="15"/>
  <c r="BB89" i="8"/>
  <c r="BA8" i="15"/>
  <c r="BB87" i="8"/>
  <c r="BB88" i="8"/>
  <c r="BB40" i="8"/>
  <c r="BB46" i="8"/>
  <c r="BB80" i="8"/>
  <c r="BE44" i="59" s="1"/>
  <c r="BB86" i="8"/>
  <c r="BB43" i="8"/>
  <c r="BB41" i="8"/>
  <c r="BB26" i="8"/>
  <c r="BB39" i="8"/>
  <c r="BB45" i="8"/>
  <c r="BB44" i="8"/>
  <c r="BB47" i="8"/>
  <c r="BB82" i="8"/>
  <c r="BB83" i="8"/>
  <c r="BB81" i="8"/>
  <c r="BE51" i="59" s="1"/>
  <c r="BB85" i="8"/>
  <c r="BB108" i="8"/>
  <c r="BB109" i="8" s="1"/>
  <c r="BE45" i="59" l="1"/>
  <c r="BB135" i="8"/>
  <c r="BE46" i="59"/>
  <c r="BE48" i="59" s="1"/>
  <c r="BB137" i="8"/>
  <c r="BE47" i="59"/>
  <c r="BB136" i="8"/>
  <c r="BB10" i="49"/>
  <c r="BD10" i="49" s="1"/>
  <c r="BE50" i="59"/>
  <c r="BE49" i="59"/>
  <c r="BB42" i="8"/>
  <c r="BB52" i="8"/>
  <c r="BB110" i="8"/>
  <c r="BB111" i="8" s="1"/>
  <c r="BB53" i="8" s="1"/>
  <c r="BE41" i="59" l="1"/>
  <c r="BB120" i="8"/>
  <c r="BB138" i="8"/>
  <c r="BE42" i="59"/>
  <c r="BE43" i="59" s="1"/>
  <c r="BB122" i="8"/>
  <c r="BB12" i="49"/>
  <c r="BD12" i="49" s="1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BB121" i="8" l="1"/>
  <c r="BB123" i="8"/>
  <c r="BB125" i="8"/>
  <c r="BB126" i="8" s="1"/>
  <c r="BB14" i="49"/>
  <c r="BB28" i="21"/>
  <c r="BB24" i="21"/>
  <c r="BB25" i="21" s="1"/>
  <c r="BB12" i="21"/>
  <c r="BA12" i="21"/>
  <c r="BA22" i="21" s="1"/>
  <c r="BB131" i="8" l="1"/>
  <c r="BB144" i="8" s="1"/>
  <c r="BB129" i="8"/>
  <c r="BB130" i="8"/>
  <c r="BB143" i="8" s="1"/>
  <c r="BB15" i="49"/>
  <c r="BE45" i="35"/>
  <c r="BE44" i="35"/>
  <c r="BE43" i="35"/>
  <c r="AZ123" i="90"/>
  <c r="AZ125" i="90" s="1"/>
  <c r="BB122" i="45"/>
  <c r="BB14" i="35"/>
  <c r="BB9" i="6"/>
  <c r="BB9" i="35"/>
  <c r="BB8" i="6" s="1"/>
  <c r="BB2" i="35"/>
  <c r="BA2" i="35"/>
  <c r="BB142" i="8" l="1"/>
  <c r="BB132" i="8"/>
  <c r="BB145" i="8" s="1"/>
  <c r="BB121" i="45"/>
  <c r="BA7" i="35"/>
  <c r="BA6" i="35"/>
  <c r="BB6" i="35"/>
  <c r="BB7" i="35"/>
  <c r="BB16" i="49"/>
  <c r="AZ18" i="15"/>
  <c r="BA5" i="9"/>
  <c r="BA18" i="15"/>
  <c r="BA56" i="11"/>
  <c r="AZ9" i="15"/>
  <c r="BB124" i="45"/>
  <c r="BD71" i="59" s="1"/>
  <c r="BB145" i="45"/>
  <c r="BD73" i="59" s="1"/>
  <c r="BB125" i="45"/>
  <c r="BA159" i="10"/>
  <c r="BB10" i="36"/>
  <c r="BB12" i="36"/>
  <c r="BB11" i="36"/>
  <c r="BA9" i="15"/>
  <c r="BB97" i="11"/>
  <c r="BB70" i="36"/>
  <c r="BB5" i="9"/>
  <c r="BB5" i="36"/>
  <c r="BB36" i="35"/>
  <c r="BB26" i="35"/>
  <c r="BA33" i="35"/>
  <c r="BB33" i="35"/>
  <c r="BB11" i="35"/>
  <c r="BB10" i="6" s="1"/>
  <c r="BA1" i="35"/>
  <c r="BA21" i="35" s="1"/>
  <c r="BA26" i="9" s="1"/>
  <c r="BA26" i="35"/>
  <c r="BB13" i="35"/>
  <c r="BA36" i="35"/>
  <c r="BE37" i="59" l="1"/>
  <c r="BE38" i="59"/>
  <c r="BE36" i="59"/>
  <c r="BA203" i="10"/>
  <c r="BL203" i="10" s="1"/>
  <c r="BL159" i="10"/>
  <c r="BB19" i="49"/>
  <c r="BA158" i="10"/>
  <c r="BL158" i="10" s="1"/>
  <c r="BA178" i="10"/>
  <c r="BD65" i="59" s="1"/>
  <c r="BA161" i="10"/>
  <c r="BD63" i="59" s="1"/>
  <c r="BA33" i="22"/>
  <c r="AZ130" i="26"/>
  <c r="BA89" i="9"/>
  <c r="BA97" i="11"/>
  <c r="BA79" i="11"/>
  <c r="BD69" i="59" s="1"/>
  <c r="BA55" i="11"/>
  <c r="BA58" i="11"/>
  <c r="BB13" i="49"/>
  <c r="BE6" i="59"/>
  <c r="BB33" i="22"/>
  <c r="BA130" i="26"/>
  <c r="BE59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A125" i="26" l="1"/>
  <c r="BA117" i="26"/>
  <c r="BA114" i="26"/>
  <c r="BA124" i="26"/>
  <c r="BA121" i="26"/>
  <c r="BA119" i="26"/>
  <c r="BA118" i="26"/>
  <c r="BA123" i="26"/>
  <c r="BA116" i="26"/>
  <c r="BA126" i="26"/>
  <c r="BA122" i="26"/>
  <c r="BA120" i="26"/>
  <c r="BA115" i="26"/>
  <c r="BA127" i="26"/>
  <c r="AZ114" i="26"/>
  <c r="AZ115" i="26"/>
  <c r="AZ121" i="26"/>
  <c r="AZ126" i="26"/>
  <c r="AZ123" i="26"/>
  <c r="AZ119" i="26"/>
  <c r="AZ127" i="26"/>
  <c r="AZ122" i="26"/>
  <c r="AZ120" i="26"/>
  <c r="AZ125" i="26"/>
  <c r="AZ116" i="26"/>
  <c r="AZ117" i="26"/>
  <c r="AZ118" i="26"/>
  <c r="AZ124" i="26"/>
  <c r="AZ15" i="36"/>
  <c r="AN160" i="10"/>
  <c r="BA19" i="15"/>
  <c r="BA8" i="35"/>
  <c r="BA5" i="6"/>
  <c r="BA98" i="6" s="1"/>
  <c r="BA104" i="6" s="1"/>
  <c r="BA106" i="6" s="1"/>
  <c r="BA6" i="6"/>
  <c r="BA16" i="6" s="1"/>
  <c r="BB55" i="35"/>
  <c r="BA128" i="26" l="1"/>
  <c r="AZ128" i="26"/>
  <c r="BC52" i="59"/>
  <c r="BA7" i="6"/>
  <c r="BA15" i="6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2" i="10" l="1"/>
  <c r="BM122" i="10" s="1"/>
  <c r="BD122" i="10" l="1"/>
  <c r="BK122" i="10" s="1"/>
  <c r="BF144" i="10" l="1"/>
  <c r="BI144" i="10" s="1"/>
  <c r="J160" i="10"/>
  <c r="BB145" i="10"/>
  <c r="BF146" i="10"/>
  <c r="BI146" i="10" s="1"/>
  <c r="BD145" i="10" l="1"/>
  <c r="BK145" i="10" s="1"/>
  <c r="BM145" i="10"/>
  <c r="BD160" i="10"/>
  <c r="BK160" i="10" s="1"/>
  <c r="BB160" i="10"/>
  <c r="BM160" i="10" s="1"/>
  <c r="N160" i="10"/>
  <c r="BF147" i="10"/>
  <c r="BI147" i="10" s="1"/>
  <c r="BF143" i="10"/>
  <c r="BI143" i="10" s="1"/>
  <c r="AD11" i="38"/>
  <c r="AR11" i="38"/>
  <c r="AQ24" i="50" l="1"/>
  <c r="AU24" i="50" s="1"/>
  <c r="AY24" i="50" s="1"/>
  <c r="BG24" i="50" s="1"/>
  <c r="BH24" i="50" s="1"/>
  <c r="V160" i="10"/>
  <c r="BH11" i="38"/>
  <c r="AF11" i="38"/>
  <c r="AJ11" i="38" s="1"/>
  <c r="AN11" i="38" s="1"/>
  <c r="BB192" i="10"/>
  <c r="BM192" i="10" s="1"/>
  <c r="BB184" i="10"/>
  <c r="BM184" i="10" s="1"/>
  <c r="BD184" i="10"/>
  <c r="BK184" i="10" s="1"/>
  <c r="BD192" i="10"/>
  <c r="BK192" i="10" s="1"/>
  <c r="AT11" i="38" l="1"/>
  <c r="AX11" i="38" s="1"/>
  <c r="BB11" i="38" s="1"/>
  <c r="V184" i="10"/>
  <c r="V192" i="10"/>
  <c r="BJ11" i="38" l="1"/>
  <c r="BC78" i="73"/>
  <c r="BE78" i="73"/>
  <c r="BC79" i="73"/>
  <c r="BC80" i="73"/>
  <c r="AS37" i="73"/>
  <c r="BC37" i="73"/>
  <c r="BC39" i="73"/>
  <c r="AW37" i="73" l="1"/>
  <c r="BE37" i="73" l="1"/>
  <c r="AV16" i="61"/>
  <c r="AV16" i="52"/>
  <c r="AU16" i="52"/>
  <c r="AV9" i="52"/>
  <c r="AU9" i="52"/>
  <c r="AV17" i="52" l="1"/>
  <c r="AU17" i="52"/>
  <c r="BA68" i="90" l="1"/>
  <c r="BA21" i="8"/>
  <c r="AV1" i="7"/>
  <c r="AV80" i="7" s="1"/>
  <c r="AU1" i="7"/>
  <c r="AU80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525" i="28"/>
  <c r="AW524" i="28"/>
  <c r="AV171" i="73"/>
  <c r="AT171" i="73"/>
  <c r="AV129" i="73"/>
  <c r="AT129" i="73"/>
  <c r="AV125" i="73"/>
  <c r="AT125" i="73"/>
  <c r="AV121" i="73"/>
  <c r="AT121" i="73"/>
  <c r="AV101" i="73"/>
  <c r="AV113" i="73" s="1"/>
  <c r="AT8" i="73"/>
  <c r="AT6" i="73" s="1"/>
  <c r="AX37" i="36"/>
  <c r="AW37" i="36"/>
  <c r="AV132" i="73" l="1"/>
  <c r="AT132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7" i="59" s="1"/>
  <c r="AW21" i="36"/>
  <c r="AW17" i="36"/>
  <c r="AZ54" i="59" s="1"/>
  <c r="AW16" i="36"/>
  <c r="AZ53" i="59" s="1"/>
  <c r="AW9" i="36"/>
  <c r="AZ10" i="59" s="1"/>
  <c r="AW8" i="36"/>
  <c r="AZ9" i="59" s="1"/>
  <c r="AW7" i="36"/>
  <c r="AZ8" i="59" s="1"/>
  <c r="AW5" i="36"/>
  <c r="AV5" i="15" l="1"/>
  <c r="AZ76" i="59"/>
  <c r="AV6" i="15"/>
  <c r="AZ77" i="59"/>
  <c r="AV7" i="15"/>
  <c r="AZ78" i="59"/>
  <c r="AW13" i="49"/>
  <c r="AZ6" i="59"/>
  <c r="AW68" i="36"/>
  <c r="BB103" i="9" l="1"/>
  <c r="AJ253" i="28" l="1"/>
  <c r="AP253" i="28" l="1"/>
  <c r="AT253" i="28" l="1"/>
  <c r="BB199" i="10"/>
  <c r="BM199" i="10" s="1"/>
  <c r="BB158" i="10"/>
  <c r="BM158" i="10" s="1"/>
  <c r="BB159" i="10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BM159" i="10" l="1"/>
  <c r="BB163" i="10"/>
  <c r="BB203" i="10"/>
  <c r="BM203" i="10" s="1"/>
  <c r="AX253" i="28"/>
  <c r="BF253" i="28" s="1"/>
  <c r="BH253" i="28" s="1"/>
  <c r="BB161" i="10"/>
  <c r="BB200" i="10"/>
  <c r="BM200" i="10" s="1"/>
  <c r="BB178" i="10"/>
  <c r="BE65" i="59" s="1"/>
  <c r="BB191" i="10"/>
  <c r="BB196" i="10"/>
  <c r="BM196" i="10" s="1"/>
  <c r="BM191" i="10" l="1"/>
  <c r="BB193" i="10"/>
  <c r="BM193" i="10" s="1"/>
  <c r="BB21" i="36"/>
  <c r="BE63" i="59"/>
  <c r="BA37" i="27"/>
  <c r="BA35" i="27"/>
  <c r="BA27" i="27"/>
  <c r="BA29" i="27"/>
  <c r="BA28" i="27"/>
  <c r="BA21" i="27"/>
  <c r="BA20" i="27"/>
  <c r="BA19" i="27"/>
  <c r="BA18" i="27"/>
  <c r="BA24" i="27" l="1"/>
  <c r="AS70" i="36" l="1"/>
  <c r="AO70" i="36"/>
  <c r="AA70" i="36"/>
  <c r="Y70" i="36"/>
  <c r="M70" i="36"/>
  <c r="E70" i="36"/>
  <c r="AS525" i="28" l="1"/>
  <c r="AS524" i="28"/>
  <c r="BB481" i="28"/>
  <c r="BB475" i="28"/>
  <c r="BA431" i="28"/>
  <c r="BB298" i="28"/>
  <c r="BB297" i="28"/>
  <c r="BA297" i="28"/>
  <c r="BB256" i="28"/>
  <c r="BB508" i="28" s="1"/>
  <c r="BA256" i="28"/>
  <c r="BB96" i="28"/>
  <c r="BB95" i="28"/>
  <c r="BB93" i="28"/>
  <c r="BB89" i="28"/>
  <c r="BB85" i="28"/>
  <c r="BB81" i="28"/>
  <c r="BA68" i="28"/>
  <c r="BA67" i="28"/>
  <c r="BA65" i="28"/>
  <c r="BA23" i="28"/>
  <c r="BA7" i="28"/>
  <c r="AT16" i="61"/>
  <c r="AR16" i="61"/>
  <c r="AR16" i="52"/>
  <c r="AQ16" i="52"/>
  <c r="AR9" i="52"/>
  <c r="AQ9" i="52"/>
  <c r="BA94" i="26"/>
  <c r="AZ110" i="26"/>
  <c r="AZ108" i="26"/>
  <c r="AZ106" i="26"/>
  <c r="AZ104" i="26"/>
  <c r="AZ102" i="26"/>
  <c r="AZ100" i="26"/>
  <c r="AZ98" i="26"/>
  <c r="AZ96" i="26"/>
  <c r="AZ57" i="17" s="1"/>
  <c r="AZ78" i="26"/>
  <c r="AZ71" i="26"/>
  <c r="AZ69" i="26"/>
  <c r="AZ67" i="26"/>
  <c r="AZ65" i="26"/>
  <c r="AZ63" i="26"/>
  <c r="AZ61" i="26"/>
  <c r="AZ55" i="17" s="1"/>
  <c r="AZ59" i="26"/>
  <c r="BA188" i="6" s="1"/>
  <c r="AZ57" i="26"/>
  <c r="BA88" i="8" s="1"/>
  <c r="AZ52" i="26"/>
  <c r="AZ50" i="26"/>
  <c r="BA55" i="26"/>
  <c r="AZ41" i="26"/>
  <c r="AZ39" i="26"/>
  <c r="AZ37" i="26"/>
  <c r="AZ35" i="26"/>
  <c r="AZ33" i="26"/>
  <c r="AZ31" i="26"/>
  <c r="AZ29" i="26"/>
  <c r="AZ27" i="26"/>
  <c r="AZ54" i="17" s="1"/>
  <c r="AZ25" i="26"/>
  <c r="BA87" i="8" s="1"/>
  <c r="AZ23" i="26"/>
  <c r="BA187" i="6" s="1"/>
  <c r="AZ21" i="26"/>
  <c r="BA162" i="6" s="1"/>
  <c r="AZ17" i="26"/>
  <c r="AZ15" i="26"/>
  <c r="AZ11" i="26"/>
  <c r="AZ9" i="26"/>
  <c r="BB509" i="28" l="1"/>
  <c r="BB10" i="22"/>
  <c r="BB12" i="22" s="1"/>
  <c r="BB24" i="22"/>
  <c r="BB26" i="22" s="1"/>
  <c r="BB513" i="28"/>
  <c r="BB236" i="28"/>
  <c r="BB506" i="28" s="1"/>
  <c r="BB505" i="28"/>
  <c r="BB431" i="28"/>
  <c r="BB516" i="28" s="1"/>
  <c r="BB304" i="28"/>
  <c r="BA298" i="28"/>
  <c r="BA15" i="28"/>
  <c r="AZ112" i="26"/>
  <c r="AZ76" i="26"/>
  <c r="AZ73" i="26"/>
  <c r="AZ55" i="26"/>
  <c r="AZ46" i="26"/>
  <c r="AZ43" i="26"/>
  <c r="AZ12" i="26"/>
  <c r="AZ19" i="26" s="1"/>
  <c r="AR17" i="52"/>
  <c r="BB97" i="28"/>
  <c r="BB98" i="28" s="1"/>
  <c r="BB74" i="28"/>
  <c r="BB515" i="28"/>
  <c r="BA21" i="28"/>
  <c r="BA13" i="28"/>
  <c r="BB517" i="28"/>
  <c r="BB72" i="28"/>
  <c r="BB473" i="28"/>
  <c r="BB525" i="28" s="1"/>
  <c r="BB492" i="28"/>
  <c r="BB524" i="28" s="1"/>
  <c r="BB73" i="28"/>
  <c r="AQ17" i="52"/>
  <c r="BA7" i="26"/>
  <c r="BA45" i="26"/>
  <c r="BB507" i="28" l="1"/>
  <c r="BB514" i="28"/>
  <c r="BB299" i="28"/>
  <c r="BB512" i="28"/>
  <c r="BA416" i="28"/>
  <c r="BA29" i="28"/>
  <c r="AZ81" i="26"/>
  <c r="AZ80" i="26"/>
  <c r="AZ83" i="26"/>
  <c r="AZ56" i="17" s="1"/>
  <c r="AZ48" i="26"/>
  <c r="AZ18" i="26"/>
  <c r="AZ13" i="26"/>
  <c r="BB75" i="28"/>
  <c r="BA72" i="28"/>
  <c r="BA236" i="28"/>
  <c r="BA507" i="28" s="1"/>
  <c r="BB493" i="28" l="1"/>
  <c r="BB511" i="28"/>
  <c r="BB502" i="28"/>
  <c r="BB510" i="28"/>
  <c r="BB503" i="28"/>
  <c r="BA87" i="28"/>
  <c r="BA514" i="28" s="1"/>
  <c r="BA74" i="28"/>
  <c r="BA299" i="28"/>
  <c r="BA83" i="28"/>
  <c r="BA73" i="28"/>
  <c r="BA515" i="28"/>
  <c r="AZ92" i="26"/>
  <c r="AZ49" i="26"/>
  <c r="AZ54" i="26"/>
  <c r="BB76" i="28"/>
  <c r="BA79" i="28"/>
  <c r="BB522" i="28" l="1"/>
  <c r="BB523" i="28"/>
  <c r="BB518" i="28"/>
  <c r="BB497" i="28"/>
  <c r="BB519" i="28"/>
  <c r="BB496" i="28"/>
  <c r="BA513" i="28"/>
  <c r="BA506" i="28"/>
  <c r="BA505" i="28"/>
  <c r="BA509" i="28"/>
  <c r="BA510" i="28"/>
  <c r="BA502" i="28"/>
  <c r="BA503" i="28"/>
  <c r="BA511" i="28"/>
  <c r="BA58" i="17" l="1"/>
  <c r="AZ58" i="17"/>
  <c r="AZ31" i="17"/>
  <c r="BA61" i="17"/>
  <c r="AZ28" i="17"/>
  <c r="AZ22" i="17"/>
  <c r="AZ23" i="17" s="1"/>
  <c r="AZ18" i="17"/>
  <c r="AZ19" i="17" s="1"/>
  <c r="AZ16" i="17"/>
  <c r="AZ17" i="17" s="1"/>
  <c r="AZ14" i="17"/>
  <c r="AZ29" i="17" l="1"/>
  <c r="AZ32" i="17" s="1"/>
  <c r="AZ15" i="17"/>
  <c r="AZ21" i="17" s="1"/>
  <c r="AZ20" i="17"/>
  <c r="BA22" i="17"/>
  <c r="AZ30" i="17" l="1"/>
  <c r="AZ61" i="17"/>
  <c r="AZ24" i="17"/>
  <c r="AZ25" i="17"/>
  <c r="BA23" i="17"/>
  <c r="BA24" i="17"/>
  <c r="BA25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BA31" i="15" l="1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6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8" i="45"/>
  <c r="BC144" i="45"/>
  <c r="BB144" i="45"/>
  <c r="BC142" i="45"/>
  <c r="BB142" i="45"/>
  <c r="BC141" i="45"/>
  <c r="BB141" i="45"/>
  <c r="BB138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B165" i="10"/>
  <c r="BB132" i="45"/>
  <c r="BC132" i="45"/>
  <c r="BC139" i="45"/>
  <c r="BC140" i="45" s="1"/>
  <c r="BB172" i="10"/>
  <c r="BA166" i="10" l="1"/>
  <c r="BL165" i="10"/>
  <c r="BB166" i="10"/>
  <c r="BM165" i="10"/>
  <c r="BB173" i="10"/>
  <c r="BM172" i="10"/>
  <c r="BB133" i="45"/>
  <c r="BC133" i="45"/>
  <c r="AU52" i="38" l="1"/>
  <c r="AV51" i="38"/>
  <c r="AU51" i="38"/>
  <c r="BE46" i="38"/>
  <c r="BE94" i="38" s="1"/>
  <c r="BE45" i="38"/>
  <c r="BE93" i="38" s="1"/>
  <c r="BE44" i="38"/>
  <c r="BE92" i="38" s="1"/>
  <c r="BE43" i="38"/>
  <c r="BE91" i="38" s="1"/>
  <c r="BF40" i="38"/>
  <c r="BF88" i="38" s="1"/>
  <c r="BE38" i="38"/>
  <c r="BE86" i="38" s="1"/>
  <c r="BE37" i="38"/>
  <c r="BE85" i="38" s="1"/>
  <c r="BE36" i="38"/>
  <c r="BE84" i="38" s="1"/>
  <c r="BE32" i="38"/>
  <c r="BE31" i="38"/>
  <c r="BE30" i="38"/>
  <c r="BE29" i="38"/>
  <c r="BE28" i="38"/>
  <c r="BE24" i="38"/>
  <c r="BE20" i="38"/>
  <c r="BF18" i="38"/>
  <c r="BF66" i="38" s="1"/>
  <c r="BE14" i="38"/>
  <c r="BE62" i="38" s="1"/>
  <c r="BE13" i="38"/>
  <c r="BE61" i="38" s="1"/>
  <c r="BF12" i="38"/>
  <c r="BF60" i="38" s="1"/>
  <c r="BE10" i="38"/>
  <c r="BE9" i="38"/>
  <c r="BE57" i="38" s="1"/>
  <c r="BE8" i="38"/>
  <c r="BE56" i="38" s="1"/>
  <c r="BF6" i="38"/>
  <c r="BF54" i="38" s="1"/>
  <c r="BE7" i="38" l="1"/>
  <c r="BE55" i="38" s="1"/>
  <c r="BE35" i="38"/>
  <c r="BE83" i="38" s="1"/>
  <c r="BE23" i="38"/>
  <c r="BA99" i="9" s="1"/>
  <c r="AQ99" i="9"/>
  <c r="AQ100" i="9" s="1"/>
  <c r="BE25" i="38"/>
  <c r="BE73" i="38" s="1"/>
  <c r="AQ172" i="10"/>
  <c r="BE22" i="38"/>
  <c r="BA90" i="8" s="1"/>
  <c r="BE19" i="38"/>
  <c r="BE67" i="38" s="1"/>
  <c r="BE26" i="38"/>
  <c r="BE74" i="38" s="1"/>
  <c r="BE21" i="38"/>
  <c r="BE69" i="38" s="1"/>
  <c r="BE27" i="38"/>
  <c r="BE75" i="38" s="1"/>
  <c r="BE40" i="38"/>
  <c r="BE88" i="38" s="1"/>
  <c r="BE41" i="38"/>
  <c r="BE89" i="38" s="1"/>
  <c r="BE58" i="38"/>
  <c r="BE80" i="38"/>
  <c r="BE76" i="38"/>
  <c r="BE68" i="38"/>
  <c r="BE77" i="38"/>
  <c r="BE72" i="38"/>
  <c r="BE78" i="38"/>
  <c r="BE79" i="38"/>
  <c r="BF42" i="38"/>
  <c r="BF90" i="38" s="1"/>
  <c r="BF34" i="38"/>
  <c r="BF82" i="38" s="1"/>
  <c r="BE6" i="38"/>
  <c r="BE18" i="38"/>
  <c r="BE42" i="38"/>
  <c r="BE90" i="38" s="1"/>
  <c r="BE60" i="38"/>
  <c r="BF39" i="38"/>
  <c r="BF87" i="38" s="1"/>
  <c r="AQ173" i="10" l="1"/>
  <c r="BA163" i="6"/>
  <c r="BA189" i="6"/>
  <c r="BE34" i="38"/>
  <c r="BE82" i="38" s="1"/>
  <c r="BE71" i="38"/>
  <c r="BE70" i="38"/>
  <c r="BF17" i="38"/>
  <c r="BA73" i="11"/>
  <c r="BA74" i="11" s="1"/>
  <c r="BB139" i="45"/>
  <c r="BB140" i="45" s="1"/>
  <c r="BA172" i="10"/>
  <c r="BA173" i="10" s="1"/>
  <c r="BE54" i="38"/>
  <c r="BE66" i="38"/>
  <c r="BF15" i="38"/>
  <c r="AU96" i="38"/>
  <c r="BE17" i="38"/>
  <c r="BE15" i="38"/>
  <c r="BE39" i="38"/>
  <c r="BE87" i="38" s="1"/>
  <c r="BF16" i="38"/>
  <c r="BF64" i="38" s="1"/>
  <c r="BB25" i="36" l="1"/>
  <c r="BE75" i="59" s="1"/>
  <c r="BL172" i="10"/>
  <c r="AV48" i="38"/>
  <c r="BF65" i="38"/>
  <c r="AU48" i="38"/>
  <c r="BB26" i="36"/>
  <c r="BE63" i="38"/>
  <c r="BF63" i="38"/>
  <c r="BF96" i="38" s="1"/>
  <c r="BF48" i="38"/>
  <c r="BE65" i="38"/>
  <c r="BA26" i="36"/>
  <c r="BA25" i="36"/>
  <c r="BD75" i="59" s="1"/>
  <c r="BE16" i="38"/>
  <c r="BE64" i="38" s="1"/>
  <c r="AV96" i="38"/>
  <c r="BE48" i="38" l="1"/>
  <c r="BE96" i="38"/>
  <c r="BA101" i="9"/>
  <c r="BB98" i="9"/>
  <c r="BA98" i="9"/>
  <c r="BB97" i="9"/>
  <c r="BA97" i="9"/>
  <c r="BB60" i="9"/>
  <c r="BB57" i="9"/>
  <c r="BA51" i="9"/>
  <c r="BA47" i="9"/>
  <c r="BA24" i="9"/>
  <c r="BB19" i="9"/>
  <c r="BA13" i="8"/>
  <c r="BB93" i="8"/>
  <c r="BA80" i="8"/>
  <c r="BD44" i="59" s="1"/>
  <c r="BB61" i="8"/>
  <c r="BB21" i="8"/>
  <c r="BB17" i="8"/>
  <c r="BA17" i="8"/>
  <c r="BB15" i="8"/>
  <c r="BA15" i="8"/>
  <c r="BB14" i="8"/>
  <c r="BA14" i="8"/>
  <c r="BB13" i="8"/>
  <c r="AS80" i="8"/>
  <c r="AS73" i="8"/>
  <c r="AS52" i="8"/>
  <c r="AV41" i="59" s="1"/>
  <c r="BB74" i="9" l="1"/>
  <c r="BB49" i="8"/>
  <c r="BB14" i="36"/>
  <c r="BB50" i="8"/>
  <c r="BA16" i="8"/>
  <c r="BA30" i="8"/>
  <c r="BA6" i="8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H49" i="8" l="1"/>
  <c r="BB51" i="8"/>
  <c r="BE40" i="59"/>
  <c r="BA83" i="8"/>
  <c r="BD50" i="59" s="1"/>
  <c r="BA2" i="17"/>
  <c r="BA2" i="26"/>
  <c r="BA82" i="8"/>
  <c r="BD49" i="59" s="1"/>
  <c r="BA85" i="8"/>
  <c r="BA45" i="8"/>
  <c r="BB37" i="8"/>
  <c r="BA67" i="8"/>
  <c r="BA6" i="26"/>
  <c r="BB77" i="8"/>
  <c r="BA44" i="8"/>
  <c r="BD47" i="59" s="1"/>
  <c r="BA47" i="8"/>
  <c r="BA14" i="36"/>
  <c r="BA50" i="8"/>
  <c r="BG49" i="8" s="1"/>
  <c r="BA49" i="8"/>
  <c r="BA81" i="8"/>
  <c r="BD51" i="59" s="1"/>
  <c r="BA10" i="36"/>
  <c r="BD36" i="59" s="1"/>
  <c r="BA39" i="8"/>
  <c r="BA26" i="8"/>
  <c r="BA89" i="8"/>
  <c r="BA12" i="36"/>
  <c r="BD38" i="59" s="1"/>
  <c r="BA41" i="8"/>
  <c r="BA43" i="8"/>
  <c r="BD45" i="59" s="1"/>
  <c r="BA108" i="8"/>
  <c r="BA110" i="8" s="1"/>
  <c r="BA11" i="36"/>
  <c r="BD37" i="59" s="1"/>
  <c r="BA40" i="8"/>
  <c r="BA46" i="8"/>
  <c r="BD46" i="59" s="1"/>
  <c r="BA87" i="9"/>
  <c r="BD60" i="59" s="1"/>
  <c r="BA83" i="9"/>
  <c r="BA25" i="9"/>
  <c r="BA86" i="9"/>
  <c r="BA76" i="9"/>
  <c r="BA80" i="9"/>
  <c r="BE58" i="59"/>
  <c r="BA75" i="9"/>
  <c r="BA82" i="9"/>
  <c r="BD61" i="59" s="1"/>
  <c r="BA96" i="9"/>
  <c r="BA81" i="9"/>
  <c r="BA78" i="9"/>
  <c r="BA84" i="9"/>
  <c r="BA73" i="9"/>
  <c r="BA72" i="9"/>
  <c r="BB79" i="9"/>
  <c r="BA85" i="9"/>
  <c r="BB47" i="9"/>
  <c r="BA93" i="9"/>
  <c r="BA94" i="9"/>
  <c r="BD58" i="59"/>
  <c r="BB69" i="8"/>
  <c r="BB65" i="8"/>
  <c r="BA57" i="9"/>
  <c r="BA21" i="22"/>
  <c r="BA51" i="8" l="1"/>
  <c r="BN49" i="8"/>
  <c r="BD40" i="59"/>
  <c r="BA74" i="9"/>
  <c r="BA77" i="8"/>
  <c r="AZ2" i="17"/>
  <c r="AZ2" i="26"/>
  <c r="BA37" i="8"/>
  <c r="BB63" i="8"/>
  <c r="BB70" i="8" s="1"/>
  <c r="BB35" i="8"/>
  <c r="BD48" i="59"/>
  <c r="BA52" i="8"/>
  <c r="BD41" i="59" s="1"/>
  <c r="BA59" i="8"/>
  <c r="BA34" i="8"/>
  <c r="BA65" i="8"/>
  <c r="BA36" i="8"/>
  <c r="BA69" i="8"/>
  <c r="BA74" i="8" s="1"/>
  <c r="BA109" i="8"/>
  <c r="BA111" i="8" s="1"/>
  <c r="BA53" i="8" s="1"/>
  <c r="BD42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3" i="59"/>
  <c r="BA35" i="8"/>
  <c r="BA63" i="8"/>
  <c r="BA71" i="8" s="1"/>
  <c r="BA72" i="8"/>
  <c r="BB85" i="9"/>
  <c r="BB53" i="9"/>
  <c r="BB84" i="9"/>
  <c r="BB87" i="9"/>
  <c r="BE60" i="59" s="1"/>
  <c r="BB82" i="9"/>
  <c r="BE61" i="59" s="1"/>
  <c r="BB52" i="9"/>
  <c r="BE57" i="59" s="1"/>
  <c r="BB86" i="9"/>
  <c r="BB81" i="9"/>
  <c r="BB80" i="9"/>
  <c r="BB83" i="9"/>
  <c r="BA77" i="9"/>
  <c r="BA7" i="9"/>
  <c r="BD57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AR1" i="7"/>
  <c r="AR80" i="7" s="1"/>
  <c r="AQ1" i="7"/>
  <c r="AQ80" i="7" s="1"/>
  <c r="BA1" i="7" l="1"/>
  <c r="BA80" i="7" s="1"/>
  <c r="BB1" i="7"/>
  <c r="BB80" i="7" s="1"/>
  <c r="BA71" i="7"/>
  <c r="BA73" i="7" s="1"/>
  <c r="BB112" i="7"/>
  <c r="BB107" i="7"/>
  <c r="BB111" i="7"/>
  <c r="BB109" i="7"/>
  <c r="BB113" i="7"/>
  <c r="BB106" i="7"/>
  <c r="BB85" i="7"/>
  <c r="BB110" i="7"/>
  <c r="BB108" i="7"/>
  <c r="BB71" i="7"/>
  <c r="BB73" i="7" s="1"/>
  <c r="BA13" i="22"/>
  <c r="BA11" i="22"/>
  <c r="BA27" i="22"/>
  <c r="BA25" i="22"/>
  <c r="BB83" i="7"/>
  <c r="BE35" i="59" s="1"/>
  <c r="BA83" i="7"/>
  <c r="BD35" i="59" s="1"/>
  <c r="BA68" i="7"/>
  <c r="BA69" i="7" l="1"/>
  <c r="BA28" i="22"/>
  <c r="BA12" i="22"/>
  <c r="BA29" i="22"/>
  <c r="BA26" i="22"/>
  <c r="BA14" i="22"/>
  <c r="BA87" i="6" l="1"/>
  <c r="BA86" i="6"/>
  <c r="BB56" i="6"/>
  <c r="BB34" i="6"/>
  <c r="BB33" i="6"/>
  <c r="AS195" i="6"/>
  <c r="AS194" i="6"/>
  <c r="AS193" i="6"/>
  <c r="AS186" i="6"/>
  <c r="AS185" i="6"/>
  <c r="AS182" i="6"/>
  <c r="AS181" i="6"/>
  <c r="AS180" i="6"/>
  <c r="AS179" i="6"/>
  <c r="AS178" i="6"/>
  <c r="AS177" i="6"/>
  <c r="AS175" i="6"/>
  <c r="AS174" i="6"/>
  <c r="AS173" i="6"/>
  <c r="AS161" i="6"/>
  <c r="AS160" i="6"/>
  <c r="AS157" i="6"/>
  <c r="AS156" i="6"/>
  <c r="AS155" i="6"/>
  <c r="AS154" i="6"/>
  <c r="AS153" i="6"/>
  <c r="AS152" i="6"/>
  <c r="AS150" i="6"/>
  <c r="AS149" i="6"/>
  <c r="AS148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5" i="6" s="1"/>
  <c r="BA21" i="6"/>
  <c r="BA24" i="6"/>
  <c r="BA27" i="6"/>
  <c r="BA18" i="6"/>
  <c r="BA191" i="6" s="1"/>
  <c r="BA159" i="6"/>
  <c r="AS20" i="73"/>
  <c r="AW20" i="73" s="1"/>
  <c r="AR171" i="73"/>
  <c r="AR129" i="73"/>
  <c r="AR125" i="73"/>
  <c r="AR121" i="73"/>
  <c r="AR101" i="73"/>
  <c r="AR113" i="73" s="1"/>
  <c r="AR132" i="73" l="1"/>
  <c r="BB205" i="6"/>
  <c r="BB204" i="6"/>
  <c r="BA204" i="6"/>
  <c r="BA205" i="6"/>
  <c r="BA184" i="6"/>
  <c r="BA33" i="6"/>
  <c r="BA202" i="6"/>
  <c r="BA199" i="6"/>
  <c r="BA200" i="6"/>
  <c r="BA207" i="6"/>
  <c r="BA208" i="6"/>
  <c r="BA209" i="6"/>
  <c r="BA210" i="6"/>
  <c r="BA213" i="6"/>
  <c r="BA214" i="6" s="1"/>
  <c r="BB195" i="6"/>
  <c r="BB199" i="6"/>
  <c r="BB200" i="6"/>
  <c r="BB202" i="6"/>
  <c r="BB207" i="6"/>
  <c r="BB208" i="6"/>
  <c r="BB209" i="6"/>
  <c r="BB210" i="6"/>
  <c r="BB213" i="6"/>
  <c r="BA25" i="6"/>
  <c r="BA22" i="6"/>
  <c r="BA28" i="6"/>
  <c r="BA19" i="6"/>
  <c r="BA31" i="6"/>
  <c r="AV59" i="59"/>
  <c r="AV44" i="59"/>
  <c r="BA23" i="6" l="1"/>
  <c r="BA26" i="6"/>
  <c r="BA32" i="6"/>
  <c r="BA84" i="6"/>
  <c r="BA29" i="6"/>
  <c r="BA206" i="6"/>
  <c r="BB206" i="6"/>
  <c r="BB211" i="6"/>
  <c r="BE11" i="59" s="1"/>
  <c r="BA211" i="6"/>
  <c r="BD11" i="59" s="1"/>
  <c r="BB214" i="6"/>
  <c r="BB20" i="49"/>
  <c r="BB15" i="36" s="1"/>
  <c r="BA81" i="6"/>
  <c r="BA34" i="6"/>
  <c r="BA35" i="6" s="1"/>
  <c r="BE20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7" i="59" s="1"/>
  <c r="AS21" i="36"/>
  <c r="AS17" i="36"/>
  <c r="AV54" i="59" s="1"/>
  <c r="AS16" i="36"/>
  <c r="AV53" i="59" s="1"/>
  <c r="AS9" i="36"/>
  <c r="AV10" i="59" s="1"/>
  <c r="AS8" i="36"/>
  <c r="AV9" i="59" s="1"/>
  <c r="AS7" i="36"/>
  <c r="AV8" i="59" s="1"/>
  <c r="AS5" i="36"/>
  <c r="BA143" i="6" l="1"/>
  <c r="BA144" i="6"/>
  <c r="BA146" i="6"/>
  <c r="BA212" i="6"/>
  <c r="BA215" i="6" s="1"/>
  <c r="BB212" i="6"/>
  <c r="BB215" i="6" s="1"/>
  <c r="BE52" i="59"/>
  <c r="BA13" i="15"/>
  <c r="BA14" i="15" s="1"/>
  <c r="AS13" i="49"/>
  <c r="AV6" i="59"/>
  <c r="AR6" i="15"/>
  <c r="AV77" i="59"/>
  <c r="AR5" i="15"/>
  <c r="AV76" i="59"/>
  <c r="AR7" i="15"/>
  <c r="AV78" i="59"/>
  <c r="AS68" i="36"/>
  <c r="BA27" i="21"/>
  <c r="BB18" i="21"/>
  <c r="BB15" i="21"/>
  <c r="BA145" i="6" l="1"/>
  <c r="BB9" i="36"/>
  <c r="BE10" i="59" s="1"/>
  <c r="BB20" i="21"/>
  <c r="BA19" i="9"/>
  <c r="BA15" i="21"/>
  <c r="BA90" i="9" l="1"/>
  <c r="BA91" i="9" s="1"/>
  <c r="BB6" i="6"/>
  <c r="BB16" i="6" s="1"/>
  <c r="BB5" i="6"/>
  <c r="BB98" i="6" s="1"/>
  <c r="BB104" i="6" s="1"/>
  <c r="BB106" i="6" s="1"/>
  <c r="BB148" i="6" l="1"/>
  <c r="BB193" i="6" s="1"/>
  <c r="BB150" i="6"/>
  <c r="BB149" i="6"/>
  <c r="BA9" i="35"/>
  <c r="BA8" i="6" s="1"/>
  <c r="BB7" i="6"/>
  <c r="BB15" i="6"/>
  <c r="BB8" i="35"/>
  <c r="BA14" i="35"/>
  <c r="BA9" i="6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31" i="28"/>
  <c r="BB17" i="6" l="1"/>
  <c r="BB165" i="6" s="1"/>
  <c r="BB18" i="6"/>
  <c r="BB191" i="6" s="1"/>
  <c r="BA15" i="35"/>
  <c r="BA37" i="28"/>
  <c r="BB185" i="6" l="1"/>
  <c r="BB160" i="6"/>
  <c r="BB19" i="6"/>
  <c r="BB82" i="6"/>
  <c r="BB83" i="6"/>
  <c r="BB85" i="6"/>
  <c r="BB79" i="6"/>
  <c r="BB80" i="6"/>
  <c r="BA63" i="28"/>
  <c r="BA75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93" i="28"/>
  <c r="BA69" i="28"/>
  <c r="BA91" i="28"/>
  <c r="BB143" i="6" l="1"/>
  <c r="BB146" i="6"/>
  <c r="BB144" i="6"/>
  <c r="BB41" i="6"/>
  <c r="BA522" i="28"/>
  <c r="BA496" i="28"/>
  <c r="BA497" i="28"/>
  <c r="BA519" i="28"/>
  <c r="BA518" i="28"/>
  <c r="BA517" i="28"/>
  <c r="BA76" i="28"/>
  <c r="BA95" i="28"/>
  <c r="BE15" i="59" l="1"/>
  <c r="BB145" i="6"/>
  <c r="BA523" i="28"/>
  <c r="BB7" i="36" l="1"/>
  <c r="BE8" i="59" s="1"/>
  <c r="AI21" i="73"/>
  <c r="AM18" i="17" l="1"/>
  <c r="BC18" i="17" s="1"/>
  <c r="AM82" i="17"/>
  <c r="BC82" i="17" s="1"/>
  <c r="AM79" i="17"/>
  <c r="BC79" i="17" s="1"/>
  <c r="AM78" i="17"/>
  <c r="BC78" i="17" s="1"/>
  <c r="AM77" i="17"/>
  <c r="BC77" i="17" s="1"/>
  <c r="AM76" i="17"/>
  <c r="BC76" i="17" s="1"/>
  <c r="AM75" i="17"/>
  <c r="BC75" i="17" s="1"/>
  <c r="AM74" i="17"/>
  <c r="BC74" i="17" s="1"/>
  <c r="AM73" i="17"/>
  <c r="BC73" i="17" s="1"/>
  <c r="AM72" i="17"/>
  <c r="BC72" i="17" s="1"/>
  <c r="AM71" i="17"/>
  <c r="BC71" i="17" s="1"/>
  <c r="AM70" i="17"/>
  <c r="BC70" i="17" s="1"/>
  <c r="AM69" i="17"/>
  <c r="BC69" i="17" s="1"/>
  <c r="AM68" i="17"/>
  <c r="BC68" i="17" s="1"/>
  <c r="AM67" i="17"/>
  <c r="BC67" i="17" s="1"/>
  <c r="AM66" i="17"/>
  <c r="BC66" i="17" s="1"/>
  <c r="AM65" i="17"/>
  <c r="BC65" i="17" s="1"/>
  <c r="AM64" i="17"/>
  <c r="BC64" i="17" s="1"/>
  <c r="AM63" i="17"/>
  <c r="BC63" i="17" s="1"/>
  <c r="AM59" i="17"/>
  <c r="BC59" i="17" s="1"/>
  <c r="AL59" i="17"/>
  <c r="BB59" i="17" s="1"/>
  <c r="AM31" i="17"/>
  <c r="BC31" i="17" s="1"/>
  <c r="AM28" i="17"/>
  <c r="BC28" i="17" s="1"/>
  <c r="AM16" i="17"/>
  <c r="BC16" i="17" s="1"/>
  <c r="AM12" i="17"/>
  <c r="BC12" i="17" s="1"/>
  <c r="AM10" i="17"/>
  <c r="BC10" i="17" s="1"/>
  <c r="AM8" i="17"/>
  <c r="BC8" i="17" s="1"/>
  <c r="AM3" i="17"/>
  <c r="AL3" i="17"/>
  <c r="AL38" i="17" l="1"/>
  <c r="AM43" i="17"/>
  <c r="BC29" i="17"/>
  <c r="BC32" i="17" s="1"/>
  <c r="AL51" i="17"/>
  <c r="BB3" i="17"/>
  <c r="AM35" i="17"/>
  <c r="BC3" i="17"/>
  <c r="BC19" i="17" s="1"/>
  <c r="AM11" i="17"/>
  <c r="AL36" i="17"/>
  <c r="AM41" i="17"/>
  <c r="AM48" i="17"/>
  <c r="AL52" i="17"/>
  <c r="AM52" i="17"/>
  <c r="AM19" i="17"/>
  <c r="AM13" i="17"/>
  <c r="AM36" i="17"/>
  <c r="AL45" i="17"/>
  <c r="AM17" i="17"/>
  <c r="AL41" i="17"/>
  <c r="AM45" i="17"/>
  <c r="AM51" i="17"/>
  <c r="AM29" i="17"/>
  <c r="AM30" i="17" s="1"/>
  <c r="AM14" i="17"/>
  <c r="AL42" i="17"/>
  <c r="BB42" i="17" s="1"/>
  <c r="AL35" i="17"/>
  <c r="AM38" i="17"/>
  <c r="AM42" i="17"/>
  <c r="AM47" i="17"/>
  <c r="AL47" i="17"/>
  <c r="AM9" i="17"/>
  <c r="AL43" i="17"/>
  <c r="AL48" i="17"/>
  <c r="BB38" i="17" l="1"/>
  <c r="BC17" i="17"/>
  <c r="AL49" i="17"/>
  <c r="BB52" i="17"/>
  <c r="AM49" i="17"/>
  <c r="BB43" i="17"/>
  <c r="BB48" i="17"/>
  <c r="BB47" i="17"/>
  <c r="AM44" i="17"/>
  <c r="BB41" i="17"/>
  <c r="BB44" i="17" s="1"/>
  <c r="AL44" i="17"/>
  <c r="BC45" i="17"/>
  <c r="AM53" i="17"/>
  <c r="BC48" i="17"/>
  <c r="BC47" i="17"/>
  <c r="BB36" i="17"/>
  <c r="AM37" i="17"/>
  <c r="AM39" i="17" s="1"/>
  <c r="AL53" i="17"/>
  <c r="BC9" i="17"/>
  <c r="AM20" i="17"/>
  <c r="BC14" i="17"/>
  <c r="AM32" i="17"/>
  <c r="BC52" i="17"/>
  <c r="BC13" i="17"/>
  <c r="BC35" i="17"/>
  <c r="BC38" i="17"/>
  <c r="BC36" i="17"/>
  <c r="BB45" i="17"/>
  <c r="BC42" i="17"/>
  <c r="BC41" i="17"/>
  <c r="BC11" i="17"/>
  <c r="AL37" i="17"/>
  <c r="AL39" i="17" s="1"/>
  <c r="BB35" i="17"/>
  <c r="BC51" i="17"/>
  <c r="BC43" i="17"/>
  <c r="BC30" i="17"/>
  <c r="BB51" i="17"/>
  <c r="BB53" i="17" s="1"/>
  <c r="AM15" i="17"/>
  <c r="AM85" i="17" l="1"/>
  <c r="BB49" i="17"/>
  <c r="AL85" i="17"/>
  <c r="BC49" i="17"/>
  <c r="BC44" i="17"/>
  <c r="BB37" i="17"/>
  <c r="BB39" i="17" s="1"/>
  <c r="AM21" i="17"/>
  <c r="BC53" i="17"/>
  <c r="BC37" i="17"/>
  <c r="BC39" i="17" s="1"/>
  <c r="BC15" i="17"/>
  <c r="BC20" i="17"/>
  <c r="BB85" i="17" l="1"/>
  <c r="BC85" i="17"/>
  <c r="BC21" i="17"/>
  <c r="AX285" i="28" l="1"/>
  <c r="BF285" i="28" s="1"/>
  <c r="BH285" i="28" s="1"/>
  <c r="BC65" i="73"/>
  <c r="BE65" i="73"/>
  <c r="AN16" i="61" l="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AL26" i="27"/>
  <c r="AL29" i="27"/>
  <c r="AM22" i="27"/>
  <c r="BC22" i="27" s="1"/>
  <c r="BB22" i="27" l="1"/>
  <c r="BB26" i="27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43" i="22" s="1"/>
  <c r="AN13" i="22"/>
  <c r="BD13" i="22" s="1"/>
  <c r="AN11" i="22"/>
  <c r="AN8" i="22"/>
  <c r="BD8" i="22" s="1"/>
  <c r="AN7" i="22"/>
  <c r="AN42" i="22" s="1"/>
  <c r="AN3" i="22"/>
  <c r="BD3" i="22" s="1"/>
  <c r="AM3" i="22"/>
  <c r="BC3" i="22" s="1"/>
  <c r="BD7" i="22" l="1"/>
  <c r="BD21" i="22"/>
  <c r="BD23" i="22" s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6" i="26"/>
  <c r="BC96" i="26" s="1"/>
  <c r="AM91" i="26"/>
  <c r="BC91" i="26" s="1"/>
  <c r="BB91" i="26"/>
  <c r="AM89" i="26"/>
  <c r="BC89" i="26" s="1"/>
  <c r="AM87" i="26"/>
  <c r="BC87" i="26" s="1"/>
  <c r="AM85" i="26"/>
  <c r="BC85" i="26" s="1"/>
  <c r="AM83" i="26"/>
  <c r="BC83" i="26" s="1"/>
  <c r="AM78" i="26"/>
  <c r="BC78" i="26" s="1"/>
  <c r="AM76" i="26"/>
  <c r="BC76" i="26" s="1"/>
  <c r="AM72" i="26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8" i="26"/>
  <c r="BC58" i="26" s="1"/>
  <c r="AM57" i="26"/>
  <c r="BC57" i="26" s="1"/>
  <c r="AM52" i="26"/>
  <c r="BC52" i="26" s="1"/>
  <c r="AL51" i="26"/>
  <c r="BB51" i="26" s="1"/>
  <c r="AM50" i="26"/>
  <c r="BC50" i="26" s="1"/>
  <c r="AM46" i="26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3" i="45" l="1"/>
  <c r="BC77" i="11"/>
  <c r="BD143" i="45"/>
  <c r="BC176" i="10"/>
  <c r="BD77" i="11"/>
  <c r="BD176" i="10"/>
  <c r="BD19" i="22"/>
  <c r="BD31" i="22"/>
  <c r="BC54" i="17"/>
  <c r="BC57" i="17"/>
  <c r="BC55" i="17"/>
  <c r="BC81" i="26"/>
  <c r="BC56" i="17"/>
  <c r="BC92" i="26"/>
  <c r="BD16" i="22"/>
  <c r="BD18" i="22"/>
  <c r="BD30" i="22"/>
  <c r="BD17" i="22"/>
  <c r="BD28" i="22"/>
  <c r="BD14" i="22"/>
  <c r="BC80" i="26"/>
  <c r="BC112" i="26"/>
  <c r="BC73" i="26"/>
  <c r="AM48" i="26"/>
  <c r="AM49" i="26" s="1"/>
  <c r="BC46" i="26"/>
  <c r="BC43" i="26"/>
  <c r="AM12" i="26"/>
  <c r="AM19" i="26" s="1"/>
  <c r="BC9" i="26"/>
  <c r="AM80" i="26"/>
  <c r="AM57" i="17"/>
  <c r="AM81" i="26"/>
  <c r="AM56" i="17"/>
  <c r="AM75" i="26"/>
  <c r="BC75" i="26" s="1"/>
  <c r="AM55" i="17"/>
  <c r="AM54" i="17"/>
  <c r="AM112" i="26"/>
  <c r="AM92" i="26"/>
  <c r="AM73" i="26"/>
  <c r="AM43" i="26"/>
  <c r="AQ52" i="38"/>
  <c r="AR46" i="38"/>
  <c r="BH46" i="38" s="1"/>
  <c r="AR45" i="38"/>
  <c r="BH45" i="38" s="1"/>
  <c r="AR44" i="38"/>
  <c r="BH44" i="38" s="1"/>
  <c r="AR43" i="38"/>
  <c r="BH43" i="38" s="1"/>
  <c r="AR41" i="38"/>
  <c r="BH41" i="38" s="1"/>
  <c r="AR38" i="38"/>
  <c r="BH38" i="38" s="1"/>
  <c r="AR37" i="38"/>
  <c r="BH37" i="38" s="1"/>
  <c r="AR36" i="38"/>
  <c r="BH36" i="38" s="1"/>
  <c r="AR35" i="38"/>
  <c r="BH35" i="38" s="1"/>
  <c r="AR32" i="38"/>
  <c r="AR31" i="38"/>
  <c r="AR30" i="38"/>
  <c r="AR29" i="38"/>
  <c r="AR28" i="38"/>
  <c r="AR27" i="38"/>
  <c r="AR26" i="38"/>
  <c r="AR25" i="38"/>
  <c r="AR24" i="38"/>
  <c r="AR23" i="38"/>
  <c r="AR22" i="38"/>
  <c r="BH22" i="38" s="1"/>
  <c r="BD90" i="8" s="1"/>
  <c r="AR21" i="38"/>
  <c r="AR20" i="38"/>
  <c r="AR19" i="38"/>
  <c r="AR14" i="38"/>
  <c r="AR13" i="38"/>
  <c r="AR10" i="38"/>
  <c r="AR9" i="38"/>
  <c r="AR8" i="38"/>
  <c r="AR7" i="38"/>
  <c r="AR3" i="38"/>
  <c r="AQ3" i="38"/>
  <c r="BC12" i="26" l="1"/>
  <c r="BC48" i="26"/>
  <c r="AM13" i="26"/>
  <c r="AM18" i="26"/>
  <c r="BH24" i="38"/>
  <c r="BH28" i="38"/>
  <c r="BH32" i="38"/>
  <c r="BH7" i="38"/>
  <c r="BH13" i="38"/>
  <c r="BH21" i="38"/>
  <c r="BH25" i="38"/>
  <c r="BH29" i="38"/>
  <c r="BD163" i="6"/>
  <c r="BK163" i="6" s="1"/>
  <c r="BH20" i="38"/>
  <c r="AQ51" i="38"/>
  <c r="BG3" i="38"/>
  <c r="AQ59" i="38"/>
  <c r="BH8" i="38"/>
  <c r="BH14" i="38"/>
  <c r="BH26" i="38"/>
  <c r="BH30" i="38"/>
  <c r="BH10" i="38"/>
  <c r="AR58" i="38"/>
  <c r="AR94" i="38"/>
  <c r="BH3" i="38"/>
  <c r="BH85" i="38" s="1"/>
  <c r="AR59" i="38"/>
  <c r="BH9" i="38"/>
  <c r="BH19" i="38"/>
  <c r="BD189" i="6" s="1"/>
  <c r="BK189" i="6" s="1"/>
  <c r="BH23" i="38"/>
  <c r="BD99" i="9" s="1"/>
  <c r="BH27" i="38"/>
  <c r="BH31" i="38"/>
  <c r="AM54" i="26"/>
  <c r="BC49" i="26"/>
  <c r="BC54" i="26"/>
  <c r="BC13" i="26"/>
  <c r="BC19" i="26"/>
  <c r="BC18" i="26"/>
  <c r="AN90" i="8"/>
  <c r="AR57" i="38"/>
  <c r="AR79" i="38"/>
  <c r="AR92" i="38"/>
  <c r="AR62" i="38"/>
  <c r="AR74" i="38"/>
  <c r="AR84" i="38"/>
  <c r="AR51" i="38"/>
  <c r="AR55" i="38"/>
  <c r="AR61" i="38"/>
  <c r="AR73" i="38"/>
  <c r="AR77" i="38"/>
  <c r="AR83" i="38"/>
  <c r="AN163" i="6"/>
  <c r="AR86" i="38"/>
  <c r="AR70" i="38"/>
  <c r="AR67" i="38"/>
  <c r="AN189" i="6"/>
  <c r="AR71" i="38"/>
  <c r="AR89" i="38"/>
  <c r="AR93" i="38"/>
  <c r="AR68" i="38"/>
  <c r="AR76" i="38"/>
  <c r="AR80" i="38"/>
  <c r="AR56" i="38"/>
  <c r="AR69" i="38"/>
  <c r="AR72" i="38"/>
  <c r="AR75" i="38"/>
  <c r="AR78" i="38"/>
  <c r="AR85" i="38"/>
  <c r="AR91" i="38"/>
  <c r="AK7" i="72"/>
  <c r="AI46" i="72"/>
  <c r="AI38" i="72"/>
  <c r="AI18" i="72"/>
  <c r="AI49" i="72" l="1"/>
  <c r="BA7" i="72"/>
  <c r="AM107" i="90"/>
  <c r="BC107" i="90" s="1"/>
  <c r="BH75" i="38"/>
  <c r="BH62" i="38"/>
  <c r="BH73" i="38"/>
  <c r="BH80" i="38"/>
  <c r="BH79" i="38"/>
  <c r="BH68" i="38"/>
  <c r="BH67" i="38"/>
  <c r="BH78" i="38"/>
  <c r="BH61" i="38"/>
  <c r="BH72" i="38"/>
  <c r="BH57" i="38"/>
  <c r="BH51" i="38"/>
  <c r="BH59" i="38"/>
  <c r="BH58" i="38"/>
  <c r="BG51" i="38"/>
  <c r="BG59" i="38"/>
  <c r="BH83" i="38"/>
  <c r="BH70" i="38"/>
  <c r="BH71" i="38"/>
  <c r="BH91" i="38"/>
  <c r="BH94" i="38"/>
  <c r="BH92" i="38"/>
  <c r="BH93" i="38"/>
  <c r="BH84" i="38"/>
  <c r="BH74" i="38"/>
  <c r="BH56" i="38"/>
  <c r="BH86" i="38"/>
  <c r="BH89" i="38"/>
  <c r="BH77" i="38"/>
  <c r="BH69" i="38"/>
  <c r="BH55" i="38"/>
  <c r="BH76" i="38"/>
  <c r="AI51" i="72" l="1"/>
  <c r="BD49" i="11"/>
  <c r="BF21" i="11" l="1"/>
  <c r="BF32" i="11"/>
  <c r="AX49" i="11"/>
  <c r="BF49" i="11" l="1"/>
  <c r="AO153" i="45"/>
  <c r="BE153" i="45" s="1"/>
  <c r="BL153" i="45" s="1"/>
  <c r="AO152" i="45"/>
  <c r="AO148" i="45"/>
  <c r="BE148" i="45" s="1"/>
  <c r="BL148" i="45" s="1"/>
  <c r="AO147" i="45"/>
  <c r="BE147" i="45" s="1"/>
  <c r="BL147" i="45" s="1"/>
  <c r="AO136" i="45"/>
  <c r="BE136" i="45" s="1"/>
  <c r="BL136" i="45" s="1"/>
  <c r="BD136" i="45"/>
  <c r="BK136" i="45" s="1"/>
  <c r="AO134" i="45"/>
  <c r="BE134" i="45" s="1"/>
  <c r="BL134" i="45" s="1"/>
  <c r="BD134" i="45"/>
  <c r="BK134" i="45" s="1"/>
  <c r="AO8" i="45"/>
  <c r="AO7" i="45"/>
  <c r="BD7" i="45"/>
  <c r="BK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1" i="11"/>
  <c r="BD50" i="11"/>
  <c r="BD48" i="11"/>
  <c r="BD47" i="11"/>
  <c r="BD46" i="11"/>
  <c r="BD45" i="11"/>
  <c r="AN44" i="11"/>
  <c r="BD44" i="11" s="1"/>
  <c r="AN7" i="11"/>
  <c r="BD7" i="11" s="1"/>
  <c r="AN5" i="11"/>
  <c r="AM5" i="11"/>
  <c r="BC5" i="11" s="1"/>
  <c r="AN2" i="11"/>
  <c r="AM2" i="11"/>
  <c r="AN185" i="10"/>
  <c r="AN181" i="10"/>
  <c r="BD181" i="10" s="1"/>
  <c r="BK181" i="10" s="1"/>
  <c r="AN180" i="10"/>
  <c r="BD180" i="10" s="1"/>
  <c r="BK180" i="10" s="1"/>
  <c r="AN169" i="10"/>
  <c r="BD169" i="10" s="1"/>
  <c r="BK169" i="10" s="1"/>
  <c r="AM169" i="10"/>
  <c r="BC169" i="10" s="1"/>
  <c r="BJ169" i="10" s="1"/>
  <c r="AN167" i="10"/>
  <c r="BD167" i="10" s="1"/>
  <c r="BK167" i="10" s="1"/>
  <c r="AM167" i="10"/>
  <c r="BC167" i="10" s="1"/>
  <c r="BJ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M118" i="90" s="1"/>
  <c r="BC118" i="90" s="1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0" i="8"/>
  <c r="AO73" i="8"/>
  <c r="AO52" i="8"/>
  <c r="AR41" i="59" s="1"/>
  <c r="AN97" i="8"/>
  <c r="AN148" i="8" s="1"/>
  <c r="AM73" i="8"/>
  <c r="AM61" i="8"/>
  <c r="BC61" i="8" s="1"/>
  <c r="AN60" i="8"/>
  <c r="AN33" i="8"/>
  <c r="AM33" i="8"/>
  <c r="BC33" i="8" s="1"/>
  <c r="AN31" i="8"/>
  <c r="AN30" i="8"/>
  <c r="AN29" i="8"/>
  <c r="AN28" i="8"/>
  <c r="BD28" i="8" s="1"/>
  <c r="AN27" i="8"/>
  <c r="AN25" i="8"/>
  <c r="AN24" i="8"/>
  <c r="AN23" i="8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AN2" i="8"/>
  <c r="AM2" i="8"/>
  <c r="BC2" i="8" s="1"/>
  <c r="BD30" i="8" l="1"/>
  <c r="BD156" i="8" s="1"/>
  <c r="AN156" i="8"/>
  <c r="BD23" i="8"/>
  <c r="BD149" i="8" s="1"/>
  <c r="AN149" i="8"/>
  <c r="BD24" i="8"/>
  <c r="BD150" i="8" s="1"/>
  <c r="AN150" i="8"/>
  <c r="BD25" i="8"/>
  <c r="BD152" i="8" s="1"/>
  <c r="AN152" i="8"/>
  <c r="BD31" i="8"/>
  <c r="BD155" i="8" s="1"/>
  <c r="AN155" i="8"/>
  <c r="BD27" i="8"/>
  <c r="BD153" i="8" s="1"/>
  <c r="AN153" i="8"/>
  <c r="BD33" i="8"/>
  <c r="BD151" i="8" s="1"/>
  <c r="AN151" i="8"/>
  <c r="BD29" i="8"/>
  <c r="BD154" i="8" s="1"/>
  <c r="AN154" i="8"/>
  <c r="BD6" i="8"/>
  <c r="BD39" i="8" s="1"/>
  <c r="BD97" i="8"/>
  <c r="BD148" i="8" s="1"/>
  <c r="AO171" i="45"/>
  <c r="AO177" i="45" s="1"/>
  <c r="AO121" i="45"/>
  <c r="AO159" i="45" s="1"/>
  <c r="AN144" i="45"/>
  <c r="AN141" i="45"/>
  <c r="AN142" i="45"/>
  <c r="AN143" i="45"/>
  <c r="CB62" i="71"/>
  <c r="BD29" i="9"/>
  <c r="BE8" i="45"/>
  <c r="BL8" i="45" s="1"/>
  <c r="BD38" i="9"/>
  <c r="BD2" i="11"/>
  <c r="AN77" i="11"/>
  <c r="BC2" i="11"/>
  <c r="AM77" i="11"/>
  <c r="BD2" i="45"/>
  <c r="BE2" i="45"/>
  <c r="AO143" i="45"/>
  <c r="BC38" i="9"/>
  <c r="AM20" i="35"/>
  <c r="BC20" i="35" s="1"/>
  <c r="BC29" i="9"/>
  <c r="AM19" i="35"/>
  <c r="BC19" i="35" s="1"/>
  <c r="BD182" i="10"/>
  <c r="BD44" i="8"/>
  <c r="BC71" i="11"/>
  <c r="BE149" i="45"/>
  <c r="AL8" i="15"/>
  <c r="BC18" i="8"/>
  <c r="BB8" i="15" s="1"/>
  <c r="BD45" i="8"/>
  <c r="AN91" i="11"/>
  <c r="BD86" i="11"/>
  <c r="BD91" i="11" s="1"/>
  <c r="AM8" i="15"/>
  <c r="BD18" i="8"/>
  <c r="AN89" i="11"/>
  <c r="BD5" i="11"/>
  <c r="BD89" i="11" s="1"/>
  <c r="AN83" i="11"/>
  <c r="AN84" i="11" s="1"/>
  <c r="BD81" i="11"/>
  <c r="BD83" i="11" s="1"/>
  <c r="BC69" i="11"/>
  <c r="BF68" i="59" s="1"/>
  <c r="BD57" i="11"/>
  <c r="BD69" i="11"/>
  <c r="BG68" i="59" s="1"/>
  <c r="BD71" i="11"/>
  <c r="BC168" i="10"/>
  <c r="BF64" i="59" s="1"/>
  <c r="BC170" i="10"/>
  <c r="BC5" i="10"/>
  <c r="BJ5" i="10" s="1"/>
  <c r="BD168" i="10"/>
  <c r="BG64" i="59" s="1"/>
  <c r="BD170" i="10"/>
  <c r="AN188" i="10"/>
  <c r="BD5" i="10"/>
  <c r="BD7" i="10"/>
  <c r="BK7" i="10" s="1"/>
  <c r="AN190" i="10"/>
  <c r="BD185" i="10"/>
  <c r="BD56" i="11"/>
  <c r="BD59" i="11"/>
  <c r="BD55" i="11"/>
  <c r="BD92" i="11" s="1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7" i="45"/>
  <c r="BD135" i="45"/>
  <c r="BF72" i="59" s="1"/>
  <c r="BE135" i="45"/>
  <c r="BG72" i="59" s="1"/>
  <c r="BE137" i="45"/>
  <c r="BE123" i="45"/>
  <c r="BL123" i="45" s="1"/>
  <c r="AO138" i="45"/>
  <c r="BE7" i="45"/>
  <c r="AO157" i="45"/>
  <c r="BE152" i="45"/>
  <c r="AN88" i="8"/>
  <c r="BD2" i="8"/>
  <c r="AN36" i="9"/>
  <c r="AN31" i="9"/>
  <c r="AN45" i="8"/>
  <c r="AN69" i="11"/>
  <c r="AO149" i="45"/>
  <c r="AO156" i="45" s="1"/>
  <c r="AN71" i="11"/>
  <c r="AN57" i="11"/>
  <c r="AN93" i="11" s="1"/>
  <c r="AN72" i="11"/>
  <c r="AN56" i="11"/>
  <c r="AN59" i="11"/>
  <c r="AN182" i="10"/>
  <c r="AN189" i="10" s="1"/>
  <c r="AN34" i="9"/>
  <c r="AN10" i="9"/>
  <c r="AO137" i="45"/>
  <c r="AO123" i="45"/>
  <c r="AO151" i="45" s="1"/>
  <c r="AO155" i="45"/>
  <c r="AO122" i="45"/>
  <c r="AO135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N81" i="8"/>
  <c r="AN41" i="8"/>
  <c r="AN40" i="8"/>
  <c r="AN44" i="8"/>
  <c r="AN47" i="8"/>
  <c r="AN80" i="8"/>
  <c r="AN43" i="8"/>
  <c r="AN108" i="8"/>
  <c r="AN109" i="8" s="1"/>
  <c r="AN82" i="8"/>
  <c r="BD82" i="8" s="1"/>
  <c r="BG49" i="59" s="1"/>
  <c r="AN89" i="8"/>
  <c r="BD89" i="8" s="1"/>
  <c r="AN83" i="8"/>
  <c r="BD83" i="8" s="1"/>
  <c r="BG50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4" i="7"/>
  <c r="BD74" i="7" s="1"/>
  <c r="AM74" i="7"/>
  <c r="BC74" i="7" s="1"/>
  <c r="AN72" i="7"/>
  <c r="BD72" i="7" s="1"/>
  <c r="AM72" i="7"/>
  <c r="BC72" i="7" s="1"/>
  <c r="AN68" i="7"/>
  <c r="BD68" i="7" s="1"/>
  <c r="AN66" i="7"/>
  <c r="BD66" i="7" s="1"/>
  <c r="AM66" i="7"/>
  <c r="BC66" i="7" s="1"/>
  <c r="AN65" i="7"/>
  <c r="BD65" i="7" s="1"/>
  <c r="AM65" i="7"/>
  <c r="BC65" i="7" s="1"/>
  <c r="AN50" i="7"/>
  <c r="AM50" i="7"/>
  <c r="AN48" i="7"/>
  <c r="AM48" i="7"/>
  <c r="AN47" i="7"/>
  <c r="AM47" i="7"/>
  <c r="AN46" i="7"/>
  <c r="AM46" i="7"/>
  <c r="AN45" i="7"/>
  <c r="AN57" i="7" s="1"/>
  <c r="AN90" i="7" s="1"/>
  <c r="AQ32" i="59" s="1"/>
  <c r="AM45" i="7"/>
  <c r="AM57" i="7" s="1"/>
  <c r="AM90" i="7" s="1"/>
  <c r="AP32" i="59" s="1"/>
  <c r="AN44" i="7"/>
  <c r="AM44" i="7"/>
  <c r="AN43" i="7"/>
  <c r="AM43" i="7"/>
  <c r="AN42" i="7"/>
  <c r="AM42" i="7"/>
  <c r="AN6" i="7"/>
  <c r="BD6" i="7" s="1"/>
  <c r="AM6" i="7"/>
  <c r="BC6" i="7" s="1"/>
  <c r="AN2" i="7"/>
  <c r="AM2" i="7"/>
  <c r="BC2" i="7" s="1"/>
  <c r="AL1" i="7"/>
  <c r="AL80" i="7" s="1"/>
  <c r="AK1" i="7"/>
  <c r="AK80" i="7" s="1"/>
  <c r="AO195" i="6"/>
  <c r="AO194" i="6"/>
  <c r="AO193" i="6"/>
  <c r="AO186" i="6"/>
  <c r="AO185" i="6"/>
  <c r="AO182" i="6"/>
  <c r="AO181" i="6"/>
  <c r="AO180" i="6"/>
  <c r="AO179" i="6"/>
  <c r="AO178" i="6"/>
  <c r="AO177" i="6"/>
  <c r="AO175" i="6"/>
  <c r="AO174" i="6"/>
  <c r="AO173" i="6"/>
  <c r="AO161" i="6"/>
  <c r="AO160" i="6"/>
  <c r="AO157" i="6"/>
  <c r="AO156" i="6"/>
  <c r="AO155" i="6"/>
  <c r="AO154" i="6"/>
  <c r="AO153" i="6"/>
  <c r="AO152" i="6"/>
  <c r="AO150" i="6"/>
  <c r="AO149" i="6"/>
  <c r="AO148" i="6"/>
  <c r="AO85" i="6"/>
  <c r="AO83" i="6"/>
  <c r="AO82" i="6"/>
  <c r="AO80" i="6"/>
  <c r="AO79" i="6"/>
  <c r="AO40" i="6"/>
  <c r="AO39" i="6"/>
  <c r="AO38" i="6"/>
  <c r="AO37" i="6"/>
  <c r="AM195" i="6"/>
  <c r="AM194" i="6"/>
  <c r="AM193" i="6"/>
  <c r="AM186" i="6"/>
  <c r="AM185" i="6"/>
  <c r="AM182" i="6"/>
  <c r="AM181" i="6"/>
  <c r="AM180" i="6"/>
  <c r="AM179" i="6"/>
  <c r="AM178" i="6"/>
  <c r="AM177" i="6"/>
  <c r="AM175" i="6"/>
  <c r="AM174" i="6"/>
  <c r="AM173" i="6"/>
  <c r="AM165" i="6"/>
  <c r="AM161" i="6"/>
  <c r="AM160" i="6"/>
  <c r="AN159" i="6"/>
  <c r="AM157" i="6"/>
  <c r="AM156" i="6"/>
  <c r="AM155" i="6"/>
  <c r="AM154" i="6"/>
  <c r="AM153" i="6"/>
  <c r="AM152" i="6"/>
  <c r="AM150" i="6"/>
  <c r="AM149" i="6"/>
  <c r="AM148" i="6"/>
  <c r="AN121" i="6"/>
  <c r="BD121" i="6" s="1"/>
  <c r="BK121" i="6" s="1"/>
  <c r="AN118" i="6"/>
  <c r="BD118" i="6" s="1"/>
  <c r="BK118" i="6" s="1"/>
  <c r="AM118" i="6"/>
  <c r="BC118" i="6" s="1"/>
  <c r="BJ118" i="6" s="1"/>
  <c r="AN117" i="6"/>
  <c r="BD117" i="6" s="1"/>
  <c r="BK117" i="6" s="1"/>
  <c r="AM117" i="6"/>
  <c r="BC117" i="6" s="1"/>
  <c r="BJ117" i="6" s="1"/>
  <c r="AN116" i="6"/>
  <c r="BD116" i="6" s="1"/>
  <c r="BK116" i="6" s="1"/>
  <c r="AM116" i="6"/>
  <c r="BC116" i="6" s="1"/>
  <c r="BJ116" i="6" s="1"/>
  <c r="AN115" i="6"/>
  <c r="BD115" i="6" s="1"/>
  <c r="BK115" i="6" s="1"/>
  <c r="AM115" i="6"/>
  <c r="BC115" i="6" s="1"/>
  <c r="BJ115" i="6" s="1"/>
  <c r="AN113" i="6"/>
  <c r="BD113" i="6" s="1"/>
  <c r="BK113" i="6" s="1"/>
  <c r="AM113" i="6"/>
  <c r="BC113" i="6" s="1"/>
  <c r="BJ113" i="6" s="1"/>
  <c r="AN112" i="6"/>
  <c r="BD112" i="6" s="1"/>
  <c r="BK112" i="6" s="1"/>
  <c r="AM112" i="6"/>
  <c r="BC112" i="6" s="1"/>
  <c r="BJ112" i="6" s="1"/>
  <c r="AN110" i="6"/>
  <c r="BD110" i="6" s="1"/>
  <c r="BK110" i="6" s="1"/>
  <c r="AM110" i="6"/>
  <c r="BC110" i="6" s="1"/>
  <c r="BJ110" i="6" s="1"/>
  <c r="AN109" i="6"/>
  <c r="BD109" i="6" s="1"/>
  <c r="BK109" i="6" s="1"/>
  <c r="AM109" i="6"/>
  <c r="BC109" i="6" s="1"/>
  <c r="BJ109" i="6" s="1"/>
  <c r="AN108" i="6"/>
  <c r="BD108" i="6" s="1"/>
  <c r="BK108" i="6" s="1"/>
  <c r="AM108" i="6"/>
  <c r="BC108" i="6" s="1"/>
  <c r="BJ108" i="6" s="1"/>
  <c r="AN105" i="6"/>
  <c r="BD105" i="6" s="1"/>
  <c r="BK105" i="6" s="1"/>
  <c r="AN100" i="6"/>
  <c r="BD100" i="6" s="1"/>
  <c r="BK100" i="6" s="1"/>
  <c r="AM100" i="6"/>
  <c r="BC100" i="6" s="1"/>
  <c r="BJ100" i="6" s="1"/>
  <c r="AN99" i="6"/>
  <c r="BD99" i="6" s="1"/>
  <c r="BK99" i="6" s="1"/>
  <c r="AM99" i="6"/>
  <c r="BC99" i="6" s="1"/>
  <c r="BJ99" i="6" s="1"/>
  <c r="AN97" i="6"/>
  <c r="BD97" i="6" s="1"/>
  <c r="BK97" i="6" s="1"/>
  <c r="AM97" i="6"/>
  <c r="BC97" i="6" s="1"/>
  <c r="BJ97" i="6" s="1"/>
  <c r="AN96" i="6"/>
  <c r="BD96" i="6" s="1"/>
  <c r="BK96" i="6" s="1"/>
  <c r="AM96" i="6"/>
  <c r="BC96" i="6" s="1"/>
  <c r="BJ96" i="6" s="1"/>
  <c r="AN93" i="6"/>
  <c r="BD93" i="6" s="1"/>
  <c r="BK93" i="6" s="1"/>
  <c r="AM93" i="6"/>
  <c r="BC93" i="6" s="1"/>
  <c r="BJ93" i="6" s="1"/>
  <c r="AN92" i="6"/>
  <c r="BD92" i="6" s="1"/>
  <c r="BK92" i="6" s="1"/>
  <c r="AM92" i="6"/>
  <c r="BC92" i="6" s="1"/>
  <c r="BJ92" i="6" s="1"/>
  <c r="AN91" i="6"/>
  <c r="BD91" i="6" s="1"/>
  <c r="BK91" i="6" s="1"/>
  <c r="AM91" i="6"/>
  <c r="BC91" i="6" s="1"/>
  <c r="BJ91" i="6" s="1"/>
  <c r="AN88" i="6"/>
  <c r="BD88" i="6" s="1"/>
  <c r="BK88" i="6" s="1"/>
  <c r="AM88" i="6"/>
  <c r="BC88" i="6" s="1"/>
  <c r="BJ88" i="6" s="1"/>
  <c r="AN87" i="6"/>
  <c r="BD87" i="6" s="1"/>
  <c r="BK87" i="6" s="1"/>
  <c r="AN86" i="6"/>
  <c r="BD86" i="6" s="1"/>
  <c r="BK86" i="6" s="1"/>
  <c r="AM85" i="6"/>
  <c r="AM83" i="6"/>
  <c r="AM82" i="6"/>
  <c r="AM80" i="6"/>
  <c r="AM79" i="6"/>
  <c r="AN76" i="6"/>
  <c r="BD76" i="6" s="1"/>
  <c r="BK76" i="6" s="1"/>
  <c r="AM76" i="6"/>
  <c r="BC76" i="6" s="1"/>
  <c r="BJ76" i="6" s="1"/>
  <c r="AN75" i="6"/>
  <c r="BD75" i="6" s="1"/>
  <c r="BK75" i="6" s="1"/>
  <c r="AM75" i="6"/>
  <c r="BC75" i="6" s="1"/>
  <c r="BJ75" i="6" s="1"/>
  <c r="AN74" i="6"/>
  <c r="BD74" i="6" s="1"/>
  <c r="BK74" i="6" s="1"/>
  <c r="AM74" i="6"/>
  <c r="BC74" i="6" s="1"/>
  <c r="BJ74" i="6" s="1"/>
  <c r="AN73" i="6"/>
  <c r="BD73" i="6" s="1"/>
  <c r="BK73" i="6" s="1"/>
  <c r="AM73" i="6"/>
  <c r="BC73" i="6" s="1"/>
  <c r="BJ73" i="6" s="1"/>
  <c r="AN72" i="6"/>
  <c r="BD72" i="6" s="1"/>
  <c r="BK72" i="6" s="1"/>
  <c r="AM72" i="6"/>
  <c r="BC72" i="6" s="1"/>
  <c r="BJ72" i="6" s="1"/>
  <c r="AN70" i="6"/>
  <c r="BD70" i="6" s="1"/>
  <c r="BK70" i="6" s="1"/>
  <c r="AM70" i="6"/>
  <c r="BC70" i="6" s="1"/>
  <c r="BJ70" i="6" s="1"/>
  <c r="AN68" i="6"/>
  <c r="BD68" i="6" s="1"/>
  <c r="BK68" i="6" s="1"/>
  <c r="AM68" i="6"/>
  <c r="BC68" i="6" s="1"/>
  <c r="BJ68" i="6" s="1"/>
  <c r="AN67" i="6"/>
  <c r="AM67" i="6"/>
  <c r="BC67" i="6" s="1"/>
  <c r="BJ67" i="6" s="1"/>
  <c r="AN65" i="6"/>
  <c r="BD65" i="6" s="1"/>
  <c r="BK65" i="6" s="1"/>
  <c r="AM65" i="6"/>
  <c r="BC65" i="6" s="1"/>
  <c r="BJ65" i="6" s="1"/>
  <c r="AN64" i="6"/>
  <c r="BD64" i="6" s="1"/>
  <c r="BK64" i="6" s="1"/>
  <c r="AM64" i="6"/>
  <c r="AN53" i="6"/>
  <c r="BD53" i="6" s="1"/>
  <c r="BK53" i="6" s="1"/>
  <c r="AN52" i="6"/>
  <c r="BD52" i="6" s="1"/>
  <c r="BK52" i="6" s="1"/>
  <c r="AN50" i="6"/>
  <c r="BD50" i="6" s="1"/>
  <c r="BK50" i="6" s="1"/>
  <c r="AN49" i="6"/>
  <c r="BD49" i="6" s="1"/>
  <c r="BK49" i="6" s="1"/>
  <c r="AN47" i="6"/>
  <c r="BD47" i="6" s="1"/>
  <c r="BK47" i="6" s="1"/>
  <c r="AN46" i="6"/>
  <c r="AN44" i="6"/>
  <c r="AN43" i="6"/>
  <c r="BD43" i="6" s="1"/>
  <c r="BK43" i="6" s="1"/>
  <c r="AM40" i="6"/>
  <c r="AM39" i="6"/>
  <c r="AM38" i="6"/>
  <c r="AM37" i="6"/>
  <c r="AN31" i="6"/>
  <c r="BD31" i="6" s="1"/>
  <c r="BK31" i="6" s="1"/>
  <c r="AN30" i="6"/>
  <c r="AN28" i="6"/>
  <c r="BD28" i="6" s="1"/>
  <c r="BK28" i="6" s="1"/>
  <c r="AN27" i="6"/>
  <c r="BD27" i="6" s="1"/>
  <c r="BK27" i="6" s="1"/>
  <c r="AN25" i="6"/>
  <c r="BD25" i="6" s="1"/>
  <c r="BK25" i="6" s="1"/>
  <c r="AN24" i="6"/>
  <c r="BD24" i="6" s="1"/>
  <c r="BK24" i="6" s="1"/>
  <c r="AN2" i="6"/>
  <c r="BD2" i="6" s="1"/>
  <c r="AM2" i="6"/>
  <c r="BC43" i="7" l="1"/>
  <c r="AM55" i="7"/>
  <c r="AM89" i="7" s="1"/>
  <c r="BC47" i="7"/>
  <c r="AM59" i="7"/>
  <c r="BC50" i="7"/>
  <c r="AM62" i="7"/>
  <c r="BD43" i="7"/>
  <c r="AN55" i="7"/>
  <c r="AN89" i="7" s="1"/>
  <c r="BD47" i="7"/>
  <c r="AN59" i="7"/>
  <c r="BD50" i="7"/>
  <c r="AN62" i="7"/>
  <c r="BC42" i="7"/>
  <c r="AM54" i="7"/>
  <c r="AM88" i="7" s="1"/>
  <c r="BC44" i="7"/>
  <c r="AM56" i="7"/>
  <c r="AM102" i="7" s="1"/>
  <c r="BC46" i="7"/>
  <c r="AM58" i="7"/>
  <c r="BC48" i="7"/>
  <c r="AM60" i="7"/>
  <c r="BD42" i="7"/>
  <c r="AN54" i="7"/>
  <c r="AN88" i="7" s="1"/>
  <c r="BD44" i="7"/>
  <c r="AN56" i="7"/>
  <c r="AN102" i="7" s="1"/>
  <c r="BD46" i="7"/>
  <c r="AN58" i="7"/>
  <c r="BD48" i="7"/>
  <c r="AN60" i="7"/>
  <c r="BD47" i="8"/>
  <c r="AQ46" i="59"/>
  <c r="AN137" i="8"/>
  <c r="AQ45" i="59"/>
  <c r="AN135" i="8"/>
  <c r="BD43" i="8"/>
  <c r="BD108" i="8"/>
  <c r="BD110" i="8" s="1"/>
  <c r="BG47" i="59"/>
  <c r="BD136" i="8"/>
  <c r="AQ47" i="59"/>
  <c r="AN136" i="8"/>
  <c r="BD26" i="8"/>
  <c r="BD46" i="8"/>
  <c r="BD41" i="8"/>
  <c r="BD189" i="10"/>
  <c r="BK189" i="10" s="1"/>
  <c r="BK182" i="10"/>
  <c r="BD58" i="11"/>
  <c r="BE156" i="45"/>
  <c r="BL156" i="45" s="1"/>
  <c r="BL149" i="45"/>
  <c r="BE157" i="45"/>
  <c r="BL157" i="45" s="1"/>
  <c r="BL152" i="45"/>
  <c r="BD190" i="10"/>
  <c r="BK190" i="10" s="1"/>
  <c r="BK185" i="10"/>
  <c r="BE155" i="45"/>
  <c r="BL155" i="45" s="1"/>
  <c r="BL7" i="45"/>
  <c r="BD188" i="10"/>
  <c r="BK188" i="10" s="1"/>
  <c r="BK5" i="10"/>
  <c r="BC45" i="7"/>
  <c r="AM161" i="7"/>
  <c r="BD45" i="7"/>
  <c r="AN161" i="7"/>
  <c r="AM157" i="7"/>
  <c r="AM159" i="7" s="1"/>
  <c r="AN157" i="7"/>
  <c r="AN159" i="7" s="1"/>
  <c r="BD35" i="9"/>
  <c r="BD31" i="9"/>
  <c r="BD37" i="9" s="1"/>
  <c r="BE171" i="45"/>
  <c r="BE177" i="45" s="1"/>
  <c r="BE121" i="45"/>
  <c r="BD46" i="9"/>
  <c r="BE122" i="45"/>
  <c r="CR62" i="71"/>
  <c r="BC2" i="6"/>
  <c r="AM12" i="6"/>
  <c r="AM13" i="6"/>
  <c r="BD72" i="11"/>
  <c r="BD67" i="7"/>
  <c r="BD60" i="11"/>
  <c r="BD80" i="8"/>
  <c r="BG44" i="59" s="1"/>
  <c r="AN90" i="11"/>
  <c r="BC67" i="7"/>
  <c r="AN183" i="10"/>
  <c r="BC69" i="6"/>
  <c r="BJ69" i="6" s="1"/>
  <c r="BD51" i="9"/>
  <c r="BD171" i="10"/>
  <c r="BC114" i="6"/>
  <c r="BJ114" i="6" s="1"/>
  <c r="BD114" i="6"/>
  <c r="BK114" i="6" s="1"/>
  <c r="BD42" i="8"/>
  <c r="BD109" i="8"/>
  <c r="BD52" i="8" s="1"/>
  <c r="AO150" i="45"/>
  <c r="BD1" i="7"/>
  <c r="BD75" i="7"/>
  <c r="AN84" i="7"/>
  <c r="BD2" i="7"/>
  <c r="BD90" i="11"/>
  <c r="BD84" i="11"/>
  <c r="BC8" i="15"/>
  <c r="BD81" i="8"/>
  <c r="BG51" i="59" s="1"/>
  <c r="BC75" i="7"/>
  <c r="BC1" i="7"/>
  <c r="BD136" i="9"/>
  <c r="BD10" i="9"/>
  <c r="BD66" i="6"/>
  <c r="BK66" i="6" s="1"/>
  <c r="BD85" i="11"/>
  <c r="BD93" i="11"/>
  <c r="BD94" i="11" s="1"/>
  <c r="BD183" i="10"/>
  <c r="BK183" i="10" s="1"/>
  <c r="BD138" i="9"/>
  <c r="BD87" i="8"/>
  <c r="BD88" i="8"/>
  <c r="BD77" i="6"/>
  <c r="BK77" i="6" s="1"/>
  <c r="AN161" i="6"/>
  <c r="BD159" i="6"/>
  <c r="BK159" i="6" s="1"/>
  <c r="AM66" i="6"/>
  <c r="BC64" i="6"/>
  <c r="BC103" i="6"/>
  <c r="BJ103" i="6" s="1"/>
  <c r="BD188" i="6"/>
  <c r="BD187" i="6"/>
  <c r="BD162" i="6"/>
  <c r="AN69" i="6"/>
  <c r="BD67" i="6"/>
  <c r="BD103" i="6"/>
  <c r="BK103" i="6" s="1"/>
  <c r="BC77" i="6"/>
  <c r="BJ77" i="6" s="1"/>
  <c r="BD51" i="6"/>
  <c r="BK51" i="6" s="1"/>
  <c r="AN79" i="11"/>
  <c r="AQ69" i="59" s="1"/>
  <c r="BD22" i="36"/>
  <c r="BD79" i="11"/>
  <c r="BG69" i="59" s="1"/>
  <c r="BD29" i="6"/>
  <c r="BK29" i="6" s="1"/>
  <c r="BD26" i="6"/>
  <c r="BK26" i="6" s="1"/>
  <c r="AN32" i="6"/>
  <c r="BD30" i="6"/>
  <c r="BD139" i="9"/>
  <c r="BD137" i="9"/>
  <c r="BC103" i="9"/>
  <c r="BD101" i="9"/>
  <c r="BD25" i="9"/>
  <c r="BD135" i="9"/>
  <c r="AN45" i="6"/>
  <c r="BD44" i="6"/>
  <c r="AN48" i="6"/>
  <c r="BD46" i="6"/>
  <c r="BD54" i="6"/>
  <c r="BK54" i="6" s="1"/>
  <c r="BE138" i="45"/>
  <c r="BE150" i="45"/>
  <c r="BL150" i="45" s="1"/>
  <c r="BE160" i="45"/>
  <c r="BL160" i="45" s="1"/>
  <c r="BE151" i="45"/>
  <c r="BL151" i="45" s="1"/>
  <c r="AN85" i="11"/>
  <c r="AN58" i="11"/>
  <c r="AQ67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88" i="6"/>
  <c r="AN187" i="6"/>
  <c r="AN162" i="6"/>
  <c r="AO160" i="45"/>
  <c r="AO161" i="45" s="1"/>
  <c r="AN60" i="11"/>
  <c r="AN192" i="10"/>
  <c r="AN66" i="6"/>
  <c r="AN29" i="6"/>
  <c r="AN103" i="6"/>
  <c r="AN75" i="7"/>
  <c r="AN67" i="7"/>
  <c r="AM114" i="6"/>
  <c r="AM77" i="6"/>
  <c r="AO125" i="45"/>
  <c r="AO126" i="45" s="1"/>
  <c r="AO124" i="45"/>
  <c r="AQ71" i="59" s="1"/>
  <c r="AO145" i="45"/>
  <c r="AQ73" i="59" s="1"/>
  <c r="AN42" i="8"/>
  <c r="AN52" i="8"/>
  <c r="AN110" i="8"/>
  <c r="AN111" i="8" s="1"/>
  <c r="AN53" i="8" s="1"/>
  <c r="AM75" i="7"/>
  <c r="AM67" i="7"/>
  <c r="AM21" i="7"/>
  <c r="AN119" i="6"/>
  <c r="BD119" i="6" s="1"/>
  <c r="BK119" i="6" s="1"/>
  <c r="AM119" i="6"/>
  <c r="BC119" i="6" s="1"/>
  <c r="BJ119" i="6" s="1"/>
  <c r="AN114" i="6"/>
  <c r="AM103" i="6"/>
  <c r="AN77" i="6"/>
  <c r="AN13" i="6"/>
  <c r="AM126" i="6"/>
  <c r="BC126" i="6" s="1"/>
  <c r="BJ126" i="6" s="1"/>
  <c r="BD470" i="28"/>
  <c r="BK470" i="28" s="1"/>
  <c r="BD471" i="28"/>
  <c r="BK471" i="28" s="1"/>
  <c r="AN472" i="28"/>
  <c r="BD472" i="28" s="1"/>
  <c r="BK472" i="28" s="1"/>
  <c r="AN476" i="28"/>
  <c r="BD476" i="28" s="1"/>
  <c r="BK476" i="28" s="1"/>
  <c r="AN479" i="28"/>
  <c r="BD479" i="28" s="1"/>
  <c r="BK479" i="28" s="1"/>
  <c r="AN482" i="28"/>
  <c r="BD482" i="28" s="1"/>
  <c r="BK482" i="28" s="1"/>
  <c r="AN483" i="28"/>
  <c r="BD483" i="28" s="1"/>
  <c r="BK483" i="28" s="1"/>
  <c r="BD485" i="28"/>
  <c r="BK485" i="28" s="1"/>
  <c r="AN486" i="28"/>
  <c r="BD486" i="28" s="1"/>
  <c r="BK486" i="28" s="1"/>
  <c r="AN487" i="28"/>
  <c r="BD487" i="28" s="1"/>
  <c r="BK487" i="28" s="1"/>
  <c r="AN488" i="28"/>
  <c r="BD488" i="28" s="1"/>
  <c r="BK488" i="28" s="1"/>
  <c r="AN489" i="28"/>
  <c r="BD489" i="28" s="1"/>
  <c r="BK489" i="28" s="1"/>
  <c r="AN490" i="28"/>
  <c r="BD490" i="28" s="1"/>
  <c r="BK490" i="28" s="1"/>
  <c r="AN491" i="28"/>
  <c r="BD491" i="28" s="1"/>
  <c r="BK491" i="28" s="1"/>
  <c r="AN414" i="28"/>
  <c r="BD414" i="28" s="1"/>
  <c r="BK414" i="28" s="1"/>
  <c r="BD260" i="28"/>
  <c r="BK260" i="28" s="1"/>
  <c r="BD263" i="28"/>
  <c r="BK263" i="28" s="1"/>
  <c r="AN227" i="28"/>
  <c r="BD227" i="28" s="1"/>
  <c r="BK227" i="28" s="1"/>
  <c r="AN233" i="28"/>
  <c r="BD233" i="28" s="1"/>
  <c r="BK233" i="28" s="1"/>
  <c r="AO525" i="28"/>
  <c r="AO524" i="28"/>
  <c r="AM525" i="28"/>
  <c r="AM524" i="28"/>
  <c r="AN441" i="28"/>
  <c r="BD441" i="28" s="1"/>
  <c r="BK441" i="28" s="1"/>
  <c r="AN430" i="28"/>
  <c r="BD430" i="28" s="1"/>
  <c r="BK430" i="28" s="1"/>
  <c r="BD429" i="28"/>
  <c r="BK429" i="28" s="1"/>
  <c r="AN418" i="28"/>
  <c r="BD418" i="28" s="1"/>
  <c r="BK418" i="28" s="1"/>
  <c r="AN307" i="28"/>
  <c r="BD307" i="28" s="1"/>
  <c r="BK307" i="28" s="1"/>
  <c r="AN303" i="28"/>
  <c r="BD303" i="28" s="1"/>
  <c r="BK303" i="28" s="1"/>
  <c r="AN302" i="28"/>
  <c r="BD302" i="28" s="1"/>
  <c r="BK302" i="28" s="1"/>
  <c r="AN301" i="28"/>
  <c r="BD301" i="28" s="1"/>
  <c r="BK301" i="28" s="1"/>
  <c r="AN259" i="28"/>
  <c r="BD259" i="28" s="1"/>
  <c r="BK259" i="28" s="1"/>
  <c r="BD255" i="28"/>
  <c r="BK255" i="28" s="1"/>
  <c r="AN239" i="28"/>
  <c r="BD239" i="28" s="1"/>
  <c r="BK239" i="28" s="1"/>
  <c r="AN100" i="28"/>
  <c r="BD100" i="28" s="1"/>
  <c r="BK100" i="28" s="1"/>
  <c r="AM97" i="28"/>
  <c r="AM96" i="28"/>
  <c r="AM93" i="28"/>
  <c r="AN92" i="28"/>
  <c r="BD92" i="28" s="1"/>
  <c r="BK92" i="28" s="1"/>
  <c r="AM92" i="28"/>
  <c r="AN91" i="28"/>
  <c r="BD91" i="28" s="1"/>
  <c r="BK91" i="28" s="1"/>
  <c r="AM89" i="28"/>
  <c r="AN88" i="28"/>
  <c r="BD88" i="28" s="1"/>
  <c r="BK88" i="28" s="1"/>
  <c r="AM88" i="28"/>
  <c r="AN87" i="28"/>
  <c r="BD87" i="28" s="1"/>
  <c r="BK87" i="28" s="1"/>
  <c r="AM85" i="28"/>
  <c r="AN84" i="28"/>
  <c r="BD84" i="28" s="1"/>
  <c r="BK84" i="28" s="1"/>
  <c r="AM84" i="28"/>
  <c r="AN83" i="28"/>
  <c r="BD83" i="28" s="1"/>
  <c r="BK83" i="28" s="1"/>
  <c r="AM81" i="28"/>
  <c r="AN80" i="28"/>
  <c r="BD80" i="28" s="1"/>
  <c r="BK80" i="28" s="1"/>
  <c r="AM80" i="28"/>
  <c r="AN79" i="28"/>
  <c r="BD79" i="28" s="1"/>
  <c r="BK79" i="28" s="1"/>
  <c r="AM64" i="28"/>
  <c r="BK52" i="28"/>
  <c r="BK51" i="28"/>
  <c r="BK50" i="28"/>
  <c r="AM36" i="28"/>
  <c r="BC36" i="28" s="1"/>
  <c r="BJ36" i="28" s="1"/>
  <c r="AM35" i="28"/>
  <c r="BC35" i="28" s="1"/>
  <c r="BJ35" i="28" s="1"/>
  <c r="AM33" i="28"/>
  <c r="BC33" i="28" s="1"/>
  <c r="BJ33" i="28" s="1"/>
  <c r="BK28" i="28"/>
  <c r="AM28" i="28"/>
  <c r="BC28" i="28" s="1"/>
  <c r="BJ28" i="28" s="1"/>
  <c r="BK27" i="28"/>
  <c r="AM27" i="28"/>
  <c r="BC27" i="28" s="1"/>
  <c r="BJ27" i="28" s="1"/>
  <c r="BK25" i="28"/>
  <c r="AM25" i="28"/>
  <c r="BC25" i="28" s="1"/>
  <c r="BJ25" i="28" s="1"/>
  <c r="BK24" i="28"/>
  <c r="BK23" i="28"/>
  <c r="BK20" i="28"/>
  <c r="AM20" i="28"/>
  <c r="BC20" i="28" s="1"/>
  <c r="BJ20" i="28" s="1"/>
  <c r="BK19" i="28"/>
  <c r="AM19" i="28"/>
  <c r="BC19" i="28" s="1"/>
  <c r="BJ19" i="28" s="1"/>
  <c r="BK17" i="28"/>
  <c r="AM17" i="28"/>
  <c r="BK16" i="28"/>
  <c r="AM16" i="28"/>
  <c r="BK15" i="28"/>
  <c r="BK12" i="28"/>
  <c r="AM12" i="28"/>
  <c r="BC12" i="28" s="1"/>
  <c r="BJ12" i="28" s="1"/>
  <c r="BK11" i="28"/>
  <c r="AM11" i="28"/>
  <c r="BC11" i="28" s="1"/>
  <c r="BJ11" i="28" s="1"/>
  <c r="BK9" i="28"/>
  <c r="AM9" i="28"/>
  <c r="BC9" i="28" s="1"/>
  <c r="BJ9" i="28" s="1"/>
  <c r="BK8" i="28"/>
  <c r="AN7" i="28"/>
  <c r="BD7" i="28" s="1"/>
  <c r="BK7" i="28" s="1"/>
  <c r="AN171" i="73"/>
  <c r="AN129" i="73"/>
  <c r="AN128" i="73" s="1"/>
  <c r="AN127" i="73" s="1"/>
  <c r="AN125" i="73"/>
  <c r="AN121" i="73"/>
  <c r="AN101" i="73"/>
  <c r="AN113" i="73" s="1"/>
  <c r="BC175" i="73"/>
  <c r="BC174" i="73"/>
  <c r="AL171" i="73"/>
  <c r="AJ171" i="73"/>
  <c r="BC170" i="73"/>
  <c r="BC169" i="73"/>
  <c r="BC168" i="73"/>
  <c r="BC165" i="73"/>
  <c r="BC164" i="73"/>
  <c r="BC162" i="73"/>
  <c r="BC161" i="73"/>
  <c r="BC159" i="73"/>
  <c r="BC157" i="73"/>
  <c r="BC131" i="73"/>
  <c r="AL129" i="73"/>
  <c r="AJ129" i="73"/>
  <c r="AL125" i="73"/>
  <c r="AJ125" i="73"/>
  <c r="BC123" i="73"/>
  <c r="BC122" i="73"/>
  <c r="AL121" i="73"/>
  <c r="AJ121" i="73"/>
  <c r="BC120" i="73"/>
  <c r="BC119" i="73"/>
  <c r="BC118" i="73"/>
  <c r="BC110" i="73"/>
  <c r="BC109" i="73"/>
  <c r="BC106" i="73"/>
  <c r="BC10" i="15" s="1"/>
  <c r="BC104" i="73"/>
  <c r="BC103" i="73"/>
  <c r="BC102" i="73"/>
  <c r="AJ101" i="73"/>
  <c r="AJ113" i="73" s="1"/>
  <c r="BC100" i="73"/>
  <c r="BC112" i="73"/>
  <c r="BC99" i="73"/>
  <c r="BC98" i="73"/>
  <c r="BC96" i="73"/>
  <c r="BC95" i="73"/>
  <c r="BC94" i="73"/>
  <c r="BC93" i="73"/>
  <c r="BC92" i="73"/>
  <c r="BC91" i="73"/>
  <c r="BC90" i="73"/>
  <c r="BC85" i="73"/>
  <c r="BC83" i="73"/>
  <c r="BC82" i="73"/>
  <c r="BC77" i="73"/>
  <c r="BC76" i="73"/>
  <c r="BC75" i="73"/>
  <c r="BC74" i="73"/>
  <c r="BC68" i="73"/>
  <c r="BC67" i="73"/>
  <c r="BC66" i="73"/>
  <c r="BC61" i="73"/>
  <c r="BC60" i="73"/>
  <c r="BC59" i="73"/>
  <c r="BC58" i="73"/>
  <c r="BC56" i="73"/>
  <c r="BC55" i="73"/>
  <c r="BC54" i="73"/>
  <c r="BC52" i="73"/>
  <c r="BC50" i="73"/>
  <c r="BC49" i="73"/>
  <c r="BC48" i="73"/>
  <c r="BC47" i="73"/>
  <c r="BC45" i="73"/>
  <c r="BC44" i="73"/>
  <c r="BC43" i="73"/>
  <c r="BC42" i="73"/>
  <c r="BC40" i="73"/>
  <c r="BC36" i="73"/>
  <c r="BC35" i="73"/>
  <c r="BC33" i="73"/>
  <c r="BC32" i="73"/>
  <c r="BC31" i="73"/>
  <c r="BC29" i="73"/>
  <c r="BC28" i="73"/>
  <c r="BC27" i="73"/>
  <c r="BC26" i="73"/>
  <c r="BC21" i="73"/>
  <c r="BC19" i="73"/>
  <c r="BC18" i="73" s="1"/>
  <c r="BC17" i="73"/>
  <c r="BC14" i="73"/>
  <c r="BC10" i="73"/>
  <c r="BC9" i="73"/>
  <c r="AJ8" i="73"/>
  <c r="AJ6" i="73" s="1"/>
  <c r="BC7" i="73"/>
  <c r="AR44" i="59"/>
  <c r="AQ72" i="59"/>
  <c r="AP72" i="59"/>
  <c r="AQ68" i="59"/>
  <c r="AP68" i="59"/>
  <c r="AQ64" i="59"/>
  <c r="AP64" i="59"/>
  <c r="AQ51" i="59"/>
  <c r="AQ50" i="59"/>
  <c r="AQ49" i="59"/>
  <c r="AQ44" i="59"/>
  <c r="BC161" i="7" l="1"/>
  <c r="BC57" i="7"/>
  <c r="BD60" i="7"/>
  <c r="BD56" i="7"/>
  <c r="BD102" i="7" s="1"/>
  <c r="BC60" i="7"/>
  <c r="BC56" i="7"/>
  <c r="BC102" i="7" s="1"/>
  <c r="BD62" i="7"/>
  <c r="BD55" i="7"/>
  <c r="BC59" i="7"/>
  <c r="BD161" i="7"/>
  <c r="BD57" i="7"/>
  <c r="BC23" i="7"/>
  <c r="BC87" i="7" s="1"/>
  <c r="BC29" i="7"/>
  <c r="BC93" i="7" s="1"/>
  <c r="BC33" i="7"/>
  <c r="BC97" i="7" s="1"/>
  <c r="BC27" i="7"/>
  <c r="BC91" i="7" s="1"/>
  <c r="BC36" i="7"/>
  <c r="BC100" i="7" s="1"/>
  <c r="BC34" i="7"/>
  <c r="BC98" i="7" s="1"/>
  <c r="BC31" i="7"/>
  <c r="BC95" i="7" s="1"/>
  <c r="BC28" i="7"/>
  <c r="BC92" i="7" s="1"/>
  <c r="BC32" i="7"/>
  <c r="BC96" i="7" s="1"/>
  <c r="BC25" i="7"/>
  <c r="BC26" i="7"/>
  <c r="BC90" i="7" s="1"/>
  <c r="BF32" i="59" s="1"/>
  <c r="BC37" i="7"/>
  <c r="BC101" i="7" s="1"/>
  <c r="BC35" i="7"/>
  <c r="BC99" i="7" s="1"/>
  <c r="BC24" i="7"/>
  <c r="BC61" i="7"/>
  <c r="BC103" i="7" s="1"/>
  <c r="BD23" i="7"/>
  <c r="BD87" i="7" s="1"/>
  <c r="BG29" i="59" s="1"/>
  <c r="BD32" i="7"/>
  <c r="BD96" i="7" s="1"/>
  <c r="BD29" i="7"/>
  <c r="BD93" i="7" s="1"/>
  <c r="BD36" i="7"/>
  <c r="BD100" i="7" s="1"/>
  <c r="BD35" i="7"/>
  <c r="BD99" i="7" s="1"/>
  <c r="BD37" i="7"/>
  <c r="BD101" i="7" s="1"/>
  <c r="BD31" i="7"/>
  <c r="BD95" i="7" s="1"/>
  <c r="BD26" i="7"/>
  <c r="BD24" i="7"/>
  <c r="BD27" i="7"/>
  <c r="BD91" i="7" s="1"/>
  <c r="BD28" i="7"/>
  <c r="BD92" i="7" s="1"/>
  <c r="BD25" i="7"/>
  <c r="BD89" i="7" s="1"/>
  <c r="BD33" i="7"/>
  <c r="BD97" i="7" s="1"/>
  <c r="BD34" i="7"/>
  <c r="BD98" i="7" s="1"/>
  <c r="BD61" i="7"/>
  <c r="BD103" i="7" s="1"/>
  <c r="BD58" i="7"/>
  <c r="BD54" i="7"/>
  <c r="BC58" i="7"/>
  <c r="BC54" i="7"/>
  <c r="BD59" i="7"/>
  <c r="BC62" i="7"/>
  <c r="BC55" i="7"/>
  <c r="AQ48" i="59"/>
  <c r="AQ41" i="59"/>
  <c r="AN120" i="8"/>
  <c r="AQ42" i="59"/>
  <c r="AN122" i="8"/>
  <c r="BG41" i="59"/>
  <c r="BD120" i="8"/>
  <c r="AN138" i="8"/>
  <c r="BG45" i="59"/>
  <c r="BD135" i="8"/>
  <c r="BG46" i="59"/>
  <c r="BD137" i="8"/>
  <c r="BK46" i="28"/>
  <c r="BK47" i="28"/>
  <c r="BK42" i="28"/>
  <c r="BK43" i="28"/>
  <c r="BK44" i="28"/>
  <c r="BD32" i="6"/>
  <c r="BK32" i="6" s="1"/>
  <c r="BK30" i="6"/>
  <c r="BD48" i="6"/>
  <c r="BK48" i="6" s="1"/>
  <c r="BK46" i="6"/>
  <c r="BD45" i="6"/>
  <c r="BK45" i="6" s="1"/>
  <c r="BK44" i="6"/>
  <c r="BC66" i="6"/>
  <c r="BJ66" i="6" s="1"/>
  <c r="BJ64" i="6"/>
  <c r="BD69" i="6"/>
  <c r="BK69" i="6" s="1"/>
  <c r="BK67" i="6"/>
  <c r="BG67" i="59"/>
  <c r="BE145" i="45"/>
  <c r="BG73" i="59" s="1"/>
  <c r="BL122" i="45"/>
  <c r="BE159" i="45"/>
  <c r="BL159" i="45" s="1"/>
  <c r="BL121" i="45"/>
  <c r="AN124" i="73"/>
  <c r="AN132" i="73" s="1"/>
  <c r="BE125" i="45"/>
  <c r="BE124" i="45"/>
  <c r="BG71" i="59" s="1"/>
  <c r="AM76" i="7"/>
  <c r="BC78" i="7"/>
  <c r="AL132" i="73"/>
  <c r="BD84" i="7"/>
  <c r="AJ132" i="73"/>
  <c r="BD69" i="7"/>
  <c r="BC12" i="6"/>
  <c r="BC217" i="6" s="1"/>
  <c r="AM217" i="6"/>
  <c r="BD12" i="6"/>
  <c r="BD217" i="6" s="1"/>
  <c r="AN217" i="6"/>
  <c r="BD13" i="6"/>
  <c r="BD218" i="6" s="1"/>
  <c r="AN218" i="6"/>
  <c r="BC13" i="6"/>
  <c r="BC218" i="6" s="1"/>
  <c r="AM218" i="6"/>
  <c r="BD78" i="7"/>
  <c r="BD81" i="7"/>
  <c r="BG28" i="59" s="1"/>
  <c r="BG33" i="59"/>
  <c r="BD76" i="7"/>
  <c r="BD80" i="7"/>
  <c r="BG34" i="59"/>
  <c r="AN76" i="7"/>
  <c r="AM81" i="7"/>
  <c r="AP28" i="59" s="1"/>
  <c r="BC80" i="7"/>
  <c r="BD111" i="8"/>
  <c r="BD53" i="8" s="1"/>
  <c r="BC81" i="7"/>
  <c r="BF28" i="59" s="1"/>
  <c r="BC76" i="7"/>
  <c r="AM78" i="7"/>
  <c r="AQ43" i="59"/>
  <c r="BD161" i="6"/>
  <c r="AM304" i="28"/>
  <c r="BC304" i="28" s="1"/>
  <c r="BJ304" i="28" s="1"/>
  <c r="BC17" i="28"/>
  <c r="BJ17" i="28" s="1"/>
  <c r="BC126" i="73"/>
  <c r="BC130" i="73"/>
  <c r="AQ34" i="59"/>
  <c r="AN78" i="7"/>
  <c r="AN69" i="7"/>
  <c r="AM120" i="6"/>
  <c r="AN81" i="7"/>
  <c r="AQ28" i="59" s="1"/>
  <c r="AN120" i="6"/>
  <c r="AQ33" i="59"/>
  <c r="AN21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4" i="59" s="1"/>
  <c r="AO16" i="36"/>
  <c r="AR53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4" i="59" s="1"/>
  <c r="AM16" i="36"/>
  <c r="AP53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BD32" i="35" s="1"/>
  <c r="AN31" i="35"/>
  <c r="BD31" i="35" s="1"/>
  <c r="AN30" i="35"/>
  <c r="BD30" i="35" s="1"/>
  <c r="AN28" i="35"/>
  <c r="BD28" i="35" s="1"/>
  <c r="AM28" i="35"/>
  <c r="BC28" i="35" s="1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BD10" i="35" s="1"/>
  <c r="AN9" i="35"/>
  <c r="AN2" i="35"/>
  <c r="AM2" i="35"/>
  <c r="AN1" i="35"/>
  <c r="AM1" i="35"/>
  <c r="BD88" i="7" l="1"/>
  <c r="BD90" i="7"/>
  <c r="BG32" i="59" s="1"/>
  <c r="BC88" i="7"/>
  <c r="BC89" i="7"/>
  <c r="BE161" i="45"/>
  <c r="BL161" i="45" s="1"/>
  <c r="BD138" i="8"/>
  <c r="BG48" i="59"/>
  <c r="BG42" i="59"/>
  <c r="BG43" i="59" s="1"/>
  <c r="BD122" i="8"/>
  <c r="BD121" i="8"/>
  <c r="BD125" i="8" s="1"/>
  <c r="BD126" i="8" s="1"/>
  <c r="BD123" i="8"/>
  <c r="AN121" i="8"/>
  <c r="AN125" i="8" s="1"/>
  <c r="AN126" i="8" s="1"/>
  <c r="AN123" i="8"/>
  <c r="BE126" i="45"/>
  <c r="BL125" i="45"/>
  <c r="BD35" i="35"/>
  <c r="AM123" i="90"/>
  <c r="BG30" i="59"/>
  <c r="BD23" i="36"/>
  <c r="BC2" i="35"/>
  <c r="AM6" i="35"/>
  <c r="AM7" i="35"/>
  <c r="BD2" i="35"/>
  <c r="AN7" i="35"/>
  <c r="AN6" i="35"/>
  <c r="BG31" i="59"/>
  <c r="BD1" i="35"/>
  <c r="BD21" i="35" s="1"/>
  <c r="BD26" i="9" s="1"/>
  <c r="BD12" i="21"/>
  <c r="AQ31" i="59"/>
  <c r="BD9" i="6"/>
  <c r="BK9" i="6" s="1"/>
  <c r="AN9" i="6"/>
  <c r="BD9" i="35"/>
  <c r="BD8" i="6" s="1"/>
  <c r="BK8" i="6" s="1"/>
  <c r="AN8" i="6"/>
  <c r="AQ30" i="59"/>
  <c r="BC12" i="21"/>
  <c r="BC22" i="21" s="1"/>
  <c r="BD24" i="21"/>
  <c r="BD25" i="21" s="1"/>
  <c r="AN122" i="6"/>
  <c r="AN168" i="6" s="1"/>
  <c r="BD120" i="6"/>
  <c r="AM122" i="6"/>
  <c r="BC120" i="6"/>
  <c r="BD26" i="35"/>
  <c r="AL9" i="15"/>
  <c r="BB9" i="15"/>
  <c r="AM9" i="15"/>
  <c r="BC9" i="15"/>
  <c r="BC26" i="35"/>
  <c r="AN97" i="11"/>
  <c r="BD97" i="11"/>
  <c r="BD10" i="36"/>
  <c r="BD12" i="36"/>
  <c r="BD11" i="36"/>
  <c r="BC18" i="15"/>
  <c r="BD5" i="9"/>
  <c r="BD70" i="36"/>
  <c r="BC1" i="35"/>
  <c r="BC21" i="35" s="1"/>
  <c r="BC26" i="9" s="1"/>
  <c r="AN21" i="35"/>
  <c r="AN26" i="9" s="1"/>
  <c r="AN24" i="21"/>
  <c r="AN25" i="21" s="1"/>
  <c r="AN5" i="15"/>
  <c r="AR76" i="59"/>
  <c r="AN5" i="9"/>
  <c r="AN94" i="9" s="1"/>
  <c r="AM19" i="15" s="1"/>
  <c r="AM18" i="15"/>
  <c r="AL5" i="15"/>
  <c r="AP76" i="59"/>
  <c r="AN6" i="15"/>
  <c r="AR77" i="59"/>
  <c r="AL7" i="15"/>
  <c r="AP78" i="59"/>
  <c r="AN11" i="35"/>
  <c r="AN10" i="6" s="1"/>
  <c r="AL6" i="15"/>
  <c r="AP77" i="59"/>
  <c r="AN7" i="15"/>
  <c r="AR78" i="59"/>
  <c r="AN38" i="7"/>
  <c r="AM68" i="36"/>
  <c r="AO68" i="36"/>
  <c r="AO13" i="49"/>
  <c r="AR6" i="59"/>
  <c r="AM13" i="49"/>
  <c r="AP6" i="59"/>
  <c r="AN28" i="21"/>
  <c r="BD28" i="21" s="1"/>
  <c r="AN10" i="36"/>
  <c r="AQ36" i="59" s="1"/>
  <c r="AN11" i="36"/>
  <c r="AQ37" i="59" s="1"/>
  <c r="AN12" i="36"/>
  <c r="AQ38" i="59" s="1"/>
  <c r="AM12" i="21"/>
  <c r="AM22" i="21" s="1"/>
  <c r="AQ29" i="59"/>
  <c r="AN12" i="21"/>
  <c r="AN33" i="35"/>
  <c r="AM26" i="35"/>
  <c r="AN26" i="35"/>
  <c r="AM21" i="35"/>
  <c r="AM26" i="9" s="1"/>
  <c r="AN53" i="7" l="1"/>
  <c r="AN63" i="7" s="1"/>
  <c r="AN129" i="8"/>
  <c r="AN131" i="8"/>
  <c r="AN144" i="8" s="1"/>
  <c r="AN130" i="8"/>
  <c r="AN143" i="8" s="1"/>
  <c r="BD131" i="8"/>
  <c r="BD144" i="8" s="1"/>
  <c r="BD129" i="8"/>
  <c r="BD130" i="8"/>
  <c r="BD143" i="8" s="1"/>
  <c r="BC122" i="6"/>
  <c r="BJ122" i="6" s="1"/>
  <c r="BJ120" i="6"/>
  <c r="BD122" i="6"/>
  <c r="BK122" i="6" s="1"/>
  <c r="BK120" i="6"/>
  <c r="BG36" i="59"/>
  <c r="AM125" i="90"/>
  <c r="BC125" i="90" s="1"/>
  <c r="BC123" i="90"/>
  <c r="BG37" i="59"/>
  <c r="BG38" i="59"/>
  <c r="BD11" i="35"/>
  <c r="BD10" i="6" s="1"/>
  <c r="BK10" i="6" s="1"/>
  <c r="AN77" i="7"/>
  <c r="AN104" i="7"/>
  <c r="AN169" i="6"/>
  <c r="AQ22" i="59" s="1"/>
  <c r="AN171" i="6"/>
  <c r="AN89" i="9"/>
  <c r="AM168" i="6"/>
  <c r="AM169" i="6"/>
  <c r="AM171" i="6"/>
  <c r="BD33" i="35"/>
  <c r="AM6" i="6"/>
  <c r="AM16" i="6" s="1"/>
  <c r="BC7" i="35"/>
  <c r="BC6" i="6" s="1"/>
  <c r="BC16" i="6" s="1"/>
  <c r="BD33" i="22"/>
  <c r="BC130" i="26"/>
  <c r="BG59" i="59"/>
  <c r="BD78" i="9"/>
  <c r="BD94" i="9"/>
  <c r="BC19" i="15" s="1"/>
  <c r="BD76" i="9"/>
  <c r="BD89" i="9"/>
  <c r="AM5" i="6"/>
  <c r="AQ59" i="59"/>
  <c r="AM130" i="26"/>
  <c r="AN75" i="9"/>
  <c r="AN33" i="22"/>
  <c r="AN72" i="9"/>
  <c r="AN76" i="9"/>
  <c r="AN78" i="9"/>
  <c r="AN73" i="9"/>
  <c r="AN13" i="36"/>
  <c r="AQ39" i="59" s="1"/>
  <c r="AM8" i="35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Z124" i="73" s="1"/>
  <c r="AB125" i="73"/>
  <c r="AD125" i="73"/>
  <c r="AF125" i="73"/>
  <c r="AH125" i="73"/>
  <c r="F121" i="73"/>
  <c r="H121" i="73"/>
  <c r="J121" i="73"/>
  <c r="L121" i="73"/>
  <c r="N121" i="73"/>
  <c r="P121" i="73"/>
  <c r="R121" i="73"/>
  <c r="T121" i="73"/>
  <c r="V121" i="73"/>
  <c r="X121" i="73"/>
  <c r="Z121" i="73"/>
  <c r="AB121" i="73"/>
  <c r="AD121" i="73"/>
  <c r="AF121" i="73"/>
  <c r="AH121" i="73"/>
  <c r="P113" i="73"/>
  <c r="R113" i="73"/>
  <c r="AO21" i="73"/>
  <c r="AS21" i="73" s="1"/>
  <c r="M7" i="73"/>
  <c r="Q7" i="73" s="1"/>
  <c r="U7" i="73" s="1"/>
  <c r="M9" i="73"/>
  <c r="Q9" i="73" s="1"/>
  <c r="U9" i="73" s="1"/>
  <c r="M10" i="73"/>
  <c r="Q10" i="73" s="1"/>
  <c r="U10" i="73" s="1"/>
  <c r="M14" i="73"/>
  <c r="Q14" i="73" s="1"/>
  <c r="U14" i="73" s="1"/>
  <c r="M17" i="73"/>
  <c r="Q17" i="73" s="1"/>
  <c r="U17" i="73" s="1"/>
  <c r="M19" i="73"/>
  <c r="Q19" i="73" s="1"/>
  <c r="U19" i="73" s="1"/>
  <c r="AA21" i="73"/>
  <c r="AE21" i="73" s="1"/>
  <c r="I7" i="73"/>
  <c r="I9" i="73"/>
  <c r="I10" i="73"/>
  <c r="I14" i="73"/>
  <c r="I17" i="73"/>
  <c r="I19" i="73"/>
  <c r="I18" i="73" s="1"/>
  <c r="I21" i="73"/>
  <c r="F16" i="73"/>
  <c r="F119" i="90" s="1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BC169" i="6" l="1"/>
  <c r="BC171" i="6"/>
  <c r="BC168" i="6"/>
  <c r="AM15" i="6"/>
  <c r="AM98" i="6"/>
  <c r="BD132" i="8"/>
  <c r="BD145" i="8" s="1"/>
  <c r="BD142" i="8"/>
  <c r="BD169" i="6"/>
  <c r="BG22" i="59" s="1"/>
  <c r="BD171" i="6"/>
  <c r="BD168" i="6"/>
  <c r="AN132" i="8"/>
  <c r="AN145" i="8" s="1"/>
  <c r="AN142" i="8"/>
  <c r="I6" i="73"/>
  <c r="F46" i="28"/>
  <c r="F35" i="28" s="1"/>
  <c r="AF132" i="73"/>
  <c r="BC123" i="26"/>
  <c r="BC125" i="26"/>
  <c r="BC116" i="26"/>
  <c r="BC114" i="26"/>
  <c r="BC118" i="26"/>
  <c r="BC126" i="26"/>
  <c r="BC120" i="26"/>
  <c r="BC117" i="26"/>
  <c r="BC122" i="26"/>
  <c r="BC121" i="26"/>
  <c r="BC124" i="26"/>
  <c r="BC119" i="26"/>
  <c r="BC115" i="26"/>
  <c r="BC127" i="26"/>
  <c r="AM116" i="26"/>
  <c r="AM118" i="26"/>
  <c r="AM126" i="26"/>
  <c r="AM122" i="26"/>
  <c r="AM124" i="26"/>
  <c r="AM125" i="26"/>
  <c r="AM127" i="26"/>
  <c r="AM121" i="26"/>
  <c r="AM115" i="26"/>
  <c r="AM123" i="26"/>
  <c r="AM128" i="26"/>
  <c r="AM114" i="26"/>
  <c r="AM117" i="26"/>
  <c r="AM119" i="26"/>
  <c r="AM120" i="26"/>
  <c r="AD132" i="73"/>
  <c r="AH132" i="73"/>
  <c r="J132" i="73"/>
  <c r="V132" i="73"/>
  <c r="R132" i="73"/>
  <c r="T132" i="73"/>
  <c r="AB132" i="73"/>
  <c r="P132" i="73"/>
  <c r="N132" i="73"/>
  <c r="X132" i="73"/>
  <c r="L132" i="73"/>
  <c r="AW21" i="73"/>
  <c r="AN170" i="6"/>
  <c r="AN8" i="36" s="1"/>
  <c r="AQ9" i="59" s="1"/>
  <c r="AM170" i="6"/>
  <c r="AA17" i="73"/>
  <c r="AE17" i="73" s="1"/>
  <c r="AI17" i="73" s="1"/>
  <c r="AO17" i="73" s="1"/>
  <c r="AS17" i="73" s="1"/>
  <c r="AW17" i="73" s="1"/>
  <c r="AA7" i="73"/>
  <c r="AE7" i="73" s="1"/>
  <c r="AA14" i="73"/>
  <c r="AE14" i="73" s="1"/>
  <c r="AI14" i="73" s="1"/>
  <c r="AO14" i="73" s="1"/>
  <c r="AS14" i="73" s="1"/>
  <c r="AW14" i="73" s="1"/>
  <c r="AA9" i="73"/>
  <c r="AE9" i="73" s="1"/>
  <c r="AA10" i="73"/>
  <c r="AE10" i="73" s="1"/>
  <c r="AM121" i="73"/>
  <c r="BC121" i="73" s="1"/>
  <c r="AM8" i="73"/>
  <c r="BC8" i="73" s="1"/>
  <c r="BC170" i="6"/>
  <c r="AA19" i="73"/>
  <c r="M18" i="73"/>
  <c r="Q18" i="73" s="1"/>
  <c r="U18" i="73" s="1"/>
  <c r="Y6" i="73"/>
  <c r="Y8" i="73"/>
  <c r="Y125" i="73"/>
  <c r="AM129" i="73"/>
  <c r="BC129" i="73" s="1"/>
  <c r="Y121" i="73"/>
  <c r="AM125" i="73"/>
  <c r="BC125" i="73" s="1"/>
  <c r="AM7" i="6"/>
  <c r="F132" i="73"/>
  <c r="H132" i="73"/>
  <c r="I16" i="73"/>
  <c r="I119" i="90" s="1"/>
  <c r="BC16" i="73"/>
  <c r="M16" i="73"/>
  <c r="I8" i="73"/>
  <c r="M6" i="73"/>
  <c r="M8" i="73"/>
  <c r="AO63" i="83"/>
  <c r="BE63" i="83" s="1"/>
  <c r="BD170" i="6" l="1"/>
  <c r="BD8" i="36" s="1"/>
  <c r="BG9" i="59" s="1"/>
  <c r="AM104" i="6"/>
  <c r="AM106" i="6" s="1"/>
  <c r="AM143" i="6" s="1"/>
  <c r="F67" i="28"/>
  <c r="F37" i="28"/>
  <c r="F75" i="28" s="1"/>
  <c r="J35" i="28"/>
  <c r="N35" i="28" s="1"/>
  <c r="J46" i="28"/>
  <c r="N46" i="28" s="1"/>
  <c r="BC128" i="26"/>
  <c r="Q16" i="73"/>
  <c r="M119" i="90"/>
  <c r="BE21" i="73"/>
  <c r="BE17" i="73"/>
  <c r="BE14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8" i="73"/>
  <c r="AE18" i="73" s="1"/>
  <c r="AI18" i="73" s="1"/>
  <c r="AE19" i="73"/>
  <c r="AI19" i="73" s="1"/>
  <c r="AO19" i="73" s="1"/>
  <c r="Q6" i="73"/>
  <c r="U6" i="73" s="1"/>
  <c r="Q8" i="73"/>
  <c r="U8" i="73" s="1"/>
  <c r="AA16" i="73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M146" i="6" l="1"/>
  <c r="AM144" i="6"/>
  <c r="AM145" i="6" s="1"/>
  <c r="R46" i="28"/>
  <c r="V46" i="28" s="1"/>
  <c r="AB46" i="28"/>
  <c r="AF46" i="28" s="1"/>
  <c r="AJ46" i="28" s="1"/>
  <c r="AP46" i="28" s="1"/>
  <c r="AT46" i="28" s="1"/>
  <c r="AX46" i="28" s="1"/>
  <c r="BF46" i="28" s="1"/>
  <c r="R35" i="28"/>
  <c r="V35" i="28" s="1"/>
  <c r="AB35" i="28"/>
  <c r="AF35" i="28" s="1"/>
  <c r="AJ35" i="28" s="1"/>
  <c r="AP35" i="28" s="1"/>
  <c r="AT35" i="28" s="1"/>
  <c r="AX35" i="28" s="1"/>
  <c r="BF35" i="28" s="1"/>
  <c r="AE16" i="73"/>
  <c r="AA119" i="90"/>
  <c r="U16" i="73"/>
  <c r="U119" i="90" s="1"/>
  <c r="Q119" i="90"/>
  <c r="BE7" i="73"/>
  <c r="BE9" i="73"/>
  <c r="BE10" i="73"/>
  <c r="AI6" i="73"/>
  <c r="AO6" i="73" s="1"/>
  <c r="AS6" i="73" s="1"/>
  <c r="AW6" i="73" s="1"/>
  <c r="AS19" i="73"/>
  <c r="AO18" i="73"/>
  <c r="AI8" i="73"/>
  <c r="AO8" i="73" s="1"/>
  <c r="AS8" i="73" s="1"/>
  <c r="AW8" i="73" s="1"/>
  <c r="AA5" i="73"/>
  <c r="AE5" i="73" s="1"/>
  <c r="AI5" i="73" s="1"/>
  <c r="AO5" i="73" s="1"/>
  <c r="AS5" i="73" s="1"/>
  <c r="AM5" i="73"/>
  <c r="BC5" i="73" s="1"/>
  <c r="AI16" i="73" l="1"/>
  <c r="AE119" i="90"/>
  <c r="BE6" i="73"/>
  <c r="BE8" i="73"/>
  <c r="AW19" i="73"/>
  <c r="AS18" i="73"/>
  <c r="AW5" i="73"/>
  <c r="AO16" i="73" l="1"/>
  <c r="AI119" i="90"/>
  <c r="BE5" i="73"/>
  <c r="AW18" i="73"/>
  <c r="BE19" i="73"/>
  <c r="BE18" i="73" l="1"/>
  <c r="AO119" i="90"/>
  <c r="AS16" i="73"/>
  <c r="AW16" i="73" l="1"/>
  <c r="AS119" i="90"/>
  <c r="AH16" i="52"/>
  <c r="AG16" i="52"/>
  <c r="AH9" i="52"/>
  <c r="AG9" i="52"/>
  <c r="AW119" i="90" l="1"/>
  <c r="BE16" i="73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95" i="73"/>
  <c r="Q95" i="73" s="1"/>
  <c r="U95" i="73" s="1"/>
  <c r="AA66" i="73" l="1"/>
  <c r="AE66" i="73" s="1"/>
  <c r="AA95" i="73"/>
  <c r="BE64" i="73"/>
  <c r="AI66" i="73" l="1"/>
  <c r="AO66" i="73" s="1"/>
  <c r="AS66" i="73" s="1"/>
  <c r="AW66" i="73" s="1"/>
  <c r="AM75" i="90"/>
  <c r="BC75" i="90" s="1"/>
  <c r="AM71" i="90"/>
  <c r="BC71" i="90" s="1"/>
  <c r="AE95" i="73"/>
  <c r="AI95" i="73" s="1"/>
  <c r="AO95" i="73" l="1"/>
  <c r="AS95" i="73" s="1"/>
  <c r="M71" i="90"/>
  <c r="I71" i="90"/>
  <c r="AA71" i="90"/>
  <c r="Q71" i="90"/>
  <c r="AE71" i="90"/>
  <c r="U71" i="90"/>
  <c r="AO71" i="90"/>
  <c r="AS71" i="90" s="1"/>
  <c r="AW71" i="90" s="1"/>
  <c r="AO75" i="90"/>
  <c r="AS75" i="90" s="1"/>
  <c r="AW75" i="90" s="1"/>
  <c r="AW95" i="73" l="1"/>
  <c r="AJ471" i="28"/>
  <c r="BE95" i="73" l="1"/>
  <c r="AP471" i="28"/>
  <c r="AT471" i="28" s="1"/>
  <c r="AX471" i="28" s="1"/>
  <c r="AJ207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F471" i="28" l="1"/>
  <c r="BH471" i="28" s="1"/>
  <c r="AP207" i="28"/>
  <c r="AT207" i="28" s="1"/>
  <c r="AX207" i="28" s="1"/>
  <c r="BF207" i="28" s="1"/>
  <c r="BH207" i="28" s="1"/>
  <c r="AJ450" i="28"/>
  <c r="AJ116" i="28"/>
  <c r="BE15" i="61"/>
  <c r="S19" i="83"/>
  <c r="W19" i="83" s="1"/>
  <c r="AP450" i="28" l="1"/>
  <c r="AT450" i="28" s="1"/>
  <c r="AX450" i="28" s="1"/>
  <c r="AP116" i="28"/>
  <c r="AT116" i="28" s="1"/>
  <c r="AP310" i="28"/>
  <c r="AT310" i="28" s="1"/>
  <c r="W15" i="61"/>
  <c r="AG19" i="83"/>
  <c r="AK19" i="83" s="1"/>
  <c r="BF450" i="28" l="1"/>
  <c r="BH450" i="28" s="1"/>
  <c r="AG15" i="61"/>
  <c r="AX310" i="28" l="1"/>
  <c r="BF310" i="28" s="1"/>
  <c r="BH310" i="28" s="1"/>
  <c r="AX116" i="28"/>
  <c r="BF116" i="28" s="1"/>
  <c r="BH116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2" i="59" l="1"/>
  <c r="AJ103" i="50"/>
  <c r="AJ104" i="50" s="1"/>
  <c r="AH103" i="50"/>
  <c r="AH104" i="50" s="1"/>
  <c r="AI4" i="61" l="1"/>
  <c r="AI16" i="61" s="1"/>
  <c r="AE46" i="72"/>
  <c r="AE38" i="72"/>
  <c r="AK38" i="72" s="1"/>
  <c r="AE18" i="72"/>
  <c r="AK18" i="72" s="1"/>
  <c r="AL41" i="59"/>
  <c r="AH1" i="7"/>
  <c r="AH80" i="7" s="1"/>
  <c r="AG1" i="7"/>
  <c r="AG80" i="7" s="1"/>
  <c r="AK46" i="72" l="1"/>
  <c r="AE49" i="72"/>
  <c r="AE51" i="72"/>
  <c r="AK49" i="72"/>
  <c r="AI195" i="6"/>
  <c r="AI194" i="6"/>
  <c r="AI193" i="6"/>
  <c r="AI186" i="6"/>
  <c r="AI185" i="6"/>
  <c r="AI182" i="6"/>
  <c r="AI181" i="6"/>
  <c r="AI180" i="6"/>
  <c r="AI179" i="6"/>
  <c r="AI178" i="6"/>
  <c r="AI177" i="6"/>
  <c r="AI175" i="6"/>
  <c r="AI174" i="6"/>
  <c r="AI173" i="6"/>
  <c r="AI161" i="6"/>
  <c r="AI160" i="6"/>
  <c r="AI157" i="6"/>
  <c r="AI156" i="6"/>
  <c r="AI155" i="6"/>
  <c r="AI154" i="6"/>
  <c r="AI153" i="6"/>
  <c r="AI152" i="6"/>
  <c r="AI150" i="6"/>
  <c r="AI149" i="6"/>
  <c r="AI148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P16" i="59" s="1"/>
  <c r="AM61" i="6"/>
  <c r="AP23" i="59" s="1"/>
  <c r="BC60" i="6" l="1"/>
  <c r="BF16" i="59" s="1"/>
  <c r="BC61" i="6"/>
  <c r="BF23" i="59" s="1"/>
  <c r="AI525" i="28"/>
  <c r="AI524" i="28"/>
  <c r="AH171" i="73" l="1"/>
  <c r="AF171" i="73"/>
  <c r="AH101" i="73"/>
  <c r="AH113" i="73" s="1"/>
  <c r="AL78" i="59"/>
  <c r="AL77" i="59"/>
  <c r="AL76" i="59"/>
  <c r="AL71" i="59"/>
  <c r="AL67" i="59"/>
  <c r="AL63" i="59"/>
  <c r="AL59" i="59"/>
  <c r="AL54" i="59"/>
  <c r="AL53" i="59"/>
  <c r="AL44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1" i="26"/>
  <c r="AG60" i="83" l="1"/>
  <c r="AK60" i="83" s="1"/>
  <c r="AQ60" i="83" s="1"/>
  <c r="AU60" i="83" s="1"/>
  <c r="AY60" i="83" s="1"/>
  <c r="BG60" i="83" s="1"/>
  <c r="AF159" i="9" l="1"/>
  <c r="AF158" i="9"/>
  <c r="AF157" i="9"/>
  <c r="J14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BH93" i="50" s="1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D60" i="17"/>
  <c r="AH60" i="17" s="1"/>
  <c r="AM58" i="17"/>
  <c r="BC58" i="17" s="1"/>
  <c r="AL31" i="17"/>
  <c r="AL28" i="17"/>
  <c r="BB28" i="17" s="1"/>
  <c r="AL22" i="17"/>
  <c r="AL18" i="17"/>
  <c r="AL16" i="17"/>
  <c r="AL14" i="17"/>
  <c r="BB14" i="17" s="1"/>
  <c r="AL29" i="17" l="1"/>
  <c r="AL32" i="17" s="1"/>
  <c r="BB29" i="17"/>
  <c r="BB30" i="17" s="1"/>
  <c r="AL17" i="17"/>
  <c r="BB16" i="17"/>
  <c r="BB17" i="17" s="1"/>
  <c r="AL23" i="17"/>
  <c r="BB22" i="17"/>
  <c r="BB23" i="17" s="1"/>
  <c r="BB15" i="17"/>
  <c r="AL19" i="17"/>
  <c r="BB18" i="17"/>
  <c r="BB19" i="17" s="1"/>
  <c r="AM36" i="15"/>
  <c r="BC32" i="15"/>
  <c r="BC36" i="15" s="1"/>
  <c r="AM61" i="17"/>
  <c r="BC61" i="17" s="1"/>
  <c r="AN60" i="17"/>
  <c r="AR60" i="17" s="1"/>
  <c r="AV60" i="17" s="1"/>
  <c r="AL60" i="17"/>
  <c r="AL20" i="17"/>
  <c r="AL15" i="17"/>
  <c r="AM22" i="17"/>
  <c r="AM16" i="15"/>
  <c r="AL61" i="17" l="1"/>
  <c r="BB61" i="17" s="1"/>
  <c r="AL21" i="17"/>
  <c r="AL30" i="17"/>
  <c r="BD60" i="17"/>
  <c r="AZ60" i="17"/>
  <c r="BC22" i="17"/>
  <c r="BB21" i="17"/>
  <c r="BB20" i="17"/>
  <c r="AN34" i="35"/>
  <c r="BD34" i="35" s="1"/>
  <c r="AE127" i="50"/>
  <c r="AM17" i="15"/>
  <c r="BC16" i="15"/>
  <c r="BC17" i="15" s="1"/>
  <c r="AL25" i="17"/>
  <c r="AL24" i="17"/>
  <c r="AM23" i="17"/>
  <c r="AM24" i="17"/>
  <c r="AM25" i="17" s="1"/>
  <c r="AO127" i="50" l="1"/>
  <c r="BE127" i="50" s="1"/>
  <c r="BC23" i="17"/>
  <c r="BC24" i="17"/>
  <c r="BC25" i="17" s="1"/>
  <c r="BB25" i="17"/>
  <c r="BB24" i="17"/>
  <c r="AN36" i="35"/>
  <c r="AM94" i="26"/>
  <c r="BC94" i="26" s="1"/>
  <c r="AL110" i="26"/>
  <c r="BB110" i="26" s="1"/>
  <c r="AL108" i="26"/>
  <c r="BB108" i="26" s="1"/>
  <c r="AL98" i="26"/>
  <c r="BB98" i="26" s="1"/>
  <c r="AL78" i="26"/>
  <c r="BB78" i="26" s="1"/>
  <c r="AL76" i="26"/>
  <c r="BB76" i="26" s="1"/>
  <c r="AL71" i="26"/>
  <c r="BB71" i="26" s="1"/>
  <c r="AL69" i="26"/>
  <c r="BB69" i="26" s="1"/>
  <c r="AL52" i="26"/>
  <c r="BB52" i="26" s="1"/>
  <c r="AL50" i="26"/>
  <c r="BB50" i="26" s="1"/>
  <c r="AM55" i="26"/>
  <c r="BC55" i="26" s="1"/>
  <c r="AL46" i="26"/>
  <c r="AL39" i="26"/>
  <c r="BB39" i="26" s="1"/>
  <c r="AL31" i="26"/>
  <c r="BB31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29" i="26"/>
  <c r="BB29" i="26" s="1"/>
  <c r="AL57" i="26"/>
  <c r="BB57" i="26" s="1"/>
  <c r="AL65" i="26"/>
  <c r="BB65" i="26" s="1"/>
  <c r="AL100" i="26"/>
  <c r="BB100" i="26" s="1"/>
  <c r="AL25" i="26"/>
  <c r="BB25" i="26" s="1"/>
  <c r="AL37" i="26"/>
  <c r="BB37" i="26" s="1"/>
  <c r="AL59" i="26"/>
  <c r="BB59" i="26" s="1"/>
  <c r="AL67" i="26"/>
  <c r="BB67" i="26" s="1"/>
  <c r="AL102" i="26"/>
  <c r="BB102" i="26" s="1"/>
  <c r="AL35" i="26"/>
  <c r="BB35" i="26" s="1"/>
  <c r="AL33" i="26"/>
  <c r="BB33" i="26" s="1"/>
  <c r="AL104" i="26"/>
  <c r="BB104" i="26" s="1"/>
  <c r="AL21" i="26"/>
  <c r="BB21" i="26" s="1"/>
  <c r="AL41" i="26"/>
  <c r="AM84" i="7" s="1"/>
  <c r="BC84" i="7" s="1"/>
  <c r="AL63" i="26"/>
  <c r="BB63" i="26" s="1"/>
  <c r="AL106" i="26"/>
  <c r="BB106" i="26" s="1"/>
  <c r="BB80" i="26"/>
  <c r="BD36" i="35"/>
  <c r="BD37" i="35" s="1"/>
  <c r="BE97" i="50" s="1"/>
  <c r="AN48" i="35"/>
  <c r="BD48" i="35" s="1"/>
  <c r="AN37" i="35"/>
  <c r="AO97" i="50" s="1"/>
  <c r="AE9" i="50"/>
  <c r="AQ23" i="50"/>
  <c r="AU23" i="50" s="1"/>
  <c r="AY23" i="50" s="1"/>
  <c r="BG23" i="50" s="1"/>
  <c r="BH23" i="50" s="1"/>
  <c r="BB81" i="26"/>
  <c r="AL48" i="26"/>
  <c r="AL49" i="26" s="1"/>
  <c r="BB46" i="26"/>
  <c r="AM187" i="6"/>
  <c r="BB23" i="26"/>
  <c r="BB12" i="26"/>
  <c r="AN84" i="8"/>
  <c r="AN86" i="8" s="1"/>
  <c r="AL81" i="26"/>
  <c r="AE4" i="83"/>
  <c r="AL96" i="26"/>
  <c r="BB96" i="26" s="1"/>
  <c r="AL80" i="26"/>
  <c r="AL61" i="26"/>
  <c r="BB61" i="26" s="1"/>
  <c r="AL27" i="26"/>
  <c r="BB27" i="26" s="1"/>
  <c r="AL12" i="26"/>
  <c r="AL19" i="26" s="1"/>
  <c r="AM45" i="26"/>
  <c r="BC45" i="26" s="1"/>
  <c r="AM7" i="26"/>
  <c r="BC7" i="26" s="1"/>
  <c r="BC188" i="6" l="1"/>
  <c r="BB54" i="17"/>
  <c r="BB55" i="17"/>
  <c r="BC87" i="8"/>
  <c r="BB19" i="26"/>
  <c r="BC88" i="8"/>
  <c r="BB48" i="26"/>
  <c r="BB54" i="26" s="1"/>
  <c r="BC162" i="6"/>
  <c r="BC187" i="6"/>
  <c r="AM162" i="6"/>
  <c r="AO9" i="50"/>
  <c r="BE9" i="50" s="1"/>
  <c r="AM188" i="6"/>
  <c r="AM88" i="8"/>
  <c r="BB41" i="26"/>
  <c r="BB83" i="26"/>
  <c r="AL54" i="26"/>
  <c r="AN85" i="8"/>
  <c r="BD84" i="8"/>
  <c r="BD85" i="8" s="1"/>
  <c r="BB73" i="26"/>
  <c r="BB18" i="26"/>
  <c r="BB13" i="26"/>
  <c r="BB112" i="26"/>
  <c r="BB57" i="17"/>
  <c r="BD158" i="10"/>
  <c r="BK158" i="10" s="1"/>
  <c r="AN159" i="10"/>
  <c r="AN158" i="10"/>
  <c r="AN210" i="10" s="1"/>
  <c r="AE107" i="50"/>
  <c r="AL43" i="26"/>
  <c r="AN199" i="10"/>
  <c r="AO4" i="83"/>
  <c r="AE38" i="83"/>
  <c r="AL112" i="26"/>
  <c r="AL57" i="17"/>
  <c r="AL58" i="17" s="1"/>
  <c r="AL55" i="17"/>
  <c r="AL73" i="26"/>
  <c r="AL13" i="26"/>
  <c r="AL18" i="26"/>
  <c r="AL54" i="17"/>
  <c r="AL55" i="26"/>
  <c r="BB55" i="26" s="1"/>
  <c r="BB49" i="26" l="1"/>
  <c r="BB92" i="26"/>
  <c r="AO107" i="50"/>
  <c r="BE107" i="50" s="1"/>
  <c r="AN203" i="10"/>
  <c r="AO38" i="83"/>
  <c r="BE38" i="83" s="1"/>
  <c r="BE4" i="83"/>
  <c r="AL92" i="26"/>
  <c r="BB56" i="17"/>
  <c r="BB43" i="26"/>
  <c r="AL56" i="17"/>
  <c r="BD86" i="8"/>
  <c r="BD159" i="10"/>
  <c r="BD199" i="10"/>
  <c r="BK199" i="10" s="1"/>
  <c r="AN161" i="10"/>
  <c r="BD191" i="10"/>
  <c r="BD196" i="10"/>
  <c r="BK196" i="10" s="1"/>
  <c r="AN200" i="10"/>
  <c r="AN178" i="10"/>
  <c r="AQ65" i="59" s="1"/>
  <c r="AN191" i="10"/>
  <c r="AN196" i="10"/>
  <c r="AN184" i="6"/>
  <c r="BK191" i="10" l="1"/>
  <c r="BD203" i="10"/>
  <c r="BK203" i="10" s="1"/>
  <c r="BK159" i="10"/>
  <c r="BD161" i="10"/>
  <c r="BD21" i="36" s="1"/>
  <c r="BD178" i="10"/>
  <c r="BG65" i="59" s="1"/>
  <c r="BD200" i="10"/>
  <c r="BK200" i="10" s="1"/>
  <c r="AN186" i="6"/>
  <c r="BD184" i="6"/>
  <c r="BK184" i="6" s="1"/>
  <c r="BD193" i="10"/>
  <c r="BK193" i="10" s="1"/>
  <c r="AQ63" i="59"/>
  <c r="AN21" i="36"/>
  <c r="AN193" i="10"/>
  <c r="AE40" i="50"/>
  <c r="AE41" i="50"/>
  <c r="AE42" i="50"/>
  <c r="AE43" i="50"/>
  <c r="AE44" i="50"/>
  <c r="AE45" i="50"/>
  <c r="AE4" i="50"/>
  <c r="AM74" i="90"/>
  <c r="BC74" i="90" s="1"/>
  <c r="AM78" i="90"/>
  <c r="BC78" i="90" s="1"/>
  <c r="AM83" i="90"/>
  <c r="BC83" i="90" s="1"/>
  <c r="G60" i="71"/>
  <c r="H60" i="71"/>
  <c r="J60" i="71"/>
  <c r="K60" i="71"/>
  <c r="L60" i="71"/>
  <c r="O60" i="71"/>
  <c r="P60" i="71"/>
  <c r="Q60" i="71"/>
  <c r="S60" i="71"/>
  <c r="T60" i="71"/>
  <c r="U60" i="71"/>
  <c r="Y60" i="71"/>
  <c r="Z60" i="71"/>
  <c r="AA60" i="71"/>
  <c r="AC60" i="71"/>
  <c r="AD60" i="71"/>
  <c r="AE60" i="71"/>
  <c r="AH60" i="71"/>
  <c r="AI60" i="71"/>
  <c r="AJ60" i="71"/>
  <c r="AL60" i="71"/>
  <c r="AM60" i="71"/>
  <c r="AN60" i="71"/>
  <c r="AO42" i="50" l="1"/>
  <c r="BE42" i="50" s="1"/>
  <c r="AO45" i="50"/>
  <c r="BE45" i="50" s="1"/>
  <c r="AO41" i="50"/>
  <c r="BE41" i="50" s="1"/>
  <c r="AO40" i="50"/>
  <c r="BE40" i="50" s="1"/>
  <c r="AO44" i="50"/>
  <c r="BE44" i="50" s="1"/>
  <c r="AO43" i="50"/>
  <c r="BE43" i="50" s="1"/>
  <c r="AB60" i="71"/>
  <c r="AO60" i="71"/>
  <c r="R60" i="71"/>
  <c r="AK60" i="71"/>
  <c r="AF60" i="71"/>
  <c r="AW60" i="71"/>
  <c r="Y62" i="71"/>
  <c r="AM79" i="90"/>
  <c r="AM88" i="90"/>
  <c r="BC88" i="90" s="1"/>
  <c r="AM76" i="90"/>
  <c r="BC76" i="90" s="1"/>
  <c r="AM87" i="90"/>
  <c r="BC87" i="90" s="1"/>
  <c r="AM85" i="90"/>
  <c r="BC85" i="90" s="1"/>
  <c r="AE132" i="50"/>
  <c r="AM77" i="90"/>
  <c r="BC77" i="90" s="1"/>
  <c r="AM84" i="90"/>
  <c r="BC84" i="90" s="1"/>
  <c r="AM80" i="90"/>
  <c r="BC80" i="90" s="1"/>
  <c r="AM70" i="90"/>
  <c r="BC70" i="90" s="1"/>
  <c r="AM81" i="90"/>
  <c r="BC81" i="90" s="1"/>
  <c r="AM69" i="90"/>
  <c r="BC69" i="90" s="1"/>
  <c r="AE38" i="50"/>
  <c r="AO4" i="50"/>
  <c r="AE131" i="50"/>
  <c r="BS60" i="71"/>
  <c r="BS62" i="71" s="1"/>
  <c r="BG63" i="59"/>
  <c r="BD186" i="6"/>
  <c r="AO4" i="61"/>
  <c r="BE4" i="61" s="1"/>
  <c r="BE14" i="61"/>
  <c r="BE13" i="61"/>
  <c r="AE39" i="50"/>
  <c r="AF37" i="36"/>
  <c r="BC79" i="90" l="1"/>
  <c r="AG60" i="71"/>
  <c r="AE46" i="50"/>
  <c r="AE94" i="50" s="1"/>
  <c r="AP60" i="71"/>
  <c r="AD162" i="10"/>
  <c r="AQ60" i="71"/>
  <c r="AM68" i="90"/>
  <c r="BC68" i="90" s="1"/>
  <c r="AO38" i="50"/>
  <c r="AN162" i="10" s="1"/>
  <c r="AN163" i="10" s="1"/>
  <c r="BE4" i="50"/>
  <c r="BE38" i="50" s="1"/>
  <c r="AO39" i="50"/>
  <c r="AE108" i="50"/>
  <c r="AE128" i="50"/>
  <c r="AE124" i="50"/>
  <c r="BE16" i="61"/>
  <c r="AO16" i="61"/>
  <c r="AO69" i="83"/>
  <c r="BE69" i="83" s="1"/>
  <c r="AE69" i="83"/>
  <c r="AE77" i="83" s="1"/>
  <c r="AO77" i="83" s="1"/>
  <c r="BE77" i="83" s="1"/>
  <c r="AO128" i="50" l="1"/>
  <c r="AO124" i="50"/>
  <c r="BE124" i="50" s="1"/>
  <c r="AD163" i="10"/>
  <c r="AO129" i="50"/>
  <c r="BE128" i="50"/>
  <c r="BE129" i="50" s="1"/>
  <c r="AO46" i="50"/>
  <c r="AO94" i="50" s="1"/>
  <c r="AO95" i="50" s="1"/>
  <c r="BE39" i="50"/>
  <c r="BE46" i="50" s="1"/>
  <c r="BE94" i="50" s="1"/>
  <c r="BE95" i="50" s="1"/>
  <c r="AE120" i="50"/>
  <c r="BD162" i="10"/>
  <c r="BD163" i="10" s="1"/>
  <c r="AE110" i="50"/>
  <c r="AO108" i="50"/>
  <c r="AE109" i="50"/>
  <c r="AE129" i="50"/>
  <c r="AE130" i="50"/>
  <c r="AE37" i="36"/>
  <c r="AO130" i="50" l="1"/>
  <c r="BE130" i="50" s="1"/>
  <c r="AO120" i="50"/>
  <c r="BE120" i="50" s="1"/>
  <c r="BK162" i="10"/>
  <c r="AO109" i="50"/>
  <c r="BE108" i="50"/>
  <c r="BE109" i="50" s="1"/>
  <c r="AE117" i="50"/>
  <c r="AO110" i="50"/>
  <c r="BE79" i="73"/>
  <c r="BE66" i="73"/>
  <c r="AO117" i="50" l="1"/>
  <c r="BE110" i="50"/>
  <c r="BE117" i="50" s="1"/>
  <c r="AN481" i="28"/>
  <c r="BD481" i="28" s="1"/>
  <c r="BK481" i="28" s="1"/>
  <c r="AJ465" i="28" l="1"/>
  <c r="AP465" i="28" l="1"/>
  <c r="AT465" i="28" s="1"/>
  <c r="AX465" i="28" s="1"/>
  <c r="AJ426" i="28"/>
  <c r="AP426" i="28" s="1"/>
  <c r="AJ421" i="28"/>
  <c r="AP421" i="28" s="1"/>
  <c r="AJ428" i="28"/>
  <c r="AJ423" i="28"/>
  <c r="AP423" i="28" s="1"/>
  <c r="AJ194" i="28"/>
  <c r="AN39" i="35"/>
  <c r="BD39" i="35" s="1"/>
  <c r="AQ46" i="38"/>
  <c r="AQ45" i="38"/>
  <c r="AQ44" i="38"/>
  <c r="AQ43" i="38"/>
  <c r="AQ38" i="38"/>
  <c r="AQ37" i="38"/>
  <c r="AQ36" i="38"/>
  <c r="AQ32" i="38"/>
  <c r="AQ31" i="38"/>
  <c r="AQ30" i="38"/>
  <c r="AQ29" i="38"/>
  <c r="AQ28" i="38"/>
  <c r="AQ27" i="38"/>
  <c r="AQ26" i="38"/>
  <c r="AQ25" i="38"/>
  <c r="AQ24" i="38"/>
  <c r="AQ23" i="38"/>
  <c r="AQ22" i="38"/>
  <c r="BG22" i="38" s="1"/>
  <c r="BC90" i="8" s="1"/>
  <c r="AQ21" i="38"/>
  <c r="AQ20" i="38"/>
  <c r="BG20" i="38" s="1"/>
  <c r="AQ19" i="38"/>
  <c r="BG19" i="38" s="1"/>
  <c r="BC189" i="6" s="1"/>
  <c r="BJ189" i="6" s="1"/>
  <c r="AQ14" i="38"/>
  <c r="AQ13" i="38"/>
  <c r="AQ10" i="38"/>
  <c r="AQ9" i="38"/>
  <c r="AQ8" i="38"/>
  <c r="AQ7" i="38"/>
  <c r="BF465" i="28" l="1"/>
  <c r="BH465" i="28" s="1"/>
  <c r="AP428" i="28"/>
  <c r="AP194" i="28"/>
  <c r="AT194" i="28" s="1"/>
  <c r="AX194" i="28" s="1"/>
  <c r="BF194" i="28" s="1"/>
  <c r="BH194" i="28" s="1"/>
  <c r="AR42" i="38"/>
  <c r="AR90" i="38" s="1"/>
  <c r="AQ35" i="38"/>
  <c r="BG35" i="38" s="1"/>
  <c r="BC163" i="6" s="1"/>
  <c r="BJ163" i="6" s="1"/>
  <c r="AQ55" i="38"/>
  <c r="BG7" i="38"/>
  <c r="AQ71" i="38"/>
  <c r="BG23" i="38"/>
  <c r="BC99" i="9" s="1"/>
  <c r="AQ75" i="38"/>
  <c r="BG27" i="38"/>
  <c r="AQ79" i="38"/>
  <c r="BG31" i="38"/>
  <c r="AQ84" i="38"/>
  <c r="BG36" i="38"/>
  <c r="AQ93" i="38"/>
  <c r="BG45" i="38"/>
  <c r="AQ56" i="38"/>
  <c r="BG8" i="38"/>
  <c r="AQ61" i="38"/>
  <c r="BG13" i="38"/>
  <c r="AQ68" i="38"/>
  <c r="AQ72" i="38"/>
  <c r="BG24" i="38"/>
  <c r="AQ76" i="38"/>
  <c r="BG28" i="38"/>
  <c r="AQ80" i="38"/>
  <c r="BG32" i="38"/>
  <c r="AQ85" i="38"/>
  <c r="BG37" i="38"/>
  <c r="AQ94" i="38"/>
  <c r="BG46" i="38"/>
  <c r="AQ58" i="38"/>
  <c r="BG10" i="38"/>
  <c r="AQ57" i="38"/>
  <c r="BG9" i="38"/>
  <c r="AQ62" i="38"/>
  <c r="BG14" i="38"/>
  <c r="AQ69" i="38"/>
  <c r="BG21" i="38"/>
  <c r="AQ73" i="38"/>
  <c r="BG25" i="38"/>
  <c r="AQ77" i="38"/>
  <c r="BG29" i="38"/>
  <c r="AQ86" i="38"/>
  <c r="BG38" i="38"/>
  <c r="AQ91" i="38"/>
  <c r="BG43" i="38"/>
  <c r="AQ74" i="38"/>
  <c r="BG26" i="38"/>
  <c r="AQ78" i="38"/>
  <c r="BG30" i="38"/>
  <c r="AQ92" i="38"/>
  <c r="BG44" i="38"/>
  <c r="AQ70" i="38"/>
  <c r="AM90" i="8"/>
  <c r="AQ41" i="38"/>
  <c r="AR12" i="38"/>
  <c r="BH12" i="38" s="1"/>
  <c r="AR6" i="38"/>
  <c r="BH6" i="38" s="1"/>
  <c r="AR18" i="38"/>
  <c r="BH18" i="38" s="1"/>
  <c r="AR34" i="38"/>
  <c r="AQ67" i="38"/>
  <c r="AM189" i="6"/>
  <c r="AR40" i="38"/>
  <c r="AN40" i="35"/>
  <c r="BD40" i="35" s="1"/>
  <c r="AQ18" i="38"/>
  <c r="AQ6" i="38"/>
  <c r="AQ42" i="38"/>
  <c r="AQ12" i="38"/>
  <c r="BH42" i="38" l="1"/>
  <c r="BH90" i="38" s="1"/>
  <c r="AT423" i="28"/>
  <c r="AT426" i="28"/>
  <c r="AT421" i="28"/>
  <c r="AT428" i="28"/>
  <c r="AJ359" i="28"/>
  <c r="AJ212" i="28"/>
  <c r="AM163" i="6"/>
  <c r="AQ83" i="38"/>
  <c r="AQ34" i="38"/>
  <c r="BG34" i="38" s="1"/>
  <c r="BG82" i="38" s="1"/>
  <c r="AQ90" i="38"/>
  <c r="BG42" i="38"/>
  <c r="BG90" i="38" s="1"/>
  <c r="AQ60" i="38"/>
  <c r="BG12" i="38"/>
  <c r="BG60" i="38" s="1"/>
  <c r="AQ89" i="38"/>
  <c r="BG41" i="38"/>
  <c r="AQ54" i="38"/>
  <c r="BG6" i="38"/>
  <c r="BG54" i="38" s="1"/>
  <c r="AQ66" i="38"/>
  <c r="BG18" i="38"/>
  <c r="BG66" i="38" s="1"/>
  <c r="AR88" i="38"/>
  <c r="BH40" i="38"/>
  <c r="BH88" i="38" s="1"/>
  <c r="AR82" i="38"/>
  <c r="BH34" i="38"/>
  <c r="BH82" i="38" s="1"/>
  <c r="AR66" i="38"/>
  <c r="BH66" i="38"/>
  <c r="AR60" i="38"/>
  <c r="BH60" i="38"/>
  <c r="AR54" i="38"/>
  <c r="BH54" i="38"/>
  <c r="AR17" i="38"/>
  <c r="AQ40" i="38"/>
  <c r="AR15" i="38"/>
  <c r="AR39" i="38"/>
  <c r="AQ17" i="38"/>
  <c r="BG17" i="38" s="1"/>
  <c r="AQ15" i="38"/>
  <c r="AQ39" i="38"/>
  <c r="AF103" i="50"/>
  <c r="AF104" i="50" s="1"/>
  <c r="AD103" i="50"/>
  <c r="AD104" i="50" s="1"/>
  <c r="AE102" i="50"/>
  <c r="AE101" i="50"/>
  <c r="AO158" i="45"/>
  <c r="AO144" i="45"/>
  <c r="BE144" i="45" s="1"/>
  <c r="BD144" i="45"/>
  <c r="AO142" i="45"/>
  <c r="BE142" i="45" s="1"/>
  <c r="BD142" i="45"/>
  <c r="AO141" i="45"/>
  <c r="BE141" i="45" s="1"/>
  <c r="BD141" i="45"/>
  <c r="BD138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BG65" i="38" l="1"/>
  <c r="AK102" i="50"/>
  <c r="AK101" i="50"/>
  <c r="AQ82" i="38"/>
  <c r="BH15" i="38"/>
  <c r="BH63" i="38" s="1"/>
  <c r="AX428" i="28"/>
  <c r="BF428" i="28" s="1"/>
  <c r="BH428" i="28" s="1"/>
  <c r="AX421" i="28"/>
  <c r="BF421" i="28" s="1"/>
  <c r="BH421" i="28" s="1"/>
  <c r="AX426" i="28"/>
  <c r="BF426" i="28" s="1"/>
  <c r="BH426" i="28" s="1"/>
  <c r="AX423" i="28"/>
  <c r="BF423" i="28" s="1"/>
  <c r="BH423" i="28" s="1"/>
  <c r="AP212" i="28"/>
  <c r="AT212" i="28" s="1"/>
  <c r="AX212" i="28" s="1"/>
  <c r="BF212" i="28" s="1"/>
  <c r="BH212" i="28" s="1"/>
  <c r="AP359" i="28"/>
  <c r="AT359" i="28" s="1"/>
  <c r="AR16" i="38"/>
  <c r="BH16" i="38" s="1"/>
  <c r="BH64" i="38" s="1"/>
  <c r="BH17" i="38"/>
  <c r="AN67" i="11"/>
  <c r="BD66" i="11"/>
  <c r="BD67" i="11" s="1"/>
  <c r="BD73" i="11"/>
  <c r="BD74" i="11" s="1"/>
  <c r="AE119" i="50"/>
  <c r="AE123" i="50"/>
  <c r="BE158" i="45"/>
  <c r="BD139" i="45"/>
  <c r="BK139" i="45" s="1"/>
  <c r="AQ87" i="38"/>
  <c r="BG39" i="38"/>
  <c r="BG87" i="38" s="1"/>
  <c r="AQ63" i="38"/>
  <c r="BG15" i="38"/>
  <c r="AQ88" i="38"/>
  <c r="BG40" i="38"/>
  <c r="BG88" i="38" s="1"/>
  <c r="AR87" i="38"/>
  <c r="BH39" i="38"/>
  <c r="BH87" i="38" s="1"/>
  <c r="AR63" i="38"/>
  <c r="AQ65" i="38"/>
  <c r="AR65" i="38"/>
  <c r="AN26" i="36"/>
  <c r="AN25" i="36"/>
  <c r="AO132" i="45"/>
  <c r="AO139" i="45"/>
  <c r="AO140" i="45" s="1"/>
  <c r="AM66" i="11"/>
  <c r="AM73" i="11"/>
  <c r="AQ16" i="38"/>
  <c r="AQ48" i="38" s="1"/>
  <c r="BL158" i="45" l="1"/>
  <c r="BH65" i="38"/>
  <c r="AR48" i="38"/>
  <c r="AR64" i="38"/>
  <c r="AR96" i="38" s="1"/>
  <c r="BH96" i="38"/>
  <c r="BG63" i="38"/>
  <c r="BH48" i="38"/>
  <c r="AE125" i="50"/>
  <c r="AO123" i="50"/>
  <c r="AE121" i="50"/>
  <c r="AO119" i="50"/>
  <c r="BD26" i="36"/>
  <c r="BD25" i="36"/>
  <c r="BG75" i="59" s="1"/>
  <c r="AM67" i="11"/>
  <c r="BC66" i="11"/>
  <c r="BC67" i="11" s="1"/>
  <c r="BC73" i="11"/>
  <c r="AO133" i="45"/>
  <c r="BE132" i="45"/>
  <c r="BD132" i="45"/>
  <c r="BE139" i="45"/>
  <c r="AQ64" i="38"/>
  <c r="AQ96" i="38" s="1"/>
  <c r="BG16" i="38"/>
  <c r="BG64" i="38" s="1"/>
  <c r="BE140" i="45" l="1"/>
  <c r="BL139" i="45"/>
  <c r="BE133" i="45"/>
  <c r="BL132" i="45"/>
  <c r="BD133" i="45"/>
  <c r="BK132" i="45"/>
  <c r="AO121" i="50"/>
  <c r="BE119" i="50"/>
  <c r="BE121" i="50" s="1"/>
  <c r="AO125" i="50"/>
  <c r="BE123" i="50"/>
  <c r="BE125" i="50" s="1"/>
  <c r="BG48" i="38"/>
  <c r="BG96" i="38"/>
  <c r="AX359" i="28"/>
  <c r="BF359" i="28" s="1"/>
  <c r="BH359" i="28" s="1"/>
  <c r="AK5" i="61" l="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AN166" i="10"/>
  <c r="BD165" i="10"/>
  <c r="BC172" i="10"/>
  <c r="BJ172" i="10" s="1"/>
  <c r="BD172" i="10"/>
  <c r="BD166" i="10" l="1"/>
  <c r="BK165" i="10"/>
  <c r="BC166" i="10"/>
  <c r="BJ165" i="10"/>
  <c r="BD173" i="10"/>
  <c r="BK172" i="10"/>
  <c r="AE72" i="36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6" i="72"/>
  <c r="BA38" i="72"/>
  <c r="BA18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4" i="50"/>
  <c r="AM24" i="9"/>
  <c r="BC24" i="9" s="1"/>
  <c r="AN19" i="9"/>
  <c r="AE135" i="50" l="1"/>
  <c r="AN90" i="9"/>
  <c r="AN91" i="9" s="1"/>
  <c r="BD19" i="9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D90" i="9" l="1"/>
  <c r="BD91" i="9" s="1"/>
  <c r="BA49" i="72"/>
  <c r="AK51" i="72"/>
  <c r="BC52" i="9"/>
  <c r="AN77" i="9"/>
  <c r="BD60" i="9"/>
  <c r="AQ58" i="59"/>
  <c r="BD104" i="9"/>
  <c r="BG58" i="59" s="1"/>
  <c r="AN100" i="9"/>
  <c r="BD100" i="9"/>
  <c r="AM52" i="9"/>
  <c r="AP57" i="59" s="1"/>
  <c r="AN14" i="9"/>
  <c r="BD14" i="9" s="1"/>
  <c r="AN62" i="9"/>
  <c r="AN48" i="9"/>
  <c r="BD77" i="9" l="1"/>
  <c r="AN79" i="9"/>
  <c r="BD62" i="9"/>
  <c r="AN49" i="9"/>
  <c r="AN52" i="9" s="1"/>
  <c r="AQ57" i="59" s="1"/>
  <c r="BD48" i="9"/>
  <c r="BD49" i="9" s="1"/>
  <c r="BF57" i="59"/>
  <c r="BD24" i="36"/>
  <c r="AN24" i="36"/>
  <c r="BD79" i="9" l="1"/>
  <c r="AN81" i="9"/>
  <c r="AN85" i="9"/>
  <c r="AN87" i="9"/>
  <c r="AQ60" i="59" s="1"/>
  <c r="AN80" i="9"/>
  <c r="AN83" i="9"/>
  <c r="AN82" i="9"/>
  <c r="AQ61" i="59" s="1"/>
  <c r="AN86" i="9"/>
  <c r="AN53" i="9"/>
  <c r="AN84" i="9"/>
  <c r="BD53" i="9"/>
  <c r="BD52" i="9"/>
  <c r="BG57" i="59" s="1"/>
  <c r="BD83" i="9"/>
  <c r="BD84" i="9"/>
  <c r="BD72" i="9"/>
  <c r="BD85" i="9"/>
  <c r="BD87" i="9"/>
  <c r="BG60" i="59" s="1"/>
  <c r="BD81" i="9"/>
  <c r="BD73" i="9"/>
  <c r="BD75" i="9"/>
  <c r="BD86" i="9"/>
  <c r="BD80" i="9"/>
  <c r="BD82" i="9"/>
  <c r="BG61" i="59" s="1"/>
  <c r="BD74" i="9"/>
  <c r="AF92" i="8" l="1"/>
  <c r="AN21" i="8"/>
  <c r="BD21" i="8" s="1"/>
  <c r="AN93" i="8"/>
  <c r="BD93" i="8" s="1"/>
  <c r="AN91" i="8"/>
  <c r="AN87" i="8"/>
  <c r="AM87" i="8"/>
  <c r="AE80" i="8"/>
  <c r="AE73" i="8"/>
  <c r="AN69" i="8"/>
  <c r="AN67" i="8"/>
  <c r="AN61" i="8"/>
  <c r="BD61" i="8" s="1"/>
  <c r="AN59" i="8"/>
  <c r="BD59" i="8" s="1"/>
  <c r="AE52" i="8"/>
  <c r="AH41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4" i="59" s="1"/>
  <c r="BC80" i="8"/>
  <c r="BF44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80" i="7" s="1"/>
  <c r="AC1" i="7"/>
  <c r="AC80" i="7" s="1"/>
  <c r="AE195" i="6"/>
  <c r="AE194" i="6"/>
  <c r="AE193" i="6"/>
  <c r="AE186" i="6"/>
  <c r="AE185" i="6"/>
  <c r="AE182" i="6"/>
  <c r="AE181" i="6"/>
  <c r="AE180" i="6"/>
  <c r="AE179" i="6"/>
  <c r="AE178" i="6"/>
  <c r="AE177" i="6"/>
  <c r="AE175" i="6"/>
  <c r="AE174" i="6"/>
  <c r="AE173" i="6"/>
  <c r="AE161" i="6"/>
  <c r="AE160" i="6"/>
  <c r="AE157" i="6"/>
  <c r="AE156" i="6"/>
  <c r="AE155" i="6"/>
  <c r="AE154" i="6"/>
  <c r="AE153" i="6"/>
  <c r="AE152" i="6"/>
  <c r="AE150" i="6"/>
  <c r="AE149" i="6"/>
  <c r="AE148" i="6"/>
  <c r="AN138" i="6"/>
  <c r="BD138" i="6" s="1"/>
  <c r="BK138" i="6" s="1"/>
  <c r="AN135" i="6"/>
  <c r="BD135" i="6" s="1"/>
  <c r="BK135" i="6" s="1"/>
  <c r="AM135" i="6"/>
  <c r="BC135" i="6" s="1"/>
  <c r="BJ135" i="6" s="1"/>
  <c r="AN134" i="6"/>
  <c r="BD134" i="6" s="1"/>
  <c r="BK134" i="6" s="1"/>
  <c r="AM133" i="6"/>
  <c r="BC133" i="6" s="1"/>
  <c r="BJ133" i="6" s="1"/>
  <c r="AM132" i="6"/>
  <c r="BC132" i="6" s="1"/>
  <c r="BJ132" i="6" s="1"/>
  <c r="AM130" i="6"/>
  <c r="BC130" i="6" s="1"/>
  <c r="BJ130" i="6" s="1"/>
  <c r="AN126" i="6"/>
  <c r="BD126" i="6" s="1"/>
  <c r="BK126" i="6" s="1"/>
  <c r="AN124" i="6"/>
  <c r="BD124" i="6" s="1"/>
  <c r="BK124" i="6" s="1"/>
  <c r="AM86" i="6"/>
  <c r="BC86" i="6" s="1"/>
  <c r="BJ86" i="6" s="1"/>
  <c r="AE85" i="6"/>
  <c r="AE83" i="6"/>
  <c r="AE82" i="6"/>
  <c r="AE80" i="6"/>
  <c r="AE79" i="6"/>
  <c r="AE40" i="6"/>
  <c r="AE39" i="6"/>
  <c r="AE38" i="6"/>
  <c r="AE37" i="6"/>
  <c r="AN33" i="6"/>
  <c r="BD33" i="6" s="1"/>
  <c r="BK33" i="6" s="1"/>
  <c r="AM1" i="7" l="1"/>
  <c r="AM80" i="7" s="1"/>
  <c r="AN1" i="7"/>
  <c r="AN80" i="7" s="1"/>
  <c r="AN70" i="8"/>
  <c r="BD63" i="8"/>
  <c r="AN83" i="7"/>
  <c r="AQ35" i="59" s="1"/>
  <c r="BD82" i="7"/>
  <c r="BD83" i="7" s="1"/>
  <c r="BG35" i="59" s="1"/>
  <c r="AN125" i="6"/>
  <c r="BD125" i="6" s="1"/>
  <c r="BK125" i="6" s="1"/>
  <c r="AN55" i="6"/>
  <c r="BD55" i="6" s="1"/>
  <c r="BK55" i="6" s="1"/>
  <c r="AM134" i="6"/>
  <c r="BC134" i="6" s="1"/>
  <c r="BJ134" i="6" s="1"/>
  <c r="AM41" i="7"/>
  <c r="AM21" i="6"/>
  <c r="BC21" i="6" s="1"/>
  <c r="BJ21" i="6" s="1"/>
  <c r="AM17" i="6"/>
  <c r="AM28" i="6"/>
  <c r="BC28" i="6" s="1"/>
  <c r="BJ28" i="6" s="1"/>
  <c r="AM18" i="6"/>
  <c r="AM191" i="6" s="1"/>
  <c r="AN56" i="6"/>
  <c r="BD56" i="6" s="1"/>
  <c r="BK56" i="6" s="1"/>
  <c r="AM87" i="6"/>
  <c r="BC87" i="6" s="1"/>
  <c r="BJ87" i="6" s="1"/>
  <c r="AM124" i="6"/>
  <c r="BC124" i="6" s="1"/>
  <c r="BJ124" i="6" s="1"/>
  <c r="AN132" i="6"/>
  <c r="BD132" i="6" s="1"/>
  <c r="BK132" i="6" s="1"/>
  <c r="AM71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0" i="59" s="1"/>
  <c r="AN50" i="8"/>
  <c r="AN51" i="8" s="1"/>
  <c r="AN71" i="7"/>
  <c r="AE41" i="6"/>
  <c r="AM125" i="6"/>
  <c r="BC125" i="6" s="1"/>
  <c r="BJ125" i="6" s="1"/>
  <c r="AN130" i="6"/>
  <c r="BD130" i="6" s="1"/>
  <c r="BK130" i="6" s="1"/>
  <c r="AN133" i="6"/>
  <c r="BD133" i="6" s="1"/>
  <c r="BK133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BJ24" i="6" s="1"/>
  <c r="AM27" i="6"/>
  <c r="BC27" i="6" s="1"/>
  <c r="BJ27" i="6" s="1"/>
  <c r="AM25" i="6"/>
  <c r="BC25" i="6" s="1"/>
  <c r="BJ25" i="6" s="1"/>
  <c r="AM31" i="6"/>
  <c r="BC31" i="6" s="1"/>
  <c r="BJ31" i="6" s="1"/>
  <c r="AM22" i="6"/>
  <c r="BC22" i="6" s="1"/>
  <c r="BJ22" i="6" s="1"/>
  <c r="AM30" i="6"/>
  <c r="BC30" i="6" s="1"/>
  <c r="BJ30" i="6" s="1"/>
  <c r="AN297" i="28"/>
  <c r="BD297" i="28" s="1"/>
  <c r="BK297" i="28" s="1"/>
  <c r="BK31" i="28"/>
  <c r="BK32" i="28"/>
  <c r="BD131" i="6" l="1"/>
  <c r="BK131" i="6" s="1"/>
  <c r="AM2" i="17"/>
  <c r="AM2" i="26"/>
  <c r="BC131" i="6"/>
  <c r="BJ131" i="6" s="1"/>
  <c r="BC17" i="6"/>
  <c r="AM73" i="7"/>
  <c r="BC71" i="7"/>
  <c r="BC73" i="7" s="1"/>
  <c r="AN73" i="7"/>
  <c r="BD71" i="7"/>
  <c r="BD73" i="7" s="1"/>
  <c r="AM136" i="6"/>
  <c r="BC136" i="6" s="1"/>
  <c r="BJ136" i="6" s="1"/>
  <c r="AN131" i="6"/>
  <c r="BC26" i="6"/>
  <c r="BJ26" i="6" s="1"/>
  <c r="BD50" i="8"/>
  <c r="BD49" i="8"/>
  <c r="BD14" i="36"/>
  <c r="BC29" i="6"/>
  <c r="BJ29" i="6" s="1"/>
  <c r="BC23" i="6"/>
  <c r="BJ23" i="6" s="1"/>
  <c r="AM184" i="6"/>
  <c r="BC18" i="6"/>
  <c r="AM51" i="7"/>
  <c r="BC32" i="6"/>
  <c r="BJ32" i="6" s="1"/>
  <c r="BD57" i="6"/>
  <c r="BK57" i="6" s="1"/>
  <c r="AN181" i="6"/>
  <c r="BD22" i="6"/>
  <c r="BK22" i="6" s="1"/>
  <c r="AN152" i="6"/>
  <c r="BD21" i="6"/>
  <c r="BK21" i="6" s="1"/>
  <c r="AN35" i="6"/>
  <c r="BD34" i="6"/>
  <c r="AN56" i="8"/>
  <c r="BD56" i="8" s="1"/>
  <c r="BD65" i="8"/>
  <c r="BD71" i="8"/>
  <c r="BD70" i="8"/>
  <c r="AM83" i="7"/>
  <c r="AP35" i="59" s="1"/>
  <c r="BC82" i="7"/>
  <c r="BC83" i="7" s="1"/>
  <c r="BF35" i="59" s="1"/>
  <c r="AM26" i="6"/>
  <c r="AM32" i="6"/>
  <c r="AN156" i="6"/>
  <c r="AN41" i="7"/>
  <c r="AM29" i="6"/>
  <c r="AN72" i="8"/>
  <c r="AN77" i="8"/>
  <c r="AM6" i="26"/>
  <c r="BC6" i="26" s="1"/>
  <c r="AM131" i="6"/>
  <c r="AM159" i="6"/>
  <c r="AM19" i="6"/>
  <c r="AM84" i="6" s="1"/>
  <c r="AM164" i="6"/>
  <c r="AN173" i="6"/>
  <c r="BD173" i="6" s="1"/>
  <c r="AN175" i="6"/>
  <c r="BD175" i="6" s="1"/>
  <c r="AN174" i="6"/>
  <c r="BD174" i="6" s="1"/>
  <c r="AN136" i="6"/>
  <c r="AM23" i="6"/>
  <c r="AN57" i="6"/>
  <c r="AM68" i="7"/>
  <c r="AN179" i="6"/>
  <c r="AN180" i="6"/>
  <c r="AN177" i="6"/>
  <c r="AN178" i="6"/>
  <c r="AN154" i="6"/>
  <c r="AQ17" i="59" s="1"/>
  <c r="AN182" i="6"/>
  <c r="AN157" i="6"/>
  <c r="AN23" i="6"/>
  <c r="AN155" i="6"/>
  <c r="AN153" i="6"/>
  <c r="AM34" i="6"/>
  <c r="BC34" i="6" s="1"/>
  <c r="BJ34" i="6" s="1"/>
  <c r="AM33" i="6"/>
  <c r="BC33" i="6" s="1"/>
  <c r="BJ33" i="6" s="1"/>
  <c r="AE525" i="28"/>
  <c r="AE524" i="28"/>
  <c r="AN475" i="28"/>
  <c r="BD475" i="28" s="1"/>
  <c r="BK475" i="28" s="1"/>
  <c r="AM431" i="28"/>
  <c r="BC431" i="28" s="1"/>
  <c r="BJ431" i="28" s="1"/>
  <c r="AT417" i="28"/>
  <c r="AM297" i="28"/>
  <c r="BC297" i="28" s="1"/>
  <c r="BJ297" i="28" s="1"/>
  <c r="AM256" i="28"/>
  <c r="BC256" i="28" s="1"/>
  <c r="BJ256" i="28" s="1"/>
  <c r="AN235" i="28"/>
  <c r="BD235" i="28" s="1"/>
  <c r="BK235" i="28" s="1"/>
  <c r="AN96" i="28"/>
  <c r="BD96" i="28" s="1"/>
  <c r="BK96" i="28" s="1"/>
  <c r="AN95" i="28"/>
  <c r="BD95" i="28" s="1"/>
  <c r="BK95" i="28" s="1"/>
  <c r="AN93" i="28"/>
  <c r="BD93" i="28" s="1"/>
  <c r="BK93" i="28" s="1"/>
  <c r="AN89" i="28"/>
  <c r="BD89" i="28" s="1"/>
  <c r="BK89" i="28" s="1"/>
  <c r="AN85" i="28"/>
  <c r="BD85" i="28" s="1"/>
  <c r="BK85" i="28" s="1"/>
  <c r="AN81" i="28"/>
  <c r="BD81" i="28" s="1"/>
  <c r="BK81" i="28" s="1"/>
  <c r="AM68" i="28"/>
  <c r="BC68" i="28" s="1"/>
  <c r="BJ68" i="28" s="1"/>
  <c r="AM67" i="28"/>
  <c r="BC67" i="28" s="1"/>
  <c r="BJ67" i="28" s="1"/>
  <c r="AM65" i="28"/>
  <c r="BC65" i="28" s="1"/>
  <c r="BJ65" i="28" s="1"/>
  <c r="BK55" i="28"/>
  <c r="BK48" i="28"/>
  <c r="BK33" i="28"/>
  <c r="BK64" i="28"/>
  <c r="AD171" i="73"/>
  <c r="AB171" i="73"/>
  <c r="AM160" i="73"/>
  <c r="AM117" i="73"/>
  <c r="AM132" i="73" s="1"/>
  <c r="AM108" i="73"/>
  <c r="AD101" i="73"/>
  <c r="AD113" i="73" s="1"/>
  <c r="AM25" i="73"/>
  <c r="BJ49" i="8" l="1"/>
  <c r="BD51" i="8"/>
  <c r="BC184" i="6"/>
  <c r="BJ184" i="6" s="1"/>
  <c r="BJ18" i="6"/>
  <c r="BC165" i="6"/>
  <c r="BJ17" i="6"/>
  <c r="BD35" i="6"/>
  <c r="BK35" i="6" s="1"/>
  <c r="BK34" i="6"/>
  <c r="BG40" i="59"/>
  <c r="BK63" i="28"/>
  <c r="BD77" i="8"/>
  <c r="BC2" i="17"/>
  <c r="BC2" i="26"/>
  <c r="AX417" i="28"/>
  <c r="BF417" i="28" s="1"/>
  <c r="BH417" i="28" s="1"/>
  <c r="BC159" i="6"/>
  <c r="BJ159" i="6" s="1"/>
  <c r="BC164" i="6"/>
  <c r="BC19" i="6"/>
  <c r="BJ19" i="6" s="1"/>
  <c r="BD153" i="6"/>
  <c r="BC191" i="6"/>
  <c r="AM137" i="6"/>
  <c r="BC137" i="6" s="1"/>
  <c r="AM69" i="7"/>
  <c r="BC68" i="7"/>
  <c r="BC69" i="7" s="1"/>
  <c r="AN137" i="6"/>
  <c r="BD137" i="6" s="1"/>
  <c r="BD136" i="6"/>
  <c r="BK136" i="6" s="1"/>
  <c r="BC190" i="6"/>
  <c r="BC35" i="6"/>
  <c r="BJ35" i="6" s="1"/>
  <c r="AN51" i="7"/>
  <c r="BD178" i="6"/>
  <c r="BD152" i="6"/>
  <c r="AQ18" i="59"/>
  <c r="BD155" i="6"/>
  <c r="BG18" i="59" s="1"/>
  <c r="AN194" i="6"/>
  <c r="BD177" i="6"/>
  <c r="AQ19" i="59"/>
  <c r="BD156" i="6"/>
  <c r="BG19" i="59" s="1"/>
  <c r="AQ25" i="59"/>
  <c r="BD180" i="6"/>
  <c r="BG25" i="59" s="1"/>
  <c r="BD154" i="6"/>
  <c r="BG17" i="59" s="1"/>
  <c r="BD23" i="6"/>
  <c r="BK23" i="6" s="1"/>
  <c r="AQ20" i="59"/>
  <c r="BD157" i="6"/>
  <c r="BG20" i="59" s="1"/>
  <c r="AQ24" i="59"/>
  <c r="BD179" i="6"/>
  <c r="BG24" i="59" s="1"/>
  <c r="AQ27" i="59"/>
  <c r="BD182" i="6"/>
  <c r="BG27" i="59" s="1"/>
  <c r="AQ26" i="59"/>
  <c r="BD181" i="6"/>
  <c r="BG26" i="59" s="1"/>
  <c r="AN505" i="28"/>
  <c r="AM46" i="73"/>
  <c r="BC46" i="73" s="1"/>
  <c r="AM97" i="73"/>
  <c r="BC97" i="73" s="1"/>
  <c r="AM57" i="73"/>
  <c r="BC57" i="73" s="1"/>
  <c r="AM101" i="73"/>
  <c r="BC101" i="73" s="1"/>
  <c r="AM51" i="73"/>
  <c r="BC51" i="73" s="1"/>
  <c r="AM30" i="73"/>
  <c r="BC30" i="73" s="1"/>
  <c r="AM173" i="73"/>
  <c r="BC173" i="73" s="1"/>
  <c r="AM41" i="73"/>
  <c r="BC41" i="73" s="1"/>
  <c r="AN73" i="8"/>
  <c r="BD67" i="8"/>
  <c r="BD72" i="8"/>
  <c r="AM35" i="6"/>
  <c r="AM81" i="6"/>
  <c r="AM171" i="73"/>
  <c r="BC108" i="73"/>
  <c r="AN299" i="28"/>
  <c r="AN298" i="28"/>
  <c r="BD298" i="28" s="1"/>
  <c r="BK298" i="28" s="1"/>
  <c r="AN431" i="28"/>
  <c r="AN74" i="28"/>
  <c r="BD74" i="28" s="1"/>
  <c r="BK74" i="28" s="1"/>
  <c r="AN304" i="28"/>
  <c r="AN416" i="28"/>
  <c r="AN415" i="28"/>
  <c r="BD415" i="28" s="1"/>
  <c r="BK415" i="28" s="1"/>
  <c r="AN256" i="28"/>
  <c r="BK67" i="28"/>
  <c r="BK35" i="28"/>
  <c r="BK65" i="28"/>
  <c r="AN473" i="28"/>
  <c r="AN73" i="28"/>
  <c r="BD73" i="28" s="1"/>
  <c r="BK73" i="28" s="1"/>
  <c r="AN236" i="28"/>
  <c r="BD236" i="28" s="1"/>
  <c r="BK236" i="28" s="1"/>
  <c r="AN97" i="28"/>
  <c r="BK56" i="28"/>
  <c r="AN72" i="28"/>
  <c r="BD72" i="28" s="1"/>
  <c r="BK72" i="28" s="1"/>
  <c r="AN492" i="28"/>
  <c r="BD492" i="28" s="1"/>
  <c r="BK492" i="28" s="1"/>
  <c r="AH78" i="59"/>
  <c r="AH77" i="59"/>
  <c r="AH76" i="59"/>
  <c r="AH71" i="59"/>
  <c r="AH67" i="59"/>
  <c r="AH63" i="59"/>
  <c r="AH59" i="59"/>
  <c r="AH54" i="59"/>
  <c r="AH53" i="59"/>
  <c r="AH44" i="59"/>
  <c r="AH10" i="59"/>
  <c r="AH9" i="59"/>
  <c r="AH8" i="59"/>
  <c r="AH6" i="59"/>
  <c r="AM113" i="73" l="1"/>
  <c r="BD139" i="6"/>
  <c r="BD205" i="6" s="1"/>
  <c r="BK137" i="6"/>
  <c r="BC139" i="6"/>
  <c r="BC208" i="6" s="1"/>
  <c r="BJ137" i="6"/>
  <c r="BD513" i="28"/>
  <c r="BK513" i="28" s="1"/>
  <c r="BK29" i="28"/>
  <c r="BD509" i="28"/>
  <c r="BK509" i="28" s="1"/>
  <c r="BK21" i="28"/>
  <c r="BD505" i="28"/>
  <c r="BK505" i="28" s="1"/>
  <c r="BK13" i="28"/>
  <c r="BD194" i="6"/>
  <c r="BC84" i="6"/>
  <c r="BC81" i="6"/>
  <c r="AM139" i="6"/>
  <c r="AN139" i="6"/>
  <c r="BD73" i="8"/>
  <c r="AN516" i="28"/>
  <c r="BD431" i="28"/>
  <c r="AN508" i="28"/>
  <c r="BD256" i="28"/>
  <c r="BK256" i="28" s="1"/>
  <c r="AN512" i="28"/>
  <c r="BD304" i="28"/>
  <c r="BD524" i="28"/>
  <c r="BK524" i="28" s="1"/>
  <c r="AN525" i="28"/>
  <c r="BD473" i="28"/>
  <c r="BD506" i="28"/>
  <c r="BK506" i="28" s="1"/>
  <c r="BD507" i="28"/>
  <c r="BK507" i="28" s="1"/>
  <c r="AN510" i="28"/>
  <c r="BD299" i="28"/>
  <c r="BK299" i="28" s="1"/>
  <c r="AN514" i="28"/>
  <c r="BD416" i="28"/>
  <c r="BK416" i="28" s="1"/>
  <c r="AN98" i="28"/>
  <c r="BD97" i="28"/>
  <c r="BC171" i="73"/>
  <c r="BC160" i="73"/>
  <c r="BC117" i="73"/>
  <c r="BC132" i="73" s="1"/>
  <c r="BC25" i="73"/>
  <c r="BC113" i="73" s="1"/>
  <c r="AM12" i="15"/>
  <c r="BC12" i="15" s="1"/>
  <c r="BC13" i="15" s="1"/>
  <c r="BC14" i="15" s="1"/>
  <c r="AN524" i="28"/>
  <c r="AN513" i="28"/>
  <c r="AN515" i="28"/>
  <c r="AN509" i="28"/>
  <c r="AN511" i="28"/>
  <c r="AN503" i="28"/>
  <c r="AN502" i="28"/>
  <c r="BK68" i="28"/>
  <c r="BK36" i="28"/>
  <c r="AN506" i="28"/>
  <c r="AN507" i="28"/>
  <c r="AM13" i="15"/>
  <c r="AM14" i="15" s="1"/>
  <c r="AN59" i="36"/>
  <c r="AN67" i="36" s="1"/>
  <c r="AM27" i="21"/>
  <c r="BC27" i="21" s="1"/>
  <c r="AN15" i="21"/>
  <c r="BD15" i="21" s="1"/>
  <c r="AM35" i="35"/>
  <c r="AM34" i="35"/>
  <c r="BC34" i="35" s="1"/>
  <c r="AM33" i="36"/>
  <c r="AM16" i="35"/>
  <c r="BC16" i="35" s="1"/>
  <c r="BD207" i="6" l="1"/>
  <c r="BD208" i="6"/>
  <c r="BD210" i="6"/>
  <c r="BD213" i="6"/>
  <c r="BD200" i="6"/>
  <c r="BD195" i="6"/>
  <c r="BC209" i="6"/>
  <c r="BC207" i="6"/>
  <c r="BC202" i="6"/>
  <c r="BC210" i="6"/>
  <c r="BD202" i="6"/>
  <c r="BD209" i="6"/>
  <c r="BD199" i="6"/>
  <c r="BC205" i="6"/>
  <c r="BC204" i="6"/>
  <c r="BD204" i="6"/>
  <c r="BD516" i="28"/>
  <c r="BK516" i="28" s="1"/>
  <c r="BK431" i="28"/>
  <c r="BD512" i="28"/>
  <c r="BK512" i="28" s="1"/>
  <c r="BK304" i="28"/>
  <c r="BC203" i="6"/>
  <c r="BJ139" i="6"/>
  <c r="BD98" i="28"/>
  <c r="BK97" i="28"/>
  <c r="BD525" i="28"/>
  <c r="BK525" i="28" s="1"/>
  <c r="BK473" i="28"/>
  <c r="BC200" i="6"/>
  <c r="BC199" i="6"/>
  <c r="BC213" i="6"/>
  <c r="BC214" i="6" s="1"/>
  <c r="BD203" i="6"/>
  <c r="BK139" i="6"/>
  <c r="BC35" i="35"/>
  <c r="BB123" i="90" s="1"/>
  <c r="BB125" i="90" s="1"/>
  <c r="AL123" i="90"/>
  <c r="AL125" i="90" s="1"/>
  <c r="AN203" i="6"/>
  <c r="AM204" i="6"/>
  <c r="AM203" i="6"/>
  <c r="AN210" i="6"/>
  <c r="AN213" i="6"/>
  <c r="AN204" i="6"/>
  <c r="AM213" i="6"/>
  <c r="AM214" i="6" s="1"/>
  <c r="AM210" i="6"/>
  <c r="AM208" i="6"/>
  <c r="AM199" i="6"/>
  <c r="AM202" i="6"/>
  <c r="AM200" i="6"/>
  <c r="AM207" i="6"/>
  <c r="AM209" i="6"/>
  <c r="AM205" i="6"/>
  <c r="AN207" i="6"/>
  <c r="AN202" i="6"/>
  <c r="AN205" i="6"/>
  <c r="AN195" i="6"/>
  <c r="AN208" i="6"/>
  <c r="AN209" i="6"/>
  <c r="AN200" i="6"/>
  <c r="AN199" i="6"/>
  <c r="BC211" i="6"/>
  <c r="BF11" i="59" s="1"/>
  <c r="BD211" i="6"/>
  <c r="BG11" i="59" s="1"/>
  <c r="BD214" i="6"/>
  <c r="AM36" i="35"/>
  <c r="AM48" i="35" s="1"/>
  <c r="BC48" i="35" s="1"/>
  <c r="AN517" i="28"/>
  <c r="BD514" i="28"/>
  <c r="BK514" i="28" s="1"/>
  <c r="BD515" i="28"/>
  <c r="BK515" i="28" s="1"/>
  <c r="BD502" i="28"/>
  <c r="BK502" i="28" s="1"/>
  <c r="BD503" i="28"/>
  <c r="BK503" i="28" s="1"/>
  <c r="BD510" i="28"/>
  <c r="BK510" i="28" s="1"/>
  <c r="BD511" i="28"/>
  <c r="BK511" i="28" s="1"/>
  <c r="AM31" i="35"/>
  <c r="BC31" i="35" s="1"/>
  <c r="AM17" i="35"/>
  <c r="BC17" i="35" s="1"/>
  <c r="AM32" i="35"/>
  <c r="AN18" i="21"/>
  <c r="AN56" i="36"/>
  <c r="AN16" i="36" s="1"/>
  <c r="AN57" i="36"/>
  <c r="AN17" i="36" s="1"/>
  <c r="AQ54" i="59" s="1"/>
  <c r="AM18" i="35"/>
  <c r="BC18" i="35" s="1"/>
  <c r="AM30" i="35"/>
  <c r="BC30" i="35" s="1"/>
  <c r="AM64" i="36"/>
  <c r="AN33" i="36"/>
  <c r="AN40" i="36" s="1"/>
  <c r="AN61" i="36"/>
  <c r="AN62" i="36"/>
  <c r="AN70" i="36" s="1"/>
  <c r="AN64" i="36"/>
  <c r="AN72" i="36" s="1"/>
  <c r="AN58" i="36"/>
  <c r="AN493" i="28"/>
  <c r="BD493" i="28" s="1"/>
  <c r="BK493" i="28" s="1"/>
  <c r="AM56" i="36"/>
  <c r="AN75" i="28"/>
  <c r="BD75" i="28" s="1"/>
  <c r="BK75" i="28" s="1"/>
  <c r="BD206" i="6" l="1"/>
  <c r="BC206" i="6"/>
  <c r="BD517" i="28"/>
  <c r="BK517" i="28" s="1"/>
  <c r="BK37" i="28"/>
  <c r="AN122" i="45"/>
  <c r="BC32" i="35"/>
  <c r="AN121" i="45"/>
  <c r="AN125" i="45"/>
  <c r="AN124" i="45"/>
  <c r="AN145" i="45"/>
  <c r="AN140" i="45"/>
  <c r="AM206" i="6"/>
  <c r="AM211" i="6"/>
  <c r="AN206" i="6"/>
  <c r="AN214" i="6"/>
  <c r="AN27" i="36"/>
  <c r="AQ76" i="59" s="1"/>
  <c r="AN29" i="36"/>
  <c r="AN211" i="6"/>
  <c r="AQ11" i="59" s="1"/>
  <c r="BD212" i="6"/>
  <c r="BD215" i="6" s="1"/>
  <c r="BC212" i="6"/>
  <c r="BC215" i="6" s="1"/>
  <c r="BC36" i="35"/>
  <c r="AN20" i="21"/>
  <c r="BD18" i="21"/>
  <c r="BD20" i="21" s="1"/>
  <c r="AM159" i="10"/>
  <c r="AM173" i="10" s="1"/>
  <c r="AM56" i="11"/>
  <c r="BC56" i="11"/>
  <c r="BB18" i="15"/>
  <c r="BC26" i="36"/>
  <c r="BC5" i="9"/>
  <c r="BD122" i="45"/>
  <c r="BD497" i="28"/>
  <c r="BK497" i="28" s="1"/>
  <c r="BD518" i="28"/>
  <c r="BK518" i="28" s="1"/>
  <c r="BD519" i="28"/>
  <c r="BK519" i="28" s="1"/>
  <c r="BD496" i="28"/>
  <c r="BK496" i="28" s="1"/>
  <c r="AM61" i="36"/>
  <c r="AM63" i="36" s="1"/>
  <c r="AM58" i="36"/>
  <c r="AM60" i="36" s="1"/>
  <c r="AM5" i="9"/>
  <c r="AM104" i="9" s="1"/>
  <c r="AL18" i="15"/>
  <c r="AM26" i="36"/>
  <c r="AN18" i="36"/>
  <c r="AQ55" i="59" s="1"/>
  <c r="AQ53" i="59"/>
  <c r="AM33" i="35"/>
  <c r="AM37" i="35" s="1"/>
  <c r="AP97" i="50" s="1"/>
  <c r="AP95" i="50" s="1"/>
  <c r="AM298" i="28"/>
  <c r="BC298" i="28" s="1"/>
  <c r="BJ298" i="28" s="1"/>
  <c r="AM15" i="28"/>
  <c r="BC15" i="28" s="1"/>
  <c r="BJ15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3" i="28"/>
  <c r="BC23" i="28" s="1"/>
  <c r="BJ23" i="28" s="1"/>
  <c r="AN28" i="36"/>
  <c r="AQ77" i="59" s="1"/>
  <c r="AM7" i="28"/>
  <c r="BC7" i="28" s="1"/>
  <c r="BJ7" i="28" s="1"/>
  <c r="AL16" i="15"/>
  <c r="BB16" i="15" s="1"/>
  <c r="AL15" i="15"/>
  <c r="BB15" i="15" s="1"/>
  <c r="AM14" i="36"/>
  <c r="AP40" i="59" s="1"/>
  <c r="AM6" i="8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4" i="59"/>
  <c r="AN522" i="28"/>
  <c r="AN496" i="28"/>
  <c r="AN518" i="28"/>
  <c r="AN519" i="28"/>
  <c r="AN497" i="28"/>
  <c r="AN76" i="28"/>
  <c r="AE45" i="35"/>
  <c r="AI45" i="35" s="1"/>
  <c r="AE44" i="35"/>
  <c r="AI44" i="35" s="1"/>
  <c r="AE43" i="35"/>
  <c r="AI43" i="35" s="1"/>
  <c r="AM42" i="35"/>
  <c r="BC42" i="35" s="1"/>
  <c r="AN41" i="35"/>
  <c r="BD41" i="35" s="1"/>
  <c r="AM41" i="35"/>
  <c r="BC41" i="35" s="1"/>
  <c r="AM39" i="35"/>
  <c r="BC39" i="35" s="1"/>
  <c r="BD6" i="35"/>
  <c r="BD5" i="6" s="1"/>
  <c r="AM83" i="8" l="1"/>
  <c r="BK122" i="45"/>
  <c r="BC74" i="11"/>
  <c r="BK69" i="28"/>
  <c r="BD140" i="45"/>
  <c r="BD121" i="45"/>
  <c r="BK121" i="45" s="1"/>
  <c r="BD522" i="28"/>
  <c r="BK522" i="28" s="1"/>
  <c r="AM58" i="11"/>
  <c r="AP67" i="59" s="1"/>
  <c r="AM74" i="11"/>
  <c r="AM5" i="15"/>
  <c r="AM212" i="6"/>
  <c r="AM215" i="6" s="1"/>
  <c r="AN212" i="6"/>
  <c r="AN215" i="6" s="1"/>
  <c r="AM79" i="11"/>
  <c r="AP69" i="59" s="1"/>
  <c r="AM102" i="9"/>
  <c r="BC102" i="9" s="1"/>
  <c r="BD9" i="36"/>
  <c r="BG10" i="59" s="1"/>
  <c r="AM55" i="11"/>
  <c r="AM97" i="11"/>
  <c r="AP50" i="59"/>
  <c r="AM82" i="8"/>
  <c r="AM9" i="35"/>
  <c r="AP71" i="59"/>
  <c r="AP73" i="59"/>
  <c r="BC49" i="35"/>
  <c r="AM34" i="36"/>
  <c r="BC97" i="11"/>
  <c r="BC55" i="11"/>
  <c r="BC79" i="11"/>
  <c r="BF69" i="59" s="1"/>
  <c r="BC58" i="11"/>
  <c r="BD125" i="45"/>
  <c r="BK125" i="45" s="1"/>
  <c r="BD124" i="45"/>
  <c r="BF71" i="59" s="1"/>
  <c r="BD145" i="45"/>
  <c r="BF73" i="59" s="1"/>
  <c r="AN49" i="35"/>
  <c r="AN55" i="35" s="1"/>
  <c r="BD49" i="35"/>
  <c r="BD55" i="35" s="1"/>
  <c r="BC159" i="10"/>
  <c r="BC33" i="35"/>
  <c r="BC37" i="35" s="1"/>
  <c r="BC33" i="22"/>
  <c r="BB130" i="26"/>
  <c r="BC89" i="9"/>
  <c r="BC100" i="9"/>
  <c r="BC7" i="9"/>
  <c r="AM158" i="10"/>
  <c r="AM210" i="10" s="1"/>
  <c r="AM161" i="10"/>
  <c r="AP63" i="59" s="1"/>
  <c r="AM89" i="8"/>
  <c r="BC6" i="8"/>
  <c r="AM86" i="9"/>
  <c r="BC69" i="9"/>
  <c r="BC86" i="9" s="1"/>
  <c r="AM81" i="9"/>
  <c r="BC64" i="9"/>
  <c r="BC81" i="9" s="1"/>
  <c r="AM73" i="9"/>
  <c r="BC56" i="9"/>
  <c r="AM85" i="9"/>
  <c r="BC68" i="9"/>
  <c r="BC85" i="9" s="1"/>
  <c r="AM80" i="9"/>
  <c r="BC63" i="9"/>
  <c r="BC80" i="9" s="1"/>
  <c r="AM76" i="9"/>
  <c r="BC59" i="9"/>
  <c r="BC93" i="9"/>
  <c r="BC94" i="9"/>
  <c r="BB19" i="15" s="1"/>
  <c r="AM83" i="9"/>
  <c r="BC66" i="9"/>
  <c r="BC83" i="9" s="1"/>
  <c r="AP58" i="59"/>
  <c r="BC104" i="9"/>
  <c r="BF58" i="59" s="1"/>
  <c r="AM78" i="9"/>
  <c r="BC61" i="9"/>
  <c r="AM96" i="9"/>
  <c r="BC95" i="9"/>
  <c r="BC96" i="9" s="1"/>
  <c r="AM82" i="9"/>
  <c r="AP61" i="59" s="1"/>
  <c r="BC65" i="9"/>
  <c r="BC82" i="9" s="1"/>
  <c r="BF61" i="59" s="1"/>
  <c r="AM87" i="9"/>
  <c r="AP60" i="59" s="1"/>
  <c r="BC70" i="9"/>
  <c r="BC87" i="9" s="1"/>
  <c r="BF60" i="59" s="1"/>
  <c r="AM84" i="9"/>
  <c r="BC67" i="9"/>
  <c r="BC84" i="9" s="1"/>
  <c r="BB17" i="15"/>
  <c r="AN523" i="28"/>
  <c r="BD76" i="28"/>
  <c r="BD15" i="6"/>
  <c r="AM6" i="15"/>
  <c r="AM28" i="8"/>
  <c r="AM69" i="8"/>
  <c r="BC69" i="8" s="1"/>
  <c r="AM91" i="8"/>
  <c r="AM49" i="8"/>
  <c r="AM81" i="8"/>
  <c r="AP51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51" i="8" s="1"/>
  <c r="AM25" i="36"/>
  <c r="AN5" i="6"/>
  <c r="AN98" i="6" s="1"/>
  <c r="AN104" i="6" s="1"/>
  <c r="AN106" i="6" s="1"/>
  <c r="AM49" i="35"/>
  <c r="AM55" i="35" s="1"/>
  <c r="AN19" i="36"/>
  <c r="AQ56" i="59" s="1"/>
  <c r="AM30" i="8"/>
  <c r="AM67" i="8"/>
  <c r="BC67" i="8" s="1"/>
  <c r="AM27" i="8"/>
  <c r="BC27" i="8" s="1"/>
  <c r="AM21" i="28"/>
  <c r="BC21" i="28" s="1"/>
  <c r="BJ21" i="28" s="1"/>
  <c r="AM178" i="10"/>
  <c r="AP65" i="59" s="1"/>
  <c r="AM10" i="35"/>
  <c r="AM23" i="8"/>
  <c r="BC23" i="8" s="1"/>
  <c r="AM85" i="8"/>
  <c r="AM25" i="8"/>
  <c r="BC25" i="8" s="1"/>
  <c r="AM236" i="28"/>
  <c r="BC236" i="28" s="1"/>
  <c r="BJ236" i="28" s="1"/>
  <c r="AM13" i="28"/>
  <c r="BC13" i="28" s="1"/>
  <c r="BJ13" i="28" s="1"/>
  <c r="AM29" i="28"/>
  <c r="BC29" i="28" s="1"/>
  <c r="BJ29" i="28" s="1"/>
  <c r="AM416" i="28"/>
  <c r="AM7" i="9"/>
  <c r="AM33" i="22"/>
  <c r="AM89" i="9"/>
  <c r="AL130" i="26"/>
  <c r="AM100" i="9"/>
  <c r="AQ78" i="59"/>
  <c r="AM7" i="15"/>
  <c r="AN143" i="6" l="1"/>
  <c r="AN144" i="6"/>
  <c r="AQ15" i="59" s="1"/>
  <c r="AN146" i="6"/>
  <c r="AN148" i="6"/>
  <c r="AN193" i="6" s="1"/>
  <c r="AN149" i="6"/>
  <c r="AN150" i="6"/>
  <c r="BC76" i="9"/>
  <c r="BC83" i="8"/>
  <c r="BF50" i="59" s="1"/>
  <c r="BC78" i="9"/>
  <c r="BD523" i="28"/>
  <c r="BK523" i="28" s="1"/>
  <c r="BK76" i="28"/>
  <c r="BC73" i="9"/>
  <c r="BB124" i="26"/>
  <c r="BB116" i="26"/>
  <c r="BB125" i="26"/>
  <c r="BB127" i="26"/>
  <c r="BB115" i="26"/>
  <c r="BB118" i="26"/>
  <c r="BB119" i="26"/>
  <c r="BB122" i="26"/>
  <c r="BB123" i="26"/>
  <c r="BB120" i="26"/>
  <c r="BB114" i="26"/>
  <c r="BB121" i="26"/>
  <c r="BB126" i="26"/>
  <c r="BB117" i="26"/>
  <c r="BD97" i="50"/>
  <c r="BD95" i="50" s="1"/>
  <c r="BJ159" i="10"/>
  <c r="AM9" i="6"/>
  <c r="BC10" i="35"/>
  <c r="BC9" i="6" s="1"/>
  <c r="BJ9" i="6" s="1"/>
  <c r="BC173" i="10"/>
  <c r="BC203" i="10"/>
  <c r="BJ203" i="10" s="1"/>
  <c r="AL123" i="26"/>
  <c r="AL126" i="26"/>
  <c r="AL120" i="26"/>
  <c r="AL125" i="26"/>
  <c r="AL119" i="26"/>
  <c r="AL116" i="26"/>
  <c r="AL115" i="26"/>
  <c r="AL128" i="26"/>
  <c r="AL124" i="26"/>
  <c r="AL118" i="26"/>
  <c r="AL121" i="26"/>
  <c r="AL122" i="26"/>
  <c r="AL114" i="26"/>
  <c r="AL127" i="26"/>
  <c r="AL117" i="26"/>
  <c r="AL2" i="17"/>
  <c r="AL2" i="26"/>
  <c r="AN9" i="36"/>
  <c r="AQ10" i="59" s="1"/>
  <c r="BC55" i="35"/>
  <c r="BC82" i="8"/>
  <c r="BF49" i="59" s="1"/>
  <c r="AP49" i="59"/>
  <c r="BC9" i="35"/>
  <c r="BC8" i="6" s="1"/>
  <c r="BJ8" i="6" s="1"/>
  <c r="AM8" i="6"/>
  <c r="AM35" i="36"/>
  <c r="BC158" i="10"/>
  <c r="BJ158" i="10" s="1"/>
  <c r="BC178" i="10"/>
  <c r="BF65" i="59" s="1"/>
  <c r="BC161" i="10"/>
  <c r="BF63" i="59" s="1"/>
  <c r="AM11" i="35"/>
  <c r="AM10" i="6" s="1"/>
  <c r="BC25" i="36"/>
  <c r="BF75" i="59" s="1"/>
  <c r="AM26" i="21"/>
  <c r="BC43" i="8"/>
  <c r="BF45" i="59" s="1"/>
  <c r="BC91" i="8"/>
  <c r="BC81" i="8"/>
  <c r="BF51" i="59" s="1"/>
  <c r="BC49" i="8"/>
  <c r="AE80" i="83"/>
  <c r="AE78" i="83" s="1"/>
  <c r="AE97" i="50"/>
  <c r="AM46" i="8"/>
  <c r="AP46" i="59" s="1"/>
  <c r="BC30" i="8"/>
  <c r="BC46" i="8" s="1"/>
  <c r="BF46" i="59" s="1"/>
  <c r="BC89" i="8"/>
  <c r="AM77" i="8"/>
  <c r="BC14" i="36"/>
  <c r="BC50" i="8"/>
  <c r="BI49" i="8" s="1"/>
  <c r="BC11" i="36"/>
  <c r="BF37" i="59" s="1"/>
  <c r="BC40" i="8"/>
  <c r="AM44" i="8"/>
  <c r="AP47" i="59" s="1"/>
  <c r="BC28" i="8"/>
  <c r="BC44" i="8" s="1"/>
  <c r="BF47" i="59" s="1"/>
  <c r="BC85" i="8"/>
  <c r="BC10" i="36"/>
  <c r="BF36" i="59" s="1"/>
  <c r="BC39" i="8"/>
  <c r="BC26" i="8"/>
  <c r="BC47" i="8"/>
  <c r="BC12" i="36"/>
  <c r="BF38" i="59" s="1"/>
  <c r="BC41" i="8"/>
  <c r="BC45" i="8"/>
  <c r="AM75" i="9"/>
  <c r="BC58" i="9"/>
  <c r="AM72" i="9"/>
  <c r="BC55" i="9"/>
  <c r="AM77" i="9"/>
  <c r="BC60" i="9"/>
  <c r="BC507" i="28"/>
  <c r="BJ507" i="28" s="1"/>
  <c r="AM515" i="28"/>
  <c r="BC416" i="28"/>
  <c r="AN6" i="6"/>
  <c r="AN16" i="6" s="1"/>
  <c r="BD7" i="35"/>
  <c r="BD6" i="6" s="1"/>
  <c r="AM74" i="8"/>
  <c r="AM36" i="8"/>
  <c r="BC36" i="8" s="1"/>
  <c r="AM299" i="28"/>
  <c r="BC299" i="28" s="1"/>
  <c r="BJ299" i="28" s="1"/>
  <c r="AM59" i="8"/>
  <c r="BC59" i="8" s="1"/>
  <c r="AM507" i="28"/>
  <c r="AM7" i="22"/>
  <c r="AM8" i="22"/>
  <c r="AM21" i="22"/>
  <c r="BC21" i="22" s="1"/>
  <c r="AM22" i="22"/>
  <c r="BC22" i="22" s="1"/>
  <c r="AM40" i="8"/>
  <c r="AM11" i="36"/>
  <c r="AP37" i="59" s="1"/>
  <c r="AM41" i="8"/>
  <c r="AM12" i="36"/>
  <c r="AP38" i="59" s="1"/>
  <c r="AM14" i="35"/>
  <c r="BC14" i="35" s="1"/>
  <c r="AM74" i="28"/>
  <c r="BC74" i="28" s="1"/>
  <c r="BJ74" i="28" s="1"/>
  <c r="AM65" i="8"/>
  <c r="BC65" i="8" s="1"/>
  <c r="AM108" i="8"/>
  <c r="AM110" i="8" s="1"/>
  <c r="AM43" i="8"/>
  <c r="AP45" i="59" s="1"/>
  <c r="AN8" i="35"/>
  <c r="AM13" i="35"/>
  <c r="BC13" i="35" s="1"/>
  <c r="AM72" i="28"/>
  <c r="BC72" i="28" s="1"/>
  <c r="BJ72" i="28" s="1"/>
  <c r="AM34" i="8"/>
  <c r="BC34" i="8" s="1"/>
  <c r="AM10" i="36"/>
  <c r="AM39" i="8"/>
  <c r="AM26" i="8"/>
  <c r="AM73" i="28"/>
  <c r="BC73" i="28" s="1"/>
  <c r="BJ73" i="28" s="1"/>
  <c r="AM37" i="8"/>
  <c r="BC37" i="8" s="1"/>
  <c r="AN15" i="6"/>
  <c r="AM62" i="9"/>
  <c r="AM57" i="9"/>
  <c r="AM74" i="9" s="1"/>
  <c r="AN34" i="36"/>
  <c r="AN41" i="36" s="1"/>
  <c r="AN18" i="6"/>
  <c r="AN61" i="6"/>
  <c r="AQ23" i="59" s="1"/>
  <c r="AN60" i="6"/>
  <c r="AQ16" i="59" s="1"/>
  <c r="AQ12" i="59"/>
  <c r="AM31" i="28"/>
  <c r="BC31" i="28" s="1"/>
  <c r="BJ31" i="28" s="1"/>
  <c r="AD97" i="50"/>
  <c r="AD95" i="50" s="1"/>
  <c r="AN145" i="6" l="1"/>
  <c r="AN7" i="36" s="1"/>
  <c r="AQ8" i="59" s="1"/>
  <c r="BC51" i="8"/>
  <c r="BC75" i="9"/>
  <c r="BB128" i="26"/>
  <c r="BC24" i="36" s="1"/>
  <c r="BF40" i="59"/>
  <c r="BC515" i="28"/>
  <c r="BJ515" i="28" s="1"/>
  <c r="BJ416" i="28"/>
  <c r="BC77" i="9"/>
  <c r="AE95" i="50"/>
  <c r="BC77" i="8"/>
  <c r="BB2" i="17"/>
  <c r="BB2" i="26"/>
  <c r="AP48" i="59"/>
  <c r="BF48" i="59"/>
  <c r="AO80" i="83"/>
  <c r="BE80" i="83" s="1"/>
  <c r="BE78" i="83" s="1"/>
  <c r="AM52" i="8"/>
  <c r="AP41" i="59" s="1"/>
  <c r="BC26" i="21"/>
  <c r="AM28" i="21"/>
  <c r="BC28" i="21" s="1"/>
  <c r="BC74" i="8"/>
  <c r="AN191" i="6"/>
  <c r="BD18" i="6"/>
  <c r="BK18" i="6" s="1"/>
  <c r="BD60" i="6"/>
  <c r="BG16" i="59" s="1"/>
  <c r="BC72" i="8"/>
  <c r="BC108" i="8"/>
  <c r="BD61" i="6"/>
  <c r="BG23" i="59" s="1"/>
  <c r="BC42" i="8"/>
  <c r="BC52" i="8"/>
  <c r="BF41" i="59" s="1"/>
  <c r="BC57" i="9"/>
  <c r="BC72" i="9"/>
  <c r="AM79" i="9"/>
  <c r="BC62" i="9"/>
  <c r="BC23" i="22"/>
  <c r="AM15" i="22"/>
  <c r="BC7" i="22"/>
  <c r="AM9" i="22"/>
  <c r="BC8" i="22"/>
  <c r="AN7" i="6"/>
  <c r="BC503" i="28"/>
  <c r="BJ503" i="28" s="1"/>
  <c r="BC511" i="28"/>
  <c r="BJ511" i="28" s="1"/>
  <c r="BD16" i="6"/>
  <c r="BD7" i="6"/>
  <c r="AM23" i="22"/>
  <c r="AM15" i="35"/>
  <c r="AM42" i="8"/>
  <c r="AM109" i="8"/>
  <c r="AM111" i="8" s="1"/>
  <c r="AM53" i="8" s="1"/>
  <c r="AP42" i="59" s="1"/>
  <c r="AM24" i="36"/>
  <c r="AP74" i="59" s="1"/>
  <c r="AN83" i="6"/>
  <c r="AN80" i="6"/>
  <c r="AN35" i="36"/>
  <c r="AM79" i="28"/>
  <c r="BC79" i="28" s="1"/>
  <c r="BJ79" i="28" s="1"/>
  <c r="AM83" i="28"/>
  <c r="AP36" i="59"/>
  <c r="AM13" i="36"/>
  <c r="AP39" i="59" s="1"/>
  <c r="AM87" i="28"/>
  <c r="BC87" i="28" s="1"/>
  <c r="BJ87" i="28" s="1"/>
  <c r="AM36" i="36"/>
  <c r="AM20" i="49"/>
  <c r="AM15" i="36" s="1"/>
  <c r="AM72" i="8"/>
  <c r="AM63" i="8"/>
  <c r="AM35" i="8"/>
  <c r="BC35" i="8" s="1"/>
  <c r="AM511" i="28"/>
  <c r="AM503" i="28"/>
  <c r="AN190" i="6"/>
  <c r="AN185" i="6"/>
  <c r="AN17" i="6"/>
  <c r="AN36" i="36"/>
  <c r="AM37" i="28"/>
  <c r="BC37" i="28" s="1"/>
  <c r="BJ37" i="28" s="1"/>
  <c r="BC79" i="9" l="1"/>
  <c r="BC74" i="9"/>
  <c r="BD185" i="6"/>
  <c r="AO78" i="83"/>
  <c r="AP43" i="59"/>
  <c r="BD83" i="6"/>
  <c r="BC9" i="22"/>
  <c r="BC110" i="8"/>
  <c r="BC109" i="8"/>
  <c r="AN165" i="6"/>
  <c r="BD17" i="6"/>
  <c r="BK17" i="6" s="1"/>
  <c r="AM71" i="8"/>
  <c r="BC63" i="8"/>
  <c r="BC71" i="8" s="1"/>
  <c r="BD191" i="6"/>
  <c r="AM502" i="28"/>
  <c r="BC83" i="28"/>
  <c r="BJ83" i="28" s="1"/>
  <c r="BC506" i="28"/>
  <c r="BJ506" i="28" s="1"/>
  <c r="BC505" i="28"/>
  <c r="BJ505" i="28" s="1"/>
  <c r="BC514" i="28"/>
  <c r="BJ514" i="28" s="1"/>
  <c r="BC513" i="28"/>
  <c r="BJ513" i="28" s="1"/>
  <c r="AM10" i="22"/>
  <c r="BC10" i="22" s="1"/>
  <c r="AN79" i="6"/>
  <c r="AN85" i="6"/>
  <c r="AN82" i="6"/>
  <c r="AM24" i="22"/>
  <c r="BC24" i="22" s="1"/>
  <c r="AM510" i="28"/>
  <c r="AM509" i="28"/>
  <c r="AM514" i="28"/>
  <c r="AM513" i="28"/>
  <c r="AM506" i="28"/>
  <c r="AM505" i="28"/>
  <c r="AP52" i="59"/>
  <c r="AM11" i="22"/>
  <c r="BC11" i="22" s="1"/>
  <c r="AM13" i="22"/>
  <c r="AN164" i="6"/>
  <c r="AN19" i="6"/>
  <c r="AN84" i="6" s="1"/>
  <c r="AN160" i="6"/>
  <c r="AM63" i="28"/>
  <c r="BC63" i="28" s="1"/>
  <c r="BJ63" i="28" s="1"/>
  <c r="AM75" i="28"/>
  <c r="BC75" i="28" s="1"/>
  <c r="BJ75" i="28" s="1"/>
  <c r="AB37" i="36"/>
  <c r="AA37" i="36"/>
  <c r="BD98" i="6" l="1"/>
  <c r="BK98" i="6" s="1"/>
  <c r="BC111" i="8"/>
  <c r="BC53" i="8" s="1"/>
  <c r="BF42" i="59" s="1"/>
  <c r="BF43" i="59" s="1"/>
  <c r="BC12" i="22"/>
  <c r="BD79" i="6"/>
  <c r="BD85" i="6"/>
  <c r="BD19" i="6"/>
  <c r="BK19" i="6" s="1"/>
  <c r="BD160" i="6"/>
  <c r="BD165" i="6"/>
  <c r="BD80" i="6"/>
  <c r="BD82" i="6"/>
  <c r="AM14" i="22"/>
  <c r="BC13" i="22"/>
  <c r="BC14" i="22" s="1"/>
  <c r="BC15" i="22"/>
  <c r="AM12" i="22"/>
  <c r="BC510" i="28"/>
  <c r="BJ510" i="28" s="1"/>
  <c r="BC509" i="28"/>
  <c r="BJ509" i="28" s="1"/>
  <c r="BC502" i="28"/>
  <c r="BJ502" i="28" s="1"/>
  <c r="AN81" i="6"/>
  <c r="AM27" i="22"/>
  <c r="BC27" i="22" s="1"/>
  <c r="AM25" i="22"/>
  <c r="AN40" i="6"/>
  <c r="AN38" i="6"/>
  <c r="AN39" i="6"/>
  <c r="AN37" i="6"/>
  <c r="AM493" i="28"/>
  <c r="BC493" i="28" s="1"/>
  <c r="BJ493" i="28" s="1"/>
  <c r="AM69" i="28"/>
  <c r="AM91" i="28"/>
  <c r="BC91" i="28" s="1"/>
  <c r="BJ91" i="28" s="1"/>
  <c r="BD104" i="6" l="1"/>
  <c r="BD84" i="6"/>
  <c r="BD39" i="6"/>
  <c r="BD40" i="6"/>
  <c r="BD38" i="6"/>
  <c r="BD37" i="6"/>
  <c r="AM26" i="22"/>
  <c r="BC25" i="22"/>
  <c r="BC26" i="22" s="1"/>
  <c r="AM29" i="22"/>
  <c r="BC518" i="28"/>
  <c r="BJ518" i="28" s="1"/>
  <c r="BC517" i="28"/>
  <c r="BJ517" i="28" s="1"/>
  <c r="AM522" i="28"/>
  <c r="BC69" i="28"/>
  <c r="BC497" i="28"/>
  <c r="BJ497" i="28" s="1"/>
  <c r="BC496" i="28"/>
  <c r="BJ496" i="28" s="1"/>
  <c r="BC519" i="28"/>
  <c r="BJ519" i="28" s="1"/>
  <c r="AN41" i="6"/>
  <c r="AM28" i="22"/>
  <c r="AM76" i="28"/>
  <c r="AM518" i="28"/>
  <c r="AM517" i="28"/>
  <c r="AM496" i="28"/>
  <c r="AM497" i="28"/>
  <c r="AM519" i="28"/>
  <c r="AM95" i="28"/>
  <c r="BC95" i="28" s="1"/>
  <c r="BJ95" i="28" s="1"/>
  <c r="F481" i="28"/>
  <c r="F475" i="28"/>
  <c r="F443" i="28"/>
  <c r="F442" i="28"/>
  <c r="J442" i="28" l="1"/>
  <c r="N442" i="28" s="1"/>
  <c r="J443" i="28"/>
  <c r="N443" i="28" s="1"/>
  <c r="R443" i="28" s="1"/>
  <c r="V443" i="28" s="1"/>
  <c r="J475" i="28"/>
  <c r="N475" i="28" s="1"/>
  <c r="AB475" i="28" s="1"/>
  <c r="AF475" i="28" s="1"/>
  <c r="J481" i="28"/>
  <c r="N481" i="28" s="1"/>
  <c r="AB481" i="28" s="1"/>
  <c r="AF481" i="28" s="1"/>
  <c r="BC522" i="28"/>
  <c r="BJ522" i="28" s="1"/>
  <c r="BJ69" i="28"/>
  <c r="BD106" i="6"/>
  <c r="BD146" i="6" s="1"/>
  <c r="BK104" i="6"/>
  <c r="AB442" i="28"/>
  <c r="AF442" i="28" s="1"/>
  <c r="AJ442" i="28" s="1"/>
  <c r="AP442" i="28" s="1"/>
  <c r="AT442" i="28" s="1"/>
  <c r="R442" i="28"/>
  <c r="V442" i="28" s="1"/>
  <c r="R475" i="28"/>
  <c r="V475" i="28" s="1"/>
  <c r="BD41" i="6"/>
  <c r="AJ461" i="28"/>
  <c r="BC29" i="22"/>
  <c r="BC28" i="22"/>
  <c r="AM523" i="28"/>
  <c r="BC76" i="28"/>
  <c r="AJ486" i="28"/>
  <c r="AP486" i="28" s="1"/>
  <c r="AT486" i="28" s="1"/>
  <c r="AJ485" i="28"/>
  <c r="F492" i="28"/>
  <c r="F473" i="28"/>
  <c r="AJ483" i="28"/>
  <c r="AP483" i="28" s="1"/>
  <c r="AT483" i="28" s="1"/>
  <c r="AJ482" i="28"/>
  <c r="AP482" i="28" s="1"/>
  <c r="AT482" i="28" s="1"/>
  <c r="AJ472" i="28"/>
  <c r="AP472" i="28" s="1"/>
  <c r="AT472" i="28" s="1"/>
  <c r="AX472" i="28" s="1"/>
  <c r="F493" i="28" l="1"/>
  <c r="AB443" i="28"/>
  <c r="AF443" i="28" s="1"/>
  <c r="BD148" i="6"/>
  <c r="BD193" i="6" s="1"/>
  <c r="BD149" i="6"/>
  <c r="J492" i="28"/>
  <c r="N492" i="28" s="1"/>
  <c r="AB492" i="28" s="1"/>
  <c r="AF492" i="28" s="1"/>
  <c r="J473" i="28"/>
  <c r="N473" i="28" s="1"/>
  <c r="R473" i="28" s="1"/>
  <c r="V473" i="28" s="1"/>
  <c r="BC523" i="28"/>
  <c r="BJ523" i="28" s="1"/>
  <c r="BJ76" i="28"/>
  <c r="BD143" i="6"/>
  <c r="BK106" i="6"/>
  <c r="BD144" i="6"/>
  <c r="BG15" i="59" s="1"/>
  <c r="R481" i="28"/>
  <c r="V481" i="28" s="1"/>
  <c r="BD150" i="6"/>
  <c r="AP461" i="28"/>
  <c r="AP485" i="28"/>
  <c r="AX486" i="28"/>
  <c r="BF486" i="28" s="1"/>
  <c r="BH486" i="28" s="1"/>
  <c r="AX482" i="28"/>
  <c r="BF482" i="28" s="1"/>
  <c r="BH482" i="28" s="1"/>
  <c r="BF472" i="28"/>
  <c r="BH472" i="28" s="1"/>
  <c r="AX483" i="28"/>
  <c r="BF483" i="28" s="1"/>
  <c r="BH483" i="28" s="1"/>
  <c r="AJ445" i="28"/>
  <c r="AJ462" i="28"/>
  <c r="AJ452" i="28"/>
  <c r="AJ481" i="28"/>
  <c r="AP481" i="28" s="1"/>
  <c r="AT481" i="28" s="1"/>
  <c r="AJ475" i="28"/>
  <c r="AP475" i="28" s="1"/>
  <c r="AT475" i="28" s="1"/>
  <c r="AB473" i="28" l="1"/>
  <c r="AF473" i="28" s="1"/>
  <c r="AJ473" i="28" s="1"/>
  <c r="AP473" i="28" s="1"/>
  <c r="AT473" i="28" s="1"/>
  <c r="R492" i="28"/>
  <c r="V492" i="28" s="1"/>
  <c r="BD145" i="6"/>
  <c r="BD7" i="36" s="1"/>
  <c r="BG8" i="59" s="1"/>
  <c r="J493" i="28"/>
  <c r="N493" i="28" s="1"/>
  <c r="R493" i="28" s="1"/>
  <c r="V493" i="28" s="1"/>
  <c r="AT485" i="28"/>
  <c r="AX485" i="28" s="1"/>
  <c r="BF485" i="28" s="1"/>
  <c r="BH485" i="28" s="1"/>
  <c r="AT461" i="28"/>
  <c r="AX461" i="28" s="1"/>
  <c r="BF461" i="28" s="1"/>
  <c r="BH461" i="28" s="1"/>
  <c r="AX442" i="28"/>
  <c r="BF442" i="28" s="1"/>
  <c r="BH442" i="28" s="1"/>
  <c r="AX481" i="28"/>
  <c r="BF481" i="28" s="1"/>
  <c r="BH481" i="28" s="1"/>
  <c r="AX475" i="28"/>
  <c r="BF475" i="28" s="1"/>
  <c r="BH475" i="28" s="1"/>
  <c r="AP452" i="28"/>
  <c r="AT452" i="28" s="1"/>
  <c r="AX452" i="28" s="1"/>
  <c r="AP462" i="28"/>
  <c r="AT462" i="28" s="1"/>
  <c r="AX462" i="28" s="1"/>
  <c r="AP445" i="28"/>
  <c r="AT445" i="28" s="1"/>
  <c r="AX445" i="28" s="1"/>
  <c r="AJ443" i="28"/>
  <c r="AJ446" i="28"/>
  <c r="AJ453" i="28"/>
  <c r="AJ448" i="28"/>
  <c r="AJ454" i="28"/>
  <c r="AJ466" i="28"/>
  <c r="AJ463" i="28"/>
  <c r="AJ449" i="28"/>
  <c r="AJ451" i="28"/>
  <c r="AJ464" i="28"/>
  <c r="M174" i="73"/>
  <c r="Q174" i="73" s="1"/>
  <c r="U174" i="73" s="1"/>
  <c r="M175" i="73"/>
  <c r="Q175" i="73" s="1"/>
  <c r="U175" i="73" s="1"/>
  <c r="M178" i="73"/>
  <c r="AB493" i="28" l="1"/>
  <c r="AF493" i="28" s="1"/>
  <c r="AA178" i="73"/>
  <c r="AE178" i="73" s="1"/>
  <c r="Q178" i="73"/>
  <c r="U178" i="73" s="1"/>
  <c r="BF445" i="28"/>
  <c r="BH445" i="28" s="1"/>
  <c r="AX473" i="28"/>
  <c r="BF473" i="28" s="1"/>
  <c r="BH473" i="28" s="1"/>
  <c r="BF462" i="28"/>
  <c r="BH462" i="28" s="1"/>
  <c r="BF452" i="28"/>
  <c r="BH452" i="28" s="1"/>
  <c r="AP449" i="28"/>
  <c r="AT449" i="28" s="1"/>
  <c r="AX449" i="28" s="1"/>
  <c r="AP454" i="28"/>
  <c r="AT454" i="28" s="1"/>
  <c r="AX454" i="28" s="1"/>
  <c r="AP448" i="28"/>
  <c r="AT448" i="28" s="1"/>
  <c r="AX448" i="28" s="1"/>
  <c r="AP446" i="28"/>
  <c r="AT446" i="28" s="1"/>
  <c r="AX446" i="28" s="1"/>
  <c r="AP464" i="28"/>
  <c r="AT464" i="28" s="1"/>
  <c r="AX464" i="28" s="1"/>
  <c r="AP451" i="28"/>
  <c r="AT451" i="28" s="1"/>
  <c r="AX451" i="28" s="1"/>
  <c r="AP456" i="28"/>
  <c r="AT456" i="28" s="1"/>
  <c r="AX456" i="28" s="1"/>
  <c r="AP463" i="28"/>
  <c r="AT463" i="28" s="1"/>
  <c r="AX463" i="28" s="1"/>
  <c r="AP453" i="28"/>
  <c r="AT453" i="28" s="1"/>
  <c r="AX453" i="28" s="1"/>
  <c r="AP466" i="28"/>
  <c r="AT466" i="28" s="1"/>
  <c r="AX466" i="28" s="1"/>
  <c r="AP443" i="28"/>
  <c r="AT443" i="28" s="1"/>
  <c r="AA175" i="73"/>
  <c r="AE175" i="73" s="1"/>
  <c r="AI175" i="73" s="1"/>
  <c r="AA174" i="73"/>
  <c r="AE174" i="73" s="1"/>
  <c r="AI174" i="73" l="1"/>
  <c r="AO174" i="73" s="1"/>
  <c r="AS174" i="73" s="1"/>
  <c r="AW174" i="73" s="1"/>
  <c r="AI178" i="73"/>
  <c r="AO178" i="73" s="1"/>
  <c r="AS178" i="73" s="1"/>
  <c r="AW178" i="73" s="1"/>
  <c r="BF458" i="28"/>
  <c r="BH458" i="28" s="1"/>
  <c r="BF453" i="28"/>
  <c r="BH453" i="28" s="1"/>
  <c r="BF446" i="28"/>
  <c r="BH446" i="28" s="1"/>
  <c r="BF448" i="28"/>
  <c r="BH448" i="28" s="1"/>
  <c r="BF454" i="28"/>
  <c r="BH454" i="28" s="1"/>
  <c r="BF463" i="28"/>
  <c r="BH463" i="28" s="1"/>
  <c r="BF456" i="28"/>
  <c r="BH456" i="28" s="1"/>
  <c r="BF449" i="28"/>
  <c r="BH449" i="28" s="1"/>
  <c r="AX443" i="28"/>
  <c r="BF443" i="28" s="1"/>
  <c r="BH443" i="28" s="1"/>
  <c r="BF451" i="28"/>
  <c r="BH451" i="28" s="1"/>
  <c r="BF466" i="28"/>
  <c r="BH466" i="28" s="1"/>
  <c r="BF464" i="28"/>
  <c r="BH464" i="28" s="1"/>
  <c r="AO175" i="73"/>
  <c r="AS175" i="73" s="1"/>
  <c r="Z73" i="6"/>
  <c r="Z74" i="6"/>
  <c r="Z75" i="6"/>
  <c r="Z76" i="6"/>
  <c r="BE178" i="73" l="1"/>
  <c r="BE174" i="73"/>
  <c r="AW175" i="73"/>
  <c r="AA50" i="83"/>
  <c r="BE175" i="73" l="1"/>
  <c r="AJ479" i="28"/>
  <c r="AP479" i="28" s="1"/>
  <c r="AT479" i="28" s="1"/>
  <c r="AJ476" i="28"/>
  <c r="AP476" i="28" s="1"/>
  <c r="AT476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76" i="28" l="1"/>
  <c r="BF476" i="28" s="1"/>
  <c r="BH476" i="28" s="1"/>
  <c r="AX479" i="28"/>
  <c r="BF479" i="28" s="1"/>
  <c r="BH479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2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2" i="17"/>
  <c r="M63" i="17"/>
  <c r="Y31" i="17"/>
  <c r="Y28" i="17"/>
  <c r="Y18" i="17"/>
  <c r="M18" i="17"/>
  <c r="M12" i="17"/>
  <c r="M10" i="17"/>
  <c r="M8" i="17"/>
  <c r="N9" i="6" l="1"/>
  <c r="R10" i="35"/>
  <c r="V10" i="35" s="1"/>
  <c r="V9" i="6" s="1"/>
  <c r="AA72" i="17"/>
  <c r="AE72" i="17" s="1"/>
  <c r="AA71" i="17"/>
  <c r="AE71" i="17" s="1"/>
  <c r="AA77" i="17"/>
  <c r="AE77" i="17" s="1"/>
  <c r="AA65" i="17"/>
  <c r="AE65" i="17" s="1"/>
  <c r="AA18" i="17"/>
  <c r="AE18" i="17" s="1"/>
  <c r="AA64" i="17"/>
  <c r="AE64" i="17" s="1"/>
  <c r="AA70" i="17"/>
  <c r="AE70" i="17" s="1"/>
  <c r="AA76" i="17"/>
  <c r="AE76" i="17" s="1"/>
  <c r="AA75" i="17"/>
  <c r="AE75" i="17" s="1"/>
  <c r="AA69" i="17"/>
  <c r="AE69" i="17" s="1"/>
  <c r="AA82" i="17"/>
  <c r="AE82" i="17" s="1"/>
  <c r="AA74" i="17"/>
  <c r="AE74" i="17" s="1"/>
  <c r="AA68" i="17"/>
  <c r="AE68" i="17" s="1"/>
  <c r="AA79" i="17"/>
  <c r="AE79" i="17" s="1"/>
  <c r="AA73" i="17"/>
  <c r="AE73" i="17" s="1"/>
  <c r="AA67" i="17"/>
  <c r="AE67" i="17" s="1"/>
  <c r="M14" i="17"/>
  <c r="AA78" i="17"/>
  <c r="AE78" i="17" s="1"/>
  <c r="AA66" i="17"/>
  <c r="AE6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AI78" i="17" l="1"/>
  <c r="AO78" i="17" s="1"/>
  <c r="AI79" i="17"/>
  <c r="AO79" i="17" s="1"/>
  <c r="AI76" i="17"/>
  <c r="AO76" i="17" s="1"/>
  <c r="AI75" i="17"/>
  <c r="AO75" i="17" s="1"/>
  <c r="AI74" i="17"/>
  <c r="AO74" i="17" s="1"/>
  <c r="AI82" i="17"/>
  <c r="AO82" i="17" s="1"/>
  <c r="AI77" i="17"/>
  <c r="AO77" i="17" s="1"/>
  <c r="AI18" i="17"/>
  <c r="AO18" i="17" s="1"/>
  <c r="AS18" i="17" s="1"/>
  <c r="AI64" i="17"/>
  <c r="AO64" i="17" s="1"/>
  <c r="AI68" i="17"/>
  <c r="AO68" i="17" s="1"/>
  <c r="AI69" i="17"/>
  <c r="AO69" i="17" s="1"/>
  <c r="AI70" i="17"/>
  <c r="AO70" i="17" s="1"/>
  <c r="AI72" i="17"/>
  <c r="AO72" i="17" s="1"/>
  <c r="AI65" i="17"/>
  <c r="AO65" i="17" s="1"/>
  <c r="AI67" i="17"/>
  <c r="AO67" i="17" s="1"/>
  <c r="AI66" i="17"/>
  <c r="AO66" i="17" s="1"/>
  <c r="AI73" i="17"/>
  <c r="AO73" i="17" s="1"/>
  <c r="AI71" i="17"/>
  <c r="AO71" i="17" s="1"/>
  <c r="AT45" i="35"/>
  <c r="AX45" i="35" s="1"/>
  <c r="BF45" i="35" s="1"/>
  <c r="AT43" i="35"/>
  <c r="AX43" i="35" s="1"/>
  <c r="BF43" i="35" s="1"/>
  <c r="AT44" i="35"/>
  <c r="AX44" i="35" s="1"/>
  <c r="BF44" i="35" s="1"/>
  <c r="Y72" i="7"/>
  <c r="Z72" i="7"/>
  <c r="M72" i="7"/>
  <c r="N72" i="7"/>
  <c r="N42" i="7"/>
  <c r="N43" i="7"/>
  <c r="N44" i="7"/>
  <c r="N45" i="7"/>
  <c r="N46" i="7"/>
  <c r="N47" i="7"/>
  <c r="N48" i="7"/>
  <c r="N50" i="7"/>
  <c r="M42" i="7"/>
  <c r="M43" i="7"/>
  <c r="M44" i="7"/>
  <c r="M45" i="7"/>
  <c r="M46" i="7"/>
  <c r="M47" i="7"/>
  <c r="M48" i="7"/>
  <c r="M50" i="7"/>
  <c r="Z42" i="7"/>
  <c r="Z54" i="7" s="1"/>
  <c r="Z43" i="7"/>
  <c r="Z55" i="7" s="1"/>
  <c r="Z44" i="7"/>
  <c r="Z56" i="7" s="1"/>
  <c r="Z102" i="7" s="1"/>
  <c r="Z45" i="7"/>
  <c r="Z57" i="7" s="1"/>
  <c r="Z46" i="7"/>
  <c r="Z58" i="7" s="1"/>
  <c r="Z47" i="7"/>
  <c r="Z59" i="7" s="1"/>
  <c r="Z48" i="7"/>
  <c r="Z60" i="7" s="1"/>
  <c r="Z50" i="7"/>
  <c r="Z62" i="7" s="1"/>
  <c r="Y42" i="7"/>
  <c r="Y54" i="7" s="1"/>
  <c r="Y43" i="7"/>
  <c r="Y55" i="7" s="1"/>
  <c r="Y44" i="7"/>
  <c r="Y56" i="7" s="1"/>
  <c r="Y102" i="7" s="1"/>
  <c r="Y45" i="7"/>
  <c r="Y57" i="7" s="1"/>
  <c r="Y46" i="7"/>
  <c r="Y58" i="7" s="1"/>
  <c r="Y47" i="7"/>
  <c r="Y59" i="7" s="1"/>
  <c r="Y48" i="7"/>
  <c r="Y60" i="7" s="1"/>
  <c r="Y50" i="7"/>
  <c r="Y62" i="7" s="1"/>
  <c r="Y7" i="7"/>
  <c r="Y24" i="7" s="1"/>
  <c r="Y88" i="7" s="1"/>
  <c r="Z7" i="7"/>
  <c r="Z24" i="7" s="1"/>
  <c r="Z88" i="7" s="1"/>
  <c r="Y8" i="7"/>
  <c r="Y25" i="7" s="1"/>
  <c r="Y89" i="7" s="1"/>
  <c r="Z8" i="7"/>
  <c r="Z25" i="7" s="1"/>
  <c r="Z89" i="7" s="1"/>
  <c r="Y9" i="7"/>
  <c r="Y26" i="7" s="1"/>
  <c r="Y90" i="7" s="1"/>
  <c r="AB32" i="59" s="1"/>
  <c r="Z9" i="7"/>
  <c r="Z26" i="7" s="1"/>
  <c r="Z90" i="7" s="1"/>
  <c r="AC32" i="59" s="1"/>
  <c r="Y10" i="7"/>
  <c r="Y27" i="7" s="1"/>
  <c r="Y91" i="7" s="1"/>
  <c r="Z10" i="7"/>
  <c r="Z27" i="7" s="1"/>
  <c r="Z91" i="7" s="1"/>
  <c r="Y11" i="7"/>
  <c r="Y28" i="7" s="1"/>
  <c r="Y92" i="7" s="1"/>
  <c r="Z11" i="7"/>
  <c r="Z28" i="7" s="1"/>
  <c r="Z92" i="7" s="1"/>
  <c r="Y12" i="7"/>
  <c r="Y29" i="7" s="1"/>
  <c r="Y93" i="7" s="1"/>
  <c r="Y14" i="7"/>
  <c r="Y31" i="7" s="1"/>
  <c r="Y95" i="7" s="1"/>
  <c r="Z14" i="7"/>
  <c r="Z31" i="7" s="1"/>
  <c r="Z95" i="7" s="1"/>
  <c r="Y15" i="7"/>
  <c r="Y32" i="7" s="1"/>
  <c r="Y96" i="7" s="1"/>
  <c r="Z15" i="7"/>
  <c r="Z32" i="7" s="1"/>
  <c r="Z96" i="7" s="1"/>
  <c r="Y16" i="7"/>
  <c r="Y33" i="7" s="1"/>
  <c r="Y97" i="7" s="1"/>
  <c r="Z16" i="7"/>
  <c r="Z33" i="7" s="1"/>
  <c r="Z97" i="7" s="1"/>
  <c r="Y19" i="7"/>
  <c r="Y36" i="7" s="1"/>
  <c r="Y100" i="7" s="1"/>
  <c r="Z19" i="7"/>
  <c r="Z36" i="7" s="1"/>
  <c r="Z100" i="7" s="1"/>
  <c r="Y20" i="7"/>
  <c r="Y37" i="7" s="1"/>
  <c r="Y101" i="7" s="1"/>
  <c r="Z20" i="7"/>
  <c r="Z37" i="7" s="1"/>
  <c r="Z101" i="7" s="1"/>
  <c r="N7" i="7"/>
  <c r="N8" i="7"/>
  <c r="N9" i="7"/>
  <c r="N10" i="7"/>
  <c r="N11" i="7"/>
  <c r="N12" i="7"/>
  <c r="N14" i="7"/>
  <c r="N15" i="7"/>
  <c r="N16" i="7"/>
  <c r="N20" i="7"/>
  <c r="Z12" i="7"/>
  <c r="Z29" i="7" s="1"/>
  <c r="Z93" i="7" s="1"/>
  <c r="Z161" i="7" l="1"/>
  <c r="Y161" i="7"/>
  <c r="N157" i="7"/>
  <c r="N161" i="7"/>
  <c r="Z157" i="7"/>
  <c r="Y157" i="7"/>
  <c r="AW18" i="17"/>
  <c r="BE18" i="17" s="1"/>
  <c r="AS78" i="17"/>
  <c r="AS79" i="17"/>
  <c r="AS76" i="17"/>
  <c r="AS75" i="17"/>
  <c r="AS74" i="17"/>
  <c r="AS82" i="17"/>
  <c r="AS77" i="17"/>
  <c r="AS65" i="17"/>
  <c r="AS69" i="17"/>
  <c r="AS70" i="17"/>
  <c r="AS68" i="17"/>
  <c r="AS72" i="17"/>
  <c r="AS71" i="17"/>
  <c r="AS73" i="17"/>
  <c r="AS66" i="17"/>
  <c r="AS67" i="17"/>
  <c r="AS64" i="17"/>
  <c r="AB19" i="7"/>
  <c r="AB7" i="7"/>
  <c r="AB72" i="7"/>
  <c r="AF72" i="7" s="1"/>
  <c r="AJ72" i="7" s="1"/>
  <c r="AA72" i="7"/>
  <c r="AE72" i="7" s="1"/>
  <c r="AI72" i="7" s="1"/>
  <c r="AA48" i="7"/>
  <c r="AE48" i="7" s="1"/>
  <c r="AB44" i="7"/>
  <c r="AF44" i="7" s="1"/>
  <c r="AJ44" i="7" s="1"/>
  <c r="AA42" i="7"/>
  <c r="AE42" i="7" s="1"/>
  <c r="AB42" i="7"/>
  <c r="AF42" i="7" s="1"/>
  <c r="AJ42" i="7" s="1"/>
  <c r="AA47" i="7"/>
  <c r="AE47" i="7" s="1"/>
  <c r="AI47" i="7" s="1"/>
  <c r="AB50" i="7"/>
  <c r="AF50" i="7" s="1"/>
  <c r="AJ50" i="7" s="1"/>
  <c r="AA46" i="7"/>
  <c r="AE46" i="7" s="1"/>
  <c r="AB48" i="7"/>
  <c r="AF48" i="7" s="1"/>
  <c r="AJ48" i="7" s="1"/>
  <c r="AA45" i="7"/>
  <c r="AE45" i="7" s="1"/>
  <c r="AA44" i="7"/>
  <c r="AE44" i="7" s="1"/>
  <c r="AA43" i="7"/>
  <c r="AE43" i="7" s="1"/>
  <c r="AB11" i="7"/>
  <c r="AB16" i="7"/>
  <c r="AB45" i="7"/>
  <c r="AF45" i="7" s="1"/>
  <c r="AJ45" i="7" s="1"/>
  <c r="AA50" i="7"/>
  <c r="AB9" i="7"/>
  <c r="AB46" i="7"/>
  <c r="AF46" i="7" s="1"/>
  <c r="AJ46" i="7" s="1"/>
  <c r="AB12" i="7"/>
  <c r="AB20" i="7"/>
  <c r="AB8" i="7"/>
  <c r="AB10" i="7"/>
  <c r="AB43" i="7"/>
  <c r="AF43" i="7" s="1"/>
  <c r="AJ43" i="7" s="1"/>
  <c r="AB15" i="7"/>
  <c r="AB14" i="7"/>
  <c r="AB47" i="7"/>
  <c r="AF47" i="7" s="1"/>
  <c r="AJ47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156" i="8" s="1"/>
  <c r="Z31" i="8"/>
  <c r="Z155" i="8" s="1"/>
  <c r="Z29" i="8"/>
  <c r="Z154" i="8" s="1"/>
  <c r="Z28" i="8"/>
  <c r="Z27" i="8"/>
  <c r="Z153" i="8" s="1"/>
  <c r="Z24" i="8"/>
  <c r="Z150" i="8" s="1"/>
  <c r="Z25" i="8"/>
  <c r="Z152" i="8" s="1"/>
  <c r="N31" i="8"/>
  <c r="N155" i="8" s="1"/>
  <c r="N30" i="8"/>
  <c r="N156" i="8" s="1"/>
  <c r="N29" i="8"/>
  <c r="N154" i="8" s="1"/>
  <c r="N28" i="8"/>
  <c r="N27" i="8"/>
  <c r="N153" i="8" s="1"/>
  <c r="N24" i="8"/>
  <c r="N150" i="8" s="1"/>
  <c r="N25" i="8"/>
  <c r="N152" i="8" s="1"/>
  <c r="N23" i="8"/>
  <c r="N149" i="8" s="1"/>
  <c r="AD46" i="38"/>
  <c r="AD45" i="38"/>
  <c r="AD44" i="38"/>
  <c r="AD43" i="38"/>
  <c r="AD41" i="38"/>
  <c r="AD38" i="38"/>
  <c r="AD37" i="38"/>
  <c r="AD36" i="38"/>
  <c r="AD35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AD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AD14" i="38"/>
  <c r="AD13" i="38"/>
  <c r="AD7" i="38"/>
  <c r="AD8" i="38"/>
  <c r="AD9" i="38"/>
  <c r="AD10" i="38"/>
  <c r="R14" i="38"/>
  <c r="R7" i="38"/>
  <c r="R8" i="38"/>
  <c r="R9" i="38"/>
  <c r="R10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199" i="10" s="1"/>
  <c r="N70" i="11"/>
  <c r="M70" i="11"/>
  <c r="Z70" i="11"/>
  <c r="Y70" i="11"/>
  <c r="Z68" i="11"/>
  <c r="Y68" i="11"/>
  <c r="M68" i="11"/>
  <c r="N68" i="11"/>
  <c r="Q119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F19" i="7" l="1"/>
  <c r="AF20" i="7"/>
  <c r="AF15" i="7"/>
  <c r="AF16" i="7"/>
  <c r="AF14" i="7"/>
  <c r="AF12" i="7"/>
  <c r="AF11" i="7"/>
  <c r="AF10" i="7"/>
  <c r="AF8" i="7"/>
  <c r="AB161" i="7"/>
  <c r="AF7" i="7"/>
  <c r="AF9" i="7"/>
  <c r="AB157" i="7"/>
  <c r="AW66" i="17"/>
  <c r="BE66" i="17" s="1"/>
  <c r="AW73" i="17"/>
  <c r="BE73" i="17" s="1"/>
  <c r="AW77" i="17"/>
  <c r="BE77" i="17" s="1"/>
  <c r="AW71" i="17"/>
  <c r="BE71" i="17" s="1"/>
  <c r="AW82" i="17"/>
  <c r="BE82" i="17" s="1"/>
  <c r="AW72" i="17"/>
  <c r="BE72" i="17" s="1"/>
  <c r="AW74" i="17"/>
  <c r="BE74" i="17" s="1"/>
  <c r="AW68" i="17"/>
  <c r="BE68" i="17" s="1"/>
  <c r="AW75" i="17"/>
  <c r="BE75" i="17" s="1"/>
  <c r="AW70" i="17"/>
  <c r="BE70" i="17" s="1"/>
  <c r="AW76" i="17"/>
  <c r="BE76" i="17" s="1"/>
  <c r="AW69" i="17"/>
  <c r="BE69" i="17" s="1"/>
  <c r="AW79" i="17"/>
  <c r="BE79" i="17" s="1"/>
  <c r="AW67" i="17"/>
  <c r="BE67" i="17" s="1"/>
  <c r="AW65" i="17"/>
  <c r="BE65" i="17" s="1"/>
  <c r="AW78" i="17"/>
  <c r="BE78" i="17" s="1"/>
  <c r="AW64" i="17"/>
  <c r="BE6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I46" i="7"/>
  <c r="AO46" i="7" s="1"/>
  <c r="AS46" i="7" s="1"/>
  <c r="AI48" i="7"/>
  <c r="AO48" i="7" s="1"/>
  <c r="AS48" i="7" s="1"/>
  <c r="AE50" i="7"/>
  <c r="AI50" i="7" s="1"/>
  <c r="AO50" i="7" s="1"/>
  <c r="AS50" i="7" s="1"/>
  <c r="AI43" i="7"/>
  <c r="AO43" i="7" s="1"/>
  <c r="AS43" i="7" s="1"/>
  <c r="AI44" i="7"/>
  <c r="AO44" i="7" s="1"/>
  <c r="AS44" i="7" s="1"/>
  <c r="AI45" i="7"/>
  <c r="AO45" i="7" s="1"/>
  <c r="AS45" i="7" s="1"/>
  <c r="AI42" i="7"/>
  <c r="AO42" i="7" s="1"/>
  <c r="AS42" i="7" s="1"/>
  <c r="AX50" i="11"/>
  <c r="BF39" i="11"/>
  <c r="BF26" i="11"/>
  <c r="BF11" i="11"/>
  <c r="AA119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B27" i="8"/>
  <c r="AB29" i="8"/>
  <c r="AB20" i="8"/>
  <c r="AF20" i="8" s="1"/>
  <c r="AB19" i="8"/>
  <c r="AF19" i="8" s="1"/>
  <c r="AB30" i="8"/>
  <c r="AF7" i="38"/>
  <c r="AJ7" i="38" s="1"/>
  <c r="AN7" i="38" s="1"/>
  <c r="AB28" i="8"/>
  <c r="AF28" i="8" s="1"/>
  <c r="AJ28" i="8" s="1"/>
  <c r="AA167" i="10"/>
  <c r="AE167" i="10" s="1"/>
  <c r="AG120" i="45"/>
  <c r="AK120" i="45" s="1"/>
  <c r="AQ120" i="45" s="1"/>
  <c r="AU120" i="45" s="1"/>
  <c r="AY120" i="45" s="1"/>
  <c r="BG120" i="45" s="1"/>
  <c r="BI120" i="45" s="1"/>
  <c r="AF14" i="38"/>
  <c r="AJ14" i="38" s="1"/>
  <c r="AN14" i="38" s="1"/>
  <c r="AB24" i="8"/>
  <c r="AF22" i="38"/>
  <c r="AJ22" i="38" s="1"/>
  <c r="AB31" i="8"/>
  <c r="AB9" i="8"/>
  <c r="AF9" i="8" s="1"/>
  <c r="AA9" i="8"/>
  <c r="AE9" i="8" s="1"/>
  <c r="AF23" i="38"/>
  <c r="AJ23" i="38" s="1"/>
  <c r="AN23" i="38" s="1"/>
  <c r="AO47" i="7"/>
  <c r="AP72" i="7"/>
  <c r="AP42" i="7"/>
  <c r="AF8" i="38"/>
  <c r="AJ8" i="38" s="1"/>
  <c r="AN8" i="38" s="1"/>
  <c r="AF24" i="38"/>
  <c r="AJ24" i="38" s="1"/>
  <c r="AN24" i="38" s="1"/>
  <c r="AF28" i="38"/>
  <c r="AJ28" i="38" s="1"/>
  <c r="AN28" i="38" s="1"/>
  <c r="AA19" i="8"/>
  <c r="AE19" i="8" s="1"/>
  <c r="AA10" i="8"/>
  <c r="AE10" i="8" s="1"/>
  <c r="AP44" i="7"/>
  <c r="AP45" i="7"/>
  <c r="AP50" i="7"/>
  <c r="AF29" i="38"/>
  <c r="AJ29" i="38" s="1"/>
  <c r="AN29" i="38" s="1"/>
  <c r="AD6" i="38"/>
  <c r="AA20" i="8"/>
  <c r="AE20" i="8" s="1"/>
  <c r="AB10" i="8"/>
  <c r="AF10" i="8" s="1"/>
  <c r="AP48" i="7"/>
  <c r="AO72" i="7"/>
  <c r="AA169" i="10"/>
  <c r="AE169" i="10" s="1"/>
  <c r="AI169" i="10" s="1"/>
  <c r="AB169" i="10"/>
  <c r="AF169" i="10" s="1"/>
  <c r="AJ169" i="10" s="1"/>
  <c r="AB54" i="11"/>
  <c r="AF30" i="38"/>
  <c r="AJ30" i="38" s="1"/>
  <c r="AN30" i="38" s="1"/>
  <c r="AF25" i="38"/>
  <c r="AJ25" i="38" s="1"/>
  <c r="AN25" i="38" s="1"/>
  <c r="AF31" i="38"/>
  <c r="AJ31" i="38" s="1"/>
  <c r="AN31" i="38" s="1"/>
  <c r="AF10" i="38"/>
  <c r="AF20" i="38"/>
  <c r="AJ20" i="38" s="1"/>
  <c r="AN20" i="38" s="1"/>
  <c r="AF26" i="38"/>
  <c r="AJ26" i="38" s="1"/>
  <c r="AN26" i="38" s="1"/>
  <c r="AF32" i="38"/>
  <c r="AJ32" i="38" s="1"/>
  <c r="AN32" i="38" s="1"/>
  <c r="AF9" i="38"/>
  <c r="AJ9" i="38" s="1"/>
  <c r="AN9" i="38" s="1"/>
  <c r="AF21" i="38"/>
  <c r="AJ21" i="38" s="1"/>
  <c r="AN21" i="38" s="1"/>
  <c r="AF27" i="38"/>
  <c r="AJ27" i="38" s="1"/>
  <c r="AN27" i="38" s="1"/>
  <c r="AJ19" i="7" l="1"/>
  <c r="AJ20" i="7"/>
  <c r="AJ15" i="7"/>
  <c r="AJ16" i="7"/>
  <c r="AJ14" i="7"/>
  <c r="AJ12" i="7"/>
  <c r="AJ11" i="7"/>
  <c r="AF161" i="7"/>
  <c r="AJ7" i="7"/>
  <c r="AJ8" i="7"/>
  <c r="AF24" i="8"/>
  <c r="AB150" i="8"/>
  <c r="AF29" i="8"/>
  <c r="AB154" i="8"/>
  <c r="AF27" i="8"/>
  <c r="AJ27" i="8" s="1"/>
  <c r="AB153" i="8"/>
  <c r="AF25" i="8"/>
  <c r="AB152" i="8"/>
  <c r="AF30" i="8"/>
  <c r="AJ30" i="8" s="1"/>
  <c r="AP30" i="8" s="1"/>
  <c r="AT30" i="8" s="1"/>
  <c r="AB156" i="8"/>
  <c r="AF31" i="8"/>
  <c r="AJ31" i="8" s="1"/>
  <c r="AP31" i="8" s="1"/>
  <c r="AT31" i="8" s="1"/>
  <c r="AB155" i="8"/>
  <c r="AJ9" i="7"/>
  <c r="AF157" i="7"/>
  <c r="BF50" i="11"/>
  <c r="AF45" i="11"/>
  <c r="AJ45" i="11" s="1"/>
  <c r="AP45" i="11" s="1"/>
  <c r="AF51" i="11"/>
  <c r="AJ51" i="11" s="1"/>
  <c r="AP51" i="11" s="1"/>
  <c r="AK174" i="45"/>
  <c r="AW45" i="7"/>
  <c r="AW43" i="7"/>
  <c r="AW48" i="7"/>
  <c r="AW42" i="7"/>
  <c r="AW46" i="7"/>
  <c r="AW44" i="7"/>
  <c r="AW50" i="7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I167" i="10"/>
  <c r="AI168" i="10" s="1"/>
  <c r="AJ167" i="10"/>
  <c r="AJ168" i="10" s="1"/>
  <c r="AN22" i="38"/>
  <c r="AF54" i="11"/>
  <c r="AJ10" i="38"/>
  <c r="AN10" i="38" s="1"/>
  <c r="AF108" i="8"/>
  <c r="AF110" i="8" s="1"/>
  <c r="AF90" i="8"/>
  <c r="AS72" i="7"/>
  <c r="AW72" i="7" s="1"/>
  <c r="AT45" i="7"/>
  <c r="AX45" i="7" s="1"/>
  <c r="AS47" i="7"/>
  <c r="AW47" i="7" s="1"/>
  <c r="AP14" i="7"/>
  <c r="AP10" i="7"/>
  <c r="AP47" i="7"/>
  <c r="AT72" i="7"/>
  <c r="AX72" i="7" s="1"/>
  <c r="AP46" i="7"/>
  <c r="AP9" i="7"/>
  <c r="AT7" i="38"/>
  <c r="AP20" i="7"/>
  <c r="AP27" i="8"/>
  <c r="AT50" i="7"/>
  <c r="AX50" i="7" s="1"/>
  <c r="AT44" i="7"/>
  <c r="AX44" i="7" s="1"/>
  <c r="AP43" i="7"/>
  <c r="AP15" i="7"/>
  <c r="AP28" i="8"/>
  <c r="AT48" i="7"/>
  <c r="AX48" i="7" s="1"/>
  <c r="AP8" i="7"/>
  <c r="AT42" i="7"/>
  <c r="AX42" i="7" s="1"/>
  <c r="AP12" i="7"/>
  <c r="AT14" i="38"/>
  <c r="AO169" i="10"/>
  <c r="AE168" i="10"/>
  <c r="AH64" i="59" s="1"/>
  <c r="AE170" i="10"/>
  <c r="AP169" i="10"/>
  <c r="AF168" i="10"/>
  <c r="AI64" i="59" s="1"/>
  <c r="AF170" i="10"/>
  <c r="AP19" i="7" l="1"/>
  <c r="AP16" i="7"/>
  <c r="AP11" i="7"/>
  <c r="AP7" i="7"/>
  <c r="AP157" i="7"/>
  <c r="AP161" i="7"/>
  <c r="AJ157" i="7"/>
  <c r="AJ161" i="7"/>
  <c r="BE44" i="7"/>
  <c r="BE46" i="7"/>
  <c r="BE42" i="7"/>
  <c r="BE48" i="7"/>
  <c r="BE43" i="7"/>
  <c r="BE50" i="7"/>
  <c r="BE45" i="7"/>
  <c r="BF48" i="11"/>
  <c r="AT51" i="11"/>
  <c r="AT45" i="11"/>
  <c r="AK172" i="45"/>
  <c r="AK173" i="45"/>
  <c r="AQ174" i="45"/>
  <c r="AQ173" i="45"/>
  <c r="AQ172" i="45"/>
  <c r="AT22" i="38"/>
  <c r="AX22" i="38" s="1"/>
  <c r="BB22" i="38" s="1"/>
  <c r="AX10" i="8"/>
  <c r="BF10" i="8" s="1"/>
  <c r="BH10" i="8" s="1"/>
  <c r="AX9" i="8"/>
  <c r="BF9" i="8" s="1"/>
  <c r="BH9" i="8" s="1"/>
  <c r="AX29" i="8"/>
  <c r="AW20" i="8"/>
  <c r="BE20" i="8" s="1"/>
  <c r="BG20" i="8" s="1"/>
  <c r="AX19" i="8"/>
  <c r="BF19" i="8" s="1"/>
  <c r="BH19" i="8" s="1"/>
  <c r="AW19" i="8"/>
  <c r="BE19" i="8" s="1"/>
  <c r="BG19" i="8" s="1"/>
  <c r="AX31" i="8"/>
  <c r="AW9" i="8"/>
  <c r="BE9" i="8" s="1"/>
  <c r="BG9" i="8" s="1"/>
  <c r="AW10" i="8"/>
  <c r="BE10" i="8" s="1"/>
  <c r="BG10" i="8" s="1"/>
  <c r="AX20" i="8"/>
  <c r="BF20" i="8" s="1"/>
  <c r="BH20" i="8" s="1"/>
  <c r="AX30" i="8"/>
  <c r="AJ108" i="8"/>
  <c r="AJ110" i="8" s="1"/>
  <c r="AI170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0" i="8"/>
  <c r="AT10" i="38"/>
  <c r="AF109" i="8"/>
  <c r="BE72" i="7"/>
  <c r="BF72" i="7"/>
  <c r="BF44" i="7"/>
  <c r="BE47" i="7"/>
  <c r="BF42" i="7"/>
  <c r="BF48" i="7"/>
  <c r="BF50" i="7"/>
  <c r="BF45" i="7"/>
  <c r="AT28" i="38"/>
  <c r="AT31" i="38"/>
  <c r="AX14" i="38"/>
  <c r="AT12" i="7"/>
  <c r="AT8" i="7"/>
  <c r="AT28" i="8"/>
  <c r="AT43" i="7"/>
  <c r="AX43" i="7" s="1"/>
  <c r="AT9" i="7"/>
  <c r="AT47" i="7"/>
  <c r="AT21" i="38"/>
  <c r="AT25" i="38"/>
  <c r="AT20" i="38"/>
  <c r="AS169" i="10"/>
  <c r="AT23" i="38"/>
  <c r="AT9" i="38"/>
  <c r="AT20" i="7"/>
  <c r="AT30" i="38"/>
  <c r="AT8" i="38"/>
  <c r="AT46" i="7"/>
  <c r="AX46" i="7" s="1"/>
  <c r="AT26" i="38"/>
  <c r="AT32" i="38"/>
  <c r="AT24" i="38"/>
  <c r="AT27" i="8"/>
  <c r="AX27" i="8" s="1"/>
  <c r="AP108" i="8"/>
  <c r="AP110" i="8" s="1"/>
  <c r="AT29" i="38"/>
  <c r="AT27" i="38"/>
  <c r="AT169" i="10"/>
  <c r="AT15" i="7"/>
  <c r="AX7" i="38"/>
  <c r="AT10" i="7"/>
  <c r="AT14" i="7"/>
  <c r="AM64" i="59"/>
  <c r="AL64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57" i="73"/>
  <c r="Q157" i="73" s="1"/>
  <c r="M159" i="73"/>
  <c r="Q159" i="73" s="1"/>
  <c r="M59" i="73"/>
  <c r="M67" i="73"/>
  <c r="M68" i="73"/>
  <c r="M70" i="73"/>
  <c r="Q70" i="73" s="1"/>
  <c r="U70" i="73" s="1"/>
  <c r="M74" i="73"/>
  <c r="M75" i="73"/>
  <c r="M80" i="73"/>
  <c r="M82" i="73"/>
  <c r="M83" i="73"/>
  <c r="Q83" i="73" s="1"/>
  <c r="U83" i="73" s="1"/>
  <c r="M89" i="73"/>
  <c r="M90" i="73"/>
  <c r="Q90" i="73" s="1"/>
  <c r="U90" i="73" s="1"/>
  <c r="M91" i="73"/>
  <c r="Q91" i="73" s="1"/>
  <c r="U91" i="73" s="1"/>
  <c r="M92" i="73"/>
  <c r="M93" i="73"/>
  <c r="M94" i="73"/>
  <c r="M96" i="73"/>
  <c r="M49" i="73"/>
  <c r="Q49" i="73" s="1"/>
  <c r="U49" i="73" s="1"/>
  <c r="M32" i="73"/>
  <c r="Q32" i="73" s="1"/>
  <c r="U32" i="73" s="1"/>
  <c r="M33" i="73"/>
  <c r="Q33" i="73" s="1"/>
  <c r="U33" i="73" s="1"/>
  <c r="M35" i="73"/>
  <c r="Q35" i="73" s="1"/>
  <c r="U35" i="73" s="1"/>
  <c r="M36" i="73"/>
  <c r="Q36" i="73" s="1"/>
  <c r="U36" i="73" s="1"/>
  <c r="AA39" i="73"/>
  <c r="M40" i="73"/>
  <c r="Q40" i="73" s="1"/>
  <c r="U40" i="73" s="1"/>
  <c r="M27" i="73"/>
  <c r="Q27" i="73" s="1"/>
  <c r="U27" i="73" s="1"/>
  <c r="M28" i="73"/>
  <c r="Q28" i="73" s="1"/>
  <c r="U28" i="73" s="1"/>
  <c r="AJ487" i="28"/>
  <c r="AP487" i="28" s="1"/>
  <c r="AT487" i="28" s="1"/>
  <c r="AJ326" i="28"/>
  <c r="AJ327" i="28"/>
  <c r="AJ328" i="28"/>
  <c r="AJ347" i="28"/>
  <c r="AJ348" i="28"/>
  <c r="AP376" i="28"/>
  <c r="Y93" i="28"/>
  <c r="Y92" i="28"/>
  <c r="Y89" i="28"/>
  <c r="Y88" i="28"/>
  <c r="Y85" i="28"/>
  <c r="Y84" i="28"/>
  <c r="Y27" i="28"/>
  <c r="Y28" i="28"/>
  <c r="Y25" i="28"/>
  <c r="M35" i="28"/>
  <c r="M36" i="28"/>
  <c r="M33" i="28"/>
  <c r="M27" i="28"/>
  <c r="M28" i="28"/>
  <c r="M25" i="28"/>
  <c r="AT19" i="7" l="1"/>
  <c r="AX20" i="7"/>
  <c r="AX15" i="7"/>
  <c r="AT16" i="7"/>
  <c r="AX14" i="7"/>
  <c r="AX12" i="7"/>
  <c r="AT11" i="7"/>
  <c r="AX10" i="7"/>
  <c r="AX8" i="7"/>
  <c r="AT7" i="7"/>
  <c r="AX9" i="7"/>
  <c r="AT161" i="7"/>
  <c r="AT157" i="7"/>
  <c r="AX47" i="7"/>
  <c r="BB21" i="7"/>
  <c r="AT376" i="28"/>
  <c r="AX376" i="28" s="1"/>
  <c r="BF376" i="28" s="1"/>
  <c r="BH376" i="28" s="1"/>
  <c r="AX45" i="11"/>
  <c r="AX51" i="11"/>
  <c r="AX24" i="8"/>
  <c r="BF24" i="8" s="1"/>
  <c r="BF150" i="8" s="1"/>
  <c r="AP347" i="28"/>
  <c r="AP328" i="28"/>
  <c r="AP327" i="28"/>
  <c r="AP348" i="28"/>
  <c r="AP326" i="28"/>
  <c r="AO170" i="10"/>
  <c r="AP90" i="8"/>
  <c r="Q94" i="73"/>
  <c r="U94" i="73" s="1"/>
  <c r="Q93" i="73"/>
  <c r="U93" i="73" s="1"/>
  <c r="Q82" i="73"/>
  <c r="U82" i="73" s="1"/>
  <c r="Q92" i="73"/>
  <c r="U92" i="73" s="1"/>
  <c r="Q80" i="73"/>
  <c r="U80" i="73" s="1"/>
  <c r="Q68" i="73"/>
  <c r="U68" i="73" s="1"/>
  <c r="Q75" i="73"/>
  <c r="U75" i="73" s="1"/>
  <c r="Q67" i="73"/>
  <c r="U67" i="73" s="1"/>
  <c r="Q96" i="73"/>
  <c r="U96" i="73" s="1"/>
  <c r="Q89" i="73"/>
  <c r="U89" i="73" s="1"/>
  <c r="Q74" i="73"/>
  <c r="U74" i="73" s="1"/>
  <c r="Q59" i="73"/>
  <c r="U59" i="73" s="1"/>
  <c r="AU174" i="45"/>
  <c r="AU173" i="45"/>
  <c r="AU172" i="45"/>
  <c r="AO168" i="10"/>
  <c r="AR64" i="59" s="1"/>
  <c r="BB7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BH28" i="8" s="1"/>
  <c r="AJ109" i="8"/>
  <c r="AJ111" i="8" s="1"/>
  <c r="AJ53" i="8" s="1"/>
  <c r="AM42" i="59" s="1"/>
  <c r="BF29" i="8"/>
  <c r="BF154" i="8" s="1"/>
  <c r="AX25" i="8"/>
  <c r="BF31" i="8"/>
  <c r="BF155" i="8" s="1"/>
  <c r="BB14" i="38"/>
  <c r="BF30" i="8"/>
  <c r="BF156" i="8" s="1"/>
  <c r="AP170" i="10"/>
  <c r="AP168" i="10"/>
  <c r="AS64" i="59" s="1"/>
  <c r="AW167" i="10"/>
  <c r="AX169" i="10"/>
  <c r="AW169" i="10"/>
  <c r="AX167" i="10"/>
  <c r="AX487" i="28"/>
  <c r="BF487" i="28" s="1"/>
  <c r="BH487" i="28" s="1"/>
  <c r="AX54" i="11"/>
  <c r="AX52" i="11"/>
  <c r="BJ22" i="38"/>
  <c r="AX90" i="8"/>
  <c r="AJ217" i="28"/>
  <c r="AP217" i="28" s="1"/>
  <c r="AT217" i="28" s="1"/>
  <c r="AX217" i="28" s="1"/>
  <c r="BF217" i="28" s="1"/>
  <c r="BH217" i="28" s="1"/>
  <c r="AJ203" i="28"/>
  <c r="AP203" i="28" s="1"/>
  <c r="AJ220" i="28"/>
  <c r="AP220" i="28" s="1"/>
  <c r="AJ201" i="28"/>
  <c r="AP201" i="28" s="1"/>
  <c r="AJ216" i="28"/>
  <c r="AP216" i="28" s="1"/>
  <c r="AJ200" i="28"/>
  <c r="AP200" i="28" s="1"/>
  <c r="AT200" i="28" s="1"/>
  <c r="AX200" i="28" s="1"/>
  <c r="BF200" i="28" s="1"/>
  <c r="BH200" i="28" s="1"/>
  <c r="AJ247" i="28"/>
  <c r="AP247" i="28" s="1"/>
  <c r="AT247" i="28" s="1"/>
  <c r="AX247" i="28" s="1"/>
  <c r="BF247" i="28" s="1"/>
  <c r="BH247" i="28" s="1"/>
  <c r="AJ199" i="28"/>
  <c r="AP199" i="28" s="1"/>
  <c r="AT199" i="28" s="1"/>
  <c r="AX199" i="28" s="1"/>
  <c r="BF199" i="28" s="1"/>
  <c r="BH199" i="28" s="1"/>
  <c r="AJ215" i="28"/>
  <c r="AP215" i="28" s="1"/>
  <c r="AJ198" i="28"/>
  <c r="AP198" i="28" s="1"/>
  <c r="AT198" i="28" s="1"/>
  <c r="AX198" i="28" s="1"/>
  <c r="BF198" i="28" s="1"/>
  <c r="BH198" i="28" s="1"/>
  <c r="AJ152" i="28"/>
  <c r="AP152" i="28" s="1"/>
  <c r="AJ184" i="28"/>
  <c r="AP184" i="28" s="1"/>
  <c r="AT184" i="28" s="1"/>
  <c r="AX184" i="28" s="1"/>
  <c r="BF184" i="28" s="1"/>
  <c r="BH184" i="28" s="1"/>
  <c r="AJ177" i="28"/>
  <c r="AJ151" i="28"/>
  <c r="AP151" i="28" s="1"/>
  <c r="AT151" i="28" s="1"/>
  <c r="AJ164" i="28"/>
  <c r="AJ176" i="28"/>
  <c r="AJ197" i="28"/>
  <c r="AJ193" i="28"/>
  <c r="AP193" i="28" s="1"/>
  <c r="AT193" i="28" s="1"/>
  <c r="AX193" i="28" s="1"/>
  <c r="BF193" i="28" s="1"/>
  <c r="BH193" i="28" s="1"/>
  <c r="AJ175" i="28"/>
  <c r="AJ178" i="28"/>
  <c r="AJ167" i="28"/>
  <c r="AJ188" i="28"/>
  <c r="AJ166" i="28"/>
  <c r="AA28" i="73"/>
  <c r="AA27" i="73"/>
  <c r="AE27" i="73" s="1"/>
  <c r="AA40" i="73"/>
  <c r="AE40" i="73" s="1"/>
  <c r="AA159" i="73"/>
  <c r="AE159" i="73" s="1"/>
  <c r="U159" i="73"/>
  <c r="AA157" i="73"/>
  <c r="AE157" i="73" s="1"/>
  <c r="AI157" i="73" s="1"/>
  <c r="U157" i="73"/>
  <c r="AA49" i="73"/>
  <c r="AA83" i="73"/>
  <c r="AA70" i="73"/>
  <c r="AA33" i="73"/>
  <c r="AA32" i="73"/>
  <c r="AE32" i="73" s="1"/>
  <c r="AA36" i="73"/>
  <c r="AA35" i="73"/>
  <c r="AA90" i="73"/>
  <c r="AA91" i="73"/>
  <c r="Y160" i="73"/>
  <c r="Y97" i="73"/>
  <c r="Y57" i="73"/>
  <c r="BD91" i="8"/>
  <c r="AF52" i="8"/>
  <c r="AI41" i="59" s="1"/>
  <c r="AF111" i="8"/>
  <c r="AF53" i="8" s="1"/>
  <c r="AI42" i="59" s="1"/>
  <c r="BF46" i="7"/>
  <c r="BF43" i="7"/>
  <c r="BF47" i="7"/>
  <c r="BF15" i="7"/>
  <c r="BF14" i="7"/>
  <c r="AA96" i="73"/>
  <c r="AA77" i="73"/>
  <c r="AA94" i="73"/>
  <c r="AA76" i="73"/>
  <c r="AA93" i="73"/>
  <c r="AA75" i="73"/>
  <c r="AA92" i="73"/>
  <c r="AA74" i="73"/>
  <c r="AA89" i="73"/>
  <c r="AA85" i="73"/>
  <c r="AA68" i="73"/>
  <c r="AA67" i="73"/>
  <c r="AA82" i="73"/>
  <c r="BE61" i="73"/>
  <c r="AA60" i="73"/>
  <c r="AA80" i="73"/>
  <c r="AA59" i="73"/>
  <c r="BB91" i="8"/>
  <c r="BF27" i="8"/>
  <c r="BF153" i="8" s="1"/>
  <c r="AX21" i="38"/>
  <c r="AT170" i="10"/>
  <c r="AT168" i="10"/>
  <c r="AW64" i="59" s="1"/>
  <c r="AX29" i="38"/>
  <c r="AP109" i="8"/>
  <c r="AX10" i="38"/>
  <c r="BB10" i="38" s="1"/>
  <c r="AX32" i="38"/>
  <c r="AX30" i="38"/>
  <c r="AX9" i="38"/>
  <c r="AX31" i="38"/>
  <c r="AS170" i="10"/>
  <c r="AS168" i="10"/>
  <c r="AV64" i="59" s="1"/>
  <c r="AX25" i="38"/>
  <c r="AX27" i="38"/>
  <c r="AT90" i="8"/>
  <c r="AT108" i="8"/>
  <c r="AX24" i="38"/>
  <c r="AX26" i="38"/>
  <c r="AX8" i="38"/>
  <c r="AX23" i="38"/>
  <c r="AX20" i="38"/>
  <c r="AX28" i="38"/>
  <c r="AX407" i="28"/>
  <c r="BF407" i="28" s="1"/>
  <c r="BH407" i="28" s="1"/>
  <c r="AJ491" i="28"/>
  <c r="AP491" i="28" s="1"/>
  <c r="AT491" i="28" s="1"/>
  <c r="AJ488" i="28"/>
  <c r="AP488" i="28" s="1"/>
  <c r="AT488" i="28" s="1"/>
  <c r="AE39" i="73"/>
  <c r="AJ489" i="28"/>
  <c r="AP489" i="28" s="1"/>
  <c r="AT489" i="28" s="1"/>
  <c r="AJ255" i="28"/>
  <c r="AP255" i="28" s="1"/>
  <c r="AJ303" i="28"/>
  <c r="AP303" i="28" s="1"/>
  <c r="AT303" i="28" s="1"/>
  <c r="AJ302" i="28"/>
  <c r="AP302" i="28" s="1"/>
  <c r="AT302" i="28" s="1"/>
  <c r="AJ490" i="28"/>
  <c r="AP490" i="28" s="1"/>
  <c r="AT490" i="28" s="1"/>
  <c r="AX409" i="28"/>
  <c r="BF409" i="28" s="1"/>
  <c r="BH409" i="28" s="1"/>
  <c r="AX19" i="7" l="1"/>
  <c r="BF20" i="7"/>
  <c r="AX16" i="7"/>
  <c r="BF12" i="7"/>
  <c r="AX11" i="7"/>
  <c r="AX157" i="7"/>
  <c r="BF10" i="7"/>
  <c r="AX7" i="7"/>
  <c r="BF8" i="7"/>
  <c r="BH30" i="8"/>
  <c r="BH27" i="8"/>
  <c r="BH29" i="8"/>
  <c r="BH31" i="8"/>
  <c r="BH24" i="8"/>
  <c r="BF9" i="7"/>
  <c r="AX161" i="7"/>
  <c r="BF90" i="8"/>
  <c r="BB104" i="7"/>
  <c r="BB38" i="7"/>
  <c r="BB53" i="7" s="1"/>
  <c r="BF51" i="11"/>
  <c r="BF52" i="11"/>
  <c r="BF45" i="11"/>
  <c r="BF54" i="11"/>
  <c r="AT220" i="28"/>
  <c r="AX220" i="28" s="1"/>
  <c r="BF220" i="28" s="1"/>
  <c r="BH220" i="28" s="1"/>
  <c r="AT327" i="28"/>
  <c r="AX327" i="28" s="1"/>
  <c r="BF327" i="28" s="1"/>
  <c r="BH327" i="28" s="1"/>
  <c r="AT203" i="28"/>
  <c r="AX203" i="28" s="1"/>
  <c r="BF203" i="28" s="1"/>
  <c r="BH203" i="28" s="1"/>
  <c r="AT328" i="28"/>
  <c r="AX328" i="28" s="1"/>
  <c r="BF328" i="28" s="1"/>
  <c r="BH328" i="28" s="1"/>
  <c r="AT216" i="28"/>
  <c r="AX216" i="28" s="1"/>
  <c r="BF216" i="28" s="1"/>
  <c r="BH216" i="28" s="1"/>
  <c r="AT326" i="28"/>
  <c r="AX326" i="28" s="1"/>
  <c r="BF326" i="28" s="1"/>
  <c r="BH326" i="28" s="1"/>
  <c r="AT347" i="28"/>
  <c r="AX347" i="28" s="1"/>
  <c r="BF347" i="28" s="1"/>
  <c r="BH347" i="28" s="1"/>
  <c r="AT348" i="28"/>
  <c r="AX348" i="28" s="1"/>
  <c r="BF348" i="28" s="1"/>
  <c r="BH348" i="28" s="1"/>
  <c r="AT201" i="28"/>
  <c r="AX201" i="28" s="1"/>
  <c r="BF201" i="28" s="1"/>
  <c r="BH201" i="28" s="1"/>
  <c r="AT152" i="28"/>
  <c r="AX152" i="28" s="1"/>
  <c r="BF152" i="28" s="1"/>
  <c r="BH152" i="28" s="1"/>
  <c r="AT215" i="28"/>
  <c r="AX215" i="28" s="1"/>
  <c r="BF215" i="28" s="1"/>
  <c r="BH215" i="28" s="1"/>
  <c r="AT110" i="8"/>
  <c r="AI40" i="73"/>
  <c r="AO40" i="73" s="1"/>
  <c r="AS40" i="73" s="1"/>
  <c r="AW40" i="73" s="1"/>
  <c r="AI27" i="73"/>
  <c r="AO27" i="73" s="1"/>
  <c r="AS27" i="73" s="1"/>
  <c r="AW27" i="73" s="1"/>
  <c r="AI39" i="73"/>
  <c r="AO39" i="73" s="1"/>
  <c r="AS39" i="73" s="1"/>
  <c r="AW39" i="73" s="1"/>
  <c r="AI32" i="73"/>
  <c r="AO32" i="73" s="1"/>
  <c r="AS32" i="73" s="1"/>
  <c r="AW32" i="73" s="1"/>
  <c r="AI159" i="73"/>
  <c r="AO159" i="73" s="1"/>
  <c r="AS159" i="73" s="1"/>
  <c r="AJ52" i="8"/>
  <c r="AM41" i="59" s="1"/>
  <c r="AM43" i="59" s="1"/>
  <c r="AY174" i="45"/>
  <c r="AY173" i="45"/>
  <c r="AY172" i="45"/>
  <c r="BB23" i="38"/>
  <c r="BB30" i="38"/>
  <c r="BB32" i="38"/>
  <c r="BB26" i="38"/>
  <c r="BB24" i="38"/>
  <c r="BB29" i="38"/>
  <c r="BB8" i="38"/>
  <c r="BB27" i="38"/>
  <c r="BB25" i="38"/>
  <c r="BB21" i="38"/>
  <c r="BB28" i="38"/>
  <c r="BB31" i="38"/>
  <c r="BB20" i="38"/>
  <c r="BB9" i="38"/>
  <c r="BJ7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BF152" i="8" s="1"/>
  <c r="AX108" i="8"/>
  <c r="AX110" i="8" s="1"/>
  <c r="BJ14" i="38"/>
  <c r="AW170" i="10"/>
  <c r="AW168" i="10"/>
  <c r="AZ64" i="59" s="1"/>
  <c r="BE169" i="10"/>
  <c r="BH169" i="10" s="1"/>
  <c r="AX168" i="10"/>
  <c r="AX170" i="10"/>
  <c r="BF169" i="10"/>
  <c r="BI169" i="10" s="1"/>
  <c r="BF167" i="10"/>
  <c r="BI167" i="10" s="1"/>
  <c r="BE167" i="10"/>
  <c r="BH167" i="10" s="1"/>
  <c r="AX303" i="28"/>
  <c r="BF303" i="28" s="1"/>
  <c r="BH303" i="28" s="1"/>
  <c r="AX490" i="28"/>
  <c r="BF490" i="28" s="1"/>
  <c r="BH490" i="28" s="1"/>
  <c r="AX488" i="28"/>
  <c r="BF488" i="28" s="1"/>
  <c r="BH488" i="28" s="1"/>
  <c r="AX302" i="28"/>
  <c r="BF302" i="28" s="1"/>
  <c r="BH302" i="28" s="1"/>
  <c r="AX489" i="28"/>
  <c r="BF489" i="28" s="1"/>
  <c r="BH489" i="28" s="1"/>
  <c r="AX491" i="28"/>
  <c r="BF491" i="28" s="1"/>
  <c r="BH491" i="28" s="1"/>
  <c r="BH16" i="28"/>
  <c r="BH52" i="28"/>
  <c r="AX151" i="28"/>
  <c r="BF151" i="28" s="1"/>
  <c r="BH151" i="28" s="1"/>
  <c r="BH24" i="28"/>
  <c r="BH28" i="28"/>
  <c r="BH51" i="28"/>
  <c r="BH19" i="28"/>
  <c r="BH17" i="28"/>
  <c r="BH20" i="28"/>
  <c r="BH27" i="28"/>
  <c r="BH25" i="28"/>
  <c r="BF30" i="11"/>
  <c r="AP166" i="28"/>
  <c r="AT166" i="28" s="1"/>
  <c r="AX166" i="28" s="1"/>
  <c r="BF166" i="28" s="1"/>
  <c r="BH166" i="28" s="1"/>
  <c r="AP188" i="28"/>
  <c r="AT188" i="28" s="1"/>
  <c r="AX188" i="28" s="1"/>
  <c r="BF188" i="28" s="1"/>
  <c r="BH188" i="28" s="1"/>
  <c r="AP167" i="28"/>
  <c r="AP178" i="28"/>
  <c r="AT178" i="28" s="1"/>
  <c r="AX178" i="28" s="1"/>
  <c r="BF178" i="28" s="1"/>
  <c r="BH178" i="28" s="1"/>
  <c r="AP175" i="28"/>
  <c r="AT175" i="28" s="1"/>
  <c r="AX175" i="28" s="1"/>
  <c r="BF175" i="28" s="1"/>
  <c r="BH175" i="28" s="1"/>
  <c r="AP197" i="28"/>
  <c r="AT197" i="28" s="1"/>
  <c r="AX197" i="28" s="1"/>
  <c r="BF197" i="28" s="1"/>
  <c r="BH197" i="28" s="1"/>
  <c r="AP176" i="28"/>
  <c r="AT176" i="28" s="1"/>
  <c r="AX176" i="28" s="1"/>
  <c r="BF176" i="28" s="1"/>
  <c r="BH176" i="28" s="1"/>
  <c r="AP164" i="28"/>
  <c r="AT164" i="28" s="1"/>
  <c r="AX164" i="28" s="1"/>
  <c r="BF164" i="28" s="1"/>
  <c r="BH164" i="28" s="1"/>
  <c r="AP177" i="28"/>
  <c r="AT177" i="28" s="1"/>
  <c r="AX177" i="28" s="1"/>
  <c r="BF177" i="28" s="1"/>
  <c r="BH177" i="28" s="1"/>
  <c r="AO157" i="73"/>
  <c r="AE82" i="73"/>
  <c r="AI82" i="73" s="1"/>
  <c r="AE77" i="73"/>
  <c r="AI77" i="73" s="1"/>
  <c r="AE67" i="73"/>
  <c r="AI67" i="73" s="1"/>
  <c r="AE89" i="73"/>
  <c r="AE96" i="73"/>
  <c r="AE91" i="73"/>
  <c r="AI91" i="73" s="1"/>
  <c r="AE35" i="73"/>
  <c r="AE33" i="73"/>
  <c r="AE70" i="73"/>
  <c r="AI70" i="73" s="1"/>
  <c r="AE83" i="73"/>
  <c r="AI83" i="73" s="1"/>
  <c r="AE68" i="73"/>
  <c r="AI68" i="73" s="1"/>
  <c r="AE74" i="73"/>
  <c r="AI74" i="73" s="1"/>
  <c r="AE76" i="73"/>
  <c r="AI76" i="73" s="1"/>
  <c r="AE80" i="73"/>
  <c r="AI80" i="73" s="1"/>
  <c r="AE75" i="73"/>
  <c r="AI75" i="73" s="1"/>
  <c r="AE60" i="73"/>
  <c r="AI60" i="73" s="1"/>
  <c r="AE93" i="73"/>
  <c r="AI93" i="73" s="1"/>
  <c r="AE36" i="73"/>
  <c r="AE28" i="73"/>
  <c r="AE59" i="73"/>
  <c r="AI59" i="73" s="1"/>
  <c r="AE85" i="73"/>
  <c r="AI85" i="73" s="1"/>
  <c r="AE92" i="73"/>
  <c r="AI92" i="73" s="1"/>
  <c r="AE94" i="73"/>
  <c r="AI94" i="73" s="1"/>
  <c r="AE90" i="73"/>
  <c r="AI90" i="73" s="1"/>
  <c r="AJ80" i="28"/>
  <c r="AP80" i="28" s="1"/>
  <c r="AT80" i="28" s="1"/>
  <c r="AJ83" i="28"/>
  <c r="AP83" i="28" s="1"/>
  <c r="AT83" i="28" s="1"/>
  <c r="AJ84" i="28"/>
  <c r="AP84" i="28" s="1"/>
  <c r="AT84" i="28" s="1"/>
  <c r="AJ92" i="28"/>
  <c r="AP92" i="28" s="1"/>
  <c r="AT92" i="28" s="1"/>
  <c r="AJ91" i="28"/>
  <c r="AP91" i="28" s="1"/>
  <c r="AT91" i="28" s="1"/>
  <c r="AJ87" i="28"/>
  <c r="AP87" i="28" s="1"/>
  <c r="AT87" i="28" s="1"/>
  <c r="AJ88" i="28"/>
  <c r="AP88" i="28" s="1"/>
  <c r="AT88" i="28" s="1"/>
  <c r="AJ260" i="28"/>
  <c r="AJ275" i="28"/>
  <c r="AJ102" i="28"/>
  <c r="AJ430" i="28"/>
  <c r="AP430" i="28" s="1"/>
  <c r="AJ115" i="28"/>
  <c r="AJ413" i="28"/>
  <c r="AP413" i="28" s="1"/>
  <c r="AT413" i="28" s="1"/>
  <c r="AJ180" i="28"/>
  <c r="AJ181" i="28"/>
  <c r="AJ414" i="28"/>
  <c r="AP414" i="28" s="1"/>
  <c r="AT414" i="28" s="1"/>
  <c r="AJ227" i="28"/>
  <c r="AP227" i="28" s="1"/>
  <c r="AT227" i="28" s="1"/>
  <c r="AX227" i="28" s="1"/>
  <c r="BF227" i="28" s="1"/>
  <c r="BH227" i="28" s="1"/>
  <c r="AJ225" i="28"/>
  <c r="AJ223" i="28"/>
  <c r="AJ429" i="28"/>
  <c r="AP429" i="28" s="1"/>
  <c r="AJ112" i="28"/>
  <c r="AJ114" i="28"/>
  <c r="AJ111" i="28"/>
  <c r="AJ232" i="28"/>
  <c r="AP232" i="28" s="1"/>
  <c r="AT232" i="28" s="1"/>
  <c r="AX232" i="28" s="1"/>
  <c r="BF232" i="28" s="1"/>
  <c r="BH232" i="28" s="1"/>
  <c r="AJ226" i="28"/>
  <c r="AP226" i="28" s="1"/>
  <c r="AT226" i="28" s="1"/>
  <c r="AX226" i="28" s="1"/>
  <c r="BF226" i="28" s="1"/>
  <c r="BH226" i="28" s="1"/>
  <c r="AJ191" i="28"/>
  <c r="AJ150" i="28"/>
  <c r="AJ284" i="28"/>
  <c r="AJ118" i="28"/>
  <c r="AJ224" i="28"/>
  <c r="AJ357" i="28"/>
  <c r="AI43" i="59"/>
  <c r="BJ10" i="38"/>
  <c r="AT255" i="28"/>
  <c r="BF108" i="8"/>
  <c r="BF110" i="8" s="1"/>
  <c r="AP52" i="8"/>
  <c r="AS41" i="59" s="1"/>
  <c r="AP111" i="8"/>
  <c r="AP53" i="8" s="1"/>
  <c r="AS42" i="59" s="1"/>
  <c r="AT109" i="8"/>
  <c r="Y97" i="28"/>
  <c r="Y96" i="28"/>
  <c r="Y81" i="28"/>
  <c r="Y80" i="28"/>
  <c r="Y64" i="28"/>
  <c r="Y36" i="28"/>
  <c r="Y35" i="28"/>
  <c r="Y33" i="28"/>
  <c r="Y20" i="28"/>
  <c r="Y19" i="28"/>
  <c r="Y17" i="28"/>
  <c r="Y16" i="28"/>
  <c r="Y12" i="28"/>
  <c r="Y11" i="28"/>
  <c r="Y9" i="28"/>
  <c r="Z7" i="28"/>
  <c r="BF19" i="7" l="1"/>
  <c r="BF16" i="7"/>
  <c r="BF11" i="7"/>
  <c r="BF7" i="7"/>
  <c r="BH55" i="28"/>
  <c r="BH25" i="8"/>
  <c r="BF161" i="7"/>
  <c r="BA64" i="59"/>
  <c r="BD21" i="7"/>
  <c r="BB77" i="7"/>
  <c r="BB63" i="7"/>
  <c r="AW159" i="73"/>
  <c r="BE39" i="73"/>
  <c r="BE40" i="73"/>
  <c r="BE32" i="73"/>
  <c r="BE27" i="73"/>
  <c r="AT167" i="28"/>
  <c r="AX167" i="28" s="1"/>
  <c r="BF167" i="28" s="1"/>
  <c r="BH167" i="28" s="1"/>
  <c r="AI35" i="73"/>
  <c r="AO35" i="73" s="1"/>
  <c r="AS35" i="73" s="1"/>
  <c r="AW35" i="73" s="1"/>
  <c r="AI96" i="73"/>
  <c r="AO96" i="73" s="1"/>
  <c r="AS96" i="73" s="1"/>
  <c r="AW96" i="73" s="1"/>
  <c r="AI89" i="73"/>
  <c r="AO89" i="73" s="1"/>
  <c r="AS89" i="73" s="1"/>
  <c r="AW89" i="73" s="1"/>
  <c r="AI28" i="73"/>
  <c r="AO28" i="73" s="1"/>
  <c r="AS28" i="73" s="1"/>
  <c r="AW28" i="73" s="1"/>
  <c r="AI36" i="73"/>
  <c r="AO36" i="73" s="1"/>
  <c r="AS36" i="73" s="1"/>
  <c r="AW36" i="73" s="1"/>
  <c r="AI33" i="73"/>
  <c r="AO33" i="73" s="1"/>
  <c r="AS33" i="73" s="1"/>
  <c r="AW33" i="73" s="1"/>
  <c r="BG174" i="45"/>
  <c r="AX109" i="8"/>
  <c r="AX52" i="8" s="1"/>
  <c r="BA41" i="59" s="1"/>
  <c r="AO94" i="73"/>
  <c r="AS94" i="73" s="1"/>
  <c r="BG173" i="45"/>
  <c r="BG172" i="45"/>
  <c r="AS157" i="73"/>
  <c r="AO80" i="73"/>
  <c r="AS80" i="73" s="1"/>
  <c r="AW80" i="73" s="1"/>
  <c r="AO70" i="73"/>
  <c r="AS70" i="73" s="1"/>
  <c r="AW70" i="73" s="1"/>
  <c r="BE70" i="73" s="1"/>
  <c r="AO67" i="73"/>
  <c r="AS67" i="73" s="1"/>
  <c r="AW67" i="73" s="1"/>
  <c r="AO93" i="73"/>
  <c r="AS93" i="73" s="1"/>
  <c r="AW93" i="73" s="1"/>
  <c r="AO76" i="73"/>
  <c r="AS76" i="73" s="1"/>
  <c r="AW76" i="73" s="1"/>
  <c r="AO77" i="73"/>
  <c r="AS77" i="73" s="1"/>
  <c r="AW77" i="73" s="1"/>
  <c r="AO92" i="73"/>
  <c r="AS92" i="73" s="1"/>
  <c r="AW92" i="73" s="1"/>
  <c r="AO60" i="73"/>
  <c r="AS60" i="73" s="1"/>
  <c r="AW60" i="73" s="1"/>
  <c r="AO74" i="73"/>
  <c r="AS74" i="73" s="1"/>
  <c r="AW74" i="73" s="1"/>
  <c r="AO82" i="73"/>
  <c r="AS82" i="73" s="1"/>
  <c r="AW82" i="73" s="1"/>
  <c r="AO85" i="73"/>
  <c r="AS85" i="73" s="1"/>
  <c r="AW85" i="73" s="1"/>
  <c r="AO75" i="73"/>
  <c r="AS75" i="73" s="1"/>
  <c r="AW75" i="73" s="1"/>
  <c r="AO68" i="73"/>
  <c r="AS68" i="73" s="1"/>
  <c r="AW68" i="73" s="1"/>
  <c r="AO91" i="73"/>
  <c r="AS91" i="73" s="1"/>
  <c r="AW91" i="73" s="1"/>
  <c r="AO83" i="73"/>
  <c r="AS83" i="73" s="1"/>
  <c r="AW83" i="73" s="1"/>
  <c r="AO90" i="73"/>
  <c r="AS90" i="73" s="1"/>
  <c r="AW90" i="73" s="1"/>
  <c r="AO59" i="73"/>
  <c r="AS59" i="73" s="1"/>
  <c r="AW59" i="73" s="1"/>
  <c r="BJ31" i="38"/>
  <c r="BJ29" i="38"/>
  <c r="BJ28" i="38"/>
  <c r="BJ24" i="38"/>
  <c r="BJ21" i="38"/>
  <c r="BJ26" i="38"/>
  <c r="BJ25" i="38"/>
  <c r="BJ32" i="38"/>
  <c r="BJ9" i="38"/>
  <c r="BJ27" i="38"/>
  <c r="BJ30" i="38"/>
  <c r="BJ20" i="38"/>
  <c r="BJ8" i="38"/>
  <c r="BJ23" i="38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4" i="59" s="1"/>
  <c r="BF170" i="10"/>
  <c r="BE170" i="10"/>
  <c r="BE168" i="10"/>
  <c r="AX255" i="28"/>
  <c r="BF255" i="28" s="1"/>
  <c r="BH255" i="28" s="1"/>
  <c r="AX83" i="28"/>
  <c r="BF83" i="28" s="1"/>
  <c r="BH83" i="28" s="1"/>
  <c r="AX88" i="28"/>
  <c r="BF88" i="28" s="1"/>
  <c r="BH88" i="28" s="1"/>
  <c r="AX80" i="28"/>
  <c r="BF80" i="28" s="1"/>
  <c r="BH80" i="28" s="1"/>
  <c r="AX87" i="28"/>
  <c r="BF87" i="28" s="1"/>
  <c r="BH87" i="28" s="1"/>
  <c r="AX91" i="28"/>
  <c r="BF91" i="28" s="1"/>
  <c r="BH91" i="28" s="1"/>
  <c r="AX92" i="28"/>
  <c r="BF92" i="28" s="1"/>
  <c r="BH92" i="28" s="1"/>
  <c r="AX84" i="28"/>
  <c r="BF84" i="28" s="1"/>
  <c r="BH84" i="28" s="1"/>
  <c r="AT429" i="28"/>
  <c r="AT430" i="28"/>
  <c r="AP118" i="28"/>
  <c r="AT118" i="28" s="1"/>
  <c r="AP111" i="28"/>
  <c r="AT111" i="28" s="1"/>
  <c r="AP114" i="28"/>
  <c r="AT114" i="28" s="1"/>
  <c r="AP181" i="28"/>
  <c r="AT181" i="28" s="1"/>
  <c r="AX181" i="28" s="1"/>
  <c r="BF181" i="28" s="1"/>
  <c r="BH181" i="28" s="1"/>
  <c r="AP275" i="28"/>
  <c r="AT275" i="28" s="1"/>
  <c r="AP260" i="28"/>
  <c r="AT260" i="28" s="1"/>
  <c r="AP150" i="28"/>
  <c r="AT150" i="28" s="1"/>
  <c r="AP112" i="28"/>
  <c r="AT112" i="28" s="1"/>
  <c r="AP223" i="28"/>
  <c r="AT223" i="28" s="1"/>
  <c r="AX223" i="28" s="1"/>
  <c r="BF223" i="28" s="1"/>
  <c r="BH223" i="28" s="1"/>
  <c r="AP180" i="28"/>
  <c r="AT180" i="28" s="1"/>
  <c r="AX180" i="28" s="1"/>
  <c r="BF180" i="28" s="1"/>
  <c r="BH180" i="28" s="1"/>
  <c r="AP284" i="28"/>
  <c r="AT284" i="28" s="1"/>
  <c r="AP357" i="28"/>
  <c r="AT357" i="28" s="1"/>
  <c r="AP224" i="28"/>
  <c r="AT224" i="28" s="1"/>
  <c r="AX224" i="28" s="1"/>
  <c r="BF224" i="28" s="1"/>
  <c r="BH224" i="28" s="1"/>
  <c r="AP191" i="28"/>
  <c r="AT191" i="28" s="1"/>
  <c r="AX191" i="28" s="1"/>
  <c r="BF191" i="28" s="1"/>
  <c r="BH191" i="28" s="1"/>
  <c r="AP225" i="28"/>
  <c r="AT225" i="28" s="1"/>
  <c r="AX225" i="28" s="1"/>
  <c r="BF225" i="28" s="1"/>
  <c r="BH225" i="28" s="1"/>
  <c r="AP115" i="28"/>
  <c r="AT115" i="28" s="1"/>
  <c r="AP102" i="28"/>
  <c r="AT102" i="28" s="1"/>
  <c r="AJ336" i="28"/>
  <c r="AP336" i="28" s="1"/>
  <c r="AT336" i="28" s="1"/>
  <c r="AJ279" i="28"/>
  <c r="AJ296" i="28"/>
  <c r="AJ360" i="28"/>
  <c r="AJ335" i="28"/>
  <c r="AP335" i="28" s="1"/>
  <c r="AT335" i="28" s="1"/>
  <c r="AJ355" i="28"/>
  <c r="AJ281" i="28"/>
  <c r="AJ333" i="28"/>
  <c r="AP333" i="28" s="1"/>
  <c r="AT333" i="28" s="1"/>
  <c r="AJ278" i="28"/>
  <c r="AJ293" i="28"/>
  <c r="AJ288" i="28"/>
  <c r="AJ282" i="28"/>
  <c r="AJ286" i="28"/>
  <c r="AJ292" i="28"/>
  <c r="AJ276" i="28"/>
  <c r="AJ290" i="28"/>
  <c r="AJ280" i="28"/>
  <c r="AJ287" i="28"/>
  <c r="AJ294" i="28"/>
  <c r="AJ273" i="28"/>
  <c r="AJ291" i="28"/>
  <c r="AJ308" i="28"/>
  <c r="AJ283" i="28"/>
  <c r="AJ356" i="28"/>
  <c r="AJ419" i="28"/>
  <c r="AJ289" i="28"/>
  <c r="AJ277" i="28"/>
  <c r="AJ274" i="28"/>
  <c r="AJ358" i="28"/>
  <c r="AJ271" i="28"/>
  <c r="AJ213" i="28"/>
  <c r="AJ209" i="28"/>
  <c r="AJ211" i="28"/>
  <c r="AJ208" i="28"/>
  <c r="AJ206" i="28"/>
  <c r="AJ210" i="28"/>
  <c r="AJ204" i="28"/>
  <c r="AJ149" i="28"/>
  <c r="AJ105" i="28"/>
  <c r="AJ163" i="28"/>
  <c r="AJ121" i="28"/>
  <c r="AJ183" i="28"/>
  <c r="AJ104" i="28"/>
  <c r="AJ156" i="28"/>
  <c r="AP156" i="28" s="1"/>
  <c r="AT156" i="28" s="1"/>
  <c r="AX156" i="28" s="1"/>
  <c r="BF156" i="28" s="1"/>
  <c r="BH156" i="28" s="1"/>
  <c r="AJ113" i="28"/>
  <c r="AJ195" i="28"/>
  <c r="AJ148" i="28"/>
  <c r="AJ162" i="28"/>
  <c r="AJ155" i="28"/>
  <c r="AP155" i="28" s="1"/>
  <c r="AT155" i="28" s="1"/>
  <c r="AX155" i="28" s="1"/>
  <c r="BF155" i="28" s="1"/>
  <c r="BH155" i="28" s="1"/>
  <c r="AJ120" i="28"/>
  <c r="AJ117" i="28"/>
  <c r="AJ189" i="28"/>
  <c r="AJ179" i="28"/>
  <c r="AJ108" i="28"/>
  <c r="AJ196" i="28"/>
  <c r="AJ106" i="28"/>
  <c r="AJ110" i="28"/>
  <c r="AJ154" i="28"/>
  <c r="AP154" i="28" s="1"/>
  <c r="AT154" i="28" s="1"/>
  <c r="AX154" i="28" s="1"/>
  <c r="BF154" i="28" s="1"/>
  <c r="BH154" i="28" s="1"/>
  <c r="AS43" i="59"/>
  <c r="BF109" i="8"/>
  <c r="BF111" i="8" s="1"/>
  <c r="BF53" i="8" s="1"/>
  <c r="AT111" i="8"/>
  <c r="AT53" i="8" s="1"/>
  <c r="AW42" i="59" s="1"/>
  <c r="AT52" i="8"/>
  <c r="Z105" i="9"/>
  <c r="Z55" i="9"/>
  <c r="BI42" i="59" l="1"/>
  <c r="BF122" i="8"/>
  <c r="BF99" i="9"/>
  <c r="BH64" i="59"/>
  <c r="BD104" i="7"/>
  <c r="BD38" i="7"/>
  <c r="BD53" i="7" s="1"/>
  <c r="BA51" i="39"/>
  <c r="BC51" i="39" s="1"/>
  <c r="BA49" i="39"/>
  <c r="BC49" i="39" s="1"/>
  <c r="BB41" i="7"/>
  <c r="AW157" i="73"/>
  <c r="BE159" i="73"/>
  <c r="BE91" i="73"/>
  <c r="BE82" i="73"/>
  <c r="BE77" i="73"/>
  <c r="BE28" i="73"/>
  <c r="BE96" i="73"/>
  <c r="BE59" i="73"/>
  <c r="BE68" i="73"/>
  <c r="BE74" i="73"/>
  <c r="BE76" i="73"/>
  <c r="BE80" i="73"/>
  <c r="BE90" i="73"/>
  <c r="BE75" i="73"/>
  <c r="BE60" i="73"/>
  <c r="BE93" i="73"/>
  <c r="BE33" i="73"/>
  <c r="BE89" i="73"/>
  <c r="BE83" i="73"/>
  <c r="BE85" i="73"/>
  <c r="BE92" i="73"/>
  <c r="BE67" i="73"/>
  <c r="BE35" i="73"/>
  <c r="BE36" i="73"/>
  <c r="AW41" i="59"/>
  <c r="AW43" i="59" s="1"/>
  <c r="AX111" i="8"/>
  <c r="AX53" i="8" s="1"/>
  <c r="BA42" i="59" s="1"/>
  <c r="BA43" i="59" s="1"/>
  <c r="AW94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430" i="28"/>
  <c r="BF430" i="28" s="1"/>
  <c r="BH430" i="28" s="1"/>
  <c r="AX414" i="28"/>
  <c r="BF414" i="28" s="1"/>
  <c r="BH414" i="28" s="1"/>
  <c r="AX413" i="28"/>
  <c r="BF413" i="28" s="1"/>
  <c r="BH413" i="28" s="1"/>
  <c r="AX260" i="28"/>
  <c r="BF260" i="28" s="1"/>
  <c r="BH260" i="28" s="1"/>
  <c r="AX284" i="28"/>
  <c r="BF284" i="28" s="1"/>
  <c r="BH284" i="28" s="1"/>
  <c r="AX275" i="28"/>
  <c r="BF275" i="28" s="1"/>
  <c r="BH275" i="28" s="1"/>
  <c r="AX429" i="28"/>
  <c r="BF429" i="28" s="1"/>
  <c r="BH429" i="28" s="1"/>
  <c r="AP211" i="28"/>
  <c r="AT211" i="28" s="1"/>
  <c r="AX211" i="28" s="1"/>
  <c r="BF211" i="28" s="1"/>
  <c r="BH211" i="28" s="1"/>
  <c r="AP288" i="28"/>
  <c r="AT288" i="28" s="1"/>
  <c r="AP355" i="28"/>
  <c r="AT355" i="28" s="1"/>
  <c r="AP117" i="28"/>
  <c r="AT117" i="28" s="1"/>
  <c r="AP274" i="28"/>
  <c r="AT274" i="28" s="1"/>
  <c r="AP293" i="28"/>
  <c r="AT293" i="28" s="1"/>
  <c r="AP312" i="28"/>
  <c r="AP149" i="28"/>
  <c r="AT149" i="28" s="1"/>
  <c r="AP204" i="28"/>
  <c r="AT204" i="28" s="1"/>
  <c r="AX204" i="28" s="1"/>
  <c r="BF204" i="28" s="1"/>
  <c r="BH204" i="28" s="1"/>
  <c r="AP283" i="28"/>
  <c r="AT283" i="28" s="1"/>
  <c r="AP276" i="28"/>
  <c r="AT276" i="28" s="1"/>
  <c r="AP278" i="28"/>
  <c r="AT278" i="28" s="1"/>
  <c r="AP360" i="28"/>
  <c r="AT360" i="28" s="1"/>
  <c r="AP113" i="28"/>
  <c r="AT113" i="28" s="1"/>
  <c r="AP294" i="28"/>
  <c r="AT294" i="28" s="1"/>
  <c r="AP120" i="28"/>
  <c r="AT120" i="28" s="1"/>
  <c r="AP412" i="28"/>
  <c r="AT412" i="28" s="1"/>
  <c r="AP271" i="28"/>
  <c r="AT271" i="28" s="1"/>
  <c r="AP290" i="28"/>
  <c r="AT290" i="28" s="1"/>
  <c r="AP296" i="28"/>
  <c r="AT296" i="28" s="1"/>
  <c r="AP110" i="28"/>
  <c r="AT110" i="28" s="1"/>
  <c r="AP419" i="28"/>
  <c r="AP287" i="28"/>
  <c r="AT287" i="28" s="1"/>
  <c r="AP104" i="28"/>
  <c r="AT104" i="28" s="1"/>
  <c r="AP280" i="28"/>
  <c r="AT280" i="28" s="1"/>
  <c r="AP162" i="28"/>
  <c r="AT162" i="28" s="1"/>
  <c r="AX162" i="28" s="1"/>
  <c r="BF162" i="28" s="1"/>
  <c r="BH162" i="28" s="1"/>
  <c r="AP210" i="28"/>
  <c r="AT210" i="28" s="1"/>
  <c r="AX210" i="28" s="1"/>
  <c r="BF210" i="28" s="1"/>
  <c r="BH210" i="28" s="1"/>
  <c r="AP179" i="28"/>
  <c r="AT179" i="28" s="1"/>
  <c r="AX179" i="28" s="1"/>
  <c r="BF179" i="28" s="1"/>
  <c r="BH179" i="28" s="1"/>
  <c r="AP206" i="28"/>
  <c r="AT206" i="28" s="1"/>
  <c r="AX206" i="28" s="1"/>
  <c r="BF206" i="28" s="1"/>
  <c r="BH206" i="28" s="1"/>
  <c r="AP291" i="28"/>
  <c r="AT291" i="28" s="1"/>
  <c r="AP286" i="28"/>
  <c r="AT286" i="28" s="1"/>
  <c r="AP268" i="28"/>
  <c r="AT268" i="28" s="1"/>
  <c r="AP314" i="28"/>
  <c r="AT314" i="28" s="1"/>
  <c r="AP105" i="28"/>
  <c r="AT105" i="28" s="1"/>
  <c r="AP106" i="28"/>
  <c r="AT106" i="28" s="1"/>
  <c r="AP209" i="28"/>
  <c r="AT209" i="28" s="1"/>
  <c r="AX209" i="28" s="1"/>
  <c r="BF209" i="28" s="1"/>
  <c r="BH209" i="28" s="1"/>
  <c r="AP356" i="28"/>
  <c r="AT356" i="28" s="1"/>
  <c r="AP196" i="28"/>
  <c r="AT196" i="28" s="1"/>
  <c r="AX196" i="28" s="1"/>
  <c r="BF196" i="28" s="1"/>
  <c r="BH196" i="28" s="1"/>
  <c r="AP213" i="28"/>
  <c r="AT213" i="28" s="1"/>
  <c r="AX213" i="28" s="1"/>
  <c r="BF213" i="28" s="1"/>
  <c r="BH213" i="28" s="1"/>
  <c r="AP270" i="28"/>
  <c r="AT270" i="28" s="1"/>
  <c r="AP108" i="28"/>
  <c r="AT108" i="28" s="1"/>
  <c r="AP183" i="28"/>
  <c r="AT183" i="28" s="1"/>
  <c r="AX183" i="28" s="1"/>
  <c r="BF183" i="28" s="1"/>
  <c r="BH183" i="28" s="1"/>
  <c r="AP277" i="28"/>
  <c r="AT277" i="28" s="1"/>
  <c r="AP308" i="28"/>
  <c r="AT308" i="28" s="1"/>
  <c r="AP292" i="28"/>
  <c r="AT292" i="28" s="1"/>
  <c r="AP148" i="28"/>
  <c r="AT148" i="28" s="1"/>
  <c r="AP121" i="28"/>
  <c r="AT121" i="28" s="1"/>
  <c r="AP358" i="28"/>
  <c r="AT358" i="28" s="1"/>
  <c r="AP189" i="28"/>
  <c r="AT189" i="28" s="1"/>
  <c r="AX189" i="28" s="1"/>
  <c r="BF189" i="28" s="1"/>
  <c r="BH189" i="28" s="1"/>
  <c r="AP195" i="28"/>
  <c r="AT195" i="28" s="1"/>
  <c r="AX195" i="28" s="1"/>
  <c r="BF195" i="28" s="1"/>
  <c r="BH195" i="28" s="1"/>
  <c r="AP163" i="28"/>
  <c r="AT163" i="28" s="1"/>
  <c r="AX163" i="28" s="1"/>
  <c r="BF163" i="28" s="1"/>
  <c r="BH163" i="28" s="1"/>
  <c r="AP208" i="28"/>
  <c r="AT208" i="28" s="1"/>
  <c r="AX208" i="28" s="1"/>
  <c r="BF208" i="28" s="1"/>
  <c r="BH208" i="28" s="1"/>
  <c r="AP267" i="28"/>
  <c r="AT267" i="28" s="1"/>
  <c r="AP289" i="28"/>
  <c r="AT289" i="28" s="1"/>
  <c r="AP273" i="28"/>
  <c r="AT273" i="28" s="1"/>
  <c r="AP313" i="28"/>
  <c r="AT313" i="28" s="1"/>
  <c r="AP282" i="28"/>
  <c r="AT282" i="28" s="1"/>
  <c r="AP281" i="28"/>
  <c r="AT281" i="28" s="1"/>
  <c r="AP279" i="28"/>
  <c r="AT279" i="28" s="1"/>
  <c r="BF52" i="8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X22" i="15"/>
  <c r="BI41" i="59" l="1"/>
  <c r="BI43" i="59" s="1"/>
  <c r="BF120" i="8"/>
  <c r="BB51" i="7"/>
  <c r="BD41" i="7"/>
  <c r="BD51" i="7" s="1"/>
  <c r="BD63" i="7"/>
  <c r="BD77" i="7"/>
  <c r="BE157" i="73"/>
  <c r="BE94" i="73"/>
  <c r="AT312" i="28"/>
  <c r="AX312" i="28" s="1"/>
  <c r="BF312" i="28" s="1"/>
  <c r="BH312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65" i="28"/>
  <c r="BF265" i="28" s="1"/>
  <c r="BH265" i="28" s="1"/>
  <c r="AX266" i="28"/>
  <c r="BF266" i="28" s="1"/>
  <c r="BH266" i="28" s="1"/>
  <c r="AX281" i="28"/>
  <c r="BF281" i="28" s="1"/>
  <c r="BH281" i="28" s="1"/>
  <c r="AX278" i="28"/>
  <c r="BF278" i="28" s="1"/>
  <c r="BH278" i="28" s="1"/>
  <c r="AX270" i="28"/>
  <c r="BF270" i="28" s="1"/>
  <c r="BH270" i="28" s="1"/>
  <c r="AX280" i="28"/>
  <c r="BF280" i="28" s="1"/>
  <c r="BH280" i="28" s="1"/>
  <c r="AX296" i="28"/>
  <c r="BF296" i="28" s="1"/>
  <c r="BH296" i="28" s="1"/>
  <c r="AX276" i="28"/>
  <c r="BF276" i="28" s="1"/>
  <c r="BH276" i="28" s="1"/>
  <c r="AX288" i="28"/>
  <c r="BF288" i="28" s="1"/>
  <c r="BH288" i="28" s="1"/>
  <c r="AX267" i="28"/>
  <c r="BF267" i="28" s="1"/>
  <c r="BH267" i="28" s="1"/>
  <c r="AX282" i="28"/>
  <c r="BF282" i="28" s="1"/>
  <c r="BH282" i="28" s="1"/>
  <c r="AX294" i="28"/>
  <c r="BF294" i="28" s="1"/>
  <c r="BH294" i="28" s="1"/>
  <c r="AX283" i="28"/>
  <c r="BF283" i="28" s="1"/>
  <c r="BH283" i="28" s="1"/>
  <c r="AX293" i="28"/>
  <c r="BF293" i="28" s="1"/>
  <c r="BH293" i="28" s="1"/>
  <c r="AX279" i="28"/>
  <c r="BF279" i="28" s="1"/>
  <c r="BH279" i="28" s="1"/>
  <c r="AX264" i="28"/>
  <c r="BF264" i="28" s="1"/>
  <c r="BH264" i="28" s="1"/>
  <c r="AX263" i="28"/>
  <c r="BF263" i="28" s="1"/>
  <c r="BH263" i="28" s="1"/>
  <c r="AX273" i="28"/>
  <c r="BF273" i="28" s="1"/>
  <c r="BH273" i="28" s="1"/>
  <c r="AX287" i="28"/>
  <c r="BF287" i="28" s="1"/>
  <c r="BH287" i="28" s="1"/>
  <c r="AX290" i="28"/>
  <c r="BF290" i="28" s="1"/>
  <c r="BH290" i="28" s="1"/>
  <c r="AX274" i="28"/>
  <c r="BF274" i="28" s="1"/>
  <c r="BH274" i="28" s="1"/>
  <c r="AX286" i="28"/>
  <c r="BF286" i="28" s="1"/>
  <c r="BH286" i="28" s="1"/>
  <c r="AX291" i="28"/>
  <c r="BF291" i="28" s="1"/>
  <c r="BH291" i="28" s="1"/>
  <c r="AX292" i="28"/>
  <c r="BF292" i="28" s="1"/>
  <c r="BH292" i="28" s="1"/>
  <c r="AX289" i="28"/>
  <c r="BF289" i="28" s="1"/>
  <c r="BH289" i="28" s="1"/>
  <c r="AX277" i="28"/>
  <c r="BF277" i="28" s="1"/>
  <c r="BH277" i="28" s="1"/>
  <c r="AX268" i="28"/>
  <c r="BF268" i="28" s="1"/>
  <c r="BH268" i="28" s="1"/>
  <c r="AX271" i="28"/>
  <c r="BF271" i="28" s="1"/>
  <c r="BH271" i="28" s="1"/>
  <c r="AX357" i="28"/>
  <c r="BF357" i="28" s="1"/>
  <c r="BH357" i="28" s="1"/>
  <c r="AX118" i="28"/>
  <c r="BF118" i="28" s="1"/>
  <c r="BH118" i="28" s="1"/>
  <c r="AX114" i="28"/>
  <c r="BF114" i="28" s="1"/>
  <c r="BH114" i="28" s="1"/>
  <c r="AX115" i="28"/>
  <c r="BF115" i="28" s="1"/>
  <c r="BH115" i="28" s="1"/>
  <c r="AX102" i="28"/>
  <c r="BF102" i="28" s="1"/>
  <c r="BH102" i="28" s="1"/>
  <c r="AX111" i="28"/>
  <c r="BF111" i="28" s="1"/>
  <c r="BH111" i="28" s="1"/>
  <c r="AX150" i="28"/>
  <c r="BF150" i="28" s="1"/>
  <c r="BH150" i="28" s="1"/>
  <c r="AX112" i="28"/>
  <c r="BF112" i="28" s="1"/>
  <c r="BH112" i="28" s="1"/>
  <c r="AT419" i="28"/>
  <c r="Z111" i="9"/>
  <c r="BF121" i="8" l="1"/>
  <c r="BF125" i="8"/>
  <c r="BF126" i="8" s="1"/>
  <c r="BF123" i="8"/>
  <c r="BH47" i="28"/>
  <c r="BH43" i="28"/>
  <c r="BH44" i="28"/>
  <c r="BH46" i="28"/>
  <c r="AO47" i="39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335" i="28"/>
  <c r="BF335" i="28" s="1"/>
  <c r="BH335" i="28" s="1"/>
  <c r="AX360" i="28"/>
  <c r="BF360" i="28" s="1"/>
  <c r="BH360" i="28" s="1"/>
  <c r="AX313" i="28"/>
  <c r="BF313" i="28" s="1"/>
  <c r="BH313" i="28" s="1"/>
  <c r="AX355" i="28"/>
  <c r="BF355" i="28" s="1"/>
  <c r="BH355" i="28" s="1"/>
  <c r="AX356" i="28"/>
  <c r="BF356" i="28" s="1"/>
  <c r="BH356" i="28" s="1"/>
  <c r="AX333" i="28"/>
  <c r="BF333" i="28" s="1"/>
  <c r="BH333" i="28" s="1"/>
  <c r="AX336" i="28"/>
  <c r="BF336" i="28" s="1"/>
  <c r="BH336" i="28" s="1"/>
  <c r="AX308" i="28"/>
  <c r="BF308" i="28" s="1"/>
  <c r="BH308" i="28" s="1"/>
  <c r="AX412" i="28"/>
  <c r="BF412" i="28" s="1"/>
  <c r="BH412" i="28" s="1"/>
  <c r="AX419" i="28"/>
  <c r="BF419" i="28" s="1"/>
  <c r="BH419" i="28" s="1"/>
  <c r="AX358" i="28"/>
  <c r="BF358" i="28" s="1"/>
  <c r="BH358" i="28" s="1"/>
  <c r="AX314" i="28"/>
  <c r="BF314" i="28" s="1"/>
  <c r="BH314" i="28" s="1"/>
  <c r="AX411" i="28"/>
  <c r="BF411" i="28" s="1"/>
  <c r="BH411" i="28" s="1"/>
  <c r="AX104" i="28"/>
  <c r="BF104" i="28" s="1"/>
  <c r="BH104" i="28" s="1"/>
  <c r="AX121" i="28"/>
  <c r="BF121" i="28" s="1"/>
  <c r="BH121" i="28" s="1"/>
  <c r="AX120" i="28"/>
  <c r="BF120" i="28" s="1"/>
  <c r="BH120" i="28" s="1"/>
  <c r="AX113" i="28"/>
  <c r="BF113" i="28" s="1"/>
  <c r="BH113" i="28" s="1"/>
  <c r="AX105" i="28"/>
  <c r="BF105" i="28" s="1"/>
  <c r="BH105" i="28" s="1"/>
  <c r="AX110" i="28"/>
  <c r="BF110" i="28" s="1"/>
  <c r="BH110" i="28" s="1"/>
  <c r="AX117" i="28"/>
  <c r="BF117" i="28" s="1"/>
  <c r="BH117" i="28" s="1"/>
  <c r="AX148" i="28"/>
  <c r="BF148" i="28" s="1"/>
  <c r="BH148" i="28" s="1"/>
  <c r="AX106" i="28"/>
  <c r="BF106" i="28" s="1"/>
  <c r="BH106" i="28" s="1"/>
  <c r="AX149" i="28"/>
  <c r="BF149" i="28" s="1"/>
  <c r="BH149" i="28" s="1"/>
  <c r="AX108" i="28"/>
  <c r="BF108" i="28" s="1"/>
  <c r="BH10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BF130" i="8" l="1"/>
  <c r="BF131" i="8"/>
  <c r="BF129" i="8"/>
  <c r="AS60" i="39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BF132" i="8" l="1"/>
  <c r="AW12" i="39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58" i="26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85" i="26"/>
  <c r="Y87" i="26"/>
  <c r="Y89" i="26"/>
  <c r="Y91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BF11" i="39" l="1"/>
  <c r="BI11" i="39"/>
  <c r="BF57" i="39"/>
  <c r="BI57" i="39"/>
  <c r="BF56" i="39"/>
  <c r="BI56" i="39"/>
  <c r="BF58" i="39"/>
  <c r="BI58" i="39"/>
  <c r="BF7" i="39"/>
  <c r="BI7" i="39"/>
  <c r="BF59" i="39"/>
  <c r="BI59" i="39"/>
  <c r="BF18" i="39"/>
  <c r="BI18" i="39"/>
  <c r="BF30" i="39"/>
  <c r="BI30" i="39"/>
  <c r="BF31" i="39"/>
  <c r="BI31" i="39"/>
  <c r="BF29" i="39"/>
  <c r="BI29" i="39"/>
  <c r="BF14" i="39"/>
  <c r="BI14" i="39"/>
  <c r="BF15" i="39"/>
  <c r="BI15" i="39"/>
  <c r="BF16" i="39"/>
  <c r="BI16" i="39"/>
  <c r="BF12" i="39"/>
  <c r="BI12" i="39"/>
  <c r="BF39" i="39"/>
  <c r="BI39" i="39"/>
  <c r="BF19" i="39"/>
  <c r="BI19" i="39"/>
  <c r="BF6" i="39"/>
  <c r="BI6" i="39"/>
  <c r="BF13" i="39"/>
  <c r="BI13" i="39"/>
  <c r="BF55" i="39"/>
  <c r="BI55" i="39"/>
  <c r="BF38" i="39"/>
  <c r="BI38" i="39"/>
  <c r="BF17" i="39"/>
  <c r="BI17" i="39"/>
  <c r="BF10" i="39"/>
  <c r="BI10" i="39"/>
  <c r="BF48" i="39"/>
  <c r="BI48" i="39"/>
  <c r="BF46" i="39"/>
  <c r="BI46" i="39"/>
  <c r="BF47" i="39"/>
  <c r="BI47" i="39"/>
  <c r="BF61" i="39"/>
  <c r="BI61" i="39"/>
  <c r="BF43" i="39"/>
  <c r="BI43" i="39"/>
  <c r="BF60" i="39"/>
  <c r="BI60" i="39"/>
  <c r="Z19" i="22"/>
  <c r="Z23" i="22"/>
  <c r="Z9" i="22"/>
  <c r="Z16" i="22"/>
  <c r="Z30" i="22"/>
  <c r="Z17" i="22"/>
  <c r="Z14" i="22"/>
  <c r="Y63" i="17" l="1"/>
  <c r="AA63" i="17" s="1"/>
  <c r="AE63" i="17" s="1"/>
  <c r="Y59" i="17"/>
  <c r="Y16" i="17"/>
  <c r="Y12" i="17"/>
  <c r="AA12" i="17" s="1"/>
  <c r="AE12" i="17" s="1"/>
  <c r="AI12" i="17" s="1"/>
  <c r="Y10" i="17"/>
  <c r="AA10" i="17" s="1"/>
  <c r="AE10" i="17" s="1"/>
  <c r="AI10" i="17" s="1"/>
  <c r="Y8" i="17"/>
  <c r="X59" i="17"/>
  <c r="AI63" i="17" l="1"/>
  <c r="AO63" i="17" s="1"/>
  <c r="AO10" i="17"/>
  <c r="AS10" i="17" s="1"/>
  <c r="AW10" i="17" s="1"/>
  <c r="AO12" i="17"/>
  <c r="AS12" i="17" s="1"/>
  <c r="AW12" i="17" s="1"/>
  <c r="Y14" i="17"/>
  <c r="AA14" i="17" s="1"/>
  <c r="AE14" i="17" s="1"/>
  <c r="AI14" i="17" s="1"/>
  <c r="AA8" i="17"/>
  <c r="AE8" i="17" s="1"/>
  <c r="AI8" i="17" s="1"/>
  <c r="AS63" i="17" l="1"/>
  <c r="BE12" i="17"/>
  <c r="BE10" i="17"/>
  <c r="AO8" i="17"/>
  <c r="AS8" i="17" s="1"/>
  <c r="AW8" i="17" s="1"/>
  <c r="AO14" i="17"/>
  <c r="AS14" i="17" s="1"/>
  <c r="AW63" i="17" l="1"/>
  <c r="BE63" i="17" s="1"/>
  <c r="AW14" i="17"/>
  <c r="BE14" i="17" s="1"/>
  <c r="BE8" i="17"/>
  <c r="Y29" i="17"/>
  <c r="AA525" i="28"/>
  <c r="AA524" i="28"/>
  <c r="Y525" i="28"/>
  <c r="Y524" i="28"/>
  <c r="Y32" i="17" l="1"/>
  <c r="AA148" i="45" l="1"/>
  <c r="AA147" i="45"/>
  <c r="AA153" i="45"/>
  <c r="AA152" i="45"/>
  <c r="AA157" i="45" s="1"/>
  <c r="AA149" i="45" l="1"/>
  <c r="AA156" i="45" l="1"/>
  <c r="Z16" i="21" l="1"/>
  <c r="Z17" i="21"/>
  <c r="Z19" i="21"/>
  <c r="Y7" i="21"/>
  <c r="Z7" i="21"/>
  <c r="Y8" i="21"/>
  <c r="Z8" i="21"/>
  <c r="Y9" i="21"/>
  <c r="Z9" i="21"/>
  <c r="Y10" i="21"/>
  <c r="Z10" i="21"/>
  <c r="Y11" i="21"/>
  <c r="Z11" i="21"/>
  <c r="M164" i="73" l="1"/>
  <c r="F171" i="73"/>
  <c r="H171" i="73"/>
  <c r="J171" i="73"/>
  <c r="L171" i="73"/>
  <c r="N171" i="73"/>
  <c r="P171" i="73"/>
  <c r="R171" i="73"/>
  <c r="T171" i="73"/>
  <c r="V171" i="73"/>
  <c r="X171" i="73"/>
  <c r="Z171" i="73"/>
  <c r="M161" i="73"/>
  <c r="M162" i="73"/>
  <c r="M165" i="73"/>
  <c r="M168" i="73"/>
  <c r="M169" i="73"/>
  <c r="M170" i="73"/>
  <c r="M56" i="73"/>
  <c r="Q56" i="73" s="1"/>
  <c r="U56" i="73" s="1"/>
  <c r="I56" i="73"/>
  <c r="I96" i="73"/>
  <c r="I94" i="73"/>
  <c r="I55" i="73"/>
  <c r="M55" i="73"/>
  <c r="Q55" i="73" s="1"/>
  <c r="U55" i="73" s="1"/>
  <c r="I93" i="73"/>
  <c r="AE49" i="73"/>
  <c r="AI49" i="73" l="1"/>
  <c r="AO49" i="73" s="1"/>
  <c r="AS49" i="73" s="1"/>
  <c r="AW49" i="73" s="1"/>
  <c r="Q169" i="73"/>
  <c r="U169" i="73" s="1"/>
  <c r="Q168" i="73"/>
  <c r="U168" i="73" s="1"/>
  <c r="Q162" i="73"/>
  <c r="U162" i="73" s="1"/>
  <c r="Q170" i="73"/>
  <c r="U170" i="73" s="1"/>
  <c r="Q165" i="73"/>
  <c r="U165" i="73" s="1"/>
  <c r="Q161" i="73"/>
  <c r="U161" i="73" s="1"/>
  <c r="Q164" i="73"/>
  <c r="U164" i="73" s="1"/>
  <c r="AA56" i="73"/>
  <c r="AE56" i="73" s="1"/>
  <c r="AA55" i="73"/>
  <c r="AE55" i="73" s="1"/>
  <c r="AA168" i="73"/>
  <c r="AE168" i="73" s="1"/>
  <c r="AA165" i="73"/>
  <c r="AE165" i="73" s="1"/>
  <c r="AA169" i="73"/>
  <c r="AE169" i="73" s="1"/>
  <c r="AA162" i="73"/>
  <c r="AE162" i="73" s="1"/>
  <c r="AA170" i="73"/>
  <c r="AE170" i="73" s="1"/>
  <c r="AA161" i="73"/>
  <c r="AE161" i="73" s="1"/>
  <c r="AA164" i="73"/>
  <c r="AE164" i="73" s="1"/>
  <c r="Z37" i="36"/>
  <c r="BE49" i="73" l="1"/>
  <c r="AI56" i="73"/>
  <c r="AO56" i="73" s="1"/>
  <c r="AS56" i="73" s="1"/>
  <c r="AW56" i="73" s="1"/>
  <c r="AI55" i="73"/>
  <c r="AO55" i="73" s="1"/>
  <c r="AS55" i="73" s="1"/>
  <c r="AW55" i="73" s="1"/>
  <c r="AI164" i="73"/>
  <c r="AO164" i="73" s="1"/>
  <c r="AS164" i="73" s="1"/>
  <c r="AI168" i="73"/>
  <c r="AO168" i="73" s="1"/>
  <c r="AS168" i="73" s="1"/>
  <c r="AI161" i="73"/>
  <c r="AO161" i="73" s="1"/>
  <c r="AS161" i="73" s="1"/>
  <c r="AI170" i="73"/>
  <c r="AO170" i="73" s="1"/>
  <c r="AS170" i="73" s="1"/>
  <c r="AW170" i="73" s="1"/>
  <c r="AI162" i="73"/>
  <c r="AO162" i="73" s="1"/>
  <c r="AS162" i="73" s="1"/>
  <c r="AI169" i="73"/>
  <c r="AO169" i="73" s="1"/>
  <c r="AS169" i="73" s="1"/>
  <c r="AI165" i="73"/>
  <c r="AO165" i="73" s="1"/>
  <c r="AS165" i="73" s="1"/>
  <c r="U46" i="72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W46" i="72" l="1"/>
  <c r="Y46" i="72" s="1"/>
  <c r="AC46" i="72" s="1"/>
  <c r="AG46" i="72" s="1"/>
  <c r="AM46" i="72" s="1"/>
  <c r="AQ46" i="72" s="1"/>
  <c r="AU46" i="72" s="1"/>
  <c r="BC46" i="72" s="1"/>
  <c r="U49" i="72"/>
  <c r="AW165" i="73"/>
  <c r="AW161" i="73"/>
  <c r="AW168" i="73"/>
  <c r="AW162" i="73"/>
  <c r="AW164" i="73"/>
  <c r="AW169" i="73"/>
  <c r="BE56" i="73"/>
  <c r="BE170" i="73"/>
  <c r="BE55" i="73"/>
  <c r="AM38" i="72"/>
  <c r="AQ38" i="72" s="1"/>
  <c r="AU38" i="72" s="1"/>
  <c r="BC38" i="72" s="1"/>
  <c r="AM18" i="72"/>
  <c r="AQ18" i="72" s="1"/>
  <c r="AU18" i="72" s="1"/>
  <c r="BC18" i="72" s="1"/>
  <c r="M131" i="50"/>
  <c r="Q131" i="50"/>
  <c r="I132" i="50"/>
  <c r="AW132" i="50"/>
  <c r="M132" i="50"/>
  <c r="Y131" i="50"/>
  <c r="Q132" i="50"/>
  <c r="AS131" i="50"/>
  <c r="AW131" i="50"/>
  <c r="Y132" i="50"/>
  <c r="BA131" i="50"/>
  <c r="I131" i="50"/>
  <c r="BA132" i="50"/>
  <c r="G132" i="50"/>
  <c r="G131" i="50"/>
  <c r="AS132" i="50"/>
  <c r="AM132" i="50"/>
  <c r="AM131" i="50"/>
  <c r="M102" i="50"/>
  <c r="M103" i="50" s="1"/>
  <c r="M104" i="50" s="1"/>
  <c r="I102" i="50"/>
  <c r="I103" i="50" s="1"/>
  <c r="I104" i="50" s="1"/>
  <c r="U51" i="72"/>
  <c r="BE161" i="73" l="1"/>
  <c r="BE169" i="73"/>
  <c r="BE162" i="73"/>
  <c r="BE164" i="73"/>
  <c r="BE168" i="73"/>
  <c r="BE165" i="73"/>
  <c r="BC132" i="50"/>
  <c r="AW134" i="50"/>
  <c r="AW135" i="50" s="1"/>
  <c r="Y134" i="50"/>
  <c r="Y135" i="50" s="1"/>
  <c r="G89" i="90"/>
  <c r="AA131" i="50"/>
  <c r="K131" i="50"/>
  <c r="O131" i="50"/>
  <c r="AU89" i="90"/>
  <c r="O132" i="50"/>
  <c r="K132" i="50"/>
  <c r="AQ89" i="90"/>
  <c r="AQ96" i="90" s="1"/>
  <c r="BC131" i="50"/>
  <c r="AA132" i="50"/>
  <c r="AK89" i="90"/>
  <c r="BA134" i="50"/>
  <c r="O89" i="90"/>
  <c r="K89" i="90"/>
  <c r="K96" i="90" s="1"/>
  <c r="AA79" i="90"/>
  <c r="M79" i="90"/>
  <c r="I79" i="90"/>
  <c r="AE79" i="90"/>
  <c r="Q79" i="90"/>
  <c r="U79" i="90"/>
  <c r="AO79" i="90"/>
  <c r="AA81" i="90"/>
  <c r="M81" i="90"/>
  <c r="I81" i="90"/>
  <c r="AE81" i="90"/>
  <c r="Q81" i="90"/>
  <c r="AO81" i="90"/>
  <c r="AS81" i="90" s="1"/>
  <c r="AW81" i="90" s="1"/>
  <c r="U81" i="90"/>
  <c r="M78" i="90"/>
  <c r="AA78" i="90"/>
  <c r="I78" i="90"/>
  <c r="AE78" i="90"/>
  <c r="Q78" i="90"/>
  <c r="U78" i="90"/>
  <c r="AO78" i="90"/>
  <c r="AS78" i="90" s="1"/>
  <c r="AW78" i="90" s="1"/>
  <c r="AA88" i="90"/>
  <c r="I88" i="90"/>
  <c r="M88" i="90"/>
  <c r="U88" i="90"/>
  <c r="Q88" i="90"/>
  <c r="AE88" i="90"/>
  <c r="AO88" i="90"/>
  <c r="AS88" i="90" s="1"/>
  <c r="AW88" i="90" s="1"/>
  <c r="M84" i="90"/>
  <c r="I84" i="90"/>
  <c r="AA84" i="90"/>
  <c r="AO84" i="90"/>
  <c r="AS84" i="90" s="1"/>
  <c r="AW84" i="90" s="1"/>
  <c r="Q84" i="90"/>
  <c r="AE84" i="90"/>
  <c r="U84" i="90"/>
  <c r="AA83" i="90"/>
  <c r="M83" i="90"/>
  <c r="I83" i="90"/>
  <c r="Q83" i="90"/>
  <c r="AE83" i="90"/>
  <c r="U83" i="90"/>
  <c r="AO83" i="90"/>
  <c r="AS83" i="90" s="1"/>
  <c r="AW83" i="90" s="1"/>
  <c r="AA87" i="90"/>
  <c r="I87" i="90"/>
  <c r="U87" i="90"/>
  <c r="Q87" i="90"/>
  <c r="M87" i="90"/>
  <c r="AE87" i="90"/>
  <c r="AO87" i="90"/>
  <c r="AS87" i="90" s="1"/>
  <c r="AW87" i="90" s="1"/>
  <c r="I76" i="90"/>
  <c r="AA76" i="90"/>
  <c r="M76" i="90"/>
  <c r="Q76" i="90"/>
  <c r="AE76" i="90"/>
  <c r="U76" i="90"/>
  <c r="AO76" i="90"/>
  <c r="AS76" i="90" s="1"/>
  <c r="AW76" i="90" s="1"/>
  <c r="AA69" i="90"/>
  <c r="I69" i="90"/>
  <c r="Q69" i="90"/>
  <c r="M69" i="90"/>
  <c r="U69" i="90"/>
  <c r="AE69" i="90"/>
  <c r="AO69" i="90"/>
  <c r="AS69" i="90" s="1"/>
  <c r="AW69" i="90" s="1"/>
  <c r="AA80" i="90"/>
  <c r="M80" i="90"/>
  <c r="I80" i="90"/>
  <c r="AO80" i="90"/>
  <c r="AS80" i="90" s="1"/>
  <c r="AW80" i="90" s="1"/>
  <c r="U80" i="90"/>
  <c r="Q80" i="90"/>
  <c r="AE80" i="90"/>
  <c r="AA68" i="90"/>
  <c r="M68" i="90"/>
  <c r="Q68" i="90"/>
  <c r="I68" i="90"/>
  <c r="AO68" i="90"/>
  <c r="AS68" i="90" s="1"/>
  <c r="AW68" i="90" s="1"/>
  <c r="U68" i="90"/>
  <c r="I85" i="90"/>
  <c r="AA85" i="90"/>
  <c r="M85" i="90"/>
  <c r="U85" i="90"/>
  <c r="Q85" i="90"/>
  <c r="AE85" i="90"/>
  <c r="AO85" i="90"/>
  <c r="AS85" i="90" s="1"/>
  <c r="AW85" i="90" s="1"/>
  <c r="AA70" i="90"/>
  <c r="M70" i="90"/>
  <c r="I70" i="90"/>
  <c r="AE70" i="90"/>
  <c r="U70" i="90"/>
  <c r="Q70" i="90"/>
  <c r="AO70" i="90"/>
  <c r="AS70" i="90" s="1"/>
  <c r="AW70" i="90" s="1"/>
  <c r="AA74" i="90"/>
  <c r="M74" i="90"/>
  <c r="I74" i="90"/>
  <c r="U74" i="90"/>
  <c r="AE74" i="90"/>
  <c r="Q74" i="90"/>
  <c r="AO74" i="90"/>
  <c r="AS74" i="90" s="1"/>
  <c r="AW74" i="90" s="1"/>
  <c r="I77" i="90"/>
  <c r="M77" i="90"/>
  <c r="AA77" i="90"/>
  <c r="AE77" i="90"/>
  <c r="AO77" i="90"/>
  <c r="AS77" i="90" s="1"/>
  <c r="AW77" i="90" s="1"/>
  <c r="Q77" i="90"/>
  <c r="U77" i="90"/>
  <c r="AS134" i="50"/>
  <c r="AO132" i="50"/>
  <c r="AM134" i="50"/>
  <c r="AO131" i="50"/>
  <c r="I134" i="50"/>
  <c r="I135" i="50" s="1"/>
  <c r="M134" i="50"/>
  <c r="M135" i="50" s="1"/>
  <c r="Z103" i="50"/>
  <c r="Z104" i="50" s="1"/>
  <c r="AA102" i="50"/>
  <c r="AG102" i="50" s="1"/>
  <c r="AA100" i="50"/>
  <c r="AC52" i="38"/>
  <c r="Y29" i="36"/>
  <c r="X7" i="15" s="1"/>
  <c r="Y28" i="36"/>
  <c r="X6" i="15" s="1"/>
  <c r="Y27" i="36"/>
  <c r="X5" i="15" s="1"/>
  <c r="Y23" i="36"/>
  <c r="Y22" i="36"/>
  <c r="Y21" i="36"/>
  <c r="Y17" i="36"/>
  <c r="AB54" i="59" s="1"/>
  <c r="Y16" i="36"/>
  <c r="AB53" i="59" s="1"/>
  <c r="Y9" i="36"/>
  <c r="Y8" i="36"/>
  <c r="Y7" i="36"/>
  <c r="Y5" i="36"/>
  <c r="AS79" i="90" l="1"/>
  <c r="G96" i="90"/>
  <c r="G102" i="90" s="1"/>
  <c r="BE89" i="90"/>
  <c r="AU96" i="90"/>
  <c r="BA96" i="90" s="1"/>
  <c r="BA89" i="90"/>
  <c r="BA135" i="50"/>
  <c r="BE132" i="50"/>
  <c r="O96" i="90"/>
  <c r="O127" i="90" s="1"/>
  <c r="AI89" i="90"/>
  <c r="G127" i="90"/>
  <c r="G130" i="90" s="1"/>
  <c r="BC134" i="50"/>
  <c r="BC135" i="50" s="1"/>
  <c r="BE131" i="50"/>
  <c r="K102" i="90"/>
  <c r="K127" i="90"/>
  <c r="K130" i="90" s="1"/>
  <c r="Y89" i="90"/>
  <c r="AS135" i="50"/>
  <c r="AQ102" i="90"/>
  <c r="AQ127" i="90"/>
  <c r="AQ130" i="90" s="1"/>
  <c r="AC132" i="50"/>
  <c r="AG132" i="50" s="1"/>
  <c r="AK132" i="50" s="1"/>
  <c r="AQ132" i="50" s="1"/>
  <c r="AU132" i="50" s="1"/>
  <c r="AY132" i="50" s="1"/>
  <c r="BG132" i="50" s="1"/>
  <c r="BH132" i="50" s="1"/>
  <c r="S132" i="50"/>
  <c r="W132" i="50" s="1"/>
  <c r="AK96" i="90"/>
  <c r="AM89" i="90"/>
  <c r="AU127" i="90"/>
  <c r="S131" i="50"/>
  <c r="W131" i="50" s="1"/>
  <c r="AC131" i="50"/>
  <c r="AG131" i="50" s="1"/>
  <c r="AK131" i="50" s="1"/>
  <c r="AQ131" i="50" s="1"/>
  <c r="AU131" i="50" s="1"/>
  <c r="AY131" i="50" s="1"/>
  <c r="BG131" i="50" s="1"/>
  <c r="BH131" i="50" s="1"/>
  <c r="AA89" i="90"/>
  <c r="M89" i="90"/>
  <c r="I89" i="90"/>
  <c r="AO89" i="90"/>
  <c r="AS89" i="90" s="1"/>
  <c r="AW89" i="90" s="1"/>
  <c r="Q89" i="90"/>
  <c r="U89" i="90"/>
  <c r="AE89" i="90"/>
  <c r="AM135" i="50"/>
  <c r="AO134" i="50"/>
  <c r="AA101" i="50"/>
  <c r="AW79" i="90" l="1"/>
  <c r="AU102" i="90"/>
  <c r="BA102" i="90" s="1"/>
  <c r="BC89" i="90"/>
  <c r="AU130" i="90"/>
  <c r="BA130" i="90" s="1"/>
  <c r="BA127" i="90"/>
  <c r="Y96" i="90"/>
  <c r="AK102" i="90"/>
  <c r="AK127" i="90"/>
  <c r="AM96" i="90"/>
  <c r="AM102" i="90" s="1"/>
  <c r="BC102" i="90" s="1"/>
  <c r="AO135" i="50"/>
  <c r="BE134" i="50"/>
  <c r="BE135" i="50" s="1"/>
  <c r="Z39" i="35"/>
  <c r="Z40" i="35"/>
  <c r="AA103" i="50"/>
  <c r="AA104" i="50" s="1"/>
  <c r="AG101" i="50"/>
  <c r="BC96" i="90" l="1"/>
  <c r="Y127" i="90"/>
  <c r="AK130" i="90"/>
  <c r="AM127" i="90"/>
  <c r="AM130" i="90" s="1"/>
  <c r="BC130" i="90" s="1"/>
  <c r="Y13" i="49"/>
  <c r="BC127" i="90" l="1"/>
  <c r="AB92" i="8"/>
  <c r="Z92" i="8"/>
  <c r="Y73" i="8" l="1"/>
  <c r="M52" i="8"/>
  <c r="P41" i="59" s="1"/>
  <c r="Z2" i="6" l="1"/>
  <c r="Z53" i="6"/>
  <c r="Z52" i="6"/>
  <c r="Z50" i="6"/>
  <c r="Z49" i="6"/>
  <c r="Z47" i="6"/>
  <c r="Z46" i="6"/>
  <c r="Z44" i="6"/>
  <c r="Z43" i="6"/>
  <c r="Z12" i="6" l="1"/>
  <c r="Z217" i="6" s="1"/>
  <c r="Z13" i="6"/>
  <c r="Z218" i="6" s="1"/>
  <c r="Y18" i="49"/>
  <c r="Y17" i="49"/>
  <c r="Z51" i="6"/>
  <c r="Z45" i="6"/>
  <c r="V172" i="26"/>
  <c r="V167" i="26"/>
  <c r="Z48" i="6"/>
  <c r="Z54" i="6"/>
  <c r="Y14" i="49" l="1"/>
  <c r="V171" i="26"/>
  <c r="V164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2" i="59" l="1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2" i="59" l="1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Z15" i="49"/>
  <c r="BF66" i="8" l="1"/>
  <c r="BH66" i="8" s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2" i="59" l="1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2" i="59" l="1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P23" i="59" s="1"/>
  <c r="M60" i="6"/>
  <c r="P16" i="59" s="1"/>
  <c r="BF9" i="39" l="1"/>
  <c r="BI9" i="39"/>
  <c r="BF64" i="39"/>
  <c r="BI64" i="39"/>
  <c r="BF28" i="39"/>
  <c r="BI28" i="39"/>
  <c r="BF54" i="39"/>
  <c r="BI54" i="39"/>
  <c r="BF37" i="39"/>
  <c r="BI37" i="39"/>
  <c r="BF42" i="39"/>
  <c r="BI42" i="39"/>
  <c r="BB49" i="39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F5" i="39" l="1"/>
  <c r="BI5" i="39"/>
  <c r="BF8" i="39"/>
  <c r="BI8" i="39"/>
  <c r="BE23" i="39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BF22" i="39" l="1"/>
  <c r="BI22" i="39"/>
  <c r="BF45" i="39"/>
  <c r="BI45" i="39"/>
  <c r="BF50" i="39"/>
  <c r="BI50" i="39"/>
  <c r="BF23" i="39"/>
  <c r="BI23" i="39"/>
  <c r="BB22" i="39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T162" i="10"/>
  <c r="T163" i="10" s="1"/>
  <c r="Q38" i="50" l="1"/>
  <c r="AA4" i="50"/>
  <c r="AA38" i="50" s="1"/>
  <c r="T103" i="50"/>
  <c r="T104" i="50" s="1"/>
  <c r="P162" i="10" l="1"/>
  <c r="P163" i="10" s="1"/>
  <c r="AK13" i="6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Q123" i="50" l="1"/>
  <c r="AX47" i="11" l="1"/>
  <c r="AA123" i="50"/>
  <c r="BF47" i="11" l="1"/>
  <c r="AX46" i="11"/>
  <c r="BF145" i="10"/>
  <c r="BI145" i="10" s="1"/>
  <c r="Z160" i="10"/>
  <c r="BF46" i="11" l="1"/>
  <c r="AX410" i="28"/>
  <c r="BF410" i="28" s="1"/>
  <c r="BH410" i="28" s="1"/>
  <c r="AK123" i="45"/>
  <c r="AG123" i="45"/>
  <c r="AG151" i="45" l="1"/>
  <c r="AY123" i="45"/>
  <c r="AY160" i="45" s="1"/>
  <c r="AK151" i="45"/>
  <c r="AK160" i="45"/>
  <c r="AG160" i="45"/>
  <c r="AY151" i="45" l="1"/>
  <c r="AQ123" i="45"/>
  <c r="AQ160" i="45" l="1"/>
  <c r="AQ151" i="45"/>
  <c r="AU123" i="45"/>
  <c r="BG123" i="45" l="1"/>
  <c r="AU160" i="45"/>
  <c r="AU151" i="45"/>
  <c r="BG160" i="45" l="1"/>
  <c r="BG151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Y31" i="15" l="1"/>
  <c r="E81" i="8"/>
  <c r="H51" i="59" s="1"/>
  <c r="Q80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 s="1"/>
  <c r="BF53" i="6"/>
  <c r="BH53" i="6" s="1"/>
  <c r="AX56" i="6"/>
  <c r="AX50" i="6"/>
  <c r="R57" i="6"/>
  <c r="V55" i="6"/>
  <c r="V57" i="6" s="1"/>
  <c r="BF44" i="6"/>
  <c r="BH44" i="6" s="1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AX45" i="6" l="1"/>
  <c r="BF50" i="6"/>
  <c r="BH50" i="6" s="1"/>
  <c r="BF56" i="6"/>
  <c r="BH56" i="6" s="1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AX51" i="6" l="1"/>
  <c r="AX54" i="6"/>
  <c r="AX48" i="6"/>
  <c r="AA34" i="39"/>
  <c r="AT48" i="6"/>
  <c r="AT54" i="6"/>
  <c r="AT51" i="6"/>
  <c r="BF43" i="6"/>
  <c r="AT55" i="6"/>
  <c r="AX55" i="6" s="1"/>
  <c r="AP57" i="6"/>
  <c r="I14" i="7"/>
  <c r="BF45" i="6" l="1"/>
  <c r="BH45" i="6" s="1"/>
  <c r="BH43" i="6"/>
  <c r="AX57" i="6"/>
  <c r="AE34" i="39"/>
  <c r="BF46" i="6"/>
  <c r="BF49" i="6"/>
  <c r="BF52" i="6"/>
  <c r="AT57" i="6"/>
  <c r="BF54" i="6" l="1"/>
  <c r="BH54" i="6" s="1"/>
  <c r="BH52" i="6"/>
  <c r="BF48" i="6"/>
  <c r="BH48" i="6" s="1"/>
  <c r="BH46" i="6"/>
  <c r="BF51" i="6"/>
  <c r="BH51" i="6" s="1"/>
  <c r="BH49" i="6"/>
  <c r="AI34" i="39"/>
  <c r="BF55" i="6"/>
  <c r="S36" i="83"/>
  <c r="W36" i="83" s="1"/>
  <c r="AG36" i="83"/>
  <c r="AK36" i="83" s="1"/>
  <c r="AA40" i="83"/>
  <c r="AA41" i="83"/>
  <c r="AA42" i="83"/>
  <c r="AA43" i="83"/>
  <c r="AA44" i="83"/>
  <c r="AA39" i="83"/>
  <c r="M14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BF57" i="6" l="1"/>
  <c r="BH57" i="6" s="1"/>
  <c r="BH55" i="6"/>
  <c r="AO34" i="39"/>
  <c r="AQ36" i="83"/>
  <c r="AU36" i="83" s="1"/>
  <c r="V147" i="9"/>
  <c r="Q14" i="7"/>
  <c r="U14" i="7" s="1"/>
  <c r="AA14" i="7"/>
  <c r="AE14" i="7" s="1"/>
  <c r="AA45" i="83"/>
  <c r="AA46" i="83"/>
  <c r="AA51" i="83" s="1"/>
  <c r="R14" i="7"/>
  <c r="N147" i="9"/>
  <c r="R147" i="9"/>
  <c r="V14" i="7" l="1"/>
  <c r="AI14" i="7"/>
  <c r="AO14" i="7" s="1"/>
  <c r="AS14" i="7" s="1"/>
  <c r="AW14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34" i="39" l="1"/>
  <c r="BF140" i="10"/>
  <c r="BI140" i="10" s="1"/>
  <c r="BE14" i="7" l="1"/>
  <c r="BE34" i="39"/>
  <c r="Z159" i="10"/>
  <c r="Z158" i="10"/>
  <c r="Z210" i="10" s="1"/>
  <c r="Q116" i="50"/>
  <c r="Q107" i="50"/>
  <c r="AA38" i="83"/>
  <c r="AA77" i="83"/>
  <c r="X52" i="26"/>
  <c r="X50" i="26"/>
  <c r="BF34" i="39" l="1"/>
  <c r="BI34" i="39"/>
  <c r="Z200" i="10"/>
  <c r="Z203" i="10"/>
  <c r="AA107" i="50"/>
  <c r="AA116" i="50"/>
  <c r="Q108" i="50"/>
  <c r="Q110" i="50" l="1"/>
  <c r="AA108" i="50"/>
  <c r="AA109" i="50" s="1"/>
  <c r="Q109" i="50"/>
  <c r="Z162" i="10"/>
  <c r="Z163" i="10" s="1"/>
  <c r="AA110" i="50" l="1"/>
  <c r="AA117" i="50" s="1"/>
  <c r="Q117" i="50"/>
  <c r="Q40" i="50"/>
  <c r="Q41" i="50"/>
  <c r="Q42" i="50"/>
  <c r="Q43" i="50"/>
  <c r="Q44" i="50"/>
  <c r="Q45" i="50"/>
  <c r="Q39" i="50"/>
  <c r="AA43" i="50" l="1"/>
  <c r="AA42" i="50"/>
  <c r="AA45" i="50"/>
  <c r="AA41" i="50"/>
  <c r="AA44" i="50"/>
  <c r="AA40" i="50"/>
  <c r="Q46" i="50"/>
  <c r="AA39" i="50"/>
  <c r="AJ307" i="28"/>
  <c r="AP307" i="28" s="1"/>
  <c r="AT307" i="28" s="1"/>
  <c r="Y30" i="15"/>
  <c r="Y25" i="15"/>
  <c r="Y24" i="15"/>
  <c r="Y23" i="15"/>
  <c r="Y22" i="15"/>
  <c r="Y21" i="15"/>
  <c r="Y15" i="15"/>
  <c r="Y10" i="15"/>
  <c r="AA46" i="50" l="1"/>
  <c r="AA94" i="50" s="1"/>
  <c r="Q94" i="50"/>
  <c r="AX307" i="28"/>
  <c r="BF307" i="28" s="1"/>
  <c r="BH307" i="28" s="1"/>
  <c r="Q120" i="50"/>
  <c r="Y29" i="15"/>
  <c r="Q124" i="50"/>
  <c r="X12" i="15"/>
  <c r="Q125" i="50" l="1"/>
  <c r="AA124" i="50"/>
  <c r="Q121" i="50"/>
  <c r="AA120" i="50"/>
  <c r="Y32" i="15"/>
  <c r="G42" i="50"/>
  <c r="K42" i="50" l="1"/>
  <c r="O42" i="50"/>
  <c r="AC46" i="38"/>
  <c r="AC45" i="38"/>
  <c r="AC44" i="38"/>
  <c r="AC43" i="38"/>
  <c r="AC38" i="38"/>
  <c r="AC37" i="38"/>
  <c r="AC36" i="38"/>
  <c r="AC35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9" i="38"/>
  <c r="AC14" i="38"/>
  <c r="AC13" i="38"/>
  <c r="AC10" i="38"/>
  <c r="AC9" i="38"/>
  <c r="AC8" i="38"/>
  <c r="AC7" i="38"/>
  <c r="S42" i="50" l="1"/>
  <c r="W42" i="50" s="1"/>
  <c r="AC42" i="50"/>
  <c r="AG42" i="50" s="1"/>
  <c r="AK42" i="50" s="1"/>
  <c r="AQ42" i="50" s="1"/>
  <c r="AU42" i="50" s="1"/>
  <c r="AY42" i="50" s="1"/>
  <c r="BG42" i="50" s="1"/>
  <c r="BH42" i="50" s="1"/>
  <c r="AC40" i="38"/>
  <c r="AC41" i="38"/>
  <c r="AC6" i="38"/>
  <c r="AC34" i="38"/>
  <c r="AC18" i="38"/>
  <c r="AC12" i="38"/>
  <c r="Z66" i="11"/>
  <c r="AC39" i="38" l="1"/>
  <c r="AC42" i="38"/>
  <c r="Z73" i="11"/>
  <c r="Y66" i="11"/>
  <c r="AC17" i="38"/>
  <c r="AC15" i="38"/>
  <c r="AC16" i="38" l="1"/>
  <c r="AC48" i="38" s="1"/>
  <c r="Z165" i="10"/>
  <c r="Z172" i="10" l="1"/>
  <c r="Z173" i="10" s="1"/>
  <c r="Q134" i="50"/>
  <c r="Q52" i="8"/>
  <c r="T41" i="59" s="1"/>
  <c r="Q101" i="50" l="1"/>
  <c r="D84" i="8" l="1"/>
  <c r="Q73" i="8" l="1"/>
  <c r="R92" i="8"/>
  <c r="Z37" i="8" l="1"/>
  <c r="Z134" i="6" l="1"/>
  <c r="Y134" i="6"/>
  <c r="Z126" i="6"/>
  <c r="Z125" i="6"/>
  <c r="Z124" i="6"/>
  <c r="Q525" i="28" l="1"/>
  <c r="Q524" i="28"/>
  <c r="Y431" i="28"/>
  <c r="Y297" i="28"/>
  <c r="Y256" i="28"/>
  <c r="Y68" i="28"/>
  <c r="Y67" i="28"/>
  <c r="Y65" i="28"/>
  <c r="Y51" i="73"/>
  <c r="Y30" i="73"/>
  <c r="Y25" i="73"/>
  <c r="Y108" i="73" l="1"/>
  <c r="BH36" i="28" l="1"/>
  <c r="Y12" i="15"/>
  <c r="Y13" i="15"/>
  <c r="Y15" i="28"/>
  <c r="Y23" i="28"/>
  <c r="Y7" i="28"/>
  <c r="Y29" i="28" l="1"/>
  <c r="X16" i="15"/>
  <c r="X15" i="15"/>
  <c r="Y13" i="28"/>
  <c r="Y298" i="28"/>
  <c r="Y21" i="28"/>
  <c r="Y74" i="28" l="1"/>
  <c r="Y299" i="28"/>
  <c r="Y73" i="28"/>
  <c r="Y72" i="28"/>
  <c r="Y87" i="28" l="1"/>
  <c r="Y9" i="6"/>
  <c r="Y416" i="28"/>
  <c r="Y236" i="28"/>
  <c r="Y79" i="28"/>
  <c r="Y31" i="28"/>
  <c r="P97" i="50"/>
  <c r="P95" i="50" s="1"/>
  <c r="S53" i="83"/>
  <c r="S55" i="83"/>
  <c r="S56" i="83"/>
  <c r="S57" i="83"/>
  <c r="S61" i="83"/>
  <c r="S62" i="83"/>
  <c r="S65" i="83"/>
  <c r="Y83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7" i="28"/>
  <c r="G144" i="50"/>
  <c r="K144" i="50" l="1"/>
  <c r="O144" i="50"/>
  <c r="AK55" i="83"/>
  <c r="AQ55" i="83" s="1"/>
  <c r="AU55" i="83" s="1"/>
  <c r="AY55" i="83" s="1"/>
  <c r="BG55" i="83" s="1"/>
  <c r="Y63" i="28"/>
  <c r="Y75" i="28"/>
  <c r="Y493" i="28"/>
  <c r="G145" i="50"/>
  <c r="AC144" i="50" l="1"/>
  <c r="AG144" i="50" s="1"/>
  <c r="AK144" i="50" s="1"/>
  <c r="AQ144" i="50" s="1"/>
  <c r="AU144" i="50" s="1"/>
  <c r="AY144" i="50" s="1"/>
  <c r="BG144" i="50" s="1"/>
  <c r="BH144" i="50" s="1"/>
  <c r="S144" i="50"/>
  <c r="W144" i="50" s="1"/>
  <c r="O145" i="50"/>
  <c r="K145" i="50"/>
  <c r="Y69" i="28"/>
  <c r="Y91" i="28"/>
  <c r="Y76" i="28"/>
  <c r="S145" i="50" l="1"/>
  <c r="W145" i="50" s="1"/>
  <c r="AC145" i="50"/>
  <c r="AG145" i="50" s="1"/>
  <c r="AK145" i="50" s="1"/>
  <c r="AQ145" i="50" s="1"/>
  <c r="AU145" i="50" s="1"/>
  <c r="AY145" i="50" s="1"/>
  <c r="BG145" i="50" s="1"/>
  <c r="BH145" i="50" s="1"/>
  <c r="Y95" i="28"/>
  <c r="G127" i="50" l="1"/>
  <c r="K127" i="50" l="1"/>
  <c r="O127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1" i="73"/>
  <c r="Q131" i="73" s="1"/>
  <c r="U131" i="73" s="1"/>
  <c r="M130" i="73"/>
  <c r="Q130" i="73" s="1"/>
  <c r="U130" i="73" s="1"/>
  <c r="M126" i="73"/>
  <c r="Q126" i="73" s="1"/>
  <c r="U126" i="73" s="1"/>
  <c r="M123" i="73"/>
  <c r="Q123" i="73" s="1"/>
  <c r="M122" i="73"/>
  <c r="Q122" i="73" s="1"/>
  <c r="M120" i="73"/>
  <c r="Q120" i="73" s="1"/>
  <c r="M119" i="73"/>
  <c r="Q119" i="73" s="1"/>
  <c r="M118" i="73"/>
  <c r="Q118" i="73" s="1"/>
  <c r="M110" i="73"/>
  <c r="M109" i="73"/>
  <c r="M106" i="73"/>
  <c r="M104" i="73"/>
  <c r="Q104" i="73" s="1"/>
  <c r="U104" i="73" s="1"/>
  <c r="M103" i="73"/>
  <c r="M102" i="73"/>
  <c r="M100" i="73"/>
  <c r="M112" i="73"/>
  <c r="M99" i="73"/>
  <c r="M98" i="73"/>
  <c r="M58" i="73"/>
  <c r="M54" i="73"/>
  <c r="M52" i="73"/>
  <c r="Q52" i="73" s="1"/>
  <c r="U52" i="73" s="1"/>
  <c r="M50" i="73"/>
  <c r="Q50" i="73" s="1"/>
  <c r="U50" i="73" s="1"/>
  <c r="M48" i="73"/>
  <c r="Q48" i="73" s="1"/>
  <c r="U48" i="73" s="1"/>
  <c r="M47" i="73"/>
  <c r="M45" i="73"/>
  <c r="Q45" i="73" s="1"/>
  <c r="U45" i="73" s="1"/>
  <c r="M44" i="73"/>
  <c r="Q44" i="73" s="1"/>
  <c r="U44" i="73" s="1"/>
  <c r="M43" i="73"/>
  <c r="Q43" i="73" s="1"/>
  <c r="U43" i="73" s="1"/>
  <c r="M42" i="73"/>
  <c r="M31" i="73"/>
  <c r="M29" i="73"/>
  <c r="Q29" i="73" s="1"/>
  <c r="U29" i="73" s="1"/>
  <c r="M26" i="73"/>
  <c r="Q109" i="73" l="1"/>
  <c r="U109" i="73" s="1"/>
  <c r="Q103" i="73"/>
  <c r="U103" i="73" s="1"/>
  <c r="Q100" i="73"/>
  <c r="U100" i="73" s="1"/>
  <c r="Q110" i="73"/>
  <c r="U110" i="73" s="1"/>
  <c r="Q54" i="73"/>
  <c r="U54" i="73" s="1"/>
  <c r="Q98" i="73"/>
  <c r="U98" i="73" s="1"/>
  <c r="Q99" i="73"/>
  <c r="U99" i="73" s="1"/>
  <c r="Q26" i="73"/>
  <c r="U26" i="73" s="1"/>
  <c r="Q102" i="73"/>
  <c r="U102" i="73" s="1"/>
  <c r="Q47" i="73"/>
  <c r="U47" i="73" s="1"/>
  <c r="Q58" i="73"/>
  <c r="U58" i="73" s="1"/>
  <c r="Q42" i="73"/>
  <c r="U42" i="73" s="1"/>
  <c r="Q112" i="73"/>
  <c r="U112" i="73" s="1"/>
  <c r="Q106" i="73"/>
  <c r="U106" i="73" s="1"/>
  <c r="Q31" i="73"/>
  <c r="U31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29" i="73"/>
  <c r="AE29" i="73" s="1"/>
  <c r="AA44" i="73"/>
  <c r="AE44" i="73" s="1"/>
  <c r="AA45" i="73"/>
  <c r="AE45" i="73" s="1"/>
  <c r="AA52" i="73"/>
  <c r="AE52" i="73" s="1"/>
  <c r="AA43" i="73"/>
  <c r="AE43" i="73" s="1"/>
  <c r="AA120" i="73"/>
  <c r="U120" i="73"/>
  <c r="AA118" i="73"/>
  <c r="U118" i="73"/>
  <c r="AA119" i="73"/>
  <c r="U119" i="73"/>
  <c r="AA122" i="73"/>
  <c r="U122" i="73"/>
  <c r="AA131" i="73"/>
  <c r="AA123" i="73"/>
  <c r="U123" i="73"/>
  <c r="AA48" i="73"/>
  <c r="AE48" i="73" s="1"/>
  <c r="AA50" i="73"/>
  <c r="AE50" i="73" s="1"/>
  <c r="AA104" i="73"/>
  <c r="AE104" i="73" s="1"/>
  <c r="AU45" i="83"/>
  <c r="BG14" i="61"/>
  <c r="BG13" i="61"/>
  <c r="M125" i="73"/>
  <c r="AA126" i="73"/>
  <c r="AA100" i="73"/>
  <c r="AA106" i="73"/>
  <c r="AA109" i="73"/>
  <c r="AA42" i="73"/>
  <c r="AA102" i="73"/>
  <c r="AA47" i="73"/>
  <c r="AA110" i="73"/>
  <c r="AA112" i="73"/>
  <c r="AA54" i="73"/>
  <c r="AE54" i="73" s="1"/>
  <c r="AA58" i="73"/>
  <c r="AA99" i="73"/>
  <c r="AA103" i="73"/>
  <c r="M129" i="73"/>
  <c r="AA130" i="73"/>
  <c r="AA26" i="73"/>
  <c r="AE26" i="73" s="1"/>
  <c r="AI26" i="73" s="1"/>
  <c r="AA31" i="73"/>
  <c r="AE31" i="73" s="1"/>
  <c r="AI31" i="73" s="1"/>
  <c r="AA98" i="73"/>
  <c r="M121" i="73"/>
  <c r="AG51" i="83"/>
  <c r="AK46" i="83"/>
  <c r="R108" i="9"/>
  <c r="V108" i="9" s="1"/>
  <c r="R107" i="9"/>
  <c r="V107" i="9" s="1"/>
  <c r="AI43" i="73" l="1"/>
  <c r="AO43" i="73" s="1"/>
  <c r="AS43" i="73" s="1"/>
  <c r="AW43" i="73" s="1"/>
  <c r="AI52" i="73"/>
  <c r="AO52" i="73" s="1"/>
  <c r="AS52" i="73" s="1"/>
  <c r="AW52" i="73" s="1"/>
  <c r="AI29" i="73"/>
  <c r="AO29" i="73" s="1"/>
  <c r="AS29" i="73" s="1"/>
  <c r="AW29" i="73" s="1"/>
  <c r="AI54" i="73"/>
  <c r="AO54" i="73" s="1"/>
  <c r="AS54" i="73" s="1"/>
  <c r="AW54" i="73" s="1"/>
  <c r="AI48" i="73"/>
  <c r="AO48" i="73" s="1"/>
  <c r="AS48" i="73" s="1"/>
  <c r="AW48" i="73" s="1"/>
  <c r="AI44" i="73"/>
  <c r="AO44" i="73" s="1"/>
  <c r="AS44" i="73" s="1"/>
  <c r="AW44" i="73" s="1"/>
  <c r="AI104" i="73"/>
  <c r="AO104" i="73" s="1"/>
  <c r="AS104" i="73" s="1"/>
  <c r="AW104" i="73" s="1"/>
  <c r="AI45" i="73"/>
  <c r="AO45" i="73" s="1"/>
  <c r="AS45" i="73" s="1"/>
  <c r="AW45" i="73" s="1"/>
  <c r="AI50" i="73"/>
  <c r="AO50" i="73" s="1"/>
  <c r="AS50" i="73" s="1"/>
  <c r="AW50" i="73" s="1"/>
  <c r="AA129" i="73"/>
  <c r="Q129" i="73"/>
  <c r="U129" i="73" s="1"/>
  <c r="AA121" i="73"/>
  <c r="Q121" i="73"/>
  <c r="AA125" i="73"/>
  <c r="Q125" i="73"/>
  <c r="U125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1" i="73"/>
  <c r="AK51" i="83"/>
  <c r="AQ46" i="83"/>
  <c r="AE122" i="73"/>
  <c r="N106" i="9"/>
  <c r="AB106" i="9" s="1"/>
  <c r="AF106" i="9" s="1"/>
  <c r="N105" i="9"/>
  <c r="J106" i="9"/>
  <c r="J105" i="9"/>
  <c r="BE104" i="73" l="1"/>
  <c r="BE54" i="73"/>
  <c r="BE50" i="73"/>
  <c r="BE44" i="73"/>
  <c r="BE52" i="73"/>
  <c r="BE45" i="73"/>
  <c r="BE48" i="73"/>
  <c r="BE43" i="73"/>
  <c r="BE29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2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22" i="73"/>
  <c r="AS122" i="73" s="1"/>
  <c r="M73" i="8"/>
  <c r="I73" i="8"/>
  <c r="AP105" i="9" l="1"/>
  <c r="AT105" i="9" s="1"/>
  <c r="AX105" i="9" s="1"/>
  <c r="BF105" i="9" s="1"/>
  <c r="AY51" i="83"/>
  <c r="AW122" i="73"/>
  <c r="BE122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BG11" i="52" s="1"/>
  <c r="I525" i="28"/>
  <c r="M525" i="28"/>
  <c r="E524" i="28"/>
  <c r="BG524" i="28" s="1"/>
  <c r="I524" i="28"/>
  <c r="M524" i="28"/>
  <c r="I54" i="73" l="1"/>
  <c r="N7" i="10" l="1"/>
  <c r="N199" i="10" s="1"/>
  <c r="AB7" i="10" l="1"/>
  <c r="AB199" i="10" s="1"/>
  <c r="R7" i="10"/>
  <c r="V7" i="10" l="1"/>
  <c r="V199" i="10" s="1"/>
  <c r="R199" i="10"/>
  <c r="AF7" i="10"/>
  <c r="AJ7" i="10" s="1"/>
  <c r="V158" i="10" l="1"/>
  <c r="V210" i="10" s="1"/>
  <c r="V159" i="10"/>
  <c r="AJ159" i="10"/>
  <c r="AJ158" i="10"/>
  <c r="AJ210" i="10" s="1"/>
  <c r="AP7" i="10"/>
  <c r="AT7" i="10" s="1"/>
  <c r="V200" i="10" l="1"/>
  <c r="V191" i="10"/>
  <c r="V193" i="10" s="1"/>
  <c r="V196" i="10"/>
  <c r="AX7" i="10"/>
  <c r="AJ196" i="10"/>
  <c r="AJ191" i="10"/>
  <c r="AJ178" i="10"/>
  <c r="AJ200" i="10"/>
  <c r="R30" i="8"/>
  <c r="V30" i="8" s="1"/>
  <c r="BF7" i="10" l="1"/>
  <c r="AJ193" i="10"/>
  <c r="AX158" i="10"/>
  <c r="AX199" i="10"/>
  <c r="AX159" i="10"/>
  <c r="R130" i="9"/>
  <c r="V130" i="9" s="1"/>
  <c r="R129" i="9"/>
  <c r="V129" i="9" s="1"/>
  <c r="BF199" i="10" l="1"/>
  <c r="BI199" i="10" s="1"/>
  <c r="BI7" i="10"/>
  <c r="AX178" i="10"/>
  <c r="AX200" i="10"/>
  <c r="AX191" i="10"/>
  <c r="AX196" i="10"/>
  <c r="K115" i="7"/>
  <c r="K114" i="7"/>
  <c r="AX193" i="10" l="1"/>
  <c r="M112" i="6"/>
  <c r="Q112" i="6" s="1"/>
  <c r="U112" i="6" s="1"/>
  <c r="N112" i="6"/>
  <c r="R112" i="6" s="1"/>
  <c r="V112" i="6" s="1"/>
  <c r="M96" i="6"/>
  <c r="Q96" i="6" s="1"/>
  <c r="U96" i="6" s="1"/>
  <c r="N96" i="6"/>
  <c r="R96" i="6" s="1"/>
  <c r="V96" i="6" s="1"/>
  <c r="P59" i="59" l="1"/>
  <c r="G100" i="50" l="1"/>
  <c r="K100" i="50" l="1"/>
  <c r="O100" i="50"/>
  <c r="I61" i="6" l="1"/>
  <c r="L23" i="59" s="1"/>
  <c r="I60" i="6"/>
  <c r="L16" i="59" s="1"/>
  <c r="E162" i="6" l="1"/>
  <c r="E87" i="8"/>
  <c r="E88" i="8"/>
  <c r="F108" i="8"/>
  <c r="H51" i="26" l="1"/>
  <c r="L51" i="26" s="1"/>
  <c r="H87" i="26"/>
  <c r="L87" i="26" s="1"/>
  <c r="P87" i="26" s="1"/>
  <c r="T87" i="26" s="1"/>
  <c r="I87" i="26"/>
  <c r="M87" i="26" s="1"/>
  <c r="H89" i="26"/>
  <c r="L89" i="26" s="1"/>
  <c r="P89" i="26" s="1"/>
  <c r="T89" i="26" s="1"/>
  <c r="I89" i="26"/>
  <c r="M89" i="26" s="1"/>
  <c r="I91" i="26"/>
  <c r="I85" i="26"/>
  <c r="M85" i="26" s="1"/>
  <c r="Q85" i="26" s="1"/>
  <c r="U85" i="26" s="1"/>
  <c r="H85" i="26"/>
  <c r="L85" i="26" s="1"/>
  <c r="P85" i="26" s="1"/>
  <c r="T85" i="26" s="1"/>
  <c r="P51" i="26" l="1"/>
  <c r="T51" i="26" s="1"/>
  <c r="Z51" i="26"/>
  <c r="AD51" i="26" s="1"/>
  <c r="Q87" i="26"/>
  <c r="U87" i="26" s="1"/>
  <c r="AA87" i="26"/>
  <c r="AE87" i="26" s="1"/>
  <c r="Q89" i="26"/>
  <c r="U89" i="26" s="1"/>
  <c r="AA89" i="26"/>
  <c r="AE89" i="26" s="1"/>
  <c r="J92" i="8"/>
  <c r="AI89" i="26" l="1"/>
  <c r="AO89" i="26" s="1"/>
  <c r="AS89" i="26" s="1"/>
  <c r="AI87" i="26"/>
  <c r="AO87" i="26" s="1"/>
  <c r="AS87" i="26" s="1"/>
  <c r="AH51" i="26"/>
  <c r="AN51" i="26" s="1"/>
  <c r="AR51" i="26" s="1"/>
  <c r="AW87" i="26" l="1"/>
  <c r="BE87" i="26" s="1"/>
  <c r="AW89" i="26"/>
  <c r="BE89" i="26" s="1"/>
  <c r="AV51" i="26"/>
  <c r="BD51" i="26" s="1"/>
  <c r="H52" i="26"/>
  <c r="L52" i="26" s="1"/>
  <c r="P52" i="26" l="1"/>
  <c r="T52" i="26" s="1"/>
  <c r="Z52" i="26"/>
  <c r="AD52" i="26" s="1"/>
  <c r="S25" i="83"/>
  <c r="W25" i="83" s="1"/>
  <c r="AG25" i="83"/>
  <c r="AK25" i="83" s="1"/>
  <c r="H50" i="26"/>
  <c r="L50" i="26" s="1"/>
  <c r="AH52" i="26" l="1"/>
  <c r="AN52" i="26" s="1"/>
  <c r="AR52" i="26" s="1"/>
  <c r="P50" i="26"/>
  <c r="T50" i="26" s="1"/>
  <c r="Z50" i="26"/>
  <c r="I23" i="59"/>
  <c r="I16" i="59"/>
  <c r="H16" i="59"/>
  <c r="P12" i="59"/>
  <c r="I12" i="59"/>
  <c r="H12" i="59"/>
  <c r="AV52" i="26" l="1"/>
  <c r="BD52" i="26" s="1"/>
  <c r="AQ25" i="83"/>
  <c r="AU25" i="83" s="1"/>
  <c r="M21" i="15"/>
  <c r="Q21" i="15" s="1"/>
  <c r="I21" i="15"/>
  <c r="I58" i="59"/>
  <c r="H58" i="59"/>
  <c r="I50" i="59"/>
  <c r="I49" i="59"/>
  <c r="H15" i="59"/>
  <c r="AY25" i="83" l="1"/>
  <c r="BG25" i="83" s="1"/>
  <c r="U21" i="15"/>
  <c r="AA21" i="15"/>
  <c r="AE21" i="15" s="1"/>
  <c r="AI21" i="15" l="1"/>
  <c r="AO21" i="15" s="1"/>
  <c r="AS21" i="15" s="1"/>
  <c r="I52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BH11" i="52" s="1"/>
  <c r="J1" i="35"/>
  <c r="I1" i="35"/>
  <c r="I179" i="73" l="1"/>
  <c r="F51" i="73"/>
  <c r="F113" i="73" s="1"/>
  <c r="H51" i="73"/>
  <c r="H113" i="73" s="1"/>
  <c r="I43" i="73"/>
  <c r="M51" i="73" l="1"/>
  <c r="I51" i="73"/>
  <c r="Q51" i="73" l="1"/>
  <c r="U51" i="73" s="1"/>
  <c r="AA51" i="73"/>
  <c r="AJ202" i="28" l="1"/>
  <c r="J11" i="52"/>
  <c r="J12" i="52"/>
  <c r="J13" i="52"/>
  <c r="J14" i="52"/>
  <c r="J15" i="52"/>
  <c r="I11" i="52"/>
  <c r="I12" i="52"/>
  <c r="I13" i="52"/>
  <c r="I14" i="52"/>
  <c r="I15" i="52"/>
  <c r="AP202" i="28" l="1"/>
  <c r="AT202" i="28" s="1"/>
  <c r="AX202" i="28" s="1"/>
  <c r="BF202" i="28" s="1"/>
  <c r="BH202" i="28" s="1"/>
  <c r="J199" i="10" l="1"/>
  <c r="J30" i="8" l="1"/>
  <c r="J42" i="7" l="1"/>
  <c r="J43" i="7"/>
  <c r="J44" i="7"/>
  <c r="J45" i="7"/>
  <c r="J46" i="7"/>
  <c r="J47" i="7"/>
  <c r="J48" i="7"/>
  <c r="J50" i="7"/>
  <c r="I42" i="7"/>
  <c r="I43" i="7"/>
  <c r="I44" i="7"/>
  <c r="I45" i="7"/>
  <c r="I46" i="7"/>
  <c r="I47" i="7"/>
  <c r="I48" i="7"/>
  <c r="I50" i="7"/>
  <c r="I7" i="7"/>
  <c r="I8" i="7"/>
  <c r="I9" i="7"/>
  <c r="I10" i="7"/>
  <c r="I11" i="7"/>
  <c r="I12" i="7"/>
  <c r="I15" i="7"/>
  <c r="I16" i="7"/>
  <c r="I19" i="7"/>
  <c r="I20" i="7"/>
  <c r="J7" i="7"/>
  <c r="J8" i="7"/>
  <c r="J9" i="7"/>
  <c r="J10" i="7"/>
  <c r="J11" i="7"/>
  <c r="J12" i="7"/>
  <c r="J15" i="7"/>
  <c r="J16" i="7"/>
  <c r="J19" i="7"/>
  <c r="J20" i="7"/>
  <c r="G115" i="7"/>
  <c r="G114" i="7"/>
  <c r="J112" i="6"/>
  <c r="I112" i="6"/>
  <c r="J117" i="6"/>
  <c r="I117" i="6"/>
  <c r="I161" i="7" l="1"/>
  <c r="J157" i="7"/>
  <c r="J161" i="7"/>
  <c r="I157" i="7"/>
  <c r="I36" i="28"/>
  <c r="I35" i="28"/>
  <c r="I33" i="28"/>
  <c r="I28" i="28"/>
  <c r="I27" i="28"/>
  <c r="I25" i="28"/>
  <c r="I19" i="28"/>
  <c r="M19" i="28" s="1"/>
  <c r="Q19" i="28" s="1"/>
  <c r="U19" i="28" s="1"/>
  <c r="I20" i="28"/>
  <c r="M20" i="28" s="1"/>
  <c r="I17" i="28"/>
  <c r="I12" i="28"/>
  <c r="M12" i="28" s="1"/>
  <c r="J7" i="28"/>
  <c r="N7" i="28" s="1"/>
  <c r="R7" i="28" s="1"/>
  <c r="I11" i="28"/>
  <c r="M11" i="28" s="1"/>
  <c r="I9" i="28"/>
  <c r="M9" i="28" s="1"/>
  <c r="AB7" i="28" l="1"/>
  <c r="AF7" i="28" s="1"/>
  <c r="AJ7" i="28" s="1"/>
  <c r="AP7" i="28" s="1"/>
  <c r="AT7" i="28" s="1"/>
  <c r="V7" i="28"/>
  <c r="Q28" i="28"/>
  <c r="Q11" i="28"/>
  <c r="Q27" i="28"/>
  <c r="AA19" i="28"/>
  <c r="AE19" i="28" s="1"/>
  <c r="AI19" i="28" s="1"/>
  <c r="AO19" i="28" s="1"/>
  <c r="AS19" i="28" s="1"/>
  <c r="Q33" i="28"/>
  <c r="Q36" i="28"/>
  <c r="Q20" i="28"/>
  <c r="Q9" i="28"/>
  <c r="Q12" i="28"/>
  <c r="Q35" i="28"/>
  <c r="I304" i="28"/>
  <c r="M17" i="28"/>
  <c r="I431" i="28"/>
  <c r="I169" i="73"/>
  <c r="I122" i="73"/>
  <c r="I104" i="73"/>
  <c r="I90" i="73"/>
  <c r="I91" i="73"/>
  <c r="I92" i="73"/>
  <c r="I100" i="73"/>
  <c r="AX7" i="28" l="1"/>
  <c r="BF7" i="28" s="1"/>
  <c r="BH7" i="28" s="1"/>
  <c r="BH23" i="28"/>
  <c r="BH9" i="28"/>
  <c r="BH11" i="28"/>
  <c r="BH8" i="28"/>
  <c r="AW19" i="28"/>
  <c r="BE19" i="28" s="1"/>
  <c r="BG19" i="28" s="1"/>
  <c r="BH12" i="28"/>
  <c r="BH15" i="28"/>
  <c r="AA11" i="28"/>
  <c r="AE11" i="28" s="1"/>
  <c r="AI11" i="28" s="1"/>
  <c r="AO11" i="28" s="1"/>
  <c r="AS11" i="28" s="1"/>
  <c r="U11" i="28"/>
  <c r="AA9" i="28"/>
  <c r="AE9" i="28" s="1"/>
  <c r="AI9" i="28" s="1"/>
  <c r="AO9" i="28" s="1"/>
  <c r="AS9" i="28" s="1"/>
  <c r="U9" i="28"/>
  <c r="AJ259" i="28"/>
  <c r="AP259" i="28" s="1"/>
  <c r="AT259" i="28" s="1"/>
  <c r="AJ418" i="28"/>
  <c r="AP418" i="28" s="1"/>
  <c r="AT418" i="28" s="1"/>
  <c r="AJ301" i="28"/>
  <c r="AP301" i="28" s="1"/>
  <c r="AT301" i="28" s="1"/>
  <c r="AJ239" i="28"/>
  <c r="AP239" i="28" s="1"/>
  <c r="AT239" i="28" s="1"/>
  <c r="AA35" i="28"/>
  <c r="AE35" i="28" s="1"/>
  <c r="AI35" i="28" s="1"/>
  <c r="AO35" i="28" s="1"/>
  <c r="AS35" i="28" s="1"/>
  <c r="U35" i="28"/>
  <c r="AA12" i="28"/>
  <c r="AE12" i="28" s="1"/>
  <c r="AI12" i="28" s="1"/>
  <c r="AO12" i="28" s="1"/>
  <c r="AS12" i="28" s="1"/>
  <c r="U12" i="28"/>
  <c r="AA36" i="28"/>
  <c r="AE36" i="28" s="1"/>
  <c r="AI36" i="28" s="1"/>
  <c r="AO36" i="28" s="1"/>
  <c r="AS36" i="28" s="1"/>
  <c r="U36" i="28"/>
  <c r="AA28" i="28"/>
  <c r="AE28" i="28" s="1"/>
  <c r="AI28" i="28" s="1"/>
  <c r="AO28" i="28" s="1"/>
  <c r="AS28" i="28" s="1"/>
  <c r="U28" i="28"/>
  <c r="AA27" i="28"/>
  <c r="AE27" i="28" s="1"/>
  <c r="AI27" i="28" s="1"/>
  <c r="AO27" i="28" s="1"/>
  <c r="AS27" i="28" s="1"/>
  <c r="U27" i="28"/>
  <c r="AA20" i="28"/>
  <c r="AE20" i="28" s="1"/>
  <c r="AI20" i="28" s="1"/>
  <c r="AO20" i="28" s="1"/>
  <c r="AS20" i="28" s="1"/>
  <c r="U20" i="28"/>
  <c r="AA33" i="28"/>
  <c r="AE33" i="28" s="1"/>
  <c r="AI33" i="28" s="1"/>
  <c r="AO33" i="28" s="1"/>
  <c r="AS33" i="28" s="1"/>
  <c r="U33" i="28"/>
  <c r="AJ100" i="28"/>
  <c r="AP100" i="28" s="1"/>
  <c r="AT100" i="28" s="1"/>
  <c r="Q25" i="28"/>
  <c r="U25" i="28" s="1"/>
  <c r="U431" i="28" s="1"/>
  <c r="Q17" i="28"/>
  <c r="U17" i="28" s="1"/>
  <c r="U304" i="28" s="1"/>
  <c r="AX259" i="28" l="1"/>
  <c r="BF259" i="28" s="1"/>
  <c r="BH259" i="28" s="1"/>
  <c r="AX301" i="28"/>
  <c r="BF301" i="28" s="1"/>
  <c r="BH301" i="28" s="1"/>
  <c r="AX239" i="28"/>
  <c r="BF239" i="28" s="1"/>
  <c r="BH239" i="28" s="1"/>
  <c r="AX418" i="28"/>
  <c r="BF418" i="28" s="1"/>
  <c r="BH418" i="28" s="1"/>
  <c r="AW9" i="28"/>
  <c r="BE9" i="28" s="1"/>
  <c r="BG9" i="28" s="1"/>
  <c r="AW28" i="28"/>
  <c r="BE28" i="28" s="1"/>
  <c r="BG28" i="28" s="1"/>
  <c r="AW11" i="28"/>
  <c r="BE11" i="28" s="1"/>
  <c r="BG11" i="28" s="1"/>
  <c r="AW35" i="28"/>
  <c r="BE35" i="28" s="1"/>
  <c r="BG35" i="28" s="1"/>
  <c r="AW36" i="28"/>
  <c r="BE36" i="28" s="1"/>
  <c r="BG36" i="28" s="1"/>
  <c r="BH50" i="28"/>
  <c r="AX100" i="28"/>
  <c r="BF100" i="28" s="1"/>
  <c r="BH100" i="28" s="1"/>
  <c r="AW27" i="28"/>
  <c r="BE27" i="28" s="1"/>
  <c r="BG27" i="28" s="1"/>
  <c r="AW12" i="28"/>
  <c r="BE12" i="28" s="1"/>
  <c r="BG12" i="28" s="1"/>
  <c r="AW33" i="28"/>
  <c r="BE33" i="28" s="1"/>
  <c r="BG33" i="28" s="1"/>
  <c r="AW20" i="28"/>
  <c r="BE20" i="28" s="1"/>
  <c r="BG20" i="28" s="1"/>
  <c r="AJ441" i="28"/>
  <c r="AP441" i="28" s="1"/>
  <c r="AT441" i="28" s="1"/>
  <c r="AJ79" i="28"/>
  <c r="AP79" i="28" s="1"/>
  <c r="AT79" i="28" s="1"/>
  <c r="Q304" i="28"/>
  <c r="Q431" i="28"/>
  <c r="AX441" i="28" l="1"/>
  <c r="BF441" i="28" s="1"/>
  <c r="BH441" i="28" s="1"/>
  <c r="AX79" i="28"/>
  <c r="BF79" i="28" s="1"/>
  <c r="BH79" i="28" s="1"/>
  <c r="Y304" i="28" l="1"/>
  <c r="AA17" i="28"/>
  <c r="AA25" i="28"/>
  <c r="H97" i="50"/>
  <c r="H95" i="50" s="1"/>
  <c r="AA431" i="28" l="1"/>
  <c r="AE25" i="28"/>
  <c r="AA304" i="28"/>
  <c r="AE17" i="28"/>
  <c r="N60" i="6"/>
  <c r="N61" i="6"/>
  <c r="G9" i="50" l="1"/>
  <c r="AE304" i="28"/>
  <c r="AI17" i="28"/>
  <c r="AE431" i="28"/>
  <c r="AI25" i="28"/>
  <c r="K29" i="83"/>
  <c r="K9" i="83"/>
  <c r="K27" i="83"/>
  <c r="K24" i="83"/>
  <c r="K30" i="83"/>
  <c r="K31" i="83"/>
  <c r="G4" i="50"/>
  <c r="G4" i="83"/>
  <c r="E73" i="8"/>
  <c r="BH42" i="28" l="1"/>
  <c r="K9" i="50"/>
  <c r="F196" i="10"/>
  <c r="F200" i="10"/>
  <c r="O9" i="50"/>
  <c r="J158" i="10"/>
  <c r="J210" i="10" s="1"/>
  <c r="J159" i="10"/>
  <c r="N158" i="10"/>
  <c r="N210" i="10" s="1"/>
  <c r="N159" i="10"/>
  <c r="O4" i="50"/>
  <c r="K4" i="50"/>
  <c r="AI304" i="28"/>
  <c r="AO304" i="28" s="1"/>
  <c r="AO17" i="28"/>
  <c r="AS17" i="28" s="1"/>
  <c r="AW17" i="28" s="1"/>
  <c r="AW304" i="28" s="1"/>
  <c r="AI431" i="28"/>
  <c r="AO431" i="28" s="1"/>
  <c r="AO25" i="28"/>
  <c r="AS25" i="28" s="1"/>
  <c r="AW25" i="28" s="1"/>
  <c r="AW431" i="28" s="1"/>
  <c r="S24" i="83"/>
  <c r="S9" i="83"/>
  <c r="K4" i="83"/>
  <c r="G38" i="83"/>
  <c r="O4" i="83"/>
  <c r="G116" i="50"/>
  <c r="N200" i="10" l="1"/>
  <c r="J200" i="10"/>
  <c r="O38" i="50"/>
  <c r="AC9" i="50"/>
  <c r="AG9" i="50" s="1"/>
  <c r="S9" i="50"/>
  <c r="W9" i="50" s="1"/>
  <c r="AQ27" i="50"/>
  <c r="AU27" i="50" s="1"/>
  <c r="AY27" i="50" s="1"/>
  <c r="BG27" i="50" s="1"/>
  <c r="BH27" i="50" s="1"/>
  <c r="AQ29" i="50"/>
  <c r="AU29" i="50" s="1"/>
  <c r="AY29" i="50" s="1"/>
  <c r="BG29" i="50" s="1"/>
  <c r="BH29" i="50" s="1"/>
  <c r="AQ30" i="50"/>
  <c r="AU30" i="50" s="1"/>
  <c r="AY30" i="50" s="1"/>
  <c r="BG30" i="50" s="1"/>
  <c r="BH30" i="50" s="1"/>
  <c r="K116" i="50"/>
  <c r="O116" i="50"/>
  <c r="K38" i="50"/>
  <c r="AC4" i="50"/>
  <c r="S4" i="50"/>
  <c r="AS431" i="28"/>
  <c r="AS30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BH9" i="50" s="1"/>
  <c r="AU9" i="83"/>
  <c r="AY9" i="83" s="1"/>
  <c r="BG9" i="83" s="1"/>
  <c r="S116" i="50"/>
  <c r="W116" i="50" s="1"/>
  <c r="AC116" i="50"/>
  <c r="AG116" i="50" s="1"/>
  <c r="AK116" i="50" s="1"/>
  <c r="AQ116" i="50" s="1"/>
  <c r="AU116" i="50" s="1"/>
  <c r="AY116" i="50" s="1"/>
  <c r="BG116" i="50" s="1"/>
  <c r="BH116" i="50" s="1"/>
  <c r="AC38" i="50"/>
  <c r="S38" i="50"/>
  <c r="W4" i="50"/>
  <c r="W38" i="50" s="1"/>
  <c r="AG4" i="50"/>
  <c r="AU4" i="83"/>
  <c r="BE17" i="28"/>
  <c r="BE25" i="28"/>
  <c r="AG38" i="83"/>
  <c r="W38" i="83"/>
  <c r="S38" i="83"/>
  <c r="D56" i="28"/>
  <c r="D492" i="28" s="1"/>
  <c r="D48" i="28"/>
  <c r="D29" i="28"/>
  <c r="D21" i="28"/>
  <c r="D299" i="28" s="1"/>
  <c r="D13" i="28"/>
  <c r="D236" i="28" s="1"/>
  <c r="E431" i="28"/>
  <c r="D431" i="28"/>
  <c r="E256" i="28"/>
  <c r="D256" i="28"/>
  <c r="E304" i="28"/>
  <c r="D304" i="28"/>
  <c r="E68" i="28"/>
  <c r="E67" i="28"/>
  <c r="E65" i="28"/>
  <c r="D36" i="28"/>
  <c r="D68" i="28" s="1"/>
  <c r="D67" i="28"/>
  <c r="D33" i="28"/>
  <c r="D65" i="28" s="1"/>
  <c r="D31" i="28"/>
  <c r="M304" i="28" l="1"/>
  <c r="BE431" i="28"/>
  <c r="BG25" i="28"/>
  <c r="BE304" i="28"/>
  <c r="BG304" i="28" s="1"/>
  <c r="BG17" i="28"/>
  <c r="M431" i="28"/>
  <c r="BG431" i="28"/>
  <c r="D473" i="28"/>
  <c r="D416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8" i="50"/>
  <c r="V162" i="10"/>
  <c r="V163" i="10" s="1"/>
  <c r="I65" i="28"/>
  <c r="M65" i="28"/>
  <c r="Q65" i="28" s="1"/>
  <c r="I67" i="28"/>
  <c r="M67" i="28"/>
  <c r="AA67" i="28" s="1"/>
  <c r="AE67" i="28" s="1"/>
  <c r="AI67" i="28" s="1"/>
  <c r="AO67" i="28" s="1"/>
  <c r="AS67" i="28" s="1"/>
  <c r="I68" i="28"/>
  <c r="M68" i="28"/>
  <c r="AA68" i="28" s="1"/>
  <c r="AE68" i="28" s="1"/>
  <c r="AI68" i="28" s="1"/>
  <c r="AO68" i="28" s="1"/>
  <c r="AS68" i="28" s="1"/>
  <c r="I256" i="28"/>
  <c r="M256" i="28"/>
  <c r="Q256" i="28" s="1"/>
  <c r="D37" i="28"/>
  <c r="D493" i="28" s="1"/>
  <c r="D63" i="28"/>
  <c r="AY27" i="83" l="1"/>
  <c r="BG27" i="83" s="1"/>
  <c r="AY30" i="83"/>
  <c r="BG30" i="83" s="1"/>
  <c r="AY29" i="83"/>
  <c r="BG29" i="83" s="1"/>
  <c r="AY31" i="83"/>
  <c r="BG31" i="83" s="1"/>
  <c r="AW68" i="28"/>
  <c r="BE68" i="28" s="1"/>
  <c r="BG68" i="28" s="1"/>
  <c r="AW67" i="28"/>
  <c r="BE67" i="28" s="1"/>
  <c r="BG67" i="28" s="1"/>
  <c r="AU24" i="83"/>
  <c r="AK38" i="50"/>
  <c r="AQ4" i="50"/>
  <c r="AQ38" i="83"/>
  <c r="AA256" i="28"/>
  <c r="AE256" i="28" s="1"/>
  <c r="AI256" i="28" s="1"/>
  <c r="AO256" i="28" s="1"/>
  <c r="AS256" i="28" s="1"/>
  <c r="U256" i="28"/>
  <c r="AA65" i="28"/>
  <c r="AE65" i="28" s="1"/>
  <c r="AI65" i="28" s="1"/>
  <c r="AO65" i="28" s="1"/>
  <c r="AS65" i="28" s="1"/>
  <c r="U65" i="28"/>
  <c r="Q68" i="28"/>
  <c r="U68" i="28" s="1"/>
  <c r="Q67" i="28"/>
  <c r="U67" i="28" s="1"/>
  <c r="I57" i="73"/>
  <c r="M57" i="73"/>
  <c r="AE100" i="73"/>
  <c r="D27" i="21"/>
  <c r="AI100" i="73" l="1"/>
  <c r="AO100" i="73" s="1"/>
  <c r="AS100" i="73" s="1"/>
  <c r="AW100" i="73" s="1"/>
  <c r="Q57" i="73"/>
  <c r="U57" i="73" s="1"/>
  <c r="AY24" i="83"/>
  <c r="BG24" i="83" s="1"/>
  <c r="BG38" i="83" s="1"/>
  <c r="AW256" i="28"/>
  <c r="BE256" i="28" s="1"/>
  <c r="BG256" i="28" s="1"/>
  <c r="AW65" i="28"/>
  <c r="BE65" i="28" s="1"/>
  <c r="BG65" i="28" s="1"/>
  <c r="AQ38" i="50"/>
  <c r="AP162" i="10" s="1"/>
  <c r="AU4" i="50"/>
  <c r="AU38" i="83"/>
  <c r="AJ162" i="10"/>
  <c r="AJ163" i="10" s="1"/>
  <c r="AA57" i="73"/>
  <c r="BE100" i="73" l="1"/>
  <c r="AY38" i="83"/>
  <c r="AU38" i="50"/>
  <c r="AT162" i="10" s="1"/>
  <c r="AY4" i="50"/>
  <c r="M30" i="15"/>
  <c r="Q30" i="15" s="1"/>
  <c r="I30" i="15"/>
  <c r="F16" i="52"/>
  <c r="E16" i="52"/>
  <c r="F415" i="28"/>
  <c r="F298" i="28"/>
  <c r="F297" i="28"/>
  <c r="F235" i="28"/>
  <c r="F233" i="28"/>
  <c r="F56" i="28"/>
  <c r="J56" i="28" s="1"/>
  <c r="N56" i="28" s="1"/>
  <c r="F48" i="28"/>
  <c r="J48" i="28" s="1"/>
  <c r="N48" i="28" s="1"/>
  <c r="R56" i="28" l="1"/>
  <c r="V56" i="28" s="1"/>
  <c r="AB56" i="28"/>
  <c r="AF56" i="28" s="1"/>
  <c r="AJ56" i="28" s="1"/>
  <c r="AP56" i="28" s="1"/>
  <c r="AT56" i="28" s="1"/>
  <c r="AX56" i="28" s="1"/>
  <c r="BF56" i="28" s="1"/>
  <c r="R48" i="28"/>
  <c r="V48" i="28" s="1"/>
  <c r="AB48" i="28"/>
  <c r="AF48" i="28" s="1"/>
  <c r="AJ48" i="28" s="1"/>
  <c r="AP48" i="28" s="1"/>
  <c r="AT48" i="28" s="1"/>
  <c r="AX48" i="28" s="1"/>
  <c r="BF48" i="28" s="1"/>
  <c r="J297" i="28"/>
  <c r="N297" i="28" s="1"/>
  <c r="R297" i="28" s="1"/>
  <c r="V297" i="28" s="1"/>
  <c r="J298" i="28"/>
  <c r="N298" i="28" s="1"/>
  <c r="R298" i="28" s="1"/>
  <c r="V298" i="28" s="1"/>
  <c r="J235" i="28"/>
  <c r="N235" i="28" s="1"/>
  <c r="AB235" i="28" s="1"/>
  <c r="AF235" i="28" s="1"/>
  <c r="J415" i="28"/>
  <c r="N415" i="28" s="1"/>
  <c r="AB415" i="28" s="1"/>
  <c r="AF415" i="28" s="1"/>
  <c r="J233" i="28"/>
  <c r="N233" i="28" s="1"/>
  <c r="AB233" i="28" s="1"/>
  <c r="AF233" i="28" s="1"/>
  <c r="AB297" i="28"/>
  <c r="AF297" i="28" s="1"/>
  <c r="AY38" i="50"/>
  <c r="AX162" i="10" s="1"/>
  <c r="BG4" i="50"/>
  <c r="U30" i="15"/>
  <c r="AA30" i="15"/>
  <c r="AE30" i="15" s="1"/>
  <c r="J37" i="28"/>
  <c r="N37" i="28" s="1"/>
  <c r="J33" i="28"/>
  <c r="N33" i="28" s="1"/>
  <c r="J32" i="28"/>
  <c r="N32" i="28" s="1"/>
  <c r="G40" i="50"/>
  <c r="G41" i="50"/>
  <c r="G43" i="50"/>
  <c r="G44" i="50"/>
  <c r="G45" i="50"/>
  <c r="G39" i="50"/>
  <c r="AB298" i="28" l="1"/>
  <c r="AF298" i="28" s="1"/>
  <c r="AB33" i="28"/>
  <c r="AF33" i="28" s="1"/>
  <c r="AJ33" i="28" s="1"/>
  <c r="AP33" i="28" s="1"/>
  <c r="AT33" i="28" s="1"/>
  <c r="AX33" i="28" s="1"/>
  <c r="BF33" i="28" s="1"/>
  <c r="R33" i="28"/>
  <c r="V33" i="28" s="1"/>
  <c r="R32" i="28"/>
  <c r="V32" i="28" s="1"/>
  <c r="AB32" i="28"/>
  <c r="AF32" i="28" s="1"/>
  <c r="AJ32" i="28" s="1"/>
  <c r="AP32" i="28" s="1"/>
  <c r="AT32" i="28" s="1"/>
  <c r="AX32" i="28" s="1"/>
  <c r="BF32" i="28" s="1"/>
  <c r="R37" i="28"/>
  <c r="V37" i="28" s="1"/>
  <c r="AB37" i="28"/>
  <c r="AF37" i="28" s="1"/>
  <c r="AJ37" i="28" s="1"/>
  <c r="AP37" i="28" s="1"/>
  <c r="AT37" i="28" s="1"/>
  <c r="AX37" i="28" s="1"/>
  <c r="BF37" i="28" s="1"/>
  <c r="R233" i="28"/>
  <c r="V233" i="28" s="1"/>
  <c r="R415" i="28"/>
  <c r="V415" i="28" s="1"/>
  <c r="R235" i="28"/>
  <c r="V235" i="28" s="1"/>
  <c r="BG38" i="50"/>
  <c r="BH4" i="50"/>
  <c r="AI30" i="15"/>
  <c r="AO30" i="15" s="1"/>
  <c r="AS30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33" i="28"/>
  <c r="AJ235" i="28"/>
  <c r="AP235" i="28" s="1"/>
  <c r="AT235" i="28" s="1"/>
  <c r="AX235" i="28" s="1"/>
  <c r="BF235" i="28" s="1"/>
  <c r="BH235" i="28" s="1"/>
  <c r="J67" i="28"/>
  <c r="N67" i="28" s="1"/>
  <c r="J63" i="28"/>
  <c r="N63" i="28" s="1"/>
  <c r="J68" i="28"/>
  <c r="N68" i="28" s="1"/>
  <c r="J64" i="28"/>
  <c r="N64" i="28" s="1"/>
  <c r="J65" i="28"/>
  <c r="N65" i="28" s="1"/>
  <c r="AB63" i="28" l="1"/>
  <c r="R63" i="28"/>
  <c r="V63" i="28" s="1"/>
  <c r="AB65" i="28"/>
  <c r="AF65" i="28" s="1"/>
  <c r="AJ65" i="28" s="1"/>
  <c r="AP65" i="28" s="1"/>
  <c r="AT65" i="28" s="1"/>
  <c r="AX65" i="28" s="1"/>
  <c r="BF65" i="28" s="1"/>
  <c r="R65" i="28"/>
  <c r="V65" i="28" s="1"/>
  <c r="R64" i="28"/>
  <c r="V64" i="28" s="1"/>
  <c r="AB64" i="28"/>
  <c r="AF64" i="28" s="1"/>
  <c r="AJ64" i="28" s="1"/>
  <c r="AP64" i="28" s="1"/>
  <c r="AT64" i="28" s="1"/>
  <c r="AX64" i="28" s="1"/>
  <c r="BF64" i="28" s="1"/>
  <c r="AB67" i="28"/>
  <c r="AF67" i="28" s="1"/>
  <c r="AJ67" i="28" s="1"/>
  <c r="AP67" i="28" s="1"/>
  <c r="AT67" i="28" s="1"/>
  <c r="AX67" i="28" s="1"/>
  <c r="BF67" i="28" s="1"/>
  <c r="R67" i="28"/>
  <c r="V67" i="28" s="1"/>
  <c r="AB68" i="28"/>
  <c r="AF68" i="28" s="1"/>
  <c r="AJ68" i="28" s="1"/>
  <c r="AP68" i="28" s="1"/>
  <c r="AT68" i="28" s="1"/>
  <c r="AX68" i="28" s="1"/>
  <c r="BF68" i="28" s="1"/>
  <c r="R68" i="28"/>
  <c r="V68" i="28" s="1"/>
  <c r="BF162" i="10"/>
  <c r="AP233" i="28"/>
  <c r="BH33" i="28"/>
  <c r="BH35" i="28"/>
  <c r="AW30" i="15"/>
  <c r="BE30" i="15" s="1"/>
  <c r="AC44" i="50"/>
  <c r="AG44" i="50" s="1"/>
  <c r="AK44" i="50" s="1"/>
  <c r="AQ44" i="50" s="1"/>
  <c r="AU44" i="50" s="1"/>
  <c r="AY44" i="50" s="1"/>
  <c r="BG44" i="50" s="1"/>
  <c r="BH44" i="50" s="1"/>
  <c r="S44" i="50"/>
  <c r="W44" i="50" s="1"/>
  <c r="K46" i="50"/>
  <c r="K94" i="50" s="1"/>
  <c r="S43" i="50"/>
  <c r="W43" i="50" s="1"/>
  <c r="AC43" i="50"/>
  <c r="AG43" i="50" s="1"/>
  <c r="AK43" i="50" s="1"/>
  <c r="AQ43" i="50" s="1"/>
  <c r="AU43" i="50" s="1"/>
  <c r="AY43" i="50" s="1"/>
  <c r="BG43" i="50" s="1"/>
  <c r="BH43" i="50" s="1"/>
  <c r="AC45" i="50"/>
  <c r="AG45" i="50" s="1"/>
  <c r="AK45" i="50" s="1"/>
  <c r="AQ45" i="50" s="1"/>
  <c r="AU45" i="50" s="1"/>
  <c r="AY45" i="50" s="1"/>
  <c r="BG45" i="50" s="1"/>
  <c r="BH45" i="50" s="1"/>
  <c r="S45" i="50"/>
  <c r="W45" i="50" s="1"/>
  <c r="AC39" i="50"/>
  <c r="O46" i="50"/>
  <c r="O94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BH41" i="50" s="1"/>
  <c r="AC40" i="50"/>
  <c r="AG40" i="50" s="1"/>
  <c r="AK40" i="50" s="1"/>
  <c r="AQ40" i="50" s="1"/>
  <c r="AU40" i="50" s="1"/>
  <c r="AY40" i="50" s="1"/>
  <c r="BG40" i="50" s="1"/>
  <c r="BH40" i="50" s="1"/>
  <c r="S40" i="50"/>
  <c r="W40" i="50" s="1"/>
  <c r="AJ298" i="28"/>
  <c r="AP298" i="28" s="1"/>
  <c r="AT298" i="28" s="1"/>
  <c r="AJ525" i="28"/>
  <c r="AJ415" i="28"/>
  <c r="AP415" i="28" s="1"/>
  <c r="AT415" i="28" s="1"/>
  <c r="AF63" i="28" l="1"/>
  <c r="AJ63" i="28" s="1"/>
  <c r="AP63" i="28" s="1"/>
  <c r="AT63" i="28" s="1"/>
  <c r="AX63" i="28" s="1"/>
  <c r="BF63" i="28" s="1"/>
  <c r="AT233" i="28"/>
  <c r="AX233" i="28" s="1"/>
  <c r="BF233" i="28" s="1"/>
  <c r="BH233" i="28" s="1"/>
  <c r="AX415" i="28"/>
  <c r="BF415" i="28" s="1"/>
  <c r="BH415" i="28" s="1"/>
  <c r="AX298" i="28"/>
  <c r="BF298" i="28" s="1"/>
  <c r="BH298" i="28" s="1"/>
  <c r="BH64" i="28"/>
  <c r="BH56" i="28"/>
  <c r="BH65" i="28"/>
  <c r="BH37" i="28"/>
  <c r="BH68" i="28"/>
  <c r="BH32" i="28"/>
  <c r="BH67" i="28"/>
  <c r="AC46" i="50"/>
  <c r="AC94" i="50" s="1"/>
  <c r="AG39" i="50"/>
  <c r="W39" i="50"/>
  <c r="W46" i="50" s="1"/>
  <c r="W94" i="50" s="1"/>
  <c r="S46" i="50"/>
  <c r="S94" i="50" s="1"/>
  <c r="AP525" i="28"/>
  <c r="AJ297" i="28"/>
  <c r="AP297" i="28" s="1"/>
  <c r="AT297" i="28" s="1"/>
  <c r="D39" i="27"/>
  <c r="E36" i="27"/>
  <c r="D33" i="27"/>
  <c r="E26" i="27"/>
  <c r="D24" i="27"/>
  <c r="E24" i="27"/>
  <c r="G124" i="50"/>
  <c r="G38" i="50"/>
  <c r="G4" i="61"/>
  <c r="BH38" i="50" l="1"/>
  <c r="F162" i="10"/>
  <c r="F163" i="10" s="1"/>
  <c r="E33" i="27"/>
  <c r="E39" i="27"/>
  <c r="AX297" i="28"/>
  <c r="BF297" i="28" s="1"/>
  <c r="BH297" i="28" s="1"/>
  <c r="BH31" i="28"/>
  <c r="O124" i="50"/>
  <c r="K124" i="50"/>
  <c r="AG46" i="50"/>
  <c r="AG94" i="50" s="1"/>
  <c r="AK39" i="50"/>
  <c r="G108" i="50"/>
  <c r="AB162" i="10"/>
  <c r="N24" i="22"/>
  <c r="N10" i="22"/>
  <c r="N15" i="22" s="1"/>
  <c r="G138" i="50"/>
  <c r="J15" i="22"/>
  <c r="AT525" i="28" l="1"/>
  <c r="AK46" i="50"/>
  <c r="AK94" i="50" s="1"/>
  <c r="AQ39" i="50"/>
  <c r="O138" i="50"/>
  <c r="K138" i="50"/>
  <c r="O108" i="50"/>
  <c r="K108" i="50"/>
  <c r="S124" i="50"/>
  <c r="W124" i="50" s="1"/>
  <c r="AC124" i="50"/>
  <c r="AG124" i="50" s="1"/>
  <c r="AK124" i="50" s="1"/>
  <c r="AQ124" i="50" s="1"/>
  <c r="AU124" i="50" s="1"/>
  <c r="AY124" i="50" s="1"/>
  <c r="BG124" i="50" s="1"/>
  <c r="BH124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M22" i="15"/>
  <c r="Q22" i="15" s="1"/>
  <c r="I22" i="15"/>
  <c r="M29" i="15"/>
  <c r="Q29" i="15" s="1"/>
  <c r="I29" i="15"/>
  <c r="AX525" i="28"/>
  <c r="G140" i="50"/>
  <c r="G139" i="50"/>
  <c r="BF525" i="28" l="1"/>
  <c r="BH48" i="28"/>
  <c r="AQ46" i="50"/>
  <c r="AQ94" i="50" s="1"/>
  <c r="AU39" i="50"/>
  <c r="AC138" i="50"/>
  <c r="AG138" i="50" s="1"/>
  <c r="AK138" i="50" s="1"/>
  <c r="AQ138" i="50" s="1"/>
  <c r="S138" i="50"/>
  <c r="W138" i="50" s="1"/>
  <c r="AC108" i="50"/>
  <c r="AG108" i="50" s="1"/>
  <c r="AK108" i="50" s="1"/>
  <c r="AQ108" i="50" s="1"/>
  <c r="AU108" i="50" s="1"/>
  <c r="AY108" i="50" s="1"/>
  <c r="BG108" i="50" s="1"/>
  <c r="BH108" i="50" s="1"/>
  <c r="S108" i="50"/>
  <c r="W108" i="50" s="1"/>
  <c r="O140" i="50"/>
  <c r="K140" i="50"/>
  <c r="G146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F134" i="6"/>
  <c r="N129" i="6" l="1"/>
  <c r="AB129" i="6" s="1"/>
  <c r="AF129" i="6" s="1"/>
  <c r="AJ129" i="6" s="1"/>
  <c r="AP129" i="6" s="1"/>
  <c r="AT129" i="6" s="1"/>
  <c r="AX129" i="6" s="1"/>
  <c r="BF129" i="6" s="1"/>
  <c r="BH129" i="6" s="1"/>
  <c r="J134" i="6"/>
  <c r="BH63" i="28"/>
  <c r="AI31" i="15"/>
  <c r="AO31" i="15" s="1"/>
  <c r="AS31" i="15" s="1"/>
  <c r="AU46" i="50"/>
  <c r="AU94" i="50" s="1"/>
  <c r="AY39" i="50"/>
  <c r="AQ139" i="50"/>
  <c r="AU138" i="50"/>
  <c r="AI25" i="15"/>
  <c r="AO25" i="15" s="1"/>
  <c r="AS25" i="15" s="1"/>
  <c r="S140" i="50"/>
  <c r="W140" i="50" s="1"/>
  <c r="AC140" i="50"/>
  <c r="AG140" i="50" s="1"/>
  <c r="AK140" i="50" s="1"/>
  <c r="AQ140" i="50" s="1"/>
  <c r="AU140" i="50" s="1"/>
  <c r="AY140" i="50" s="1"/>
  <c r="BG140" i="50" s="1"/>
  <c r="BH140" i="50" s="1"/>
  <c r="K146" i="50"/>
  <c r="O146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6" i="6"/>
  <c r="N126" i="6"/>
  <c r="AB126" i="6" s="1"/>
  <c r="AF126" i="6" s="1"/>
  <c r="R129" i="6" l="1"/>
  <c r="V129" i="6" s="1"/>
  <c r="AW25" i="15"/>
  <c r="BE25" i="15" s="1"/>
  <c r="AW23" i="15"/>
  <c r="BE23" i="15" s="1"/>
  <c r="AW24" i="15"/>
  <c r="BE24" i="15" s="1"/>
  <c r="AW31" i="15"/>
  <c r="AY46" i="50"/>
  <c r="AY94" i="50" s="1"/>
  <c r="BG39" i="50"/>
  <c r="AU139" i="50"/>
  <c r="AY138" i="50"/>
  <c r="BE22" i="15"/>
  <c r="S146" i="50"/>
  <c r="W146" i="50" s="1"/>
  <c r="AC146" i="50"/>
  <c r="AG146" i="50" s="1"/>
  <c r="AK146" i="50" s="1"/>
  <c r="AQ146" i="50" s="1"/>
  <c r="AI32" i="15"/>
  <c r="AJ126" i="6"/>
  <c r="R126" i="6"/>
  <c r="V126" i="6" s="1"/>
  <c r="M101" i="73"/>
  <c r="Q101" i="73" s="1"/>
  <c r="U101" i="73" s="1"/>
  <c r="BG46" i="50" l="1"/>
  <c r="BG94" i="50" s="1"/>
  <c r="BH39" i="50"/>
  <c r="AU146" i="50"/>
  <c r="AY146" i="50" s="1"/>
  <c r="BG146" i="50" s="1"/>
  <c r="BH146" i="50" s="1"/>
  <c r="BE146" i="50"/>
  <c r="BE31" i="15"/>
  <c r="AY139" i="50"/>
  <c r="BG138" i="50"/>
  <c r="AO32" i="15"/>
  <c r="AO29" i="15"/>
  <c r="AP126" i="6"/>
  <c r="G123" i="50"/>
  <c r="BG139" i="50" l="1"/>
  <c r="BH139" i="50" s="1"/>
  <c r="BH138" i="50"/>
  <c r="AS32" i="15"/>
  <c r="O123" i="50"/>
  <c r="K123" i="50"/>
  <c r="AS29" i="15"/>
  <c r="AW29" i="15" s="1"/>
  <c r="AT126" i="6"/>
  <c r="AX126" i="6" s="1"/>
  <c r="G125" i="50"/>
  <c r="BF126" i="6" l="1"/>
  <c r="BH126" i="6" s="1"/>
  <c r="AW32" i="15"/>
  <c r="S123" i="50"/>
  <c r="W123" i="50" s="1"/>
  <c r="AC123" i="50"/>
  <c r="AG123" i="50" s="1"/>
  <c r="AK123" i="50" s="1"/>
  <c r="BE32" i="15" l="1"/>
  <c r="AK125" i="50"/>
  <c r="AQ123" i="50"/>
  <c r="BE29" i="15"/>
  <c r="G102" i="50"/>
  <c r="N95" i="9"/>
  <c r="AQ125" i="50" l="1"/>
  <c r="AU123" i="50"/>
  <c r="K102" i="50"/>
  <c r="F110" i="8"/>
  <c r="F93" i="8"/>
  <c r="F90" i="8"/>
  <c r="F88" i="8"/>
  <c r="F69" i="8"/>
  <c r="F65" i="8"/>
  <c r="F61" i="8"/>
  <c r="F26" i="8"/>
  <c r="F17" i="8"/>
  <c r="N15" i="8"/>
  <c r="N14" i="8"/>
  <c r="F13" i="8"/>
  <c r="F6" i="8"/>
  <c r="D30" i="8"/>
  <c r="N90" i="8" l="1"/>
  <c r="BH90" i="8"/>
  <c r="AU125" i="50"/>
  <c r="AY123" i="50"/>
  <c r="F44" i="8"/>
  <c r="F62" i="8"/>
  <c r="R66" i="8"/>
  <c r="V66" i="8" s="1"/>
  <c r="D67" i="8"/>
  <c r="D37" i="8" s="1"/>
  <c r="F67" i="8"/>
  <c r="J66" i="8"/>
  <c r="J56" i="8" s="1"/>
  <c r="F16" i="8"/>
  <c r="F81" i="8"/>
  <c r="F91" i="8"/>
  <c r="F39" i="8"/>
  <c r="F45" i="8"/>
  <c r="F72" i="8"/>
  <c r="F34" i="8"/>
  <c r="F74" i="8"/>
  <c r="F36" i="8"/>
  <c r="F40" i="8"/>
  <c r="F46" i="8"/>
  <c r="F85" i="8"/>
  <c r="F41" i="8"/>
  <c r="F47" i="8"/>
  <c r="F59" i="8"/>
  <c r="F109" i="8"/>
  <c r="F43" i="8"/>
  <c r="E133" i="6"/>
  <c r="E134" i="6"/>
  <c r="D133" i="6"/>
  <c r="D134" i="6"/>
  <c r="D135" i="6"/>
  <c r="F51" i="8" l="1"/>
  <c r="E6" i="26"/>
  <c r="N34" i="8"/>
  <c r="N36" i="8"/>
  <c r="I134" i="6"/>
  <c r="I47" i="59"/>
  <c r="F136" i="8"/>
  <c r="I46" i="59"/>
  <c r="F137" i="8"/>
  <c r="I45" i="59"/>
  <c r="F135" i="8"/>
  <c r="I129" i="6"/>
  <c r="M129" i="6"/>
  <c r="E2" i="17"/>
  <c r="E2" i="26"/>
  <c r="AY125" i="50"/>
  <c r="BG123" i="50"/>
  <c r="F37" i="8"/>
  <c r="N56" i="8"/>
  <c r="N67" i="8" s="1"/>
  <c r="F73" i="8"/>
  <c r="I126" i="6"/>
  <c r="M126" i="6"/>
  <c r="J67" i="8"/>
  <c r="J73" i="8" s="1"/>
  <c r="F42" i="8"/>
  <c r="F52" i="8"/>
  <c r="F111" i="8"/>
  <c r="F53" i="8" s="1"/>
  <c r="F63" i="8"/>
  <c r="F71" i="8" l="1"/>
  <c r="N37" i="8"/>
  <c r="AB37" i="8" s="1"/>
  <c r="AF37" i="8" s="1"/>
  <c r="AJ37" i="8" s="1"/>
  <c r="AP37" i="8" s="1"/>
  <c r="AT37" i="8" s="1"/>
  <c r="BG125" i="50"/>
  <c r="BH125" i="50" s="1"/>
  <c r="BH123" i="50"/>
  <c r="I48" i="59"/>
  <c r="I41" i="59"/>
  <c r="F120" i="8"/>
  <c r="I42" i="59"/>
  <c r="F122" i="8"/>
  <c r="F138" i="8"/>
  <c r="AA129" i="6"/>
  <c r="AE129" i="6" s="1"/>
  <c r="AI129" i="6" s="1"/>
  <c r="AO129" i="6" s="1"/>
  <c r="AS129" i="6" s="1"/>
  <c r="AW129" i="6" s="1"/>
  <c r="Q129" i="6"/>
  <c r="U129" i="6" s="1"/>
  <c r="Q126" i="6"/>
  <c r="U126" i="6" s="1"/>
  <c r="R56" i="8"/>
  <c r="V56" i="8" s="1"/>
  <c r="R37" i="8"/>
  <c r="V37" i="8" s="1"/>
  <c r="J37" i="8"/>
  <c r="R67" i="8"/>
  <c r="V67" i="8" s="1"/>
  <c r="V73" i="8" s="1"/>
  <c r="N73" i="8"/>
  <c r="F35" i="8"/>
  <c r="F70" i="8"/>
  <c r="D13" i="36"/>
  <c r="G39" i="59" s="1"/>
  <c r="N35" i="8" l="1"/>
  <c r="I43" i="59"/>
  <c r="BE129" i="6"/>
  <c r="BG129" i="6" s="1"/>
  <c r="F121" i="8"/>
  <c r="F125" i="8" s="1"/>
  <c r="F126" i="8" s="1"/>
  <c r="F123" i="8"/>
  <c r="AX37" i="8"/>
  <c r="R73" i="8"/>
  <c r="E23" i="28"/>
  <c r="E15" i="28"/>
  <c r="E7" i="28"/>
  <c r="I15" i="28" l="1"/>
  <c r="M15" i="28" s="1"/>
  <c r="BF37" i="8"/>
  <c r="BH37" i="8" s="1"/>
  <c r="F131" i="8"/>
  <c r="F144" i="8" s="1"/>
  <c r="F129" i="8"/>
  <c r="F130" i="8"/>
  <c r="F143" i="8" s="1"/>
  <c r="I23" i="28"/>
  <c r="M23" i="28"/>
  <c r="Q23" i="28" s="1"/>
  <c r="Q15" i="28"/>
  <c r="I7" i="28"/>
  <c r="F132" i="8" l="1"/>
  <c r="F145" i="8" s="1"/>
  <c r="F142" i="8"/>
  <c r="AA23" i="28"/>
  <c r="AE23" i="28" s="1"/>
  <c r="AI23" i="28" s="1"/>
  <c r="AO23" i="28" s="1"/>
  <c r="AS23" i="28" s="1"/>
  <c r="U23" i="28"/>
  <c r="AA15" i="28"/>
  <c r="AE15" i="28" s="1"/>
  <c r="AI15" i="28" s="1"/>
  <c r="AO15" i="28" s="1"/>
  <c r="AS15" i="28" s="1"/>
  <c r="U15" i="28"/>
  <c r="AW15" i="28" l="1"/>
  <c r="BE15" i="28" s="1"/>
  <c r="BG15" i="28" s="1"/>
  <c r="AW23" i="28"/>
  <c r="BE23" i="28" s="1"/>
  <c r="BG23" i="28" s="1"/>
  <c r="H10" i="15"/>
  <c r="I10" i="15" l="1"/>
  <c r="V101" i="73" l="1"/>
  <c r="V113" i="73" s="1"/>
  <c r="T101" i="73"/>
  <c r="T113" i="73" s="1"/>
  <c r="Y101" i="73"/>
  <c r="AA101" i="73" s="1"/>
  <c r="Z85" i="26" l="1"/>
  <c r="AD85" i="26" s="1"/>
  <c r="AH85" i="26" s="1"/>
  <c r="AN85" i="26" s="1"/>
  <c r="AR85" i="26" s="1"/>
  <c r="AV85" i="26" s="1"/>
  <c r="BD85" i="26" s="1"/>
  <c r="AA85" i="26"/>
  <c r="AE85" i="26" s="1"/>
  <c r="Z87" i="26"/>
  <c r="AD87" i="26" s="1"/>
  <c r="AH87" i="26" s="1"/>
  <c r="AN87" i="26" s="1"/>
  <c r="AR87" i="26" s="1"/>
  <c r="AV87" i="26" s="1"/>
  <c r="BD87" i="26" s="1"/>
  <c r="Z89" i="26"/>
  <c r="AD89" i="26" s="1"/>
  <c r="AH89" i="26" s="1"/>
  <c r="AN89" i="26" s="1"/>
  <c r="AR89" i="26" s="1"/>
  <c r="AV89" i="26" s="1"/>
  <c r="BD89" i="26" s="1"/>
  <c r="AI85" i="26" l="1"/>
  <c r="AO85" i="26" s="1"/>
  <c r="AS85" i="26" s="1"/>
  <c r="M134" i="6"/>
  <c r="N134" i="6"/>
  <c r="AB134" i="6" s="1"/>
  <c r="AF134" i="6" s="1"/>
  <c r="M117" i="6"/>
  <c r="Q117" i="6" s="1"/>
  <c r="U117" i="6" s="1"/>
  <c r="N117" i="6"/>
  <c r="Y117" i="6"/>
  <c r="Z117" i="6"/>
  <c r="AW85" i="26" l="1"/>
  <c r="BE85" i="26" s="1"/>
  <c r="AJ134" i="6"/>
  <c r="Q134" i="6"/>
  <c r="U134" i="6" s="1"/>
  <c r="AA134" i="6"/>
  <c r="AE134" i="6" s="1"/>
  <c r="AI134" i="6" s="1"/>
  <c r="R117" i="6"/>
  <c r="V117" i="6" s="1"/>
  <c r="AB117" i="6"/>
  <c r="AF117" i="6" s="1"/>
  <c r="AJ117" i="6" s="1"/>
  <c r="AP117" i="6" s="1"/>
  <c r="AT117" i="6" s="1"/>
  <c r="R134" i="6"/>
  <c r="V134" i="6" s="1"/>
  <c r="AA117" i="6"/>
  <c r="AE117" i="6" s="1"/>
  <c r="AI117" i="6" s="1"/>
  <c r="AO117" i="6" s="1"/>
  <c r="AS117" i="6" s="1"/>
  <c r="AX117" i="6" l="1"/>
  <c r="AW117" i="6"/>
  <c r="AO134" i="6"/>
  <c r="AP134" i="6"/>
  <c r="BE117" i="6" l="1"/>
  <c r="BG117" i="6" s="1"/>
  <c r="BF117" i="6"/>
  <c r="BH117" i="6" s="1"/>
  <c r="AT134" i="6"/>
  <c r="AX134" i="6" s="1"/>
  <c r="AS134" i="6"/>
  <c r="AW134" i="6" s="1"/>
  <c r="BF134" i="6" l="1"/>
  <c r="BH134" i="6" s="1"/>
  <c r="BE134" i="6"/>
  <c r="BG134" i="6" s="1"/>
  <c r="E41" i="8"/>
  <c r="BC69" i="36" l="1"/>
  <c r="BC67" i="36"/>
  <c r="BC66" i="36"/>
  <c r="BC29" i="36"/>
  <c r="BC28" i="36"/>
  <c r="BC27" i="36"/>
  <c r="BC23" i="36"/>
  <c r="BC22" i="36"/>
  <c r="BC21" i="36"/>
  <c r="BC16" i="36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B56" i="36"/>
  <c r="BB16" i="36" s="1"/>
  <c r="BA56" i="36"/>
  <c r="BB37" i="36"/>
  <c r="BA37" i="36"/>
  <c r="BA29" i="36"/>
  <c r="BA28" i="36"/>
  <c r="BA27" i="36"/>
  <c r="BA23" i="36"/>
  <c r="BA22" i="36"/>
  <c r="BA21" i="36"/>
  <c r="BA16" i="36"/>
  <c r="BA9" i="36"/>
  <c r="BD10" i="59" s="1"/>
  <c r="BA8" i="36"/>
  <c r="BD9" i="59" s="1"/>
  <c r="BA7" i="36"/>
  <c r="BD8" i="59" s="1"/>
  <c r="BA5" i="36"/>
  <c r="BD53" i="59" l="1"/>
  <c r="BE53" i="59"/>
  <c r="BF67" i="59"/>
  <c r="BE54" i="59"/>
  <c r="BF53" i="59"/>
  <c r="BD67" i="59"/>
  <c r="BD78" i="59"/>
  <c r="AZ7" i="15"/>
  <c r="BF78" i="59"/>
  <c r="BB7" i="15"/>
  <c r="BD77" i="59"/>
  <c r="AZ6" i="15"/>
  <c r="BF77" i="59"/>
  <c r="BB6" i="15"/>
  <c r="BF76" i="59"/>
  <c r="BB5" i="15"/>
  <c r="BD76" i="59"/>
  <c r="AZ5" i="15"/>
  <c r="BF6" i="59"/>
  <c r="BC13" i="49"/>
  <c r="BD6" i="59"/>
  <c r="BA13" i="49"/>
  <c r="BA20" i="49" s="1"/>
  <c r="BA15" i="36" s="1"/>
  <c r="BD52" i="59" s="1"/>
  <c r="BB63" i="36"/>
  <c r="BB69" i="36"/>
  <c r="BB71" i="36" s="1"/>
  <c r="BA68" i="36"/>
  <c r="BC68" i="36"/>
  <c r="BB60" i="36"/>
  <c r="BC20" i="49" l="1"/>
  <c r="BC15" i="36" s="1"/>
  <c r="BF52" i="59" s="1"/>
  <c r="BB18" i="36"/>
  <c r="BB68" i="36"/>
  <c r="BB19" i="36" s="1"/>
  <c r="BE56" i="59" l="1"/>
  <c r="BE55" i="59"/>
  <c r="Q102" i="50"/>
  <c r="BH102" i="50" s="1"/>
  <c r="W102" i="50" l="1"/>
  <c r="W103" i="50" s="1"/>
  <c r="I174" i="73" l="1"/>
  <c r="I175" i="73"/>
  <c r="I178" i="73"/>
  <c r="I159" i="73"/>
  <c r="I161" i="73"/>
  <c r="I162" i="73"/>
  <c r="I165" i="73"/>
  <c r="I170" i="73"/>
  <c r="I118" i="73"/>
  <c r="I119" i="73"/>
  <c r="I120" i="73"/>
  <c r="I123" i="73"/>
  <c r="I121" i="73" s="1"/>
  <c r="I126" i="73"/>
  <c r="I125" i="73" s="1"/>
  <c r="I130" i="73"/>
  <c r="I129" i="73" s="1"/>
  <c r="I131" i="73"/>
  <c r="I26" i="73"/>
  <c r="I27" i="73"/>
  <c r="I28" i="73"/>
  <c r="I29" i="73"/>
  <c r="I31" i="73"/>
  <c r="I32" i="73"/>
  <c r="I42" i="73"/>
  <c r="I44" i="73"/>
  <c r="I45" i="73"/>
  <c r="I47" i="73"/>
  <c r="I48" i="73"/>
  <c r="I106" i="73"/>
  <c r="I58" i="73"/>
  <c r="I98" i="73"/>
  <c r="I99" i="73"/>
  <c r="I112" i="73"/>
  <c r="I103" i="73"/>
  <c r="I109" i="73"/>
  <c r="I110" i="73"/>
  <c r="AE110" i="73" l="1"/>
  <c r="AE99" i="73"/>
  <c r="AE47" i="73"/>
  <c r="AO31" i="73"/>
  <c r="AS31" i="73" s="1"/>
  <c r="AE119" i="73"/>
  <c r="AI119" i="73" s="1"/>
  <c r="AO119" i="73" s="1"/>
  <c r="AS119" i="73" s="1"/>
  <c r="AE106" i="73"/>
  <c r="AO26" i="73"/>
  <c r="AS26" i="73" s="1"/>
  <c r="AE118" i="73"/>
  <c r="AI118" i="73" s="1"/>
  <c r="AO118" i="73" s="1"/>
  <c r="AS118" i="73" s="1"/>
  <c r="AE109" i="73"/>
  <c r="AE98" i="73"/>
  <c r="AE58" i="73"/>
  <c r="AE42" i="73"/>
  <c r="AE120" i="73"/>
  <c r="AI120" i="73" s="1"/>
  <c r="AO120" i="73" s="1"/>
  <c r="AS120" i="73" s="1"/>
  <c r="AE103" i="73"/>
  <c r="AE112" i="73"/>
  <c r="AI98" i="73" l="1"/>
  <c r="AO98" i="73" s="1"/>
  <c r="AS98" i="73" s="1"/>
  <c r="AW98" i="73" s="1"/>
  <c r="AI99" i="73"/>
  <c r="AO99" i="73" s="1"/>
  <c r="AS99" i="73" s="1"/>
  <c r="AW99" i="73" s="1"/>
  <c r="AI58" i="73"/>
  <c r="AO58" i="73" s="1"/>
  <c r="AS58" i="73" s="1"/>
  <c r="AW58" i="73" s="1"/>
  <c r="AI106" i="73"/>
  <c r="AO106" i="73" s="1"/>
  <c r="AS106" i="73" s="1"/>
  <c r="AW106" i="73" s="1"/>
  <c r="AI112" i="73"/>
  <c r="AO112" i="73" s="1"/>
  <c r="AS112" i="73" s="1"/>
  <c r="AW112" i="73" s="1"/>
  <c r="AI103" i="73"/>
  <c r="AO103" i="73" s="1"/>
  <c r="AS103" i="73" s="1"/>
  <c r="AW103" i="73" s="1"/>
  <c r="AI110" i="73"/>
  <c r="AO110" i="73" s="1"/>
  <c r="AS110" i="73" s="1"/>
  <c r="AW110" i="73" s="1"/>
  <c r="AI109" i="73"/>
  <c r="AO109" i="73" s="1"/>
  <c r="AS109" i="73" s="1"/>
  <c r="AW109" i="73" s="1"/>
  <c r="AI47" i="73"/>
  <c r="AO47" i="73" s="1"/>
  <c r="AS47" i="73" s="1"/>
  <c r="AW47" i="73" s="1"/>
  <c r="AI42" i="73"/>
  <c r="AO42" i="73" s="1"/>
  <c r="AS42" i="73" s="1"/>
  <c r="AW42" i="73" s="1"/>
  <c r="AW26" i="73"/>
  <c r="AW120" i="73"/>
  <c r="AW118" i="73"/>
  <c r="AW119" i="73"/>
  <c r="AW31" i="73"/>
  <c r="AE123" i="73"/>
  <c r="AE130" i="73"/>
  <c r="AI130" i="73" s="1"/>
  <c r="AE126" i="73"/>
  <c r="AI126" i="73" s="1"/>
  <c r="AE131" i="73"/>
  <c r="AI131" i="73" s="1"/>
  <c r="BE119" i="73" l="1"/>
  <c r="BE109" i="73"/>
  <c r="BE110" i="73"/>
  <c r="BE103" i="73"/>
  <c r="BE118" i="73"/>
  <c r="BE120" i="73"/>
  <c r="BE106" i="73"/>
  <c r="BE10" i="15" s="1"/>
  <c r="BE31" i="73"/>
  <c r="BE58" i="73"/>
  <c r="BE42" i="73"/>
  <c r="BE99" i="73"/>
  <c r="BE47" i="73"/>
  <c r="BE98" i="73"/>
  <c r="BE112" i="73"/>
  <c r="BE26" i="73"/>
  <c r="AE125" i="73"/>
  <c r="AI125" i="73" s="1"/>
  <c r="AE129" i="73"/>
  <c r="AI129" i="73" s="1"/>
  <c r="AI123" i="73"/>
  <c r="AE121" i="73"/>
  <c r="AO123" i="73" l="1"/>
  <c r="AS123" i="73" s="1"/>
  <c r="AW123" i="73" s="1"/>
  <c r="AI121" i="73"/>
  <c r="AO121" i="73" s="1"/>
  <c r="AO130" i="73"/>
  <c r="AS130" i="73" s="1"/>
  <c r="AW130" i="73" s="1"/>
  <c r="AO129" i="73"/>
  <c r="AO131" i="73"/>
  <c r="AS131" i="73" s="1"/>
  <c r="AO126" i="73"/>
  <c r="AS126" i="73" s="1"/>
  <c r="AW126" i="73" s="1"/>
  <c r="AO125" i="73"/>
  <c r="AW121" i="73" l="1"/>
  <c r="AW129" i="73"/>
  <c r="AW125" i="73"/>
  <c r="AW131" i="73"/>
  <c r="AS125" i="73"/>
  <c r="AS129" i="73"/>
  <c r="AS121" i="73"/>
  <c r="BE131" i="73" l="1"/>
  <c r="BE123" i="73"/>
  <c r="BE121" i="73" s="1"/>
  <c r="BE130" i="73"/>
  <c r="BE129" i="73" s="1"/>
  <c r="BE126" i="73"/>
  <c r="BE125" i="73" s="1"/>
  <c r="M20" i="7" l="1"/>
  <c r="Q20" i="7" l="1"/>
  <c r="U20" i="7" s="1"/>
  <c r="AA20" i="7"/>
  <c r="R20" i="7"/>
  <c r="V20" i="7" l="1"/>
  <c r="AE20" i="7"/>
  <c r="B25" i="15"/>
  <c r="AI20" i="7" l="1"/>
  <c r="D21" i="7"/>
  <c r="AO20" i="7" l="1"/>
  <c r="E49" i="39"/>
  <c r="AS20" i="7" l="1"/>
  <c r="AW20" i="7" s="1"/>
  <c r="BE20" i="7" s="1"/>
  <c r="M49" i="39"/>
  <c r="I49" i="39"/>
  <c r="E51" i="39"/>
  <c r="M51" i="39" l="1"/>
  <c r="Q49" i="39"/>
  <c r="I51" i="39"/>
  <c r="U49" i="39" l="1"/>
  <c r="Q51" i="39"/>
  <c r="BN24" i="21"/>
  <c r="BA41" i="7" l="1"/>
  <c r="BC21" i="7"/>
  <c r="U51" i="39"/>
  <c r="AA49" i="39"/>
  <c r="Y126" i="6"/>
  <c r="AA126" i="6" s="1"/>
  <c r="AE126" i="6" s="1"/>
  <c r="AI126" i="6" s="1"/>
  <c r="BA51" i="7" l="1"/>
  <c r="BC41" i="7"/>
  <c r="BC51" i="7" s="1"/>
  <c r="AE49" i="39"/>
  <c r="AA51" i="39"/>
  <c r="AO126" i="6"/>
  <c r="AS126" i="6" s="1"/>
  <c r="AW126" i="6" s="1"/>
  <c r="BE126" i="6" l="1"/>
  <c r="BG126" i="6" s="1"/>
  <c r="AE51" i="39"/>
  <c r="AI49" i="39"/>
  <c r="AO49" i="39" l="1"/>
  <c r="AI51" i="39"/>
  <c r="AO51" i="39" l="1"/>
  <c r="AS49" i="39"/>
  <c r="AW49" i="39" l="1"/>
  <c r="AS51" i="39"/>
  <c r="AF160" i="10"/>
  <c r="AB160" i="10"/>
  <c r="V54" i="11"/>
  <c r="AB44" i="11"/>
  <c r="AF44" i="11" s="1"/>
  <c r="AJ44" i="11" s="1"/>
  <c r="AF192" i="10" l="1"/>
  <c r="AW51" i="39"/>
  <c r="BE49" i="39"/>
  <c r="AJ57" i="11"/>
  <c r="AB159" i="10"/>
  <c r="AB158" i="10"/>
  <c r="AB210" i="10" s="1"/>
  <c r="AP160" i="10"/>
  <c r="AF184" i="10"/>
  <c r="AF57" i="11"/>
  <c r="AF93" i="11" s="1"/>
  <c r="F39" i="35"/>
  <c r="BF49" i="39" l="1"/>
  <c r="BI49" i="39"/>
  <c r="AB200" i="10"/>
  <c r="BE51" i="39"/>
  <c r="AJ93" i="11"/>
  <c r="AJ85" i="11"/>
  <c r="AF158" i="10"/>
  <c r="AF210" i="10" s="1"/>
  <c r="AF159" i="10"/>
  <c r="AB163" i="10"/>
  <c r="AT160" i="10"/>
  <c r="AF85" i="11"/>
  <c r="AP44" i="11"/>
  <c r="AT44" i="11" s="1"/>
  <c r="AF199" i="10"/>
  <c r="Z97" i="8"/>
  <c r="Z148" i="8" s="1"/>
  <c r="BF51" i="39" l="1"/>
  <c r="BI51" i="39"/>
  <c r="AX44" i="11"/>
  <c r="AT57" i="11"/>
  <c r="AT85" i="11" s="1"/>
  <c r="AP192" i="10"/>
  <c r="AP184" i="10"/>
  <c r="AT184" i="10" s="1"/>
  <c r="AX184" i="10" s="1"/>
  <c r="AP57" i="11"/>
  <c r="AF200" i="10"/>
  <c r="AF178" i="10"/>
  <c r="AI65" i="59" s="1"/>
  <c r="AF191" i="10"/>
  <c r="AF196" i="10"/>
  <c r="Z10" i="52"/>
  <c r="Y10" i="52"/>
  <c r="Z5" i="52"/>
  <c r="Y5" i="52"/>
  <c r="AX57" i="11" l="1"/>
  <c r="AX93" i="11" s="1"/>
  <c r="AF193" i="10"/>
  <c r="AT93" i="11"/>
  <c r="BF44" i="11"/>
  <c r="BF57" i="11" s="1"/>
  <c r="AP159" i="10"/>
  <c r="AP158" i="10"/>
  <c r="AP210" i="10" s="1"/>
  <c r="BF160" i="10"/>
  <c r="AP199" i="10"/>
  <c r="AT192" i="10"/>
  <c r="AP93" i="11"/>
  <c r="AP85" i="11"/>
  <c r="AM65" i="59"/>
  <c r="Y9" i="52"/>
  <c r="Z16" i="52"/>
  <c r="Y16" i="52"/>
  <c r="Z9" i="52"/>
  <c r="BI160" i="10" l="1"/>
  <c r="AX85" i="11"/>
  <c r="AP163" i="10"/>
  <c r="AP191" i="10"/>
  <c r="BF93" i="11"/>
  <c r="BF85" i="11"/>
  <c r="AP200" i="10"/>
  <c r="BF192" i="10"/>
  <c r="BF184" i="10"/>
  <c r="AP178" i="10"/>
  <c r="AS65" i="59" s="1"/>
  <c r="AT158" i="10"/>
  <c r="AT210" i="10" s="1"/>
  <c r="AT159" i="10"/>
  <c r="AP196" i="10"/>
  <c r="AT199" i="10"/>
  <c r="Y17" i="52"/>
  <c r="Z17" i="52"/>
  <c r="AT163" i="10" l="1"/>
  <c r="AP193" i="10"/>
  <c r="AT191" i="10"/>
  <c r="AT178" i="10"/>
  <c r="AW65" i="59" s="1"/>
  <c r="AT196" i="10"/>
  <c r="AT200" i="10"/>
  <c r="AT193" i="10" l="1"/>
  <c r="BF159" i="10"/>
  <c r="BF158" i="10"/>
  <c r="BA65" i="59"/>
  <c r="M60" i="71"/>
  <c r="F59" i="11"/>
  <c r="V44" i="11"/>
  <c r="V57" i="11" s="1"/>
  <c r="BI159" i="10" l="1"/>
  <c r="BI158" i="10"/>
  <c r="BF200" i="10"/>
  <c r="BI200" i="10" s="1"/>
  <c r="BF163" i="10"/>
  <c r="V85" i="11"/>
  <c r="V93" i="11"/>
  <c r="BF191" i="10"/>
  <c r="BF196" i="10"/>
  <c r="BI196" i="10" s="1"/>
  <c r="R159" i="10"/>
  <c r="BF178" i="10"/>
  <c r="N196" i="10"/>
  <c r="R200" i="10" l="1"/>
  <c r="BI65" i="59"/>
  <c r="R160" i="10"/>
  <c r="R158" i="10"/>
  <c r="R210" i="10" s="1"/>
  <c r="BF193" i="10"/>
  <c r="Y186" i="6" l="1"/>
  <c r="Y73" i="11" l="1"/>
  <c r="Y172" i="10"/>
  <c r="AA123" i="45" l="1"/>
  <c r="Z57" i="11"/>
  <c r="AA160" i="45" l="1"/>
  <c r="AA151" i="45"/>
  <c r="Z196" i="10"/>
  <c r="Z39" i="9"/>
  <c r="Z40" i="9"/>
  <c r="Z41" i="9"/>
  <c r="Z42" i="9"/>
  <c r="Y118" i="90" s="1"/>
  <c r="Z43" i="9"/>
  <c r="Z44" i="9"/>
  <c r="Y6" i="7" l="1"/>
  <c r="W115" i="7"/>
  <c r="W114" i="7"/>
  <c r="Y21" i="7" l="1"/>
  <c r="Z116" i="6" l="1"/>
  <c r="Y116" i="6"/>
  <c r="Z112" i="6"/>
  <c r="AB112" i="6" s="1"/>
  <c r="AF112" i="6" s="1"/>
  <c r="AJ112" i="6" s="1"/>
  <c r="AP112" i="6" s="1"/>
  <c r="AT112" i="6" s="1"/>
  <c r="Y112" i="6"/>
  <c r="AA112" i="6" s="1"/>
  <c r="AE112" i="6" s="1"/>
  <c r="AI112" i="6" s="1"/>
  <c r="AO112" i="6" s="1"/>
  <c r="AS112" i="6" s="1"/>
  <c r="Z100" i="6"/>
  <c r="Y100" i="6"/>
  <c r="Z96" i="6"/>
  <c r="AB96" i="6" s="1"/>
  <c r="AF96" i="6" s="1"/>
  <c r="AJ96" i="6" s="1"/>
  <c r="AP96" i="6" s="1"/>
  <c r="AT96" i="6" s="1"/>
  <c r="Z97" i="6"/>
  <c r="Y96" i="6"/>
  <c r="Z138" i="6"/>
  <c r="Z135" i="6"/>
  <c r="Z133" i="6"/>
  <c r="Z132" i="6"/>
  <c r="AX112" i="6" l="1"/>
  <c r="AW112" i="6"/>
  <c r="AX96" i="6"/>
  <c r="Y61" i="6"/>
  <c r="AB23" i="59" s="1"/>
  <c r="AB12" i="59"/>
  <c r="Y60" i="6"/>
  <c r="AB16" i="59" s="1"/>
  <c r="AA96" i="6"/>
  <c r="AE96" i="6" s="1"/>
  <c r="AI96" i="6" s="1"/>
  <c r="AO96" i="6" s="1"/>
  <c r="AS96" i="6" s="1"/>
  <c r="BF96" i="6" l="1"/>
  <c r="BH96" i="6" s="1"/>
  <c r="BE112" i="6"/>
  <c r="BG112" i="6" s="1"/>
  <c r="BF112" i="6"/>
  <c r="BH112" i="6" s="1"/>
  <c r="AW96" i="6"/>
  <c r="Z8" i="6"/>
  <c r="X9" i="15"/>
  <c r="Y9" i="15"/>
  <c r="Y56" i="11"/>
  <c r="Y74" i="11" s="1"/>
  <c r="Z122" i="45"/>
  <c r="BE96" i="6" l="1"/>
  <c r="BG96" i="6" s="1"/>
  <c r="AA139" i="50"/>
  <c r="Y55" i="11"/>
  <c r="Y97" i="11"/>
  <c r="Y18" i="15"/>
  <c r="Z70" i="36"/>
  <c r="Z10" i="6"/>
  <c r="Z125" i="45"/>
  <c r="Z121" i="45"/>
  <c r="N11" i="52" l="1"/>
  <c r="AB11" i="52" s="1"/>
  <c r="AF11" i="52" s="1"/>
  <c r="AJ11" i="52" s="1"/>
  <c r="AP11" i="52" s="1"/>
  <c r="AT11" i="52" s="1"/>
  <c r="AX11" i="52" s="1"/>
  <c r="BF11" i="52" s="1"/>
  <c r="BH10" i="52" s="1"/>
  <c r="M11" i="52"/>
  <c r="AA11" i="52" s="1"/>
  <c r="AE11" i="52" s="1"/>
  <c r="AI11" i="52" s="1"/>
  <c r="AO11" i="52" s="1"/>
  <c r="AS11" i="52" l="1"/>
  <c r="AW11" i="52" s="1"/>
  <c r="BE11" i="52" s="1"/>
  <c r="BG10" i="52" s="1"/>
  <c r="Q11" i="52"/>
  <c r="U11" i="52" s="1"/>
  <c r="R11" i="52"/>
  <c r="V11" i="52" s="1"/>
  <c r="AD42" i="38" l="1"/>
  <c r="AD40" i="38"/>
  <c r="AD34" i="38"/>
  <c r="AD18" i="38"/>
  <c r="AD12" i="38"/>
  <c r="AA158" i="45"/>
  <c r="AA134" i="50" l="1"/>
  <c r="Z57" i="9"/>
  <c r="AD17" i="38"/>
  <c r="AD39" i="38"/>
  <c r="AD15" i="38"/>
  <c r="Z26" i="36" l="1"/>
  <c r="Z62" i="9"/>
  <c r="AD16" i="38"/>
  <c r="AD48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35" i="6"/>
  <c r="Y133" i="6"/>
  <c r="Y132" i="6"/>
  <c r="Y125" i="6"/>
  <c r="Y124" i="6"/>
  <c r="AX14" i="8" l="1"/>
  <c r="BF14" i="8" s="1"/>
  <c r="BH14" i="8" s="1"/>
  <c r="AX15" i="8"/>
  <c r="BF15" i="8" s="1"/>
  <c r="BH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173" i="73"/>
  <c r="Y46" i="73"/>
  <c r="Y41" i="73"/>
  <c r="Y113" i="73" l="1"/>
  <c r="BF36" i="8"/>
  <c r="BH36" i="8" s="1"/>
  <c r="AX34" i="8"/>
  <c r="AX35" i="8"/>
  <c r="Y117" i="73"/>
  <c r="Y171" i="73"/>
  <c r="T7" i="15"/>
  <c r="T6" i="15"/>
  <c r="T5" i="15"/>
  <c r="Z18" i="21"/>
  <c r="BF35" i="8" l="1"/>
  <c r="BH35" i="8" s="1"/>
  <c r="BF34" i="8"/>
  <c r="BH34" i="8" s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5" i="6"/>
  <c r="Q194" i="6"/>
  <c r="Q193" i="6"/>
  <c r="Q186" i="6"/>
  <c r="Q185" i="6"/>
  <c r="Q182" i="6"/>
  <c r="Q181" i="6"/>
  <c r="Q180" i="6"/>
  <c r="Q179" i="6"/>
  <c r="Q178" i="6"/>
  <c r="Q177" i="6"/>
  <c r="Q175" i="6"/>
  <c r="Q174" i="6"/>
  <c r="Q173" i="6"/>
  <c r="Q161" i="6"/>
  <c r="Q160" i="6"/>
  <c r="Q157" i="6"/>
  <c r="Q156" i="6"/>
  <c r="Q155" i="6"/>
  <c r="Q154" i="6"/>
  <c r="Q153" i="6"/>
  <c r="Q152" i="6"/>
  <c r="Q150" i="6"/>
  <c r="Q149" i="6"/>
  <c r="Q148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9" i="10"/>
  <c r="Y203" i="10" s="1"/>
  <c r="Y158" i="10" l="1"/>
  <c r="Y210" i="10" s="1"/>
  <c r="Y173" i="10"/>
  <c r="AX1" i="35"/>
  <c r="BF1" i="35" s="1"/>
  <c r="BE60" i="71"/>
  <c r="BA60" i="71"/>
  <c r="X31" i="17"/>
  <c r="Y61" i="17"/>
  <c r="X28" i="17"/>
  <c r="X22" i="17"/>
  <c r="X18" i="17"/>
  <c r="X16" i="17"/>
  <c r="X14" i="17"/>
  <c r="BC60" i="71" l="1"/>
  <c r="Y25" i="36"/>
  <c r="Z97" i="50"/>
  <c r="Z95" i="50" s="1"/>
  <c r="Z10" i="22"/>
  <c r="Z15" i="22" s="1"/>
  <c r="R15" i="22"/>
  <c r="X29" i="17"/>
  <c r="X32" i="17" s="1"/>
  <c r="Z24" i="22"/>
  <c r="Z26" i="22" s="1"/>
  <c r="Y22" i="17"/>
  <c r="X20" i="17"/>
  <c r="X24" i="17" s="1"/>
  <c r="J62" i="71"/>
  <c r="Y80" i="8"/>
  <c r="Y41" i="7"/>
  <c r="BK60" i="71" l="1"/>
  <c r="BG60" i="71"/>
  <c r="Z12" i="22"/>
  <c r="X61" i="17"/>
  <c r="Y20" i="17"/>
  <c r="M51" i="72" l="1"/>
  <c r="W49" i="72"/>
  <c r="Y2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M38" i="27" l="1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Z14" i="27" l="1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W13" i="27" l="1"/>
  <c r="BE13" i="27" s="1"/>
  <c r="BJ13" i="27" s="1"/>
  <c r="AW15" i="27"/>
  <c r="BE15" i="27" s="1"/>
  <c r="BJ15" i="27" s="1"/>
  <c r="AS38" i="27"/>
  <c r="AW38" i="27" s="1"/>
  <c r="BE38" i="27" s="1"/>
  <c r="BJ38" i="27" s="1"/>
  <c r="AV11" i="27"/>
  <c r="BD11" i="27" s="1"/>
  <c r="AW11" i="27"/>
  <c r="BE11" i="27" s="1"/>
  <c r="BJ11" i="27" s="1"/>
  <c r="AV8" i="27"/>
  <c r="BD8" i="27" s="1"/>
  <c r="AW12" i="27"/>
  <c r="BE12" i="27" s="1"/>
  <c r="BJ12" i="27" s="1"/>
  <c r="AW7" i="27"/>
  <c r="BE7" i="27" s="1"/>
  <c r="BJ7" i="27" s="1"/>
  <c r="AV7" i="27"/>
  <c r="BD7" i="27" s="1"/>
  <c r="AW9" i="27"/>
  <c r="BE9" i="27" s="1"/>
  <c r="BJ9" i="27" s="1"/>
  <c r="AW14" i="27"/>
  <c r="BE14" i="27" s="1"/>
  <c r="BJ14" i="27" s="1"/>
  <c r="AV10" i="27"/>
  <c r="BD10" i="27" s="1"/>
  <c r="AV9" i="27"/>
  <c r="BD9" i="27" s="1"/>
  <c r="AW10" i="27"/>
  <c r="BE10" i="27" s="1"/>
  <c r="BJ10" i="27" s="1"/>
  <c r="AR12" i="27"/>
  <c r="AR38" i="27"/>
  <c r="AV38" i="27" s="1"/>
  <c r="BD38" i="27" s="1"/>
  <c r="BI38" i="27" s="1"/>
  <c r="AW6" i="27"/>
  <c r="BE6" i="27" s="1"/>
  <c r="BJ6" i="27" s="1"/>
  <c r="AW8" i="27"/>
  <c r="BE8" i="27" s="1"/>
  <c r="BJ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G46" i="50"/>
  <c r="BH46" i="50" s="1"/>
  <c r="BG7" i="27" l="1"/>
  <c r="BI7" i="27"/>
  <c r="BG13" i="27"/>
  <c r="BI13" i="27"/>
  <c r="BI8" i="27"/>
  <c r="BG8" i="27"/>
  <c r="BI9" i="27"/>
  <c r="BG9" i="27"/>
  <c r="BG11" i="27"/>
  <c r="BI11" i="27"/>
  <c r="BG10" i="27"/>
  <c r="BI10" i="27"/>
  <c r="AV12" i="27"/>
  <c r="BD12" i="27" s="1"/>
  <c r="AV6" i="27"/>
  <c r="BD6" i="27" s="1"/>
  <c r="AV14" i="27"/>
  <c r="BD14" i="27" s="1"/>
  <c r="AV15" i="27"/>
  <c r="BD15" i="27" s="1"/>
  <c r="G120" i="50"/>
  <c r="E26" i="9"/>
  <c r="F431" i="28"/>
  <c r="BI14" i="27" l="1"/>
  <c r="BG14" i="27"/>
  <c r="J431" i="28"/>
  <c r="N431" i="28" s="1"/>
  <c r="R431" i="28" s="1"/>
  <c r="V431" i="28" s="1"/>
  <c r="BI15" i="27"/>
  <c r="BG15" i="27"/>
  <c r="BG6" i="27"/>
  <c r="BI6" i="27"/>
  <c r="BI12" i="27"/>
  <c r="BG12" i="27"/>
  <c r="O120" i="50"/>
  <c r="K120" i="50"/>
  <c r="F516" i="28"/>
  <c r="AB431" i="28" l="1"/>
  <c r="AF431" i="28" s="1"/>
  <c r="J516" i="28"/>
  <c r="N516" i="28" s="1"/>
  <c r="R516" i="28" s="1"/>
  <c r="V516" i="28" s="1"/>
  <c r="AB516" i="28"/>
  <c r="AF516" i="28" s="1"/>
  <c r="S120" i="50"/>
  <c r="W120" i="50" s="1"/>
  <c r="AC120" i="50"/>
  <c r="AG120" i="50" s="1"/>
  <c r="AK120" i="50" s="1"/>
  <c r="AQ120" i="50" s="1"/>
  <c r="AU120" i="50" s="1"/>
  <c r="AY120" i="50" s="1"/>
  <c r="BG120" i="50" s="1"/>
  <c r="BH120" i="50" s="1"/>
  <c r="K7" i="72"/>
  <c r="M107" i="90" s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M118" i="90" s="1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7" i="59" s="1"/>
  <c r="M38" i="9"/>
  <c r="Q29" i="9"/>
  <c r="U29" i="9" s="1"/>
  <c r="M20" i="9"/>
  <c r="Q20" i="9" s="1"/>
  <c r="U20" i="9" s="1"/>
  <c r="M15" i="9"/>
  <c r="Q15" i="9" s="1"/>
  <c r="U15" i="9" s="1"/>
  <c r="R13" i="38"/>
  <c r="AF13" i="38" s="1"/>
  <c r="AJ13" i="38" s="1"/>
  <c r="AN13" i="38" s="1"/>
  <c r="R19" i="38"/>
  <c r="AF19" i="38" s="1"/>
  <c r="AJ19" i="38" s="1"/>
  <c r="AN19" i="38" s="1"/>
  <c r="R35" i="38"/>
  <c r="AF35" i="38" s="1"/>
  <c r="AJ35" i="38" s="1"/>
  <c r="AN35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41" i="38"/>
  <c r="AF41" i="38" s="1"/>
  <c r="AJ41" i="38" s="1"/>
  <c r="AN41" i="38" s="1"/>
  <c r="R43" i="38"/>
  <c r="AF43" i="38" s="1"/>
  <c r="AJ43" i="38" s="1"/>
  <c r="AN43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29" i="9" l="1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A118" i="90" s="1"/>
  <c r="AF189" i="6"/>
  <c r="AF163" i="6"/>
  <c r="AN10" i="15"/>
  <c r="AR10" i="15" s="1"/>
  <c r="AV10" i="15" s="1"/>
  <c r="AL10" i="15"/>
  <c r="AL13" i="15" s="1"/>
  <c r="AJ431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118" i="90" s="1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G62" i="71"/>
  <c r="AV22" i="15"/>
  <c r="BD22" i="15" s="1"/>
  <c r="BK62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U118" i="90" s="1"/>
  <c r="V58" i="36"/>
  <c r="V10" i="9"/>
  <c r="V56" i="36"/>
  <c r="V25" i="9"/>
  <c r="R36" i="9"/>
  <c r="AF42" i="9"/>
  <c r="AE118" i="90" s="1"/>
  <c r="AT19" i="38"/>
  <c r="AJ189" i="6"/>
  <c r="AT36" i="38"/>
  <c r="AT45" i="38"/>
  <c r="AT37" i="38"/>
  <c r="AT35" i="38"/>
  <c r="AJ163" i="6"/>
  <c r="AT46" i="38"/>
  <c r="AT38" i="38"/>
  <c r="AT43" i="38"/>
  <c r="AT13" i="38"/>
  <c r="AT44" i="38"/>
  <c r="AT41" i="38"/>
  <c r="AJ516" i="28"/>
  <c r="AP431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I118" i="90" s="1"/>
  <c r="AP62" i="9"/>
  <c r="AT62" i="9" s="1"/>
  <c r="V36" i="9"/>
  <c r="V60" i="36"/>
  <c r="AX44" i="38"/>
  <c r="AX43" i="38"/>
  <c r="AX38" i="38"/>
  <c r="AX37" i="38"/>
  <c r="AX35" i="38"/>
  <c r="BB35" i="38" s="1"/>
  <c r="AP163" i="6"/>
  <c r="AX45" i="38"/>
  <c r="AP516" i="28"/>
  <c r="AT431" i="28"/>
  <c r="AX431" i="28" s="1"/>
  <c r="AX41" i="38"/>
  <c r="AX13" i="38"/>
  <c r="AX46" i="38"/>
  <c r="AX19" i="38"/>
  <c r="BB19" i="38" s="1"/>
  <c r="AP189" i="6"/>
  <c r="AX36" i="38"/>
  <c r="R60" i="36"/>
  <c r="M80" i="8"/>
  <c r="E80" i="8"/>
  <c r="M74" i="8"/>
  <c r="M72" i="8"/>
  <c r="M71" i="8"/>
  <c r="E74" i="8"/>
  <c r="E72" i="8"/>
  <c r="E52" i="8"/>
  <c r="H41" i="59" s="1"/>
  <c r="H43" i="59" s="1"/>
  <c r="M45" i="8"/>
  <c r="M44" i="8"/>
  <c r="P47" i="59" s="1"/>
  <c r="M43" i="8"/>
  <c r="P45" i="59" s="1"/>
  <c r="E45" i="8"/>
  <c r="E44" i="8"/>
  <c r="H47" i="59" s="1"/>
  <c r="E43" i="8"/>
  <c r="H45" i="59" s="1"/>
  <c r="E15" i="8"/>
  <c r="E14" i="8"/>
  <c r="E13" i="8"/>
  <c r="M86" i="8"/>
  <c r="E86" i="8"/>
  <c r="M61" i="8"/>
  <c r="N33" i="8"/>
  <c r="N151" i="8" s="1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4" i="7"/>
  <c r="M74" i="7"/>
  <c r="R72" i="7"/>
  <c r="V72" i="7" s="1"/>
  <c r="Q72" i="7"/>
  <c r="U72" i="7" s="1"/>
  <c r="N68" i="7"/>
  <c r="N66" i="7"/>
  <c r="M66" i="7"/>
  <c r="Q66" i="7" s="1"/>
  <c r="U66" i="7" s="1"/>
  <c r="N65" i="7"/>
  <c r="M65" i="7"/>
  <c r="Q65" i="7" s="1"/>
  <c r="U65" i="7" s="1"/>
  <c r="R50" i="7"/>
  <c r="V50" i="7" s="1"/>
  <c r="R48" i="7"/>
  <c r="V48" i="7" s="1"/>
  <c r="R47" i="7"/>
  <c r="V47" i="7" s="1"/>
  <c r="R46" i="7"/>
  <c r="V46" i="7" s="1"/>
  <c r="R45" i="7"/>
  <c r="V45" i="7" s="1"/>
  <c r="R44" i="7"/>
  <c r="V44" i="7" s="1"/>
  <c r="R43" i="7"/>
  <c r="V43" i="7" s="1"/>
  <c r="R42" i="7"/>
  <c r="V42" i="7" s="1"/>
  <c r="M7" i="7"/>
  <c r="AA7" i="7" s="1"/>
  <c r="AE7" i="7" s="1"/>
  <c r="M8" i="7"/>
  <c r="M9" i="7"/>
  <c r="M10" i="7"/>
  <c r="M11" i="7"/>
  <c r="M12" i="7"/>
  <c r="M15" i="7"/>
  <c r="M16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M14" i="8" l="1"/>
  <c r="AA14" i="8" s="1"/>
  <c r="AE14" i="8" s="1"/>
  <c r="M15" i="8"/>
  <c r="AA15" i="8" s="1"/>
  <c r="AE15" i="8" s="1"/>
  <c r="AI15" i="8" s="1"/>
  <c r="AO15" i="8" s="1"/>
  <c r="AS15" i="8" s="1"/>
  <c r="M157" i="7"/>
  <c r="M161" i="7"/>
  <c r="AI7" i="7"/>
  <c r="AO7" i="7" s="1"/>
  <c r="AS7" i="7" s="1"/>
  <c r="AW7" i="7" s="1"/>
  <c r="BB36" i="38"/>
  <c r="BB37" i="38"/>
  <c r="BB43" i="38"/>
  <c r="BB13" i="38"/>
  <c r="BB45" i="38"/>
  <c r="BB38" i="38"/>
  <c r="BB44" i="38"/>
  <c r="BB41" i="38"/>
  <c r="BB46" i="38"/>
  <c r="AX62" i="9"/>
  <c r="BF62" i="9" s="1"/>
  <c r="BJ35" i="38"/>
  <c r="AX163" i="6"/>
  <c r="BJ19" i="38"/>
  <c r="AX189" i="6"/>
  <c r="AI14" i="8"/>
  <c r="AO14" i="8" s="1"/>
  <c r="AS14" i="8" s="1"/>
  <c r="U67" i="7"/>
  <c r="H44" i="59"/>
  <c r="H48" i="59"/>
  <c r="H50" i="59"/>
  <c r="Q61" i="8"/>
  <c r="U61" i="8" s="1"/>
  <c r="BD164" i="6"/>
  <c r="BD190" i="6"/>
  <c r="AP42" i="9"/>
  <c r="AO118" i="90" s="1"/>
  <c r="BB164" i="6"/>
  <c r="BB190" i="6"/>
  <c r="AT516" i="28"/>
  <c r="AT189" i="6"/>
  <c r="AT163" i="6"/>
  <c r="Q8" i="8"/>
  <c r="U8" i="8" s="1"/>
  <c r="Q74" i="7"/>
  <c r="U74" i="7" s="1"/>
  <c r="U75" i="7" s="1"/>
  <c r="R74" i="7"/>
  <c r="V74" i="7" s="1"/>
  <c r="V75" i="7" s="1"/>
  <c r="R6" i="7"/>
  <c r="Q8" i="7"/>
  <c r="U8" i="7" s="1"/>
  <c r="AA8" i="7"/>
  <c r="AE8" i="7" s="1"/>
  <c r="AI8" i="7" s="1"/>
  <c r="R68" i="7"/>
  <c r="V68" i="7" s="1"/>
  <c r="AA19" i="7"/>
  <c r="Q16" i="7"/>
  <c r="U16" i="7" s="1"/>
  <c r="AA16" i="7"/>
  <c r="AE16" i="7" s="1"/>
  <c r="Q12" i="7"/>
  <c r="U12" i="7" s="1"/>
  <c r="AA12" i="7"/>
  <c r="AE12" i="7" s="1"/>
  <c r="R66" i="7"/>
  <c r="V66" i="7" s="1"/>
  <c r="Q15" i="7"/>
  <c r="U15" i="7" s="1"/>
  <c r="AA15" i="7"/>
  <c r="AE15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AA9" i="7"/>
  <c r="AA161" i="7" s="1"/>
  <c r="R65" i="7"/>
  <c r="V65" i="7" s="1"/>
  <c r="R16" i="7"/>
  <c r="R12" i="7"/>
  <c r="R8" i="7"/>
  <c r="V19" i="7"/>
  <c r="R15" i="7"/>
  <c r="R11" i="7"/>
  <c r="R9" i="7"/>
  <c r="R10" i="7"/>
  <c r="N108" i="8"/>
  <c r="N109" i="8" s="1"/>
  <c r="Q33" i="8"/>
  <c r="U33" i="8" s="1"/>
  <c r="M11" i="49"/>
  <c r="Q11" i="49" s="1"/>
  <c r="U11" i="49" s="1"/>
  <c r="R7" i="7"/>
  <c r="N21" i="7"/>
  <c r="Q7" i="7"/>
  <c r="U7" i="7" s="1"/>
  <c r="M21" i="7"/>
  <c r="N86" i="8"/>
  <c r="R84" i="8"/>
  <c r="V84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7" i="7"/>
  <c r="Q15" i="8"/>
  <c r="U15" i="8" s="1"/>
  <c r="M13" i="8"/>
  <c r="M75" i="7"/>
  <c r="N75" i="7"/>
  <c r="N67" i="7"/>
  <c r="M67" i="7"/>
  <c r="U32" i="7" l="1"/>
  <c r="U96" i="7" s="1"/>
  <c r="U27" i="7"/>
  <c r="U91" i="7" s="1"/>
  <c r="U23" i="7"/>
  <c r="U87" i="7" s="1"/>
  <c r="U35" i="7"/>
  <c r="U99" i="7" s="1"/>
  <c r="U31" i="7"/>
  <c r="U95" i="7" s="1"/>
  <c r="U34" i="7"/>
  <c r="U98" i="7" s="1"/>
  <c r="U29" i="7"/>
  <c r="U93" i="7" s="1"/>
  <c r="U25" i="7"/>
  <c r="U37" i="7"/>
  <c r="U101" i="7" s="1"/>
  <c r="U33" i="7"/>
  <c r="U97" i="7" s="1"/>
  <c r="U28" i="7"/>
  <c r="U92" i="7" s="1"/>
  <c r="U24" i="7"/>
  <c r="U61" i="7"/>
  <c r="U103" i="7" s="1"/>
  <c r="N62" i="7"/>
  <c r="N61" i="7"/>
  <c r="N103" i="7" s="1"/>
  <c r="N60" i="7"/>
  <c r="N59" i="7"/>
  <c r="N58" i="7"/>
  <c r="N57" i="7"/>
  <c r="N56" i="7"/>
  <c r="N102" i="7" s="1"/>
  <c r="N55" i="7"/>
  <c r="N54" i="7"/>
  <c r="N35" i="7"/>
  <c r="N99" i="7" s="1"/>
  <c r="N36" i="7"/>
  <c r="N100" i="7" s="1"/>
  <c r="N34" i="7"/>
  <c r="N98" i="7" s="1"/>
  <c r="N37" i="7"/>
  <c r="N101" i="7" s="1"/>
  <c r="N24" i="7"/>
  <c r="N31" i="7"/>
  <c r="N95" i="7" s="1"/>
  <c r="N29" i="7"/>
  <c r="N93" i="7" s="1"/>
  <c r="N33" i="7"/>
  <c r="N97" i="7" s="1"/>
  <c r="N26" i="7"/>
  <c r="N90" i="7" s="1"/>
  <c r="Q32" i="59" s="1"/>
  <c r="N25" i="7"/>
  <c r="N89" i="7" s="1"/>
  <c r="N27" i="7"/>
  <c r="N91" i="7" s="1"/>
  <c r="N28" i="7"/>
  <c r="N92" i="7" s="1"/>
  <c r="N32" i="7"/>
  <c r="N96" i="7" s="1"/>
  <c r="Q35" i="7"/>
  <c r="Q99" i="7" s="1"/>
  <c r="Q31" i="7"/>
  <c r="Q95" i="7" s="1"/>
  <c r="Q26" i="7"/>
  <c r="Q34" i="7"/>
  <c r="Q98" i="7" s="1"/>
  <c r="Q29" i="7"/>
  <c r="Q93" i="7" s="1"/>
  <c r="Q25" i="7"/>
  <c r="Q37" i="7"/>
  <c r="Q101" i="7" s="1"/>
  <c r="Q33" i="7"/>
  <c r="Q97" i="7" s="1"/>
  <c r="Q28" i="7"/>
  <c r="Q92" i="7" s="1"/>
  <c r="Q24" i="7"/>
  <c r="Q36" i="7"/>
  <c r="Q100" i="7" s="1"/>
  <c r="Q32" i="7"/>
  <c r="Q96" i="7" s="1"/>
  <c r="Q27" i="7"/>
  <c r="Q91" i="7" s="1"/>
  <c r="Q23" i="7"/>
  <c r="Q87" i="7" s="1"/>
  <c r="Q61" i="7"/>
  <c r="Q103" i="7" s="1"/>
  <c r="M34" i="7"/>
  <c r="M98" i="7" s="1"/>
  <c r="M29" i="7"/>
  <c r="M93" i="7" s="1"/>
  <c r="M25" i="7"/>
  <c r="M37" i="7"/>
  <c r="M101" i="7" s="1"/>
  <c r="M33" i="7"/>
  <c r="M97" i="7" s="1"/>
  <c r="M28" i="7"/>
  <c r="M92" i="7" s="1"/>
  <c r="M24" i="7"/>
  <c r="M36" i="7"/>
  <c r="M100" i="7" s="1"/>
  <c r="M32" i="7"/>
  <c r="M96" i="7" s="1"/>
  <c r="M27" i="7"/>
  <c r="M91" i="7" s="1"/>
  <c r="M23" i="7"/>
  <c r="M87" i="7" s="1"/>
  <c r="M35" i="7"/>
  <c r="M99" i="7" s="1"/>
  <c r="M31" i="7"/>
  <c r="M95" i="7" s="1"/>
  <c r="M26" i="7"/>
  <c r="M62" i="7"/>
  <c r="M61" i="7"/>
  <c r="M103" i="7" s="1"/>
  <c r="M60" i="7"/>
  <c r="M59" i="7"/>
  <c r="M58" i="7"/>
  <c r="M57" i="7"/>
  <c r="M56" i="7"/>
  <c r="M102" i="7" s="1"/>
  <c r="M55" i="7"/>
  <c r="M54" i="7"/>
  <c r="N23" i="7"/>
  <c r="N87" i="7" s="1"/>
  <c r="V15" i="7"/>
  <c r="V16" i="7"/>
  <c r="V12" i="7"/>
  <c r="V11" i="7"/>
  <c r="V10" i="7"/>
  <c r="V7" i="7"/>
  <c r="V6" i="7"/>
  <c r="R161" i="7"/>
  <c r="V8" i="7"/>
  <c r="BF163" i="6"/>
  <c r="BF189" i="6"/>
  <c r="V9" i="7"/>
  <c r="R157" i="7"/>
  <c r="AE9" i="7"/>
  <c r="AA157" i="7"/>
  <c r="U9" i="7"/>
  <c r="U26" i="7" s="1"/>
  <c r="BE7" i="7"/>
  <c r="AI12" i="7"/>
  <c r="AO12" i="7" s="1"/>
  <c r="AS12" i="7" s="1"/>
  <c r="AW12" i="7" s="1"/>
  <c r="AI10" i="7"/>
  <c r="AO10" i="7" s="1"/>
  <c r="AS10" i="7" s="1"/>
  <c r="AW10" i="7" s="1"/>
  <c r="AI9" i="7"/>
  <c r="AI161" i="7" s="1"/>
  <c r="AI11" i="7"/>
  <c r="AO11" i="7" s="1"/>
  <c r="AS11" i="7" s="1"/>
  <c r="AW11" i="7" s="1"/>
  <c r="AI16" i="7"/>
  <c r="AO16" i="7" s="1"/>
  <c r="AS16" i="7" s="1"/>
  <c r="AW16" i="7" s="1"/>
  <c r="AI15" i="7"/>
  <c r="AO15" i="7" s="1"/>
  <c r="AS15" i="7" s="1"/>
  <c r="AW15" i="7" s="1"/>
  <c r="BJ38" i="38"/>
  <c r="BJ43" i="38"/>
  <c r="BJ13" i="38"/>
  <c r="BJ41" i="38"/>
  <c r="BJ37" i="38"/>
  <c r="BJ45" i="38"/>
  <c r="BJ46" i="38"/>
  <c r="BJ44" i="38"/>
  <c r="BJ36" i="38"/>
  <c r="AW14" i="8"/>
  <c r="BE14" i="8" s="1"/>
  <c r="BG14" i="8" s="1"/>
  <c r="AW15" i="8"/>
  <c r="BE15" i="8" s="1"/>
  <c r="BG15" i="8" s="1"/>
  <c r="V67" i="7"/>
  <c r="U76" i="7"/>
  <c r="U81" i="7"/>
  <c r="X28" i="59" s="1"/>
  <c r="U18" i="8"/>
  <c r="T8" i="15" s="1"/>
  <c r="P8" i="15"/>
  <c r="V25" i="8"/>
  <c r="V23" i="8"/>
  <c r="V18" i="8"/>
  <c r="U8" i="15" s="1"/>
  <c r="Q8" i="15"/>
  <c r="V108" i="8"/>
  <c r="V109" i="8" s="1"/>
  <c r="V24" i="8"/>
  <c r="V144" i="7"/>
  <c r="V146" i="7" s="1"/>
  <c r="V147" i="7" s="1"/>
  <c r="U19" i="7"/>
  <c r="U36" i="7" s="1"/>
  <c r="U100" i="7" s="1"/>
  <c r="V21" i="7"/>
  <c r="V138" i="7"/>
  <c r="V140" i="7" s="1"/>
  <c r="V141" i="7" s="1"/>
  <c r="AE19" i="7"/>
  <c r="R75" i="7"/>
  <c r="R67" i="7"/>
  <c r="AT42" i="9"/>
  <c r="AS118" i="90" s="1"/>
  <c r="AX516" i="28"/>
  <c r="BF431" i="28"/>
  <c r="Q75" i="7"/>
  <c r="AO6" i="7"/>
  <c r="AO8" i="7"/>
  <c r="AS8" i="7" s="1"/>
  <c r="AW8" i="7" s="1"/>
  <c r="Q13" i="8"/>
  <c r="U13" i="8" s="1"/>
  <c r="U16" i="8" s="1"/>
  <c r="N110" i="8"/>
  <c r="N111" i="8" s="1"/>
  <c r="R21" i="7"/>
  <c r="N52" i="8"/>
  <c r="R108" i="8"/>
  <c r="R110" i="8" s="1"/>
  <c r="R26" i="8"/>
  <c r="Q21" i="7"/>
  <c r="R86" i="8"/>
  <c r="V86" i="8" s="1"/>
  <c r="N76" i="7"/>
  <c r="Q81" i="7"/>
  <c r="Q76" i="7"/>
  <c r="N78" i="7"/>
  <c r="M76" i="7"/>
  <c r="N69" i="7"/>
  <c r="N81" i="7"/>
  <c r="M81" i="7"/>
  <c r="V24" i="7" l="1"/>
  <c r="V28" i="7"/>
  <c r="V92" i="7" s="1"/>
  <c r="M89" i="7"/>
  <c r="V33" i="7"/>
  <c r="V97" i="7" s="1"/>
  <c r="M88" i="7"/>
  <c r="R62" i="7"/>
  <c r="R61" i="7"/>
  <c r="R103" i="7" s="1"/>
  <c r="R60" i="7"/>
  <c r="R59" i="7"/>
  <c r="R58" i="7"/>
  <c r="R57" i="7"/>
  <c r="R56" i="7"/>
  <c r="R102" i="7" s="1"/>
  <c r="R55" i="7"/>
  <c r="R54" i="7"/>
  <c r="R36" i="7"/>
  <c r="R100" i="7" s="1"/>
  <c r="R35" i="7"/>
  <c r="R99" i="7" s="1"/>
  <c r="R34" i="7"/>
  <c r="R98" i="7" s="1"/>
  <c r="R31" i="7"/>
  <c r="R95" i="7" s="1"/>
  <c r="U34" i="59" s="1"/>
  <c r="R37" i="7"/>
  <c r="R101" i="7" s="1"/>
  <c r="R25" i="7"/>
  <c r="R23" i="7"/>
  <c r="R87" i="7" s="1"/>
  <c r="R27" i="7"/>
  <c r="R91" i="7" s="1"/>
  <c r="R29" i="7"/>
  <c r="R93" i="7" s="1"/>
  <c r="U33" i="59" s="1"/>
  <c r="R32" i="7"/>
  <c r="R96" i="7" s="1"/>
  <c r="M90" i="7"/>
  <c r="P32" i="59" s="1"/>
  <c r="V62" i="7"/>
  <c r="V61" i="7"/>
  <c r="V103" i="7" s="1"/>
  <c r="V60" i="7"/>
  <c r="V59" i="7"/>
  <c r="V58" i="7"/>
  <c r="V57" i="7"/>
  <c r="V56" i="7"/>
  <c r="V102" i="7" s="1"/>
  <c r="V55" i="7"/>
  <c r="V54" i="7"/>
  <c r="V88" i="7" s="1"/>
  <c r="V35" i="7"/>
  <c r="V99" i="7" s="1"/>
  <c r="V34" i="7"/>
  <c r="V98" i="7" s="1"/>
  <c r="V31" i="7"/>
  <c r="V95" i="7" s="1"/>
  <c r="V37" i="7"/>
  <c r="V101" i="7" s="1"/>
  <c r="V26" i="7"/>
  <c r="V90" i="7" s="1"/>
  <c r="Y32" i="59" s="1"/>
  <c r="V25" i="7"/>
  <c r="V23" i="7"/>
  <c r="V87" i="7" s="1"/>
  <c r="Y29" i="59" s="1"/>
  <c r="V27" i="7"/>
  <c r="V91" i="7" s="1"/>
  <c r="V29" i="7"/>
  <c r="V93" i="7" s="1"/>
  <c r="Y33" i="59" s="1"/>
  <c r="V32" i="7"/>
  <c r="V96" i="7" s="1"/>
  <c r="V36" i="7"/>
  <c r="V100" i="7" s="1"/>
  <c r="R26" i="7"/>
  <c r="R90" i="7" s="1"/>
  <c r="U32" i="59" s="1"/>
  <c r="R24" i="7"/>
  <c r="R88" i="7" s="1"/>
  <c r="R28" i="7"/>
  <c r="R92" i="7" s="1"/>
  <c r="R33" i="7"/>
  <c r="R97" i="7" s="1"/>
  <c r="N88" i="7"/>
  <c r="Q41" i="59"/>
  <c r="N120" i="8"/>
  <c r="BF516" i="28"/>
  <c r="BH516" i="28" s="1"/>
  <c r="BH431" i="28"/>
  <c r="V157" i="7"/>
  <c r="V161" i="7"/>
  <c r="AE157" i="7"/>
  <c r="AE161" i="7"/>
  <c r="AO9" i="7"/>
  <c r="AO161" i="7" s="1"/>
  <c r="AI157" i="7"/>
  <c r="Q33" i="59"/>
  <c r="Q34" i="59"/>
  <c r="R81" i="7"/>
  <c r="R69" i="7"/>
  <c r="AE21" i="7"/>
  <c r="AI19" i="7"/>
  <c r="AI21" i="7" s="1"/>
  <c r="U21" i="7"/>
  <c r="AX42" i="9"/>
  <c r="AW118" i="90" s="1"/>
  <c r="V76" i="7"/>
  <c r="V81" i="7"/>
  <c r="Y28" i="59" s="1"/>
  <c r="V78" i="7"/>
  <c r="Y34" i="59"/>
  <c r="R76" i="7"/>
  <c r="V69" i="7"/>
  <c r="V123" i="7"/>
  <c r="V124" i="7" s="1"/>
  <c r="V52" i="8"/>
  <c r="V110" i="8"/>
  <c r="V111" i="8" s="1"/>
  <c r="V53" i="8" s="1"/>
  <c r="V26" i="8"/>
  <c r="R78" i="7"/>
  <c r="Q16" i="8"/>
  <c r="BE8" i="7"/>
  <c r="AS6" i="7"/>
  <c r="AW6" i="7" s="1"/>
  <c r="R109" i="8"/>
  <c r="R111" i="8" s="1"/>
  <c r="N53" i="8"/>
  <c r="N38" i="7"/>
  <c r="R89" i="7" l="1"/>
  <c r="V89" i="7"/>
  <c r="N53" i="7"/>
  <c r="N77" i="7" s="1"/>
  <c r="Q42" i="59"/>
  <c r="Q43" i="59" s="1"/>
  <c r="N122" i="8"/>
  <c r="N121" i="8" s="1"/>
  <c r="N125" i="8" s="1"/>
  <c r="N126" i="8" s="1"/>
  <c r="AS9" i="7"/>
  <c r="AO157" i="7"/>
  <c r="BE11" i="7"/>
  <c r="BE10" i="7"/>
  <c r="BE15" i="7"/>
  <c r="BE12" i="7"/>
  <c r="BE16" i="7"/>
  <c r="Y30" i="59"/>
  <c r="Y31" i="59"/>
  <c r="V125" i="7"/>
  <c r="V126" i="7"/>
  <c r="V127" i="7" s="1"/>
  <c r="V38" i="7"/>
  <c r="R38" i="7"/>
  <c r="R53" i="7" s="1"/>
  <c r="AO19" i="7"/>
  <c r="BF42" i="9"/>
  <c r="Y41" i="59"/>
  <c r="R53" i="8"/>
  <c r="U42" i="59" s="1"/>
  <c r="R52" i="8"/>
  <c r="U41" i="59" s="1"/>
  <c r="N104" i="7"/>
  <c r="N184" i="6"/>
  <c r="N159" i="6"/>
  <c r="N121" i="6"/>
  <c r="N118" i="6"/>
  <c r="M118" i="6"/>
  <c r="N116" i="6"/>
  <c r="M116" i="6"/>
  <c r="N115" i="6"/>
  <c r="M115" i="6"/>
  <c r="N113" i="6"/>
  <c r="R113" i="6" s="1"/>
  <c r="V113" i="6" s="1"/>
  <c r="M113" i="6"/>
  <c r="Q113" i="6" s="1"/>
  <c r="U113" i="6" s="1"/>
  <c r="N110" i="6"/>
  <c r="M110" i="6"/>
  <c r="N109" i="6"/>
  <c r="M109" i="6"/>
  <c r="N108" i="6"/>
  <c r="M108" i="6"/>
  <c r="N105" i="6"/>
  <c r="N100" i="6"/>
  <c r="M100" i="6"/>
  <c r="N99" i="6"/>
  <c r="M99" i="6"/>
  <c r="N97" i="6"/>
  <c r="R97" i="6" s="1"/>
  <c r="V97" i="6" s="1"/>
  <c r="M97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53" i="7" l="1"/>
  <c r="V77" i="7" s="1"/>
  <c r="N131" i="8"/>
  <c r="N130" i="8"/>
  <c r="N129" i="8"/>
  <c r="N123" i="8"/>
  <c r="AW9" i="7"/>
  <c r="AW161" i="7" s="1"/>
  <c r="AS161" i="7"/>
  <c r="AS157" i="7"/>
  <c r="R104" i="7"/>
  <c r="V128" i="7"/>
  <c r="V104" i="7"/>
  <c r="AS19" i="7"/>
  <c r="AW19" i="7" s="1"/>
  <c r="BE19" i="7" s="1"/>
  <c r="AO21" i="7"/>
  <c r="U43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15" i="6"/>
  <c r="V115" i="6" s="1"/>
  <c r="R118" i="6"/>
  <c r="V118" i="6" s="1"/>
  <c r="R74" i="6"/>
  <c r="V74" i="6" s="1"/>
  <c r="R116" i="6"/>
  <c r="V116" i="6" s="1"/>
  <c r="AB116" i="6"/>
  <c r="AF116" i="6" s="1"/>
  <c r="AJ116" i="6" s="1"/>
  <c r="AP116" i="6" s="1"/>
  <c r="AT116" i="6" s="1"/>
  <c r="R121" i="6"/>
  <c r="V121" i="6" s="1"/>
  <c r="Y42" i="59"/>
  <c r="Y43" i="59" s="1"/>
  <c r="Q97" i="6"/>
  <c r="U97" i="6" s="1"/>
  <c r="R184" i="6"/>
  <c r="V184" i="6" s="1"/>
  <c r="N161" i="6"/>
  <c r="R159" i="6"/>
  <c r="V159" i="6" s="1"/>
  <c r="R105" i="6"/>
  <c r="V105" i="6" s="1"/>
  <c r="AB97" i="6"/>
  <c r="AF97" i="6" s="1"/>
  <c r="AJ97" i="6" s="1"/>
  <c r="AP97" i="6" s="1"/>
  <c r="AT97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8" i="6"/>
  <c r="V108" i="6" s="1"/>
  <c r="R109" i="6"/>
  <c r="V109" i="6" s="1"/>
  <c r="Q109" i="6"/>
  <c r="U109" i="6" s="1"/>
  <c r="Q110" i="6"/>
  <c r="U110" i="6" s="1"/>
  <c r="Q116" i="6"/>
  <c r="U116" i="6" s="1"/>
  <c r="AA116" i="6"/>
  <c r="AE116" i="6" s="1"/>
  <c r="AI116" i="6" s="1"/>
  <c r="AO116" i="6" s="1"/>
  <c r="AS116" i="6" s="1"/>
  <c r="Q108" i="6"/>
  <c r="U108" i="6" s="1"/>
  <c r="Q118" i="6"/>
  <c r="U118" i="6" s="1"/>
  <c r="Q115" i="6"/>
  <c r="U115" i="6" s="1"/>
  <c r="R110" i="6"/>
  <c r="V110" i="6" s="1"/>
  <c r="R91" i="6"/>
  <c r="V91" i="6" s="1"/>
  <c r="R73" i="6"/>
  <c r="V73" i="6" s="1"/>
  <c r="Q99" i="6"/>
  <c r="U99" i="6" s="1"/>
  <c r="R86" i="6"/>
  <c r="V86" i="6" s="1"/>
  <c r="R92" i="6"/>
  <c r="V92" i="6" s="1"/>
  <c r="R99" i="6"/>
  <c r="V99" i="6" s="1"/>
  <c r="Q91" i="6"/>
  <c r="U91" i="6" s="1"/>
  <c r="Q76" i="6"/>
  <c r="U76" i="6" s="1"/>
  <c r="R87" i="6"/>
  <c r="V87" i="6" s="1"/>
  <c r="Q93" i="6"/>
  <c r="U93" i="6" s="1"/>
  <c r="Q100" i="6"/>
  <c r="U100" i="6" s="1"/>
  <c r="AA100" i="6"/>
  <c r="AE100" i="6" s="1"/>
  <c r="AI100" i="6" s="1"/>
  <c r="AO100" i="6" s="1"/>
  <c r="AS100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100" i="6"/>
  <c r="V100" i="6" s="1"/>
  <c r="AB100" i="6"/>
  <c r="AF100" i="6" s="1"/>
  <c r="AJ100" i="6" s="1"/>
  <c r="AP100" i="6" s="1"/>
  <c r="AT100" i="6" s="1"/>
  <c r="N132" i="8" l="1"/>
  <c r="V63" i="7"/>
  <c r="AW157" i="7"/>
  <c r="BE9" i="7"/>
  <c r="U66" i="6"/>
  <c r="V103" i="6"/>
  <c r="V29" i="6"/>
  <c r="V69" i="6"/>
  <c r="AW21" i="7"/>
  <c r="V32" i="6"/>
  <c r="V119" i="6"/>
  <c r="V66" i="6"/>
  <c r="U69" i="6"/>
  <c r="U119" i="6"/>
  <c r="V26" i="6"/>
  <c r="AX100" i="6"/>
  <c r="AX75" i="6"/>
  <c r="AX116" i="6"/>
  <c r="AW100" i="6"/>
  <c r="AX97" i="6"/>
  <c r="U103" i="6"/>
  <c r="V114" i="6"/>
  <c r="AX73" i="6"/>
  <c r="U114" i="6"/>
  <c r="AW116" i="6"/>
  <c r="AX76" i="6"/>
  <c r="AX74" i="6"/>
  <c r="V77" i="6"/>
  <c r="U77" i="6"/>
  <c r="AS21" i="7"/>
  <c r="R29" i="6"/>
  <c r="R119" i="6"/>
  <c r="Q66" i="6"/>
  <c r="R32" i="6"/>
  <c r="Q69" i="6"/>
  <c r="R26" i="6"/>
  <c r="R69" i="6"/>
  <c r="R66" i="6"/>
  <c r="R161" i="6"/>
  <c r="V161" i="6" s="1"/>
  <c r="Q119" i="6"/>
  <c r="Q114" i="6"/>
  <c r="R77" i="6"/>
  <c r="Q77" i="6"/>
  <c r="R114" i="6"/>
  <c r="R103" i="6"/>
  <c r="Q103" i="6"/>
  <c r="O153" i="45"/>
  <c r="O148" i="45"/>
  <c r="O147" i="45"/>
  <c r="O136" i="45"/>
  <c r="N136" i="45"/>
  <c r="O134" i="45"/>
  <c r="N134" i="45"/>
  <c r="O123" i="45"/>
  <c r="O160" i="45" s="1"/>
  <c r="O8" i="45"/>
  <c r="O171" i="45" s="1"/>
  <c r="O177" i="45" s="1"/>
  <c r="O7" i="45"/>
  <c r="N7" i="45"/>
  <c r="BE161" i="7" l="1"/>
  <c r="BF73" i="6"/>
  <c r="BH73" i="6" s="1"/>
  <c r="BE116" i="6"/>
  <c r="BG116" i="6" s="1"/>
  <c r="BF116" i="6"/>
  <c r="BH116" i="6" s="1"/>
  <c r="BF97" i="6"/>
  <c r="BH97" i="6" s="1"/>
  <c r="BE100" i="6"/>
  <c r="BG100" i="6" s="1"/>
  <c r="BF74" i="6"/>
  <c r="BH74" i="6" s="1"/>
  <c r="BF75" i="6"/>
  <c r="BH75" i="6" s="1"/>
  <c r="BF100" i="6"/>
  <c r="BH100" i="6" s="1"/>
  <c r="BF76" i="6"/>
  <c r="BH76" i="6" s="1"/>
  <c r="BA21" i="7"/>
  <c r="O122" i="45"/>
  <c r="V120" i="6"/>
  <c r="V122" i="6" s="1"/>
  <c r="V171" i="6" s="1"/>
  <c r="U120" i="6"/>
  <c r="U122" i="6" s="1"/>
  <c r="U171" i="6" s="1"/>
  <c r="O138" i="45"/>
  <c r="O125" i="50"/>
  <c r="R120" i="6"/>
  <c r="R122" i="6" s="1"/>
  <c r="R168" i="6" s="1"/>
  <c r="Q120" i="6"/>
  <c r="Q122" i="6" s="1"/>
  <c r="Q171" i="6" s="1"/>
  <c r="N138" i="45"/>
  <c r="U169" i="6" l="1"/>
  <c r="V168" i="6"/>
  <c r="V169" i="6"/>
  <c r="Y22" i="59" s="1"/>
  <c r="U168" i="6"/>
  <c r="BE21" i="7"/>
  <c r="Q168" i="6"/>
  <c r="R171" i="6"/>
  <c r="R169" i="6"/>
  <c r="U22" i="59" s="1"/>
  <c r="Q169" i="6"/>
  <c r="AC123" i="45"/>
  <c r="U170" i="6" l="1"/>
  <c r="V170" i="6"/>
  <c r="V8" i="36" s="1"/>
  <c r="Y9" i="59" s="1"/>
  <c r="Q170" i="6"/>
  <c r="R170" i="6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4" i="59" s="1"/>
  <c r="M72" i="11"/>
  <c r="AB57" i="11"/>
  <c r="N57" i="11"/>
  <c r="N59" i="11"/>
  <c r="N56" i="11"/>
  <c r="N55" i="11"/>
  <c r="N83" i="11"/>
  <c r="N90" i="11" s="1"/>
  <c r="M171" i="10"/>
  <c r="M69" i="11"/>
  <c r="P68" i="59" s="1"/>
  <c r="N170" i="10"/>
  <c r="N182" i="10"/>
  <c r="N189" i="10" s="1"/>
  <c r="N188" i="10"/>
  <c r="N69" i="11"/>
  <c r="Q68" i="59" s="1"/>
  <c r="N71" i="11"/>
  <c r="M71" i="11"/>
  <c r="N89" i="11"/>
  <c r="M170" i="10"/>
  <c r="M168" i="10"/>
  <c r="P64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123" i="90" s="1"/>
  <c r="M125" i="90" s="1"/>
  <c r="M35" i="35"/>
  <c r="L123" i="90" s="1"/>
  <c r="L125" i="90" s="1"/>
  <c r="N34" i="35"/>
  <c r="M34" i="35"/>
  <c r="M32" i="35"/>
  <c r="Q32" i="35" s="1"/>
  <c r="U32" i="35" s="1"/>
  <c r="V122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Q123" i="90" s="1"/>
  <c r="Q125" i="90" s="1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7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Q35" i="35"/>
  <c r="P123" i="90" s="1"/>
  <c r="P125" i="90" s="1"/>
  <c r="V53" i="35"/>
  <c r="V21" i="35" s="1"/>
  <c r="V26" i="9" s="1"/>
  <c r="R21" i="35"/>
  <c r="V121" i="45"/>
  <c r="V125" i="45"/>
  <c r="AF10" i="35"/>
  <c r="AB9" i="6"/>
  <c r="AB35" i="35"/>
  <c r="AA123" i="90" s="1"/>
  <c r="AA125" i="90" s="1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2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E35" i="35" l="1"/>
  <c r="AD123" i="90" s="1"/>
  <c r="AD125" i="90" s="1"/>
  <c r="Z123" i="90"/>
  <c r="Z125" i="90" s="1"/>
  <c r="AJ72" i="36"/>
  <c r="AI58" i="36"/>
  <c r="AI60" i="36" s="1"/>
  <c r="AI64" i="36"/>
  <c r="AI61" i="36"/>
  <c r="AI63" i="36" s="1"/>
  <c r="O70" i="36"/>
  <c r="M97" i="11"/>
  <c r="R12" i="21"/>
  <c r="V12" i="21"/>
  <c r="U7" i="21"/>
  <c r="AE26" i="35"/>
  <c r="AJ17" i="35"/>
  <c r="AF11" i="36"/>
  <c r="AI37" i="59" s="1"/>
  <c r="AF12" i="36"/>
  <c r="AI38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123" i="90" s="1"/>
  <c r="U125" i="90" s="1"/>
  <c r="U35" i="35"/>
  <c r="T123" i="90" s="1"/>
  <c r="T125" i="90" s="1"/>
  <c r="V5" i="9"/>
  <c r="V67" i="36"/>
  <c r="V70" i="36"/>
  <c r="W70" i="36" s="1"/>
  <c r="V72" i="36"/>
  <c r="V69" i="36"/>
  <c r="V16" i="36"/>
  <c r="Y53" i="59" s="1"/>
  <c r="V66" i="36"/>
  <c r="V11" i="36"/>
  <c r="Y37" i="59" s="1"/>
  <c r="V10" i="36"/>
  <c r="V12" i="36"/>
  <c r="Y38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H123" i="90" s="1"/>
  <c r="AH125" i="90" s="1"/>
  <c r="AF9" i="35"/>
  <c r="AF8" i="6" s="1"/>
  <c r="AB8" i="6"/>
  <c r="AJ10" i="35"/>
  <c r="AF9" i="6"/>
  <c r="O139" i="50"/>
  <c r="AF35" i="35"/>
  <c r="AE123" i="90" s="1"/>
  <c r="AE125" i="90" s="1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2" i="45"/>
  <c r="AI32" i="35"/>
  <c r="AJ122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5" i="45"/>
  <c r="N121" i="45"/>
  <c r="N124" i="45"/>
  <c r="M79" i="11"/>
  <c r="P69" i="59" s="1"/>
  <c r="AB122" i="45"/>
  <c r="F26" i="9"/>
  <c r="AE103" i="50" l="1"/>
  <c r="AE104" i="50" s="1"/>
  <c r="AF121" i="45"/>
  <c r="AE55" i="11"/>
  <c r="AP17" i="35"/>
  <c r="AJ11" i="36"/>
  <c r="AM37" i="59" s="1"/>
  <c r="AJ12" i="36"/>
  <c r="AM38" i="59" s="1"/>
  <c r="U36" i="35"/>
  <c r="U48" i="35" s="1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0" i="26" s="1"/>
  <c r="AP72" i="36"/>
  <c r="AI33" i="22"/>
  <c r="AH130" i="26"/>
  <c r="AI130" i="26"/>
  <c r="AJ33" i="22"/>
  <c r="AJ78" i="9"/>
  <c r="AJ77" i="9"/>
  <c r="AJ79" i="9"/>
  <c r="AI97" i="11"/>
  <c r="AI55" i="11"/>
  <c r="T130" i="26"/>
  <c r="U33" i="22"/>
  <c r="U89" i="9"/>
  <c r="Y36" i="59"/>
  <c r="V13" i="36"/>
  <c r="Y39" i="59" s="1"/>
  <c r="V68" i="36"/>
  <c r="U130" i="26"/>
  <c r="V33" i="22"/>
  <c r="V77" i="9"/>
  <c r="V76" i="9"/>
  <c r="V73" i="9"/>
  <c r="V75" i="9"/>
  <c r="V78" i="9"/>
  <c r="V94" i="9"/>
  <c r="Y59" i="59"/>
  <c r="V89" i="9"/>
  <c r="V72" i="9"/>
  <c r="V74" i="9"/>
  <c r="V79" i="9"/>
  <c r="AJ125" i="45"/>
  <c r="AJ121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N123" i="90" s="1"/>
  <c r="AN125" i="90" s="1"/>
  <c r="AP10" i="35"/>
  <c r="AJ9" i="6"/>
  <c r="AC139" i="50"/>
  <c r="AJ35" i="35"/>
  <c r="AI123" i="90" s="1"/>
  <c r="AI125" i="90" s="1"/>
  <c r="AX26" i="35"/>
  <c r="BF24" i="35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7" i="11"/>
  <c r="AF125" i="45"/>
  <c r="AM59" i="59"/>
  <c r="AF33" i="22"/>
  <c r="AE130" i="26"/>
  <c r="AF78" i="9"/>
  <c r="AF79" i="9"/>
  <c r="AI59" i="59"/>
  <c r="AF77" i="9"/>
  <c r="AE33" i="22"/>
  <c r="AD130" i="26"/>
  <c r="AA55" i="11"/>
  <c r="AA97" i="11"/>
  <c r="AB125" i="45"/>
  <c r="AB121" i="45"/>
  <c r="BL42" i="35"/>
  <c r="BL39" i="35"/>
  <c r="BF26" i="35" l="1"/>
  <c r="AO121" i="26"/>
  <c r="AO124" i="26"/>
  <c r="AO116" i="26"/>
  <c r="AO122" i="26"/>
  <c r="AO125" i="26"/>
  <c r="AO126" i="26"/>
  <c r="AO115" i="26"/>
  <c r="AO127" i="26"/>
  <c r="AO117" i="26"/>
  <c r="AO123" i="26"/>
  <c r="AO114" i="26"/>
  <c r="AO120" i="26"/>
  <c r="AO118" i="26"/>
  <c r="AO119" i="26"/>
  <c r="AW18" i="15"/>
  <c r="AT72" i="36"/>
  <c r="AS59" i="59"/>
  <c r="V19" i="36"/>
  <c r="Y56" i="59" s="1"/>
  <c r="AP33" i="22"/>
  <c r="AP12" i="36"/>
  <c r="AS38" i="59" s="1"/>
  <c r="AT17" i="35"/>
  <c r="AX17" i="35" s="1"/>
  <c r="AP11" i="36"/>
  <c r="AS37" i="59" s="1"/>
  <c r="AS103" i="50"/>
  <c r="AS104" i="50" s="1"/>
  <c r="AU100" i="50"/>
  <c r="AU103" i="50" s="1"/>
  <c r="AU104" i="50" s="1"/>
  <c r="AN130" i="26"/>
  <c r="AN119" i="26" s="1"/>
  <c r="AW64" i="36"/>
  <c r="AV18" i="15"/>
  <c r="AW5" i="9"/>
  <c r="AP78" i="9"/>
  <c r="AS64" i="36"/>
  <c r="AW61" i="36"/>
  <c r="AW63" i="36" s="1"/>
  <c r="BE18" i="35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R123" i="90" s="1"/>
  <c r="AR125" i="90" s="1"/>
  <c r="AP9" i="6"/>
  <c r="AT10" i="35"/>
  <c r="AG139" i="50"/>
  <c r="AP35" i="35"/>
  <c r="AO123" i="90" s="1"/>
  <c r="AO125" i="90" s="1"/>
  <c r="AS31" i="35"/>
  <c r="AS56" i="11" s="1"/>
  <c r="AS34" i="35"/>
  <c r="AW100" i="50" s="1"/>
  <c r="AY100" i="50" s="1"/>
  <c r="AY103" i="50" s="1"/>
  <c r="AY104" i="50" s="1"/>
  <c r="AO36" i="35"/>
  <c r="AP122" i="45"/>
  <c r="AP121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BE5" i="9" l="1"/>
  <c r="BD18" i="15"/>
  <c r="AX72" i="36"/>
  <c r="AX5" i="9"/>
  <c r="AX77" i="9" s="1"/>
  <c r="BF18" i="35"/>
  <c r="BE18" i="15" s="1"/>
  <c r="AN117" i="26"/>
  <c r="AN124" i="26"/>
  <c r="AN116" i="26"/>
  <c r="AN122" i="26"/>
  <c r="AN115" i="26"/>
  <c r="AN127" i="26"/>
  <c r="AN125" i="26"/>
  <c r="AN126" i="26"/>
  <c r="AN121" i="26"/>
  <c r="AN120" i="26"/>
  <c r="AN118" i="26"/>
  <c r="AN123" i="26"/>
  <c r="AO128" i="26"/>
  <c r="AN114" i="26"/>
  <c r="AW59" i="59"/>
  <c r="AP125" i="45"/>
  <c r="AT11" i="36"/>
  <c r="AW37" i="59" s="1"/>
  <c r="AT12" i="36"/>
  <c r="AW38" i="59" s="1"/>
  <c r="AW103" i="50"/>
  <c r="AW104" i="50" s="1"/>
  <c r="AW33" i="22"/>
  <c r="AV130" i="26"/>
  <c r="AR130" i="26"/>
  <c r="AR119" i="26" s="1"/>
  <c r="AX78" i="9"/>
  <c r="BA59" i="59"/>
  <c r="AT79" i="9"/>
  <c r="AS130" i="26"/>
  <c r="AS116" i="26" s="1"/>
  <c r="AT78" i="9"/>
  <c r="AT77" i="9"/>
  <c r="AT33" i="22"/>
  <c r="AP11" i="35"/>
  <c r="AP10" i="6" s="1"/>
  <c r="AT9" i="35"/>
  <c r="AT8" i="6" s="1"/>
  <c r="AK139" i="50"/>
  <c r="AW35" i="35"/>
  <c r="AV123" i="90" s="1"/>
  <c r="AV125" i="90" s="1"/>
  <c r="AX10" i="35"/>
  <c r="AX9" i="6" s="1"/>
  <c r="AT9" i="6"/>
  <c r="BE33" i="22"/>
  <c r="BD130" i="26"/>
  <c r="AT35" i="35"/>
  <c r="AS123" i="90" s="1"/>
  <c r="AS125" i="90" s="1"/>
  <c r="AS55" i="11"/>
  <c r="AS97" i="11"/>
  <c r="AW31" i="35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AR9" i="15"/>
  <c r="AW28" i="35"/>
  <c r="AV9" i="15" s="1"/>
  <c r="AT122" i="45"/>
  <c r="AT121" i="45" s="1"/>
  <c r="AW32" i="35"/>
  <c r="AO97" i="11"/>
  <c r="AO55" i="11"/>
  <c r="BN49" i="35"/>
  <c r="BL55" i="35" s="1"/>
  <c r="BJ55" i="35"/>
  <c r="BK55" i="35"/>
  <c r="BM55" i="35"/>
  <c r="AX79" i="9" l="1"/>
  <c r="AX33" i="22"/>
  <c r="BF5" i="9"/>
  <c r="BF78" i="9" s="1"/>
  <c r="BD121" i="26"/>
  <c r="BD120" i="26"/>
  <c r="BD114" i="26"/>
  <c r="BD124" i="26"/>
  <c r="BD116" i="26"/>
  <c r="BD127" i="26"/>
  <c r="BD117" i="26"/>
  <c r="BD122" i="26"/>
  <c r="BD123" i="26"/>
  <c r="BD125" i="26"/>
  <c r="BD119" i="26"/>
  <c r="BD126" i="26"/>
  <c r="BD118" i="26"/>
  <c r="BD115" i="26"/>
  <c r="BA103" i="50"/>
  <c r="BF33" i="22"/>
  <c r="AV119" i="26"/>
  <c r="AW130" i="26"/>
  <c r="AW116" i="26" s="1"/>
  <c r="BF79" i="9"/>
  <c r="AR122" i="26"/>
  <c r="AV122" i="26" s="1"/>
  <c r="AS120" i="26"/>
  <c r="AR117" i="26"/>
  <c r="AV117" i="26" s="1"/>
  <c r="AR120" i="26"/>
  <c r="AV120" i="26" s="1"/>
  <c r="AR127" i="26"/>
  <c r="AV127" i="26" s="1"/>
  <c r="AS121" i="26"/>
  <c r="AR121" i="26"/>
  <c r="AV121" i="26" s="1"/>
  <c r="AR124" i="26"/>
  <c r="AV124" i="26" s="1"/>
  <c r="AS122" i="26"/>
  <c r="AS127" i="26"/>
  <c r="AS124" i="26"/>
  <c r="AS117" i="26"/>
  <c r="AR114" i="26"/>
  <c r="AV114" i="26" s="1"/>
  <c r="AN128" i="26"/>
  <c r="AS119" i="26"/>
  <c r="AS126" i="26"/>
  <c r="AS118" i="26"/>
  <c r="AS125" i="26"/>
  <c r="AR125" i="26"/>
  <c r="AV125" i="26" s="1"/>
  <c r="AS114" i="26"/>
  <c r="AS115" i="26"/>
  <c r="AR115" i="26"/>
  <c r="AV115" i="26" s="1"/>
  <c r="AS123" i="26"/>
  <c r="AR123" i="26"/>
  <c r="AV123" i="26" s="1"/>
  <c r="AR126" i="26"/>
  <c r="AV126" i="26" s="1"/>
  <c r="AR116" i="26"/>
  <c r="AV116" i="26" s="1"/>
  <c r="AR118" i="26"/>
  <c r="AV118" i="26" s="1"/>
  <c r="AT125" i="45"/>
  <c r="BF17" i="35"/>
  <c r="AX11" i="36"/>
  <c r="BA37" i="59" s="1"/>
  <c r="AX12" i="36"/>
  <c r="BA38" i="59" s="1"/>
  <c r="BG100" i="50"/>
  <c r="BG103" i="50" s="1"/>
  <c r="BG104" i="50" s="1"/>
  <c r="AW56" i="11"/>
  <c r="BE32" i="35"/>
  <c r="BF122" i="45" s="1"/>
  <c r="AX122" i="45"/>
  <c r="AX121" i="45" s="1"/>
  <c r="AX9" i="35"/>
  <c r="AX8" i="6" s="1"/>
  <c r="AT11" i="35"/>
  <c r="AT10" i="6" s="1"/>
  <c r="BE35" i="35"/>
  <c r="BD123" i="90" s="1"/>
  <c r="BD125" i="90" s="1"/>
  <c r="BF10" i="35"/>
  <c r="BF9" i="6" s="1"/>
  <c r="BH9" i="6" s="1"/>
  <c r="BF28" i="35"/>
  <c r="AX35" i="35"/>
  <c r="AW123" i="90" s="1"/>
  <c r="AW125" i="90" s="1"/>
  <c r="AX21" i="35"/>
  <c r="AX26" i="9" s="1"/>
  <c r="BF53" i="35"/>
  <c r="BF21" i="35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E130" i="26" l="1"/>
  <c r="BI59" i="59"/>
  <c r="BF77" i="9"/>
  <c r="BF26" i="9"/>
  <c r="BE9" i="15"/>
  <c r="AW127" i="26"/>
  <c r="BE139" i="26"/>
  <c r="BE127" i="26"/>
  <c r="BE121" i="26"/>
  <c r="BE126" i="26"/>
  <c r="BE116" i="26"/>
  <c r="BE119" i="26"/>
  <c r="BE114" i="26"/>
  <c r="BE124" i="26"/>
  <c r="BE123" i="26"/>
  <c r="BE118" i="26"/>
  <c r="BE117" i="26"/>
  <c r="BE120" i="26"/>
  <c r="BE122" i="26"/>
  <c r="BE125" i="26"/>
  <c r="BE115" i="26"/>
  <c r="BF121" i="45"/>
  <c r="BD128" i="26"/>
  <c r="AW123" i="26"/>
  <c r="AW124" i="26"/>
  <c r="AW115" i="26"/>
  <c r="AW125" i="26"/>
  <c r="AW118" i="26"/>
  <c r="AW126" i="26"/>
  <c r="AW120" i="26"/>
  <c r="AW121" i="26"/>
  <c r="AW119" i="26"/>
  <c r="AW117" i="26"/>
  <c r="BA104" i="50"/>
  <c r="AW122" i="26"/>
  <c r="AV128" i="26"/>
  <c r="AW114" i="26"/>
  <c r="AS128" i="26"/>
  <c r="AR128" i="26"/>
  <c r="BF9" i="35"/>
  <c r="BF11" i="35" s="1"/>
  <c r="BF10" i="6" s="1"/>
  <c r="BH10" i="6" s="1"/>
  <c r="AW55" i="11"/>
  <c r="BE55" i="11" s="1"/>
  <c r="BF125" i="45"/>
  <c r="AW97" i="11"/>
  <c r="BF12" i="36"/>
  <c r="BI38" i="59" s="1"/>
  <c r="BF11" i="36"/>
  <c r="BI37" i="59" s="1"/>
  <c r="AX11" i="35"/>
  <c r="AX10" i="6" s="1"/>
  <c r="BE56" i="11"/>
  <c r="AX125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E128" i="26" l="1"/>
  <c r="AW128" i="26"/>
  <c r="BF8" i="6"/>
  <c r="BH8" i="6" s="1"/>
  <c r="BE97" i="11"/>
  <c r="H22" i="15"/>
  <c r="I73" i="17" l="1"/>
  <c r="Q73" i="17" s="1"/>
  <c r="U73" i="17" s="1"/>
  <c r="I74" i="17"/>
  <c r="Q74" i="17" s="1"/>
  <c r="U74" i="17" s="1"/>
  <c r="I75" i="17"/>
  <c r="Q75" i="17" s="1"/>
  <c r="U75" i="17" s="1"/>
  <c r="I76" i="17"/>
  <c r="Q76" i="17" s="1"/>
  <c r="U76" i="17" s="1"/>
  <c r="I77" i="17"/>
  <c r="Q77" i="17" s="1"/>
  <c r="U77" i="17" s="1"/>
  <c r="I78" i="17"/>
  <c r="Q78" i="17" s="1"/>
  <c r="U78" i="17" s="1"/>
  <c r="I79" i="17"/>
  <c r="Q79" i="17" s="1"/>
  <c r="U79" i="17" s="1"/>
  <c r="I82" i="17"/>
  <c r="Q82" i="17" s="1"/>
  <c r="U8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G62" i="71" l="1"/>
  <c r="F56" i="11" l="1"/>
  <c r="F60" i="11" l="1"/>
  <c r="G119" i="50"/>
  <c r="F172" i="26"/>
  <c r="N79" i="11"/>
  <c r="Q69" i="59" s="1"/>
  <c r="N22" i="36"/>
  <c r="Q67" i="59" s="1"/>
  <c r="F31" i="35"/>
  <c r="F167" i="26"/>
  <c r="F97" i="11" l="1"/>
  <c r="K119" i="50"/>
  <c r="O119" i="50"/>
  <c r="G121" i="50"/>
  <c r="N31" i="35"/>
  <c r="R31" i="35" s="1"/>
  <c r="V31" i="35" s="1"/>
  <c r="F171" i="26"/>
  <c r="F164" i="26"/>
  <c r="S119" i="50" l="1"/>
  <c r="W119" i="50" s="1"/>
  <c r="AC119" i="50"/>
  <c r="AG119" i="50" s="1"/>
  <c r="AK119" i="50" s="1"/>
  <c r="AQ119" i="50" s="1"/>
  <c r="AB31" i="35"/>
  <c r="AF31" i="35" s="1"/>
  <c r="N97" i="11"/>
  <c r="AQ121" i="50" l="1"/>
  <c r="AU119" i="50"/>
  <c r="AJ31" i="35"/>
  <c r="K123" i="45"/>
  <c r="AU121" i="50" l="1"/>
  <c r="AY119" i="50"/>
  <c r="O4" i="61"/>
  <c r="O16" i="61" s="1"/>
  <c r="AP31" i="35"/>
  <c r="F79" i="11"/>
  <c r="AY121" i="50" l="1"/>
  <c r="BG119" i="50"/>
  <c r="AT31" i="35"/>
  <c r="J57" i="11"/>
  <c r="BG121" i="50" l="1"/>
  <c r="BH121" i="50" s="1"/>
  <c r="BH119" i="50"/>
  <c r="AX31" i="35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I118" i="90" s="1"/>
  <c r="J43" i="9"/>
  <c r="J44" i="9"/>
  <c r="J45" i="9"/>
  <c r="J159" i="9"/>
  <c r="J158" i="9"/>
  <c r="J157" i="9"/>
  <c r="A41" i="9" l="1"/>
  <c r="AA85" i="7" l="1"/>
  <c r="Y85" i="7"/>
  <c r="I85" i="7"/>
  <c r="AA115" i="7"/>
  <c r="AA114" i="7"/>
  <c r="AA113" i="7"/>
  <c r="AA112" i="7"/>
  <c r="AA111" i="7"/>
  <c r="AA110" i="7"/>
  <c r="AA109" i="7"/>
  <c r="AA108" i="7"/>
  <c r="AA107" i="7"/>
  <c r="AA106" i="7"/>
  <c r="Y115" i="7"/>
  <c r="Y114" i="7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AA195" i="6" l="1"/>
  <c r="AA194" i="6"/>
  <c r="AA193" i="6"/>
  <c r="Y195" i="6"/>
  <c r="Y194" i="6"/>
  <c r="Y193" i="6"/>
  <c r="M195" i="6"/>
  <c r="M194" i="6"/>
  <c r="M193" i="6"/>
  <c r="I195" i="6"/>
  <c r="I194" i="6"/>
  <c r="I193" i="6"/>
  <c r="E195" i="6"/>
  <c r="E193" i="6"/>
  <c r="AA186" i="6"/>
  <c r="AA185" i="6"/>
  <c r="Y185" i="6"/>
  <c r="M186" i="6"/>
  <c r="M185" i="6"/>
  <c r="I186" i="6"/>
  <c r="I185" i="6"/>
  <c r="E186" i="6"/>
  <c r="E185" i="6"/>
  <c r="AA161" i="6"/>
  <c r="AA160" i="6"/>
  <c r="Y161" i="6"/>
  <c r="Y160" i="6"/>
  <c r="M161" i="6"/>
  <c r="M160" i="6"/>
  <c r="I161" i="6"/>
  <c r="I160" i="6"/>
  <c r="E161" i="6"/>
  <c r="E160" i="6"/>
  <c r="AA182" i="6"/>
  <c r="AA181" i="6"/>
  <c r="AA180" i="6"/>
  <c r="AA179" i="6"/>
  <c r="AA178" i="6"/>
  <c r="AA177" i="6"/>
  <c r="AA175" i="6"/>
  <c r="AA174" i="6"/>
  <c r="AA173" i="6"/>
  <c r="Y182" i="6"/>
  <c r="Y181" i="6"/>
  <c r="Y180" i="6"/>
  <c r="Y179" i="6"/>
  <c r="Y178" i="6"/>
  <c r="Y177" i="6"/>
  <c r="Y175" i="6"/>
  <c r="Y174" i="6"/>
  <c r="Y173" i="6"/>
  <c r="M182" i="6"/>
  <c r="M181" i="6"/>
  <c r="M180" i="6"/>
  <c r="M179" i="6"/>
  <c r="M178" i="6"/>
  <c r="M177" i="6"/>
  <c r="M175" i="6"/>
  <c r="M174" i="6"/>
  <c r="M173" i="6"/>
  <c r="I182" i="6"/>
  <c r="I181" i="6"/>
  <c r="I180" i="6"/>
  <c r="I179" i="6"/>
  <c r="I178" i="6"/>
  <c r="I177" i="6"/>
  <c r="I175" i="6"/>
  <c r="I174" i="6"/>
  <c r="I173" i="6"/>
  <c r="E182" i="6"/>
  <c r="E181" i="6"/>
  <c r="E180" i="6"/>
  <c r="E179" i="6"/>
  <c r="E178" i="6"/>
  <c r="E177" i="6"/>
  <c r="E175" i="6"/>
  <c r="E174" i="6"/>
  <c r="E173" i="6"/>
  <c r="AA157" i="6"/>
  <c r="AA156" i="6"/>
  <c r="AA155" i="6"/>
  <c r="AA154" i="6"/>
  <c r="AA153" i="6"/>
  <c r="AA152" i="6"/>
  <c r="Y157" i="6"/>
  <c r="Y156" i="6"/>
  <c r="Y155" i="6"/>
  <c r="Y154" i="6"/>
  <c r="Y153" i="6"/>
  <c r="Y152" i="6"/>
  <c r="M157" i="6"/>
  <c r="M156" i="6"/>
  <c r="M155" i="6"/>
  <c r="M154" i="6"/>
  <c r="M153" i="6"/>
  <c r="M152" i="6"/>
  <c r="I157" i="6"/>
  <c r="I156" i="6"/>
  <c r="I155" i="6"/>
  <c r="I154" i="6"/>
  <c r="I153" i="6"/>
  <c r="I152" i="6"/>
  <c r="E157" i="6"/>
  <c r="E156" i="6"/>
  <c r="E155" i="6"/>
  <c r="E154" i="6"/>
  <c r="E153" i="6"/>
  <c r="E152" i="6"/>
  <c r="AA150" i="6"/>
  <c r="AA149" i="6"/>
  <c r="AA148" i="6"/>
  <c r="Y150" i="6"/>
  <c r="Y149" i="6"/>
  <c r="Y148" i="6"/>
  <c r="M150" i="6"/>
  <c r="M149" i="6"/>
  <c r="M148" i="6"/>
  <c r="I150" i="6"/>
  <c r="I149" i="6"/>
  <c r="I148" i="6"/>
  <c r="E150" i="6"/>
  <c r="E149" i="6"/>
  <c r="E148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6" i="6"/>
  <c r="J116" i="6"/>
  <c r="I100" i="6"/>
  <c r="J100" i="6"/>
  <c r="Q86" i="6" l="1"/>
  <c r="U86" i="6" s="1"/>
  <c r="Q87" i="6"/>
  <c r="U87" i="6" s="1"/>
  <c r="Q88" i="6"/>
  <c r="U88" i="6" s="1"/>
  <c r="M117" i="73" l="1"/>
  <c r="Q117" i="73" l="1"/>
  <c r="U117" i="73" s="1"/>
  <c r="M132" i="73"/>
  <c r="AA117" i="73"/>
  <c r="I117" i="73"/>
  <c r="I132" i="73" s="1"/>
  <c r="Q132" i="73" l="1"/>
  <c r="U132" i="73" s="1"/>
  <c r="AA132" i="73"/>
  <c r="AE132" i="73" s="1"/>
  <c r="AI132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8" i="59" s="1"/>
  <c r="I28" i="36"/>
  <c r="L77" i="59" s="1"/>
  <c r="I27" i="36"/>
  <c r="L76" i="59" s="1"/>
  <c r="BE23" i="36"/>
  <c r="BE22" i="36"/>
  <c r="BH67" i="59" s="1"/>
  <c r="BE21" i="36"/>
  <c r="AA23" i="36"/>
  <c r="AA22" i="36"/>
  <c r="AA21" i="36"/>
  <c r="M23" i="36"/>
  <c r="P71" i="59" s="1"/>
  <c r="M22" i="36"/>
  <c r="P67" i="59" s="1"/>
  <c r="M21" i="36"/>
  <c r="P63" i="59" s="1"/>
  <c r="I23" i="36"/>
  <c r="L71" i="59" s="1"/>
  <c r="I22" i="36"/>
  <c r="L67" i="59" s="1"/>
  <c r="I21" i="36"/>
  <c r="L63" i="59" s="1"/>
  <c r="BE16" i="36"/>
  <c r="AA17" i="36"/>
  <c r="AD54" i="59" s="1"/>
  <c r="AA16" i="36"/>
  <c r="AD53" i="59" s="1"/>
  <c r="Q17" i="36"/>
  <c r="Q16" i="36"/>
  <c r="M17" i="36"/>
  <c r="P54" i="59" s="1"/>
  <c r="M16" i="36"/>
  <c r="P53" i="59" s="1"/>
  <c r="I17" i="36"/>
  <c r="L54" i="59" s="1"/>
  <c r="I16" i="36"/>
  <c r="L53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E28" i="36"/>
  <c r="D6" i="15" s="1"/>
  <c r="E27" i="36"/>
  <c r="E23" i="36"/>
  <c r="E22" i="36"/>
  <c r="E21" i="36"/>
  <c r="E17" i="36"/>
  <c r="H54" i="59" s="1"/>
  <c r="E16" i="36"/>
  <c r="H53" i="59" s="1"/>
  <c r="E9" i="36"/>
  <c r="E8" i="36"/>
  <c r="E7" i="36"/>
  <c r="E5" i="36"/>
  <c r="BH53" i="59" l="1"/>
  <c r="I13" i="49"/>
  <c r="L6" i="59"/>
  <c r="BH78" i="59"/>
  <c r="BD7" i="15"/>
  <c r="BH77" i="59"/>
  <c r="BD6" i="15"/>
  <c r="BH76" i="59"/>
  <c r="BD5" i="15"/>
  <c r="BH6" i="59"/>
  <c r="BE13" i="49"/>
  <c r="D19" i="36"/>
  <c r="AY19" i="36" s="1"/>
  <c r="BB56" i="59" s="1"/>
  <c r="AE117" i="73"/>
  <c r="L5" i="15"/>
  <c r="P76" i="59"/>
  <c r="P6" i="59"/>
  <c r="L6" i="15"/>
  <c r="P77" i="59"/>
  <c r="L7" i="15"/>
  <c r="P78" i="59"/>
  <c r="Y68" i="36"/>
  <c r="AA68" i="36"/>
  <c r="BE68" i="36"/>
  <c r="AU19" i="36" l="1"/>
  <c r="AX56" i="59" s="1"/>
  <c r="AG19" i="36"/>
  <c r="AJ56" i="59" s="1"/>
  <c r="AQ19" i="36"/>
  <c r="AT56" i="59" s="1"/>
  <c r="AK19" i="36"/>
  <c r="AN56" i="59" s="1"/>
  <c r="O19" i="36"/>
  <c r="R56" i="59" s="1"/>
  <c r="AC19" i="36"/>
  <c r="AF56" i="59" s="1"/>
  <c r="W19" i="36"/>
  <c r="Z56" i="59" s="1"/>
  <c r="S19" i="36"/>
  <c r="V56" i="59" s="1"/>
  <c r="K19" i="36"/>
  <c r="N56" i="59" s="1"/>
  <c r="G19" i="36"/>
  <c r="J56" i="59" s="1"/>
  <c r="U19" i="36"/>
  <c r="X56" i="59" s="1"/>
  <c r="G56" i="59"/>
  <c r="BE19" i="36"/>
  <c r="BC19" i="36"/>
  <c r="M19" i="36"/>
  <c r="P56" i="59" s="1"/>
  <c r="Y19" i="36"/>
  <c r="AB56" i="59" s="1"/>
  <c r="AI19" i="36"/>
  <c r="AL56" i="59" s="1"/>
  <c r="AO19" i="36"/>
  <c r="AR56" i="59" s="1"/>
  <c r="AW19" i="36"/>
  <c r="AZ56" i="59" s="1"/>
  <c r="AA19" i="36"/>
  <c r="AD56" i="59" s="1"/>
  <c r="I19" i="36"/>
  <c r="L56" i="59" s="1"/>
  <c r="E19" i="36"/>
  <c r="H56" i="59" s="1"/>
  <c r="AS19" i="36"/>
  <c r="AV56" i="59" s="1"/>
  <c r="BA19" i="36"/>
  <c r="Q19" i="36"/>
  <c r="AE19" i="36"/>
  <c r="AH56" i="59" s="1"/>
  <c r="AM19" i="36"/>
  <c r="AP56" i="59" s="1"/>
  <c r="AI117" i="73"/>
  <c r="J10" i="21"/>
  <c r="J6" i="21"/>
  <c r="J42" i="35"/>
  <c r="J43" i="35"/>
  <c r="BD56" i="59" l="1"/>
  <c r="BF56" i="59"/>
  <c r="BH56" i="59"/>
  <c r="AO117" i="73"/>
  <c r="AO132" i="73" s="1"/>
  <c r="AS117" i="73" l="1"/>
  <c r="AS132" i="73" s="1"/>
  <c r="AW117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32" i="73" l="1"/>
  <c r="P17" i="15"/>
  <c r="BE117" i="73"/>
  <c r="BE132" i="73" s="1"/>
  <c r="T13" i="15"/>
  <c r="T12" i="15"/>
  <c r="Z12" i="15"/>
  <c r="AD12" i="15" s="1"/>
  <c r="T15" i="15"/>
  <c r="U15" i="15"/>
  <c r="Z15" i="15"/>
  <c r="AD15" i="15" s="1"/>
  <c r="D172" i="26"/>
  <c r="AH15" i="15" l="1"/>
  <c r="AN15" i="15" s="1"/>
  <c r="AR15" i="15" s="1"/>
  <c r="AH12" i="15"/>
  <c r="AN12" i="15" s="1"/>
  <c r="AR12" i="15" s="1"/>
  <c r="T16" i="15"/>
  <c r="Z16" i="15"/>
  <c r="AD16" i="15" s="1"/>
  <c r="D167" i="26"/>
  <c r="D164" i="26"/>
  <c r="E57" i="17"/>
  <c r="D57" i="17"/>
  <c r="E56" i="17"/>
  <c r="D56" i="17"/>
  <c r="E55" i="17"/>
  <c r="D55" i="17"/>
  <c r="E54" i="17"/>
  <c r="D54" i="17"/>
  <c r="E53" i="17"/>
  <c r="D53" i="17"/>
  <c r="D31" i="17"/>
  <c r="D28" i="17"/>
  <c r="D25" i="17"/>
  <c r="E22" i="17"/>
  <c r="D22" i="17"/>
  <c r="E19" i="17"/>
  <c r="D18" i="17"/>
  <c r="D16" i="17"/>
  <c r="E14" i="17"/>
  <c r="D14" i="17"/>
  <c r="L14" i="17" s="1"/>
  <c r="Z14" i="17" s="1"/>
  <c r="AD14" i="17" s="1"/>
  <c r="AH14" i="17" s="1"/>
  <c r="E13" i="17"/>
  <c r="E11" i="17"/>
  <c r="E9" i="17"/>
  <c r="E15" i="17" l="1"/>
  <c r="AV12" i="15"/>
  <c r="BD12" i="15" s="1"/>
  <c r="AV15" i="15"/>
  <c r="BD15" i="15" s="1"/>
  <c r="AH16" i="15"/>
  <c r="AN16" i="15" s="1"/>
  <c r="AR16" i="15" s="1"/>
  <c r="AN14" i="17"/>
  <c r="AR14" i="17" s="1"/>
  <c r="E23" i="17"/>
  <c r="M22" i="17"/>
  <c r="AA22" i="17" s="1"/>
  <c r="AE22" i="17" s="1"/>
  <c r="AI22" i="17" s="1"/>
  <c r="Z17" i="15"/>
  <c r="D171" i="26"/>
  <c r="D20" i="17"/>
  <c r="E20" i="17"/>
  <c r="AV16" i="15" l="1"/>
  <c r="BD16" i="15" s="1"/>
  <c r="AV14" i="17"/>
  <c r="AO22" i="17"/>
  <c r="D24" i="17"/>
  <c r="E24" i="17"/>
  <c r="E21" i="17"/>
  <c r="BI123" i="45"/>
  <c r="BH122" i="45"/>
  <c r="AS22" i="17" l="1"/>
  <c r="O158" i="45"/>
  <c r="N132" i="45"/>
  <c r="BD14" i="17"/>
  <c r="E25" i="17"/>
  <c r="O132" i="45"/>
  <c r="O139" i="45"/>
  <c r="O140" i="45" s="1"/>
  <c r="BI160" i="45"/>
  <c r="BH121" i="45"/>
  <c r="BH125" i="45"/>
  <c r="BI151" i="45"/>
  <c r="AW22" i="17" l="1"/>
  <c r="O121" i="45"/>
  <c r="F32" i="35"/>
  <c r="E69" i="11"/>
  <c r="E56" i="11"/>
  <c r="F55" i="11"/>
  <c r="BE22" i="17" l="1"/>
  <c r="F23" i="36"/>
  <c r="E79" i="11"/>
  <c r="E97" i="11"/>
  <c r="N32" i="35"/>
  <c r="R32" i="35" s="1"/>
  <c r="V32" i="35" s="1"/>
  <c r="O124" i="45"/>
  <c r="O125" i="45"/>
  <c r="O126" i="45" s="1"/>
  <c r="F58" i="11"/>
  <c r="F22" i="36" s="1"/>
  <c r="E55" i="11"/>
  <c r="E58" i="11"/>
  <c r="AB32" i="35" l="1"/>
  <c r="AF32" i="35" s="1"/>
  <c r="N92" i="1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AX32" i="35" l="1"/>
  <c r="BF32" i="35" s="1"/>
  <c r="O107" i="50"/>
  <c r="K107" i="50"/>
  <c r="K109" i="50" s="1"/>
  <c r="N30" i="35"/>
  <c r="J40" i="35"/>
  <c r="G110" i="50"/>
  <c r="G109" i="50"/>
  <c r="AB40" i="35"/>
  <c r="AF40" i="35" s="1"/>
  <c r="AJ40" i="35" s="1"/>
  <c r="AP40" i="35" s="1"/>
  <c r="F21" i="36"/>
  <c r="N165" i="10"/>
  <c r="G117" i="50" l="1"/>
  <c r="R30" i="35"/>
  <c r="R33" i="35" s="1"/>
  <c r="N203" i="10"/>
  <c r="N172" i="10"/>
  <c r="K110" i="50"/>
  <c r="K117" i="50" s="1"/>
  <c r="O110" i="50"/>
  <c r="O117" i="50" s="1"/>
  <c r="S107" i="50"/>
  <c r="AC107" i="50"/>
  <c r="O109" i="50"/>
  <c r="AT40" i="35"/>
  <c r="AX40" i="35" s="1"/>
  <c r="BF40" i="35" s="1"/>
  <c r="AB30" i="35"/>
  <c r="AB203" i="10" s="1"/>
  <c r="R64" i="9"/>
  <c r="V64" i="9" s="1"/>
  <c r="R95" i="9"/>
  <c r="V95" i="9" s="1"/>
  <c r="V96" i="9" s="1"/>
  <c r="BI192" i="10"/>
  <c r="BI184" i="10"/>
  <c r="BI191" i="10"/>
  <c r="V30" i="35" l="1"/>
  <c r="V33" i="35" s="1"/>
  <c r="AB172" i="10"/>
  <c r="N173" i="10"/>
  <c r="AC110" i="50"/>
  <c r="S110" i="50"/>
  <c r="AG107" i="50"/>
  <c r="AC109" i="50"/>
  <c r="W107" i="50"/>
  <c r="W109" i="50" s="1"/>
  <c r="S109" i="50"/>
  <c r="AF30" i="35"/>
  <c r="AF203" i="10" s="1"/>
  <c r="BI193" i="10"/>
  <c r="N166" i="10"/>
  <c r="AF172" i="10" l="1"/>
  <c r="AB173" i="10"/>
  <c r="W110" i="50"/>
  <c r="W117" i="50" s="1"/>
  <c r="S117" i="50"/>
  <c r="AG110" i="50"/>
  <c r="AC117" i="50"/>
  <c r="AK107" i="50"/>
  <c r="AG109" i="50"/>
  <c r="AJ30" i="35"/>
  <c r="AF33" i="35"/>
  <c r="AP30" i="35" l="1"/>
  <c r="AJ203" i="10"/>
  <c r="AJ172" i="10"/>
  <c r="AF173" i="10"/>
  <c r="AK109" i="50"/>
  <c r="AQ107" i="50"/>
  <c r="AK110" i="50"/>
  <c r="AG117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F14" i="9" l="1"/>
  <c r="AT30" i="35"/>
  <c r="AT33" i="35" s="1"/>
  <c r="AP203" i="10"/>
  <c r="AP33" i="35"/>
  <c r="AJ173" i="10"/>
  <c r="AP172" i="10"/>
  <c r="E90" i="90"/>
  <c r="G133" i="50"/>
  <c r="AQ109" i="50"/>
  <c r="AU107" i="50"/>
  <c r="AK117" i="50"/>
  <c r="AQ110" i="50"/>
  <c r="R20" i="35"/>
  <c r="V20" i="35" s="1"/>
  <c r="AB20" i="35"/>
  <c r="AF20" i="35" s="1"/>
  <c r="I59" i="59"/>
  <c r="F96" i="9"/>
  <c r="E59" i="9"/>
  <c r="M59" i="9" s="1"/>
  <c r="E55" i="9"/>
  <c r="E61" i="9"/>
  <c r="M61" i="9" s="1"/>
  <c r="E56" i="9"/>
  <c r="M56" i="9" s="1"/>
  <c r="E58" i="9"/>
  <c r="M58" i="9" s="1"/>
  <c r="G101" i="50"/>
  <c r="BH101" i="50" s="1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E68" i="9"/>
  <c r="E7" i="9"/>
  <c r="E66" i="9"/>
  <c r="E70" i="9"/>
  <c r="E63" i="9"/>
  <c r="AI90" i="90" l="1"/>
  <c r="BE90" i="90"/>
  <c r="M92" i="9"/>
  <c r="Q92" i="9" s="1"/>
  <c r="U92" i="9" s="1"/>
  <c r="U94" i="9" s="1"/>
  <c r="E93" i="9"/>
  <c r="AX30" i="35"/>
  <c r="AX33" i="35" s="1"/>
  <c r="AT203" i="10"/>
  <c r="AP173" i="10"/>
  <c r="AT172" i="10"/>
  <c r="E96" i="90"/>
  <c r="M90" i="90"/>
  <c r="I90" i="90"/>
  <c r="AA90" i="90"/>
  <c r="Q90" i="90"/>
  <c r="AE90" i="90"/>
  <c r="U90" i="90"/>
  <c r="AO90" i="90"/>
  <c r="AS90" i="90" s="1"/>
  <c r="AW90" i="90" s="1"/>
  <c r="U25" i="9"/>
  <c r="U88" i="9" s="1"/>
  <c r="O133" i="50"/>
  <c r="K133" i="50"/>
  <c r="AU109" i="50"/>
  <c r="AY107" i="50"/>
  <c r="AQ117" i="50"/>
  <c r="AU110" i="50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4" i="50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M55" i="9"/>
  <c r="F91" i="9"/>
  <c r="BE96" i="90" l="1"/>
  <c r="Q93" i="9"/>
  <c r="U93" i="9"/>
  <c r="BF30" i="35"/>
  <c r="AX203" i="10"/>
  <c r="M21" i="22"/>
  <c r="E102" i="90"/>
  <c r="AI96" i="90"/>
  <c r="AX172" i="10"/>
  <c r="AT173" i="10"/>
  <c r="AA96" i="90"/>
  <c r="M96" i="90"/>
  <c r="M102" i="90" s="1"/>
  <c r="I96" i="90"/>
  <c r="I102" i="90" s="1"/>
  <c r="Q96" i="90"/>
  <c r="AE96" i="90"/>
  <c r="U96" i="90"/>
  <c r="AO96" i="90"/>
  <c r="E127" i="90"/>
  <c r="BE127" i="90" s="1"/>
  <c r="U85" i="9"/>
  <c r="U87" i="9"/>
  <c r="X60" i="59" s="1"/>
  <c r="U82" i="9"/>
  <c r="X61" i="59" s="1"/>
  <c r="U83" i="9"/>
  <c r="S133" i="50"/>
  <c r="W133" i="50" s="1"/>
  <c r="AC133" i="50"/>
  <c r="AG133" i="50" s="1"/>
  <c r="AK133" i="50" s="1"/>
  <c r="AQ133" i="50" s="1"/>
  <c r="AU133" i="50" s="1"/>
  <c r="AY133" i="50" s="1"/>
  <c r="BG133" i="50" s="1"/>
  <c r="BH133" i="50" s="1"/>
  <c r="AY109" i="50"/>
  <c r="BG107" i="50"/>
  <c r="AU117" i="50"/>
  <c r="AY110" i="50"/>
  <c r="K134" i="50"/>
  <c r="O134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M7" i="22"/>
  <c r="M15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l="1"/>
  <c r="BG109" i="50"/>
  <c r="BH109" i="50" s="1"/>
  <c r="BH107" i="50"/>
  <c r="BF33" i="35"/>
  <c r="BF203" i="10"/>
  <c r="BI203" i="10" s="1"/>
  <c r="M8" i="22"/>
  <c r="M9" i="22" s="1"/>
  <c r="M17" i="22" s="1"/>
  <c r="M22" i="22"/>
  <c r="M23" i="22" s="1"/>
  <c r="E130" i="90"/>
  <c r="AI127" i="90"/>
  <c r="AX173" i="10"/>
  <c r="BF172" i="10"/>
  <c r="BI172" i="10" s="1"/>
  <c r="AS96" i="90"/>
  <c r="AA127" i="90"/>
  <c r="I127" i="90"/>
  <c r="I130" i="90" s="1"/>
  <c r="M127" i="90"/>
  <c r="M130" i="90" s="1"/>
  <c r="U127" i="90"/>
  <c r="Q127" i="90"/>
  <c r="AO127" i="90"/>
  <c r="AE127" i="90"/>
  <c r="AY117" i="50"/>
  <c r="BG110" i="50"/>
  <c r="S134" i="50"/>
  <c r="AC134" i="50"/>
  <c r="X57" i="59"/>
  <c r="U7" i="9"/>
  <c r="AJ48" i="9"/>
  <c r="AP48" i="9" s="1"/>
  <c r="AT48" i="9" s="1"/>
  <c r="AJ47" i="9"/>
  <c r="AP47" i="9" s="1"/>
  <c r="AT47" i="9" s="1"/>
  <c r="Y54" i="59"/>
  <c r="V18" i="36"/>
  <c r="Y55" i="59" s="1"/>
  <c r="F74" i="9"/>
  <c r="Q17" i="8"/>
  <c r="U17" i="8" s="1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71" i="7"/>
  <c r="BG117" i="50" l="1"/>
  <c r="BH117" i="50" s="1"/>
  <c r="BH110" i="50"/>
  <c r="BF173" i="10"/>
  <c r="M24" i="22"/>
  <c r="M30" i="22" s="1"/>
  <c r="M10" i="22"/>
  <c r="M18" i="22" s="1"/>
  <c r="AW96" i="90"/>
  <c r="AS127" i="90"/>
  <c r="AX47" i="9"/>
  <c r="BF47" i="9" s="1"/>
  <c r="AX48" i="9"/>
  <c r="BF48" i="9" s="1"/>
  <c r="AG134" i="50"/>
  <c r="W134" i="50"/>
  <c r="V52" i="9"/>
  <c r="Y57" i="59" s="1"/>
  <c r="V53" i="9"/>
  <c r="V84" i="9"/>
  <c r="V85" i="9"/>
  <c r="V82" i="9"/>
  <c r="Y61" i="59" s="1"/>
  <c r="V86" i="9"/>
  <c r="V83" i="9"/>
  <c r="V80" i="9"/>
  <c r="V87" i="9"/>
  <c r="Y60" i="59" s="1"/>
  <c r="V81" i="9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133" i="6"/>
  <c r="F17" i="49"/>
  <c r="N17" i="49" s="1"/>
  <c r="F11" i="49"/>
  <c r="E11" i="49"/>
  <c r="I11" i="49" s="1"/>
  <c r="F9" i="49"/>
  <c r="F8" i="49"/>
  <c r="F304" i="28"/>
  <c r="F256" i="28"/>
  <c r="F236" i="28"/>
  <c r="F96" i="28"/>
  <c r="F95" i="28"/>
  <c r="F93" i="28"/>
  <c r="F89" i="28"/>
  <c r="F85" i="28"/>
  <c r="F81" i="28"/>
  <c r="F29" i="28"/>
  <c r="J29" i="28" s="1"/>
  <c r="N29" i="28" s="1"/>
  <c r="F21" i="28"/>
  <c r="J21" i="28" s="1"/>
  <c r="N21" i="28" s="1"/>
  <c r="F13" i="28"/>
  <c r="J13" i="28" s="1"/>
  <c r="N13" i="28" s="1"/>
  <c r="R29" i="28" l="1"/>
  <c r="V29" i="28" s="1"/>
  <c r="AB29" i="28"/>
  <c r="AF29" i="28" s="1"/>
  <c r="AJ29" i="28" s="1"/>
  <c r="AP29" i="28" s="1"/>
  <c r="AT29" i="28" s="1"/>
  <c r="AX29" i="28" s="1"/>
  <c r="BF29" i="28" s="1"/>
  <c r="AB13" i="28"/>
  <c r="AF13" i="28" s="1"/>
  <c r="AJ13" i="28" s="1"/>
  <c r="AP13" i="28" s="1"/>
  <c r="AT13" i="28" s="1"/>
  <c r="AX13" i="28" s="1"/>
  <c r="BF13" i="28" s="1"/>
  <c r="R13" i="28"/>
  <c r="V13" i="28" s="1"/>
  <c r="R21" i="28"/>
  <c r="V21" i="28" s="1"/>
  <c r="AB21" i="28"/>
  <c r="AF21" i="28" s="1"/>
  <c r="AJ21" i="28" s="1"/>
  <c r="AP21" i="28" s="1"/>
  <c r="AT21" i="28" s="1"/>
  <c r="AX21" i="28" s="1"/>
  <c r="BF21" i="28" s="1"/>
  <c r="J256" i="28"/>
  <c r="N256" i="28" s="1"/>
  <c r="AB256" i="28" s="1"/>
  <c r="AF256" i="28" s="1"/>
  <c r="J81" i="28"/>
  <c r="N81" i="28" s="1"/>
  <c r="AB81" i="28" s="1"/>
  <c r="AF81" i="28" s="1"/>
  <c r="J304" i="28"/>
  <c r="N304" i="28" s="1"/>
  <c r="AB304" i="28" s="1"/>
  <c r="AF304" i="28" s="1"/>
  <c r="J89" i="28"/>
  <c r="N89" i="28" s="1"/>
  <c r="AB89" i="28" s="1"/>
  <c r="AF89" i="28" s="1"/>
  <c r="J93" i="28"/>
  <c r="N93" i="28" s="1"/>
  <c r="AB93" i="28" s="1"/>
  <c r="AF93" i="28" s="1"/>
  <c r="J95" i="28"/>
  <c r="N95" i="28" s="1"/>
  <c r="R95" i="28" s="1"/>
  <c r="V95" i="28" s="1"/>
  <c r="J85" i="28"/>
  <c r="N85" i="28" s="1"/>
  <c r="AB85" i="28" s="1"/>
  <c r="AF85" i="28" s="1"/>
  <c r="J96" i="28"/>
  <c r="N96" i="28" s="1"/>
  <c r="J236" i="28"/>
  <c r="N236" i="28" s="1"/>
  <c r="AB236" i="28" s="1"/>
  <c r="AF236" i="28" s="1"/>
  <c r="M41" i="7"/>
  <c r="AA41" i="7" s="1"/>
  <c r="AE41" i="7" s="1"/>
  <c r="AI41" i="7" s="1"/>
  <c r="AI51" i="7" s="1"/>
  <c r="M25" i="22"/>
  <c r="M26" i="22" s="1"/>
  <c r="M11" i="22"/>
  <c r="M12" i="22" s="1"/>
  <c r="N113" i="7"/>
  <c r="N111" i="7"/>
  <c r="N110" i="7"/>
  <c r="N108" i="7"/>
  <c r="N107" i="7"/>
  <c r="AW127" i="90"/>
  <c r="AK134" i="50"/>
  <c r="AQ134" i="50" s="1"/>
  <c r="AU134" i="50" s="1"/>
  <c r="AY134" i="50" s="1"/>
  <c r="BG134" i="50" s="1"/>
  <c r="BH134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F512" i="28"/>
  <c r="AP49" i="9"/>
  <c r="I297" i="28"/>
  <c r="M297" i="28"/>
  <c r="Q297" i="28" s="1"/>
  <c r="I298" i="28"/>
  <c r="M298" i="28"/>
  <c r="Q298" i="28" s="1"/>
  <c r="F525" i="28"/>
  <c r="F524" i="28"/>
  <c r="F509" i="28"/>
  <c r="F513" i="28"/>
  <c r="F508" i="28"/>
  <c r="H33" i="59"/>
  <c r="H29" i="59"/>
  <c r="F517" i="28"/>
  <c r="F72" i="28"/>
  <c r="F505" i="28"/>
  <c r="F506" i="28"/>
  <c r="F507" i="28"/>
  <c r="F140" i="7"/>
  <c r="F146" i="7"/>
  <c r="J133" i="6"/>
  <c r="N133" i="6"/>
  <c r="AB133" i="6" s="1"/>
  <c r="AF133" i="6" s="1"/>
  <c r="M6" i="21"/>
  <c r="I6" i="21"/>
  <c r="I133" i="6"/>
  <c r="M133" i="6"/>
  <c r="E29" i="28"/>
  <c r="E13" i="28"/>
  <c r="E21" i="28"/>
  <c r="F416" i="28"/>
  <c r="F123" i="7"/>
  <c r="H28" i="59"/>
  <c r="F97" i="28"/>
  <c r="F74" i="28"/>
  <c r="F299" i="28"/>
  <c r="F69" i="28"/>
  <c r="F73" i="28"/>
  <c r="J69" i="28" l="1"/>
  <c r="N69" i="28" s="1"/>
  <c r="N70" i="28" s="1"/>
  <c r="F70" i="28"/>
  <c r="R236" i="28"/>
  <c r="V236" i="28" s="1"/>
  <c r="R93" i="28"/>
  <c r="V93" i="28" s="1"/>
  <c r="AB69" i="28"/>
  <c r="R81" i="28"/>
  <c r="V81" i="28" s="1"/>
  <c r="R256" i="28"/>
  <c r="V256" i="28" s="1"/>
  <c r="R304" i="28"/>
  <c r="V304" i="28" s="1"/>
  <c r="R89" i="28"/>
  <c r="V89" i="28" s="1"/>
  <c r="AE51" i="7"/>
  <c r="J74" i="28"/>
  <c r="N74" i="28" s="1"/>
  <c r="AB74" i="28" s="1"/>
  <c r="AF74" i="28" s="1"/>
  <c r="AJ74" i="28" s="1"/>
  <c r="AP74" i="28" s="1"/>
  <c r="AT74" i="28" s="1"/>
  <c r="J512" i="28"/>
  <c r="N512" i="28" s="1"/>
  <c r="AB512" i="28" s="1"/>
  <c r="AF512" i="28" s="1"/>
  <c r="J513" i="28"/>
  <c r="N513" i="28" s="1"/>
  <c r="AB513" i="28" s="1"/>
  <c r="AF513" i="28" s="1"/>
  <c r="AB95" i="28"/>
  <c r="AF95" i="28" s="1"/>
  <c r="J416" i="28"/>
  <c r="N416" i="28" s="1"/>
  <c r="AB416" i="28" s="1"/>
  <c r="AF416" i="28" s="1"/>
  <c r="J517" i="28"/>
  <c r="N517" i="28" s="1"/>
  <c r="AB517" i="28" s="1"/>
  <c r="AF517" i="28" s="1"/>
  <c r="J509" i="28"/>
  <c r="N509" i="28" s="1"/>
  <c r="AB509" i="28" s="1"/>
  <c r="AF509" i="28" s="1"/>
  <c r="J524" i="28"/>
  <c r="N524" i="28" s="1"/>
  <c r="AB524" i="28" s="1"/>
  <c r="AF524" i="28" s="1"/>
  <c r="J506" i="28"/>
  <c r="N506" i="28" s="1"/>
  <c r="AB506" i="28" s="1"/>
  <c r="AF506" i="28" s="1"/>
  <c r="J97" i="28"/>
  <c r="N97" i="28" s="1"/>
  <c r="N98" i="28" s="1"/>
  <c r="J508" i="28"/>
  <c r="N508" i="28" s="1"/>
  <c r="R508" i="28" s="1"/>
  <c r="V508" i="28" s="1"/>
  <c r="J525" i="28"/>
  <c r="N525" i="28" s="1"/>
  <c r="AB525" i="28" s="1"/>
  <c r="AF525" i="28" s="1"/>
  <c r="BH525" i="28"/>
  <c r="M21" i="28"/>
  <c r="M29" i="28"/>
  <c r="R85" i="28"/>
  <c r="V85" i="28" s="1"/>
  <c r="J505" i="28"/>
  <c r="N505" i="28" s="1"/>
  <c r="AB505" i="28" s="1"/>
  <c r="AF505" i="28" s="1"/>
  <c r="J299" i="28"/>
  <c r="N299" i="28" s="1"/>
  <c r="AB299" i="28" s="1"/>
  <c r="AF299" i="28" s="1"/>
  <c r="J72" i="28"/>
  <c r="N72" i="28" s="1"/>
  <c r="AB72" i="28" s="1"/>
  <c r="AF72" i="28" s="1"/>
  <c r="J75" i="28"/>
  <c r="N75" i="28" s="1"/>
  <c r="AB75" i="28" s="1"/>
  <c r="AF75" i="28" s="1"/>
  <c r="J507" i="28"/>
  <c r="N507" i="28" s="1"/>
  <c r="R507" i="28" s="1"/>
  <c r="V507" i="28" s="1"/>
  <c r="J73" i="28"/>
  <c r="N73" i="28" s="1"/>
  <c r="R73" i="28" s="1"/>
  <c r="V73" i="28" s="1"/>
  <c r="M19" i="22"/>
  <c r="M27" i="22"/>
  <c r="M13" i="22"/>
  <c r="M14" i="22" s="1"/>
  <c r="AB96" i="28"/>
  <c r="R96" i="28"/>
  <c r="H30" i="59"/>
  <c r="M12" i="21"/>
  <c r="M22" i="21" s="1"/>
  <c r="Q6" i="21"/>
  <c r="AJ85" i="28"/>
  <c r="AP85" i="28" s="1"/>
  <c r="AT85" i="28" s="1"/>
  <c r="AJ93" i="28"/>
  <c r="AP93" i="28" s="1"/>
  <c r="AJ89" i="28"/>
  <c r="AP89" i="28" s="1"/>
  <c r="AT89" i="28" s="1"/>
  <c r="H31" i="59"/>
  <c r="AA297" i="28"/>
  <c r="AE297" i="28" s="1"/>
  <c r="AI297" i="28" s="1"/>
  <c r="AO297" i="28" s="1"/>
  <c r="AS297" i="28" s="1"/>
  <c r="U297" i="28"/>
  <c r="AA298" i="28"/>
  <c r="AE298" i="28" s="1"/>
  <c r="AI298" i="28" s="1"/>
  <c r="AO298" i="28" s="1"/>
  <c r="AS298" i="28" s="1"/>
  <c r="U298" i="28"/>
  <c r="J18" i="49"/>
  <c r="N18" i="49"/>
  <c r="AJ133" i="6"/>
  <c r="AO41" i="7"/>
  <c r="AT49" i="9"/>
  <c r="Q133" i="6"/>
  <c r="U133" i="6" s="1"/>
  <c r="AA133" i="6"/>
  <c r="AE133" i="6" s="1"/>
  <c r="AI133" i="6" s="1"/>
  <c r="M31" i="22"/>
  <c r="M29" i="22"/>
  <c r="R133" i="6"/>
  <c r="V133" i="6" s="1"/>
  <c r="F519" i="28"/>
  <c r="F98" i="28"/>
  <c r="E73" i="28"/>
  <c r="I21" i="28"/>
  <c r="E72" i="28"/>
  <c r="I13" i="28"/>
  <c r="E416" i="28"/>
  <c r="I29" i="28"/>
  <c r="F518" i="28"/>
  <c r="F514" i="28"/>
  <c r="F515" i="28"/>
  <c r="F503" i="28"/>
  <c r="F510" i="28"/>
  <c r="F502" i="28"/>
  <c r="F511" i="28"/>
  <c r="E236" i="28"/>
  <c r="F124" i="7"/>
  <c r="F147" i="7"/>
  <c r="F141" i="7"/>
  <c r="F497" i="28"/>
  <c r="E74" i="28"/>
  <c r="E299" i="28"/>
  <c r="F496" i="28"/>
  <c r="F76" i="28"/>
  <c r="R69" i="28" l="1"/>
  <c r="V69" i="28" s="1"/>
  <c r="AF69" i="28"/>
  <c r="AB70" i="28"/>
  <c r="R74" i="28"/>
  <c r="V74" i="28" s="1"/>
  <c r="R506" i="28"/>
  <c r="V506" i="28" s="1"/>
  <c r="R75" i="28"/>
  <c r="V75" i="28" s="1"/>
  <c r="AB73" i="28"/>
  <c r="AF73" i="28" s="1"/>
  <c r="AJ73" i="28" s="1"/>
  <c r="AP73" i="28" s="1"/>
  <c r="AT73" i="28" s="1"/>
  <c r="R513" i="28"/>
  <c r="V513" i="28" s="1"/>
  <c r="R525" i="28"/>
  <c r="V525" i="28" s="1"/>
  <c r="R299" i="28"/>
  <c r="V299" i="28" s="1"/>
  <c r="R416" i="28"/>
  <c r="V416" i="28" s="1"/>
  <c r="R512" i="28"/>
  <c r="V512" i="28" s="1"/>
  <c r="R524" i="28"/>
  <c r="V524" i="28" s="1"/>
  <c r="R517" i="28"/>
  <c r="V517" i="28" s="1"/>
  <c r="R509" i="28"/>
  <c r="V509" i="28" s="1"/>
  <c r="J502" i="28"/>
  <c r="N502" i="28" s="1"/>
  <c r="AB502" i="28" s="1"/>
  <c r="AF502" i="28" s="1"/>
  <c r="AB508" i="28"/>
  <c r="AF508" i="28" s="1"/>
  <c r="M74" i="28"/>
  <c r="AA74" i="28" s="1"/>
  <c r="AE74" i="28" s="1"/>
  <c r="AI74" i="28" s="1"/>
  <c r="AO74" i="28" s="1"/>
  <c r="AS74" i="28" s="1"/>
  <c r="AW74" i="28" s="1"/>
  <c r="BE74" i="28" s="1"/>
  <c r="BG74" i="28" s="1"/>
  <c r="J519" i="28"/>
  <c r="N519" i="28" s="1"/>
  <c r="AB519" i="28" s="1"/>
  <c r="AF519" i="28" s="1"/>
  <c r="J515" i="28"/>
  <c r="N515" i="28" s="1"/>
  <c r="R515" i="28" s="1"/>
  <c r="V515" i="28" s="1"/>
  <c r="J518" i="28"/>
  <c r="N518" i="28" s="1"/>
  <c r="AB518" i="28" s="1"/>
  <c r="AF518" i="28" s="1"/>
  <c r="R97" i="28"/>
  <c r="V97" i="28" s="1"/>
  <c r="R505" i="28"/>
  <c r="V505" i="28" s="1"/>
  <c r="J497" i="28"/>
  <c r="N497" i="28" s="1"/>
  <c r="AB497" i="28" s="1"/>
  <c r="AF497" i="28" s="1"/>
  <c r="AB97" i="28"/>
  <c r="AF97" i="28" s="1"/>
  <c r="AJ97" i="28" s="1"/>
  <c r="AP97" i="28" s="1"/>
  <c r="J98" i="28"/>
  <c r="J503" i="28"/>
  <c r="N503" i="28" s="1"/>
  <c r="AB503" i="28" s="1"/>
  <c r="AF503" i="28" s="1"/>
  <c r="M299" i="28"/>
  <c r="J514" i="28"/>
  <c r="N514" i="28" s="1"/>
  <c r="AB514" i="28" s="1"/>
  <c r="AF514" i="28" s="1"/>
  <c r="M416" i="28"/>
  <c r="AB507" i="28"/>
  <c r="AF507" i="28" s="1"/>
  <c r="J70" i="28"/>
  <c r="J76" i="28"/>
  <c r="N76" i="28" s="1"/>
  <c r="R76" i="28" s="1"/>
  <c r="V76" i="28" s="1"/>
  <c r="R72" i="28"/>
  <c r="V72" i="28" s="1"/>
  <c r="J510" i="28"/>
  <c r="N510" i="28" s="1"/>
  <c r="AB510" i="28" s="1"/>
  <c r="AF510" i="28" s="1"/>
  <c r="J496" i="28"/>
  <c r="N496" i="28" s="1"/>
  <c r="R496" i="28" s="1"/>
  <c r="V496" i="28" s="1"/>
  <c r="J511" i="28"/>
  <c r="N511" i="28" s="1"/>
  <c r="R511" i="28" s="1"/>
  <c r="V511" i="28" s="1"/>
  <c r="AF96" i="28"/>
  <c r="V96" i="28"/>
  <c r="U6" i="21"/>
  <c r="U12" i="21" s="1"/>
  <c r="U22" i="21" s="1"/>
  <c r="Q12" i="21"/>
  <c r="Q22" i="21" s="1"/>
  <c r="AX49" i="9"/>
  <c r="AW297" i="28"/>
  <c r="BE297" i="28" s="1"/>
  <c r="BG297" i="28" s="1"/>
  <c r="AW298" i="28"/>
  <c r="BE298" i="28" s="1"/>
  <c r="BG298" i="28" s="1"/>
  <c r="AX74" i="28"/>
  <c r="BF74" i="28" s="1"/>
  <c r="BH74" i="28" s="1"/>
  <c r="AX89" i="28"/>
  <c r="BF89" i="28" s="1"/>
  <c r="BH89" i="28" s="1"/>
  <c r="AX73" i="28"/>
  <c r="BF73" i="28" s="1"/>
  <c r="BH73" i="28" s="1"/>
  <c r="AX85" i="28"/>
  <c r="BF85" i="28" s="1"/>
  <c r="BH85" i="28" s="1"/>
  <c r="AJ517" i="28"/>
  <c r="R18" i="49"/>
  <c r="V18" i="49" s="1"/>
  <c r="AB18" i="49"/>
  <c r="AJ81" i="28"/>
  <c r="AP81" i="28" s="1"/>
  <c r="AT81" i="28" s="1"/>
  <c r="AJ75" i="28"/>
  <c r="AP75" i="28" s="1"/>
  <c r="AT75" i="28" s="1"/>
  <c r="AJ95" i="28"/>
  <c r="AP95" i="28" s="1"/>
  <c r="AT95" i="28" s="1"/>
  <c r="F126" i="7"/>
  <c r="AP133" i="6"/>
  <c r="AS41" i="7"/>
  <c r="AW41" i="7" s="1"/>
  <c r="AO51" i="7"/>
  <c r="AP517" i="28"/>
  <c r="AT93" i="28"/>
  <c r="AX93" i="28" s="1"/>
  <c r="AO133" i="6"/>
  <c r="I73" i="28"/>
  <c r="M73" i="28"/>
  <c r="AA73" i="28" s="1"/>
  <c r="AE73" i="28" s="1"/>
  <c r="AI73" i="28" s="1"/>
  <c r="AO73" i="28" s="1"/>
  <c r="AS73" i="28" s="1"/>
  <c r="I72" i="28"/>
  <c r="Q29" i="28"/>
  <c r="AJ299" i="28"/>
  <c r="AP299" i="28" s="1"/>
  <c r="AT299" i="28" s="1"/>
  <c r="Q21" i="28"/>
  <c r="E79" i="28"/>
  <c r="E83" i="28"/>
  <c r="E507" i="28"/>
  <c r="I236" i="28"/>
  <c r="E503" i="28"/>
  <c r="I299" i="28"/>
  <c r="E87" i="28"/>
  <c r="I74" i="28"/>
  <c r="E515" i="28"/>
  <c r="I416" i="28"/>
  <c r="F125" i="7"/>
  <c r="E511" i="28"/>
  <c r="AB98" i="28" l="1"/>
  <c r="V98" i="28"/>
  <c r="AB511" i="28"/>
  <c r="AF511" i="28" s="1"/>
  <c r="R98" i="28"/>
  <c r="AB515" i="28"/>
  <c r="AF515" i="28" s="1"/>
  <c r="AB76" i="28"/>
  <c r="AF76" i="28" s="1"/>
  <c r="R502" i="28"/>
  <c r="V502" i="28" s="1"/>
  <c r="R497" i="28"/>
  <c r="V497" i="28" s="1"/>
  <c r="R503" i="28"/>
  <c r="V503" i="28" s="1"/>
  <c r="AB496" i="28"/>
  <c r="AF496" i="28" s="1"/>
  <c r="R514" i="28"/>
  <c r="V514" i="28" s="1"/>
  <c r="R519" i="28"/>
  <c r="V519" i="28" s="1"/>
  <c r="R510" i="28"/>
  <c r="V510" i="28" s="1"/>
  <c r="R518" i="28"/>
  <c r="V518" i="28" s="1"/>
  <c r="AW51" i="7"/>
  <c r="AF70" i="28"/>
  <c r="AF98" i="28"/>
  <c r="AJ96" i="28"/>
  <c r="V70" i="28"/>
  <c r="R70" i="28"/>
  <c r="BF49" i="9"/>
  <c r="AX299" i="28"/>
  <c r="BF299" i="28" s="1"/>
  <c r="BH299" i="28" s="1"/>
  <c r="AX75" i="28"/>
  <c r="BF75" i="28" s="1"/>
  <c r="AX81" i="28"/>
  <c r="BF81" i="28" s="1"/>
  <c r="BH81" i="28" s="1"/>
  <c r="AX95" i="28"/>
  <c r="BF95" i="28" s="1"/>
  <c r="BH95" i="28" s="1"/>
  <c r="AW73" i="28"/>
  <c r="BE73" i="28" s="1"/>
  <c r="BG73" i="28" s="1"/>
  <c r="AJ69" i="28"/>
  <c r="AP69" i="28" s="1"/>
  <c r="AT69" i="28" s="1"/>
  <c r="AX69" i="28" s="1"/>
  <c r="BF69" i="28" s="1"/>
  <c r="BF70" i="28" s="1"/>
  <c r="F127" i="7"/>
  <c r="AA29" i="28"/>
  <c r="AE29" i="28" s="1"/>
  <c r="AI29" i="28" s="1"/>
  <c r="AO29" i="28" s="1"/>
  <c r="AS29" i="28" s="1"/>
  <c r="U29" i="28"/>
  <c r="AJ72" i="28"/>
  <c r="AP72" i="28" s="1"/>
  <c r="AT72" i="28" s="1"/>
  <c r="AA21" i="28"/>
  <c r="AE21" i="28" s="1"/>
  <c r="AI21" i="28" s="1"/>
  <c r="AO21" i="28" s="1"/>
  <c r="AS21" i="28" s="1"/>
  <c r="U21" i="28"/>
  <c r="AS51" i="7"/>
  <c r="AT517" i="28"/>
  <c r="AT97" i="28"/>
  <c r="AX97" i="28" s="1"/>
  <c r="AT133" i="6"/>
  <c r="AX133" i="6" s="1"/>
  <c r="AT502" i="28"/>
  <c r="AT510" i="28"/>
  <c r="AS133" i="6"/>
  <c r="AW133" i="6" s="1"/>
  <c r="AP502" i="28"/>
  <c r="AP510" i="28"/>
  <c r="AJ502" i="28"/>
  <c r="AJ510" i="28"/>
  <c r="I83" i="28"/>
  <c r="I509" i="28" s="1"/>
  <c r="M83" i="28"/>
  <c r="AA83" i="28" s="1"/>
  <c r="AE83" i="28" s="1"/>
  <c r="AI83" i="28" s="1"/>
  <c r="I79" i="28"/>
  <c r="I505" i="28" s="1"/>
  <c r="I87" i="28"/>
  <c r="I513" i="28" s="1"/>
  <c r="M87" i="28"/>
  <c r="AA87" i="28" s="1"/>
  <c r="AE87" i="28" s="1"/>
  <c r="AI87" i="28" s="1"/>
  <c r="AO87" i="28" s="1"/>
  <c r="Q73" i="28"/>
  <c r="U73" i="28" s="1"/>
  <c r="Q299" i="28"/>
  <c r="U299" i="28" s="1"/>
  <c r="Q74" i="28"/>
  <c r="U74" i="28" s="1"/>
  <c r="E505" i="28"/>
  <c r="E506" i="28"/>
  <c r="E509" i="28"/>
  <c r="E510" i="28"/>
  <c r="M503" i="28"/>
  <c r="E502" i="28"/>
  <c r="M511" i="28"/>
  <c r="I515" i="28"/>
  <c r="I507" i="28"/>
  <c r="E513" i="28"/>
  <c r="I503" i="28"/>
  <c r="I511" i="28"/>
  <c r="E514" i="28"/>
  <c r="N93" i="8"/>
  <c r="N17" i="8"/>
  <c r="N13" i="8"/>
  <c r="BH75" i="28" l="1"/>
  <c r="BE133" i="6"/>
  <c r="BG133" i="6" s="1"/>
  <c r="BF133" i="6"/>
  <c r="BH133" i="6" s="1"/>
  <c r="AP96" i="28"/>
  <c r="AJ98" i="28"/>
  <c r="AJ70" i="28"/>
  <c r="AX502" i="28"/>
  <c r="AX510" i="28"/>
  <c r="F128" i="7"/>
  <c r="BF510" i="28"/>
  <c r="BH510" i="28" s="1"/>
  <c r="BF502" i="28"/>
  <c r="BH502" i="28" s="1"/>
  <c r="AW21" i="28"/>
  <c r="BE21" i="28" s="1"/>
  <c r="BG21" i="28" s="1"/>
  <c r="AX72" i="28"/>
  <c r="BF72" i="28" s="1"/>
  <c r="BH72" i="28" s="1"/>
  <c r="AW29" i="28"/>
  <c r="BE29" i="28" s="1"/>
  <c r="BG29" i="28" s="1"/>
  <c r="AT513" i="28"/>
  <c r="AJ493" i="28"/>
  <c r="AP493" i="28" s="1"/>
  <c r="AT493" i="28" s="1"/>
  <c r="U511" i="28"/>
  <c r="U503" i="28"/>
  <c r="AX517" i="28"/>
  <c r="BF93" i="28"/>
  <c r="BE41" i="7"/>
  <c r="AO513" i="28"/>
  <c r="AS87" i="28"/>
  <c r="AP503" i="28"/>
  <c r="AT505" i="28"/>
  <c r="AP505" i="28"/>
  <c r="AP509" i="28"/>
  <c r="AP511" i="28"/>
  <c r="AI509" i="28"/>
  <c r="AO83" i="28"/>
  <c r="AS83" i="28" s="1"/>
  <c r="AJ511" i="28"/>
  <c r="AJ509" i="28"/>
  <c r="AJ503" i="28"/>
  <c r="AJ505" i="28"/>
  <c r="AI513" i="28"/>
  <c r="AJ236" i="28"/>
  <c r="I514" i="28"/>
  <c r="Q83" i="28"/>
  <c r="AE509" i="28"/>
  <c r="AE513" i="28"/>
  <c r="Q87" i="28"/>
  <c r="M502" i="28"/>
  <c r="I510" i="28"/>
  <c r="I506" i="28"/>
  <c r="I502" i="28"/>
  <c r="M510" i="28"/>
  <c r="M509" i="28"/>
  <c r="Q503" i="28"/>
  <c r="Q511" i="28"/>
  <c r="M515" i="28"/>
  <c r="Q416" i="28"/>
  <c r="U416" i="28" s="1"/>
  <c r="U515" i="28" s="1"/>
  <c r="M514" i="28"/>
  <c r="M513" i="28"/>
  <c r="R93" i="8"/>
  <c r="V93" i="8" s="1"/>
  <c r="R15" i="8"/>
  <c r="V15" i="8" s="1"/>
  <c r="R14" i="8"/>
  <c r="V14" i="8" s="1"/>
  <c r="R13" i="8"/>
  <c r="V13" i="8" s="1"/>
  <c r="R17" i="8"/>
  <c r="V17" i="8" s="1"/>
  <c r="F121" i="7"/>
  <c r="F129" i="7"/>
  <c r="H71" i="59"/>
  <c r="H67" i="59"/>
  <c r="H63" i="59"/>
  <c r="M160" i="73"/>
  <c r="Q160" i="73" s="1"/>
  <c r="M97" i="73"/>
  <c r="M46" i="73"/>
  <c r="M41" i="73"/>
  <c r="BF517" i="28" l="1"/>
  <c r="BH517" i="28" s="1"/>
  <c r="BH93" i="28"/>
  <c r="BF505" i="28"/>
  <c r="BH505" i="28" s="1"/>
  <c r="BH13" i="28"/>
  <c r="BE51" i="7"/>
  <c r="M30" i="73"/>
  <c r="Q30" i="73" s="1"/>
  <c r="U30" i="73" s="1"/>
  <c r="AP70" i="28"/>
  <c r="AT96" i="28"/>
  <c r="AP98" i="28"/>
  <c r="Q46" i="73"/>
  <c r="U46" i="73" s="1"/>
  <c r="Q97" i="73"/>
  <c r="U97" i="73" s="1"/>
  <c r="Q41" i="73"/>
  <c r="U41" i="73" s="1"/>
  <c r="AJ513" i="28"/>
  <c r="AX505" i="28"/>
  <c r="AX493" i="28"/>
  <c r="BF493" i="28" s="1"/>
  <c r="BH493" i="28" s="1"/>
  <c r="AW83" i="28"/>
  <c r="BE83" i="28" s="1"/>
  <c r="AX509" i="28"/>
  <c r="AX513" i="28"/>
  <c r="AW87" i="28"/>
  <c r="BE87" i="28" s="1"/>
  <c r="AP513" i="28"/>
  <c r="AJ518" i="28"/>
  <c r="AT518" i="28"/>
  <c r="AT519" i="28"/>
  <c r="AJ497" i="28"/>
  <c r="AP497" i="28"/>
  <c r="AP496" i="28"/>
  <c r="AJ519" i="28"/>
  <c r="AT496" i="28"/>
  <c r="AJ496" i="28"/>
  <c r="AT497" i="28"/>
  <c r="AP519" i="28"/>
  <c r="AP518" i="28"/>
  <c r="V16" i="8"/>
  <c r="Y513" i="28"/>
  <c r="U87" i="28"/>
  <c r="Q510" i="28"/>
  <c r="U83" i="28"/>
  <c r="AA160" i="73"/>
  <c r="AA41" i="73"/>
  <c r="AA46" i="73"/>
  <c r="AA97" i="73"/>
  <c r="BF97" i="28"/>
  <c r="BH97" i="28" s="1"/>
  <c r="AS513" i="28"/>
  <c r="AS509" i="28"/>
  <c r="AT509" i="28"/>
  <c r="AT511" i="28"/>
  <c r="AT503" i="28"/>
  <c r="AJ506" i="28"/>
  <c r="AP236" i="28"/>
  <c r="AT236" i="28" s="1"/>
  <c r="AO509" i="28"/>
  <c r="AJ507" i="28"/>
  <c r="AJ76" i="28"/>
  <c r="Q513" i="28"/>
  <c r="Q502" i="28"/>
  <c r="Q509" i="28"/>
  <c r="Y503" i="28"/>
  <c r="Y502" i="28"/>
  <c r="Y511" i="28"/>
  <c r="AA299" i="28"/>
  <c r="AE299" i="28" s="1"/>
  <c r="AI299" i="28" s="1"/>
  <c r="AO299" i="28" s="1"/>
  <c r="AS299" i="28" s="1"/>
  <c r="AW299" i="28" s="1"/>
  <c r="AA513" i="28"/>
  <c r="Y506" i="28"/>
  <c r="Y505" i="28"/>
  <c r="Y510" i="28"/>
  <c r="AA509" i="28"/>
  <c r="Y509" i="28"/>
  <c r="M171" i="73"/>
  <c r="Q515" i="28"/>
  <c r="Q514" i="28"/>
  <c r="M108" i="73"/>
  <c r="M25" i="73"/>
  <c r="M173" i="73"/>
  <c r="Q173" i="73" s="1"/>
  <c r="U173" i="73" s="1"/>
  <c r="I102" i="73"/>
  <c r="I101" i="73" s="1"/>
  <c r="I108" i="73"/>
  <c r="I25" i="73"/>
  <c r="I30" i="73"/>
  <c r="I97" i="73"/>
  <c r="I41" i="73"/>
  <c r="I160" i="73"/>
  <c r="I171" i="73" s="1"/>
  <c r="I46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73" i="73"/>
  <c r="F10" i="49"/>
  <c r="N10" i="49" s="1"/>
  <c r="R10" i="49" s="1"/>
  <c r="V10" i="49" s="1"/>
  <c r="F131" i="7"/>
  <c r="F130" i="7"/>
  <c r="I113" i="73" l="1"/>
  <c r="M113" i="73"/>
  <c r="BE509" i="28"/>
  <c r="BG509" i="28" s="1"/>
  <c r="BG83" i="28"/>
  <c r="BE513" i="28"/>
  <c r="BG513" i="28" s="1"/>
  <c r="BG87" i="28"/>
  <c r="AA30" i="73"/>
  <c r="AX96" i="28"/>
  <c r="AT98" i="28"/>
  <c r="AT70" i="28"/>
  <c r="AA171" i="73"/>
  <c r="Q171" i="73"/>
  <c r="U171" i="73" s="1"/>
  <c r="Q108" i="73"/>
  <c r="U108" i="73" s="1"/>
  <c r="Q25" i="73"/>
  <c r="U25" i="73" s="1"/>
  <c r="AW513" i="28"/>
  <c r="AX496" i="28"/>
  <c r="AX518" i="28"/>
  <c r="AX497" i="28"/>
  <c r="AX519" i="28"/>
  <c r="AX503" i="28"/>
  <c r="AW509" i="28"/>
  <c r="BF496" i="28"/>
  <c r="BH496" i="28" s="1"/>
  <c r="BF518" i="28"/>
  <c r="BH518" i="28" s="1"/>
  <c r="BF519" i="28"/>
  <c r="BH519" i="28" s="1"/>
  <c r="BF497" i="28"/>
  <c r="BH497" i="28" s="1"/>
  <c r="AX511" i="28"/>
  <c r="BH21" i="28"/>
  <c r="AX236" i="28"/>
  <c r="BF236" i="28" s="1"/>
  <c r="BH236" i="28" s="1"/>
  <c r="U160" i="73"/>
  <c r="AA173" i="73"/>
  <c r="AE173" i="73" s="1"/>
  <c r="AI173" i="73" s="1"/>
  <c r="U510" i="28"/>
  <c r="U502" i="28"/>
  <c r="U509" i="28"/>
  <c r="U514" i="28"/>
  <c r="U513" i="28"/>
  <c r="AA25" i="73"/>
  <c r="F12" i="49"/>
  <c r="J10" i="49"/>
  <c r="F132" i="7"/>
  <c r="AA108" i="73"/>
  <c r="AE108" i="73" s="1"/>
  <c r="AS510" i="28"/>
  <c r="BE299" i="28"/>
  <c r="BG299" i="28" s="1"/>
  <c r="AS503" i="28"/>
  <c r="AS502" i="28"/>
  <c r="AS511" i="28"/>
  <c r="AT506" i="28"/>
  <c r="AT507" i="28"/>
  <c r="AP76" i="28"/>
  <c r="AP506" i="28"/>
  <c r="AP507" i="28"/>
  <c r="AO503" i="28"/>
  <c r="AO502" i="28"/>
  <c r="AO511" i="28"/>
  <c r="AO510" i="28"/>
  <c r="AJ492" i="28"/>
  <c r="AI503" i="28"/>
  <c r="AI502" i="28"/>
  <c r="AI511" i="28"/>
  <c r="AI510" i="28"/>
  <c r="AE160" i="73"/>
  <c r="AI160" i="73" s="1"/>
  <c r="AE503" i="28"/>
  <c r="AE502" i="28"/>
  <c r="AE511" i="28"/>
  <c r="AE510" i="28"/>
  <c r="Y515" i="28"/>
  <c r="AA416" i="28"/>
  <c r="AE416" i="28" s="1"/>
  <c r="AI416" i="28" s="1"/>
  <c r="AO416" i="28" s="1"/>
  <c r="AS416" i="28" s="1"/>
  <c r="Y514" i="28"/>
  <c r="Y507" i="28"/>
  <c r="AA510" i="28"/>
  <c r="AA503" i="28"/>
  <c r="AA502" i="28"/>
  <c r="AA511" i="28"/>
  <c r="R65" i="8"/>
  <c r="V65" i="8" s="1"/>
  <c r="V72" i="8" s="1"/>
  <c r="N61" i="8"/>
  <c r="N59" i="8"/>
  <c r="R69" i="8"/>
  <c r="V69" i="8" s="1"/>
  <c r="V74" i="8" s="1"/>
  <c r="AE102" i="73"/>
  <c r="AI102" i="73" s="1"/>
  <c r="AE97" i="73"/>
  <c r="AE51" i="73"/>
  <c r="AE46" i="73"/>
  <c r="AI46" i="73" s="1"/>
  <c r="AE30" i="73"/>
  <c r="AE57" i="73"/>
  <c r="AE41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A113" i="73" l="1"/>
  <c r="BF513" i="28"/>
  <c r="BH513" i="28" s="1"/>
  <c r="BH29" i="28"/>
  <c r="AI41" i="73"/>
  <c r="AO41" i="73" s="1"/>
  <c r="AS41" i="73" s="1"/>
  <c r="AW41" i="73" s="1"/>
  <c r="AI57" i="73"/>
  <c r="AO57" i="73" s="1"/>
  <c r="AS57" i="73" s="1"/>
  <c r="AW57" i="73" s="1"/>
  <c r="AI51" i="73"/>
  <c r="AO51" i="73" s="1"/>
  <c r="AS51" i="73" s="1"/>
  <c r="AW51" i="73" s="1"/>
  <c r="AI97" i="73"/>
  <c r="AO97" i="73" s="1"/>
  <c r="AS97" i="73" s="1"/>
  <c r="AW97" i="73" s="1"/>
  <c r="AI30" i="73"/>
  <c r="AO30" i="73" s="1"/>
  <c r="AS30" i="73" s="1"/>
  <c r="AW30" i="73" s="1"/>
  <c r="AI108" i="73"/>
  <c r="AX70" i="28"/>
  <c r="BF96" i="28"/>
  <c r="AX98" i="28"/>
  <c r="Q113" i="73"/>
  <c r="U113" i="73" s="1"/>
  <c r="AX507" i="28"/>
  <c r="AX506" i="28"/>
  <c r="BF507" i="28"/>
  <c r="BH507" i="28" s="1"/>
  <c r="BF506" i="28"/>
  <c r="BH506" i="28" s="1"/>
  <c r="BF503" i="28"/>
  <c r="BH503" i="28" s="1"/>
  <c r="BF509" i="28"/>
  <c r="BH509" i="28" s="1"/>
  <c r="BF511" i="28"/>
  <c r="BH511" i="28" s="1"/>
  <c r="AW416" i="28"/>
  <c r="BE416" i="28" s="1"/>
  <c r="BG416" i="28" s="1"/>
  <c r="AO46" i="73"/>
  <c r="AS46" i="73" s="1"/>
  <c r="F133" i="7"/>
  <c r="J12" i="49"/>
  <c r="N12" i="49"/>
  <c r="R12" i="49" s="1"/>
  <c r="V12" i="49" s="1"/>
  <c r="R61" i="8"/>
  <c r="V61" i="8" s="1"/>
  <c r="BE503" i="28"/>
  <c r="BG503" i="28" s="1"/>
  <c r="BE502" i="28"/>
  <c r="BG502" i="28" s="1"/>
  <c r="BE511" i="28"/>
  <c r="BG511" i="28" s="1"/>
  <c r="BE510" i="28"/>
  <c r="BG510" i="28" s="1"/>
  <c r="AW511" i="28"/>
  <c r="AW502" i="28"/>
  <c r="AW503" i="28"/>
  <c r="AW510" i="28"/>
  <c r="AS515" i="28"/>
  <c r="AS514" i="28"/>
  <c r="AT76" i="28"/>
  <c r="AO515" i="28"/>
  <c r="AO514" i="28"/>
  <c r="AJ524" i="28"/>
  <c r="AP492" i="28"/>
  <c r="AE25" i="73"/>
  <c r="AO173" i="73"/>
  <c r="AS173" i="73" s="1"/>
  <c r="AE101" i="73"/>
  <c r="AI101" i="73" s="1"/>
  <c r="AE171" i="73"/>
  <c r="AI171" i="73" s="1"/>
  <c r="AJ256" i="28"/>
  <c r="AJ304" i="28"/>
  <c r="AJ512" i="28" s="1"/>
  <c r="AI515" i="28"/>
  <c r="AI514" i="28"/>
  <c r="AE515" i="28"/>
  <c r="AE514" i="28"/>
  <c r="R72" i="8"/>
  <c r="AA515" i="28"/>
  <c r="AA514" i="28"/>
  <c r="N63" i="8"/>
  <c r="R63" i="8" s="1"/>
  <c r="V63" i="8" s="1"/>
  <c r="R59" i="8"/>
  <c r="V59" i="8" s="1"/>
  <c r="R74" i="8"/>
  <c r="M17" i="15"/>
  <c r="I16" i="15"/>
  <c r="I17" i="15" s="1"/>
  <c r="AI25" i="73" l="1"/>
  <c r="AI113" i="73" s="1"/>
  <c r="AE113" i="73"/>
  <c r="BH69" i="28"/>
  <c r="BF98" i="28"/>
  <c r="BH96" i="28"/>
  <c r="BE97" i="73"/>
  <c r="BE51" i="73"/>
  <c r="BE57" i="73"/>
  <c r="BE41" i="73"/>
  <c r="AO108" i="73"/>
  <c r="AS108" i="73" s="1"/>
  <c r="AW108" i="73" s="1"/>
  <c r="AW46" i="73"/>
  <c r="AW173" i="73"/>
  <c r="BE30" i="73"/>
  <c r="AX76" i="28"/>
  <c r="BF76" i="28" s="1"/>
  <c r="AW514" i="28"/>
  <c r="BE515" i="28"/>
  <c r="BG515" i="28" s="1"/>
  <c r="BE514" i="28"/>
  <c r="BG514" i="28" s="1"/>
  <c r="AW515" i="28"/>
  <c r="F135" i="7"/>
  <c r="V71" i="8"/>
  <c r="V70" i="8"/>
  <c r="AP524" i="28"/>
  <c r="AT492" i="28"/>
  <c r="AX492" i="28" s="1"/>
  <c r="AP304" i="28"/>
  <c r="AJ508" i="28"/>
  <c r="AP256" i="28"/>
  <c r="BD508" i="28" s="1"/>
  <c r="BK508" i="28" s="1"/>
  <c r="AO101" i="73"/>
  <c r="AO102" i="73"/>
  <c r="AS102" i="73" s="1"/>
  <c r="AW102" i="73" s="1"/>
  <c r="AO171" i="73"/>
  <c r="AO160" i="73"/>
  <c r="AS160" i="73" s="1"/>
  <c r="R71" i="8"/>
  <c r="R70" i="8"/>
  <c r="D132" i="6"/>
  <c r="D119" i="6"/>
  <c r="D114" i="6"/>
  <c r="D98" i="6"/>
  <c r="D77" i="6"/>
  <c r="D69" i="6"/>
  <c r="D66" i="6"/>
  <c r="D41" i="6"/>
  <c r="D16" i="6"/>
  <c r="D17" i="6"/>
  <c r="F189" i="6"/>
  <c r="BH189" i="6" s="1"/>
  <c r="F188" i="6"/>
  <c r="E188" i="6"/>
  <c r="F187" i="6"/>
  <c r="E187" i="6"/>
  <c r="F163" i="6"/>
  <c r="BH163" i="6" s="1"/>
  <c r="F162" i="6"/>
  <c r="F138" i="6"/>
  <c r="F135" i="6"/>
  <c r="E135" i="6"/>
  <c r="F132" i="6"/>
  <c r="E132" i="6"/>
  <c r="N130" i="6"/>
  <c r="M130" i="6"/>
  <c r="AA130" i="6" s="1"/>
  <c r="N125" i="6"/>
  <c r="AB125" i="6" s="1"/>
  <c r="AF125" i="6" s="1"/>
  <c r="M125" i="6"/>
  <c r="F119" i="6"/>
  <c r="E119" i="6"/>
  <c r="F114" i="6"/>
  <c r="E114" i="6"/>
  <c r="F103" i="6"/>
  <c r="E103" i="6"/>
  <c r="F98" i="6"/>
  <c r="E98" i="6"/>
  <c r="F77" i="6"/>
  <c r="E77" i="6"/>
  <c r="F69" i="6"/>
  <c r="E69" i="6"/>
  <c r="F66" i="6"/>
  <c r="E66" i="6"/>
  <c r="E41" i="6"/>
  <c r="F32" i="6"/>
  <c r="F29" i="6"/>
  <c r="F26" i="6"/>
  <c r="E18" i="6"/>
  <c r="BH76" i="28" l="1"/>
  <c r="M132" i="6"/>
  <c r="N132" i="6"/>
  <c r="AB132" i="6" s="1"/>
  <c r="AF132" i="6" s="1"/>
  <c r="AJ132" i="6" s="1"/>
  <c r="N135" i="6"/>
  <c r="AB135" i="6" s="1"/>
  <c r="AF135" i="6" s="1"/>
  <c r="AJ135" i="6" s="1"/>
  <c r="M124" i="6"/>
  <c r="Q124" i="6" s="1"/>
  <c r="U124" i="6" s="1"/>
  <c r="N163" i="6"/>
  <c r="N189" i="6"/>
  <c r="N124" i="6"/>
  <c r="AB124" i="6" s="1"/>
  <c r="AF124" i="6" s="1"/>
  <c r="AJ124" i="6" s="1"/>
  <c r="AW160" i="73"/>
  <c r="BE173" i="73"/>
  <c r="BE108" i="73"/>
  <c r="BF107" i="73" s="1"/>
  <c r="AW101" i="73"/>
  <c r="BE46" i="73"/>
  <c r="AP512" i="28"/>
  <c r="AT304" i="28"/>
  <c r="AB130" i="6"/>
  <c r="AF130" i="6" s="1"/>
  <c r="AJ130" i="6" s="1"/>
  <c r="N138" i="6"/>
  <c r="R138" i="6" s="1"/>
  <c r="V138" i="6" s="1"/>
  <c r="M18" i="6"/>
  <c r="M191" i="6" s="1"/>
  <c r="AT524" i="28"/>
  <c r="AS171" i="73"/>
  <c r="AS101" i="73"/>
  <c r="AJ125" i="6"/>
  <c r="AP508" i="28"/>
  <c r="AT256" i="28"/>
  <c r="AX256" i="28" s="1"/>
  <c r="AO25" i="73"/>
  <c r="AO113" i="73" s="1"/>
  <c r="Q125" i="6"/>
  <c r="U125" i="6" s="1"/>
  <c r="AA125" i="6"/>
  <c r="AE125" i="6" s="1"/>
  <c r="AI125" i="6" s="1"/>
  <c r="Q132" i="6"/>
  <c r="U132" i="6" s="1"/>
  <c r="AA132" i="6"/>
  <c r="AE132" i="6" s="1"/>
  <c r="AI132" i="6" s="1"/>
  <c r="Q130" i="6"/>
  <c r="U130" i="6" s="1"/>
  <c r="AE130" i="6"/>
  <c r="AI130" i="6" s="1"/>
  <c r="R130" i="6"/>
  <c r="V130" i="6" s="1"/>
  <c r="R125" i="6"/>
  <c r="V125" i="6" s="1"/>
  <c r="M135" i="6"/>
  <c r="D136" i="6"/>
  <c r="N21" i="6"/>
  <c r="F34" i="6"/>
  <c r="N22" i="6"/>
  <c r="E7" i="6"/>
  <c r="F120" i="6"/>
  <c r="F194" i="6"/>
  <c r="D159" i="6"/>
  <c r="E15" i="6"/>
  <c r="D15" i="6"/>
  <c r="E17" i="6"/>
  <c r="F136" i="6"/>
  <c r="D131" i="6"/>
  <c r="F131" i="6"/>
  <c r="D7" i="6"/>
  <c r="D18" i="6"/>
  <c r="D27" i="6"/>
  <c r="D104" i="6"/>
  <c r="D106" i="6" s="1"/>
  <c r="D146" i="6" s="1"/>
  <c r="D120" i="6"/>
  <c r="D122" i="6" s="1"/>
  <c r="D164" i="6"/>
  <c r="D30" i="6"/>
  <c r="D24" i="6"/>
  <c r="D21" i="6"/>
  <c r="E131" i="6"/>
  <c r="E31" i="6"/>
  <c r="E28" i="6"/>
  <c r="E25" i="6"/>
  <c r="E184" i="6"/>
  <c r="E22" i="6"/>
  <c r="F104" i="6"/>
  <c r="F106" i="6" s="1"/>
  <c r="F146" i="6" s="1"/>
  <c r="E136" i="6"/>
  <c r="E16" i="6"/>
  <c r="E104" i="6"/>
  <c r="E106" i="6" s="1"/>
  <c r="E146" i="6" s="1"/>
  <c r="E120" i="6"/>
  <c r="F23" i="6"/>
  <c r="F33" i="6"/>
  <c r="D168" i="6" l="1"/>
  <c r="D171" i="6"/>
  <c r="R124" i="6"/>
  <c r="V124" i="6" s="1"/>
  <c r="V131" i="6" s="1"/>
  <c r="M22" i="6"/>
  <c r="M25" i="6"/>
  <c r="Q25" i="6" s="1"/>
  <c r="U25" i="6" s="1"/>
  <c r="AF136" i="6"/>
  <c r="M28" i="6"/>
  <c r="Q28" i="6" s="1"/>
  <c r="U28" i="6" s="1"/>
  <c r="F122" i="6"/>
  <c r="F171" i="6" s="1"/>
  <c r="R135" i="6"/>
  <c r="V135" i="6" s="1"/>
  <c r="E122" i="6"/>
  <c r="E171" i="6" s="1"/>
  <c r="AA124" i="6"/>
  <c r="AE124" i="6" s="1"/>
  <c r="AE131" i="6" s="1"/>
  <c r="M31" i="6"/>
  <c r="Q31" i="6" s="1"/>
  <c r="U31" i="6" s="1"/>
  <c r="R132" i="6"/>
  <c r="V132" i="6" s="1"/>
  <c r="AW171" i="73"/>
  <c r="Q18" i="6"/>
  <c r="U18" i="6" s="1"/>
  <c r="U184" i="6" s="1"/>
  <c r="AB138" i="6"/>
  <c r="AF138" i="6" s="1"/>
  <c r="AJ138" i="6" s="1"/>
  <c r="AF131" i="6"/>
  <c r="AT512" i="28"/>
  <c r="AX304" i="28"/>
  <c r="AX512" i="28" s="1"/>
  <c r="U131" i="6"/>
  <c r="M17" i="6"/>
  <c r="Q17" i="6" s="1"/>
  <c r="BE102" i="73"/>
  <c r="BE101" i="73" s="1"/>
  <c r="BE160" i="73"/>
  <c r="BE171" i="73" s="1"/>
  <c r="AX524" i="28"/>
  <c r="BF492" i="28"/>
  <c r="AT508" i="28"/>
  <c r="AP125" i="6"/>
  <c r="AO130" i="6"/>
  <c r="AO132" i="6"/>
  <c r="AO125" i="6"/>
  <c r="AP135" i="6"/>
  <c r="AP132" i="6"/>
  <c r="AJ136" i="6"/>
  <c r="AP130" i="6"/>
  <c r="AP124" i="6"/>
  <c r="AS25" i="73"/>
  <c r="AS113" i="73" s="1"/>
  <c r="Q131" i="6"/>
  <c r="Q135" i="6"/>
  <c r="U135" i="6" s="1"/>
  <c r="U136" i="6" s="1"/>
  <c r="AA135" i="6"/>
  <c r="AE135" i="6" s="1"/>
  <c r="D137" i="6"/>
  <c r="D139" i="6" s="1"/>
  <c r="N34" i="6"/>
  <c r="R34" i="6" s="1"/>
  <c r="V34" i="6" s="1"/>
  <c r="N156" i="6"/>
  <c r="Q22" i="6"/>
  <c r="U22" i="6" s="1"/>
  <c r="N155" i="6"/>
  <c r="N154" i="6"/>
  <c r="N177" i="6"/>
  <c r="R22" i="6"/>
  <c r="V22" i="6" s="1"/>
  <c r="N152" i="6"/>
  <c r="R21" i="6"/>
  <c r="V21" i="6" s="1"/>
  <c r="N180" i="6"/>
  <c r="N182" i="6"/>
  <c r="N181" i="6"/>
  <c r="N179" i="6"/>
  <c r="N178" i="6"/>
  <c r="F35" i="6"/>
  <c r="N33" i="6"/>
  <c r="N153" i="6"/>
  <c r="N157" i="6"/>
  <c r="E19" i="6"/>
  <c r="E21" i="6"/>
  <c r="E159" i="6"/>
  <c r="E27" i="6"/>
  <c r="E24" i="6"/>
  <c r="E30" i="6"/>
  <c r="F137" i="6"/>
  <c r="E137" i="6"/>
  <c r="D144" i="6"/>
  <c r="D184" i="6"/>
  <c r="D25" i="6"/>
  <c r="D26" i="6" s="1"/>
  <c r="D22" i="6"/>
  <c r="D23" i="6" s="1"/>
  <c r="D28" i="6"/>
  <c r="D29" i="6" s="1"/>
  <c r="D31" i="6"/>
  <c r="D32" i="6" s="1"/>
  <c r="D190" i="6"/>
  <c r="D19" i="6"/>
  <c r="D33" i="6"/>
  <c r="D169" i="6"/>
  <c r="D170" i="6" s="1"/>
  <c r="D143" i="6"/>
  <c r="E144" i="6"/>
  <c r="E143" i="6"/>
  <c r="E34" i="6"/>
  <c r="D213" i="6" l="1"/>
  <c r="D203" i="6"/>
  <c r="D201" i="6"/>
  <c r="D202" i="6"/>
  <c r="BF524" i="28"/>
  <c r="BH524" i="28" s="1"/>
  <c r="BH492" i="28"/>
  <c r="Q184" i="6"/>
  <c r="R131" i="6"/>
  <c r="F143" i="6"/>
  <c r="F144" i="6"/>
  <c r="I15" i="59" s="1"/>
  <c r="E168" i="6"/>
  <c r="R136" i="6"/>
  <c r="AI124" i="6"/>
  <c r="AO124" i="6" s="1"/>
  <c r="F168" i="6"/>
  <c r="F169" i="6"/>
  <c r="I22" i="59" s="1"/>
  <c r="V136" i="6"/>
  <c r="V137" i="6" s="1"/>
  <c r="V139" i="6" s="1"/>
  <c r="V203" i="6" s="1"/>
  <c r="AF137" i="6"/>
  <c r="AF139" i="6" s="1"/>
  <c r="M34" i="6"/>
  <c r="E139" i="6"/>
  <c r="Q191" i="6"/>
  <c r="U191" i="6" s="1"/>
  <c r="M21" i="6"/>
  <c r="E169" i="6"/>
  <c r="E170" i="6" s="1"/>
  <c r="AJ131" i="6"/>
  <c r="AJ137" i="6" s="1"/>
  <c r="AJ139" i="6" s="1"/>
  <c r="AJ203" i="6" s="1"/>
  <c r="M165" i="6"/>
  <c r="Q165" i="6" s="1"/>
  <c r="D207" i="6"/>
  <c r="AW25" i="73"/>
  <c r="AW113" i="73" s="1"/>
  <c r="Q19" i="6"/>
  <c r="Q84" i="6" s="1"/>
  <c r="U17" i="6"/>
  <c r="V23" i="6"/>
  <c r="U137" i="6"/>
  <c r="U139" i="6" s="1"/>
  <c r="Q136" i="6"/>
  <c r="Q137" i="6" s="1"/>
  <c r="Q139" i="6" s="1"/>
  <c r="BF304" i="28"/>
  <c r="AX508" i="28"/>
  <c r="BF256" i="28"/>
  <c r="AE136" i="6"/>
  <c r="AE137" i="6" s="1"/>
  <c r="AE139" i="6" s="1"/>
  <c r="AI135" i="6"/>
  <c r="AT132" i="6"/>
  <c r="AX132" i="6" s="1"/>
  <c r="AP136" i="6"/>
  <c r="AS125" i="6"/>
  <c r="AW125" i="6" s="1"/>
  <c r="AS130" i="6"/>
  <c r="AT124" i="6"/>
  <c r="AX124" i="6" s="1"/>
  <c r="AP131" i="6"/>
  <c r="AT130" i="6"/>
  <c r="AX130" i="6" s="1"/>
  <c r="AT135" i="6"/>
  <c r="AX135" i="6" s="1"/>
  <c r="AS132" i="6"/>
  <c r="AW132" i="6" s="1"/>
  <c r="AP138" i="6"/>
  <c r="AT125" i="6"/>
  <c r="AX125" i="6" s="1"/>
  <c r="R153" i="6"/>
  <c r="V153" i="6" s="1"/>
  <c r="R154" i="6"/>
  <c r="V154" i="6" s="1"/>
  <c r="R157" i="6"/>
  <c r="V157" i="6" s="1"/>
  <c r="R155" i="6"/>
  <c r="V155" i="6" s="1"/>
  <c r="R156" i="6"/>
  <c r="V156" i="6" s="1"/>
  <c r="D214" i="6"/>
  <c r="D199" i="6"/>
  <c r="D208" i="6"/>
  <c r="D200" i="6"/>
  <c r="D205" i="6"/>
  <c r="D210" i="6"/>
  <c r="D209" i="6"/>
  <c r="D204" i="6"/>
  <c r="Q159" i="6"/>
  <c r="Q34" i="6"/>
  <c r="U34" i="6" s="1"/>
  <c r="R33" i="6"/>
  <c r="V33" i="6" s="1"/>
  <c r="V35" i="6" s="1"/>
  <c r="R152" i="6"/>
  <c r="V152" i="6" s="1"/>
  <c r="R178" i="6"/>
  <c r="V178" i="6" s="1"/>
  <c r="R177" i="6"/>
  <c r="V177" i="6" s="1"/>
  <c r="R179" i="6"/>
  <c r="V179" i="6" s="1"/>
  <c r="R23" i="6"/>
  <c r="R181" i="6"/>
  <c r="V181" i="6" s="1"/>
  <c r="R182" i="6"/>
  <c r="V182" i="6" s="1"/>
  <c r="R180" i="6"/>
  <c r="V180" i="6" s="1"/>
  <c r="D84" i="6"/>
  <c r="E84" i="6"/>
  <c r="E29" i="6"/>
  <c r="M27" i="6"/>
  <c r="E26" i="6"/>
  <c r="M24" i="6"/>
  <c r="E32" i="6"/>
  <c r="M30" i="6"/>
  <c r="E23" i="6"/>
  <c r="E33" i="6"/>
  <c r="F139" i="6"/>
  <c r="E81" i="6"/>
  <c r="D81" i="6"/>
  <c r="D145" i="6"/>
  <c r="D34" i="6"/>
  <c r="D35" i="6" s="1"/>
  <c r="E145" i="6"/>
  <c r="E213" i="6" l="1"/>
  <c r="F170" i="6"/>
  <c r="E202" i="6"/>
  <c r="E203" i="6"/>
  <c r="E201" i="6"/>
  <c r="R137" i="6"/>
  <c r="R139" i="6" s="1"/>
  <c r="AI131" i="6"/>
  <c r="F145" i="6"/>
  <c r="E204" i="6"/>
  <c r="E207" i="6"/>
  <c r="BF508" i="28"/>
  <c r="BH508" i="28" s="1"/>
  <c r="BH256" i="28"/>
  <c r="BF512" i="28"/>
  <c r="BH512" i="28" s="1"/>
  <c r="BH304" i="28"/>
  <c r="V204" i="6"/>
  <c r="E205" i="6"/>
  <c r="V209" i="6"/>
  <c r="E209" i="6"/>
  <c r="E199" i="6"/>
  <c r="V195" i="6"/>
  <c r="V205" i="6"/>
  <c r="V200" i="6"/>
  <c r="V213" i="6"/>
  <c r="V207" i="6"/>
  <c r="V202" i="6"/>
  <c r="V208" i="6"/>
  <c r="V199" i="6"/>
  <c r="E208" i="6"/>
  <c r="V210" i="6"/>
  <c r="BE125" i="6"/>
  <c r="BG125" i="6" s="1"/>
  <c r="BF132" i="6"/>
  <c r="BH132" i="6" s="1"/>
  <c r="BF125" i="6"/>
  <c r="BH125" i="6" s="1"/>
  <c r="BE132" i="6"/>
  <c r="BG132" i="6" s="1"/>
  <c r="E210" i="6"/>
  <c r="BF135" i="6"/>
  <c r="BH135" i="6" s="1"/>
  <c r="BF130" i="6"/>
  <c r="BH130" i="6" s="1"/>
  <c r="BF124" i="6"/>
  <c r="BH124" i="6" s="1"/>
  <c r="E200" i="6"/>
  <c r="Q81" i="6"/>
  <c r="AF195" i="6"/>
  <c r="AF203" i="6"/>
  <c r="R195" i="6"/>
  <c r="R203" i="6"/>
  <c r="U200" i="6"/>
  <c r="U203" i="6"/>
  <c r="AE207" i="6"/>
  <c r="AE203" i="6"/>
  <c r="Q207" i="6"/>
  <c r="Q203" i="6"/>
  <c r="U202" i="6"/>
  <c r="U213" i="6"/>
  <c r="U214" i="6" s="1"/>
  <c r="U199" i="6"/>
  <c r="Q205" i="6"/>
  <c r="Q199" i="6"/>
  <c r="U209" i="6"/>
  <c r="Q208" i="6"/>
  <c r="U210" i="6"/>
  <c r="V194" i="6"/>
  <c r="U207" i="6"/>
  <c r="U165" i="6"/>
  <c r="AX136" i="6"/>
  <c r="Q204" i="6"/>
  <c r="Q209" i="6"/>
  <c r="AX131" i="6"/>
  <c r="U205" i="6"/>
  <c r="U208" i="6"/>
  <c r="U19" i="6"/>
  <c r="U81" i="6" s="1"/>
  <c r="U159" i="6"/>
  <c r="Q210" i="6"/>
  <c r="AW130" i="6"/>
  <c r="U204" i="6"/>
  <c r="Q202" i="6"/>
  <c r="Q200" i="6"/>
  <c r="Q213" i="6"/>
  <c r="Q214" i="6" s="1"/>
  <c r="BE25" i="73"/>
  <c r="BE113" i="73" s="1"/>
  <c r="AE199" i="6"/>
  <c r="AE209" i="6"/>
  <c r="AE210" i="6"/>
  <c r="AE205" i="6"/>
  <c r="AE204" i="6"/>
  <c r="AE213" i="6"/>
  <c r="AE214" i="6" s="1"/>
  <c r="AE202" i="6"/>
  <c r="AP137" i="6"/>
  <c r="AP139" i="6" s="1"/>
  <c r="AP203" i="6" s="1"/>
  <c r="AE200" i="6"/>
  <c r="AE208" i="6"/>
  <c r="AJ195" i="6"/>
  <c r="AJ213" i="6"/>
  <c r="AO135" i="6"/>
  <c r="AI136" i="6"/>
  <c r="AI137" i="6" s="1"/>
  <c r="AI139" i="6" s="1"/>
  <c r="AI203" i="6" s="1"/>
  <c r="AS124" i="6"/>
  <c r="AW124" i="6" s="1"/>
  <c r="AO131" i="6"/>
  <c r="AT131" i="6"/>
  <c r="AT138" i="6"/>
  <c r="AF202" i="6"/>
  <c r="AF209" i="6"/>
  <c r="AF208" i="6"/>
  <c r="AF200" i="6"/>
  <c r="AF210" i="6"/>
  <c r="AF199" i="6"/>
  <c r="AF204" i="6"/>
  <c r="AF205" i="6"/>
  <c r="AF207" i="6"/>
  <c r="AF213" i="6"/>
  <c r="AT136" i="6"/>
  <c r="AJ202" i="6"/>
  <c r="AJ209" i="6"/>
  <c r="AJ208" i="6"/>
  <c r="AJ207" i="6"/>
  <c r="AJ204" i="6"/>
  <c r="AJ200" i="6"/>
  <c r="AJ210" i="6"/>
  <c r="AJ199" i="6"/>
  <c r="AJ205" i="6"/>
  <c r="Y18" i="59"/>
  <c r="Y17" i="59"/>
  <c r="R194" i="6"/>
  <c r="Y20" i="59"/>
  <c r="R202" i="6"/>
  <c r="R209" i="6"/>
  <c r="R208" i="6"/>
  <c r="R199" i="6"/>
  <c r="R210" i="6"/>
  <c r="R204" i="6"/>
  <c r="R213" i="6"/>
  <c r="R207" i="6"/>
  <c r="R205" i="6"/>
  <c r="R200" i="6"/>
  <c r="Y19" i="59"/>
  <c r="Y24" i="59"/>
  <c r="D211" i="6"/>
  <c r="D206" i="6"/>
  <c r="F209" i="6"/>
  <c r="R35" i="6"/>
  <c r="Q21" i="6"/>
  <c r="Q24" i="6"/>
  <c r="Q27" i="6"/>
  <c r="Q30" i="6"/>
  <c r="F207" i="6"/>
  <c r="F193" i="6"/>
  <c r="Y25" i="59"/>
  <c r="Y27" i="59"/>
  <c r="Y26" i="59"/>
  <c r="E35" i="6"/>
  <c r="M33" i="6"/>
  <c r="F210" i="6"/>
  <c r="F208" i="6"/>
  <c r="E214" i="6" l="1"/>
  <c r="V211" i="6"/>
  <c r="V214" i="6"/>
  <c r="E211" i="6"/>
  <c r="BF136" i="6"/>
  <c r="BH136" i="6" s="1"/>
  <c r="V206" i="6"/>
  <c r="V212" i="6" s="1"/>
  <c r="BF131" i="6"/>
  <c r="BH131" i="6" s="1"/>
  <c r="E206" i="6"/>
  <c r="BE130" i="6"/>
  <c r="BG130" i="6" s="1"/>
  <c r="BE124" i="6"/>
  <c r="BG124" i="6" s="1"/>
  <c r="AW131" i="6"/>
  <c r="Q211" i="6"/>
  <c r="Q206" i="6"/>
  <c r="U211" i="6"/>
  <c r="U206" i="6"/>
  <c r="AX137" i="6"/>
  <c r="Q29" i="6"/>
  <c r="U27" i="6"/>
  <c r="U29" i="6" s="1"/>
  <c r="Q23" i="6"/>
  <c r="U21" i="6"/>
  <c r="U23" i="6" s="1"/>
  <c r="AX138" i="6"/>
  <c r="Q26" i="6"/>
  <c r="U24" i="6"/>
  <c r="U26" i="6" s="1"/>
  <c r="Q32" i="6"/>
  <c r="U30" i="6"/>
  <c r="U32" i="6" s="1"/>
  <c r="U84" i="6"/>
  <c r="AE211" i="6"/>
  <c r="AP213" i="6"/>
  <c r="AE206" i="6"/>
  <c r="AJ211" i="6"/>
  <c r="AM11" i="59" s="1"/>
  <c r="AJ206" i="6"/>
  <c r="AJ214" i="6"/>
  <c r="AI207" i="6"/>
  <c r="AI209" i="6"/>
  <c r="AI202" i="6"/>
  <c r="AI208" i="6"/>
  <c r="AI205" i="6"/>
  <c r="AI204" i="6"/>
  <c r="AI200" i="6"/>
  <c r="AI213" i="6"/>
  <c r="AI214" i="6" s="1"/>
  <c r="AI199" i="6"/>
  <c r="AI210" i="6"/>
  <c r="AS135" i="6"/>
  <c r="AW135" i="6" s="1"/>
  <c r="AO136" i="6"/>
  <c r="AO137" i="6" s="1"/>
  <c r="AO139" i="6" s="1"/>
  <c r="AV11" i="59"/>
  <c r="AF206" i="6"/>
  <c r="AS131" i="6"/>
  <c r="AF211" i="6"/>
  <c r="AI11" i="59" s="1"/>
  <c r="AT137" i="6"/>
  <c r="AT139" i="6" s="1"/>
  <c r="AT203" i="6" s="1"/>
  <c r="AP195" i="6"/>
  <c r="AP202" i="6"/>
  <c r="AP209" i="6"/>
  <c r="AP208" i="6"/>
  <c r="AP210" i="6"/>
  <c r="AP200" i="6"/>
  <c r="AP204" i="6"/>
  <c r="AP207" i="6"/>
  <c r="AP199" i="6"/>
  <c r="AP205" i="6"/>
  <c r="AF214" i="6"/>
  <c r="AP11" i="59"/>
  <c r="AR11" i="59"/>
  <c r="AL11" i="59"/>
  <c r="AH11" i="59"/>
  <c r="AD11" i="59"/>
  <c r="AB11" i="59"/>
  <c r="R214" i="6"/>
  <c r="R211" i="6"/>
  <c r="U11" i="59" s="1"/>
  <c r="R206" i="6"/>
  <c r="D212" i="6"/>
  <c r="P11" i="59"/>
  <c r="T11" i="59"/>
  <c r="H11" i="59"/>
  <c r="F214" i="6"/>
  <c r="Q33" i="6"/>
  <c r="U33" i="6" s="1"/>
  <c r="U35" i="6" s="1"/>
  <c r="F206" i="6"/>
  <c r="F211" i="6"/>
  <c r="V215" i="6" l="1"/>
  <c r="D215" i="6"/>
  <c r="E212" i="6"/>
  <c r="BF137" i="6"/>
  <c r="BH137" i="6" s="1"/>
  <c r="BE131" i="6"/>
  <c r="BG131" i="6" s="1"/>
  <c r="BE135" i="6"/>
  <c r="BF138" i="6"/>
  <c r="BH138" i="6" s="1"/>
  <c r="AO210" i="6"/>
  <c r="AO203" i="6"/>
  <c r="Q212" i="6"/>
  <c r="Q215" i="6" s="1"/>
  <c r="I11" i="59"/>
  <c r="U212" i="6"/>
  <c r="U215" i="6" s="1"/>
  <c r="AX139" i="6"/>
  <c r="AW136" i="6"/>
  <c r="AE212" i="6"/>
  <c r="AE215" i="6" s="1"/>
  <c r="AP214" i="6"/>
  <c r="R212" i="6"/>
  <c r="R215" i="6" s="1"/>
  <c r="AJ212" i="6"/>
  <c r="AJ9" i="36" s="1"/>
  <c r="AM10" i="59" s="1"/>
  <c r="AP206" i="6"/>
  <c r="AT213" i="6"/>
  <c r="AP211" i="6"/>
  <c r="AS11" i="59" s="1"/>
  <c r="AT195" i="6"/>
  <c r="AT202" i="6"/>
  <c r="AT209" i="6"/>
  <c r="AT208" i="6"/>
  <c r="AT210" i="6"/>
  <c r="AT204" i="6"/>
  <c r="AT200" i="6"/>
  <c r="AT205" i="6"/>
  <c r="AT199" i="6"/>
  <c r="AT207" i="6"/>
  <c r="AF212" i="6"/>
  <c r="AO202" i="6"/>
  <c r="AO209" i="6"/>
  <c r="AO208" i="6"/>
  <c r="AO200" i="6"/>
  <c r="AO213" i="6"/>
  <c r="AO214" i="6" s="1"/>
  <c r="AO207" i="6"/>
  <c r="AO205" i="6"/>
  <c r="AO204" i="6"/>
  <c r="AO199" i="6"/>
  <c r="AS136" i="6"/>
  <c r="AS137" i="6" s="1"/>
  <c r="AS139" i="6" s="1"/>
  <c r="AS203" i="6" s="1"/>
  <c r="AI206" i="6"/>
  <c r="AI211" i="6"/>
  <c r="Y11" i="59"/>
  <c r="Q35" i="6"/>
  <c r="F212" i="6"/>
  <c r="Q46" i="38"/>
  <c r="AE46" i="38" s="1"/>
  <c r="AI46" i="38" s="1"/>
  <c r="AM46" i="38" s="1"/>
  <c r="Q45" i="38"/>
  <c r="AE45" i="38" s="1"/>
  <c r="AI45" i="38" s="1"/>
  <c r="AM45" i="38" s="1"/>
  <c r="Q44" i="38"/>
  <c r="AE44" i="38" s="1"/>
  <c r="AI44" i="38" s="1"/>
  <c r="AM44" i="38" s="1"/>
  <c r="Q43" i="38"/>
  <c r="AE43" i="38" s="1"/>
  <c r="AI43" i="38" s="1"/>
  <c r="AM43" i="38" s="1"/>
  <c r="Q38" i="38"/>
  <c r="AE38" i="38" s="1"/>
  <c r="AI38" i="38" s="1"/>
  <c r="AM38" i="38" s="1"/>
  <c r="Q37" i="38"/>
  <c r="AE37" i="38" s="1"/>
  <c r="AI37" i="38" s="1"/>
  <c r="AM37" i="38" s="1"/>
  <c r="Q36" i="38"/>
  <c r="AE36" i="38" s="1"/>
  <c r="AI36" i="38" s="1"/>
  <c r="AM36" i="38" s="1"/>
  <c r="Q32" i="38"/>
  <c r="AE32" i="38" s="1"/>
  <c r="AI32" i="38" s="1"/>
  <c r="AM32" i="38" s="1"/>
  <c r="Q31" i="38"/>
  <c r="AE31" i="38" s="1"/>
  <c r="AI31" i="38" s="1"/>
  <c r="AM31" i="38" s="1"/>
  <c r="Q30" i="38"/>
  <c r="AE30" i="38" s="1"/>
  <c r="AI30" i="38" s="1"/>
  <c r="AM30" i="38" s="1"/>
  <c r="Q29" i="38"/>
  <c r="AE29" i="38" s="1"/>
  <c r="AI29" i="38" s="1"/>
  <c r="AM29" i="38" s="1"/>
  <c r="Q28" i="38"/>
  <c r="AE28" i="38" s="1"/>
  <c r="AI28" i="38" s="1"/>
  <c r="AM28" i="38" s="1"/>
  <c r="Q27" i="38"/>
  <c r="AE27" i="38" s="1"/>
  <c r="AI27" i="38" s="1"/>
  <c r="AM27" i="38" s="1"/>
  <c r="Q26" i="38"/>
  <c r="AE26" i="38" s="1"/>
  <c r="AI26" i="38" s="1"/>
  <c r="AM26" i="38" s="1"/>
  <c r="Q25" i="38"/>
  <c r="AE25" i="38" s="1"/>
  <c r="AI25" i="38" s="1"/>
  <c r="AM25" i="38" s="1"/>
  <c r="Q24" i="38"/>
  <c r="AE24" i="38" s="1"/>
  <c r="AI24" i="38" s="1"/>
  <c r="AM24" i="38" s="1"/>
  <c r="Q23" i="38"/>
  <c r="AE23" i="38" s="1"/>
  <c r="AI23" i="38" s="1"/>
  <c r="AM23" i="38" s="1"/>
  <c r="Q22" i="38"/>
  <c r="AE22" i="38" s="1"/>
  <c r="AI22" i="38" s="1"/>
  <c r="AM22" i="38" s="1"/>
  <c r="Q21" i="38"/>
  <c r="AE21" i="38" s="1"/>
  <c r="AI21" i="38" s="1"/>
  <c r="AM21" i="38" s="1"/>
  <c r="Q20" i="38"/>
  <c r="AE20" i="38" s="1"/>
  <c r="AI20" i="38" s="1"/>
  <c r="AM20" i="38" s="1"/>
  <c r="R18" i="38"/>
  <c r="AF18" i="38" s="1"/>
  <c r="AJ18" i="38" s="1"/>
  <c r="AN18" i="38" s="1"/>
  <c r="Q14" i="38"/>
  <c r="AE14" i="38" s="1"/>
  <c r="AI14" i="38" s="1"/>
  <c r="AM14" i="38" s="1"/>
  <c r="Q13" i="38"/>
  <c r="AE13" i="38" s="1"/>
  <c r="AI13" i="38" s="1"/>
  <c r="AM13" i="38" s="1"/>
  <c r="E215" i="6" l="1"/>
  <c r="BE136" i="6"/>
  <c r="BG135" i="6"/>
  <c r="BF139" i="6"/>
  <c r="AW137" i="6"/>
  <c r="AX203" i="6"/>
  <c r="F215" i="6"/>
  <c r="AX202" i="6"/>
  <c r="AX209" i="6"/>
  <c r="AX208" i="6"/>
  <c r="AX200" i="6"/>
  <c r="AX207" i="6"/>
  <c r="AX205" i="6"/>
  <c r="AX204" i="6"/>
  <c r="AX210" i="6"/>
  <c r="AX199" i="6"/>
  <c r="AX195" i="6"/>
  <c r="AX213" i="6"/>
  <c r="AT214" i="6"/>
  <c r="AP212" i="6"/>
  <c r="AP215" i="6" s="1"/>
  <c r="AJ215" i="6"/>
  <c r="AO206" i="6"/>
  <c r="AI212" i="6"/>
  <c r="AI215" i="6" s="1"/>
  <c r="AS208" i="6"/>
  <c r="AS209" i="6"/>
  <c r="AS202" i="6"/>
  <c r="AS204" i="6"/>
  <c r="AS205" i="6"/>
  <c r="AS200" i="6"/>
  <c r="AS207" i="6"/>
  <c r="AS213" i="6"/>
  <c r="AS214" i="6" s="1"/>
  <c r="AS199" i="6"/>
  <c r="AS210" i="6"/>
  <c r="AF9" i="36"/>
  <c r="AI10" i="59" s="1"/>
  <c r="AF215" i="6"/>
  <c r="AO211" i="6"/>
  <c r="AT211" i="6"/>
  <c r="AW11" i="59" s="1"/>
  <c r="AT206" i="6"/>
  <c r="AE90" i="8"/>
  <c r="R12" i="38"/>
  <c r="AF12" i="38" s="1"/>
  <c r="AJ12" i="38" s="1"/>
  <c r="AN12" i="38" s="1"/>
  <c r="E99" i="9"/>
  <c r="M99" i="9" s="1"/>
  <c r="Q40" i="38"/>
  <c r="AE40" i="38" s="1"/>
  <c r="AI40" i="38" s="1"/>
  <c r="AM40" i="38" s="1"/>
  <c r="Q41" i="38"/>
  <c r="AE41" i="38" s="1"/>
  <c r="AI41" i="38" s="1"/>
  <c r="AM41" i="38" s="1"/>
  <c r="R42" i="38"/>
  <c r="AF42" i="38" s="1"/>
  <c r="AJ42" i="38" s="1"/>
  <c r="AN42" i="38" s="1"/>
  <c r="R6" i="38"/>
  <c r="R34" i="38"/>
  <c r="AF34" i="38" s="1"/>
  <c r="AJ34" i="38" s="1"/>
  <c r="AN34" i="38" s="1"/>
  <c r="E189" i="6"/>
  <c r="Q19" i="38"/>
  <c r="AE19" i="38" s="1"/>
  <c r="AI19" i="38" s="1"/>
  <c r="AM19" i="38" s="1"/>
  <c r="E73" i="11"/>
  <c r="E74" i="11" s="1"/>
  <c r="E163" i="6"/>
  <c r="Q35" i="38"/>
  <c r="AE35" i="38" s="1"/>
  <c r="AI35" i="38" s="1"/>
  <c r="AM35" i="38" s="1"/>
  <c r="R40" i="38"/>
  <c r="AF40" i="38" s="1"/>
  <c r="AJ40" i="38" s="1"/>
  <c r="AN40" i="38" s="1"/>
  <c r="Q42" i="38"/>
  <c r="AE42" i="38" s="1"/>
  <c r="AI42" i="38" s="1"/>
  <c r="AM42" i="38" s="1"/>
  <c r="Q18" i="38"/>
  <c r="AE18" i="38" s="1"/>
  <c r="AI18" i="38" s="1"/>
  <c r="AM18" i="38" s="1"/>
  <c r="Q34" i="38"/>
  <c r="AE34" i="38" s="1"/>
  <c r="AI34" i="38" s="1"/>
  <c r="AM34" i="38" s="1"/>
  <c r="Q12" i="38"/>
  <c r="AE12" i="38" s="1"/>
  <c r="AI12" i="38" s="1"/>
  <c r="AM12" i="38" s="1"/>
  <c r="I71" i="59"/>
  <c r="I67" i="59"/>
  <c r="I63" i="59"/>
  <c r="BF203" i="6" l="1"/>
  <c r="BH139" i="6"/>
  <c r="BE137" i="6"/>
  <c r="BG136" i="6"/>
  <c r="E190" i="6"/>
  <c r="H35" i="59"/>
  <c r="E164" i="6"/>
  <c r="AW139" i="6"/>
  <c r="AX211" i="6"/>
  <c r="BA11" i="59" s="1"/>
  <c r="BF195" i="6"/>
  <c r="BF204" i="6"/>
  <c r="BF205" i="6"/>
  <c r="AX214" i="6"/>
  <c r="AX206" i="6"/>
  <c r="AS22" i="38"/>
  <c r="BG70" i="38" s="1"/>
  <c r="AI90" i="8"/>
  <c r="V9" i="36"/>
  <c r="Y10" i="59" s="1"/>
  <c r="AT212" i="6"/>
  <c r="AT9" i="36" s="1"/>
  <c r="AW10" i="59" s="1"/>
  <c r="AP9" i="36"/>
  <c r="AS10" i="59" s="1"/>
  <c r="AO212" i="6"/>
  <c r="AO215" i="6" s="1"/>
  <c r="BF213" i="6"/>
  <c r="BF202" i="6"/>
  <c r="BF209" i="6"/>
  <c r="BF208" i="6"/>
  <c r="BF207" i="6"/>
  <c r="BF210" i="6"/>
  <c r="BF200" i="6"/>
  <c r="BF199" i="6"/>
  <c r="AS38" i="38"/>
  <c r="BG86" i="38" s="1"/>
  <c r="AS14" i="38"/>
  <c r="BG62" i="38" s="1"/>
  <c r="AS37" i="38"/>
  <c r="BG85" i="38" s="1"/>
  <c r="AS36" i="38"/>
  <c r="BG84" i="38" s="1"/>
  <c r="AS43" i="38"/>
  <c r="BG91" i="38" s="1"/>
  <c r="AS211" i="6"/>
  <c r="AS45" i="38"/>
  <c r="BG93" i="38" s="1"/>
  <c r="AS44" i="38"/>
  <c r="BG92" i="38" s="1"/>
  <c r="AT18" i="38"/>
  <c r="AS13" i="38"/>
  <c r="BG61" i="38" s="1"/>
  <c r="AS46" i="38"/>
  <c r="BG94" i="38" s="1"/>
  <c r="AS206" i="6"/>
  <c r="AS29" i="38"/>
  <c r="BG77" i="38" s="1"/>
  <c r="AS27" i="38"/>
  <c r="BG75" i="38" s="1"/>
  <c r="AS32" i="38"/>
  <c r="BG80" i="38" s="1"/>
  <c r="AS31" i="38"/>
  <c r="BG79" i="38" s="1"/>
  <c r="AS23" i="38"/>
  <c r="BG71" i="38" s="1"/>
  <c r="AS28" i="38"/>
  <c r="BG76" i="38" s="1"/>
  <c r="AS20" i="38"/>
  <c r="BG68" i="38" s="1"/>
  <c r="AS25" i="38"/>
  <c r="BG73" i="38" s="1"/>
  <c r="AS21" i="38"/>
  <c r="BG69" i="38" s="1"/>
  <c r="AS24" i="38"/>
  <c r="BG72" i="38" s="1"/>
  <c r="AS30" i="38"/>
  <c r="BG78" i="38" s="1"/>
  <c r="AS26" i="38"/>
  <c r="BG74" i="38" s="1"/>
  <c r="AS35" i="38"/>
  <c r="BG83" i="38" s="1"/>
  <c r="AE163" i="6"/>
  <c r="AS19" i="38"/>
  <c r="BG67" i="38" s="1"/>
  <c r="AE189" i="6"/>
  <c r="M73" i="11"/>
  <c r="M74" i="11" s="1"/>
  <c r="M172" i="10"/>
  <c r="AA172" i="10" s="1"/>
  <c r="AE172" i="10" s="1"/>
  <c r="AI172" i="10" s="1"/>
  <c r="Q39" i="38"/>
  <c r="AE39" i="38" s="1"/>
  <c r="AI39" i="38" s="1"/>
  <c r="AM39" i="38" s="1"/>
  <c r="N139" i="45"/>
  <c r="N140" i="45" s="1"/>
  <c r="R17" i="38"/>
  <c r="AF17" i="38" s="1"/>
  <c r="AJ17" i="38" s="1"/>
  <c r="AN17" i="38" s="1"/>
  <c r="AJ26" i="36" s="1"/>
  <c r="R15" i="38"/>
  <c r="E100" i="9"/>
  <c r="Q99" i="9"/>
  <c r="U99" i="9" s="1"/>
  <c r="U100" i="9" s="1"/>
  <c r="R39" i="38"/>
  <c r="AF39" i="38" s="1"/>
  <c r="AJ39" i="38" s="1"/>
  <c r="AN39" i="38" s="1"/>
  <c r="Q17" i="38"/>
  <c r="AE17" i="38" s="1"/>
  <c r="AI17" i="38" s="1"/>
  <c r="AM17" i="38" s="1"/>
  <c r="AI26" i="36" s="1"/>
  <c r="BE139" i="6" l="1"/>
  <c r="BG137" i="6"/>
  <c r="AW203" i="6"/>
  <c r="AW205" i="6"/>
  <c r="AW213" i="6"/>
  <c r="AW214" i="6" s="1"/>
  <c r="AW209" i="6"/>
  <c r="AW210" i="6"/>
  <c r="AW200" i="6"/>
  <c r="AW204" i="6"/>
  <c r="AW208" i="6"/>
  <c r="AW199" i="6"/>
  <c r="AW207" i="6"/>
  <c r="AW202" i="6"/>
  <c r="AX212" i="6"/>
  <c r="AX215" i="6" s="1"/>
  <c r="AW22" i="38"/>
  <c r="BA22" i="38" s="1"/>
  <c r="BI22" i="38" s="1"/>
  <c r="BE90" i="8" s="1"/>
  <c r="AO90" i="8"/>
  <c r="BE213" i="6"/>
  <c r="BE214" i="6" s="1"/>
  <c r="BE204" i="6"/>
  <c r="BE205" i="6"/>
  <c r="BE202" i="6"/>
  <c r="AT215" i="6"/>
  <c r="BE207" i="6"/>
  <c r="BE200" i="6"/>
  <c r="BE208" i="6"/>
  <c r="BE199" i="6"/>
  <c r="BE209" i="6"/>
  <c r="BA91" i="8"/>
  <c r="BE210" i="6"/>
  <c r="BF211" i="6"/>
  <c r="BF214" i="6"/>
  <c r="BF206" i="6"/>
  <c r="AS212" i="6"/>
  <c r="AS215" i="6" s="1"/>
  <c r="AW26" i="38"/>
  <c r="AW25" i="38"/>
  <c r="AW28" i="38"/>
  <c r="AW31" i="38"/>
  <c r="AW27" i="38"/>
  <c r="AW14" i="38"/>
  <c r="AT40" i="38"/>
  <c r="AW19" i="38"/>
  <c r="BA19" i="38" s="1"/>
  <c r="AO189" i="6"/>
  <c r="AS34" i="38"/>
  <c r="AW35" i="38"/>
  <c r="BA35" i="38" s="1"/>
  <c r="AO163" i="6"/>
  <c r="AW46" i="38"/>
  <c r="AX18" i="38"/>
  <c r="AW44" i="38"/>
  <c r="AW24" i="38"/>
  <c r="AW43" i="38"/>
  <c r="AW38" i="38"/>
  <c r="AS12" i="38"/>
  <c r="AS42" i="38"/>
  <c r="AW30" i="38"/>
  <c r="AW21" i="38"/>
  <c r="AW20" i="38"/>
  <c r="AW23" i="38"/>
  <c r="AW32" i="38"/>
  <c r="AW29" i="38"/>
  <c r="AW36" i="38"/>
  <c r="AW37" i="38"/>
  <c r="AS40" i="38"/>
  <c r="AS41" i="38"/>
  <c r="BG89" i="38" s="1"/>
  <c r="AT34" i="38"/>
  <c r="AW13" i="38"/>
  <c r="AT12" i="38"/>
  <c r="AW45" i="38"/>
  <c r="AT42" i="38"/>
  <c r="AS18" i="38"/>
  <c r="AM190" i="6"/>
  <c r="AI163" i="6"/>
  <c r="AI189" i="6"/>
  <c r="AO172" i="10"/>
  <c r="AE26" i="36"/>
  <c r="AT17" i="38"/>
  <c r="AF26" i="36"/>
  <c r="Q16" i="38"/>
  <c r="AE16" i="38" s="1"/>
  <c r="AI16" i="38" s="1"/>
  <c r="AM16" i="38" s="1"/>
  <c r="R16" i="38"/>
  <c r="AF16" i="38" s="1"/>
  <c r="AJ16" i="38" s="1"/>
  <c r="AN16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211" i="6" l="1"/>
  <c r="BE203" i="6"/>
  <c r="BG139" i="6"/>
  <c r="AU18" i="36"/>
  <c r="AX55" i="59" s="1"/>
  <c r="AY18" i="36"/>
  <c r="BB55" i="59" s="1"/>
  <c r="AW206" i="6"/>
  <c r="AW212" i="6" s="1"/>
  <c r="AW215" i="6" s="1"/>
  <c r="AG18" i="36"/>
  <c r="AJ55" i="59" s="1"/>
  <c r="AQ18" i="36"/>
  <c r="AT55" i="59" s="1"/>
  <c r="AK18" i="36"/>
  <c r="AN55" i="59" s="1"/>
  <c r="AC18" i="36"/>
  <c r="AF55" i="59" s="1"/>
  <c r="W18" i="36"/>
  <c r="Z55" i="59" s="1"/>
  <c r="S18" i="36"/>
  <c r="V55" i="59" s="1"/>
  <c r="O18" i="36"/>
  <c r="R55" i="59" s="1"/>
  <c r="K18" i="36"/>
  <c r="N55" i="59" s="1"/>
  <c r="G18" i="36"/>
  <c r="J55" i="59" s="1"/>
  <c r="AW90" i="8"/>
  <c r="U18" i="36"/>
  <c r="X55" i="59" s="1"/>
  <c r="V15" i="21"/>
  <c r="AS90" i="8"/>
  <c r="BA20" i="38"/>
  <c r="BA24" i="38"/>
  <c r="BA27" i="38"/>
  <c r="BA21" i="38"/>
  <c r="BA31" i="38"/>
  <c r="BA30" i="38"/>
  <c r="BA14" i="38"/>
  <c r="BA29" i="38"/>
  <c r="BA44" i="38"/>
  <c r="BA28" i="38"/>
  <c r="BA45" i="38"/>
  <c r="BA32" i="38"/>
  <c r="BB18" i="38"/>
  <c r="BA25" i="38"/>
  <c r="BA13" i="38"/>
  <c r="BA38" i="38"/>
  <c r="BA43" i="38"/>
  <c r="BA37" i="38"/>
  <c r="BA36" i="38"/>
  <c r="BA23" i="38"/>
  <c r="BA46" i="38"/>
  <c r="BA26" i="38"/>
  <c r="R48" i="38"/>
  <c r="BI11" i="59"/>
  <c r="BI35" i="38"/>
  <c r="BE163" i="6" s="1"/>
  <c r="BG163" i="6" s="1"/>
  <c r="AW163" i="6"/>
  <c r="BI19" i="38"/>
  <c r="BE189" i="6" s="1"/>
  <c r="BG189" i="6" s="1"/>
  <c r="AW189" i="6"/>
  <c r="G55" i="59"/>
  <c r="BE206" i="6"/>
  <c r="BF212" i="6"/>
  <c r="BA164" i="6"/>
  <c r="BA190" i="6"/>
  <c r="BE211" i="6"/>
  <c r="AX9" i="36"/>
  <c r="BA10" i="59" s="1"/>
  <c r="AW18" i="36"/>
  <c r="AZ55" i="59" s="1"/>
  <c r="AX17" i="38"/>
  <c r="AP26" i="36"/>
  <c r="AW34" i="38"/>
  <c r="AT39" i="38"/>
  <c r="AX12" i="38"/>
  <c r="AX34" i="38"/>
  <c r="AW40" i="38"/>
  <c r="AW12" i="38"/>
  <c r="AS18" i="36"/>
  <c r="AV55" i="59" s="1"/>
  <c r="AM18" i="36"/>
  <c r="AP55" i="59" s="1"/>
  <c r="AO18" i="36"/>
  <c r="AR55" i="59" s="1"/>
  <c r="AS172" i="10"/>
  <c r="AW172" i="10" s="1"/>
  <c r="AX42" i="38"/>
  <c r="AS163" i="6"/>
  <c r="AS39" i="38"/>
  <c r="AW18" i="38"/>
  <c r="AW41" i="38"/>
  <c r="AW42" i="38"/>
  <c r="AS189" i="6"/>
  <c r="AX40" i="38"/>
  <c r="AQ75" i="59"/>
  <c r="AS17" i="38"/>
  <c r="AI18" i="36"/>
  <c r="AL55" i="59" s="1"/>
  <c r="AE18" i="36"/>
  <c r="AH55" i="59" s="1"/>
  <c r="Y18" i="36"/>
  <c r="AB55" i="59" s="1"/>
  <c r="N18" i="21"/>
  <c r="R18" i="21" s="1"/>
  <c r="V18" i="21" s="1"/>
  <c r="F20" i="21"/>
  <c r="F522" i="28"/>
  <c r="F523" i="28"/>
  <c r="BA18" i="36"/>
  <c r="BC18" i="36"/>
  <c r="M12" i="15"/>
  <c r="I12" i="15"/>
  <c r="M27" i="21"/>
  <c r="Q27" i="21" s="1"/>
  <c r="U27" i="21" s="1"/>
  <c r="BE18" i="36"/>
  <c r="Q18" i="36"/>
  <c r="M18" i="36"/>
  <c r="P55" i="59" s="1"/>
  <c r="I18" i="36"/>
  <c r="L55" i="59" s="1"/>
  <c r="E18" i="36"/>
  <c r="H55" i="59" s="1"/>
  <c r="AA18" i="36"/>
  <c r="AD55" i="59" s="1"/>
  <c r="E22" i="21"/>
  <c r="E15" i="21"/>
  <c r="M15" i="21" s="1"/>
  <c r="Q15" i="21" s="1"/>
  <c r="U15" i="21" s="1"/>
  <c r="J522" i="28" l="1"/>
  <c r="N522" i="28" s="1"/>
  <c r="AB522" i="28" s="1"/>
  <c r="AF522" i="28" s="1"/>
  <c r="J523" i="28"/>
  <c r="N523" i="28" s="1"/>
  <c r="AB523" i="28" s="1"/>
  <c r="AF523" i="28" s="1"/>
  <c r="BD55" i="59"/>
  <c r="BH55" i="59"/>
  <c r="BF55" i="59"/>
  <c r="R522" i="28"/>
  <c r="V522" i="28" s="1"/>
  <c r="R20" i="21"/>
  <c r="V20" i="21"/>
  <c r="BI30" i="38"/>
  <c r="BI43" i="38"/>
  <c r="BI45" i="38"/>
  <c r="BI31" i="38"/>
  <c r="BA12" i="38"/>
  <c r="BI26" i="38"/>
  <c r="BI38" i="38"/>
  <c r="BI28" i="38"/>
  <c r="BI21" i="38"/>
  <c r="BB34" i="38"/>
  <c r="BI37" i="38"/>
  <c r="BA40" i="38"/>
  <c r="BA41" i="38"/>
  <c r="BI46" i="38"/>
  <c r="BI13" i="38"/>
  <c r="BI44" i="38"/>
  <c r="BI27" i="38"/>
  <c r="BB40" i="38"/>
  <c r="BB17" i="38"/>
  <c r="AX26" i="36" s="1"/>
  <c r="BA42" i="38"/>
  <c r="BA34" i="38"/>
  <c r="BI23" i="38"/>
  <c r="BE99" i="9" s="1"/>
  <c r="BI25" i="38"/>
  <c r="BI29" i="38"/>
  <c r="BI24" i="38"/>
  <c r="BI32" i="38"/>
  <c r="BA18" i="38"/>
  <c r="BB42" i="38"/>
  <c r="BI36" i="38"/>
  <c r="BJ18" i="38"/>
  <c r="BI14" i="38"/>
  <c r="BI20" i="38"/>
  <c r="BB12" i="38"/>
  <c r="BF9" i="36"/>
  <c r="BI10" i="59" s="1"/>
  <c r="BH11" i="59"/>
  <c r="Q12" i="15"/>
  <c r="U12" i="15" s="1"/>
  <c r="BF215" i="6"/>
  <c r="BE212" i="6"/>
  <c r="BE172" i="10"/>
  <c r="BH172" i="10" s="1"/>
  <c r="AX39" i="38"/>
  <c r="AW17" i="38"/>
  <c r="AO26" i="36"/>
  <c r="AW39" i="38"/>
  <c r="AT26" i="36"/>
  <c r="AS16" i="38"/>
  <c r="AT16" i="38"/>
  <c r="AP75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31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M31" i="28" l="1"/>
  <c r="R523" i="28"/>
  <c r="V523" i="28" s="1"/>
  <c r="BJ17" i="38"/>
  <c r="BJ42" i="38"/>
  <c r="BI18" i="38"/>
  <c r="BA39" i="38"/>
  <c r="BI12" i="38"/>
  <c r="BA17" i="38"/>
  <c r="BB39" i="38"/>
  <c r="BI34" i="38"/>
  <c r="BI41" i="38"/>
  <c r="BJ34" i="38"/>
  <c r="BJ40" i="38"/>
  <c r="BI42" i="38"/>
  <c r="BI40" i="38"/>
  <c r="BJ12" i="38"/>
  <c r="BE215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6" i="38"/>
  <c r="AW16" i="38"/>
  <c r="AS26" i="36"/>
  <c r="D11" i="35"/>
  <c r="D10" i="6" s="1"/>
  <c r="M9" i="35"/>
  <c r="Q9" i="35" s="1"/>
  <c r="E11" i="35"/>
  <c r="E10" i="6" s="1"/>
  <c r="I31" i="28"/>
  <c r="E37" i="28"/>
  <c r="E63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M37" i="28" l="1"/>
  <c r="BF26" i="36"/>
  <c r="D15" i="35"/>
  <c r="BB16" i="38"/>
  <c r="BA16" i="38"/>
  <c r="BJ39" i="38"/>
  <c r="BI17" i="38"/>
  <c r="AW26" i="36"/>
  <c r="BI39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31" i="28"/>
  <c r="F18" i="6"/>
  <c r="M13" i="35"/>
  <c r="Q13" i="35" s="1"/>
  <c r="E15" i="35"/>
  <c r="M11" i="35"/>
  <c r="M10" i="6" s="1"/>
  <c r="U13" i="15"/>
  <c r="U14" i="15" s="1"/>
  <c r="I63" i="28"/>
  <c r="E69" i="28"/>
  <c r="J60" i="6"/>
  <c r="M16" i="59" s="1"/>
  <c r="J61" i="6"/>
  <c r="M23" i="59" s="1"/>
  <c r="I37" i="28"/>
  <c r="E75" i="28"/>
  <c r="E493" i="28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M493" i="28" l="1"/>
  <c r="AA493" i="28" s="1"/>
  <c r="M75" i="28"/>
  <c r="AA75" i="28" s="1"/>
  <c r="AE75" i="28" s="1"/>
  <c r="AI75" i="28" s="1"/>
  <c r="AO75" i="28" s="1"/>
  <c r="AS75" i="28" s="1"/>
  <c r="AW75" i="28" s="1"/>
  <c r="BE75" i="28" s="1"/>
  <c r="BG75" i="28" s="1"/>
  <c r="BI16" i="38"/>
  <c r="BE26" i="36"/>
  <c r="BJ16" i="38"/>
  <c r="Q28" i="21"/>
  <c r="U26" i="21"/>
  <c r="U28" i="21" s="1"/>
  <c r="U11" i="35"/>
  <c r="U10" i="6" s="1"/>
  <c r="U8" i="6"/>
  <c r="Q11" i="35"/>
  <c r="U13" i="35"/>
  <c r="U15" i="35" s="1"/>
  <c r="Q15" i="35"/>
  <c r="AA31" i="28"/>
  <c r="AE31" i="28" s="1"/>
  <c r="AI31" i="28" s="1"/>
  <c r="AO31" i="28" s="1"/>
  <c r="AS31" i="28" s="1"/>
  <c r="U31" i="28"/>
  <c r="AA11" i="35"/>
  <c r="AA10" i="6" s="1"/>
  <c r="N18" i="6"/>
  <c r="N80" i="6" s="1"/>
  <c r="F190" i="6"/>
  <c r="F185" i="6"/>
  <c r="AJ41" i="35"/>
  <c r="AI42" i="35"/>
  <c r="AA13" i="35"/>
  <c r="AE13" i="35" s="1"/>
  <c r="M15" i="35"/>
  <c r="Q23" i="59"/>
  <c r="E519" i="28"/>
  <c r="E496" i="28"/>
  <c r="Q16" i="59"/>
  <c r="I75" i="28"/>
  <c r="E91" i="28"/>
  <c r="E76" i="28"/>
  <c r="I69" i="28"/>
  <c r="E522" i="28"/>
  <c r="I493" i="28"/>
  <c r="I519" i="28" s="1"/>
  <c r="Q12" i="59"/>
  <c r="N17" i="6"/>
  <c r="N85" i="6" s="1"/>
  <c r="F164" i="6"/>
  <c r="F19" i="6"/>
  <c r="M91" i="28" l="1"/>
  <c r="AA91" i="28" s="1"/>
  <c r="AE91" i="28" s="1"/>
  <c r="AI91" i="28" s="1"/>
  <c r="AO91" i="28" s="1"/>
  <c r="AS91" i="28" s="1"/>
  <c r="AW91" i="28" s="1"/>
  <c r="BE91" i="28" s="1"/>
  <c r="BG91" i="28" s="1"/>
  <c r="AW31" i="28"/>
  <c r="BE31" i="28" s="1"/>
  <c r="BG31" i="28" s="1"/>
  <c r="R18" i="6"/>
  <c r="V18" i="6" s="1"/>
  <c r="V185" i="6" s="1"/>
  <c r="N191" i="6"/>
  <c r="R191" i="6" s="1"/>
  <c r="V191" i="6" s="1"/>
  <c r="N83" i="6"/>
  <c r="N82" i="6"/>
  <c r="N79" i="6"/>
  <c r="AE15" i="35"/>
  <c r="AI13" i="35"/>
  <c r="AO42" i="35"/>
  <c r="AP41" i="35"/>
  <c r="Q75" i="28"/>
  <c r="U75" i="28" s="1"/>
  <c r="N165" i="6"/>
  <c r="I496" i="28"/>
  <c r="I76" i="28"/>
  <c r="E523" i="28"/>
  <c r="Q37" i="28"/>
  <c r="I91" i="28"/>
  <c r="I497" i="28" s="1"/>
  <c r="E95" i="28"/>
  <c r="E518" i="28"/>
  <c r="E517" i="28"/>
  <c r="E497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5" i="6"/>
  <c r="V160" i="6"/>
  <c r="V19" i="6"/>
  <c r="R165" i="6"/>
  <c r="V165" i="6" s="1"/>
  <c r="AA37" i="28"/>
  <c r="AE37" i="28" s="1"/>
  <c r="AI37" i="28" s="1"/>
  <c r="AO37" i="28" s="1"/>
  <c r="AS37" i="28" s="1"/>
  <c r="U37" i="28"/>
  <c r="AS42" i="35"/>
  <c r="AO13" i="35"/>
  <c r="BC15" i="35" s="1"/>
  <c r="AI15" i="35"/>
  <c r="AT41" i="35"/>
  <c r="I95" i="28"/>
  <c r="Y519" i="28"/>
  <c r="I518" i="28"/>
  <c r="I517" i="28"/>
  <c r="M519" i="28"/>
  <c r="M496" i="28"/>
  <c r="Q493" i="28"/>
  <c r="Q519" i="28" s="1"/>
  <c r="R19" i="6"/>
  <c r="R160" i="6"/>
  <c r="F41" i="6"/>
  <c r="AW37" i="28" l="1"/>
  <c r="AW493" i="28" s="1"/>
  <c r="V40" i="6"/>
  <c r="V38" i="6"/>
  <c r="V39" i="6"/>
  <c r="V37" i="6"/>
  <c r="AE517" i="28"/>
  <c r="AO517" i="28"/>
  <c r="AA519" i="28"/>
  <c r="AE493" i="28"/>
  <c r="AE519" i="28" s="1"/>
  <c r="AS517" i="28"/>
  <c r="AI493" i="28"/>
  <c r="AO493" i="28" s="1"/>
  <c r="AO519" i="28" s="1"/>
  <c r="AI517" i="28"/>
  <c r="AS493" i="28"/>
  <c r="AS496" i="28" s="1"/>
  <c r="U493" i="28"/>
  <c r="U519" i="28" s="1"/>
  <c r="AX41" i="35"/>
  <c r="AW42" i="35"/>
  <c r="AS13" i="35"/>
  <c r="AO15" i="35"/>
  <c r="M497" i="28"/>
  <c r="Y496" i="28"/>
  <c r="AA496" i="28"/>
  <c r="Q496" i="28"/>
  <c r="Q91" i="28"/>
  <c r="U91" i="28" s="1"/>
  <c r="M518" i="28"/>
  <c r="M517" i="28"/>
  <c r="R40" i="6"/>
  <c r="R38" i="6"/>
  <c r="R39" i="6"/>
  <c r="R37" i="6"/>
  <c r="V41" i="6" l="1"/>
  <c r="AW517" i="28"/>
  <c r="AW519" i="28"/>
  <c r="BE37" i="28"/>
  <c r="BG37" i="28" s="1"/>
  <c r="U518" i="28"/>
  <c r="AI497" i="28"/>
  <c r="AE496" i="28"/>
  <c r="AE518" i="28"/>
  <c r="AE497" i="28"/>
  <c r="AO496" i="28"/>
  <c r="AW497" i="28"/>
  <c r="AW518" i="28"/>
  <c r="AS519" i="28"/>
  <c r="AW496" i="28"/>
  <c r="AS497" i="28"/>
  <c r="AS518" i="28"/>
  <c r="AI496" i="28"/>
  <c r="AI519" i="28"/>
  <c r="AO518" i="28"/>
  <c r="AI518" i="28"/>
  <c r="AO497" i="28"/>
  <c r="U517" i="28"/>
  <c r="U496" i="28"/>
  <c r="U497" i="28"/>
  <c r="BE42" i="35"/>
  <c r="BF41" i="35"/>
  <c r="AS15" i="35"/>
  <c r="AW13" i="35"/>
  <c r="AA518" i="28"/>
  <c r="AA517" i="28"/>
  <c r="AA497" i="28"/>
  <c r="Y518" i="28"/>
  <c r="Y517" i="28"/>
  <c r="Y497" i="28"/>
  <c r="Q518" i="28"/>
  <c r="Q517" i="28"/>
  <c r="Q497" i="28"/>
  <c r="R41" i="6"/>
  <c r="K62" i="71"/>
  <c r="H62" i="71"/>
  <c r="BE517" i="28" l="1"/>
  <c r="BG517" i="28" s="1"/>
  <c r="BE493" i="28"/>
  <c r="BG493" i="28" s="1"/>
  <c r="AW15" i="35"/>
  <c r="BE13" i="35"/>
  <c r="BE15" i="35" s="1"/>
  <c r="BE519" i="28" l="1"/>
  <c r="BG519" i="28" s="1"/>
  <c r="BE496" i="28"/>
  <c r="BG496" i="28" s="1"/>
  <c r="BE518" i="28"/>
  <c r="BG518" i="28" s="1"/>
  <c r="BE497" i="28"/>
  <c r="BG497" i="28" s="1"/>
  <c r="W7" i="72" l="1"/>
  <c r="Y107" i="90" s="1"/>
  <c r="F60" i="71"/>
  <c r="CO60" i="71"/>
  <c r="CO62" i="71" s="1"/>
  <c r="CK60" i="71"/>
  <c r="CK62" i="71" s="1"/>
  <c r="V60" i="71"/>
  <c r="N60" i="71"/>
  <c r="AU60" i="71" l="1"/>
  <c r="AY60" i="71" s="1"/>
  <c r="I60" i="71"/>
  <c r="X60" i="71" s="1"/>
  <c r="AR60" i="71" s="1"/>
  <c r="F62" i="71"/>
  <c r="BM60" i="71"/>
  <c r="BM62" i="71" s="1"/>
  <c r="CG60" i="71"/>
  <c r="CQ60" i="71"/>
  <c r="CQ62" i="71" s="1"/>
  <c r="CA60" i="71"/>
  <c r="CA62" i="71" s="1"/>
  <c r="CU60" i="71"/>
  <c r="BW60" i="71"/>
  <c r="BW62" i="71" s="1"/>
  <c r="BY60" i="71"/>
  <c r="BO60" i="71"/>
  <c r="W60" i="71"/>
  <c r="Y7" i="72"/>
  <c r="BA62" i="71"/>
  <c r="BE62" i="71"/>
  <c r="AW62" i="71"/>
  <c r="AU62" i="71" l="1"/>
  <c r="AC7" i="72"/>
  <c r="AA107" i="90"/>
  <c r="CG62" i="71"/>
  <c r="I62" i="71"/>
  <c r="C51" i="72"/>
  <c r="K49" i="72"/>
  <c r="Y49" i="72" s="1"/>
  <c r="AC49" i="72" s="1"/>
  <c r="AG49" i="72" s="1"/>
  <c r="O49" i="72"/>
  <c r="S49" i="72" s="1"/>
  <c r="G49" i="72"/>
  <c r="CC60" i="71"/>
  <c r="CC62" i="71" s="1"/>
  <c r="CS60" i="71"/>
  <c r="CS62" i="71" s="1"/>
  <c r="BU60" i="71"/>
  <c r="BQ60" i="71"/>
  <c r="A84" i="9"/>
  <c r="AG7" i="72" l="1"/>
  <c r="AI107" i="90" s="1"/>
  <c r="AE107" i="90"/>
  <c r="AM49" i="72"/>
  <c r="CE60" i="71"/>
  <c r="O51" i="72"/>
  <c r="AM7" i="72"/>
  <c r="AO107" i="90" s="1"/>
  <c r="AQ49" i="72" l="1"/>
  <c r="CI60" i="71"/>
  <c r="AQ7" i="72"/>
  <c r="AU7" i="72" l="1"/>
  <c r="AW107" i="90" s="1"/>
  <c r="AS107" i="90"/>
  <c r="AU49" i="72"/>
  <c r="CM60" i="71"/>
  <c r="BA51" i="72"/>
  <c r="X166" i="26"/>
  <c r="L166" i="26"/>
  <c r="BC49" i="72" l="1"/>
  <c r="BC7" i="72"/>
  <c r="Z166" i="26"/>
  <c r="BE37" i="36" l="1"/>
  <c r="BB2" i="36"/>
  <c r="BA2" i="36"/>
  <c r="BB13" i="36" l="1"/>
  <c r="BE39" i="59" l="1"/>
  <c r="BA13" i="36"/>
  <c r="BD39" i="59" l="1"/>
  <c r="BP25" i="21"/>
  <c r="BP20" i="21"/>
  <c r="I74" i="59" l="1"/>
  <c r="I76" i="59"/>
  <c r="I77" i="59"/>
  <c r="I78" i="59"/>
  <c r="I40" i="59"/>
  <c r="I44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D56" i="36"/>
  <c r="BD16" i="36" s="1"/>
  <c r="BC56" i="36"/>
  <c r="BG53" i="59" l="1"/>
  <c r="BG54" i="59"/>
  <c r="BD63" i="36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BH13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BG13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BH14" i="52" s="1"/>
  <c r="R13" i="52"/>
  <c r="V13" i="52" s="1"/>
  <c r="AB13" i="52"/>
  <c r="AF13" i="52" s="1"/>
  <c r="AJ13" i="52" s="1"/>
  <c r="AP13" i="52" s="1"/>
  <c r="AT13" i="52" s="1"/>
  <c r="AX13" i="52" s="1"/>
  <c r="BF13" i="52" s="1"/>
  <c r="BH12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BG14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BG12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N148" i="8" s="1"/>
  <c r="AT16" i="52" l="1"/>
  <c r="AX10" i="52"/>
  <c r="AS9" i="52"/>
  <c r="AW5" i="52"/>
  <c r="AT9" i="52"/>
  <c r="AX5" i="52"/>
  <c r="AP17" i="52"/>
  <c r="AO16" i="52"/>
  <c r="AO17" i="52" s="1"/>
  <c r="AS10" i="52"/>
  <c r="R97" i="8"/>
  <c r="AB97" i="8"/>
  <c r="AB148" i="8" s="1"/>
  <c r="AF97" i="8" l="1"/>
  <c r="V97" i="8"/>
  <c r="V148" i="8" s="1"/>
  <c r="R148" i="8"/>
  <c r="AS16" i="52"/>
  <c r="AS17" i="52" s="1"/>
  <c r="AW10" i="52"/>
  <c r="BF10" i="52"/>
  <c r="BF16" i="52" s="1"/>
  <c r="BH15" i="52" s="1"/>
  <c r="AX16" i="52"/>
  <c r="BF5" i="52"/>
  <c r="BF9" i="52" s="1"/>
  <c r="AX9" i="52"/>
  <c r="BE5" i="52"/>
  <c r="BE9" i="52" s="1"/>
  <c r="AW9" i="52"/>
  <c r="AT17" i="52"/>
  <c r="AJ97" i="8" l="1"/>
  <c r="AJ148" i="8" s="1"/>
  <c r="AF148" i="8"/>
  <c r="AF18" i="49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AW16" i="52"/>
  <c r="AW17" i="52" s="1"/>
  <c r="AP97" i="8"/>
  <c r="AT97" i="8" l="1"/>
  <c r="AP148" i="8"/>
  <c r="BE17" i="52"/>
  <c r="BG15" i="52"/>
  <c r="AX97" i="8" l="1"/>
  <c r="AT148" i="8"/>
  <c r="H78" i="59"/>
  <c r="H77" i="59"/>
  <c r="H76" i="59"/>
  <c r="H74" i="59"/>
  <c r="H8" i="59"/>
  <c r="H9" i="59"/>
  <c r="H10" i="59"/>
  <c r="AX148" i="8" l="1"/>
  <c r="BF97" i="8"/>
  <c r="BF148" i="8" s="1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96" i="26"/>
  <c r="X96" i="26"/>
  <c r="Y83" i="26"/>
  <c r="Y78" i="26"/>
  <c r="X78" i="26"/>
  <c r="Y76" i="26"/>
  <c r="X71" i="26"/>
  <c r="X69" i="26"/>
  <c r="X67" i="26"/>
  <c r="X65" i="26"/>
  <c r="X63" i="26"/>
  <c r="X61" i="26"/>
  <c r="X59" i="26"/>
  <c r="Y57" i="26"/>
  <c r="X57" i="26"/>
  <c r="Y52" i="26"/>
  <c r="Y50" i="26"/>
  <c r="Y46" i="26"/>
  <c r="Y41" i="26"/>
  <c r="Y39" i="26"/>
  <c r="X39" i="26"/>
  <c r="Y37" i="26"/>
  <c r="Y35" i="26"/>
  <c r="Y33" i="26"/>
  <c r="Y31" i="26"/>
  <c r="Y29" i="26"/>
  <c r="Y27" i="26"/>
  <c r="Y25" i="26"/>
  <c r="Y23" i="26"/>
  <c r="Y17" i="26"/>
  <c r="BH97" i="8" l="1"/>
  <c r="BH148" i="8" s="1"/>
  <c r="Y80" i="26"/>
  <c r="K158" i="45" l="1"/>
  <c r="S158" i="45" s="1"/>
  <c r="W158" i="45" s="1"/>
  <c r="K153" i="45"/>
  <c r="AC158" i="45" l="1"/>
  <c r="AG158" i="45" s="1"/>
  <c r="AC153" i="45"/>
  <c r="AG153" i="45" s="1"/>
  <c r="S153" i="45"/>
  <c r="W153" i="45" s="1"/>
  <c r="AK153" i="45" l="1"/>
  <c r="AQ153" i="45" s="1"/>
  <c r="AU153" i="45" s="1"/>
  <c r="AK158" i="45"/>
  <c r="AQ158" i="45" s="1"/>
  <c r="AU158" i="45" s="1"/>
  <c r="AA4" i="61"/>
  <c r="AA16" i="61" s="1"/>
  <c r="AY158" i="45" l="1"/>
  <c r="AY153" i="45"/>
  <c r="AA136" i="45"/>
  <c r="Z136" i="45"/>
  <c r="AA134" i="45"/>
  <c r="Z134" i="45"/>
  <c r="AA8" i="45"/>
  <c r="AA171" i="45" s="1"/>
  <c r="AA177" i="45" s="1"/>
  <c r="AA7" i="45"/>
  <c r="Z7" i="45"/>
  <c r="AA2" i="45"/>
  <c r="AA143" i="45" s="1"/>
  <c r="Z2" i="45"/>
  <c r="Z143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BG153" i="45" l="1"/>
  <c r="BI153" i="45" s="1"/>
  <c r="BG158" i="45"/>
  <c r="BI158" i="45" s="1"/>
  <c r="AU79" i="9"/>
  <c r="AY79" i="9"/>
  <c r="AG79" i="9"/>
  <c r="AK79" i="9"/>
  <c r="AC79" i="9"/>
  <c r="W79" i="9"/>
  <c r="S79" i="9"/>
  <c r="O79" i="9"/>
  <c r="G79" i="9"/>
  <c r="K79" i="9"/>
  <c r="AA122" i="45"/>
  <c r="AQ79" i="9"/>
  <c r="AJ18" i="9"/>
  <c r="AP18" i="9" s="1"/>
  <c r="AT18" i="9" s="1"/>
  <c r="AA125" i="50"/>
  <c r="Z56" i="11"/>
  <c r="Z74" i="11" s="1"/>
  <c r="Z55" i="11"/>
  <c r="AB15" i="9"/>
  <c r="AF15" i="9" s="1"/>
  <c r="AJ15" i="9" s="1"/>
  <c r="AA138" i="45"/>
  <c r="AA155" i="45"/>
  <c r="AA150" i="45"/>
  <c r="Z72" i="11"/>
  <c r="E79" i="9"/>
  <c r="Y51" i="9"/>
  <c r="AA15" i="9"/>
  <c r="AE15" i="9" s="1"/>
  <c r="AI15" i="9" s="1"/>
  <c r="AI89" i="9" s="1"/>
  <c r="Z171" i="10"/>
  <c r="Z21" i="36"/>
  <c r="AA121" i="45"/>
  <c r="AA159" i="45" s="1"/>
  <c r="AA161" i="45" s="1"/>
  <c r="Z138" i="45"/>
  <c r="Z124" i="45"/>
  <c r="Y72" i="11"/>
  <c r="Y58" i="11"/>
  <c r="Z59" i="11"/>
  <c r="Z89" i="11"/>
  <c r="D25" i="9"/>
  <c r="D91" i="9"/>
  <c r="Z83" i="11"/>
  <c r="Z84" i="11" s="1"/>
  <c r="Z188" i="10"/>
  <c r="Y171" i="10"/>
  <c r="AA137" i="45"/>
  <c r="Z137" i="45"/>
  <c r="Z135" i="45"/>
  <c r="AB72" i="59" s="1"/>
  <c r="AA135" i="45"/>
  <c r="AC72" i="59" s="1"/>
  <c r="Z93" i="11"/>
  <c r="Y168" i="10"/>
  <c r="AB64" i="59" s="1"/>
  <c r="Z166" i="10"/>
  <c r="Z182" i="10"/>
  <c r="Z189" i="10" s="1"/>
  <c r="Z170" i="10"/>
  <c r="Y170" i="10"/>
  <c r="Z168" i="10"/>
  <c r="AC64" i="59" s="1"/>
  <c r="D19" i="9"/>
  <c r="D49" i="8"/>
  <c r="D50" i="8" s="1"/>
  <c r="D51" i="8" s="1"/>
  <c r="D25" i="8"/>
  <c r="D24" i="8"/>
  <c r="D23" i="8"/>
  <c r="D31" i="8"/>
  <c r="D29" i="8"/>
  <c r="D28" i="8"/>
  <c r="D69" i="8" s="1"/>
  <c r="D27" i="8"/>
  <c r="D16" i="8"/>
  <c r="Z6" i="7"/>
  <c r="D75" i="7"/>
  <c r="D73" i="7"/>
  <c r="D67" i="7"/>
  <c r="D51" i="7"/>
  <c r="D1" i="7"/>
  <c r="D26" i="7" l="1"/>
  <c r="D31" i="7"/>
  <c r="D95" i="7" s="1"/>
  <c r="D35" i="7"/>
  <c r="D99" i="7" s="1"/>
  <c r="D27" i="7"/>
  <c r="D91" i="7" s="1"/>
  <c r="D32" i="7"/>
  <c r="D96" i="7" s="1"/>
  <c r="D36" i="7"/>
  <c r="D100" i="7" s="1"/>
  <c r="D24" i="7"/>
  <c r="D28" i="7"/>
  <c r="D92" i="7" s="1"/>
  <c r="D33" i="7"/>
  <c r="D97" i="7" s="1"/>
  <c r="D37" i="7"/>
  <c r="D101" i="7" s="1"/>
  <c r="D25" i="7"/>
  <c r="D29" i="7"/>
  <c r="D93" i="7" s="1"/>
  <c r="D34" i="7"/>
  <c r="D98" i="7" s="1"/>
  <c r="AJ89" i="9"/>
  <c r="AJ56" i="36"/>
  <c r="D61" i="7"/>
  <c r="D103" i="7" s="1"/>
  <c r="AX18" i="9"/>
  <c r="BF18" i="9" s="1"/>
  <c r="D57" i="7"/>
  <c r="D62" i="7"/>
  <c r="D58" i="7"/>
  <c r="D54" i="7"/>
  <c r="D55" i="7"/>
  <c r="D59" i="7"/>
  <c r="D56" i="7"/>
  <c r="D102" i="7" s="1"/>
  <c r="D60" i="7"/>
  <c r="Z97" i="11"/>
  <c r="AA121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8" i="8"/>
  <c r="D110" i="8" s="1"/>
  <c r="Z21" i="7"/>
  <c r="AB6" i="7"/>
  <c r="D68" i="7"/>
  <c r="AA51" i="9"/>
  <c r="AE51" i="9" s="1"/>
  <c r="AI51" i="9" s="1"/>
  <c r="Z60" i="11"/>
  <c r="AA124" i="45"/>
  <c r="Z23" i="36" s="1"/>
  <c r="AA125" i="45"/>
  <c r="AA126" i="45" s="1"/>
  <c r="D23" i="7"/>
  <c r="D87" i="7" s="1"/>
  <c r="D65" i="8"/>
  <c r="D34" i="8" s="1"/>
  <c r="Z90" i="11"/>
  <c r="D83" i="7"/>
  <c r="D81" i="7"/>
  <c r="D76" i="7"/>
  <c r="D78" i="7"/>
  <c r="D26" i="8"/>
  <c r="D80" i="7"/>
  <c r="D36" i="8"/>
  <c r="Z183" i="10"/>
  <c r="Z85" i="11"/>
  <c r="D42" i="8"/>
  <c r="D89" i="7" l="1"/>
  <c r="D90" i="7"/>
  <c r="AF6" i="7"/>
  <c r="D88" i="7"/>
  <c r="D104" i="7" s="1"/>
  <c r="AP33" i="59"/>
  <c r="X34" i="59"/>
  <c r="X33" i="59"/>
  <c r="D109" i="8"/>
  <c r="D111" i="8" s="1"/>
  <c r="BF34" i="59"/>
  <c r="BD34" i="59"/>
  <c r="BF31" i="59"/>
  <c r="BF33" i="59"/>
  <c r="BD33" i="59"/>
  <c r="AP34" i="59"/>
  <c r="AO15" i="9"/>
  <c r="AF21" i="7"/>
  <c r="AT8" i="9"/>
  <c r="AX8" i="9" s="1"/>
  <c r="AP15" i="9"/>
  <c r="AT7" i="9"/>
  <c r="AX7" i="9" s="1"/>
  <c r="D38" i="7"/>
  <c r="D53" i="7" s="1"/>
  <c r="T34" i="59"/>
  <c r="T33" i="59"/>
  <c r="P33" i="59"/>
  <c r="AJ6" i="7" l="1"/>
  <c r="AP30" i="59"/>
  <c r="BD31" i="59"/>
  <c r="P31" i="59"/>
  <c r="P34" i="59"/>
  <c r="BD30" i="59"/>
  <c r="P30" i="59"/>
  <c r="U38" i="7"/>
  <c r="AP31" i="59"/>
  <c r="X29" i="59"/>
  <c r="BF30" i="59"/>
  <c r="BA38" i="7"/>
  <c r="BA53" i="7" s="1"/>
  <c r="BC38" i="7"/>
  <c r="BC53" i="7" s="1"/>
  <c r="BF7" i="9"/>
  <c r="BF8" i="9"/>
  <c r="AT15" i="9"/>
  <c r="AX15" i="9" s="1"/>
  <c r="AX89" i="9" s="1"/>
  <c r="AP56" i="36"/>
  <c r="AP16" i="36" s="1"/>
  <c r="AP89" i="9"/>
  <c r="AM38" i="7"/>
  <c r="AM53" i="7" s="1"/>
  <c r="AP6" i="7"/>
  <c r="AO51" i="9"/>
  <c r="AS15" i="9"/>
  <c r="AW15" i="9" s="1"/>
  <c r="AW89" i="9" s="1"/>
  <c r="AO89" i="9"/>
  <c r="M38" i="7"/>
  <c r="M53" i="7" s="1"/>
  <c r="Q38" i="7"/>
  <c r="D63" i="7"/>
  <c r="D77" i="7"/>
  <c r="AJ21" i="7" l="1"/>
  <c r="Q53" i="7"/>
  <c r="U53" i="7"/>
  <c r="BC63" i="7"/>
  <c r="BC77" i="7"/>
  <c r="BF29" i="59"/>
  <c r="BC104" i="7"/>
  <c r="BA77" i="7"/>
  <c r="BA63" i="7"/>
  <c r="BD29" i="59"/>
  <c r="BA104" i="7"/>
  <c r="AS89" i="9"/>
  <c r="BF15" i="9"/>
  <c r="AX56" i="36"/>
  <c r="AX16" i="36" s="1"/>
  <c r="BA53" i="59" s="1"/>
  <c r="AS53" i="59"/>
  <c r="AS51" i="9"/>
  <c r="AW51" i="9" s="1"/>
  <c r="AM77" i="7"/>
  <c r="AM63" i="7"/>
  <c r="AT56" i="36"/>
  <c r="AT16" i="36" s="1"/>
  <c r="AT89" i="9"/>
  <c r="AT6" i="7"/>
  <c r="AP21" i="7"/>
  <c r="AM104" i="7"/>
  <c r="AP29" i="59"/>
  <c r="M104" i="7"/>
  <c r="P29" i="59"/>
  <c r="M77" i="7"/>
  <c r="M63" i="7"/>
  <c r="Z121" i="6"/>
  <c r="AB121" i="6" s="1"/>
  <c r="AF121" i="6" s="1"/>
  <c r="AJ121" i="6" s="1"/>
  <c r="AP121" i="6" s="1"/>
  <c r="AT121" i="6" s="1"/>
  <c r="Z105" i="6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7" i="6"/>
  <c r="AA97" i="6" s="1"/>
  <c r="AE97" i="6" s="1"/>
  <c r="AI97" i="6" s="1"/>
  <c r="AO97" i="6" s="1"/>
  <c r="AS97" i="6" s="1"/>
  <c r="Z91" i="6"/>
  <c r="AB91" i="6" s="1"/>
  <c r="AF91" i="6" s="1"/>
  <c r="Z109" i="6"/>
  <c r="AB109" i="6" s="1"/>
  <c r="AF109" i="6" s="1"/>
  <c r="AJ109" i="6" s="1"/>
  <c r="AP109" i="6" s="1"/>
  <c r="AT109" i="6" s="1"/>
  <c r="Z110" i="6"/>
  <c r="AB110" i="6" s="1"/>
  <c r="AF110" i="6" s="1"/>
  <c r="AJ110" i="6" s="1"/>
  <c r="AP110" i="6" s="1"/>
  <c r="AT110" i="6" s="1"/>
  <c r="Z113" i="6"/>
  <c r="Y113" i="6"/>
  <c r="AA113" i="6" s="1"/>
  <c r="AE113" i="6" s="1"/>
  <c r="AI113" i="6" s="1"/>
  <c r="AO113" i="6" s="1"/>
  <c r="AS113" i="6" s="1"/>
  <c r="D75" i="28"/>
  <c r="D91" i="28" s="1"/>
  <c r="D74" i="28"/>
  <c r="D73" i="28"/>
  <c r="D72" i="28"/>
  <c r="D69" i="28"/>
  <c r="AX6" i="7" l="1"/>
  <c r="BF89" i="9"/>
  <c r="AX21" i="7"/>
  <c r="AW92" i="6"/>
  <c r="AW97" i="6"/>
  <c r="AX109" i="6"/>
  <c r="AX93" i="6"/>
  <c r="AW93" i="6"/>
  <c r="AW113" i="6"/>
  <c r="AX110" i="6"/>
  <c r="AX92" i="6"/>
  <c r="AX121" i="6"/>
  <c r="BF6" i="7"/>
  <c r="BE15" i="9"/>
  <c r="AJ91" i="6"/>
  <c r="AW53" i="59"/>
  <c r="AT21" i="7"/>
  <c r="AB105" i="6"/>
  <c r="AF105" i="6" s="1"/>
  <c r="AJ105" i="6" s="1"/>
  <c r="AP105" i="6" s="1"/>
  <c r="AT105" i="6" s="1"/>
  <c r="D83" i="28"/>
  <c r="D87" i="28"/>
  <c r="AB113" i="6"/>
  <c r="AF113" i="6" s="1"/>
  <c r="AJ113" i="6" s="1"/>
  <c r="AP113" i="6" s="1"/>
  <c r="AT113" i="6" s="1"/>
  <c r="D76" i="28"/>
  <c r="D79" i="28"/>
  <c r="Z64" i="36"/>
  <c r="Z61" i="36"/>
  <c r="Z63" i="36" s="1"/>
  <c r="Z57" i="36"/>
  <c r="Z17" i="36" s="1"/>
  <c r="AC54" i="59" s="1"/>
  <c r="Z58" i="36"/>
  <c r="Z56" i="36"/>
  <c r="Z16" i="36" s="1"/>
  <c r="Y59" i="36"/>
  <c r="BE113" i="6" l="1"/>
  <c r="BG113" i="6" s="1"/>
  <c r="BF110" i="6"/>
  <c r="BH110" i="6" s="1"/>
  <c r="BE93" i="6"/>
  <c r="BG93" i="6" s="1"/>
  <c r="BE97" i="6"/>
  <c r="BG97" i="6" s="1"/>
  <c r="BF121" i="6"/>
  <c r="BH121" i="6" s="1"/>
  <c r="BF93" i="6"/>
  <c r="BH93" i="6" s="1"/>
  <c r="BE92" i="6"/>
  <c r="BG92" i="6" s="1"/>
  <c r="BF92" i="6"/>
  <c r="BH92" i="6" s="1"/>
  <c r="BF109" i="6"/>
  <c r="BH109" i="6" s="1"/>
  <c r="BE89" i="9"/>
  <c r="AX105" i="6"/>
  <c r="AX113" i="6"/>
  <c r="BF21" i="7"/>
  <c r="BE51" i="9"/>
  <c r="AP91" i="6"/>
  <c r="Z18" i="36"/>
  <c r="AC55" i="59" s="1"/>
  <c r="AC53" i="59"/>
  <c r="Y56" i="36"/>
  <c r="D95" i="28"/>
  <c r="BF113" i="6" l="1"/>
  <c r="BH113" i="6" s="1"/>
  <c r="BF105" i="6"/>
  <c r="BH105" i="6" s="1"/>
  <c r="AT91" i="6"/>
  <c r="AX91" i="6" s="1"/>
  <c r="D12" i="21"/>
  <c r="D15" i="21" s="1"/>
  <c r="Y6" i="21"/>
  <c r="BF91" i="6" l="1"/>
  <c r="D22" i="21"/>
  <c r="D28" i="21"/>
  <c r="BH91" i="6" l="1"/>
  <c r="J130" i="6"/>
  <c r="I130" i="6"/>
  <c r="J125" i="6"/>
  <c r="I124" i="6"/>
  <c r="J132" i="6"/>
  <c r="J121" i="6"/>
  <c r="J118" i="6"/>
  <c r="I118" i="6"/>
  <c r="J115" i="6"/>
  <c r="I115" i="6"/>
  <c r="J113" i="6"/>
  <c r="I113" i="6"/>
  <c r="J110" i="6"/>
  <c r="I110" i="6"/>
  <c r="J109" i="6"/>
  <c r="I109" i="6"/>
  <c r="J108" i="6"/>
  <c r="I108" i="6"/>
  <c r="J105" i="6"/>
  <c r="J99" i="6"/>
  <c r="I99" i="6"/>
  <c r="I92" i="6"/>
  <c r="J92" i="6"/>
  <c r="I93" i="6"/>
  <c r="J93" i="6"/>
  <c r="I97" i="6"/>
  <c r="J97" i="6"/>
  <c r="J91" i="6"/>
  <c r="I91" i="6"/>
  <c r="J103" i="6" l="1"/>
  <c r="J114" i="6"/>
  <c r="J138" i="6"/>
  <c r="J135" i="6"/>
  <c r="J136" i="6" s="1"/>
  <c r="I103" i="6"/>
  <c r="I114" i="6"/>
  <c r="I119" i="6"/>
  <c r="J119" i="6"/>
  <c r="I135" i="6"/>
  <c r="J124" i="6"/>
  <c r="J129" i="6"/>
  <c r="I132" i="6"/>
  <c r="I125" i="6"/>
  <c r="J120" i="6" l="1"/>
  <c r="J122" i="6" s="1"/>
  <c r="I120" i="6"/>
  <c r="I122" i="6" s="1"/>
  <c r="J131" i="6"/>
  <c r="I136" i="6"/>
  <c r="I131" i="6"/>
  <c r="I137" i="6" l="1"/>
  <c r="J137" i="6"/>
  <c r="J139" i="6" l="1"/>
  <c r="J203" i="6" s="1"/>
  <c r="J195" i="6" l="1"/>
  <c r="J204" i="6"/>
  <c r="J209" i="6"/>
  <c r="J205" i="6"/>
  <c r="J210" i="6"/>
  <c r="J202" i="6"/>
  <c r="J213" i="6"/>
  <c r="J200" i="6"/>
  <c r="J207" i="6"/>
  <c r="J208" i="6"/>
  <c r="J199" i="6"/>
  <c r="J211" i="6" l="1"/>
  <c r="J206" i="6"/>
  <c r="J214" i="6"/>
  <c r="M11" i="59" l="1"/>
  <c r="J212" i="6"/>
  <c r="J215" i="6" s="1"/>
  <c r="AB93" i="11" l="1"/>
  <c r="AB85" i="11"/>
  <c r="K4" i="61" l="1"/>
  <c r="K16" i="61" s="1"/>
  <c r="N184" i="10" l="1"/>
  <c r="N192" i="10"/>
  <c r="G16" i="61"/>
  <c r="X76" i="26" l="1"/>
  <c r="X80" i="26" s="1"/>
  <c r="X46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7" i="8"/>
  <c r="Y34" i="8"/>
  <c r="BE61" i="9" l="1"/>
  <c r="AS77" i="9"/>
  <c r="AO79" i="9"/>
  <c r="AS62" i="9"/>
  <c r="AW62" i="9" s="1"/>
  <c r="AW79" i="9" s="1"/>
  <c r="BE78" i="9" l="1"/>
  <c r="BE60" i="9"/>
  <c r="AS79" i="9"/>
  <c r="BE77" i="9" l="1"/>
  <c r="BE62" i="9"/>
  <c r="BE79" i="9" l="1"/>
  <c r="Z92" i="11"/>
  <c r="AC67" i="59" l="1"/>
  <c r="Z79" i="11"/>
  <c r="AC69" i="59" s="1"/>
  <c r="Z94" i="11"/>
  <c r="AA144" i="45"/>
  <c r="Z144" i="45"/>
  <c r="AA142" i="45"/>
  <c r="Z142" i="45"/>
  <c r="AA141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5" i="45"/>
  <c r="AA145" i="45"/>
  <c r="AJ56" i="11" l="1"/>
  <c r="AJ59" i="11"/>
  <c r="AJ55" i="11"/>
  <c r="AJ92" i="11" s="1"/>
  <c r="AP7" i="11"/>
  <c r="AF60" i="11"/>
  <c r="AF97" i="11"/>
  <c r="AF94" i="11"/>
  <c r="AB97" i="11"/>
  <c r="AB60" i="11"/>
  <c r="AC73" i="59"/>
  <c r="AB71" i="59"/>
  <c r="AJ60" i="11" l="1"/>
  <c r="AT7" i="11"/>
  <c r="AP59" i="11"/>
  <c r="AP55" i="11"/>
  <c r="AP92" i="11" s="1"/>
  <c r="AP94" i="11" s="1"/>
  <c r="AP56" i="11"/>
  <c r="AJ94" i="11"/>
  <c r="AJ97" i="11"/>
  <c r="R196" i="10"/>
  <c r="AC71" i="59"/>
  <c r="AX7" i="11" l="1"/>
  <c r="AP97" i="11"/>
  <c r="AX56" i="11"/>
  <c r="AX55" i="11"/>
  <c r="AX59" i="11"/>
  <c r="AP60" i="11"/>
  <c r="AT59" i="11"/>
  <c r="AT56" i="11"/>
  <c r="AT55" i="11"/>
  <c r="H60" i="17"/>
  <c r="H59" i="17"/>
  <c r="L59" i="17" s="1"/>
  <c r="P59" i="17" s="1"/>
  <c r="T59" i="17" s="1"/>
  <c r="H32" i="27"/>
  <c r="AX92" i="11" l="1"/>
  <c r="AT92" i="11"/>
  <c r="AT97" i="11"/>
  <c r="AX60" i="11"/>
  <c r="AT60" i="11"/>
  <c r="BF7" i="11"/>
  <c r="AX97" i="11"/>
  <c r="L60" i="17"/>
  <c r="P60" i="17" s="1"/>
  <c r="P32" i="27"/>
  <c r="T32" i="27" s="1"/>
  <c r="Z59" i="17"/>
  <c r="AD59" i="17" s="1"/>
  <c r="AH59" i="17" s="1"/>
  <c r="AX94" i="11" l="1"/>
  <c r="AT94" i="11"/>
  <c r="BF55" i="11"/>
  <c r="BF59" i="11"/>
  <c r="BF56" i="11"/>
  <c r="T60" i="17"/>
  <c r="X60" i="17" s="1"/>
  <c r="AN59" i="17"/>
  <c r="Z32" i="27"/>
  <c r="AD32" i="27" s="1"/>
  <c r="BF97" i="11" l="1"/>
  <c r="AR59" i="17"/>
  <c r="BF92" i="11"/>
  <c r="AH32" i="27"/>
  <c r="AN32" i="27" s="1"/>
  <c r="AR32" i="27" s="1"/>
  <c r="BF60" i="11"/>
  <c r="X17" i="26"/>
  <c r="X15" i="26"/>
  <c r="X11" i="26"/>
  <c r="X9" i="26"/>
  <c r="AV59" i="17" l="1"/>
  <c r="BD59" i="17" s="1"/>
  <c r="BF94" i="11"/>
  <c r="AV32" i="27"/>
  <c r="BD32" i="27" s="1"/>
  <c r="BI32" i="27" s="1"/>
  <c r="X12" i="26"/>
  <c r="X19" i="26" s="1"/>
  <c r="R37" i="36" l="1"/>
  <c r="Q37" i="36"/>
  <c r="J7" i="45"/>
  <c r="J138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4" i="45" l="1"/>
  <c r="V124" i="45"/>
  <c r="AP7" i="45"/>
  <c r="AF124" i="45"/>
  <c r="AB78" i="59"/>
  <c r="Z29" i="36"/>
  <c r="Y7" i="15" s="1"/>
  <c r="Z28" i="36"/>
  <c r="Y6" i="15" s="1"/>
  <c r="Z27" i="36"/>
  <c r="Y5" i="15" s="1"/>
  <c r="AB124" i="45"/>
  <c r="AB76" i="59"/>
  <c r="AB77" i="59"/>
  <c r="Y60" i="36"/>
  <c r="AP124" i="45" l="1"/>
  <c r="AR71" i="59" s="1"/>
  <c r="AT7" i="45"/>
  <c r="AX7" i="45" s="1"/>
  <c r="AX124" i="45" s="1"/>
  <c r="BI162" i="10"/>
  <c r="AT124" i="45" l="1"/>
  <c r="AV71" i="59" s="1"/>
  <c r="BF7" i="45" l="1"/>
  <c r="AZ71" i="59"/>
  <c r="N191" i="10"/>
  <c r="BH7" i="45" l="1"/>
  <c r="BF124" i="45"/>
  <c r="N193" i="10"/>
  <c r="AC4" i="61"/>
  <c r="N178" i="10"/>
  <c r="Q65" i="59" s="1"/>
  <c r="S4" i="61"/>
  <c r="BH71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7" i="11"/>
  <c r="BG4" i="61"/>
  <c r="BG16" i="61" s="1"/>
  <c r="R60" i="11"/>
  <c r="S123" i="45"/>
  <c r="AC151" i="45"/>
  <c r="AC160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BH16" i="52" l="1"/>
  <c r="AV17" i="26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5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22" i="45"/>
  <c r="K121" i="45"/>
  <c r="R83" i="7"/>
  <c r="L19" i="26"/>
  <c r="Z12" i="26"/>
  <c r="Z19" i="26" s="1"/>
  <c r="J162" i="10"/>
  <c r="J163" i="10" s="1"/>
  <c r="H19" i="26"/>
  <c r="K125" i="50" l="1"/>
  <c r="AV11" i="26"/>
  <c r="BD11" i="26" s="1"/>
  <c r="AH12" i="26"/>
  <c r="AH19" i="26" s="1"/>
  <c r="AN9" i="26"/>
  <c r="K121" i="50"/>
  <c r="R162" i="10"/>
  <c r="R163" i="10" s="1"/>
  <c r="AD19" i="26"/>
  <c r="AD18" i="26"/>
  <c r="K125" i="45"/>
  <c r="K126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8" i="59"/>
  <c r="H64" i="59"/>
  <c r="AW17" i="26" l="1"/>
  <c r="BE17" i="26" s="1"/>
  <c r="AV18" i="26"/>
  <c r="AV19" i="26"/>
  <c r="AK121" i="50"/>
  <c r="AN18" i="26"/>
  <c r="AN19" i="26"/>
  <c r="AR12" i="26"/>
  <c r="O121" i="50"/>
  <c r="S121" i="50"/>
  <c r="W121" i="50"/>
  <c r="AC121" i="50"/>
  <c r="E17" i="52"/>
  <c r="BG16" i="52" s="1"/>
  <c r="AR19" i="26" l="1"/>
  <c r="AR18" i="26"/>
  <c r="BD9" i="26"/>
  <c r="AG121" i="50"/>
  <c r="BD12" i="26" l="1"/>
  <c r="BD18" i="26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B40" i="36" s="1"/>
  <c r="BD74" i="59"/>
  <c r="BC33" i="36"/>
  <c r="BA60" i="36"/>
  <c r="BC58" i="36"/>
  <c r="BA35" i="36"/>
  <c r="BC35" i="36" s="1"/>
  <c r="BA57" i="36"/>
  <c r="BA17" i="36" s="1"/>
  <c r="BB34" i="36"/>
  <c r="BD34" i="36" l="1"/>
  <c r="BD41" i="36" s="1"/>
  <c r="BB41" i="36"/>
  <c r="BB43" i="36" s="1"/>
  <c r="BD54" i="59"/>
  <c r="BD33" i="36"/>
  <c r="BD40" i="36" s="1"/>
  <c r="BB27" i="36"/>
  <c r="BB28" i="36"/>
  <c r="BB29" i="36"/>
  <c r="BF74" i="59"/>
  <c r="BA36" i="36"/>
  <c r="BA38" i="36" s="1"/>
  <c r="BB35" i="36"/>
  <c r="BD35" i="36" s="1"/>
  <c r="BD29" i="36" l="1"/>
  <c r="BE78" i="59"/>
  <c r="BA7" i="15"/>
  <c r="BD28" i="36"/>
  <c r="BE77" i="59"/>
  <c r="BA6" i="15"/>
  <c r="BD27" i="36"/>
  <c r="BE76" i="59"/>
  <c r="BA5" i="15"/>
  <c r="BA30" i="36"/>
  <c r="BD79" i="59" s="1"/>
  <c r="BC36" i="36"/>
  <c r="X144" i="7"/>
  <c r="X146" i="7" s="1"/>
  <c r="X147" i="7" s="1"/>
  <c r="L144" i="7"/>
  <c r="L146" i="7" s="1"/>
  <c r="L147" i="7" s="1"/>
  <c r="H144" i="7"/>
  <c r="BG78" i="59" l="1"/>
  <c r="BC7" i="15"/>
  <c r="BG76" i="59"/>
  <c r="BC5" i="15"/>
  <c r="BG77" i="59"/>
  <c r="BC6" i="15"/>
  <c r="H146" i="7"/>
  <c r="BB36" i="36"/>
  <c r="BB38" i="36" s="1"/>
  <c r="H147" i="7" l="1"/>
  <c r="BB30" i="36"/>
  <c r="BE79" i="59" s="1"/>
  <c r="BD36" i="36"/>
  <c r="X138" i="7" l="1"/>
  <c r="X140" i="7" s="1"/>
  <c r="X141" i="7" s="1"/>
  <c r="L138" i="7"/>
  <c r="L140" i="7" s="1"/>
  <c r="L141" i="7" s="1"/>
  <c r="H138" i="7"/>
  <c r="J97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L133" i="7"/>
  <c r="H133" i="7" l="1"/>
  <c r="R121" i="7"/>
  <c r="V129" i="7" l="1"/>
  <c r="V131" i="7" l="1"/>
  <c r="V132" i="7" s="1"/>
  <c r="V130" i="7"/>
  <c r="V133" i="7" s="1"/>
  <c r="V135" i="7" s="1"/>
  <c r="AB121" i="7"/>
  <c r="I139" i="6" l="1"/>
  <c r="I203" i="6" s="1"/>
  <c r="I213" i="6" l="1"/>
  <c r="I199" i="6"/>
  <c r="I200" i="6"/>
  <c r="I205" i="6"/>
  <c r="I209" i="6"/>
  <c r="I204" i="6"/>
  <c r="I202" i="6"/>
  <c r="I207" i="6"/>
  <c r="I210" i="6"/>
  <c r="I208" i="6"/>
  <c r="I214" i="6" l="1"/>
  <c r="I206" i="6"/>
  <c r="I211" i="6"/>
  <c r="I212" i="6" l="1"/>
  <c r="I215" i="6" l="1"/>
  <c r="AM2" i="36" l="1"/>
  <c r="AM38" i="36" s="1"/>
  <c r="AN2" i="36"/>
  <c r="AN38" i="36" l="1"/>
  <c r="AN43" i="36"/>
  <c r="BC2" i="36"/>
  <c r="BC38" i="36" s="1"/>
  <c r="AM30" i="36"/>
  <c r="AP79" i="59" s="1"/>
  <c r="BD2" i="36"/>
  <c r="AN30" i="36"/>
  <c r="AQ79" i="59" s="1"/>
  <c r="BD38" i="36" l="1"/>
  <c r="BD43" i="36"/>
  <c r="BD13" i="36"/>
  <c r="BG39" i="59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AX59" i="36"/>
  <c r="AX67" i="36" s="1"/>
  <c r="BE56" i="9"/>
  <c r="AT59" i="36"/>
  <c r="AT73" i="9"/>
  <c r="K148" i="45"/>
  <c r="K147" i="45"/>
  <c r="K136" i="45"/>
  <c r="J136" i="45"/>
  <c r="I72" i="59"/>
  <c r="H72" i="59"/>
  <c r="K134" i="45"/>
  <c r="J134" i="45"/>
  <c r="K7" i="45"/>
  <c r="K124" i="45" s="1"/>
  <c r="K2" i="45"/>
  <c r="K143" i="45" s="1"/>
  <c r="J2" i="45"/>
  <c r="BE73" i="9" l="1"/>
  <c r="BF73" i="9"/>
  <c r="N2" i="45"/>
  <c r="N143" i="45" s="1"/>
  <c r="J143" i="45"/>
  <c r="AT67" i="36"/>
  <c r="BF59" i="36"/>
  <c r="BF67" i="36" s="1"/>
  <c r="AC134" i="45"/>
  <c r="AG134" i="45" s="1"/>
  <c r="AK134" i="45" s="1"/>
  <c r="N141" i="45"/>
  <c r="Z132" i="45"/>
  <c r="S147" i="45"/>
  <c r="W147" i="45" s="1"/>
  <c r="AC147" i="45"/>
  <c r="AG147" i="45" s="1"/>
  <c r="AK147" i="45" s="1"/>
  <c r="AA132" i="45"/>
  <c r="S148" i="45"/>
  <c r="W148" i="45" s="1"/>
  <c r="AC148" i="45"/>
  <c r="AG148" i="45" s="1"/>
  <c r="AA139" i="45"/>
  <c r="AA140" i="45" s="1"/>
  <c r="N23" i="36"/>
  <c r="Q71" i="59" s="1"/>
  <c r="J135" i="45"/>
  <c r="L72" i="59" s="1"/>
  <c r="K135" i="45"/>
  <c r="M72" i="59" s="1"/>
  <c r="J142" i="45"/>
  <c r="J141" i="45"/>
  <c r="J144" i="45"/>
  <c r="K142" i="45"/>
  <c r="K141" i="45"/>
  <c r="O2" i="45"/>
  <c r="O143" i="45" s="1"/>
  <c r="K144" i="45"/>
  <c r="I73" i="59"/>
  <c r="H73" i="59"/>
  <c r="K137" i="45"/>
  <c r="O145" i="45"/>
  <c r="Q73" i="59" s="1"/>
  <c r="K139" i="45"/>
  <c r="K140" i="45" s="1"/>
  <c r="K155" i="45"/>
  <c r="K138" i="45"/>
  <c r="J132" i="45"/>
  <c r="O149" i="45"/>
  <c r="K132" i="45"/>
  <c r="S134" i="45"/>
  <c r="W134" i="45" s="1"/>
  <c r="J137" i="45"/>
  <c r="K149" i="45"/>
  <c r="N142" i="45" l="1"/>
  <c r="N144" i="45"/>
  <c r="R144" i="45" s="1"/>
  <c r="V144" i="45" s="1"/>
  <c r="AB2" i="45"/>
  <c r="AF2" i="45" s="1"/>
  <c r="AJ2" i="45" s="1"/>
  <c r="AP2" i="45" s="1"/>
  <c r="AT2" i="45" s="1"/>
  <c r="AX2" i="45" s="1"/>
  <c r="BF2" i="45" s="1"/>
  <c r="R2" i="45"/>
  <c r="V2" i="45" s="1"/>
  <c r="W149" i="45"/>
  <c r="W156" i="45" s="1"/>
  <c r="AK148" i="45"/>
  <c r="AK149" i="45" s="1"/>
  <c r="R143" i="45"/>
  <c r="V143" i="45" s="1"/>
  <c r="AB143" i="45"/>
  <c r="AF143" i="45" s="1"/>
  <c r="AJ143" i="45" s="1"/>
  <c r="AP143" i="45" s="1"/>
  <c r="AT143" i="45" s="1"/>
  <c r="AX143" i="45" s="1"/>
  <c r="AQ147" i="45"/>
  <c r="AQ134" i="45"/>
  <c r="AU134" i="45" s="1"/>
  <c r="AG149" i="45"/>
  <c r="O141" i="45"/>
  <c r="O142" i="45"/>
  <c r="O144" i="45"/>
  <c r="AC136" i="45"/>
  <c r="AG136" i="45" s="1"/>
  <c r="AK136" i="45" s="1"/>
  <c r="AK135" i="45" s="1"/>
  <c r="AB136" i="45"/>
  <c r="AF136" i="45" s="1"/>
  <c r="AJ136" i="45" s="1"/>
  <c r="AC7" i="45"/>
  <c r="AG7" i="45" s="1"/>
  <c r="AK7" i="45" s="1"/>
  <c r="N145" i="45"/>
  <c r="P73" i="59" s="1"/>
  <c r="S149" i="45"/>
  <c r="S156" i="45" s="1"/>
  <c r="AC149" i="45"/>
  <c r="AC156" i="45" s="1"/>
  <c r="S2" i="45"/>
  <c r="W2" i="45" s="1"/>
  <c r="AC2" i="45"/>
  <c r="AG2" i="45" s="1"/>
  <c r="AK2" i="45" s="1"/>
  <c r="AQ2" i="45" s="1"/>
  <c r="AU2" i="45" s="1"/>
  <c r="AY2" i="45" s="1"/>
  <c r="BG2" i="45" s="1"/>
  <c r="R134" i="45"/>
  <c r="V134" i="45" s="1"/>
  <c r="AB134" i="45"/>
  <c r="AF134" i="45" s="1"/>
  <c r="AJ134" i="45" s="1"/>
  <c r="AA133" i="45"/>
  <c r="Z133" i="45"/>
  <c r="R142" i="45"/>
  <c r="V142" i="45" s="1"/>
  <c r="AB142" i="45"/>
  <c r="AF142" i="45" s="1"/>
  <c r="O155" i="45"/>
  <c r="S7" i="45"/>
  <c r="J133" i="45"/>
  <c r="AB132" i="45"/>
  <c r="AF132" i="45" s="1"/>
  <c r="AC139" i="45"/>
  <c r="AG139" i="45" s="1"/>
  <c r="AK139" i="45" s="1"/>
  <c r="K156" i="45"/>
  <c r="K150" i="45"/>
  <c r="O137" i="45"/>
  <c r="S136" i="45"/>
  <c r="W136" i="45" s="1"/>
  <c r="W135" i="45" s="1"/>
  <c r="O135" i="45"/>
  <c r="Q72" i="59" s="1"/>
  <c r="K133" i="45"/>
  <c r="AC132" i="45"/>
  <c r="AG132" i="45" s="1"/>
  <c r="AK132" i="45" s="1"/>
  <c r="AK133" i="45" s="1"/>
  <c r="O156" i="45"/>
  <c r="O150" i="45"/>
  <c r="N137" i="45"/>
  <c r="R136" i="45"/>
  <c r="V136" i="45" s="1"/>
  <c r="N135" i="45"/>
  <c r="P72" i="59" s="1"/>
  <c r="K160" i="45"/>
  <c r="K151" i="45"/>
  <c r="AB144" i="45" l="1"/>
  <c r="AF144" i="45" s="1"/>
  <c r="AY134" i="45"/>
  <c r="AK150" i="45"/>
  <c r="AK156" i="45"/>
  <c r="W137" i="45"/>
  <c r="S143" i="45"/>
  <c r="W143" i="45" s="1"/>
  <c r="V137" i="45"/>
  <c r="V135" i="45"/>
  <c r="X72" i="59" s="1"/>
  <c r="V145" i="45"/>
  <c r="W7" i="45"/>
  <c r="AJ137" i="45"/>
  <c r="AJ135" i="45"/>
  <c r="AJ145" i="45"/>
  <c r="AL73" i="59" s="1"/>
  <c r="AK137" i="45"/>
  <c r="AJ132" i="45"/>
  <c r="AJ133" i="45" s="1"/>
  <c r="AQ148" i="45"/>
  <c r="AU148" i="45" s="1"/>
  <c r="AK155" i="45"/>
  <c r="AC143" i="45"/>
  <c r="AG143" i="45" s="1"/>
  <c r="AK143" i="45" s="1"/>
  <c r="AQ143" i="45" s="1"/>
  <c r="AU143" i="45" s="1"/>
  <c r="AY143" i="45" s="1"/>
  <c r="AJ144" i="45"/>
  <c r="AP144" i="45" s="1"/>
  <c r="AT144" i="45" s="1"/>
  <c r="AJ142" i="45"/>
  <c r="AP142" i="45" s="1"/>
  <c r="AT142" i="45" s="1"/>
  <c r="BG134" i="45"/>
  <c r="BI134" i="45" s="1"/>
  <c r="AU147" i="45"/>
  <c r="AQ136" i="45"/>
  <c r="AU136" i="45" s="1"/>
  <c r="AM72" i="59"/>
  <c r="AF133" i="45"/>
  <c r="AQ7" i="45"/>
  <c r="AG133" i="45"/>
  <c r="AP136" i="45"/>
  <c r="AT136" i="45" s="1"/>
  <c r="AX136" i="45" s="1"/>
  <c r="AG155" i="45"/>
  <c r="AF135" i="45"/>
  <c r="AH72" i="59" s="1"/>
  <c r="AF137" i="45"/>
  <c r="AF145" i="45"/>
  <c r="AH73" i="59" s="1"/>
  <c r="AG137" i="45"/>
  <c r="AG135" i="45"/>
  <c r="AI72" i="59" s="1"/>
  <c r="AG156" i="45"/>
  <c r="AG150" i="45"/>
  <c r="Y72" i="59"/>
  <c r="AC138" i="45"/>
  <c r="AG138" i="45" s="1"/>
  <c r="AK138" i="45" s="1"/>
  <c r="AC135" i="45"/>
  <c r="AE72" i="59" s="1"/>
  <c r="AC137" i="45"/>
  <c r="AC155" i="45"/>
  <c r="AB145" i="45"/>
  <c r="AC8" i="45"/>
  <c r="AC171" i="45" s="1"/>
  <c r="AC177" i="45" s="1"/>
  <c r="AC150" i="45"/>
  <c r="AB135" i="45"/>
  <c r="AD72" i="59" s="1"/>
  <c r="AC133" i="45"/>
  <c r="AB137" i="45"/>
  <c r="R138" i="45"/>
  <c r="V138" i="45" s="1"/>
  <c r="AB138" i="45"/>
  <c r="AF138" i="45" s="1"/>
  <c r="S141" i="45"/>
  <c r="W141" i="45" s="1"/>
  <c r="AC141" i="45"/>
  <c r="AG141" i="45" s="1"/>
  <c r="S142" i="45"/>
  <c r="W142" i="45" s="1"/>
  <c r="AC142" i="45"/>
  <c r="AG142" i="45" s="1"/>
  <c r="S144" i="45"/>
  <c r="W144" i="45" s="1"/>
  <c r="AC144" i="45"/>
  <c r="AG144" i="45" s="1"/>
  <c r="AB133" i="45"/>
  <c r="S8" i="45"/>
  <c r="S171" i="45" s="1"/>
  <c r="S177" i="45" s="1"/>
  <c r="S150" i="45"/>
  <c r="S155" i="45"/>
  <c r="S138" i="45"/>
  <c r="R137" i="45"/>
  <c r="R135" i="45"/>
  <c r="T72" i="59" s="1"/>
  <c r="S132" i="45"/>
  <c r="W132" i="45" s="1"/>
  <c r="W133" i="45" s="1"/>
  <c r="O133" i="45"/>
  <c r="K159" i="45"/>
  <c r="S139" i="45"/>
  <c r="W139" i="45" s="1"/>
  <c r="O151" i="45"/>
  <c r="R132" i="45"/>
  <c r="V132" i="45" s="1"/>
  <c r="V133" i="45" s="1"/>
  <c r="N133" i="45"/>
  <c r="S160" i="45"/>
  <c r="S151" i="45"/>
  <c r="S137" i="45"/>
  <c r="S135" i="45"/>
  <c r="U72" i="59" s="1"/>
  <c r="AY136" i="45" l="1"/>
  <c r="AY147" i="45"/>
  <c r="AG8" i="45"/>
  <c r="AG171" i="45" s="1"/>
  <c r="AG177" i="45" s="1"/>
  <c r="W8" i="45"/>
  <c r="W171" i="45" s="1"/>
  <c r="W177" i="45" s="1"/>
  <c r="W138" i="45"/>
  <c r="AY148" i="45"/>
  <c r="AX142" i="45"/>
  <c r="BF142" i="45" s="1"/>
  <c r="AX145" i="45"/>
  <c r="AZ73" i="59" s="1"/>
  <c r="AY135" i="45"/>
  <c r="AX144" i="45"/>
  <c r="BF144" i="45" s="1"/>
  <c r="AP132" i="45"/>
  <c r="AT132" i="45" s="1"/>
  <c r="AJ138" i="45"/>
  <c r="AP138" i="45" s="1"/>
  <c r="AT138" i="45" s="1"/>
  <c r="W155" i="45"/>
  <c r="W150" i="45"/>
  <c r="AQ149" i="45"/>
  <c r="AQ156" i="45" s="1"/>
  <c r="AK144" i="45"/>
  <c r="AQ144" i="45" s="1"/>
  <c r="AU144" i="45" s="1"/>
  <c r="AK142" i="45"/>
  <c r="AQ142" i="45" s="1"/>
  <c r="AU142" i="45" s="1"/>
  <c r="AK141" i="45"/>
  <c r="AQ141" i="45" s="1"/>
  <c r="AU141" i="45" s="1"/>
  <c r="AU149" i="45"/>
  <c r="BG136" i="45"/>
  <c r="BI136" i="45" s="1"/>
  <c r="BF136" i="45"/>
  <c r="BH136" i="45" s="1"/>
  <c r="AU135" i="45"/>
  <c r="AW72" i="59" s="1"/>
  <c r="AU137" i="45"/>
  <c r="AT145" i="45"/>
  <c r="AV73" i="59" s="1"/>
  <c r="AQ155" i="45"/>
  <c r="AU7" i="45"/>
  <c r="AQ138" i="45"/>
  <c r="AP134" i="45"/>
  <c r="AP135" i="45" s="1"/>
  <c r="AR72" i="59" s="1"/>
  <c r="AP145" i="45"/>
  <c r="AR73" i="59" s="1"/>
  <c r="AQ132" i="45"/>
  <c r="AL72" i="59"/>
  <c r="AQ135" i="45"/>
  <c r="AS72" i="59" s="1"/>
  <c r="AQ137" i="45"/>
  <c r="AQ139" i="45"/>
  <c r="AC122" i="45"/>
  <c r="S122" i="45"/>
  <c r="S140" i="45" s="1"/>
  <c r="AC121" i="45"/>
  <c r="AC159" i="45" s="1"/>
  <c r="S121" i="45"/>
  <c r="AD71" i="59"/>
  <c r="R133" i="45"/>
  <c r="K161" i="45"/>
  <c r="O159" i="45"/>
  <c r="S133" i="45"/>
  <c r="W121" i="45" l="1"/>
  <c r="W159" i="45" s="1"/>
  <c r="W161" i="45" s="1"/>
  <c r="BG148" i="45"/>
  <c r="BI148" i="45" s="1"/>
  <c r="BA72" i="59"/>
  <c r="AY137" i="45"/>
  <c r="AU156" i="45"/>
  <c r="AY7" i="45"/>
  <c r="AG121" i="45"/>
  <c r="AG159" i="45" s="1"/>
  <c r="AG161" i="45" s="1"/>
  <c r="AG122" i="45"/>
  <c r="AG140" i="45" s="1"/>
  <c r="O161" i="45"/>
  <c r="AC125" i="50"/>
  <c r="AC140" i="45"/>
  <c r="W122" i="45"/>
  <c r="AK8" i="45"/>
  <c r="AK171" i="45" s="1"/>
  <c r="AK177" i="45" s="1"/>
  <c r="AQ150" i="45"/>
  <c r="S125" i="50"/>
  <c r="AG125" i="50"/>
  <c r="AY149" i="45"/>
  <c r="AY142" i="45"/>
  <c r="BG142" i="45" s="1"/>
  <c r="AX138" i="45"/>
  <c r="BF138" i="45" s="1"/>
  <c r="AY144" i="45"/>
  <c r="BG144" i="45" s="1"/>
  <c r="AX132" i="45"/>
  <c r="BF132" i="45" s="1"/>
  <c r="BH132" i="45" s="1"/>
  <c r="AY141" i="45"/>
  <c r="BG141" i="45" s="1"/>
  <c r="AU155" i="45"/>
  <c r="BG147" i="45"/>
  <c r="BI147" i="45" s="1"/>
  <c r="BF145" i="45"/>
  <c r="AP137" i="45"/>
  <c r="BG135" i="45"/>
  <c r="BG137" i="45"/>
  <c r="AU138" i="45"/>
  <c r="AP133" i="45"/>
  <c r="AT134" i="45"/>
  <c r="AU150" i="45"/>
  <c r="AU139" i="45"/>
  <c r="AQ133" i="45"/>
  <c r="AU132" i="45"/>
  <c r="W125" i="50"/>
  <c r="S125" i="45"/>
  <c r="S126" i="45" s="1"/>
  <c r="S124" i="45"/>
  <c r="S145" i="45"/>
  <c r="U73" i="59" s="1"/>
  <c r="AC124" i="45"/>
  <c r="AE71" i="59" s="1"/>
  <c r="AC125" i="45"/>
  <c r="AC126" i="45" s="1"/>
  <c r="AC145" i="45"/>
  <c r="AE73" i="59" s="1"/>
  <c r="AC161" i="45"/>
  <c r="S159" i="45"/>
  <c r="AY155" i="45" l="1"/>
  <c r="AY156" i="45"/>
  <c r="AY138" i="45"/>
  <c r="AG124" i="45"/>
  <c r="AF23" i="36" s="1"/>
  <c r="AI71" i="59" s="1"/>
  <c r="AX134" i="45"/>
  <c r="AX135" i="45" s="1"/>
  <c r="AZ72" i="59" s="1"/>
  <c r="AG125" i="45"/>
  <c r="AG126" i="45" s="1"/>
  <c r="AY132" i="45"/>
  <c r="AY133" i="45" s="1"/>
  <c r="AG145" i="45"/>
  <c r="AI73" i="59" s="1"/>
  <c r="AY139" i="45"/>
  <c r="W125" i="45"/>
  <c r="W126" i="45" s="1"/>
  <c r="W140" i="45"/>
  <c r="W145" i="45"/>
  <c r="Y73" i="59" s="1"/>
  <c r="W124" i="45"/>
  <c r="AK121" i="45"/>
  <c r="AK159" i="45" s="1"/>
  <c r="AK161" i="45" s="1"/>
  <c r="AQ8" i="45"/>
  <c r="AK122" i="45"/>
  <c r="AK140" i="45" s="1"/>
  <c r="AY150" i="45"/>
  <c r="BH73" i="59"/>
  <c r="BG149" i="45"/>
  <c r="BI149" i="45" s="1"/>
  <c r="BI72" i="59"/>
  <c r="AX137" i="45"/>
  <c r="AU133" i="45"/>
  <c r="BG7" i="45"/>
  <c r="BI7" i="45" s="1"/>
  <c r="AT137" i="45"/>
  <c r="AT133" i="45"/>
  <c r="AT135" i="45"/>
  <c r="AV72" i="59" s="1"/>
  <c r="U71" i="59"/>
  <c r="R23" i="36"/>
  <c r="AB23" i="36"/>
  <c r="S161" i="45"/>
  <c r="BF134" i="45" l="1"/>
  <c r="BH134" i="45" s="1"/>
  <c r="AX133" i="45"/>
  <c r="AQ171" i="45"/>
  <c r="AQ177" i="45" s="1"/>
  <c r="AQ121" i="45"/>
  <c r="AQ159" i="45" s="1"/>
  <c r="AQ161" i="45" s="1"/>
  <c r="AK125" i="45"/>
  <c r="AK126" i="45" s="1"/>
  <c r="AK124" i="45"/>
  <c r="AK145" i="45"/>
  <c r="AM73" i="59" s="1"/>
  <c r="AU8" i="45"/>
  <c r="AQ122" i="45"/>
  <c r="AQ140" i="45" s="1"/>
  <c r="BG155" i="45"/>
  <c r="BI155" i="45" s="1"/>
  <c r="BG138" i="45"/>
  <c r="BG156" i="45"/>
  <c r="BI156" i="45" s="1"/>
  <c r="Y71" i="59"/>
  <c r="V23" i="36"/>
  <c r="BG150" i="45"/>
  <c r="BG132" i="45"/>
  <c r="BI132" i="45" s="1"/>
  <c r="BG139" i="45"/>
  <c r="BI139" i="45" s="1"/>
  <c r="BF133" i="45"/>
  <c r="BF137" i="45"/>
  <c r="BF135" i="45"/>
  <c r="AU171" i="45" l="1"/>
  <c r="AU177" i="45" s="1"/>
  <c r="AU121" i="45"/>
  <c r="AJ23" i="36"/>
  <c r="AM71" i="59" s="1"/>
  <c r="AQ145" i="45"/>
  <c r="AS73" i="59" s="1"/>
  <c r="AQ125" i="45"/>
  <c r="AQ126" i="45" s="1"/>
  <c r="AQ124" i="45"/>
  <c r="AY8" i="45"/>
  <c r="AU122" i="45"/>
  <c r="BH72" i="59"/>
  <c r="BG133" i="45"/>
  <c r="BC13" i="36"/>
  <c r="BF39" i="59" l="1"/>
  <c r="AU140" i="45"/>
  <c r="AU159" i="45"/>
  <c r="AY171" i="45"/>
  <c r="AY177" i="45" s="1"/>
  <c r="AY121" i="45"/>
  <c r="AY159" i="45" s="1"/>
  <c r="AY161" i="45" s="1"/>
  <c r="AP23" i="36"/>
  <c r="AS71" i="59"/>
  <c r="AU145" i="45"/>
  <c r="AW73" i="59" s="1"/>
  <c r="AU124" i="45"/>
  <c r="AU125" i="45"/>
  <c r="BG8" i="45"/>
  <c r="BI8" i="45" s="1"/>
  <c r="AY122" i="45"/>
  <c r="AY140" i="45" s="1"/>
  <c r="Z3" i="22"/>
  <c r="Y3" i="22"/>
  <c r="J3" i="22"/>
  <c r="N3" i="22" s="1"/>
  <c r="R3" i="22" s="1"/>
  <c r="I3" i="22"/>
  <c r="M3" i="22" s="1"/>
  <c r="Q3" i="22" s="1"/>
  <c r="AU126" i="45" l="1"/>
  <c r="AU161" i="45"/>
  <c r="BG171" i="45"/>
  <c r="BG177" i="45" s="1"/>
  <c r="BG121" i="45"/>
  <c r="BI121" i="45" s="1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5" i="45"/>
  <c r="BA73" i="59" s="1"/>
  <c r="AY124" i="45"/>
  <c r="AY125" i="45"/>
  <c r="AY126" i="45" s="1"/>
  <c r="AW71" i="59"/>
  <c r="AT23" i="36"/>
  <c r="BG122" i="45"/>
  <c r="Y2" i="27"/>
  <c r="X2" i="27"/>
  <c r="BI122" i="45" l="1"/>
  <c r="BG140" i="45"/>
  <c r="BG124" i="45"/>
  <c r="BG145" i="45"/>
  <c r="BG125" i="45"/>
  <c r="BI125" i="45" s="1"/>
  <c r="BA71" i="59"/>
  <c r="AX23" i="36"/>
  <c r="BG159" i="45"/>
  <c r="BI159" i="45" s="1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5" i="26"/>
  <c r="Y48" i="26"/>
  <c r="Y21" i="26"/>
  <c r="Y15" i="26"/>
  <c r="AA15" i="26" s="1"/>
  <c r="AE15" i="26" s="1"/>
  <c r="Y11" i="26"/>
  <c r="Y9" i="26"/>
  <c r="X3" i="26"/>
  <c r="Y3" i="26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X38" i="17" l="1"/>
  <c r="AJ75" i="9"/>
  <c r="AJ61" i="36"/>
  <c r="AJ76" i="9"/>
  <c r="AJ62" i="36"/>
  <c r="AJ70" i="36" s="1"/>
  <c r="AK70" i="36" s="1"/>
  <c r="BO62" i="71"/>
  <c r="BG126" i="45"/>
  <c r="BI73" i="59"/>
  <c r="BG161" i="45"/>
  <c r="BI161" i="45" s="1"/>
  <c r="BF23" i="36"/>
  <c r="BI71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N62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X51" i="17"/>
  <c r="X45" i="17"/>
  <c r="X35" i="17"/>
  <c r="X42" i="17"/>
  <c r="X48" i="17"/>
  <c r="X43" i="17"/>
  <c r="X41" i="17"/>
  <c r="X52" i="17"/>
  <c r="X47" i="17"/>
  <c r="X36" i="17"/>
  <c r="X19" i="17"/>
  <c r="X30" i="17"/>
  <c r="X23" i="17"/>
  <c r="X17" i="17"/>
  <c r="X15" i="17"/>
  <c r="Y54" i="17"/>
  <c r="Y55" i="17"/>
  <c r="Y56" i="17"/>
  <c r="Y57" i="17"/>
  <c r="Y58" i="17" s="1"/>
  <c r="Y42" i="17"/>
  <c r="Y35" i="17"/>
  <c r="Y41" i="17"/>
  <c r="Y43" i="17"/>
  <c r="Y48" i="17"/>
  <c r="Y52" i="17"/>
  <c r="Y47" i="17"/>
  <c r="Y38" i="17"/>
  <c r="Y51" i="17"/>
  <c r="Y45" i="17"/>
  <c r="Y36" i="17"/>
  <c r="Y19" i="17"/>
  <c r="Y11" i="17"/>
  <c r="Y17" i="17"/>
  <c r="Y9" i="17"/>
  <c r="Y13" i="17"/>
  <c r="Y30" i="17"/>
  <c r="Y15" i="17"/>
  <c r="Y23" i="17"/>
  <c r="Y21" i="17"/>
  <c r="Y25" i="17"/>
  <c r="X57" i="17"/>
  <c r="X58" i="17" s="1"/>
  <c r="X55" i="17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2" i="26"/>
  <c r="Y94" i="26" s="1"/>
  <c r="Y92" i="26"/>
  <c r="Y43" i="26"/>
  <c r="Y49" i="26"/>
  <c r="Y54" i="26"/>
  <c r="X49" i="17" l="1"/>
  <c r="Y49" i="17"/>
  <c r="AJ72" i="9"/>
  <c r="AJ58" i="36"/>
  <c r="AJ69" i="36"/>
  <c r="AJ71" i="36" s="1"/>
  <c r="AJ63" i="36"/>
  <c r="X44" i="17"/>
  <c r="Y44" i="17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P62" i="71"/>
  <c r="AJ94" i="9"/>
  <c r="AI19" i="15" s="1"/>
  <c r="AJ93" i="9"/>
  <c r="AJ53" i="9"/>
  <c r="AJ32" i="9"/>
  <c r="AP32" i="9" s="1"/>
  <c r="AT32" i="9" s="1"/>
  <c r="AJ25" i="9"/>
  <c r="AJ52" i="9" s="1"/>
  <c r="AF29" i="9"/>
  <c r="BQ62" i="71"/>
  <c r="AF10" i="9"/>
  <c r="AF82" i="9"/>
  <c r="AI61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0" i="59" s="1"/>
  <c r="AF25" i="9"/>
  <c r="AF52" i="9" s="1"/>
  <c r="AI57" i="59" s="1"/>
  <c r="AP68" i="9"/>
  <c r="AP58" i="9"/>
  <c r="AP63" i="9"/>
  <c r="Y53" i="17"/>
  <c r="Y37" i="17"/>
  <c r="Y39" i="17" s="1"/>
  <c r="X53" i="17"/>
  <c r="X37" i="17"/>
  <c r="X39" i="17" s="1"/>
  <c r="X21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85" i="17" l="1"/>
  <c r="X85" i="17"/>
  <c r="AJ66" i="36"/>
  <c r="AJ68" i="36" s="1"/>
  <c r="AJ60" i="36"/>
  <c r="BU62" i="71"/>
  <c r="AW38" i="9"/>
  <c r="AI29" i="9"/>
  <c r="AI19" i="35" s="1"/>
  <c r="BT62" i="71"/>
  <c r="AX32" i="9"/>
  <c r="BF32" i="9" s="1"/>
  <c r="Z132" i="7"/>
  <c r="AJ35" i="9"/>
  <c r="AP35" i="9" s="1"/>
  <c r="AT35" i="9" s="1"/>
  <c r="AJ29" i="9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1" i="59"/>
  <c r="AT68" i="9"/>
  <c r="AX68" i="9" s="1"/>
  <c r="AX85" i="9" s="1"/>
  <c r="AP85" i="9"/>
  <c r="AP24" i="9"/>
  <c r="AO101" i="9"/>
  <c r="AS20" i="9"/>
  <c r="AW20" i="9" s="1"/>
  <c r="AP70" i="9"/>
  <c r="AM60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7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X25" i="17"/>
  <c r="AB37" i="9"/>
  <c r="AF37" i="9" s="1"/>
  <c r="AJ37" i="9" s="1"/>
  <c r="Z133" i="7"/>
  <c r="Z25" i="9"/>
  <c r="Z93" i="9"/>
  <c r="BE38" i="9" l="1"/>
  <c r="AT51" i="72"/>
  <c r="BX62" i="71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BY62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AX62" i="36"/>
  <c r="AX70" i="36" s="1"/>
  <c r="AY70" i="36" s="1"/>
  <c r="BE20" i="9"/>
  <c r="BF58" i="9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0" i="59" s="1"/>
  <c r="AP25" i="9"/>
  <c r="AP52" i="9" s="1"/>
  <c r="AS57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1" i="59" s="1"/>
  <c r="AT69" i="9"/>
  <c r="AX69" i="9" s="1"/>
  <c r="AX86" i="9" s="1"/>
  <c r="AP86" i="9"/>
  <c r="AO15" i="15"/>
  <c r="Z74" i="7"/>
  <c r="AB74" i="7" s="1"/>
  <c r="AF74" i="7" s="1"/>
  <c r="AJ74" i="7" s="1"/>
  <c r="AJ75" i="7" s="1"/>
  <c r="Y74" i="7"/>
  <c r="AA74" i="7" s="1"/>
  <c r="AE74" i="7" s="1"/>
  <c r="AI74" i="7" s="1"/>
  <c r="AI75" i="7" s="1"/>
  <c r="Z68" i="7"/>
  <c r="AB68" i="7" s="1"/>
  <c r="AF68" i="7" s="1"/>
  <c r="AJ68" i="7" s="1"/>
  <c r="Z66" i="7"/>
  <c r="AB66" i="7" s="1"/>
  <c r="AF66" i="7" s="1"/>
  <c r="Y66" i="7"/>
  <c r="Z65" i="7"/>
  <c r="AB65" i="7" s="1"/>
  <c r="AF65" i="7" s="1"/>
  <c r="AJ65" i="7" s="1"/>
  <c r="Y65" i="7"/>
  <c r="Z2" i="7"/>
  <c r="Y2" i="7"/>
  <c r="Y159" i="7" s="1"/>
  <c r="X1" i="7"/>
  <c r="X80" i="7" s="1"/>
  <c r="W1" i="7"/>
  <c r="W80" i="7" s="1"/>
  <c r="BF75" i="9" l="1"/>
  <c r="Z84" i="7"/>
  <c r="Z159" i="7"/>
  <c r="AT38" i="9"/>
  <c r="AQ51" i="72" s="1"/>
  <c r="AM51" i="72"/>
  <c r="AX92" i="9"/>
  <c r="BF92" i="9" s="1"/>
  <c r="AX20" i="9"/>
  <c r="AX53" i="9" s="1"/>
  <c r="CD62" i="71"/>
  <c r="AJ66" i="7"/>
  <c r="AP66" i="7" s="1"/>
  <c r="AT66" i="7" s="1"/>
  <c r="AX10" i="9"/>
  <c r="AT29" i="9"/>
  <c r="CE62" i="71"/>
  <c r="AS29" i="9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0" i="59" s="1"/>
  <c r="AT86" i="9"/>
  <c r="AT82" i="9"/>
  <c r="AW61" i="59" s="1"/>
  <c r="BF66" i="9"/>
  <c r="BF83" i="9" s="1"/>
  <c r="AT139" i="9"/>
  <c r="AX139" i="9" s="1"/>
  <c r="AS15" i="15"/>
  <c r="AW15" i="15" s="1"/>
  <c r="AT58" i="36"/>
  <c r="AT72" i="9"/>
  <c r="AT25" i="9"/>
  <c r="AT52" i="9" s="1"/>
  <c r="AW57" i="59" s="1"/>
  <c r="AE1" i="7"/>
  <c r="AE75" i="7"/>
  <c r="AT63" i="36"/>
  <c r="AT69" i="36"/>
  <c r="AT71" i="36" s="1"/>
  <c r="AF67" i="7"/>
  <c r="AF1" i="7"/>
  <c r="AF75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7" i="7"/>
  <c r="Z138" i="7"/>
  <c r="Z140" i="7" s="1"/>
  <c r="Z141" i="7" s="1"/>
  <c r="Z67" i="7"/>
  <c r="Z75" i="7"/>
  <c r="Y75" i="7"/>
  <c r="X123" i="7"/>
  <c r="X124" i="7" s="1"/>
  <c r="AF62" i="7" l="1"/>
  <c r="AF61" i="7"/>
  <c r="AF103" i="7" s="1"/>
  <c r="AF60" i="7"/>
  <c r="AF59" i="7"/>
  <c r="AF58" i="7"/>
  <c r="AF57" i="7"/>
  <c r="AF56" i="7"/>
  <c r="AF102" i="7" s="1"/>
  <c r="AF55" i="7"/>
  <c r="AF54" i="7"/>
  <c r="AF35" i="7"/>
  <c r="AF99" i="7" s="1"/>
  <c r="AF34" i="7"/>
  <c r="AF98" i="7" s="1"/>
  <c r="AF27" i="7"/>
  <c r="AF91" i="7" s="1"/>
  <c r="AF37" i="7"/>
  <c r="AF101" i="7" s="1"/>
  <c r="AF33" i="7"/>
  <c r="AF97" i="7" s="1"/>
  <c r="AF29" i="7"/>
  <c r="AF93" i="7" s="1"/>
  <c r="AF26" i="7"/>
  <c r="AF90" i="7" s="1"/>
  <c r="AI32" i="59" s="1"/>
  <c r="AF25" i="7"/>
  <c r="AF36" i="7"/>
  <c r="AF100" i="7" s="1"/>
  <c r="AF32" i="7"/>
  <c r="AF96" i="7" s="1"/>
  <c r="AF31" i="7"/>
  <c r="AF95" i="7" s="1"/>
  <c r="AF28" i="7"/>
  <c r="AF92" i="7" s="1"/>
  <c r="AF24" i="7"/>
  <c r="AF88" i="7" s="1"/>
  <c r="AF23" i="7"/>
  <c r="AF87" i="7" s="1"/>
  <c r="BF72" i="9"/>
  <c r="AX38" i="9"/>
  <c r="AJ67" i="7"/>
  <c r="AJ69" i="7" s="1"/>
  <c r="BF38" i="9"/>
  <c r="BC51" i="72" s="1"/>
  <c r="AU51" i="72"/>
  <c r="AX94" i="9"/>
  <c r="AW19" i="15" s="1"/>
  <c r="AX93" i="9"/>
  <c r="AX101" i="9"/>
  <c r="BF20" i="9"/>
  <c r="BF53" i="9" s="1"/>
  <c r="AX66" i="7"/>
  <c r="AJ81" i="7"/>
  <c r="CI62" i="71"/>
  <c r="AX29" i="9"/>
  <c r="CH62" i="71"/>
  <c r="AW29" i="9"/>
  <c r="AX37" i="9"/>
  <c r="BF37" i="9" s="1"/>
  <c r="BF136" i="9"/>
  <c r="Y76" i="7"/>
  <c r="AT36" i="9"/>
  <c r="BF139" i="9"/>
  <c r="BF137" i="9"/>
  <c r="BF94" i="9"/>
  <c r="BE19" i="15" s="1"/>
  <c r="BF23" i="9"/>
  <c r="BF70" i="9"/>
  <c r="BF87" i="9" s="1"/>
  <c r="BI60" i="59" s="1"/>
  <c r="BA60" i="59"/>
  <c r="AX60" i="36"/>
  <c r="AX66" i="36"/>
  <c r="AX68" i="36" s="1"/>
  <c r="AX19" i="36" s="1"/>
  <c r="BA56" i="59" s="1"/>
  <c r="BF65" i="9"/>
  <c r="BF82" i="9" s="1"/>
  <c r="BI61" i="59" s="1"/>
  <c r="BA61" i="59"/>
  <c r="BF69" i="9"/>
  <c r="BF86" i="9" s="1"/>
  <c r="BA57" i="59"/>
  <c r="AO74" i="7"/>
  <c r="AI1" i="7"/>
  <c r="AJ1" i="7"/>
  <c r="AJ80" i="7" s="1"/>
  <c r="AP74" i="7"/>
  <c r="AT60" i="36"/>
  <c r="AT66" i="36"/>
  <c r="AT68" i="36" s="1"/>
  <c r="AP19" i="36"/>
  <c r="AS56" i="59" s="1"/>
  <c r="AP65" i="7"/>
  <c r="AP68" i="7"/>
  <c r="AF76" i="7"/>
  <c r="AF81" i="7"/>
  <c r="AI28" i="59" s="1"/>
  <c r="AF80" i="7"/>
  <c r="AI34" i="59"/>
  <c r="AF78" i="7"/>
  <c r="AI33" i="59"/>
  <c r="AF69" i="7"/>
  <c r="Z76" i="7"/>
  <c r="Z109" i="7"/>
  <c r="Z110" i="7"/>
  <c r="Z111" i="7"/>
  <c r="Z113" i="7"/>
  <c r="Z112" i="7"/>
  <c r="AB34" i="59"/>
  <c r="Z81" i="7"/>
  <c r="AC28" i="59" s="1"/>
  <c r="AB33" i="59"/>
  <c r="Y81" i="7"/>
  <c r="AB28" i="59" s="1"/>
  <c r="AB29" i="59"/>
  <c r="Z78" i="7"/>
  <c r="Z69" i="7"/>
  <c r="Z123" i="7"/>
  <c r="Z124" i="7" s="1"/>
  <c r="Z125" i="7" s="1"/>
  <c r="X125" i="7"/>
  <c r="X126" i="7"/>
  <c r="X127" i="7" s="1"/>
  <c r="AF89" i="7" l="1"/>
  <c r="AJ62" i="7"/>
  <c r="AJ61" i="7"/>
  <c r="AJ103" i="7" s="1"/>
  <c r="AJ60" i="7"/>
  <c r="AJ59" i="7"/>
  <c r="AJ58" i="7"/>
  <c r="AJ57" i="7"/>
  <c r="AJ56" i="7"/>
  <c r="AJ102" i="7" s="1"/>
  <c r="AJ55" i="7"/>
  <c r="AJ54" i="7"/>
  <c r="AJ35" i="7"/>
  <c r="AJ99" i="7" s="1"/>
  <c r="AJ34" i="7"/>
  <c r="AJ98" i="7" s="1"/>
  <c r="AJ27" i="7"/>
  <c r="AJ91" i="7" s="1"/>
  <c r="AJ32" i="7"/>
  <c r="AJ96" i="7" s="1"/>
  <c r="AJ37" i="7"/>
  <c r="AJ101" i="7" s="1"/>
  <c r="AJ36" i="7"/>
  <c r="AJ100" i="7" s="1"/>
  <c r="AJ28" i="7"/>
  <c r="AJ92" i="7" s="1"/>
  <c r="AJ26" i="7"/>
  <c r="AJ25" i="7"/>
  <c r="AJ89" i="7" s="1"/>
  <c r="AJ31" i="7"/>
  <c r="AJ95" i="7" s="1"/>
  <c r="AM34" i="59" s="1"/>
  <c r="AJ29" i="7"/>
  <c r="AJ93" i="7" s="1"/>
  <c r="AJ33" i="7"/>
  <c r="AJ97" i="7" s="1"/>
  <c r="AJ24" i="7"/>
  <c r="AJ88" i="7" s="1"/>
  <c r="AJ23" i="7"/>
  <c r="AJ87" i="7" s="1"/>
  <c r="AJ76" i="7"/>
  <c r="AJ78" i="7"/>
  <c r="BF93" i="9"/>
  <c r="BF101" i="9"/>
  <c r="CM62" i="71"/>
  <c r="CL62" i="71"/>
  <c r="BF66" i="7"/>
  <c r="AX36" i="9"/>
  <c r="BE29" i="9"/>
  <c r="BF29" i="9"/>
  <c r="AP1" i="7"/>
  <c r="AO1" i="7"/>
  <c r="Y38" i="7"/>
  <c r="Y53" i="7" s="1"/>
  <c r="AC31" i="59"/>
  <c r="BF138" i="9"/>
  <c r="BE15" i="15"/>
  <c r="BF25" i="9"/>
  <c r="BF52" i="9" s="1"/>
  <c r="BI57" i="59" s="1"/>
  <c r="AI30" i="59"/>
  <c r="AI31" i="59"/>
  <c r="AT65" i="7"/>
  <c r="AX65" i="7" s="1"/>
  <c r="AP67" i="7"/>
  <c r="AT19" i="36"/>
  <c r="AW56" i="59" s="1"/>
  <c r="AC30" i="59"/>
  <c r="AM28" i="59"/>
  <c r="AM33" i="59"/>
  <c r="AF38" i="7"/>
  <c r="AF53" i="7" s="1"/>
  <c r="AT68" i="7"/>
  <c r="AT74" i="7"/>
  <c r="AX74" i="7" s="1"/>
  <c r="AX75" i="7" s="1"/>
  <c r="AP75" i="7"/>
  <c r="AS74" i="7"/>
  <c r="AW74" i="7" s="1"/>
  <c r="AW75" i="7" s="1"/>
  <c r="AO75" i="7"/>
  <c r="AC34" i="59"/>
  <c r="AC33" i="59"/>
  <c r="AC29" i="59"/>
  <c r="Z38" i="7"/>
  <c r="Z126" i="7"/>
  <c r="Z127" i="7" s="1"/>
  <c r="X128" i="7"/>
  <c r="AJ90" i="7" l="1"/>
  <c r="AM32" i="59" s="1"/>
  <c r="AP62" i="7"/>
  <c r="AP61" i="7"/>
  <c r="AP103" i="7" s="1"/>
  <c r="AP60" i="7"/>
  <c r="AP59" i="7"/>
  <c r="AP58" i="7"/>
  <c r="AP57" i="7"/>
  <c r="AP56" i="7"/>
  <c r="AP102" i="7" s="1"/>
  <c r="AP55" i="7"/>
  <c r="AP54" i="7"/>
  <c r="AP35" i="7"/>
  <c r="AP99" i="7" s="1"/>
  <c r="AP34" i="7"/>
  <c r="AP98" i="7" s="1"/>
  <c r="AP25" i="7"/>
  <c r="AP89" i="7" s="1"/>
  <c r="AP32" i="7"/>
  <c r="AP96" i="7" s="1"/>
  <c r="AP37" i="7"/>
  <c r="AP101" i="7" s="1"/>
  <c r="AP26" i="7"/>
  <c r="AP31" i="7"/>
  <c r="AP95" i="7" s="1"/>
  <c r="AP27" i="7"/>
  <c r="AP91" i="7" s="1"/>
  <c r="AP29" i="7"/>
  <c r="AP93" i="7" s="1"/>
  <c r="AP36" i="7"/>
  <c r="AP100" i="7" s="1"/>
  <c r="AP28" i="7"/>
  <c r="AP92" i="7" s="1"/>
  <c r="AP33" i="7"/>
  <c r="AP97" i="7" s="1"/>
  <c r="AP24" i="7"/>
  <c r="AP88" i="7" s="1"/>
  <c r="AP23" i="7"/>
  <c r="AP87" i="7" s="1"/>
  <c r="Z53" i="7"/>
  <c r="Z77" i="7" s="1"/>
  <c r="AJ38" i="7"/>
  <c r="AJ53" i="7" s="1"/>
  <c r="AJ77" i="7" s="1"/>
  <c r="AX67" i="7"/>
  <c r="CU62" i="71"/>
  <c r="CT62" i="71"/>
  <c r="AX68" i="7"/>
  <c r="AJ104" i="7"/>
  <c r="Y77" i="7"/>
  <c r="Y63" i="7"/>
  <c r="AM31" i="59"/>
  <c r="AX1" i="7"/>
  <c r="AX80" i="7" s="1"/>
  <c r="BF74" i="7"/>
  <c r="AW1" i="7"/>
  <c r="BE74" i="7"/>
  <c r="AP69" i="7"/>
  <c r="AT67" i="7"/>
  <c r="BF36" i="9"/>
  <c r="AM30" i="59"/>
  <c r="AS1" i="7"/>
  <c r="AS75" i="7"/>
  <c r="AF63" i="7"/>
  <c r="AF77" i="7"/>
  <c r="AT1" i="7"/>
  <c r="AT75" i="7"/>
  <c r="AI29" i="59"/>
  <c r="AF104" i="7"/>
  <c r="AP81" i="7"/>
  <c r="AS28" i="59" s="1"/>
  <c r="AP76" i="7"/>
  <c r="AP80" i="7"/>
  <c r="AP78" i="7"/>
  <c r="AS33" i="59"/>
  <c r="AS34" i="59"/>
  <c r="Z128" i="7"/>
  <c r="X135" i="7"/>
  <c r="AD3" i="38"/>
  <c r="AC3" i="38"/>
  <c r="AP90" i="7" l="1"/>
  <c r="AS32" i="59" s="1"/>
  <c r="AT62" i="7"/>
  <c r="AT61" i="7"/>
  <c r="AT103" i="7" s="1"/>
  <c r="AT60" i="7"/>
  <c r="AT59" i="7"/>
  <c r="AT58" i="7"/>
  <c r="AT57" i="7"/>
  <c r="AT56" i="7"/>
  <c r="AT102" i="7" s="1"/>
  <c r="AT55" i="7"/>
  <c r="AT54" i="7"/>
  <c r="AT35" i="7"/>
  <c r="AT99" i="7" s="1"/>
  <c r="AT34" i="7"/>
  <c r="AT98" i="7" s="1"/>
  <c r="AT26" i="7"/>
  <c r="AT37" i="7"/>
  <c r="AT101" i="7" s="1"/>
  <c r="AT29" i="7"/>
  <c r="AT93" i="7" s="1"/>
  <c r="AT27" i="7"/>
  <c r="AT91" i="7" s="1"/>
  <c r="AT32" i="7"/>
  <c r="AT96" i="7" s="1"/>
  <c r="AT31" i="7"/>
  <c r="AT95" i="7" s="1"/>
  <c r="AT25" i="7"/>
  <c r="AT36" i="7"/>
  <c r="AT100" i="7" s="1"/>
  <c r="AT28" i="7"/>
  <c r="AT92" i="7" s="1"/>
  <c r="AT24" i="7"/>
  <c r="AT88" i="7" s="1"/>
  <c r="AT33" i="7"/>
  <c r="AT97" i="7" s="1"/>
  <c r="AT23" i="7"/>
  <c r="AT87" i="7" s="1"/>
  <c r="AX62" i="7"/>
  <c r="AX61" i="7"/>
  <c r="AX103" i="7" s="1"/>
  <c r="AX60" i="7"/>
  <c r="AX59" i="7"/>
  <c r="AX58" i="7"/>
  <c r="AX57" i="7"/>
  <c r="AX56" i="7"/>
  <c r="AX102" i="7" s="1"/>
  <c r="AX55" i="7"/>
  <c r="AX54" i="7"/>
  <c r="AX35" i="7"/>
  <c r="AX99" i="7" s="1"/>
  <c r="AX34" i="7"/>
  <c r="AX98" i="7" s="1"/>
  <c r="AX26" i="7"/>
  <c r="AX90" i="7" s="1"/>
  <c r="BA32" i="59" s="1"/>
  <c r="AX31" i="7"/>
  <c r="AX95" i="7" s="1"/>
  <c r="AX32" i="7"/>
  <c r="AX96" i="7" s="1"/>
  <c r="AX37" i="7"/>
  <c r="AX101" i="7" s="1"/>
  <c r="AX29" i="7"/>
  <c r="AX93" i="7" s="1"/>
  <c r="AX27" i="7"/>
  <c r="AX91" i="7" s="1"/>
  <c r="AX25" i="7"/>
  <c r="AX24" i="7"/>
  <c r="AX33" i="7"/>
  <c r="AX97" i="7" s="1"/>
  <c r="AX36" i="7"/>
  <c r="AX100" i="7" s="1"/>
  <c r="AX28" i="7"/>
  <c r="AX92" i="7" s="1"/>
  <c r="AX23" i="7"/>
  <c r="AX87" i="7" s="1"/>
  <c r="AJ63" i="7"/>
  <c r="AX78" i="7"/>
  <c r="AX81" i="7"/>
  <c r="AX76" i="7"/>
  <c r="BF68" i="7"/>
  <c r="AX69" i="7"/>
  <c r="AT81" i="7"/>
  <c r="AW28" i="59" s="1"/>
  <c r="AT78" i="7"/>
  <c r="AT76" i="7"/>
  <c r="AT80" i="7"/>
  <c r="AT69" i="7"/>
  <c r="AW34" i="59"/>
  <c r="AD59" i="38"/>
  <c r="AD58" i="38"/>
  <c r="AC59" i="38"/>
  <c r="AC58" i="38"/>
  <c r="AW33" i="59"/>
  <c r="BE1" i="7"/>
  <c r="BE75" i="7"/>
  <c r="BF1" i="7"/>
  <c r="BF75" i="7"/>
  <c r="BF65" i="7"/>
  <c r="AM29" i="59"/>
  <c r="AS30" i="59"/>
  <c r="AP38" i="7"/>
  <c r="AP53" i="7" s="1"/>
  <c r="AS31" i="59"/>
  <c r="AC51" i="38"/>
  <c r="AC65" i="38"/>
  <c r="AD51" i="38"/>
  <c r="AD65" i="38"/>
  <c r="Z135" i="7"/>
  <c r="AA80" i="8"/>
  <c r="AT90" i="7" l="1"/>
  <c r="AW32" i="59" s="1"/>
  <c r="AX88" i="7"/>
  <c r="AT89" i="7"/>
  <c r="AX89" i="7"/>
  <c r="AX104" i="7" s="1"/>
  <c r="BF67" i="7"/>
  <c r="AX38" i="7"/>
  <c r="AW31" i="59"/>
  <c r="AW30" i="59"/>
  <c r="AT38" i="7"/>
  <c r="BF80" i="7"/>
  <c r="BA28" i="59"/>
  <c r="BA34" i="59"/>
  <c r="BA33" i="59"/>
  <c r="AS29" i="59"/>
  <c r="AP104" i="7"/>
  <c r="AP77" i="7"/>
  <c r="AP63" i="7"/>
  <c r="AW29" i="59"/>
  <c r="AD44" i="59"/>
  <c r="BF62" i="7" l="1"/>
  <c r="BF61" i="7"/>
  <c r="BF103" i="7" s="1"/>
  <c r="BF60" i="7"/>
  <c r="BF59" i="7"/>
  <c r="BF58" i="7"/>
  <c r="BF57" i="7"/>
  <c r="BF56" i="7"/>
  <c r="BF102" i="7" s="1"/>
  <c r="BF55" i="7"/>
  <c r="BF54" i="7"/>
  <c r="BF35" i="7"/>
  <c r="BF99" i="7" s="1"/>
  <c r="BF34" i="7"/>
  <c r="BF98" i="7" s="1"/>
  <c r="BF32" i="7"/>
  <c r="BF96" i="7" s="1"/>
  <c r="BF31" i="7"/>
  <c r="BF95" i="7" s="1"/>
  <c r="BF26" i="7"/>
  <c r="BF90" i="7" s="1"/>
  <c r="BI32" i="59" s="1"/>
  <c r="BF37" i="7"/>
  <c r="BF101" i="7" s="1"/>
  <c r="BF29" i="7"/>
  <c r="BF93" i="7" s="1"/>
  <c r="BI33" i="59" s="1"/>
  <c r="BF27" i="7"/>
  <c r="BF91" i="7" s="1"/>
  <c r="BF25" i="7"/>
  <c r="BF36" i="7"/>
  <c r="BF100" i="7" s="1"/>
  <c r="BF28" i="7"/>
  <c r="BF92" i="7" s="1"/>
  <c r="BF33" i="7"/>
  <c r="BF97" i="7" s="1"/>
  <c r="BF24" i="7"/>
  <c r="BF88" i="7" s="1"/>
  <c r="BI30" i="59" s="1"/>
  <c r="BF23" i="7"/>
  <c r="BF87" i="7" s="1"/>
  <c r="AX53" i="7"/>
  <c r="AX77" i="7" s="1"/>
  <c r="AT53" i="7"/>
  <c r="AT77" i="7" s="1"/>
  <c r="BF78" i="7"/>
  <c r="BI34" i="59"/>
  <c r="BF81" i="7"/>
  <c r="BI28" i="59" s="1"/>
  <c r="BF76" i="7"/>
  <c r="BF69" i="7"/>
  <c r="AT104" i="7"/>
  <c r="BA29" i="59"/>
  <c r="BA31" i="59"/>
  <c r="BA30" i="59"/>
  <c r="BF89" i="7" l="1"/>
  <c r="BI31" i="59" s="1"/>
  <c r="AX63" i="7"/>
  <c r="AT63" i="7"/>
  <c r="BF38" i="7"/>
  <c r="BF53" i="7" s="1"/>
  <c r="BF77" i="7" s="1"/>
  <c r="BI29" i="59"/>
  <c r="BF104" i="7"/>
  <c r="AB44" i="59"/>
  <c r="BF63" i="7" l="1"/>
  <c r="Z84" i="8"/>
  <c r="AB84" i="8" s="1"/>
  <c r="Z57" i="8"/>
  <c r="Z55" i="8"/>
  <c r="Z60" i="8"/>
  <c r="AB60" i="8" s="1"/>
  <c r="AF60" i="8" s="1"/>
  <c r="Y61" i="8"/>
  <c r="AA61" i="8" s="1"/>
  <c r="Z33" i="8"/>
  <c r="Y33" i="8"/>
  <c r="Z23" i="8"/>
  <c r="Z149" i="8" s="1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Y2" i="8"/>
  <c r="Y88" i="8" s="1"/>
  <c r="Z11" i="49" l="1"/>
  <c r="Z151" i="8"/>
  <c r="Z87" i="8"/>
  <c r="AJ8" i="8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Z10" i="36"/>
  <c r="Z8" i="49"/>
  <c r="Z11" i="36"/>
  <c r="Z9" i="49"/>
  <c r="Z108" i="8"/>
  <c r="Z109" i="8" s="1"/>
  <c r="Z86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Z80" i="8"/>
  <c r="AC44" i="59" s="1"/>
  <c r="Z26" i="8"/>
  <c r="AF23" i="8" l="1"/>
  <c r="AB149" i="8"/>
  <c r="AF33" i="8"/>
  <c r="AJ33" i="8" s="1"/>
  <c r="AB151" i="8"/>
  <c r="AW17" i="8"/>
  <c r="BE17" i="8" s="1"/>
  <c r="BG17" i="8" s="1"/>
  <c r="AX17" i="8"/>
  <c r="BF17" i="8" s="1"/>
  <c r="BH17" i="8" s="1"/>
  <c r="AW8" i="8"/>
  <c r="BE8" i="8" s="1"/>
  <c r="BG8" i="8" s="1"/>
  <c r="AX8" i="8"/>
  <c r="BF8" i="8" s="1"/>
  <c r="BH8" i="8" s="1"/>
  <c r="AJ84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0" i="8"/>
  <c r="Z111" i="8" s="1"/>
  <c r="Z53" i="8" s="1"/>
  <c r="AC42" i="59" s="1"/>
  <c r="Z52" i="8"/>
  <c r="AC41" i="59" s="1"/>
  <c r="AB108" i="8"/>
  <c r="AB110" i="8" s="1"/>
  <c r="AB54" i="8"/>
  <c r="AF54" i="8" s="1"/>
  <c r="AJ54" i="8" s="1"/>
  <c r="AB57" i="8"/>
  <c r="AB55" i="8"/>
  <c r="AF55" i="8" s="1"/>
  <c r="AJ55" i="8" s="1"/>
  <c r="Z184" i="6"/>
  <c r="Z159" i="6"/>
  <c r="Z118" i="6"/>
  <c r="AB118" i="6" s="1"/>
  <c r="AF118" i="6" s="1"/>
  <c r="AJ118" i="6" s="1"/>
  <c r="AP118" i="6" s="1"/>
  <c r="Y118" i="6"/>
  <c r="AA118" i="6" s="1"/>
  <c r="AE118" i="6" s="1"/>
  <c r="AI118" i="6" s="1"/>
  <c r="AO118" i="6" s="1"/>
  <c r="AS118" i="6" s="1"/>
  <c r="Z115" i="6"/>
  <c r="AB115" i="6" s="1"/>
  <c r="AF115" i="6" s="1"/>
  <c r="Y115" i="6"/>
  <c r="AA115" i="6" s="1"/>
  <c r="AE115" i="6" s="1"/>
  <c r="AI115" i="6" s="1"/>
  <c r="Y110" i="6"/>
  <c r="Y109" i="6"/>
  <c r="Z108" i="6"/>
  <c r="AB108" i="6" s="1"/>
  <c r="AF108" i="6" s="1"/>
  <c r="Y108" i="6"/>
  <c r="AA108" i="6" s="1"/>
  <c r="AE108" i="6" s="1"/>
  <c r="Z99" i="6"/>
  <c r="AB99" i="6" s="1"/>
  <c r="AF99" i="6" s="1"/>
  <c r="Y99" i="6"/>
  <c r="AA99" i="6" s="1"/>
  <c r="AE99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BH60" i="8" s="1"/>
  <c r="AX87" i="6"/>
  <c r="AW118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4" i="8"/>
  <c r="AT84" i="8" s="1"/>
  <c r="AP54" i="8"/>
  <c r="AT54" i="8" s="1"/>
  <c r="AC43" i="59"/>
  <c r="BF65" i="6"/>
  <c r="BH65" i="6" s="1"/>
  <c r="AJ72" i="6"/>
  <c r="AF77" i="6"/>
  <c r="AI99" i="6"/>
  <c r="AE103" i="6"/>
  <c r="AI108" i="6"/>
  <c r="AO115" i="6"/>
  <c r="AI119" i="6"/>
  <c r="AF29" i="6"/>
  <c r="AJ27" i="6"/>
  <c r="AI64" i="6"/>
  <c r="AE66" i="6"/>
  <c r="AI67" i="6"/>
  <c r="AE69" i="6"/>
  <c r="AJ99" i="6"/>
  <c r="AF103" i="6"/>
  <c r="AJ108" i="6"/>
  <c r="AF114" i="6"/>
  <c r="AJ115" i="6"/>
  <c r="AF119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6" i="59"/>
  <c r="AI39" i="59"/>
  <c r="AP55" i="8"/>
  <c r="AT64" i="8"/>
  <c r="AT68" i="8"/>
  <c r="AJ24" i="6"/>
  <c r="AF26" i="6"/>
  <c r="AI72" i="6"/>
  <c r="AE77" i="6"/>
  <c r="AS75" i="6"/>
  <c r="AT118" i="6"/>
  <c r="AP18" i="8"/>
  <c r="AF57" i="8"/>
  <c r="AE119" i="6"/>
  <c r="Z161" i="6"/>
  <c r="AB159" i="6"/>
  <c r="AF159" i="6" s="1"/>
  <c r="AJ159" i="6" s="1"/>
  <c r="AB67" i="6"/>
  <c r="AF67" i="6" s="1"/>
  <c r="AB109" i="8"/>
  <c r="AB52" i="8" s="1"/>
  <c r="AE41" i="59" s="1"/>
  <c r="AB68" i="6"/>
  <c r="AF68" i="6" s="1"/>
  <c r="AJ68" i="6" s="1"/>
  <c r="AP68" i="6" s="1"/>
  <c r="AT68" i="6" s="1"/>
  <c r="AX68" i="6" s="1"/>
  <c r="Z186" i="6"/>
  <c r="AB184" i="6"/>
  <c r="AF184" i="6" s="1"/>
  <c r="AJ184" i="6" s="1"/>
  <c r="AP184" i="6" s="1"/>
  <c r="AA110" i="6"/>
  <c r="AE110" i="6" s="1"/>
  <c r="AI110" i="6" s="1"/>
  <c r="AO110" i="6" s="1"/>
  <c r="AS110" i="6" s="1"/>
  <c r="AA109" i="6"/>
  <c r="AE109" i="6" s="1"/>
  <c r="AI109" i="6" s="1"/>
  <c r="AO109" i="6" s="1"/>
  <c r="AS109" i="6" s="1"/>
  <c r="AA91" i="6"/>
  <c r="AE91" i="6" s="1"/>
  <c r="Z103" i="6"/>
  <c r="Y103" i="6"/>
  <c r="Y114" i="6"/>
  <c r="Y119" i="6"/>
  <c r="Z114" i="6"/>
  <c r="Z119" i="6"/>
  <c r="Y2" i="6"/>
  <c r="Z29" i="6"/>
  <c r="Z26" i="6"/>
  <c r="BF88" i="6" l="1"/>
  <c r="BH88" i="6" s="1"/>
  <c r="BE73" i="6"/>
  <c r="BG73" i="6" s="1"/>
  <c r="BE88" i="6"/>
  <c r="BG88" i="6" s="1"/>
  <c r="BE86" i="6"/>
  <c r="BG86" i="6" s="1"/>
  <c r="BE76" i="6"/>
  <c r="BG76" i="6" s="1"/>
  <c r="BE87" i="6"/>
  <c r="BG87" i="6" s="1"/>
  <c r="BE68" i="6"/>
  <c r="BG68" i="6" s="1"/>
  <c r="BE65" i="6"/>
  <c r="BG65" i="6" s="1"/>
  <c r="BE74" i="6"/>
  <c r="BG74" i="6" s="1"/>
  <c r="BE70" i="6"/>
  <c r="BG70" i="6" s="1"/>
  <c r="BF70" i="6"/>
  <c r="BH70" i="6" s="1"/>
  <c r="BE118" i="6"/>
  <c r="BG118" i="6" s="1"/>
  <c r="BF25" i="6"/>
  <c r="BH25" i="6" s="1"/>
  <c r="BF87" i="6"/>
  <c r="BH87" i="6" s="1"/>
  <c r="BF28" i="6"/>
  <c r="BH28" i="6" s="1"/>
  <c r="BF86" i="6"/>
  <c r="BH86" i="6" s="1"/>
  <c r="BF31" i="6"/>
  <c r="BH31" i="6" s="1"/>
  <c r="AX84" i="8"/>
  <c r="AX54" i="8"/>
  <c r="AX68" i="8"/>
  <c r="AX64" i="8"/>
  <c r="BF58" i="8"/>
  <c r="Y12" i="6"/>
  <c r="Y217" i="6" s="1"/>
  <c r="Y13" i="6"/>
  <c r="Y218" i="6" s="1"/>
  <c r="AW109" i="6"/>
  <c r="AX118" i="6"/>
  <c r="AW110" i="6"/>
  <c r="AW75" i="6"/>
  <c r="AJ57" i="8"/>
  <c r="AP57" i="8" s="1"/>
  <c r="AT57" i="8" s="1"/>
  <c r="BF68" i="6"/>
  <c r="BH68" i="6" s="1"/>
  <c r="AT16" i="8"/>
  <c r="AT18" i="8"/>
  <c r="AX18" i="8" s="1"/>
  <c r="AO8" i="15"/>
  <c r="AO14" i="15" s="1"/>
  <c r="AS115" i="6"/>
  <c r="AW115" i="6" s="1"/>
  <c r="AO119" i="6"/>
  <c r="AO99" i="6"/>
  <c r="AI103" i="6"/>
  <c r="AO72" i="6"/>
  <c r="AI77" i="6"/>
  <c r="AP30" i="6"/>
  <c r="AJ32" i="6"/>
  <c r="AT33" i="8"/>
  <c r="AX33" i="8" s="1"/>
  <c r="AT23" i="8"/>
  <c r="AP26" i="8"/>
  <c r="AP10" i="36"/>
  <c r="AP115" i="6"/>
  <c r="AJ119" i="6"/>
  <c r="AP99" i="6"/>
  <c r="AJ103" i="6"/>
  <c r="AI66" i="6"/>
  <c r="AO64" i="6"/>
  <c r="AE114" i="6"/>
  <c r="AE120" i="6" s="1"/>
  <c r="AE122" i="6" s="1"/>
  <c r="AE169" i="6" s="1"/>
  <c r="AI91" i="6"/>
  <c r="AT184" i="6"/>
  <c r="AX184" i="6" s="1"/>
  <c r="AJ67" i="6"/>
  <c r="AF69" i="6"/>
  <c r="AT55" i="8"/>
  <c r="AP64" i="6"/>
  <c r="AJ66" i="6"/>
  <c r="AM36" i="59"/>
  <c r="AM39" i="59"/>
  <c r="AF120" i="6"/>
  <c r="AF122" i="6" s="1"/>
  <c r="AF171" i="6" s="1"/>
  <c r="AP27" i="6"/>
  <c r="AJ29" i="6"/>
  <c r="AO108" i="6"/>
  <c r="AI114" i="6"/>
  <c r="AI120" i="6" s="1"/>
  <c r="AI122" i="6" s="1"/>
  <c r="AI169" i="6" s="1"/>
  <c r="AP72" i="6"/>
  <c r="AJ77" i="6"/>
  <c r="AP159" i="6"/>
  <c r="AP24" i="6"/>
  <c r="AJ26" i="6"/>
  <c r="AS33" i="8"/>
  <c r="AW33" i="8" s="1"/>
  <c r="AS18" i="8"/>
  <c r="AW18" i="8" s="1"/>
  <c r="AN8" i="15"/>
  <c r="AP108" i="6"/>
  <c r="AJ114" i="6"/>
  <c r="AO67" i="6"/>
  <c r="AI69" i="6"/>
  <c r="AB111" i="8"/>
  <c r="AB53" i="8" s="1"/>
  <c r="AE42" i="59" s="1"/>
  <c r="AE43" i="59" s="1"/>
  <c r="Z136" i="6"/>
  <c r="Y188" i="6"/>
  <c r="Y136" i="6"/>
  <c r="Z120" i="6"/>
  <c r="Z122" i="6" s="1"/>
  <c r="Z171" i="6" s="1"/>
  <c r="Y120" i="6"/>
  <c r="Y122" i="6" s="1"/>
  <c r="Y171" i="6" s="1"/>
  <c r="Y131" i="6"/>
  <c r="Z131" i="6"/>
  <c r="Z77" i="6"/>
  <c r="Z69" i="6"/>
  <c r="Z66" i="6"/>
  <c r="Z32" i="6"/>
  <c r="BE75" i="6" l="1"/>
  <c r="BG75" i="6" s="1"/>
  <c r="BE110" i="6"/>
  <c r="BG110" i="6" s="1"/>
  <c r="BF118" i="6"/>
  <c r="BH118" i="6" s="1"/>
  <c r="BE109" i="6"/>
  <c r="BG109" i="6" s="1"/>
  <c r="BF184" i="6"/>
  <c r="BH184" i="6" s="1"/>
  <c r="AX23" i="8"/>
  <c r="AX10" i="36" s="1"/>
  <c r="BA36" i="59" s="1"/>
  <c r="BF54" i="8"/>
  <c r="AV8" i="15"/>
  <c r="AW8" i="15"/>
  <c r="AW14" i="15" s="1"/>
  <c r="BF84" i="8"/>
  <c r="BH84" i="8" s="1"/>
  <c r="AW119" i="6"/>
  <c r="BE115" i="6"/>
  <c r="AX55" i="8"/>
  <c r="BF64" i="8"/>
  <c r="BH64" i="8" s="1"/>
  <c r="AX57" i="8"/>
  <c r="BF68" i="8"/>
  <c r="BH68" i="8" s="1"/>
  <c r="AE168" i="6"/>
  <c r="AE170" i="6" s="1"/>
  <c r="AE171" i="6"/>
  <c r="AS119" i="6"/>
  <c r="BF18" i="8"/>
  <c r="BF13" i="8"/>
  <c r="BF23" i="8"/>
  <c r="BF149" i="8" s="1"/>
  <c r="BE18" i="8"/>
  <c r="AS67" i="6"/>
  <c r="AW67" i="6" s="1"/>
  <c r="AO69" i="6"/>
  <c r="AR8" i="15"/>
  <c r="AT64" i="6"/>
  <c r="AX64" i="6" s="1"/>
  <c r="AP66" i="6"/>
  <c r="AT99" i="6"/>
  <c r="AX99" i="6" s="1"/>
  <c r="AP103" i="6"/>
  <c r="AS72" i="6"/>
  <c r="AW72" i="6" s="1"/>
  <c r="AO77" i="6"/>
  <c r="AJ120" i="6"/>
  <c r="AJ122" i="6" s="1"/>
  <c r="AJ168" i="6" s="1"/>
  <c r="AT24" i="6"/>
  <c r="AX24" i="6" s="1"/>
  <c r="AP26" i="6"/>
  <c r="AT72" i="6"/>
  <c r="AX72" i="6" s="1"/>
  <c r="AP77" i="6"/>
  <c r="AS64" i="6"/>
  <c r="AW64" i="6" s="1"/>
  <c r="AO66" i="6"/>
  <c r="AT108" i="6"/>
  <c r="AX108" i="6" s="1"/>
  <c r="AP114" i="6"/>
  <c r="AT159" i="6"/>
  <c r="AX159" i="6" s="1"/>
  <c r="AI168" i="6"/>
  <c r="AI170" i="6" s="1"/>
  <c r="AI171" i="6"/>
  <c r="AT27" i="6"/>
  <c r="AX27" i="6" s="1"/>
  <c r="AP29" i="6"/>
  <c r="AT115" i="6"/>
  <c r="AX115" i="6" s="1"/>
  <c r="AP119" i="6"/>
  <c r="AT26" i="8"/>
  <c r="AT10" i="36"/>
  <c r="AT30" i="6"/>
  <c r="AX30" i="6" s="1"/>
  <c r="AP32" i="6"/>
  <c r="AS99" i="6"/>
  <c r="AW99" i="6" s="1"/>
  <c r="AO103" i="6"/>
  <c r="AS8" i="15"/>
  <c r="AS14" i="15" s="1"/>
  <c r="AS108" i="6"/>
  <c r="AW108" i="6" s="1"/>
  <c r="AO114" i="6"/>
  <c r="AO120" i="6" s="1"/>
  <c r="AO122" i="6" s="1"/>
  <c r="AF168" i="6"/>
  <c r="AP67" i="6"/>
  <c r="AJ69" i="6"/>
  <c r="AO91" i="6"/>
  <c r="AS36" i="59"/>
  <c r="AP13" i="36"/>
  <c r="AS39" i="59" s="1"/>
  <c r="AF169" i="6"/>
  <c r="AI22" i="59" s="1"/>
  <c r="Y137" i="6"/>
  <c r="Z137" i="6"/>
  <c r="Y169" i="6"/>
  <c r="Z169" i="6"/>
  <c r="AC22" i="59" s="1"/>
  <c r="Z168" i="6"/>
  <c r="Y168" i="6"/>
  <c r="F10" i="36"/>
  <c r="I36" i="59" s="1"/>
  <c r="F11" i="36"/>
  <c r="I37" i="59" s="1"/>
  <c r="F12" i="36"/>
  <c r="I38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H23" i="8" l="1"/>
  <c r="BF16" i="8"/>
  <c r="BH16" i="8" s="1"/>
  <c r="BH13" i="8"/>
  <c r="BD8" i="15"/>
  <c r="BG18" i="8"/>
  <c r="BE8" i="15"/>
  <c r="BE14" i="15" s="1"/>
  <c r="BH18" i="8"/>
  <c r="BE119" i="6"/>
  <c r="BG119" i="6" s="1"/>
  <c r="BG115" i="6"/>
  <c r="AX66" i="6"/>
  <c r="AX77" i="6"/>
  <c r="AW69" i="6"/>
  <c r="AW66" i="6"/>
  <c r="AX26" i="6"/>
  <c r="AX29" i="6"/>
  <c r="AW77" i="6"/>
  <c r="AX32" i="6"/>
  <c r="AX26" i="8"/>
  <c r="BF159" i="6"/>
  <c r="BH159" i="6" s="1"/>
  <c r="BF57" i="8"/>
  <c r="BF55" i="8"/>
  <c r="AX103" i="6"/>
  <c r="BF99" i="6"/>
  <c r="AX114" i="6"/>
  <c r="BF108" i="6"/>
  <c r="AW114" i="6"/>
  <c r="BE108" i="6"/>
  <c r="AW103" i="6"/>
  <c r="BE99" i="6"/>
  <c r="AX119" i="6"/>
  <c r="BF115" i="6"/>
  <c r="AJ169" i="6"/>
  <c r="AM22" i="59" s="1"/>
  <c r="BF64" i="6"/>
  <c r="AS69" i="6"/>
  <c r="AS66" i="6"/>
  <c r="AT32" i="6"/>
  <c r="AT26" i="6"/>
  <c r="AT29" i="6"/>
  <c r="BF10" i="36"/>
  <c r="BI36" i="59" s="1"/>
  <c r="AT103" i="6"/>
  <c r="AT119" i="6"/>
  <c r="AS103" i="6"/>
  <c r="AS114" i="6"/>
  <c r="AS120" i="6" s="1"/>
  <c r="AS122" i="6" s="1"/>
  <c r="AT114" i="6"/>
  <c r="AS77" i="6"/>
  <c r="AX13" i="36"/>
  <c r="BA39" i="59" s="1"/>
  <c r="BE33" i="8"/>
  <c r="BG33" i="8" s="1"/>
  <c r="BF33" i="8"/>
  <c r="BF151" i="8" s="1"/>
  <c r="BF26" i="8"/>
  <c r="AT77" i="6"/>
  <c r="AO171" i="6"/>
  <c r="AO169" i="6"/>
  <c r="AW36" i="59"/>
  <c r="AT13" i="36"/>
  <c r="AW39" i="59" s="1"/>
  <c r="AJ171" i="6"/>
  <c r="AT67" i="6"/>
  <c r="AX67" i="6" s="1"/>
  <c r="AP69" i="6"/>
  <c r="AF170" i="6"/>
  <c r="AF8" i="36" s="1"/>
  <c r="AI9" i="59" s="1"/>
  <c r="AP120" i="6"/>
  <c r="AP122" i="6" s="1"/>
  <c r="AP171" i="6" s="1"/>
  <c r="AS91" i="6"/>
  <c r="AW91" i="6" s="1"/>
  <c r="AO168" i="6"/>
  <c r="AT66" i="6"/>
  <c r="Y139" i="6"/>
  <c r="Z139" i="6"/>
  <c r="Y26" i="9"/>
  <c r="AB67" i="59"/>
  <c r="Y79" i="11"/>
  <c r="AB69" i="59" s="1"/>
  <c r="I6" i="59"/>
  <c r="F13" i="49"/>
  <c r="F14" i="49" s="1"/>
  <c r="N14" i="49" s="1"/>
  <c r="Z170" i="6"/>
  <c r="Z8" i="36" s="1"/>
  <c r="Y170" i="6"/>
  <c r="AB73" i="59"/>
  <c r="Z66" i="36"/>
  <c r="Z67" i="36"/>
  <c r="Z72" i="36"/>
  <c r="Z69" i="36"/>
  <c r="Z71" i="36" s="1"/>
  <c r="AC38" i="59"/>
  <c r="AC37" i="59"/>
  <c r="AC36" i="59"/>
  <c r="Y5" i="9"/>
  <c r="Y89" i="9" s="1"/>
  <c r="Z5" i="9"/>
  <c r="F13" i="36"/>
  <c r="I39" i="59" s="1"/>
  <c r="Z12" i="21"/>
  <c r="Y28" i="21"/>
  <c r="Z28" i="21"/>
  <c r="Z24" i="21"/>
  <c r="Z25" i="21" s="1"/>
  <c r="Y12" i="21"/>
  <c r="BH33" i="8" l="1"/>
  <c r="BF66" i="6"/>
  <c r="BH66" i="6" s="1"/>
  <c r="BH64" i="6"/>
  <c r="BE103" i="6"/>
  <c r="BG103" i="6" s="1"/>
  <c r="BG99" i="6"/>
  <c r="BH26" i="8"/>
  <c r="BF114" i="6"/>
  <c r="BH114" i="6" s="1"/>
  <c r="BH108" i="6"/>
  <c r="BF119" i="6"/>
  <c r="BH119" i="6" s="1"/>
  <c r="BH115" i="6"/>
  <c r="BE114" i="6"/>
  <c r="BG108" i="6"/>
  <c r="BF103" i="6"/>
  <c r="BH99" i="6"/>
  <c r="AX69" i="6"/>
  <c r="AW120" i="6"/>
  <c r="AX120" i="6"/>
  <c r="Y204" i="6"/>
  <c r="Y203" i="6"/>
  <c r="Z209" i="6"/>
  <c r="Z203" i="6"/>
  <c r="BE91" i="6"/>
  <c r="AJ170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0" i="6"/>
  <c r="AT120" i="6"/>
  <c r="AT122" i="6" s="1"/>
  <c r="AT171" i="6" s="1"/>
  <c r="BF67" i="6"/>
  <c r="BE67" i="6"/>
  <c r="BE64" i="6"/>
  <c r="BF24" i="6"/>
  <c r="BF27" i="6"/>
  <c r="BF30" i="6"/>
  <c r="Z204" i="6"/>
  <c r="Y202" i="6"/>
  <c r="Z199" i="6"/>
  <c r="Y205" i="6"/>
  <c r="Y200" i="6"/>
  <c r="Y199" i="6"/>
  <c r="Y209" i="6"/>
  <c r="Y210" i="6"/>
  <c r="Y213" i="6"/>
  <c r="Y214" i="6" s="1"/>
  <c r="BF72" i="6"/>
  <c r="BE72" i="6"/>
  <c r="Y208" i="6"/>
  <c r="Y207" i="6"/>
  <c r="AP168" i="6"/>
  <c r="Z207" i="6"/>
  <c r="Z200" i="6"/>
  <c r="Z202" i="6"/>
  <c r="AS171" i="6"/>
  <c r="AS169" i="6"/>
  <c r="AT69" i="6"/>
  <c r="AP169" i="6"/>
  <c r="AS22" i="59" s="1"/>
  <c r="Z205" i="6"/>
  <c r="AS168" i="6"/>
  <c r="Z210" i="6"/>
  <c r="Z208" i="6"/>
  <c r="Z213" i="6"/>
  <c r="Z195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522" i="28"/>
  <c r="Y523" i="28"/>
  <c r="Z33" i="22"/>
  <c r="AC59" i="59"/>
  <c r="AB63" i="59"/>
  <c r="Y178" i="10"/>
  <c r="AB65" i="59" s="1"/>
  <c r="Z68" i="36"/>
  <c r="AC39" i="59"/>
  <c r="Y130" i="26"/>
  <c r="Z102" i="9"/>
  <c r="Z104" i="9"/>
  <c r="AC58" i="59" s="1"/>
  <c r="Z94" i="9"/>
  <c r="Y19" i="15" s="1"/>
  <c r="Y104" i="9"/>
  <c r="AB58" i="59" s="1"/>
  <c r="Y102" i="9"/>
  <c r="X130" i="26"/>
  <c r="BE66" i="6" l="1"/>
  <c r="BG66" i="6" s="1"/>
  <c r="BG64" i="6"/>
  <c r="BF120" i="6"/>
  <c r="BE120" i="6"/>
  <c r="BG114" i="6"/>
  <c r="BF77" i="6"/>
  <c r="BH77" i="6" s="1"/>
  <c r="BH72" i="6"/>
  <c r="BF69" i="6"/>
  <c r="BH69" i="6" s="1"/>
  <c r="BH67" i="6"/>
  <c r="BE77" i="6"/>
  <c r="BG77" i="6" s="1"/>
  <c r="BG72" i="6"/>
  <c r="BF32" i="6"/>
  <c r="BH32" i="6" s="1"/>
  <c r="BH30" i="6"/>
  <c r="BF26" i="6"/>
  <c r="BH26" i="6" s="1"/>
  <c r="BH24" i="6"/>
  <c r="BE69" i="6"/>
  <c r="BG69" i="6" s="1"/>
  <c r="BG67" i="6"/>
  <c r="BF29" i="6"/>
  <c r="BH29" i="6" s="1"/>
  <c r="BH27" i="6"/>
  <c r="BG91" i="6"/>
  <c r="BH103" i="6"/>
  <c r="AX122" i="6"/>
  <c r="AX169" i="6" s="1"/>
  <c r="AW122" i="6"/>
  <c r="R15" i="49"/>
  <c r="V15" i="49" s="1"/>
  <c r="AB15" i="49"/>
  <c r="AT168" i="6"/>
  <c r="AT169" i="6"/>
  <c r="AW22" i="59" s="1"/>
  <c r="F16" i="49"/>
  <c r="N16" i="49" s="1"/>
  <c r="J15" i="49"/>
  <c r="Y211" i="6"/>
  <c r="Z206" i="6"/>
  <c r="Y206" i="6"/>
  <c r="AP170" i="6"/>
  <c r="AP8" i="36" s="1"/>
  <c r="AS9" i="59" s="1"/>
  <c r="Z211" i="6"/>
  <c r="AC11" i="59" s="1"/>
  <c r="AS170" i="6"/>
  <c r="Z214" i="6"/>
  <c r="Z19" i="36"/>
  <c r="AC56" i="59" s="1"/>
  <c r="Z26" i="9"/>
  <c r="Z2" i="35"/>
  <c r="Y2" i="35"/>
  <c r="BE122" i="6" l="1"/>
  <c r="BE169" i="6" s="1"/>
  <c r="BG120" i="6"/>
  <c r="BF122" i="6"/>
  <c r="BH120" i="6"/>
  <c r="AW169" i="6"/>
  <c r="AW171" i="6"/>
  <c r="AW168" i="6"/>
  <c r="AW170" i="6" s="1"/>
  <c r="AX168" i="6"/>
  <c r="AX170" i="6" s="1"/>
  <c r="AX171" i="6"/>
  <c r="Z6" i="35"/>
  <c r="Z7" i="35"/>
  <c r="Y6" i="35"/>
  <c r="Y7" i="35"/>
  <c r="Y6" i="6" s="1"/>
  <c r="R16" i="49"/>
  <c r="V16" i="49" s="1"/>
  <c r="AB16" i="49"/>
  <c r="Y212" i="6"/>
  <c r="Y215" i="6" s="1"/>
  <c r="AT170" i="6"/>
  <c r="AT8" i="36" s="1"/>
  <c r="AW9" i="59" s="1"/>
  <c r="F19" i="49"/>
  <c r="J16" i="49"/>
  <c r="BA22" i="59"/>
  <c r="BE171" i="6"/>
  <c r="BF168" i="6"/>
  <c r="Z212" i="6"/>
  <c r="Z9" i="36" s="1"/>
  <c r="E13" i="49"/>
  <c r="BH122" i="6" l="1"/>
  <c r="BF169" i="6"/>
  <c r="BI22" i="59" s="1"/>
  <c r="BG122" i="6"/>
  <c r="BE168" i="6"/>
  <c r="BE170" i="6" s="1"/>
  <c r="BF171" i="6"/>
  <c r="Z8" i="35"/>
  <c r="Y8" i="35"/>
  <c r="Y5" i="6"/>
  <c r="AX8" i="36"/>
  <c r="BA9" i="59" s="1"/>
  <c r="J19" i="49"/>
  <c r="N19" i="49"/>
  <c r="Z215" i="6"/>
  <c r="H6" i="59"/>
  <c r="BP33" i="35"/>
  <c r="BQ33" i="35"/>
  <c r="BP36" i="35"/>
  <c r="BQ36" i="35"/>
  <c r="BQ48" i="35" s="1"/>
  <c r="BQ49" i="35" s="1"/>
  <c r="Y7" i="6" l="1"/>
  <c r="Y98" i="6"/>
  <c r="BF170" i="6"/>
  <c r="BF8" i="36" s="1"/>
  <c r="BI9" i="59" s="1"/>
  <c r="R19" i="49"/>
  <c r="V19" i="49" s="1"/>
  <c r="AB19" i="49"/>
  <c r="BP37" i="35"/>
  <c r="BQ37" i="35"/>
  <c r="BO55" i="35" s="1"/>
  <c r="Y104" i="6" l="1"/>
  <c r="Y106" i="6" s="1"/>
  <c r="Y143" i="6" s="1"/>
  <c r="BN55" i="35"/>
  <c r="Z17" i="9"/>
  <c r="AB17" i="9" s="1"/>
  <c r="AF17" i="9" s="1"/>
  <c r="Y146" i="6" l="1"/>
  <c r="Y144" i="6"/>
  <c r="Y145" i="6" s="1"/>
  <c r="AJ17" i="9"/>
  <c r="AP17" i="9" s="1"/>
  <c r="AT17" i="9" s="1"/>
  <c r="Z15" i="21"/>
  <c r="AX17" i="9" l="1"/>
  <c r="BF17" i="9" s="1"/>
  <c r="Z20" i="21"/>
  <c r="Y90" i="8" l="1"/>
  <c r="T1" i="7" l="1"/>
  <c r="T80" i="7" s="1"/>
  <c r="S1" i="7"/>
  <c r="S80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0" i="59" s="1"/>
  <c r="AP93" i="8" l="1"/>
  <c r="I60" i="17"/>
  <c r="M60" i="17" s="1"/>
  <c r="Q60" i="17" s="1"/>
  <c r="I59" i="17"/>
  <c r="M59" i="17" s="1"/>
  <c r="Q59" i="17" s="1"/>
  <c r="U59" i="17" s="1"/>
  <c r="AT93" i="8" l="1"/>
  <c r="U60" i="17"/>
  <c r="AA59" i="17"/>
  <c r="AE59" i="17" s="1"/>
  <c r="AI59" i="17" s="1"/>
  <c r="I22" i="17"/>
  <c r="Q22" i="17" s="1"/>
  <c r="U22" i="17" s="1"/>
  <c r="I18" i="17"/>
  <c r="I16" i="17"/>
  <c r="M16" i="17" s="1"/>
  <c r="I12" i="17"/>
  <c r="Q12" i="17" s="1"/>
  <c r="U12" i="17" s="1"/>
  <c r="I10" i="17"/>
  <c r="I8" i="17"/>
  <c r="K1" i="7"/>
  <c r="K80" i="7" s="1"/>
  <c r="L1" i="7"/>
  <c r="L80" i="7" s="1"/>
  <c r="O1" i="7"/>
  <c r="O80" i="7" s="1"/>
  <c r="P1" i="7"/>
  <c r="P80" i="7" s="1"/>
  <c r="F1" i="7"/>
  <c r="F80" i="7" s="1"/>
  <c r="G1" i="7"/>
  <c r="G80" i="7" s="1"/>
  <c r="H1" i="7"/>
  <c r="H80" i="7" s="1"/>
  <c r="E1" i="7"/>
  <c r="E80" i="7" s="1"/>
  <c r="AX93" i="8" l="1"/>
  <c r="Y60" i="17"/>
  <c r="AA60" i="17" s="1"/>
  <c r="AE60" i="17" s="1"/>
  <c r="AO59" i="17"/>
  <c r="Q16" i="17"/>
  <c r="U16" i="17" s="1"/>
  <c r="AA16" i="17"/>
  <c r="AE16" i="17" s="1"/>
  <c r="AI16" i="17" s="1"/>
  <c r="AI20" i="17" s="1"/>
  <c r="Z1" i="7"/>
  <c r="Z80" i="7" s="1"/>
  <c r="Y1" i="7"/>
  <c r="Y80" i="7" s="1"/>
  <c r="Q10" i="17"/>
  <c r="U10" i="17" s="1"/>
  <c r="Q8" i="17"/>
  <c r="U8" i="17" s="1"/>
  <c r="Q18" i="17"/>
  <c r="U18" i="17" s="1"/>
  <c r="BF93" i="8" l="1"/>
  <c r="BH93" i="8" s="1"/>
  <c r="AS59" i="17"/>
  <c r="AI24" i="17"/>
  <c r="AI60" i="17"/>
  <c r="AO60" i="17" s="1"/>
  <c r="AS60" i="17" s="1"/>
  <c r="AW60" i="17" s="1"/>
  <c r="AO16" i="17"/>
  <c r="AS16" i="17" s="1"/>
  <c r="AE20" i="17"/>
  <c r="AW59" i="17" l="1"/>
  <c r="BE59" i="17" s="1"/>
  <c r="AM60" i="17"/>
  <c r="AW16" i="17"/>
  <c r="AW20" i="17" s="1"/>
  <c r="AS20" i="17"/>
  <c r="BE60" i="17"/>
  <c r="BA60" i="17"/>
  <c r="BC60" i="17" s="1"/>
  <c r="AO20" i="17"/>
  <c r="AE2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J93" i="8"/>
  <c r="Z62" i="8"/>
  <c r="AB62" i="8" s="1"/>
  <c r="AF62" i="8" s="1"/>
  <c r="Z61" i="8"/>
  <c r="Z59" i="8"/>
  <c r="BE16" i="17" l="1"/>
  <c r="AS24" i="17"/>
  <c r="AW2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20" i="17"/>
  <c r="AE25" i="9"/>
  <c r="AE88" i="9" s="1"/>
  <c r="AO68" i="9"/>
  <c r="AO70" i="9"/>
  <c r="AO69" i="9"/>
  <c r="AO65" i="9"/>
  <c r="AO67" i="9"/>
  <c r="AO63" i="9"/>
  <c r="AO66" i="9"/>
  <c r="AO24" i="17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0" i="59" s="1"/>
  <c r="I51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1" i="59" s="1"/>
  <c r="AJ14" i="9"/>
  <c r="AP14" i="9" s="1"/>
  <c r="AT14" i="9" s="1"/>
  <c r="AO92" i="9"/>
  <c r="AI80" i="9"/>
  <c r="V6" i="49"/>
  <c r="V20" i="49" s="1"/>
  <c r="R20" i="49"/>
  <c r="F20" i="49"/>
  <c r="J6" i="49"/>
  <c r="BE24" i="17"/>
  <c r="AO47" i="9"/>
  <c r="AO83" i="9" s="1"/>
  <c r="AP59" i="8"/>
  <c r="AL60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0" i="59" s="1"/>
  <c r="AE82" i="9"/>
  <c r="AH61" i="59" s="1"/>
  <c r="AB65" i="8"/>
  <c r="AF65" i="8" s="1"/>
  <c r="AJ65" i="8" s="1"/>
  <c r="AJ72" i="8" s="1"/>
  <c r="Z56" i="8"/>
  <c r="N46" i="8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N49" i="8"/>
  <c r="N50" i="8"/>
  <c r="N51" i="8" s="1"/>
  <c r="N82" i="8"/>
  <c r="Q49" i="59" s="1"/>
  <c r="N83" i="8"/>
  <c r="Q50" i="59" s="1"/>
  <c r="N89" i="8"/>
  <c r="Z72" i="8"/>
  <c r="Z63" i="8"/>
  <c r="Q46" i="59" l="1"/>
  <c r="N137" i="8"/>
  <c r="N144" i="8" s="1"/>
  <c r="V6" i="8"/>
  <c r="V45" i="8" s="1"/>
  <c r="BF62" i="8"/>
  <c r="BH62" i="8" s="1"/>
  <c r="AJ90" i="9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5" i="8"/>
  <c r="V46" i="8"/>
  <c r="Y46" i="59" s="1"/>
  <c r="V47" i="8"/>
  <c r="V41" i="8"/>
  <c r="V40" i="8"/>
  <c r="V81" i="8"/>
  <c r="Y51" i="59" s="1"/>
  <c r="V39" i="8"/>
  <c r="AO86" i="9"/>
  <c r="BE65" i="9"/>
  <c r="BE70" i="9"/>
  <c r="BE67" i="9"/>
  <c r="BE69" i="9"/>
  <c r="BE63" i="9"/>
  <c r="BE66" i="9"/>
  <c r="BE68" i="9"/>
  <c r="AO87" i="9"/>
  <c r="AR60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1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7" i="59"/>
  <c r="AF72" i="8"/>
  <c r="Z67" i="8"/>
  <c r="AB56" i="8"/>
  <c r="AF56" i="8" s="1"/>
  <c r="AB63" i="8"/>
  <c r="AF63" i="8" s="1"/>
  <c r="AJ63" i="8" s="1"/>
  <c r="AJ71" i="8" s="1"/>
  <c r="Z71" i="8"/>
  <c r="R46" i="8"/>
  <c r="U46" i="59" s="1"/>
  <c r="R89" i="8"/>
  <c r="V89" i="8" s="1"/>
  <c r="R82" i="8"/>
  <c r="V82" i="8" s="1"/>
  <c r="R83" i="8"/>
  <c r="V83" i="8" s="1"/>
  <c r="R49" i="8"/>
  <c r="R85" i="8"/>
  <c r="R44" i="8"/>
  <c r="U47" i="59" s="1"/>
  <c r="R47" i="8"/>
  <c r="R40" i="8"/>
  <c r="R39" i="8"/>
  <c r="R43" i="8"/>
  <c r="U45" i="59" s="1"/>
  <c r="R41" i="8"/>
  <c r="R45" i="8"/>
  <c r="R81" i="8"/>
  <c r="M6" i="26"/>
  <c r="R50" i="8"/>
  <c r="R51" i="8" s="1"/>
  <c r="Z70" i="8"/>
  <c r="AC61" i="59"/>
  <c r="Z52" i="9"/>
  <c r="AC57" i="59" s="1"/>
  <c r="Z53" i="9"/>
  <c r="AC60" i="59"/>
  <c r="Z188" i="6"/>
  <c r="Z187" i="6"/>
  <c r="Z162" i="6"/>
  <c r="V44" i="8" l="1"/>
  <c r="Y47" i="59" s="1"/>
  <c r="V43" i="8"/>
  <c r="Y45" i="59" s="1"/>
  <c r="AW25" i="9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BH61" i="8" s="1"/>
  <c r="AJ56" i="8"/>
  <c r="AP56" i="8" s="1"/>
  <c r="AT56" i="8" s="1"/>
  <c r="AJ70" i="8"/>
  <c r="AS93" i="9"/>
  <c r="AS94" i="9"/>
  <c r="AR19" i="15" s="1"/>
  <c r="V42" i="8"/>
  <c r="V50" i="8"/>
  <c r="V51" i="8" s="1"/>
  <c r="V14" i="36"/>
  <c r="Y40" i="59" s="1"/>
  <c r="Y48" i="59"/>
  <c r="U48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7" i="59"/>
  <c r="AS80" i="9"/>
  <c r="AP63" i="8"/>
  <c r="AS83" i="9"/>
  <c r="AS87" i="9"/>
  <c r="AV60" i="59" s="1"/>
  <c r="AS53" i="9"/>
  <c r="AS82" i="9"/>
  <c r="AV61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0" i="59"/>
  <c r="Y50" i="59"/>
  <c r="U49" i="59"/>
  <c r="Y49" i="59"/>
  <c r="R42" i="8"/>
  <c r="U2" i="26" l="1"/>
  <c r="U2" i="17"/>
  <c r="AX56" i="8"/>
  <c r="BF56" i="8" s="1"/>
  <c r="AX65" i="8"/>
  <c r="BF59" i="8"/>
  <c r="BH59" i="8" s="1"/>
  <c r="BE92" i="9"/>
  <c r="AR57" i="59"/>
  <c r="BE47" i="9"/>
  <c r="AZ61" i="59"/>
  <c r="AZ60" i="59"/>
  <c r="AS52" i="9"/>
  <c r="AS7" i="9" s="1"/>
  <c r="BE22" i="9"/>
  <c r="BE25" i="9" s="1"/>
  <c r="BE88" i="9" s="1"/>
  <c r="BE58" i="9"/>
  <c r="AT96" i="9"/>
  <c r="BE95" i="9"/>
  <c r="BE96" i="9" s="1"/>
  <c r="BE59" i="9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T69" i="8"/>
  <c r="AX69" i="8" s="1"/>
  <c r="AP74" i="8"/>
  <c r="AT72" i="8"/>
  <c r="AT63" i="8"/>
  <c r="AP70" i="8"/>
  <c r="AP71" i="8"/>
  <c r="AO72" i="9"/>
  <c r="AS55" i="9"/>
  <c r="AW55" i="9" s="1"/>
  <c r="AW72" i="9" s="1"/>
  <c r="AF73" i="8"/>
  <c r="AB73" i="8"/>
  <c r="BE76" i="9" l="1"/>
  <c r="BE75" i="9"/>
  <c r="AX72" i="8"/>
  <c r="AX74" i="8"/>
  <c r="AX100" i="9"/>
  <c r="BF65" i="8"/>
  <c r="AX63" i="8"/>
  <c r="BE93" i="9"/>
  <c r="BE94" i="9"/>
  <c r="AZ57" i="59"/>
  <c r="AV57" i="59"/>
  <c r="BE53" i="9"/>
  <c r="BE52" i="9"/>
  <c r="BE80" i="9"/>
  <c r="BE84" i="9"/>
  <c r="BE83" i="9"/>
  <c r="BE85" i="9"/>
  <c r="BE82" i="9"/>
  <c r="BH61" i="59" s="1"/>
  <c r="BE86" i="9"/>
  <c r="BE87" i="9"/>
  <c r="BH60" i="59" s="1"/>
  <c r="BF95" i="9"/>
  <c r="BF96" i="9" s="1"/>
  <c r="BF64" i="9"/>
  <c r="BF81" i="9" s="1"/>
  <c r="BF19" i="9"/>
  <c r="AX57" i="36"/>
  <c r="AX17" i="36" s="1"/>
  <c r="BA54" i="59" s="1"/>
  <c r="AS72" i="9"/>
  <c r="AT100" i="9"/>
  <c r="AT74" i="8"/>
  <c r="AT57" i="36"/>
  <c r="AT17" i="36" s="1"/>
  <c r="AT90" i="9"/>
  <c r="AT91" i="9" s="1"/>
  <c r="AT67" i="8"/>
  <c r="AX67" i="8" s="1"/>
  <c r="AP73" i="8"/>
  <c r="AT70" i="8"/>
  <c r="AT71" i="8"/>
  <c r="AS54" i="59"/>
  <c r="AP18" i="36"/>
  <c r="AS55" i="59" s="1"/>
  <c r="J70" i="11"/>
  <c r="J68" i="11"/>
  <c r="I68" i="59"/>
  <c r="BF72" i="8" l="1"/>
  <c r="BH65" i="8"/>
  <c r="BF90" i="9"/>
  <c r="BF91" i="9" s="1"/>
  <c r="AX73" i="8"/>
  <c r="AX70" i="8"/>
  <c r="AX71" i="8"/>
  <c r="BF63" i="8"/>
  <c r="BH63" i="8" s="1"/>
  <c r="BE7" i="9"/>
  <c r="BH57" i="59"/>
  <c r="AX18" i="36"/>
  <c r="BA55" i="59" s="1"/>
  <c r="BE55" i="9"/>
  <c r="BF100" i="9"/>
  <c r="BF69" i="8"/>
  <c r="AT73" i="8"/>
  <c r="AW54" i="59"/>
  <c r="AT18" i="36"/>
  <c r="AW55" i="59" s="1"/>
  <c r="R70" i="11"/>
  <c r="V70" i="11" s="1"/>
  <c r="AB70" i="11"/>
  <c r="AF70" i="11" s="1"/>
  <c r="J66" i="11"/>
  <c r="R68" i="11"/>
  <c r="V68" i="11" s="1"/>
  <c r="J69" i="11"/>
  <c r="M68" i="59" s="1"/>
  <c r="BE72" i="9" l="1"/>
  <c r="BF74" i="8"/>
  <c r="BH69" i="8"/>
  <c r="BF70" i="8"/>
  <c r="BH70" i="8" s="1"/>
  <c r="BF71" i="8"/>
  <c r="AJ70" i="11"/>
  <c r="V69" i="11"/>
  <c r="Y68" i="59" s="1"/>
  <c r="V71" i="11"/>
  <c r="V79" i="11"/>
  <c r="Y69" i="59" s="1"/>
  <c r="BF67" i="8"/>
  <c r="AF79" i="11"/>
  <c r="AI69" i="59" s="1"/>
  <c r="AB79" i="11"/>
  <c r="AE69" i="59" s="1"/>
  <c r="R71" i="11"/>
  <c r="R69" i="11"/>
  <c r="U68" i="59" s="1"/>
  <c r="J67" i="11"/>
  <c r="AB66" i="11"/>
  <c r="AF66" i="11" s="1"/>
  <c r="BF73" i="8" l="1"/>
  <c r="BH67" i="8"/>
  <c r="AJ79" i="11"/>
  <c r="AM69" i="59" s="1"/>
  <c r="AJ66" i="11"/>
  <c r="AP66" i="11" s="1"/>
  <c r="AT66" i="11" s="1"/>
  <c r="AP70" i="11"/>
  <c r="Z71" i="11"/>
  <c r="Z69" i="11"/>
  <c r="AC68" i="59" s="1"/>
  <c r="Z67" i="11"/>
  <c r="AB68" i="11"/>
  <c r="AF68" i="11" s="1"/>
  <c r="R66" i="11"/>
  <c r="V66" i="11" s="1"/>
  <c r="V67" i="11" s="1"/>
  <c r="J169" i="10"/>
  <c r="J167" i="10"/>
  <c r="J165" i="10"/>
  <c r="AX66" i="11" l="1"/>
  <c r="AT70" i="11"/>
  <c r="AP79" i="11"/>
  <c r="AS69" i="59" s="1"/>
  <c r="AJ68" i="11"/>
  <c r="AP68" i="11" s="1"/>
  <c r="AB67" i="11"/>
  <c r="AF67" i="11"/>
  <c r="AF69" i="11"/>
  <c r="AI68" i="59" s="1"/>
  <c r="AF71" i="11"/>
  <c r="AB71" i="11"/>
  <c r="AB69" i="11"/>
  <c r="AE68" i="59" s="1"/>
  <c r="R169" i="10"/>
  <c r="V169" i="10" s="1"/>
  <c r="R167" i="10"/>
  <c r="V167" i="10" s="1"/>
  <c r="R67" i="11"/>
  <c r="J166" i="10"/>
  <c r="J168" i="10"/>
  <c r="M64" i="59" s="1"/>
  <c r="BF66" i="11" l="1"/>
  <c r="AX70" i="11"/>
  <c r="AT68" i="11"/>
  <c r="AP71" i="11"/>
  <c r="AP69" i="11"/>
  <c r="AS68" i="59" s="1"/>
  <c r="AP67" i="11"/>
  <c r="AJ67" i="11"/>
  <c r="AJ69" i="11"/>
  <c r="AM68" i="59" s="1"/>
  <c r="AJ71" i="11"/>
  <c r="AT79" i="11"/>
  <c r="AW69" i="59" s="1"/>
  <c r="V170" i="10"/>
  <c r="V168" i="10"/>
  <c r="Y64" i="59" s="1"/>
  <c r="V178" i="10"/>
  <c r="Y65" i="59" s="1"/>
  <c r="R178" i="10"/>
  <c r="R165" i="10"/>
  <c r="V165" i="10" s="1"/>
  <c r="V166" i="10" s="1"/>
  <c r="AB165" i="10"/>
  <c r="AF165" i="10" s="1"/>
  <c r="AJ165" i="10" s="1"/>
  <c r="AJ166" i="10" s="1"/>
  <c r="AB168" i="10"/>
  <c r="AE64" i="59" s="1"/>
  <c r="AB170" i="10"/>
  <c r="R168" i="10"/>
  <c r="U64" i="59" s="1"/>
  <c r="R170" i="10"/>
  <c r="AX79" i="11" l="1"/>
  <c r="BA69" i="59" s="1"/>
  <c r="AX68" i="11"/>
  <c r="AX71" i="11" s="1"/>
  <c r="BF70" i="11"/>
  <c r="AT69" i="11"/>
  <c r="AW68" i="59" s="1"/>
  <c r="AT67" i="11"/>
  <c r="AT71" i="11"/>
  <c r="AF166" i="10"/>
  <c r="R166" i="10"/>
  <c r="AB166" i="10"/>
  <c r="AX67" i="11" l="1"/>
  <c r="AX69" i="11"/>
  <c r="BA68" i="59" s="1"/>
  <c r="BF68" i="11"/>
  <c r="BF67" i="11" s="1"/>
  <c r="BF79" i="1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I69" i="59" l="1"/>
  <c r="BF71" i="11"/>
  <c r="BF69" i="11"/>
  <c r="BI68" i="59" s="1"/>
  <c r="AT165" i="10"/>
  <c r="AX165" i="10" s="1"/>
  <c r="AP166" i="10"/>
  <c r="Z23" i="27"/>
  <c r="AD23" i="27" s="1"/>
  <c r="Q23" i="27"/>
  <c r="U23" i="27" s="1"/>
  <c r="AX166" i="10" l="1"/>
  <c r="AH23" i="27"/>
  <c r="AN23" i="27" s="1"/>
  <c r="AR23" i="27" s="1"/>
  <c r="AT166" i="10"/>
  <c r="AA23" i="27"/>
  <c r="AE23" i="27" s="1"/>
  <c r="AV23" i="27" l="1"/>
  <c r="BD23" i="27" s="1"/>
  <c r="BI23" i="27" s="1"/>
  <c r="AI23" i="27"/>
  <c r="AO23" i="27" s="1"/>
  <c r="AS23" i="27" s="1"/>
  <c r="BF165" i="10"/>
  <c r="J16" i="9"/>
  <c r="J17" i="9"/>
  <c r="BF166" i="10" l="1"/>
  <c r="AW23" i="27"/>
  <c r="BE23" i="27" s="1"/>
  <c r="BJ23" i="27" s="1"/>
  <c r="Z82" i="7"/>
  <c r="Z83" i="7" l="1"/>
  <c r="AC35" i="59" s="1"/>
  <c r="AB82" i="7"/>
  <c r="AF82" i="7" s="1"/>
  <c r="AJ82" i="7" s="1"/>
  <c r="AJ83" i="7" s="1"/>
  <c r="Z139" i="45"/>
  <c r="Z140" i="45" s="1"/>
  <c r="AF83" i="7" l="1"/>
  <c r="AI35" i="59" s="1"/>
  <c r="Y99" i="9"/>
  <c r="AP82" i="7" l="1"/>
  <c r="AM35" i="59"/>
  <c r="Y100" i="9"/>
  <c r="AA99" i="9"/>
  <c r="AE99" i="9" s="1"/>
  <c r="AI99" i="9" s="1"/>
  <c r="AI100" i="9" s="1"/>
  <c r="AP83" i="7" l="1"/>
  <c r="AS35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A18" i="6"/>
  <c r="AE18" i="6" s="1"/>
  <c r="AI18" i="6" s="1"/>
  <c r="AO18" i="6" s="1"/>
  <c r="AO190" i="6" s="1"/>
  <c r="Y191" i="6"/>
  <c r="AA191" i="6" s="1"/>
  <c r="AE191" i="6" s="1"/>
  <c r="AI191" i="6" s="1"/>
  <c r="AO191" i="6" s="1"/>
  <c r="AW28" i="6"/>
  <c r="AW24" i="6"/>
  <c r="AW25" i="6"/>
  <c r="AA17" i="6"/>
  <c r="AE17" i="6" s="1"/>
  <c r="AI17" i="6" s="1"/>
  <c r="AO17" i="6" s="1"/>
  <c r="AS17" i="6" s="1"/>
  <c r="Y165" i="6"/>
  <c r="AW31" i="6"/>
  <c r="AS18" i="6"/>
  <c r="AS190" i="6" s="1"/>
  <c r="AT83" i="7"/>
  <c r="AW35" i="59" s="1"/>
  <c r="AS26" i="6"/>
  <c r="AO29" i="6"/>
  <c r="AS27" i="6"/>
  <c r="AW27" i="6" s="1"/>
  <c r="AI32" i="6"/>
  <c r="AO30" i="6"/>
  <c r="AO26" i="6"/>
  <c r="AO99" i="9"/>
  <c r="AI29" i="6"/>
  <c r="AI184" i="6"/>
  <c r="AI26" i="6"/>
  <c r="AE29" i="6"/>
  <c r="AE184" i="6"/>
  <c r="AE190" i="6"/>
  <c r="AE32" i="6"/>
  <c r="AE26" i="6"/>
  <c r="Y184" i="6"/>
  <c r="Y159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I190" i="6" l="1"/>
  <c r="AO184" i="6"/>
  <c r="BE25" i="6"/>
  <c r="BG25" i="6" s="1"/>
  <c r="BE31" i="6"/>
  <c r="BG31" i="6" s="1"/>
  <c r="AX83" i="7"/>
  <c r="BA35" i="59" s="1"/>
  <c r="AS191" i="6"/>
  <c r="AO164" i="6"/>
  <c r="AE164" i="6"/>
  <c r="AW26" i="6"/>
  <c r="AI164" i="6"/>
  <c r="AE19" i="6"/>
  <c r="AE84" i="6" s="1"/>
  <c r="AI159" i="6"/>
  <c r="AE159" i="6"/>
  <c r="AI19" i="6"/>
  <c r="AI84" i="6" s="1"/>
  <c r="AO159" i="6"/>
  <c r="AA165" i="6"/>
  <c r="AE165" i="6" s="1"/>
  <c r="AI165" i="6" s="1"/>
  <c r="AO165" i="6" s="1"/>
  <c r="AS165" i="6" s="1"/>
  <c r="AW17" i="6"/>
  <c r="AS159" i="6"/>
  <c r="AS164" i="6"/>
  <c r="BE24" i="6"/>
  <c r="AW34" i="6"/>
  <c r="AW29" i="6"/>
  <c r="AW18" i="6"/>
  <c r="BE28" i="6"/>
  <c r="BG28" i="6" s="1"/>
  <c r="AW33" i="6"/>
  <c r="AO19" i="6"/>
  <c r="AO84" i="6" s="1"/>
  <c r="AS19" i="6"/>
  <c r="AS84" i="6" s="1"/>
  <c r="AS184" i="6"/>
  <c r="Y83" i="8"/>
  <c r="Y82" i="8"/>
  <c r="BF82" i="7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6" i="59" s="1"/>
  <c r="E30" i="8"/>
  <c r="AA21" i="6"/>
  <c r="AE21" i="6" s="1"/>
  <c r="AI21" i="6" s="1"/>
  <c r="AO21" i="6" s="1"/>
  <c r="AS21" i="6" s="1"/>
  <c r="AA22" i="6"/>
  <c r="AE22" i="6" s="1"/>
  <c r="Y84" i="6"/>
  <c r="E6" i="49"/>
  <c r="I6" i="49" s="1"/>
  <c r="M6" i="8"/>
  <c r="Z6" i="8"/>
  <c r="Y13" i="8"/>
  <c r="AA13" i="8" s="1"/>
  <c r="AE13" i="8" s="1"/>
  <c r="AI13" i="8" s="1"/>
  <c r="AI16" i="8" s="1"/>
  <c r="AC40" i="59"/>
  <c r="M82" i="8" l="1"/>
  <c r="P49" i="59" s="1"/>
  <c r="M30" i="8"/>
  <c r="AA30" i="8" s="1"/>
  <c r="AE30" i="8" s="1"/>
  <c r="AI30" i="8" s="1"/>
  <c r="BE26" i="6"/>
  <c r="BG26" i="6" s="1"/>
  <c r="BG24" i="6"/>
  <c r="BF83" i="7"/>
  <c r="BI35" i="59" s="1"/>
  <c r="AW32" i="6"/>
  <c r="BE34" i="6"/>
  <c r="BG34" i="6" s="1"/>
  <c r="AW191" i="6"/>
  <c r="AI81" i="6"/>
  <c r="AE81" i="6"/>
  <c r="AS81" i="6"/>
  <c r="AW35" i="6"/>
  <c r="BE18" i="6"/>
  <c r="BG18" i="6" s="1"/>
  <c r="AW21" i="6"/>
  <c r="BE33" i="6"/>
  <c r="AW165" i="6"/>
  <c r="AW19" i="6"/>
  <c r="AW159" i="6"/>
  <c r="AW164" i="6"/>
  <c r="AO81" i="6"/>
  <c r="AW184" i="6"/>
  <c r="AW190" i="6"/>
  <c r="BE17" i="6"/>
  <c r="BG17" i="6" s="1"/>
  <c r="AB49" i="59"/>
  <c r="AB50" i="59"/>
  <c r="M83" i="8"/>
  <c r="BE27" i="6"/>
  <c r="AS32" i="6"/>
  <c r="AS100" i="9"/>
  <c r="AE23" i="6"/>
  <c r="AI22" i="6"/>
  <c r="AO22" i="6" s="1"/>
  <c r="AE16" i="8"/>
  <c r="M6" i="49"/>
  <c r="Q6" i="49" s="1"/>
  <c r="U6" i="49" s="1"/>
  <c r="AA6" i="8"/>
  <c r="Z6" i="49"/>
  <c r="Z89" i="8"/>
  <c r="AB6" i="8"/>
  <c r="Z46" i="8"/>
  <c r="AC46" i="59" s="1"/>
  <c r="E67" i="8"/>
  <c r="I30" i="8"/>
  <c r="M89" i="8"/>
  <c r="Q6" i="8"/>
  <c r="Y47" i="8"/>
  <c r="Z41" i="8"/>
  <c r="Z40" i="8"/>
  <c r="Z39" i="8"/>
  <c r="Z81" i="8"/>
  <c r="AC51" i="59" s="1"/>
  <c r="Z44" i="8"/>
  <c r="AC47" i="59" s="1"/>
  <c r="Z47" i="8"/>
  <c r="Z43" i="8"/>
  <c r="AC45" i="59" s="1"/>
  <c r="Z45" i="8"/>
  <c r="Z85" i="8"/>
  <c r="Z49" i="8"/>
  <c r="Y49" i="8"/>
  <c r="Y81" i="8"/>
  <c r="AB51" i="59" s="1"/>
  <c r="Y50" i="8"/>
  <c r="Y51" i="8" s="1"/>
  <c r="Z82" i="8"/>
  <c r="Z83" i="8"/>
  <c r="Y89" i="8"/>
  <c r="Z50" i="8"/>
  <c r="Z51" i="8" s="1"/>
  <c r="Y59" i="8"/>
  <c r="Y69" i="8"/>
  <c r="Y45" i="8"/>
  <c r="U6" i="8" l="1"/>
  <c r="AF6" i="8"/>
  <c r="AE6" i="8"/>
  <c r="BE35" i="6"/>
  <c r="BG35" i="6" s="1"/>
  <c r="BG33" i="6"/>
  <c r="BE29" i="6"/>
  <c r="BG29" i="6" s="1"/>
  <c r="BG27" i="6"/>
  <c r="BE21" i="6"/>
  <c r="BG21" i="6" s="1"/>
  <c r="AW81" i="6"/>
  <c r="BE191" i="6"/>
  <c r="BE190" i="6"/>
  <c r="Y77" i="8"/>
  <c r="X2" i="26"/>
  <c r="X2" i="17"/>
  <c r="Y2" i="26"/>
  <c r="Y2" i="17"/>
  <c r="BE165" i="6"/>
  <c r="AW84" i="6"/>
  <c r="BE184" i="6"/>
  <c r="BG184" i="6" s="1"/>
  <c r="BE159" i="6"/>
  <c r="BG159" i="6" s="1"/>
  <c r="BE164" i="6"/>
  <c r="BE19" i="6"/>
  <c r="AJ6" i="8"/>
  <c r="AO30" i="8"/>
  <c r="AS30" i="8" s="1"/>
  <c r="P50" i="59"/>
  <c r="Q83" i="8"/>
  <c r="U81" i="8"/>
  <c r="Q82" i="8"/>
  <c r="AA83" i="8"/>
  <c r="AA82" i="8"/>
  <c r="AC48" i="59"/>
  <c r="M67" i="8"/>
  <c r="AA67" i="8" s="1"/>
  <c r="AE67" i="8" s="1"/>
  <c r="I67" i="8"/>
  <c r="I37" i="8" s="1"/>
  <c r="BE30" i="6"/>
  <c r="BE100" i="9"/>
  <c r="AI23" i="6"/>
  <c r="AO23" i="6"/>
  <c r="AS22" i="6"/>
  <c r="AW22" i="6" s="1"/>
  <c r="AO13" i="8"/>
  <c r="AE91" i="8"/>
  <c r="AE81" i="8"/>
  <c r="AH51" i="59" s="1"/>
  <c r="AF47" i="8"/>
  <c r="AF41" i="8"/>
  <c r="AF43" i="8"/>
  <c r="AI45" i="59" s="1"/>
  <c r="AF45" i="8"/>
  <c r="AF46" i="8"/>
  <c r="AI46" i="59" s="1"/>
  <c r="AF40" i="8"/>
  <c r="AF81" i="8"/>
  <c r="AI51" i="59" s="1"/>
  <c r="AF44" i="8"/>
  <c r="AI47" i="59" s="1"/>
  <c r="AF91" i="8"/>
  <c r="AF85" i="8"/>
  <c r="AF39" i="8"/>
  <c r="AE46" i="8"/>
  <c r="AH46" i="59" s="1"/>
  <c r="AA89" i="8"/>
  <c r="AE89" i="8" s="1"/>
  <c r="AB89" i="8"/>
  <c r="AF89" i="8" s="1"/>
  <c r="AB49" i="8"/>
  <c r="Y44" i="8"/>
  <c r="AB47" i="59" s="1"/>
  <c r="Y43" i="8"/>
  <c r="AB45" i="59" s="1"/>
  <c r="E37" i="8"/>
  <c r="Q30" i="8"/>
  <c r="U30" i="8" s="1"/>
  <c r="U46" i="8" s="1"/>
  <c r="M46" i="8"/>
  <c r="P46" i="59" s="1"/>
  <c r="P48" i="59" s="1"/>
  <c r="AB83" i="8"/>
  <c r="AC50" i="59"/>
  <c r="AB82" i="8"/>
  <c r="AC49" i="59"/>
  <c r="AB50" i="8"/>
  <c r="AB51" i="8" s="1"/>
  <c r="Z77" i="8"/>
  <c r="Q81" i="8"/>
  <c r="Q89" i="8"/>
  <c r="U89" i="8" s="1"/>
  <c r="Y6" i="26"/>
  <c r="Y74" i="8"/>
  <c r="Z42" i="8"/>
  <c r="AI6" i="8" l="1"/>
  <c r="BE84" i="6"/>
  <c r="BG19" i="6"/>
  <c r="BE32" i="6"/>
  <c r="BG32" i="6" s="1"/>
  <c r="BG30" i="6"/>
  <c r="M37" i="8"/>
  <c r="AA37" i="8" s="1"/>
  <c r="AE37" i="8" s="1"/>
  <c r="AI37" i="8" s="1"/>
  <c r="AO37" i="8" s="1"/>
  <c r="AS37" i="8" s="1"/>
  <c r="AW23" i="6"/>
  <c r="AW30" i="8"/>
  <c r="AF14" i="36"/>
  <c r="AI40" i="59" s="1"/>
  <c r="AA2" i="17"/>
  <c r="AA2" i="26"/>
  <c r="BE81" i="6"/>
  <c r="Q67" i="8"/>
  <c r="U67" i="8" s="1"/>
  <c r="AJ89" i="8"/>
  <c r="AJ46" i="8"/>
  <c r="AM46" i="59" s="1"/>
  <c r="AJ85" i="8"/>
  <c r="AJ43" i="8"/>
  <c r="AM45" i="59" s="1"/>
  <c r="AJ81" i="8"/>
  <c r="AM51" i="59" s="1"/>
  <c r="AJ39" i="8"/>
  <c r="AJ44" i="8"/>
  <c r="AM47" i="59" s="1"/>
  <c r="AJ41" i="8"/>
  <c r="AJ47" i="8"/>
  <c r="AJ40" i="8"/>
  <c r="AJ45" i="8"/>
  <c r="AJ91" i="8"/>
  <c r="AP6" i="8"/>
  <c r="AI67" i="8"/>
  <c r="AO67" i="8" s="1"/>
  <c r="AS67" i="8" s="1"/>
  <c r="AI89" i="8"/>
  <c r="AI81" i="8"/>
  <c r="AL51" i="59" s="1"/>
  <c r="AI91" i="8"/>
  <c r="AO6" i="8"/>
  <c r="U82" i="8"/>
  <c r="X49" i="59" s="1"/>
  <c r="T49" i="59"/>
  <c r="U83" i="8"/>
  <c r="X50" i="59" s="1"/>
  <c r="T50" i="59"/>
  <c r="AB48" i="59"/>
  <c r="AE82" i="8"/>
  <c r="AI82" i="8" s="1"/>
  <c r="AD49" i="59"/>
  <c r="AE83" i="8"/>
  <c r="AI83" i="8" s="1"/>
  <c r="AD50" i="59"/>
  <c r="AI48" i="59"/>
  <c r="AS23" i="6"/>
  <c r="AO16" i="8"/>
  <c r="AS13" i="8"/>
  <c r="AW13" i="8" s="1"/>
  <c r="AW16" i="8" s="1"/>
  <c r="AF42" i="8"/>
  <c r="AE49" i="59"/>
  <c r="AF82" i="8"/>
  <c r="AJ82" i="8" s="1"/>
  <c r="AF50" i="8"/>
  <c r="AF51" i="8" s="1"/>
  <c r="AE50" i="59"/>
  <c r="AF83" i="8"/>
  <c r="AJ83" i="8" s="1"/>
  <c r="AF49" i="8"/>
  <c r="Y52" i="8"/>
  <c r="AB41" i="59" s="1"/>
  <c r="Y53" i="8"/>
  <c r="AB42" i="59" s="1"/>
  <c r="X46" i="59"/>
  <c r="X51" i="59"/>
  <c r="Q46" i="8"/>
  <c r="T46" i="59" s="1"/>
  <c r="Y63" i="8"/>
  <c r="Y71" i="8" s="1"/>
  <c r="AI46" i="8" l="1"/>
  <c r="AL46" i="59" s="1"/>
  <c r="AE2" i="26"/>
  <c r="AE2" i="17"/>
  <c r="BE30" i="8"/>
  <c r="BG30" i="8" s="1"/>
  <c r="AW37" i="8"/>
  <c r="BE37" i="8" s="1"/>
  <c r="BG37" i="8" s="1"/>
  <c r="AW67" i="8"/>
  <c r="BE67" i="8" s="1"/>
  <c r="BG67" i="8" s="1"/>
  <c r="AO89" i="8"/>
  <c r="AJ50" i="8"/>
  <c r="AJ51" i="8" s="1"/>
  <c r="AJ14" i="36"/>
  <c r="AM40" i="59" s="1"/>
  <c r="AM48" i="59"/>
  <c r="AP89" i="8"/>
  <c r="AT6" i="8"/>
  <c r="AP91" i="8"/>
  <c r="AP81" i="8"/>
  <c r="AS51" i="59" s="1"/>
  <c r="AP40" i="8"/>
  <c r="AP43" i="8"/>
  <c r="AS45" i="59" s="1"/>
  <c r="AP45" i="8"/>
  <c r="AP44" i="8"/>
  <c r="AS47" i="59" s="1"/>
  <c r="AP46" i="8"/>
  <c r="AS46" i="59" s="1"/>
  <c r="AP85" i="8"/>
  <c r="AP41" i="8"/>
  <c r="AP39" i="8"/>
  <c r="AP47" i="8"/>
  <c r="AJ49" i="8"/>
  <c r="AS6" i="8"/>
  <c r="AO46" i="8"/>
  <c r="AR46" i="59" s="1"/>
  <c r="AO91" i="8"/>
  <c r="AO81" i="8"/>
  <c r="AR51" i="59" s="1"/>
  <c r="AJ42" i="8"/>
  <c r="AH50" i="59"/>
  <c r="AH49" i="59"/>
  <c r="AB43" i="59"/>
  <c r="BE22" i="6"/>
  <c r="AS16" i="8"/>
  <c r="AI49" i="59"/>
  <c r="AI50" i="59"/>
  <c r="AW6" i="8" l="1"/>
  <c r="AX6" i="8"/>
  <c r="AX85" i="8" s="1"/>
  <c r="BE23" i="6"/>
  <c r="BG23" i="6" s="1"/>
  <c r="BG22" i="6"/>
  <c r="AX81" i="8"/>
  <c r="AI2" i="26"/>
  <c r="AI2" i="17"/>
  <c r="AW91" i="8"/>
  <c r="AW81" i="8"/>
  <c r="AT47" i="8"/>
  <c r="AT91" i="8"/>
  <c r="AT41" i="8"/>
  <c r="AT85" i="8"/>
  <c r="AT46" i="8"/>
  <c r="AW46" i="59" s="1"/>
  <c r="AT39" i="8"/>
  <c r="AT43" i="8"/>
  <c r="AW45" i="59" s="1"/>
  <c r="AT81" i="8"/>
  <c r="AW51" i="59" s="1"/>
  <c r="AT44" i="8"/>
  <c r="AW47" i="59" s="1"/>
  <c r="AT45" i="8"/>
  <c r="AT40" i="8"/>
  <c r="AS91" i="8"/>
  <c r="AS81" i="8"/>
  <c r="AV51" i="59" s="1"/>
  <c r="AS46" i="8"/>
  <c r="AV46" i="59" s="1"/>
  <c r="AP42" i="8"/>
  <c r="AS89" i="8"/>
  <c r="AW89" i="8" s="1"/>
  <c r="AS48" i="59"/>
  <c r="AT89" i="8"/>
  <c r="AX89" i="8" s="1"/>
  <c r="AO82" i="8"/>
  <c r="AL49" i="59"/>
  <c r="AO83" i="8"/>
  <c r="AL50" i="59"/>
  <c r="BE13" i="8"/>
  <c r="AM49" i="59"/>
  <c r="AP82" i="8"/>
  <c r="AP50" i="8"/>
  <c r="AP51" i="8" s="1"/>
  <c r="AP14" i="36"/>
  <c r="AS40" i="59" s="1"/>
  <c r="AP49" i="8"/>
  <c r="AM50" i="59"/>
  <c r="AP83" i="8"/>
  <c r="Y82" i="7"/>
  <c r="Y83" i="7" s="1"/>
  <c r="AB35" i="59" s="1"/>
  <c r="Z189" i="6"/>
  <c r="AB189" i="6" s="1"/>
  <c r="Z163" i="6"/>
  <c r="AB163" i="6" s="1"/>
  <c r="AX47" i="8" l="1"/>
  <c r="AX43" i="8"/>
  <c r="AX39" i="8"/>
  <c r="AX46" i="8"/>
  <c r="BA46" i="59" s="1"/>
  <c r="AX45" i="8"/>
  <c r="AX40" i="8"/>
  <c r="AX44" i="8"/>
  <c r="BA47" i="59" s="1"/>
  <c r="AX91" i="8"/>
  <c r="AX41" i="8"/>
  <c r="AW46" i="8"/>
  <c r="AZ46" i="59" s="1"/>
  <c r="BE16" i="8"/>
  <c r="BG13" i="8"/>
  <c r="AO2" i="17"/>
  <c r="AO2" i="26"/>
  <c r="AW48" i="59"/>
  <c r="BE6" i="8"/>
  <c r="AZ51" i="59"/>
  <c r="AT42" i="8"/>
  <c r="BF6" i="8"/>
  <c r="BA51" i="59"/>
  <c r="BA45" i="59"/>
  <c r="AS83" i="8"/>
  <c r="AW83" i="8" s="1"/>
  <c r="AR50" i="59"/>
  <c r="AS82" i="8"/>
  <c r="AW82" i="8" s="1"/>
  <c r="AR49" i="59"/>
  <c r="AS50" i="59"/>
  <c r="AT83" i="8"/>
  <c r="AX83" i="8" s="1"/>
  <c r="AT50" i="8"/>
  <c r="AT51" i="8" s="1"/>
  <c r="AT14" i="36"/>
  <c r="AW40" i="59" s="1"/>
  <c r="AT49" i="8"/>
  <c r="AS49" i="59"/>
  <c r="AT82" i="8"/>
  <c r="AX82" i="8" s="1"/>
  <c r="Y71" i="7"/>
  <c r="Y73" i="7" s="1"/>
  <c r="Y68" i="7"/>
  <c r="Y69" i="7" s="1"/>
  <c r="AB30" i="59"/>
  <c r="AB31" i="59"/>
  <c r="AX42" i="8" l="1"/>
  <c r="BF89" i="8"/>
  <c r="BH6" i="8"/>
  <c r="BF39" i="8"/>
  <c r="BG6" i="8"/>
  <c r="AS2" i="26"/>
  <c r="AS2" i="17"/>
  <c r="AX50" i="8"/>
  <c r="AX51" i="8" s="1"/>
  <c r="AX49" i="8"/>
  <c r="BA48" i="59"/>
  <c r="BE89" i="8"/>
  <c r="BF41" i="8"/>
  <c r="BF91" i="8"/>
  <c r="BF45" i="8"/>
  <c r="BF40" i="8"/>
  <c r="BF85" i="8"/>
  <c r="BF46" i="8"/>
  <c r="BF47" i="8"/>
  <c r="BF43" i="8"/>
  <c r="BF44" i="8"/>
  <c r="BF81" i="8"/>
  <c r="BI51" i="59" s="1"/>
  <c r="BE91" i="8"/>
  <c r="BE46" i="8"/>
  <c r="BH46" i="59" s="1"/>
  <c r="BE81" i="8"/>
  <c r="BH51" i="59" s="1"/>
  <c r="AZ49" i="59"/>
  <c r="AV49" i="59"/>
  <c r="AZ50" i="59"/>
  <c r="AV50" i="59"/>
  <c r="AX14" i="36"/>
  <c r="BA40" i="59" s="1"/>
  <c r="AW49" i="59"/>
  <c r="BA49" i="59"/>
  <c r="AW50" i="59"/>
  <c r="BA50" i="59"/>
  <c r="Y78" i="7"/>
  <c r="BI47" i="59" l="1"/>
  <c r="BF136" i="8"/>
  <c r="BF143" i="8" s="1"/>
  <c r="BI45" i="59"/>
  <c r="BF135" i="8"/>
  <c r="BI46" i="59"/>
  <c r="BF137" i="8"/>
  <c r="BF144" i="8" s="1"/>
  <c r="AW2" i="26"/>
  <c r="AW2" i="17"/>
  <c r="BF14" i="36"/>
  <c r="BF42" i="8"/>
  <c r="BI48" i="59"/>
  <c r="BE83" i="8"/>
  <c r="BH50" i="59" s="1"/>
  <c r="BE82" i="8"/>
  <c r="BH49" i="59" s="1"/>
  <c r="BF82" i="8"/>
  <c r="BI49" i="59" s="1"/>
  <c r="BF83" i="8"/>
  <c r="BI50" i="59" s="1"/>
  <c r="BF50" i="8"/>
  <c r="BF49" i="8"/>
  <c r="AB6" i="59"/>
  <c r="Y34" i="36"/>
  <c r="BF138" i="8" l="1"/>
  <c r="BF145" i="8" s="1"/>
  <c r="BF142" i="8"/>
  <c r="BL49" i="8"/>
  <c r="BF51" i="8"/>
  <c r="BI40" i="59"/>
  <c r="BE2" i="26"/>
  <c r="BE2" i="17"/>
  <c r="Z34" i="36"/>
  <c r="Z41" i="36" s="1"/>
  <c r="Y35" i="36"/>
  <c r="Y36" i="36"/>
  <c r="Y38" i="36" s="1"/>
  <c r="Z5" i="6"/>
  <c r="Z98" i="6" s="1"/>
  <c r="Z6" i="6"/>
  <c r="Z16" i="6" s="1"/>
  <c r="Z18" i="6"/>
  <c r="Z104" i="6" l="1"/>
  <c r="Z106" i="6" s="1"/>
  <c r="Z143" i="6" s="1"/>
  <c r="Z80" i="6"/>
  <c r="Z83" i="6"/>
  <c r="Y30" i="36"/>
  <c r="AB79" i="59" s="1"/>
  <c r="AB18" i="6"/>
  <c r="Z35" i="36"/>
  <c r="Z36" i="36"/>
  <c r="Z38" i="36" s="1"/>
  <c r="Z7" i="6"/>
  <c r="Z15" i="6"/>
  <c r="Z185" i="6"/>
  <c r="Z190" i="6"/>
  <c r="Z191" i="6"/>
  <c r="Z17" i="6"/>
  <c r="Z146" i="6" l="1"/>
  <c r="Z144" i="6"/>
  <c r="AC15" i="59" s="1"/>
  <c r="Z79" i="6"/>
  <c r="Z82" i="6"/>
  <c r="Z85" i="6"/>
  <c r="AB83" i="6"/>
  <c r="AB80" i="6"/>
  <c r="AF18" i="6"/>
  <c r="Z30" i="36"/>
  <c r="AC79" i="59" s="1"/>
  <c r="AB17" i="6"/>
  <c r="Z165" i="6"/>
  <c r="Z19" i="6"/>
  <c r="BB81" i="6" s="1"/>
  <c r="BD81" i="6" s="1"/>
  <c r="Z164" i="6"/>
  <c r="Z145" i="6" l="1"/>
  <c r="Z7" i="36" s="1"/>
  <c r="AB165" i="6"/>
  <c r="AJ18" i="6"/>
  <c r="AP18" i="6" s="1"/>
  <c r="AT18" i="6" s="1"/>
  <c r="AX18" i="6" s="1"/>
  <c r="AF83" i="6"/>
  <c r="AJ83" i="6" s="1"/>
  <c r="AF80" i="6"/>
  <c r="AB85" i="6"/>
  <c r="Z81" i="6"/>
  <c r="Z84" i="6"/>
  <c r="AB82" i="6"/>
  <c r="AB79" i="6"/>
  <c r="AT190" i="6"/>
  <c r="AT185" i="6"/>
  <c r="AJ185" i="6"/>
  <c r="AJ190" i="6"/>
  <c r="AF17" i="6"/>
  <c r="AF190" i="6"/>
  <c r="AF185" i="6"/>
  <c r="Z39" i="6"/>
  <c r="Z40" i="6"/>
  <c r="Z38" i="6"/>
  <c r="AP190" i="6" l="1"/>
  <c r="AP185" i="6"/>
  <c r="AJ80" i="6"/>
  <c r="AJ17" i="6"/>
  <c r="AP17" i="6" s="1"/>
  <c r="AT17" i="6" s="1"/>
  <c r="AX17" i="6" s="1"/>
  <c r="AF82" i="6"/>
  <c r="AF79" i="6"/>
  <c r="AX190" i="6"/>
  <c r="AX185" i="6"/>
  <c r="BF18" i="6"/>
  <c r="BH18" i="6" s="1"/>
  <c r="AF160" i="6"/>
  <c r="AF164" i="6"/>
  <c r="AF19" i="6"/>
  <c r="AJ19" i="6" l="1"/>
  <c r="AJ82" i="6"/>
  <c r="AJ164" i="6"/>
  <c r="AJ160" i="6"/>
  <c r="AP160" i="6"/>
  <c r="AP19" i="6"/>
  <c r="AP38" i="6" s="1"/>
  <c r="AP164" i="6"/>
  <c r="AT160" i="6"/>
  <c r="AT164" i="6"/>
  <c r="AJ79" i="6"/>
  <c r="AT19" i="6"/>
  <c r="AT39" i="6" s="1"/>
  <c r="AX19" i="6"/>
  <c r="AX164" i="6"/>
  <c r="AX160" i="6"/>
  <c r="BF185" i="6"/>
  <c r="BF190" i="6"/>
  <c r="BF17" i="6"/>
  <c r="BH17" i="6" s="1"/>
  <c r="AP40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T38" i="6" l="1"/>
  <c r="AT40" i="6"/>
  <c r="AJ181" i="10"/>
  <c r="AP181" i="10" s="1"/>
  <c r="AT181" i="10" s="1"/>
  <c r="AX181" i="10" s="1"/>
  <c r="BF164" i="6"/>
  <c r="BF19" i="6"/>
  <c r="BH19" i="6" s="1"/>
  <c r="BF160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BF181" i="10" l="1"/>
  <c r="BI181" i="10" s="1"/>
  <c r="BF40" i="6"/>
  <c r="BF39" i="6"/>
  <c r="BF38" i="6"/>
  <c r="AJ82" i="11"/>
  <c r="AP82" i="11" s="1"/>
  <c r="AT82" i="11" s="1"/>
  <c r="AX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BF82" i="11"/>
  <c r="AJ90" i="11"/>
  <c r="V90" i="11"/>
  <c r="AF182" i="10"/>
  <c r="AF189" i="10" s="1"/>
  <c r="AP185" i="10"/>
  <c r="AT185" i="10" s="1"/>
  <c r="AX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90" i="10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P182" i="10"/>
  <c r="AT182" i="10" s="1"/>
  <c r="Q52" i="38"/>
  <c r="AX182" i="10" l="1"/>
  <c r="AX81" i="11"/>
  <c r="AX189" i="10"/>
  <c r="BF86" i="11"/>
  <c r="BF91" i="11" s="1"/>
  <c r="AT83" i="11"/>
  <c r="AX83" i="11" s="1"/>
  <c r="AT189" i="10"/>
  <c r="BF185" i="10"/>
  <c r="BI185" i="10" s="1"/>
  <c r="AP189" i="10"/>
  <c r="J93" i="11"/>
  <c r="BF190" i="10" l="1"/>
  <c r="BI190" i="10" s="1"/>
  <c r="AX90" i="11"/>
  <c r="AT90" i="11"/>
  <c r="BF81" i="11"/>
  <c r="BF83" i="11" s="1"/>
  <c r="BF90" i="11" s="1"/>
  <c r="BF180" i="10"/>
  <c r="BI180" i="10" s="1"/>
  <c r="J85" i="11"/>
  <c r="BF182" i="10" l="1"/>
  <c r="BI182" i="10" s="1"/>
  <c r="BF189" i="10"/>
  <c r="BI189" i="10" s="1"/>
  <c r="M165" i="10"/>
  <c r="M166" i="10" s="1"/>
  <c r="R93" i="11"/>
  <c r="R85" i="11"/>
  <c r="J192" i="10"/>
  <c r="J184" i="10" l="1"/>
  <c r="Y165" i="10" l="1"/>
  <c r="Y166" i="10" s="1"/>
  <c r="E49" i="8" l="1"/>
  <c r="E50" i="8" s="1"/>
  <c r="E51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6" i="59" s="1"/>
  <c r="AB60" i="36"/>
  <c r="AI53" i="59" l="1"/>
  <c r="AI54" i="59"/>
  <c r="BF64" i="36" l="1"/>
  <c r="BF72" i="36" s="1"/>
  <c r="AJ17" i="36"/>
  <c r="AM54" i="59" s="1"/>
  <c r="AJ16" i="36"/>
  <c r="AI55" i="59"/>
  <c r="BF61" i="36" l="1"/>
  <c r="AJ18" i="36"/>
  <c r="AM55" i="59" s="1"/>
  <c r="AM53" i="59"/>
  <c r="BD68" i="36"/>
  <c r="BD19" i="36" s="1"/>
  <c r="BD60" i="36"/>
  <c r="BD18" i="36"/>
  <c r="BG55" i="59" l="1"/>
  <c r="BG56" i="59"/>
  <c r="BF63" i="36"/>
  <c r="BF69" i="36"/>
  <c r="BF71" i="36" s="1"/>
  <c r="BF56" i="36"/>
  <c r="BF16" i="36" s="1"/>
  <c r="BI53" i="59" l="1"/>
  <c r="BF58" i="36"/>
  <c r="BF66" i="36" s="1"/>
  <c r="BF57" i="36"/>
  <c r="BF17" i="36" s="1"/>
  <c r="BI54" i="59" l="1"/>
  <c r="BF60" i="36"/>
  <c r="J111" i="9"/>
  <c r="E28" i="8" l="1"/>
  <c r="E29" i="8"/>
  <c r="E31" i="8"/>
  <c r="E27" i="8"/>
  <c r="M29" i="8" l="1"/>
  <c r="AA29" i="8" s="1"/>
  <c r="AE29" i="8" s="1"/>
  <c r="AI29" i="8" s="1"/>
  <c r="AI45" i="8" s="1"/>
  <c r="AE45" i="8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l="1"/>
  <c r="E110" i="8"/>
  <c r="E111" i="8" s="1"/>
  <c r="AO29" i="8"/>
  <c r="AE47" i="8"/>
  <c r="AA27" i="8"/>
  <c r="AE27" i="8" s="1"/>
  <c r="M108" i="8"/>
  <c r="M109" i="8" s="1"/>
  <c r="AA28" i="8"/>
  <c r="AE28" i="8" s="1"/>
  <c r="AE148" i="8" s="1"/>
  <c r="Q31" i="8"/>
  <c r="U31" i="8" s="1"/>
  <c r="U47" i="8" s="1"/>
  <c r="Q69" i="8"/>
  <c r="U69" i="8" s="1"/>
  <c r="AA69" i="8"/>
  <c r="AE69" i="8" s="1"/>
  <c r="Q28" i="8"/>
  <c r="Q45" i="8"/>
  <c r="Q37" i="8"/>
  <c r="U37" i="8" s="1"/>
  <c r="Q27" i="8"/>
  <c r="U27" i="8" s="1"/>
  <c r="E63" i="8"/>
  <c r="M59" i="8"/>
  <c r="U28" i="8" l="1"/>
  <c r="U148" i="8" s="1"/>
  <c r="Q148" i="8"/>
  <c r="M63" i="8"/>
  <c r="Q63" i="8" s="1"/>
  <c r="U63" i="8" s="1"/>
  <c r="AI28" i="8"/>
  <c r="AI148" i="8" s="1"/>
  <c r="AI69" i="8"/>
  <c r="AI27" i="8"/>
  <c r="U44" i="8"/>
  <c r="U74" i="8"/>
  <c r="U43" i="8"/>
  <c r="U108" i="8"/>
  <c r="U110" i="8" s="1"/>
  <c r="AO45" i="8"/>
  <c r="AS29" i="8"/>
  <c r="AW29" i="8" s="1"/>
  <c r="AW45" i="8" s="1"/>
  <c r="AO31" i="8"/>
  <c r="M110" i="8"/>
  <c r="M111" i="8" s="1"/>
  <c r="M53" i="8" s="1"/>
  <c r="P42" i="59" s="1"/>
  <c r="P43" i="59" s="1"/>
  <c r="AE44" i="8"/>
  <c r="AH47" i="59" s="1"/>
  <c r="AE74" i="8"/>
  <c r="AE43" i="8"/>
  <c r="AH45" i="59" s="1"/>
  <c r="AE108" i="8"/>
  <c r="AE110" i="8" s="1"/>
  <c r="Q74" i="8"/>
  <c r="Q47" i="8"/>
  <c r="Q44" i="8"/>
  <c r="T47" i="59" s="1"/>
  <c r="Q59" i="8"/>
  <c r="U59" i="8" s="1"/>
  <c r="AA59" i="8"/>
  <c r="AE59" i="8" s="1"/>
  <c r="Q43" i="8"/>
  <c r="T45" i="59" s="1"/>
  <c r="Q108" i="8"/>
  <c r="Q109" i="8" s="1"/>
  <c r="M82" i="7"/>
  <c r="AA82" i="7" s="1"/>
  <c r="AE82" i="7" s="1"/>
  <c r="AI82" i="7" s="1"/>
  <c r="M3" i="38"/>
  <c r="M59" i="38" s="1"/>
  <c r="N7" i="38"/>
  <c r="V7" i="38" s="1"/>
  <c r="Z7" i="38" s="1"/>
  <c r="N8" i="38"/>
  <c r="V8" i="38" s="1"/>
  <c r="Z8" i="38" s="1"/>
  <c r="N9" i="38"/>
  <c r="V9" i="38" s="1"/>
  <c r="Z9" i="38" s="1"/>
  <c r="N10" i="38"/>
  <c r="N13" i="38"/>
  <c r="V13" i="38" s="1"/>
  <c r="Z13" i="38" s="1"/>
  <c r="N14" i="38"/>
  <c r="V14" i="38" s="1"/>
  <c r="Z14" i="38" s="1"/>
  <c r="N19" i="38"/>
  <c r="N20" i="38"/>
  <c r="V20" i="38" s="1"/>
  <c r="Z20" i="38" s="1"/>
  <c r="N21" i="38"/>
  <c r="V21" i="38" s="1"/>
  <c r="Z21" i="38" s="1"/>
  <c r="N22" i="38"/>
  <c r="N23" i="38"/>
  <c r="V23" i="38" s="1"/>
  <c r="Z23" i="38" s="1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5" i="38"/>
  <c r="N36" i="38"/>
  <c r="V36" i="38" s="1"/>
  <c r="Z36" i="38" s="1"/>
  <c r="N37" i="38"/>
  <c r="V37" i="38" s="1"/>
  <c r="Z37" i="38" s="1"/>
  <c r="N38" i="38"/>
  <c r="V38" i="38" s="1"/>
  <c r="Z38" i="38" s="1"/>
  <c r="N41" i="38"/>
  <c r="V41" i="38" s="1"/>
  <c r="Z41" i="38" s="1"/>
  <c r="N43" i="38"/>
  <c r="V43" i="38" s="1"/>
  <c r="Z43" i="38" s="1"/>
  <c r="N44" i="38"/>
  <c r="V44" i="38" s="1"/>
  <c r="Z44" i="38" s="1"/>
  <c r="N45" i="38"/>
  <c r="V45" i="38" s="1"/>
  <c r="Z45" i="38" s="1"/>
  <c r="N46" i="38"/>
  <c r="V46" i="38" s="1"/>
  <c r="Z46" i="38" s="1"/>
  <c r="AA63" i="8" l="1"/>
  <c r="AE63" i="8" s="1"/>
  <c r="U109" i="8"/>
  <c r="AI74" i="8"/>
  <c r="AI108" i="8"/>
  <c r="AI109" i="8" s="1"/>
  <c r="AI43" i="8"/>
  <c r="AL45" i="59" s="1"/>
  <c r="AO27" i="8"/>
  <c r="AO69" i="8"/>
  <c r="AI59" i="8"/>
  <c r="AI63" i="8"/>
  <c r="AO63" i="8" s="1"/>
  <c r="AS63" i="8" s="1"/>
  <c r="AI44" i="8"/>
  <c r="AL47" i="59" s="1"/>
  <c r="AO28" i="8"/>
  <c r="AO148" i="8" s="1"/>
  <c r="U111" i="8"/>
  <c r="U53" i="8" s="1"/>
  <c r="U71" i="8"/>
  <c r="AH48" i="59"/>
  <c r="T48" i="59"/>
  <c r="V10" i="38"/>
  <c r="Z10" i="38" s="1"/>
  <c r="AS45" i="8"/>
  <c r="AE109" i="8"/>
  <c r="AE111" i="8" s="1"/>
  <c r="AE53" i="8" s="1"/>
  <c r="AH42" i="59" s="1"/>
  <c r="AH43" i="59" s="1"/>
  <c r="AO47" i="8"/>
  <c r="AS31" i="8"/>
  <c r="AW31" i="8" s="1"/>
  <c r="AW47" i="8" s="1"/>
  <c r="AE71" i="8"/>
  <c r="AD91" i="38"/>
  <c r="AD78" i="38"/>
  <c r="AD92" i="38"/>
  <c r="AD85" i="38"/>
  <c r="AD79" i="38"/>
  <c r="AD75" i="38"/>
  <c r="AD71" i="38"/>
  <c r="AD57" i="38"/>
  <c r="AD74" i="38"/>
  <c r="AD56" i="38"/>
  <c r="AD94" i="38"/>
  <c r="AD89" i="38"/>
  <c r="AD77" i="38"/>
  <c r="AD73" i="38"/>
  <c r="AD69" i="38"/>
  <c r="AD61" i="38"/>
  <c r="AD55" i="38"/>
  <c r="AD84" i="38"/>
  <c r="AD62" i="38"/>
  <c r="AD93" i="38"/>
  <c r="AD86" i="38"/>
  <c r="AD80" i="38"/>
  <c r="AD76" i="38"/>
  <c r="AD72" i="38"/>
  <c r="AD68" i="38"/>
  <c r="Q110" i="8"/>
  <c r="Q111" i="8" s="1"/>
  <c r="Q53" i="8" s="1"/>
  <c r="T42" i="59" s="1"/>
  <c r="T43" i="59" s="1"/>
  <c r="Q71" i="8"/>
  <c r="X45" i="59"/>
  <c r="X47" i="59"/>
  <c r="M83" i="7"/>
  <c r="Q82" i="7"/>
  <c r="U82" i="7" s="1"/>
  <c r="U83" i="7" s="1"/>
  <c r="X35" i="59" s="1"/>
  <c r="M43" i="38"/>
  <c r="M91" i="38" s="1"/>
  <c r="V35" i="38"/>
  <c r="Z35" i="38" s="1"/>
  <c r="J163" i="6"/>
  <c r="V19" i="38"/>
  <c r="Z19" i="38" s="1"/>
  <c r="J189" i="6"/>
  <c r="V22" i="38"/>
  <c r="Z22" i="38" s="1"/>
  <c r="J90" i="8"/>
  <c r="M36" i="38"/>
  <c r="M84" i="38" s="1"/>
  <c r="M25" i="38"/>
  <c r="M29" i="38"/>
  <c r="M77" i="38" s="1"/>
  <c r="Q3" i="38"/>
  <c r="Q59" i="38" s="1"/>
  <c r="M51" i="38"/>
  <c r="J139" i="45"/>
  <c r="M44" i="38"/>
  <c r="M92" i="38" s="1"/>
  <c r="M45" i="38"/>
  <c r="M93" i="38" s="1"/>
  <c r="M20" i="38"/>
  <c r="M68" i="38" s="1"/>
  <c r="M24" i="38"/>
  <c r="M28" i="38"/>
  <c r="M76" i="38" s="1"/>
  <c r="M14" i="38"/>
  <c r="M62" i="38" s="1"/>
  <c r="J172" i="10"/>
  <c r="J173" i="10" s="1"/>
  <c r="M22" i="38"/>
  <c r="I90" i="8" s="1"/>
  <c r="E90" i="8"/>
  <c r="M26" i="38"/>
  <c r="M32" i="38"/>
  <c r="M35" i="38"/>
  <c r="I163" i="6" s="1"/>
  <c r="M23" i="38"/>
  <c r="M38" i="38"/>
  <c r="M31" i="38"/>
  <c r="M30" i="38"/>
  <c r="M46" i="38"/>
  <c r="M27" i="38"/>
  <c r="M21" i="38"/>
  <c r="M19" i="38"/>
  <c r="I189" i="6" s="1"/>
  <c r="M13" i="38"/>
  <c r="M41" i="38"/>
  <c r="M37" i="38"/>
  <c r="M40" i="38"/>
  <c r="N3" i="38"/>
  <c r="N58" i="38" s="1"/>
  <c r="E50" i="38"/>
  <c r="D50" i="38"/>
  <c r="M90" i="8" l="1"/>
  <c r="AA90" i="8" s="1"/>
  <c r="BG90" i="8"/>
  <c r="AL48" i="59"/>
  <c r="AI110" i="8"/>
  <c r="AI111" i="8" s="1"/>
  <c r="AI53" i="8" s="1"/>
  <c r="AL42" i="59" s="1"/>
  <c r="AL43" i="59" s="1"/>
  <c r="AW63" i="8"/>
  <c r="AI71" i="8"/>
  <c r="AO44" i="8"/>
  <c r="AR47" i="59" s="1"/>
  <c r="AS28" i="8"/>
  <c r="AO59" i="8"/>
  <c r="AO74" i="8"/>
  <c r="AS69" i="8"/>
  <c r="AW69" i="8" s="1"/>
  <c r="AS27" i="8"/>
  <c r="AW27" i="8" s="1"/>
  <c r="AO43" i="8"/>
  <c r="AR45" i="59" s="1"/>
  <c r="AO108" i="8"/>
  <c r="X48" i="59"/>
  <c r="N51" i="38"/>
  <c r="N59" i="38"/>
  <c r="BE29" i="8"/>
  <c r="AS47" i="8"/>
  <c r="AO82" i="7"/>
  <c r="V189" i="6"/>
  <c r="V190" i="6" s="1"/>
  <c r="AD67" i="38"/>
  <c r="V90" i="8"/>
  <c r="V91" i="8" s="1"/>
  <c r="V163" i="6"/>
  <c r="V164" i="6" s="1"/>
  <c r="AD83" i="38"/>
  <c r="X42" i="59"/>
  <c r="X43" i="59" s="1"/>
  <c r="R163" i="6"/>
  <c r="R164" i="6" s="1"/>
  <c r="R189" i="6"/>
  <c r="R190" i="6" s="1"/>
  <c r="R90" i="8"/>
  <c r="R91" i="8" s="1"/>
  <c r="Q83" i="7"/>
  <c r="Q91" i="38"/>
  <c r="U45" i="38"/>
  <c r="Y45" i="38" s="1"/>
  <c r="U36" i="38"/>
  <c r="Y36" i="38" s="1"/>
  <c r="M73" i="38"/>
  <c r="Q92" i="38"/>
  <c r="Q68" i="38"/>
  <c r="M34" i="38"/>
  <c r="M82" i="38" s="1"/>
  <c r="N79" i="38"/>
  <c r="N67" i="38"/>
  <c r="N55" i="38"/>
  <c r="N68" i="38"/>
  <c r="N80" i="38"/>
  <c r="N56" i="38"/>
  <c r="N71" i="38"/>
  <c r="N86" i="38"/>
  <c r="N61" i="38"/>
  <c r="N72" i="38"/>
  <c r="N91" i="38"/>
  <c r="N76" i="38"/>
  <c r="N89" i="38"/>
  <c r="Q77" i="38"/>
  <c r="E52" i="38"/>
  <c r="E61" i="38"/>
  <c r="E64" i="38"/>
  <c r="E68" i="38"/>
  <c r="E72" i="38"/>
  <c r="N75" i="38"/>
  <c r="N85" i="38"/>
  <c r="N94" i="38"/>
  <c r="Q51" i="38"/>
  <c r="U3" i="38"/>
  <c r="AB139" i="45"/>
  <c r="E80" i="38"/>
  <c r="M72" i="38"/>
  <c r="Q62" i="38"/>
  <c r="E51" i="38"/>
  <c r="E54" i="38"/>
  <c r="E55" i="38"/>
  <c r="E56" i="38"/>
  <c r="E60" i="38"/>
  <c r="U28" i="38"/>
  <c r="Y28" i="38" s="1"/>
  <c r="U43" i="38"/>
  <c r="Y43" i="38" s="1"/>
  <c r="U44" i="38"/>
  <c r="Y44" i="38" s="1"/>
  <c r="Q72" i="38"/>
  <c r="U24" i="38"/>
  <c r="Y24" i="38" s="1"/>
  <c r="Q73" i="38"/>
  <c r="U25" i="38"/>
  <c r="Y25" i="38" s="1"/>
  <c r="M75" i="38"/>
  <c r="M74" i="38"/>
  <c r="M88" i="38"/>
  <c r="M85" i="38"/>
  <c r="M94" i="38"/>
  <c r="M78" i="38"/>
  <c r="M80" i="38"/>
  <c r="N12" i="38"/>
  <c r="M89" i="38"/>
  <c r="M61" i="38"/>
  <c r="M67" i="38"/>
  <c r="M189" i="6"/>
  <c r="M12" i="38"/>
  <c r="M79" i="38"/>
  <c r="M86" i="38"/>
  <c r="M71" i="38"/>
  <c r="M70" i="38"/>
  <c r="N93" i="38"/>
  <c r="R3" i="38"/>
  <c r="M69" i="38"/>
  <c r="M83" i="38"/>
  <c r="M163" i="6"/>
  <c r="N40" i="38"/>
  <c r="N18" i="38"/>
  <c r="V18" i="38" s="1"/>
  <c r="Z18" i="38" s="1"/>
  <c r="M42" i="38"/>
  <c r="M18" i="38"/>
  <c r="M39" i="38"/>
  <c r="D83" i="38"/>
  <c r="D54" i="38"/>
  <c r="D55" i="38"/>
  <c r="D56" i="38"/>
  <c r="D40" i="38"/>
  <c r="D81" i="38" s="1"/>
  <c r="D62" i="38"/>
  <c r="E63" i="38"/>
  <c r="D66" i="38"/>
  <c r="E67" i="38"/>
  <c r="D70" i="38"/>
  <c r="E71" i="38"/>
  <c r="D74" i="38"/>
  <c r="D77" i="38"/>
  <c r="D78" i="38"/>
  <c r="D79" i="38"/>
  <c r="E83" i="38"/>
  <c r="D63" i="38"/>
  <c r="D71" i="38"/>
  <c r="D53" i="38"/>
  <c r="E62" i="38"/>
  <c r="D65" i="38"/>
  <c r="E66" i="38"/>
  <c r="D69" i="38"/>
  <c r="E70" i="38"/>
  <c r="D73" i="38"/>
  <c r="E74" i="38"/>
  <c r="D75" i="38"/>
  <c r="D76" i="38"/>
  <c r="E77" i="38"/>
  <c r="E78" i="38"/>
  <c r="E79" i="38"/>
  <c r="D67" i="38"/>
  <c r="D52" i="38"/>
  <c r="E53" i="38"/>
  <c r="D61" i="38"/>
  <c r="D64" i="38"/>
  <c r="E65" i="38"/>
  <c r="D68" i="38"/>
  <c r="E69" i="38"/>
  <c r="D72" i="38"/>
  <c r="E73" i="38"/>
  <c r="E75" i="38"/>
  <c r="E76" i="38"/>
  <c r="D80" i="38"/>
  <c r="N57" i="38"/>
  <c r="N62" i="38"/>
  <c r="N69" i="38"/>
  <c r="N73" i="38"/>
  <c r="N77" i="38"/>
  <c r="N83" i="38"/>
  <c r="N92" i="38"/>
  <c r="N70" i="38"/>
  <c r="N74" i="38"/>
  <c r="N78" i="38"/>
  <c r="N84" i="38"/>
  <c r="D10" i="38"/>
  <c r="N6" i="38"/>
  <c r="E10" i="38"/>
  <c r="E14" i="38"/>
  <c r="E57" i="38" s="1"/>
  <c r="N34" i="38"/>
  <c r="V34" i="38" s="1"/>
  <c r="Z34" i="38" s="1"/>
  <c r="E40" i="38"/>
  <c r="E81" i="38" s="1"/>
  <c r="D14" i="38"/>
  <c r="D57" i="38" s="1"/>
  <c r="D51" i="38"/>
  <c r="D60" i="38"/>
  <c r="AW28" i="8" l="1"/>
  <c r="AS148" i="8"/>
  <c r="BE45" i="8"/>
  <c r="BG29" i="8"/>
  <c r="AR48" i="59"/>
  <c r="AF139" i="45"/>
  <c r="AB140" i="45"/>
  <c r="AW74" i="8"/>
  <c r="U59" i="38"/>
  <c r="Y3" i="38"/>
  <c r="Y76" i="38" s="1"/>
  <c r="AW43" i="8"/>
  <c r="AW108" i="8"/>
  <c r="AW110" i="8" s="1"/>
  <c r="BE63" i="8"/>
  <c r="BG63" i="8" s="1"/>
  <c r="AS43" i="8"/>
  <c r="AV45" i="59" s="1"/>
  <c r="AS108" i="8"/>
  <c r="AS74" i="8"/>
  <c r="AS59" i="8"/>
  <c r="AW59" i="8" s="1"/>
  <c r="AW71" i="8" s="1"/>
  <c r="AO71" i="8"/>
  <c r="AO110" i="8"/>
  <c r="AO109" i="8"/>
  <c r="AS44" i="8"/>
  <c r="AV47" i="59" s="1"/>
  <c r="R59" i="38"/>
  <c r="R58" i="38"/>
  <c r="BE31" i="8"/>
  <c r="AS82" i="7"/>
  <c r="AW82" i="7" s="1"/>
  <c r="AD82" i="38"/>
  <c r="AC73" i="38"/>
  <c r="AC92" i="38"/>
  <c r="AC76" i="38"/>
  <c r="AC93" i="38"/>
  <c r="AD70" i="38"/>
  <c r="Z91" i="8"/>
  <c r="AD66" i="38"/>
  <c r="AC72" i="38"/>
  <c r="AC57" i="38"/>
  <c r="AC91" i="38"/>
  <c r="AC84" i="38"/>
  <c r="Q93" i="38"/>
  <c r="Q84" i="38"/>
  <c r="U20" i="38"/>
  <c r="Y20" i="38" s="1"/>
  <c r="N88" i="38"/>
  <c r="R172" i="10"/>
  <c r="F26" i="36"/>
  <c r="U29" i="38"/>
  <c r="Y29" i="38" s="1"/>
  <c r="Q76" i="38"/>
  <c r="U14" i="38"/>
  <c r="Y14" i="38" s="1"/>
  <c r="R54" i="38"/>
  <c r="V6" i="38"/>
  <c r="Z6" i="38" s="1"/>
  <c r="R51" i="38"/>
  <c r="V3" i="38"/>
  <c r="Z3" i="38" s="1"/>
  <c r="Z82" i="38" s="1"/>
  <c r="R139" i="45"/>
  <c r="V139" i="45" s="1"/>
  <c r="V140" i="45" s="1"/>
  <c r="N42" i="38"/>
  <c r="U51" i="38"/>
  <c r="Q74" i="38"/>
  <c r="U26" i="38"/>
  <c r="Y26" i="38" s="1"/>
  <c r="U84" i="38"/>
  <c r="U76" i="38"/>
  <c r="U72" i="38"/>
  <c r="N66" i="38"/>
  <c r="Q67" i="38"/>
  <c r="U19" i="38"/>
  <c r="Y19" i="38" s="1"/>
  <c r="Q89" i="38"/>
  <c r="U41" i="38"/>
  <c r="Y41" i="38" s="1"/>
  <c r="Q80" i="38"/>
  <c r="U32" i="38"/>
  <c r="Y32" i="38" s="1"/>
  <c r="Q94" i="38"/>
  <c r="U46" i="38"/>
  <c r="Y46" i="38" s="1"/>
  <c r="Q85" i="38"/>
  <c r="U37" i="38"/>
  <c r="Y37" i="38" s="1"/>
  <c r="Q88" i="38"/>
  <c r="U40" i="38"/>
  <c r="Y40" i="38" s="1"/>
  <c r="U93" i="38"/>
  <c r="Q61" i="38"/>
  <c r="U13" i="38"/>
  <c r="Y13" i="38" s="1"/>
  <c r="Q78" i="38"/>
  <c r="U30" i="38"/>
  <c r="Y30" i="38" s="1"/>
  <c r="Q75" i="38"/>
  <c r="U27" i="38"/>
  <c r="Y27" i="38" s="1"/>
  <c r="U91" i="38"/>
  <c r="Q83" i="38"/>
  <c r="U35" i="38"/>
  <c r="Y35" i="38" s="1"/>
  <c r="Q69" i="38"/>
  <c r="U21" i="38"/>
  <c r="Y21" i="38" s="1"/>
  <c r="Q70" i="38"/>
  <c r="U22" i="38"/>
  <c r="Y22" i="38" s="1"/>
  <c r="Q86" i="38"/>
  <c r="U38" i="38"/>
  <c r="Y38" i="38" s="1"/>
  <c r="U73" i="38"/>
  <c r="R88" i="38"/>
  <c r="V40" i="38"/>
  <c r="Z40" i="38" s="1"/>
  <c r="Q82" i="38"/>
  <c r="U34" i="38"/>
  <c r="Y34" i="38" s="1"/>
  <c r="Q71" i="38"/>
  <c r="U23" i="38"/>
  <c r="Y23" i="38" s="1"/>
  <c r="Q79" i="38"/>
  <c r="U31" i="38"/>
  <c r="Y31" i="38" s="1"/>
  <c r="U92" i="38"/>
  <c r="N60" i="38"/>
  <c r="M66" i="38"/>
  <c r="M60" i="38"/>
  <c r="M17" i="38"/>
  <c r="M90" i="38"/>
  <c r="R67" i="38"/>
  <c r="R86" i="38"/>
  <c r="R79" i="38"/>
  <c r="R78" i="38"/>
  <c r="R57" i="38"/>
  <c r="R80" i="38"/>
  <c r="R83" i="38"/>
  <c r="R61" i="38"/>
  <c r="R68" i="38"/>
  <c r="R75" i="38"/>
  <c r="R74" i="38"/>
  <c r="R72" i="38"/>
  <c r="R77" i="38"/>
  <c r="R56" i="38"/>
  <c r="R76" i="38"/>
  <c r="R85" i="38"/>
  <c r="R91" i="38"/>
  <c r="R70" i="38"/>
  <c r="R94" i="38"/>
  <c r="R73" i="38"/>
  <c r="R55" i="38"/>
  <c r="R92" i="38"/>
  <c r="R62" i="38"/>
  <c r="R93" i="38"/>
  <c r="R71" i="38"/>
  <c r="R84" i="38"/>
  <c r="R89" i="38"/>
  <c r="R69" i="38"/>
  <c r="M87" i="38"/>
  <c r="R82" i="38"/>
  <c r="R66" i="38"/>
  <c r="N82" i="38"/>
  <c r="N54" i="38"/>
  <c r="M16" i="38"/>
  <c r="N17" i="38"/>
  <c r="E15" i="38"/>
  <c r="E59" i="38" s="1"/>
  <c r="D15" i="38"/>
  <c r="D59" i="38" s="1"/>
  <c r="Y94" i="38" l="1"/>
  <c r="Y77" i="38"/>
  <c r="AW44" i="8"/>
  <c r="AZ47" i="59" s="1"/>
  <c r="AW148" i="8"/>
  <c r="BE47" i="8"/>
  <c r="BG31" i="8"/>
  <c r="Y74" i="38"/>
  <c r="Y78" i="38"/>
  <c r="Y75" i="38"/>
  <c r="Y86" i="38"/>
  <c r="Y89" i="38"/>
  <c r="Y61" i="38"/>
  <c r="Y80" i="38"/>
  <c r="AJ139" i="45"/>
  <c r="AJ140" i="45" s="1"/>
  <c r="AF140" i="45"/>
  <c r="V172" i="10"/>
  <c r="V173" i="10" s="1"/>
  <c r="R173" i="10"/>
  <c r="AW109" i="8"/>
  <c r="AW111" i="8" s="1"/>
  <c r="AW53" i="8" s="1"/>
  <c r="Z88" i="38"/>
  <c r="Y51" i="38"/>
  <c r="Y59" i="38"/>
  <c r="Y91" i="38"/>
  <c r="Y68" i="38"/>
  <c r="Y70" i="38"/>
  <c r="Y67" i="38"/>
  <c r="Z51" i="38"/>
  <c r="Z59" i="38"/>
  <c r="Z80" i="38"/>
  <c r="Z62" i="38"/>
  <c r="Z85" i="38"/>
  <c r="Z57" i="38"/>
  <c r="Z92" i="38"/>
  <c r="Z69" i="38"/>
  <c r="Z75" i="38"/>
  <c r="Z76" i="38"/>
  <c r="Z89" i="38"/>
  <c r="Z56" i="38"/>
  <c r="Z71" i="38"/>
  <c r="Z79" i="38"/>
  <c r="Z78" i="38"/>
  <c r="Z61" i="38"/>
  <c r="Z93" i="38"/>
  <c r="Z55" i="38"/>
  <c r="Z74" i="38"/>
  <c r="Z68" i="38"/>
  <c r="Z86" i="38"/>
  <c r="Z77" i="38"/>
  <c r="Z94" i="38"/>
  <c r="Z84" i="38"/>
  <c r="Z91" i="38"/>
  <c r="Z72" i="38"/>
  <c r="Z73" i="38"/>
  <c r="Z58" i="38"/>
  <c r="Z67" i="38"/>
  <c r="Z83" i="38"/>
  <c r="Z70" i="38"/>
  <c r="Y92" i="38"/>
  <c r="Y79" i="38"/>
  <c r="Y72" i="38"/>
  <c r="Y69" i="38"/>
  <c r="Y88" i="38"/>
  <c r="Z54" i="38"/>
  <c r="Y73" i="38"/>
  <c r="Y71" i="38"/>
  <c r="Z66" i="38"/>
  <c r="Y83" i="38"/>
  <c r="Y85" i="38"/>
  <c r="Y62" i="38"/>
  <c r="Y93" i="38"/>
  <c r="Y82" i="38"/>
  <c r="Y84" i="38"/>
  <c r="AV48" i="59"/>
  <c r="AO111" i="8"/>
  <c r="AO53" i="8" s="1"/>
  <c r="AR42" i="59" s="1"/>
  <c r="AR43" i="59" s="1"/>
  <c r="AS71" i="8"/>
  <c r="BE28" i="8"/>
  <c r="BG28" i="8" s="1"/>
  <c r="BG148" i="8" s="1"/>
  <c r="BE69" i="8"/>
  <c r="BG69" i="8" s="1"/>
  <c r="AS110" i="8"/>
  <c r="AS109" i="8"/>
  <c r="BE27" i="8"/>
  <c r="BG27" i="8" s="1"/>
  <c r="AZ45" i="59"/>
  <c r="V82" i="38"/>
  <c r="V59" i="38"/>
  <c r="V58" i="38"/>
  <c r="BE82" i="7"/>
  <c r="AC79" i="38"/>
  <c r="AC82" i="38"/>
  <c r="AC61" i="38"/>
  <c r="AC86" i="38"/>
  <c r="AC69" i="38"/>
  <c r="AC88" i="38"/>
  <c r="AC94" i="38"/>
  <c r="AC89" i="38"/>
  <c r="AC74" i="38"/>
  <c r="AC62" i="38"/>
  <c r="AC68" i="38"/>
  <c r="AC71" i="38"/>
  <c r="AD88" i="38"/>
  <c r="AC75" i="38"/>
  <c r="AC78" i="38"/>
  <c r="U163" i="6"/>
  <c r="U164" i="6" s="1"/>
  <c r="AC55" i="38"/>
  <c r="AC85" i="38"/>
  <c r="AC80" i="38"/>
  <c r="AC56" i="38"/>
  <c r="AC77" i="38"/>
  <c r="Q163" i="6"/>
  <c r="Q164" i="6" s="1"/>
  <c r="Q90" i="8"/>
  <c r="Q91" i="8" s="1"/>
  <c r="Q189" i="6"/>
  <c r="Q190" i="6" s="1"/>
  <c r="V66" i="38"/>
  <c r="U77" i="38"/>
  <c r="U68" i="38"/>
  <c r="V17" i="38"/>
  <c r="Z17" i="38" s="1"/>
  <c r="Z65" i="38" s="1"/>
  <c r="U62" i="38"/>
  <c r="N90" i="38"/>
  <c r="AE3" i="38"/>
  <c r="V51" i="38"/>
  <c r="V86" i="38"/>
  <c r="V79" i="38"/>
  <c r="V71" i="38"/>
  <c r="V57" i="38"/>
  <c r="V92" i="38"/>
  <c r="V91" i="38"/>
  <c r="V78" i="38"/>
  <c r="V70" i="38"/>
  <c r="V56" i="38"/>
  <c r="V80" i="38"/>
  <c r="V94" i="38"/>
  <c r="V83" i="38"/>
  <c r="V73" i="38"/>
  <c r="V61" i="38"/>
  <c r="V76" i="38"/>
  <c r="V85" i="38"/>
  <c r="V75" i="38"/>
  <c r="V67" i="38"/>
  <c r="V72" i="38"/>
  <c r="V84" i="38"/>
  <c r="V74" i="38"/>
  <c r="V62" i="38"/>
  <c r="V93" i="38"/>
  <c r="V68" i="38"/>
  <c r="V89" i="38"/>
  <c r="V77" i="38"/>
  <c r="V69" i="38"/>
  <c r="V55" i="38"/>
  <c r="V54" i="38"/>
  <c r="R60" i="38"/>
  <c r="V12" i="38"/>
  <c r="Z12" i="38" s="1"/>
  <c r="Z60" i="38" s="1"/>
  <c r="Q66" i="38"/>
  <c r="U18" i="38"/>
  <c r="Y18" i="38" s="1"/>
  <c r="Y66" i="38" s="1"/>
  <c r="U75" i="38"/>
  <c r="U78" i="38"/>
  <c r="U88" i="38"/>
  <c r="U94" i="38"/>
  <c r="U89" i="38"/>
  <c r="Q87" i="38"/>
  <c r="U39" i="38"/>
  <c r="Y39" i="38" s="1"/>
  <c r="Y87" i="38" s="1"/>
  <c r="Q90" i="38"/>
  <c r="U42" i="38"/>
  <c r="Y42" i="38" s="1"/>
  <c r="Y90" i="38" s="1"/>
  <c r="U74" i="38"/>
  <c r="U71" i="38"/>
  <c r="V88" i="38"/>
  <c r="U86" i="38"/>
  <c r="U69" i="38"/>
  <c r="R65" i="38"/>
  <c r="R90" i="38"/>
  <c r="V42" i="38"/>
  <c r="Z42" i="38" s="1"/>
  <c r="Z90" i="38" s="1"/>
  <c r="Q60" i="38"/>
  <c r="U12" i="38"/>
  <c r="Y12" i="38" s="1"/>
  <c r="Y60" i="38" s="1"/>
  <c r="U79" i="38"/>
  <c r="U82" i="38"/>
  <c r="U70" i="38"/>
  <c r="U83" i="38"/>
  <c r="U61" i="38"/>
  <c r="U85" i="38"/>
  <c r="U80" i="38"/>
  <c r="U67" i="38"/>
  <c r="M64" i="38"/>
  <c r="M65" i="38"/>
  <c r="N39" i="38"/>
  <c r="N65" i="38"/>
  <c r="N15" i="38"/>
  <c r="AP139" i="45" l="1"/>
  <c r="AP140" i="45" s="1"/>
  <c r="AS111" i="8"/>
  <c r="AS53" i="8" s="1"/>
  <c r="AV42" i="59" s="1"/>
  <c r="AV43" i="59" s="1"/>
  <c r="BE74" i="8"/>
  <c r="AZ48" i="59"/>
  <c r="BE43" i="8"/>
  <c r="BH45" i="59" s="1"/>
  <c r="BE108" i="8"/>
  <c r="BE109" i="8" s="1"/>
  <c r="BE44" i="8"/>
  <c r="BH47" i="59" s="1"/>
  <c r="BE59" i="8"/>
  <c r="V26" i="36"/>
  <c r="U90" i="8"/>
  <c r="U91" i="8" s="1"/>
  <c r="U189" i="6"/>
  <c r="U190" i="6" s="1"/>
  <c r="AI3" i="38"/>
  <c r="AI59" i="38" s="1"/>
  <c r="AE59" i="38"/>
  <c r="AD54" i="38"/>
  <c r="AF6" i="38"/>
  <c r="AJ6" i="38" s="1"/>
  <c r="AN6" i="38" s="1"/>
  <c r="AC70" i="38"/>
  <c r="Y91" i="8"/>
  <c r="AD60" i="38"/>
  <c r="AC60" i="38"/>
  <c r="AC87" i="38"/>
  <c r="AD90" i="38"/>
  <c r="AC90" i="38"/>
  <c r="AC66" i="38"/>
  <c r="AC67" i="38"/>
  <c r="Y189" i="6"/>
  <c r="Y190" i="6" s="1"/>
  <c r="AC83" i="38"/>
  <c r="Y163" i="6"/>
  <c r="Y164" i="6" s="1"/>
  <c r="AE84" i="38"/>
  <c r="AE77" i="38"/>
  <c r="AE73" i="38"/>
  <c r="AE72" i="38"/>
  <c r="AE51" i="38"/>
  <c r="AE68" i="38"/>
  <c r="AE62" i="38"/>
  <c r="AE92" i="38"/>
  <c r="AF3" i="38"/>
  <c r="AE91" i="38"/>
  <c r="AE76" i="38"/>
  <c r="AE93" i="38"/>
  <c r="Q64" i="38"/>
  <c r="U16" i="38"/>
  <c r="Y16" i="38" s="1"/>
  <c r="Y64" i="38" s="1"/>
  <c r="U90" i="38"/>
  <c r="V60" i="38"/>
  <c r="Q65" i="38"/>
  <c r="U17" i="38"/>
  <c r="Y17" i="38" s="1"/>
  <c r="Y65" i="38" s="1"/>
  <c r="U60" i="38"/>
  <c r="V65" i="38"/>
  <c r="U87" i="38"/>
  <c r="V90" i="38"/>
  <c r="U66" i="38"/>
  <c r="N87" i="38"/>
  <c r="N16" i="38"/>
  <c r="N48" i="38" s="1"/>
  <c r="N63" i="38"/>
  <c r="BE71" i="8" l="1"/>
  <c r="BG59" i="8"/>
  <c r="BH48" i="59"/>
  <c r="AT139" i="45"/>
  <c r="AT140" i="45" s="1"/>
  <c r="BE110" i="8"/>
  <c r="BE111" i="8" s="1"/>
  <c r="BE53" i="8" s="1"/>
  <c r="BH42" i="59" s="1"/>
  <c r="BH43" i="59" s="1"/>
  <c r="AZ42" i="59"/>
  <c r="AZ43" i="59" s="1"/>
  <c r="U26" i="36"/>
  <c r="AI87" i="38"/>
  <c r="AI89" i="38"/>
  <c r="AI62" i="38"/>
  <c r="AI65" i="38"/>
  <c r="AI88" i="38"/>
  <c r="AI68" i="38"/>
  <c r="AI67" i="38"/>
  <c r="AI74" i="38"/>
  <c r="AI85" i="38"/>
  <c r="AI82" i="38"/>
  <c r="AI69" i="38"/>
  <c r="AI78" i="38"/>
  <c r="AI75" i="38"/>
  <c r="AI77" i="38"/>
  <c r="AI66" i="38"/>
  <c r="AI60" i="38"/>
  <c r="AI61" i="38"/>
  <c r="AI71" i="38"/>
  <c r="AI94" i="38"/>
  <c r="AI80" i="38"/>
  <c r="AI84" i="38"/>
  <c r="AI64" i="38"/>
  <c r="AI83" i="38"/>
  <c r="AI90" i="38"/>
  <c r="AI92" i="38"/>
  <c r="AI93" i="38"/>
  <c r="AI76" i="38"/>
  <c r="AI86" i="38"/>
  <c r="AI91" i="38"/>
  <c r="AI70" i="38"/>
  <c r="AI72" i="38"/>
  <c r="AI51" i="38"/>
  <c r="AJ3" i="38"/>
  <c r="AJ78" i="38" s="1"/>
  <c r="AF59" i="38"/>
  <c r="AF58" i="38"/>
  <c r="AI73" i="38"/>
  <c r="AI79" i="38"/>
  <c r="AM3" i="38"/>
  <c r="AC63" i="38"/>
  <c r="AC54" i="38"/>
  <c r="AC64" i="38"/>
  <c r="AA163" i="6"/>
  <c r="AA189" i="6"/>
  <c r="AE89" i="38"/>
  <c r="AF88" i="38"/>
  <c r="AE82" i="38"/>
  <c r="AE61" i="38"/>
  <c r="AE94" i="38"/>
  <c r="AE83" i="38"/>
  <c r="AE85" i="38"/>
  <c r="AE75" i="38"/>
  <c r="AE69" i="38"/>
  <c r="AE86" i="38"/>
  <c r="AF51" i="38"/>
  <c r="AF86" i="38"/>
  <c r="AF70" i="38"/>
  <c r="AF83" i="38"/>
  <c r="AF67" i="38"/>
  <c r="AF77" i="38"/>
  <c r="AF79" i="38"/>
  <c r="AF85" i="38"/>
  <c r="AF68" i="38"/>
  <c r="AF71" i="38"/>
  <c r="AF76" i="38"/>
  <c r="AF89" i="38"/>
  <c r="AF56" i="38"/>
  <c r="AF75" i="38"/>
  <c r="AF74" i="38"/>
  <c r="AF69" i="38"/>
  <c r="AF57" i="38"/>
  <c r="AF80" i="38"/>
  <c r="AF61" i="38"/>
  <c r="AF62" i="38"/>
  <c r="AF91" i="38"/>
  <c r="AF84" i="38"/>
  <c r="AF55" i="38"/>
  <c r="AF94" i="38"/>
  <c r="AF92" i="38"/>
  <c r="AF78" i="38"/>
  <c r="AF73" i="38"/>
  <c r="AF72" i="38"/>
  <c r="AF93" i="38"/>
  <c r="AF54" i="38"/>
  <c r="AF66" i="38"/>
  <c r="AE80" i="38"/>
  <c r="AE71" i="38"/>
  <c r="AE79" i="38"/>
  <c r="AE67" i="38"/>
  <c r="AE88" i="38"/>
  <c r="AE74" i="38"/>
  <c r="AE70" i="38"/>
  <c r="AE78" i="38"/>
  <c r="AF82" i="38"/>
  <c r="U65" i="38"/>
  <c r="U64" i="38"/>
  <c r="R63" i="38"/>
  <c r="V15" i="38"/>
  <c r="R87" i="38"/>
  <c r="V39" i="38"/>
  <c r="Z39" i="38" s="1"/>
  <c r="Z87" i="38" s="1"/>
  <c r="N64" i="38"/>
  <c r="N96" i="38" s="1"/>
  <c r="AX139" i="45" l="1"/>
  <c r="AX140" i="45" s="1"/>
  <c r="AJ51" i="38"/>
  <c r="AM51" i="38"/>
  <c r="AM59" i="38"/>
  <c r="AM91" i="38"/>
  <c r="AM62" i="38"/>
  <c r="AM76" i="38"/>
  <c r="AM72" i="38"/>
  <c r="AM92" i="38"/>
  <c r="AM85" i="38"/>
  <c r="AM93" i="38"/>
  <c r="AM78" i="38"/>
  <c r="AM94" i="38"/>
  <c r="AM73" i="38"/>
  <c r="AM80" i="38"/>
  <c r="AM86" i="38"/>
  <c r="AM74" i="38"/>
  <c r="AM69" i="38"/>
  <c r="AM61" i="38"/>
  <c r="AM77" i="38"/>
  <c r="AM68" i="38"/>
  <c r="AM79" i="38"/>
  <c r="AM70" i="38"/>
  <c r="AM84" i="38"/>
  <c r="AM71" i="38"/>
  <c r="AM75" i="38"/>
  <c r="AM67" i="38"/>
  <c r="AM88" i="38"/>
  <c r="AM60" i="38"/>
  <c r="AM83" i="38"/>
  <c r="AM89" i="38"/>
  <c r="AM66" i="38"/>
  <c r="AM82" i="38"/>
  <c r="AM90" i="38"/>
  <c r="AM87" i="38"/>
  <c r="AM65" i="38"/>
  <c r="AM64" i="38"/>
  <c r="AC96" i="38"/>
  <c r="Z15" i="38"/>
  <c r="AJ82" i="38"/>
  <c r="AJ61" i="38"/>
  <c r="AJ69" i="38"/>
  <c r="AJ87" i="38"/>
  <c r="AJ70" i="38"/>
  <c r="AJ84" i="38"/>
  <c r="AJ75" i="38"/>
  <c r="AS3" i="38"/>
  <c r="AS59" i="38" s="1"/>
  <c r="AJ94" i="38"/>
  <c r="AJ59" i="38"/>
  <c r="AJ58" i="38"/>
  <c r="AJ54" i="38"/>
  <c r="AJ60" i="38"/>
  <c r="AJ66" i="38"/>
  <c r="AJ93" i="38"/>
  <c r="AJ86" i="38"/>
  <c r="AJ92" i="38"/>
  <c r="AJ79" i="38"/>
  <c r="AJ68" i="38"/>
  <c r="AJ56" i="38"/>
  <c r="AJ62" i="38"/>
  <c r="AJ64" i="38"/>
  <c r="AJ88" i="38"/>
  <c r="AJ89" i="38"/>
  <c r="AJ85" i="38"/>
  <c r="AJ72" i="38"/>
  <c r="AJ77" i="38"/>
  <c r="AJ71" i="38"/>
  <c r="AJ74" i="38"/>
  <c r="AJ55" i="38"/>
  <c r="AJ65" i="38"/>
  <c r="AJ90" i="38"/>
  <c r="AJ67" i="38"/>
  <c r="AJ83" i="38"/>
  <c r="AJ91" i="38"/>
  <c r="AJ76" i="38"/>
  <c r="AJ73" i="38"/>
  <c r="AJ57" i="38"/>
  <c r="AJ80" i="38"/>
  <c r="AN3" i="38"/>
  <c r="AT6" i="38"/>
  <c r="AD87" i="38"/>
  <c r="AF90" i="38"/>
  <c r="AE60" i="38"/>
  <c r="AE90" i="38"/>
  <c r="AF65" i="38"/>
  <c r="AF60" i="38"/>
  <c r="AE87" i="38"/>
  <c r="AE66" i="38"/>
  <c r="V63" i="38"/>
  <c r="R64" i="38"/>
  <c r="R96" i="38" s="1"/>
  <c r="V16" i="38"/>
  <c r="Z16" i="38" s="1"/>
  <c r="Z64" i="38" s="1"/>
  <c r="V87" i="38"/>
  <c r="J19" i="22"/>
  <c r="J18" i="22"/>
  <c r="J17" i="22"/>
  <c r="J16" i="22"/>
  <c r="J30" i="22"/>
  <c r="J31" i="22"/>
  <c r="BF139" i="45" l="1"/>
  <c r="AN51" i="38"/>
  <c r="AN59" i="38"/>
  <c r="AN75" i="38"/>
  <c r="AN73" i="38"/>
  <c r="AN62" i="38"/>
  <c r="AN56" i="38"/>
  <c r="AN69" i="38"/>
  <c r="AN78" i="38"/>
  <c r="AN71" i="38"/>
  <c r="AN77" i="38"/>
  <c r="AN57" i="38"/>
  <c r="AN80" i="38"/>
  <c r="AN74" i="38"/>
  <c r="AN68" i="38"/>
  <c r="AN76" i="38"/>
  <c r="AN79" i="38"/>
  <c r="AN72" i="38"/>
  <c r="AN55" i="38"/>
  <c r="AN58" i="38"/>
  <c r="AN70" i="38"/>
  <c r="AN91" i="38"/>
  <c r="AN84" i="38"/>
  <c r="AN83" i="38"/>
  <c r="AN67" i="38"/>
  <c r="AN89" i="38"/>
  <c r="AN92" i="38"/>
  <c r="AN61" i="38"/>
  <c r="AN86" i="38"/>
  <c r="AN93" i="38"/>
  <c r="AN94" i="38"/>
  <c r="AN85" i="38"/>
  <c r="AN66" i="38"/>
  <c r="AN82" i="38"/>
  <c r="AN60" i="38"/>
  <c r="AN90" i="38"/>
  <c r="AN88" i="38"/>
  <c r="AN87" i="38"/>
  <c r="AN65" i="38"/>
  <c r="AN64" i="38"/>
  <c r="AN54" i="38"/>
  <c r="AS51" i="38"/>
  <c r="V48" i="38"/>
  <c r="Z63" i="38"/>
  <c r="Z96" i="38" s="1"/>
  <c r="Z48" i="38"/>
  <c r="AS87" i="38"/>
  <c r="AS69" i="38"/>
  <c r="AS86" i="38"/>
  <c r="AS71" i="38"/>
  <c r="AS66" i="38"/>
  <c r="AS79" i="38"/>
  <c r="AS68" i="38"/>
  <c r="AS76" i="38"/>
  <c r="AS65" i="38"/>
  <c r="AS85" i="38"/>
  <c r="AS77" i="38"/>
  <c r="AS61" i="38"/>
  <c r="AW3" i="38"/>
  <c r="AW68" i="38" s="1"/>
  <c r="AS89" i="38"/>
  <c r="AS62" i="38"/>
  <c r="AS80" i="38"/>
  <c r="AS75" i="38"/>
  <c r="AS82" i="38"/>
  <c r="AS90" i="38"/>
  <c r="AS72" i="38"/>
  <c r="AS73" i="38"/>
  <c r="AS67" i="38"/>
  <c r="AS78" i="38"/>
  <c r="AS94" i="38"/>
  <c r="AS74" i="38"/>
  <c r="AS64" i="38"/>
  <c r="AS60" i="38"/>
  <c r="AS88" i="38"/>
  <c r="AS92" i="38"/>
  <c r="AS93" i="38"/>
  <c r="AS84" i="38"/>
  <c r="AS91" i="38"/>
  <c r="AS83" i="38"/>
  <c r="AS70" i="38"/>
  <c r="AT3" i="38"/>
  <c r="AX3" i="38" s="1"/>
  <c r="AX6" i="38"/>
  <c r="BB6" i="38" s="1"/>
  <c r="AD63" i="38"/>
  <c r="AF15" i="38"/>
  <c r="AD64" i="38"/>
  <c r="AE64" i="38"/>
  <c r="AE65" i="38"/>
  <c r="V64" i="38"/>
  <c r="V96" i="38" s="1"/>
  <c r="AT62" i="38" l="1"/>
  <c r="BF140" i="45"/>
  <c r="BH139" i="45"/>
  <c r="AT92" i="38"/>
  <c r="AT66" i="38"/>
  <c r="AT68" i="38"/>
  <c r="AT89" i="38"/>
  <c r="AT57" i="38"/>
  <c r="AT56" i="38"/>
  <c r="AT85" i="38"/>
  <c r="AT94" i="38"/>
  <c r="AT67" i="38"/>
  <c r="AT75" i="38"/>
  <c r="AT76" i="38"/>
  <c r="AT69" i="38"/>
  <c r="AT71" i="38"/>
  <c r="AT93" i="38"/>
  <c r="AT78" i="38"/>
  <c r="AT87" i="38"/>
  <c r="AT82" i="38"/>
  <c r="AT61" i="38"/>
  <c r="AT88" i="38"/>
  <c r="AT90" i="38"/>
  <c r="AT83" i="38"/>
  <c r="AT80" i="38"/>
  <c r="AT72" i="38"/>
  <c r="AT84" i="38"/>
  <c r="AT64" i="38"/>
  <c r="AT91" i="38"/>
  <c r="AT65" i="38"/>
  <c r="AT60" i="38"/>
  <c r="AT86" i="38"/>
  <c r="AT55" i="38"/>
  <c r="AD96" i="38"/>
  <c r="AJ15" i="38"/>
  <c r="AJ63" i="38" s="1"/>
  <c r="AJ96" i="38" s="1"/>
  <c r="AF48" i="38"/>
  <c r="AT73" i="38"/>
  <c r="AT79" i="38"/>
  <c r="AT70" i="38"/>
  <c r="AT54" i="38"/>
  <c r="AT74" i="38"/>
  <c r="AT77" i="38"/>
  <c r="AT51" i="38"/>
  <c r="AW87" i="38"/>
  <c r="AW62" i="38"/>
  <c r="AW69" i="38"/>
  <c r="AW86" i="38"/>
  <c r="AW78" i="38"/>
  <c r="AW76" i="38"/>
  <c r="AW51" i="38"/>
  <c r="BA3" i="38"/>
  <c r="AW64" i="38"/>
  <c r="AW66" i="38"/>
  <c r="AW72" i="38"/>
  <c r="AW83" i="38"/>
  <c r="AW70" i="38"/>
  <c r="AW59" i="38"/>
  <c r="AW89" i="38"/>
  <c r="AW65" i="38"/>
  <c r="AW60" i="38"/>
  <c r="AW85" i="38"/>
  <c r="AW80" i="38"/>
  <c r="AW79" i="38"/>
  <c r="AW71" i="38"/>
  <c r="AW94" i="38"/>
  <c r="AW91" i="38"/>
  <c r="AW82" i="38"/>
  <c r="AW75" i="38"/>
  <c r="AW67" i="38"/>
  <c r="AW61" i="38"/>
  <c r="AW92" i="38"/>
  <c r="AW88" i="38"/>
  <c r="AW90" i="38"/>
  <c r="AW93" i="38"/>
  <c r="AW73" i="38"/>
  <c r="AW84" i="38"/>
  <c r="AW74" i="38"/>
  <c r="AW77" i="38"/>
  <c r="BB3" i="38"/>
  <c r="AX59" i="38"/>
  <c r="AX58" i="38"/>
  <c r="AT59" i="38"/>
  <c r="AT58" i="38"/>
  <c r="BJ6" i="38"/>
  <c r="AX51" i="38"/>
  <c r="AX62" i="38"/>
  <c r="AX55" i="38"/>
  <c r="AX70" i="38"/>
  <c r="AX56" i="38"/>
  <c r="AX73" i="38"/>
  <c r="AX76" i="38"/>
  <c r="AX79" i="38"/>
  <c r="AX68" i="38"/>
  <c r="AX77" i="38"/>
  <c r="AX71" i="38"/>
  <c r="AX57" i="38"/>
  <c r="AX74" i="38"/>
  <c r="AX75" i="38"/>
  <c r="AX69" i="38"/>
  <c r="AX72" i="38"/>
  <c r="AX80" i="38"/>
  <c r="AX78" i="38"/>
  <c r="AX84" i="38"/>
  <c r="AX91" i="38"/>
  <c r="AX83" i="38"/>
  <c r="AX67" i="38"/>
  <c r="AX61" i="38"/>
  <c r="AX89" i="38"/>
  <c r="AX85" i="38"/>
  <c r="AX86" i="38"/>
  <c r="AX93" i="38"/>
  <c r="AX94" i="38"/>
  <c r="AX92" i="38"/>
  <c r="AX66" i="38"/>
  <c r="AX90" i="38"/>
  <c r="AX65" i="38"/>
  <c r="AX60" i="38"/>
  <c r="AX82" i="38"/>
  <c r="AX88" i="38"/>
  <c r="AX87" i="38"/>
  <c r="AX64" i="38"/>
  <c r="AX54" i="38"/>
  <c r="AF87" i="38"/>
  <c r="AF63" i="38"/>
  <c r="BA51" i="38" l="1"/>
  <c r="BA59" i="38"/>
  <c r="BA70" i="38"/>
  <c r="BA67" i="38"/>
  <c r="BA83" i="38"/>
  <c r="BA79" i="38"/>
  <c r="BA73" i="38"/>
  <c r="BA86" i="38"/>
  <c r="BA93" i="38"/>
  <c r="BA91" i="38"/>
  <c r="BA75" i="38"/>
  <c r="BA74" i="38"/>
  <c r="BA77" i="38"/>
  <c r="BA78" i="38"/>
  <c r="BA76" i="38"/>
  <c r="BA72" i="38"/>
  <c r="BA84" i="38"/>
  <c r="BA61" i="38"/>
  <c r="BA94" i="38"/>
  <c r="BA69" i="38"/>
  <c r="BA92" i="38"/>
  <c r="BA71" i="38"/>
  <c r="BA68" i="38"/>
  <c r="BA85" i="38"/>
  <c r="BA62" i="38"/>
  <c r="BA80" i="38"/>
  <c r="BA90" i="38"/>
  <c r="BA89" i="38"/>
  <c r="BA82" i="38"/>
  <c r="BA60" i="38"/>
  <c r="BA88" i="38"/>
  <c r="BA66" i="38"/>
  <c r="BA87" i="38"/>
  <c r="BA65" i="38"/>
  <c r="BA64" i="38"/>
  <c r="BJ3" i="38"/>
  <c r="BJ80" i="38" s="1"/>
  <c r="BB51" i="38"/>
  <c r="BB59" i="38"/>
  <c r="BB70" i="38"/>
  <c r="BB62" i="38"/>
  <c r="BB58" i="38"/>
  <c r="BB55" i="38"/>
  <c r="BB73" i="38"/>
  <c r="BB76" i="38"/>
  <c r="BB75" i="38"/>
  <c r="BB69" i="38"/>
  <c r="BB56" i="38"/>
  <c r="BB77" i="38"/>
  <c r="BB72" i="38"/>
  <c r="BB74" i="38"/>
  <c r="BB80" i="38"/>
  <c r="BB71" i="38"/>
  <c r="BB57" i="38"/>
  <c r="BB78" i="38"/>
  <c r="BB68" i="38"/>
  <c r="BB79" i="38"/>
  <c r="BB83" i="38"/>
  <c r="BB67" i="38"/>
  <c r="BB61" i="38"/>
  <c r="BB91" i="38"/>
  <c r="BB92" i="38"/>
  <c r="BB93" i="38"/>
  <c r="BB89" i="38"/>
  <c r="BB85" i="38"/>
  <c r="BB94" i="38"/>
  <c r="BB86" i="38"/>
  <c r="BB84" i="38"/>
  <c r="BB66" i="38"/>
  <c r="BB82" i="38"/>
  <c r="BB60" i="38"/>
  <c r="BB90" i="38"/>
  <c r="BB65" i="38"/>
  <c r="BB88" i="38"/>
  <c r="BB87" i="38"/>
  <c r="BB64" i="38"/>
  <c r="BB54" i="38"/>
  <c r="AN15" i="38"/>
  <c r="AT15" i="38" s="1"/>
  <c r="AT48" i="38" s="1"/>
  <c r="AJ48" i="38"/>
  <c r="BI3" i="38"/>
  <c r="AF64" i="38"/>
  <c r="AF96" i="38" s="1"/>
  <c r="BJ78" i="38" l="1"/>
  <c r="BJ70" i="38"/>
  <c r="BJ59" i="38"/>
  <c r="BJ61" i="38"/>
  <c r="BJ71" i="38"/>
  <c r="BJ73" i="38"/>
  <c r="BJ56" i="38"/>
  <c r="BJ91" i="38"/>
  <c r="BJ68" i="38"/>
  <c r="BJ57" i="38"/>
  <c r="BJ93" i="38"/>
  <c r="BJ82" i="38"/>
  <c r="BJ89" i="38"/>
  <c r="BJ66" i="38"/>
  <c r="BJ86" i="38"/>
  <c r="BJ85" i="38"/>
  <c r="BJ69" i="38"/>
  <c r="BJ55" i="38"/>
  <c r="BJ79" i="38"/>
  <c r="BJ64" i="38"/>
  <c r="BJ77" i="38"/>
  <c r="BJ75" i="38"/>
  <c r="BJ62" i="38"/>
  <c r="BJ67" i="38"/>
  <c r="BJ76" i="38"/>
  <c r="BJ92" i="38"/>
  <c r="BJ94" i="38"/>
  <c r="BJ84" i="38"/>
  <c r="BJ87" i="38"/>
  <c r="BJ90" i="38"/>
  <c r="BJ65" i="38"/>
  <c r="BJ60" i="38"/>
  <c r="BJ74" i="38"/>
  <c r="BJ54" i="38"/>
  <c r="BJ51" i="38"/>
  <c r="BJ83" i="38"/>
  <c r="BJ58" i="38"/>
  <c r="BJ88" i="38"/>
  <c r="BJ72" i="38"/>
  <c r="AN63" i="38"/>
  <c r="AN96" i="38" s="1"/>
  <c r="AN48" i="38"/>
  <c r="BI59" i="38"/>
  <c r="BI74" i="38"/>
  <c r="BI86" i="38"/>
  <c r="BI82" i="38"/>
  <c r="BI67" i="38"/>
  <c r="BI61" i="38"/>
  <c r="BI77" i="38"/>
  <c r="BI89" i="38"/>
  <c r="BI72" i="38"/>
  <c r="BI88" i="38"/>
  <c r="BI71" i="38"/>
  <c r="BI76" i="38"/>
  <c r="BI87" i="38"/>
  <c r="BI93" i="38"/>
  <c r="BI94" i="38"/>
  <c r="BI62" i="38"/>
  <c r="BI91" i="38"/>
  <c r="BI68" i="38"/>
  <c r="BI85" i="38"/>
  <c r="BI92" i="38"/>
  <c r="BI66" i="38"/>
  <c r="BI83" i="38"/>
  <c r="BI79" i="38"/>
  <c r="BI64" i="38"/>
  <c r="BI80" i="38"/>
  <c r="BI65" i="38"/>
  <c r="BI75" i="38"/>
  <c r="BI70" i="38"/>
  <c r="BI51" i="38"/>
  <c r="BI90" i="38"/>
  <c r="BI84" i="38"/>
  <c r="BI60" i="38"/>
  <c r="BI69" i="38"/>
  <c r="BI78" i="38"/>
  <c r="BI73" i="38"/>
  <c r="AT63" i="38"/>
  <c r="AT96" i="38" s="1"/>
  <c r="AX15" i="38"/>
  <c r="I64" i="59"/>
  <c r="AX48" i="38" l="1"/>
  <c r="BB15" i="38"/>
  <c r="AX63" i="38"/>
  <c r="AX96" i="38" s="1"/>
  <c r="J37" i="36"/>
  <c r="I37" i="36"/>
  <c r="BB63" i="38" l="1"/>
  <c r="BB96" i="38" s="1"/>
  <c r="BB48" i="38"/>
  <c r="BJ15" i="38"/>
  <c r="AA64" i="36"/>
  <c r="AA61" i="36"/>
  <c r="AA63" i="36" s="1"/>
  <c r="BJ48" i="38" l="1"/>
  <c r="BJ63" i="38"/>
  <c r="AA58" i="36"/>
  <c r="BJ96" i="38" l="1"/>
  <c r="AA60" i="36"/>
  <c r="F17" i="36" l="1"/>
  <c r="I54" i="59" s="1"/>
  <c r="F16" i="36"/>
  <c r="I53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H123" i="90" s="1"/>
  <c r="H125" i="90" s="1"/>
  <c r="J35" i="35"/>
  <c r="I123" i="90" s="1"/>
  <c r="I125" i="90" s="1"/>
  <c r="N26" i="9" l="1"/>
  <c r="I36" i="35"/>
  <c r="I48" i="35" s="1"/>
  <c r="K139" i="50" l="1"/>
  <c r="S139" i="50"/>
  <c r="M36" i="35"/>
  <c r="J53" i="35"/>
  <c r="I53" i="35"/>
  <c r="W139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5" i="59" s="1"/>
  <c r="J2" i="36"/>
  <c r="I2" i="36"/>
  <c r="J51" i="35"/>
  <c r="J50" i="35"/>
  <c r="I43" i="35"/>
  <c r="J39" i="35"/>
  <c r="I32" i="35"/>
  <c r="J122" i="45" s="1"/>
  <c r="J140" i="45" s="1"/>
  <c r="J32" i="35"/>
  <c r="I31" i="35"/>
  <c r="I56" i="11" s="1"/>
  <c r="I30" i="35"/>
  <c r="I159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8" i="10"/>
  <c r="I210" i="10" s="1"/>
  <c r="I55" i="11"/>
  <c r="I97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1" i="45"/>
  <c r="J125" i="45"/>
  <c r="J124" i="45"/>
  <c r="E35" i="36"/>
  <c r="M35" i="36" s="1"/>
  <c r="M34" i="36"/>
  <c r="M33" i="36"/>
  <c r="N33" i="36"/>
  <c r="N40" i="36" s="1"/>
  <c r="J145" i="45"/>
  <c r="L73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59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98" i="6" s="1"/>
  <c r="J104" i="6" s="1"/>
  <c r="J106" i="6" s="1"/>
  <c r="J8" i="35"/>
  <c r="I5" i="6"/>
  <c r="I98" i="6" s="1"/>
  <c r="I104" i="6" s="1"/>
  <c r="I106" i="6" s="1"/>
  <c r="I8" i="35"/>
  <c r="J29" i="36"/>
  <c r="M78" i="59" s="1"/>
  <c r="J27" i="36"/>
  <c r="M76" i="59" s="1"/>
  <c r="N29" i="36"/>
  <c r="M7" i="15" s="1"/>
  <c r="E36" i="36"/>
  <c r="E38" i="36" s="1"/>
  <c r="AA34" i="36"/>
  <c r="I35" i="36"/>
  <c r="AA35" i="36" s="1"/>
  <c r="L130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M7" i="35"/>
  <c r="Q7" i="35" s="1"/>
  <c r="M33" i="22"/>
  <c r="M104" i="9"/>
  <c r="P58" i="59" s="1"/>
  <c r="M102" i="9"/>
  <c r="Q6" i="59"/>
  <c r="K145" i="45"/>
  <c r="M73" i="59" s="1"/>
  <c r="J23" i="36"/>
  <c r="M71" i="59" s="1"/>
  <c r="N5" i="9"/>
  <c r="N94" i="9" s="1"/>
  <c r="Q35" i="36"/>
  <c r="U35" i="36" s="1"/>
  <c r="Q34" i="36"/>
  <c r="U34" i="36" s="1"/>
  <c r="H75" i="59"/>
  <c r="F97" i="50"/>
  <c r="R2" i="36"/>
  <c r="V2" i="36" s="1"/>
  <c r="Q2" i="36"/>
  <c r="U2" i="36" s="1"/>
  <c r="F34" i="36"/>
  <c r="F41" i="36" s="1"/>
  <c r="F43" i="36" s="1"/>
  <c r="F31" i="36" s="1"/>
  <c r="N26" i="36"/>
  <c r="M26" i="36"/>
  <c r="I49" i="35"/>
  <c r="I55" i="35" s="1"/>
  <c r="N16" i="36"/>
  <c r="Q53" i="59" s="1"/>
  <c r="N17" i="36"/>
  <c r="Q54" i="59" s="1"/>
  <c r="R2" i="35"/>
  <c r="V2" i="35" s="1"/>
  <c r="I10" i="35"/>
  <c r="I9" i="6" s="1"/>
  <c r="J28" i="36"/>
  <c r="M77" i="59" s="1"/>
  <c r="I9" i="35"/>
  <c r="I8" i="6" s="1"/>
  <c r="I26" i="35"/>
  <c r="I25" i="36" s="1"/>
  <c r="L75" i="59" s="1"/>
  <c r="J26" i="35"/>
  <c r="Q6" i="35" l="1"/>
  <c r="U6" i="35" s="1"/>
  <c r="Q77" i="59"/>
  <c r="R6" i="35"/>
  <c r="R7" i="35"/>
  <c r="V7" i="35" s="1"/>
  <c r="V6" i="6" s="1"/>
  <c r="Q8" i="35"/>
  <c r="U7" i="35"/>
  <c r="U6" i="6" s="1"/>
  <c r="U5" i="6"/>
  <c r="U98" i="6" s="1"/>
  <c r="BE2" i="35"/>
  <c r="BC6" i="35"/>
  <c r="BC5" i="6" s="1"/>
  <c r="BC98" i="6" s="1"/>
  <c r="E30" i="36"/>
  <c r="H79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59" i="59"/>
  <c r="N78" i="9"/>
  <c r="N73" i="9"/>
  <c r="N76" i="9"/>
  <c r="N75" i="9"/>
  <c r="N77" i="9"/>
  <c r="N72" i="9"/>
  <c r="N74" i="9"/>
  <c r="N79" i="9"/>
  <c r="M8" i="35"/>
  <c r="T9" i="15"/>
  <c r="R122" i="45"/>
  <c r="R140" i="45" s="1"/>
  <c r="U9" i="15"/>
  <c r="R5" i="36"/>
  <c r="R13" i="49" s="1"/>
  <c r="Q56" i="11"/>
  <c r="AA6" i="35"/>
  <c r="Q78" i="59"/>
  <c r="M36" i="36"/>
  <c r="M38" i="36" s="1"/>
  <c r="Q5" i="9"/>
  <c r="AA7" i="35"/>
  <c r="AE7" i="35" s="1"/>
  <c r="M130" i="26"/>
  <c r="R5" i="9"/>
  <c r="Q76" i="59"/>
  <c r="M6" i="15"/>
  <c r="M5" i="15"/>
  <c r="N33" i="22"/>
  <c r="N104" i="9"/>
  <c r="Q58" i="59" s="1"/>
  <c r="N102" i="9"/>
  <c r="F35" i="36"/>
  <c r="N35" i="36" s="1"/>
  <c r="N34" i="36"/>
  <c r="N41" i="36" s="1"/>
  <c r="AA33" i="36"/>
  <c r="J178" i="10"/>
  <c r="M65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3" i="59"/>
  <c r="R26" i="36"/>
  <c r="R16" i="36"/>
  <c r="U53" i="59" s="1"/>
  <c r="R17" i="36"/>
  <c r="U54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5" i="59" s="1"/>
  <c r="N26" i="35"/>
  <c r="M26" i="35"/>
  <c r="U104" i="6" l="1"/>
  <c r="U106" i="6" s="1"/>
  <c r="U143" i="6" s="1"/>
  <c r="BJ98" i="6"/>
  <c r="BC104" i="6"/>
  <c r="V33" i="36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79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7" i="11"/>
  <c r="AF33" i="36"/>
  <c r="AE33" i="36"/>
  <c r="AI33" i="36" s="1"/>
  <c r="R124" i="45"/>
  <c r="T71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59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6" i="59" s="1"/>
  <c r="Q102" i="9"/>
  <c r="U102" i="9" s="1"/>
  <c r="U18" i="15"/>
  <c r="X71" i="59"/>
  <c r="X73" i="59"/>
  <c r="R125" i="45"/>
  <c r="R27" i="36"/>
  <c r="Q5" i="15" s="1"/>
  <c r="R121" i="45"/>
  <c r="AA36" i="36"/>
  <c r="AA38" i="36" s="1"/>
  <c r="U6" i="59"/>
  <c r="R104" i="9"/>
  <c r="U58" i="59" s="1"/>
  <c r="Q6" i="6"/>
  <c r="AB7" i="35"/>
  <c r="AF7" i="35" s="1"/>
  <c r="AA6" i="6"/>
  <c r="R5" i="6"/>
  <c r="R98" i="6" s="1"/>
  <c r="Q100" i="9"/>
  <c r="Q89" i="9"/>
  <c r="Q33" i="22"/>
  <c r="Q7" i="9"/>
  <c r="P130" i="26"/>
  <c r="Q96" i="9"/>
  <c r="Q90" i="9"/>
  <c r="Q94" i="9"/>
  <c r="P19" i="15" s="1"/>
  <c r="Q104" i="9"/>
  <c r="U104" i="9" s="1"/>
  <c r="X58" i="59" s="1"/>
  <c r="AB6" i="35"/>
  <c r="AF6" i="35" s="1"/>
  <c r="R6" i="6"/>
  <c r="Q5" i="6"/>
  <c r="Q98" i="6" s="1"/>
  <c r="Q104" i="6" s="1"/>
  <c r="Q106" i="6" s="1"/>
  <c r="R102" i="9"/>
  <c r="V102" i="9" s="1"/>
  <c r="R33" i="22"/>
  <c r="Q130" i="26"/>
  <c r="R100" i="9"/>
  <c r="R96" i="9"/>
  <c r="R89" i="9"/>
  <c r="R94" i="9"/>
  <c r="Q19" i="15" s="1"/>
  <c r="R90" i="9"/>
  <c r="R145" i="45"/>
  <c r="T73" i="59" s="1"/>
  <c r="F36" i="36"/>
  <c r="F38" i="36" s="1"/>
  <c r="AB34" i="36"/>
  <c r="AB41" i="36" s="1"/>
  <c r="J35" i="36"/>
  <c r="AB35" i="36" s="1"/>
  <c r="R29" i="36"/>
  <c r="R28" i="36"/>
  <c r="T56" i="59"/>
  <c r="R34" i="36"/>
  <c r="AD76" i="59"/>
  <c r="AD78" i="59"/>
  <c r="AD77" i="59"/>
  <c r="AB5" i="9"/>
  <c r="Q36" i="36"/>
  <c r="R35" i="36"/>
  <c r="V35" i="36" s="1"/>
  <c r="T54" i="59"/>
  <c r="R18" i="36"/>
  <c r="U55" i="59" s="1"/>
  <c r="T77" i="59"/>
  <c r="T78" i="59"/>
  <c r="T76" i="59"/>
  <c r="AA15" i="35"/>
  <c r="M30" i="36"/>
  <c r="P79" i="59" s="1"/>
  <c r="Y55" i="35"/>
  <c r="BC106" i="6" l="1"/>
  <c r="BJ104" i="6"/>
  <c r="R104" i="6"/>
  <c r="R106" i="6" s="1"/>
  <c r="R143" i="6" s="1"/>
  <c r="Q143" i="6"/>
  <c r="Q144" i="6"/>
  <c r="Q146" i="6"/>
  <c r="U146" i="6"/>
  <c r="U144" i="6"/>
  <c r="U145" i="6" s="1"/>
  <c r="V34" i="36"/>
  <c r="V41" i="36" s="1"/>
  <c r="R41" i="36"/>
  <c r="AJ33" i="36"/>
  <c r="AJ40" i="36" s="1"/>
  <c r="AF40" i="36"/>
  <c r="AI56" i="36"/>
  <c r="AI57" i="36"/>
  <c r="V5" i="6"/>
  <c r="V104" i="9"/>
  <c r="Y58" i="59" s="1"/>
  <c r="V27" i="36"/>
  <c r="Y76" i="59" s="1"/>
  <c r="Q6" i="15"/>
  <c r="V28" i="36"/>
  <c r="Y77" i="59" s="1"/>
  <c r="Q38" i="36"/>
  <c r="Q30" i="36" s="1"/>
  <c r="T79" i="59" s="1"/>
  <c r="U36" i="36"/>
  <c r="U38" i="36" s="1"/>
  <c r="U30" i="36" s="1"/>
  <c r="X79" i="59" s="1"/>
  <c r="V29" i="36"/>
  <c r="Y78" i="59" s="1"/>
  <c r="Q7" i="15"/>
  <c r="Q9" i="6"/>
  <c r="AE36" i="36"/>
  <c r="AI36" i="36" s="1"/>
  <c r="AI38" i="36" s="1"/>
  <c r="AI30" i="36" s="1"/>
  <c r="AA30" i="36"/>
  <c r="AD79" i="59" s="1"/>
  <c r="AF5" i="6"/>
  <c r="AF98" i="6" s="1"/>
  <c r="AJ6" i="35"/>
  <c r="AF8" i="35"/>
  <c r="AF6" i="6"/>
  <c r="AJ7" i="35"/>
  <c r="AO7" i="35"/>
  <c r="BC8" i="35" s="1"/>
  <c r="AI6" i="6"/>
  <c r="AI10" i="35"/>
  <c r="AI9" i="6" s="1"/>
  <c r="AI6" i="35"/>
  <c r="AE5" i="6"/>
  <c r="AE98" i="6" s="1"/>
  <c r="AE104" i="6" s="1"/>
  <c r="AE106" i="6" s="1"/>
  <c r="AE56" i="36"/>
  <c r="AE57" i="36"/>
  <c r="AF35" i="36"/>
  <c r="AF34" i="36"/>
  <c r="AF41" i="36" s="1"/>
  <c r="AE8" i="35"/>
  <c r="AE9" i="35"/>
  <c r="AE59" i="59"/>
  <c r="AB78" i="9"/>
  <c r="AB77" i="9"/>
  <c r="AB79" i="9"/>
  <c r="AB76" i="9"/>
  <c r="AC76" i="59"/>
  <c r="AB27" i="36"/>
  <c r="AF27" i="36" s="1"/>
  <c r="AJ27" i="36" s="1"/>
  <c r="AC77" i="59"/>
  <c r="AE77" i="59"/>
  <c r="AC78" i="59"/>
  <c r="AB29" i="36"/>
  <c r="T19" i="15"/>
  <c r="U19" i="15"/>
  <c r="AB8" i="35"/>
  <c r="R19" i="36"/>
  <c r="U56" i="59" s="1"/>
  <c r="Q10" i="6"/>
  <c r="T58" i="59"/>
  <c r="J36" i="36"/>
  <c r="J38" i="36" s="1"/>
  <c r="F30" i="36"/>
  <c r="I79" i="59" s="1"/>
  <c r="AA7" i="6"/>
  <c r="AB6" i="6"/>
  <c r="Q91" i="9"/>
  <c r="Q7" i="6"/>
  <c r="R7" i="6"/>
  <c r="AB5" i="6"/>
  <c r="T6" i="59"/>
  <c r="R91" i="9"/>
  <c r="AB104" i="9"/>
  <c r="AE58" i="59" s="1"/>
  <c r="AB102" i="9"/>
  <c r="AF102" i="9" s="1"/>
  <c r="AA130" i="26"/>
  <c r="N36" i="36"/>
  <c r="N38" i="36" s="1"/>
  <c r="U77" i="59"/>
  <c r="U78" i="59"/>
  <c r="AA9" i="15"/>
  <c r="AA26" i="36"/>
  <c r="AA18" i="15"/>
  <c r="AB67" i="36"/>
  <c r="AB16" i="36"/>
  <c r="AE53" i="59" s="1"/>
  <c r="AB17" i="36"/>
  <c r="AE54" i="59" s="1"/>
  <c r="AB66" i="36"/>
  <c r="AB72" i="36"/>
  <c r="AB26" i="36"/>
  <c r="U76" i="59"/>
  <c r="Z18" i="15"/>
  <c r="T55" i="59"/>
  <c r="AA5" i="9"/>
  <c r="AB75" i="59"/>
  <c r="Z9" i="15"/>
  <c r="AA26" i="35"/>
  <c r="AB26" i="35"/>
  <c r="Q145" i="6" l="1"/>
  <c r="AF104" i="6"/>
  <c r="AF106" i="6" s="1"/>
  <c r="AF143" i="6" s="1"/>
  <c r="V7" i="6"/>
  <c r="V98" i="6"/>
  <c r="V104" i="6" s="1"/>
  <c r="V106" i="6" s="1"/>
  <c r="R146" i="6"/>
  <c r="R144" i="6"/>
  <c r="U15" i="59" s="1"/>
  <c r="AE143" i="6"/>
  <c r="AE146" i="6"/>
  <c r="AE144" i="6"/>
  <c r="BC146" i="6"/>
  <c r="BC144" i="6"/>
  <c r="BJ106" i="6"/>
  <c r="BC143" i="6"/>
  <c r="AP33" i="36"/>
  <c r="AE5" i="15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79" i="59" s="1"/>
  <c r="J30" i="36"/>
  <c r="M79" i="59" s="1"/>
  <c r="AO10" i="35"/>
  <c r="AO9" i="6" s="1"/>
  <c r="AE7" i="6"/>
  <c r="AO6" i="6"/>
  <c r="AS7" i="35"/>
  <c r="AW7" i="35" s="1"/>
  <c r="AJ5" i="6"/>
  <c r="AJ98" i="6" s="1"/>
  <c r="AP6" i="35"/>
  <c r="AJ8" i="35"/>
  <c r="AO6" i="35"/>
  <c r="AI5" i="6"/>
  <c r="AI98" i="6" s="1"/>
  <c r="AI104" i="6" s="1"/>
  <c r="AI106" i="6" s="1"/>
  <c r="AI8" i="35"/>
  <c r="AI9" i="35"/>
  <c r="AJ6" i="6"/>
  <c r="AP7" i="35"/>
  <c r="AF7" i="6"/>
  <c r="AT33" i="36"/>
  <c r="AO33" i="36"/>
  <c r="AF104" i="9"/>
  <c r="AJ104" i="9" s="1"/>
  <c r="AI76" i="59"/>
  <c r="AF29" i="36"/>
  <c r="AJ29" i="36" s="1"/>
  <c r="AP29" i="36" s="1"/>
  <c r="AA6" i="15"/>
  <c r="AF28" i="36"/>
  <c r="AE78" i="59"/>
  <c r="AA7" i="15"/>
  <c r="AA78" i="9"/>
  <c r="AA77" i="9"/>
  <c r="AA79" i="9"/>
  <c r="AA76" i="9"/>
  <c r="AE76" i="59"/>
  <c r="AA5" i="15"/>
  <c r="U6" i="15"/>
  <c r="U5" i="15"/>
  <c r="U7" i="15"/>
  <c r="AB36" i="36"/>
  <c r="AB38" i="36" s="1"/>
  <c r="N30" i="36"/>
  <c r="Q79" i="59" s="1"/>
  <c r="AB7" i="6"/>
  <c r="AA102" i="9"/>
  <c r="AE102" i="9" s="1"/>
  <c r="AA104" i="9"/>
  <c r="AD58" i="59" s="1"/>
  <c r="AB18" i="36"/>
  <c r="AE55" i="59" s="1"/>
  <c r="AB68" i="36"/>
  <c r="AD73" i="59"/>
  <c r="R36" i="36"/>
  <c r="BC145" i="6" l="1"/>
  <c r="R145" i="6"/>
  <c r="AI143" i="6"/>
  <c r="AI144" i="6"/>
  <c r="AI146" i="6"/>
  <c r="V143" i="6"/>
  <c r="V144" i="6"/>
  <c r="V146" i="6"/>
  <c r="AJ104" i="6"/>
  <c r="AJ106" i="6" s="1"/>
  <c r="AJ143" i="6" s="1"/>
  <c r="AE145" i="6"/>
  <c r="AF146" i="6"/>
  <c r="AF144" i="6"/>
  <c r="AI15" i="59" s="1"/>
  <c r="AJ28" i="36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6" i="59" s="1"/>
  <c r="AI5" i="15"/>
  <c r="AI6" i="15"/>
  <c r="AS78" i="59"/>
  <c r="AI7" i="15"/>
  <c r="AI102" i="9"/>
  <c r="AO102" i="9" s="1"/>
  <c r="AS102" i="9" s="1"/>
  <c r="V24" i="36"/>
  <c r="Y74" i="59" s="1"/>
  <c r="R38" i="36"/>
  <c r="R30" i="36" s="1"/>
  <c r="U79" i="59" s="1"/>
  <c r="V36" i="36"/>
  <c r="V38" i="36" s="1"/>
  <c r="V30" i="36" s="1"/>
  <c r="Y79" i="59" s="1"/>
  <c r="AO9" i="35"/>
  <c r="AO8" i="6" s="1"/>
  <c r="AI8" i="6"/>
  <c r="AL79" i="59"/>
  <c r="AO36" i="36"/>
  <c r="BD8" i="35"/>
  <c r="BC11" i="35"/>
  <c r="BC10" i="6" s="1"/>
  <c r="BJ10" i="6" s="1"/>
  <c r="AF36" i="36"/>
  <c r="AJ36" i="36" s="1"/>
  <c r="AJ38" i="36" s="1"/>
  <c r="AJ30" i="36" s="1"/>
  <c r="AB30" i="36"/>
  <c r="AE79" i="59" s="1"/>
  <c r="AW10" i="35"/>
  <c r="AW9" i="6" s="1"/>
  <c r="AX33" i="36"/>
  <c r="AO5" i="6"/>
  <c r="AO98" i="6" s="1"/>
  <c r="AS6" i="35"/>
  <c r="AW6" i="35" s="1"/>
  <c r="AW5" i="6" s="1"/>
  <c r="AW98" i="6" s="1"/>
  <c r="AO8" i="35"/>
  <c r="AS6" i="6"/>
  <c r="AS10" i="35"/>
  <c r="AS9" i="6" s="1"/>
  <c r="AP5" i="6"/>
  <c r="AP98" i="6" s="1"/>
  <c r="AT6" i="35"/>
  <c r="AX6" i="35" s="1"/>
  <c r="AP8" i="35"/>
  <c r="AI11" i="35"/>
  <c r="AI10" i="6" s="1"/>
  <c r="AP6" i="6"/>
  <c r="AT7" i="35"/>
  <c r="AI7" i="6"/>
  <c r="AJ7" i="6"/>
  <c r="AS33" i="36"/>
  <c r="AB19" i="36"/>
  <c r="AE56" i="59" s="1"/>
  <c r="AO57" i="36"/>
  <c r="AO56" i="36"/>
  <c r="AI58" i="59"/>
  <c r="AM77" i="59"/>
  <c r="AM78" i="59"/>
  <c r="AM76" i="59"/>
  <c r="AI78" i="59"/>
  <c r="AE7" i="15"/>
  <c r="AE104" i="9"/>
  <c r="AI104" i="9" s="1"/>
  <c r="AI77" i="59"/>
  <c r="AE6" i="15"/>
  <c r="AD6" i="59"/>
  <c r="Z7" i="15"/>
  <c r="Z6" i="15"/>
  <c r="Z5" i="15"/>
  <c r="AI145" i="6" l="1"/>
  <c r="AF145" i="6"/>
  <c r="AF7" i="36" s="1"/>
  <c r="AI8" i="59" s="1"/>
  <c r="AP104" i="6"/>
  <c r="AP106" i="6" s="1"/>
  <c r="AP143" i="6" s="1"/>
  <c r="AW104" i="6"/>
  <c r="AW106" i="6" s="1"/>
  <c r="AW143" i="6" s="1"/>
  <c r="AJ146" i="6"/>
  <c r="AJ144" i="6"/>
  <c r="AM15" i="59" s="1"/>
  <c r="AO104" i="6"/>
  <c r="AO106" i="6" s="1"/>
  <c r="AO143" i="6" s="1"/>
  <c r="V145" i="6"/>
  <c r="V7" i="36" s="1"/>
  <c r="Y8" i="59" s="1"/>
  <c r="Y15" i="59"/>
  <c r="AS77" i="59"/>
  <c r="AW77" i="59"/>
  <c r="AW102" i="9"/>
  <c r="BE102" i="9" s="1"/>
  <c r="BF6" i="35"/>
  <c r="BF5" i="6" s="1"/>
  <c r="BF98" i="6" s="1"/>
  <c r="AX5" i="6"/>
  <c r="AX98" i="6" s="1"/>
  <c r="AW7" i="6"/>
  <c r="AO6" i="15"/>
  <c r="AT27" i="36"/>
  <c r="AW76" i="59" s="1"/>
  <c r="AO5" i="15"/>
  <c r="AX29" i="36"/>
  <c r="AO7" i="15"/>
  <c r="AO11" i="35"/>
  <c r="AO10" i="6" s="1"/>
  <c r="BE10" i="35"/>
  <c r="BE9" i="6" s="1"/>
  <c r="BG9" i="6" s="1"/>
  <c r="AF38" i="36"/>
  <c r="AF30" i="36" s="1"/>
  <c r="AO38" i="36"/>
  <c r="AO30" i="36" s="1"/>
  <c r="AR79" i="59" s="1"/>
  <c r="AS36" i="36"/>
  <c r="BE6" i="35"/>
  <c r="BE5" i="6" s="1"/>
  <c r="BE98" i="6" s="1"/>
  <c r="AW9" i="35"/>
  <c r="AW8" i="6" s="1"/>
  <c r="AW8" i="35"/>
  <c r="AT6" i="6"/>
  <c r="AX7" i="35"/>
  <c r="AW33" i="36"/>
  <c r="AT5" i="6"/>
  <c r="AT98" i="6" s="1"/>
  <c r="AT8" i="35"/>
  <c r="AP7" i="6"/>
  <c r="AS5" i="6"/>
  <c r="AS98" i="6" s="1"/>
  <c r="AS104" i="6" s="1"/>
  <c r="AS106" i="6" s="1"/>
  <c r="AS8" i="35"/>
  <c r="AS9" i="35"/>
  <c r="AO7" i="6"/>
  <c r="AS56" i="36"/>
  <c r="AS57" i="36"/>
  <c r="AM58" i="59"/>
  <c r="AP104" i="9"/>
  <c r="AH58" i="59"/>
  <c r="AI56" i="59"/>
  <c r="AA13" i="49"/>
  <c r="AJ145" i="6" l="1"/>
  <c r="AJ7" i="36" s="1"/>
  <c r="AM8" i="59" s="1"/>
  <c r="AS143" i="6"/>
  <c r="AS144" i="6"/>
  <c r="AS145" i="6" s="1"/>
  <c r="AS146" i="6"/>
  <c r="AX104" i="6"/>
  <c r="AX106" i="6" s="1"/>
  <c r="AO146" i="6"/>
  <c r="AO144" i="6"/>
  <c r="AO145" i="6" s="1"/>
  <c r="AW144" i="6"/>
  <c r="AW145" i="6" s="1"/>
  <c r="AW146" i="6"/>
  <c r="BE104" i="6"/>
  <c r="BG98" i="6"/>
  <c r="BH98" i="6"/>
  <c r="BF104" i="6"/>
  <c r="AT104" i="6"/>
  <c r="AT106" i="6" s="1"/>
  <c r="AP144" i="6"/>
  <c r="AS15" i="59" s="1"/>
  <c r="AP146" i="6"/>
  <c r="AX28" i="36"/>
  <c r="AS6" i="15"/>
  <c r="AW7" i="15"/>
  <c r="BA77" i="59"/>
  <c r="AW6" i="15"/>
  <c r="BF7" i="35"/>
  <c r="BF6" i="6" s="1"/>
  <c r="BF7" i="6" s="1"/>
  <c r="AX6" i="6"/>
  <c r="AX7" i="6" s="1"/>
  <c r="BA78" i="59"/>
  <c r="AW78" i="59"/>
  <c r="AS5" i="15"/>
  <c r="AX27" i="36"/>
  <c r="AW5" i="15" s="1"/>
  <c r="AS7" i="15"/>
  <c r="AS11" i="35"/>
  <c r="AS10" i="6" s="1"/>
  <c r="AS8" i="6"/>
  <c r="AP36" i="36"/>
  <c r="AP38" i="36" s="1"/>
  <c r="AP30" i="36" s="1"/>
  <c r="AS79" i="59" s="1"/>
  <c r="AS38" i="36"/>
  <c r="AS30" i="36" s="1"/>
  <c r="AV79" i="59" s="1"/>
  <c r="AW36" i="36"/>
  <c r="BE7" i="6"/>
  <c r="BE8" i="35"/>
  <c r="AX8" i="35"/>
  <c r="AW11" i="35"/>
  <c r="AW10" i="6" s="1"/>
  <c r="BE9" i="35"/>
  <c r="AW56" i="36"/>
  <c r="BE56" i="36" s="1"/>
  <c r="AW57" i="36"/>
  <c r="AS58" i="59"/>
  <c r="AT104" i="9"/>
  <c r="AX104" i="9" s="1"/>
  <c r="AS7" i="6"/>
  <c r="AT7" i="6"/>
  <c r="AL58" i="59"/>
  <c r="AO104" i="9"/>
  <c r="AJ19" i="36"/>
  <c r="AM56" i="59" s="1"/>
  <c r="AM79" i="59"/>
  <c r="AI79" i="59"/>
  <c r="BC30" i="36"/>
  <c r="BF79" i="59" s="1"/>
  <c r="AP145" i="6" l="1"/>
  <c r="AP7" i="36" s="1"/>
  <c r="AS8" i="59" s="1"/>
  <c r="AT144" i="6"/>
  <c r="AW15" i="59" s="1"/>
  <c r="AT146" i="6"/>
  <c r="AX144" i="6"/>
  <c r="BA15" i="59" s="1"/>
  <c r="AX146" i="6"/>
  <c r="BF106" i="6"/>
  <c r="BH104" i="6"/>
  <c r="BE106" i="6"/>
  <c r="BG104" i="6"/>
  <c r="AT143" i="6"/>
  <c r="AT145" i="6" s="1"/>
  <c r="AT7" i="36" s="1"/>
  <c r="AW8" i="59" s="1"/>
  <c r="AX143" i="6"/>
  <c r="BF8" i="35"/>
  <c r="BA76" i="59"/>
  <c r="AT36" i="36"/>
  <c r="AT38" i="36" s="1"/>
  <c r="AT30" i="36" s="1"/>
  <c r="AW79" i="59" s="1"/>
  <c r="BE11" i="35"/>
  <c r="BE10" i="6" s="1"/>
  <c r="BG10" i="6" s="1"/>
  <c r="BE8" i="6"/>
  <c r="BG8" i="6" s="1"/>
  <c r="AW38" i="36"/>
  <c r="AW30" i="36" s="1"/>
  <c r="AZ79" i="59" s="1"/>
  <c r="AW58" i="59"/>
  <c r="BA58" i="59"/>
  <c r="AR58" i="59"/>
  <c r="AS104" i="9"/>
  <c r="AW104" i="9" s="1"/>
  <c r="BE34" i="36"/>
  <c r="BE35" i="36"/>
  <c r="BF33" i="36"/>
  <c r="BF29" i="36" s="1"/>
  <c r="BD30" i="36"/>
  <c r="BG79" i="59" s="1"/>
  <c r="AX145" i="6" l="1"/>
  <c r="AX7" i="36" s="1"/>
  <c r="BA8" i="59" s="1"/>
  <c r="BE146" i="6"/>
  <c r="BE144" i="6"/>
  <c r="BG106" i="6"/>
  <c r="BE143" i="6"/>
  <c r="BH106" i="6"/>
  <c r="BF146" i="6"/>
  <c r="BF144" i="6"/>
  <c r="BI15" i="59" s="1"/>
  <c r="BF143" i="6"/>
  <c r="BF28" i="36"/>
  <c r="AX36" i="36"/>
  <c r="AX38" i="36" s="1"/>
  <c r="AX30" i="36" s="1"/>
  <c r="BA79" i="59" s="1"/>
  <c r="BF104" i="9"/>
  <c r="BI58" i="59" s="1"/>
  <c r="AV58" i="59"/>
  <c r="AZ58" i="59"/>
  <c r="BF35" i="36"/>
  <c r="BF34" i="36"/>
  <c r="BE33" i="36"/>
  <c r="BF145" i="6" l="1"/>
  <c r="BF7" i="36" s="1"/>
  <c r="BI8" i="59" s="1"/>
  <c r="BE145" i="6"/>
  <c r="BI77" i="59"/>
  <c r="BE6" i="15"/>
  <c r="BE104" i="9"/>
  <c r="BH58" i="59" s="1"/>
  <c r="BF27" i="36"/>
  <c r="BF68" i="36"/>
  <c r="BF19" i="36" s="1"/>
  <c r="BF18" i="36"/>
  <c r="BF36" i="36"/>
  <c r="BF38" i="36" s="1"/>
  <c r="BE36" i="36"/>
  <c r="BE38" i="36" s="1"/>
  <c r="BI56" i="59" l="1"/>
  <c r="BI55" i="59"/>
  <c r="BI78" i="59"/>
  <c r="BE7" i="15"/>
  <c r="BI76" i="59"/>
  <c r="BE5" i="15"/>
  <c r="BE30" i="36"/>
  <c r="BH79" i="59" s="1"/>
  <c r="BF30" i="36"/>
  <c r="BI79" i="59" s="1"/>
  <c r="T44" i="59" l="1"/>
  <c r="P44" i="59"/>
  <c r="I80" i="8"/>
  <c r="L44" i="59" s="1"/>
  <c r="X56" i="17" l="1"/>
  <c r="I7" i="21" l="1"/>
  <c r="J7" i="21" l="1"/>
  <c r="M119" i="6" l="1"/>
  <c r="AA119" i="6" s="1"/>
  <c r="M136" i="6" l="1"/>
  <c r="AA136" i="6" s="1"/>
  <c r="M103" i="6" l="1"/>
  <c r="AA103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0" i="26"/>
  <c r="M110" i="26" s="1"/>
  <c r="Q110" i="26" s="1"/>
  <c r="U110" i="26" s="1"/>
  <c r="I108" i="26"/>
  <c r="M108" i="26" s="1"/>
  <c r="Q108" i="26" s="1"/>
  <c r="U108" i="26" s="1"/>
  <c r="I102" i="26"/>
  <c r="M102" i="26" s="1"/>
  <c r="Q102" i="26" s="1"/>
  <c r="U102" i="26" s="1"/>
  <c r="I100" i="26"/>
  <c r="M100" i="26" s="1"/>
  <c r="Q100" i="26" s="1"/>
  <c r="U100" i="26" s="1"/>
  <c r="H96" i="26"/>
  <c r="M91" i="26"/>
  <c r="H78" i="26"/>
  <c r="I69" i="26"/>
  <c r="M69" i="26" s="1"/>
  <c r="Q69" i="26" s="1"/>
  <c r="U69" i="26" s="1"/>
  <c r="I67" i="26"/>
  <c r="M67" i="26" s="1"/>
  <c r="Q67" i="26" s="1"/>
  <c r="U67" i="26" s="1"/>
  <c r="I63" i="26"/>
  <c r="M63" i="26" s="1"/>
  <c r="Q63" i="26" s="1"/>
  <c r="U63" i="26" s="1"/>
  <c r="I59" i="26"/>
  <c r="M59" i="26" s="1"/>
  <c r="Q59" i="26" s="1"/>
  <c r="U59" i="26" s="1"/>
  <c r="I57" i="26"/>
  <c r="I52" i="26"/>
  <c r="M52" i="26" s="1"/>
  <c r="Q52" i="26" s="1"/>
  <c r="U52" i="26" s="1"/>
  <c r="I50" i="26"/>
  <c r="M50" i="26" s="1"/>
  <c r="Q50" i="26" s="1"/>
  <c r="U50" i="26" s="1"/>
  <c r="I41" i="26"/>
  <c r="M41" i="26" s="1"/>
  <c r="Q41" i="26" s="1"/>
  <c r="U41" i="26" s="1"/>
  <c r="I39" i="26"/>
  <c r="M39" i="26" s="1"/>
  <c r="Q39" i="26" s="1"/>
  <c r="U39" i="26" s="1"/>
  <c r="I33" i="26"/>
  <c r="M33" i="26" s="1"/>
  <c r="Q33" i="26" s="1"/>
  <c r="U33" i="26" s="1"/>
  <c r="I31" i="26"/>
  <c r="M31" i="26" s="1"/>
  <c r="Q31" i="26" s="1"/>
  <c r="U31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1" i="26"/>
  <c r="U91" i="26" s="1"/>
  <c r="AA91" i="26"/>
  <c r="AE91" i="26" s="1"/>
  <c r="L96" i="26"/>
  <c r="P96" i="26" s="1"/>
  <c r="T96" i="26" s="1"/>
  <c r="M57" i="26"/>
  <c r="Q57" i="26" s="1"/>
  <c r="U57" i="26" s="1"/>
  <c r="M11" i="26"/>
  <c r="L78" i="26"/>
  <c r="P78" i="26" s="1"/>
  <c r="T78" i="26" s="1"/>
  <c r="J167" i="26"/>
  <c r="N167" i="26"/>
  <c r="H57" i="17"/>
  <c r="AA50" i="26"/>
  <c r="AE50" i="26" s="1"/>
  <c r="AA63" i="26"/>
  <c r="AE63" i="26" s="1"/>
  <c r="AA110" i="26"/>
  <c r="AE110" i="26" s="1"/>
  <c r="AA31" i="26"/>
  <c r="AE31" i="26" s="1"/>
  <c r="AA67" i="26"/>
  <c r="AE67" i="26" s="1"/>
  <c r="AA100" i="26"/>
  <c r="AE100" i="26" s="1"/>
  <c r="AA33" i="26"/>
  <c r="AE33" i="26" s="1"/>
  <c r="AA69" i="26"/>
  <c r="AE69" i="26" s="1"/>
  <c r="AA102" i="26"/>
  <c r="AE102" i="26" s="1"/>
  <c r="AA25" i="26"/>
  <c r="AA39" i="26"/>
  <c r="AE39" i="26" s="1"/>
  <c r="AA108" i="26"/>
  <c r="AE108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3" i="26"/>
  <c r="L63" i="26" s="1"/>
  <c r="P63" i="26" s="1"/>
  <c r="T63" i="26" s="1"/>
  <c r="H102" i="26"/>
  <c r="L102" i="26" s="1"/>
  <c r="P102" i="26" s="1"/>
  <c r="T102" i="26" s="1"/>
  <c r="H33" i="26"/>
  <c r="L33" i="26" s="1"/>
  <c r="H59" i="26"/>
  <c r="L59" i="26" s="1"/>
  <c r="P59" i="26" s="1"/>
  <c r="T59" i="26" s="1"/>
  <c r="H69" i="26"/>
  <c r="L69" i="26" s="1"/>
  <c r="P69" i="26" s="1"/>
  <c r="T69" i="26" s="1"/>
  <c r="H104" i="26"/>
  <c r="L104" i="26" s="1"/>
  <c r="P104" i="26" s="1"/>
  <c r="T104" i="26" s="1"/>
  <c r="H21" i="26"/>
  <c r="H27" i="26"/>
  <c r="L27" i="26" s="1"/>
  <c r="H35" i="26"/>
  <c r="L35" i="26" s="1"/>
  <c r="H71" i="26"/>
  <c r="L71" i="26" s="1"/>
  <c r="P71" i="26" s="1"/>
  <c r="T71" i="26" s="1"/>
  <c r="I23" i="26"/>
  <c r="M23" i="26" s="1"/>
  <c r="Q23" i="26" s="1"/>
  <c r="U23" i="26" s="1"/>
  <c r="H25" i="26"/>
  <c r="L25" i="26" s="1"/>
  <c r="I29" i="26"/>
  <c r="M29" i="26" s="1"/>
  <c r="Q29" i="26" s="1"/>
  <c r="U29" i="26" s="1"/>
  <c r="H31" i="26"/>
  <c r="L31" i="26" s="1"/>
  <c r="I37" i="26"/>
  <c r="M37" i="26" s="1"/>
  <c r="Q37" i="26" s="1"/>
  <c r="U37" i="26" s="1"/>
  <c r="H39" i="26"/>
  <c r="L39" i="26" s="1"/>
  <c r="P39" i="26" s="1"/>
  <c r="T39" i="26" s="1"/>
  <c r="N172" i="26"/>
  <c r="I21" i="26"/>
  <c r="H23" i="26"/>
  <c r="L23" i="26" s="1"/>
  <c r="I27" i="26"/>
  <c r="M27" i="26" s="1"/>
  <c r="H29" i="26"/>
  <c r="L29" i="26" s="1"/>
  <c r="I35" i="26"/>
  <c r="M35" i="26" s="1"/>
  <c r="Q35" i="26" s="1"/>
  <c r="U35" i="26" s="1"/>
  <c r="H37" i="26"/>
  <c r="L37" i="26" s="1"/>
  <c r="Q9" i="27"/>
  <c r="U9" i="27" s="1"/>
  <c r="Q13" i="27"/>
  <c r="U13" i="27" s="1"/>
  <c r="H61" i="26"/>
  <c r="L61" i="26" s="1"/>
  <c r="P61" i="26" s="1"/>
  <c r="T61" i="26" s="1"/>
  <c r="H65" i="26"/>
  <c r="L65" i="26" s="1"/>
  <c r="P65" i="26" s="1"/>
  <c r="T65" i="26" s="1"/>
  <c r="I71" i="26"/>
  <c r="M71" i="26" s="1"/>
  <c r="Q71" i="26" s="1"/>
  <c r="U71" i="26" s="1"/>
  <c r="I104" i="26"/>
  <c r="M104" i="26" s="1"/>
  <c r="Q104" i="26" s="1"/>
  <c r="U104" i="26" s="1"/>
  <c r="H106" i="26"/>
  <c r="L106" i="26" s="1"/>
  <c r="P106" i="26" s="1"/>
  <c r="T106" i="26" s="1"/>
  <c r="Q6" i="27"/>
  <c r="U6" i="27" s="1"/>
  <c r="Q10" i="27"/>
  <c r="U10" i="27" s="1"/>
  <c r="Q14" i="27"/>
  <c r="U14" i="27" s="1"/>
  <c r="H41" i="26"/>
  <c r="L41" i="26" s="1"/>
  <c r="J172" i="26"/>
  <c r="H57" i="26"/>
  <c r="I61" i="26"/>
  <c r="M61" i="26" s="1"/>
  <c r="I65" i="26"/>
  <c r="H67" i="26"/>
  <c r="L67" i="26" s="1"/>
  <c r="P67" i="26" s="1"/>
  <c r="T67" i="26" s="1"/>
  <c r="I98" i="26"/>
  <c r="H100" i="26"/>
  <c r="L100" i="26" s="1"/>
  <c r="P100" i="26" s="1"/>
  <c r="T100" i="26" s="1"/>
  <c r="I106" i="26"/>
  <c r="M106" i="26" s="1"/>
  <c r="Q106" i="26" s="1"/>
  <c r="U106" i="26" s="1"/>
  <c r="H108" i="26"/>
  <c r="L108" i="26" s="1"/>
  <c r="P108" i="26" s="1"/>
  <c r="T108" i="26" s="1"/>
  <c r="H110" i="26"/>
  <c r="L110" i="26" s="1"/>
  <c r="P110" i="26" s="1"/>
  <c r="T110" i="26" s="1"/>
  <c r="Q7" i="27"/>
  <c r="U7" i="27" s="1"/>
  <c r="Q11" i="27"/>
  <c r="U11" i="27" s="1"/>
  <c r="Q15" i="27"/>
  <c r="U15" i="27" s="1"/>
  <c r="L2" i="27"/>
  <c r="I32" i="27"/>
  <c r="Y7" i="26"/>
  <c r="Y55" i="26"/>
  <c r="AA52" i="26"/>
  <c r="AE52" i="26" s="1"/>
  <c r="I46" i="26"/>
  <c r="M46" i="26" s="1"/>
  <c r="H76" i="26"/>
  <c r="H83" i="26"/>
  <c r="H46" i="26"/>
  <c r="I76" i="26"/>
  <c r="I78" i="26"/>
  <c r="M78" i="26" s="1"/>
  <c r="Q78" i="26" s="1"/>
  <c r="U78" i="26" s="1"/>
  <c r="I96" i="26"/>
  <c r="H98" i="26"/>
  <c r="L98" i="26" s="1"/>
  <c r="P98" i="26" s="1"/>
  <c r="T98" i="26" s="1"/>
  <c r="BF176" i="10" l="1"/>
  <c r="BF77" i="11"/>
  <c r="BG143" i="45"/>
  <c r="AI91" i="26"/>
  <c r="AO91" i="26" s="1"/>
  <c r="AS91" i="26" s="1"/>
  <c r="AI100" i="26"/>
  <c r="AO100" i="26" s="1"/>
  <c r="AS100" i="26" s="1"/>
  <c r="AI102" i="26"/>
  <c r="AO102" i="26" s="1"/>
  <c r="AS102" i="26" s="1"/>
  <c r="AI110" i="26"/>
  <c r="AO110" i="26" s="1"/>
  <c r="AS110" i="26" s="1"/>
  <c r="AI108" i="26"/>
  <c r="AO108" i="26" s="1"/>
  <c r="AS108" i="26" s="1"/>
  <c r="AI67" i="26"/>
  <c r="AO67" i="26" s="1"/>
  <c r="AS67" i="26" s="1"/>
  <c r="AI69" i="26"/>
  <c r="AO69" i="26" s="1"/>
  <c r="AS69" i="26" s="1"/>
  <c r="AI63" i="26"/>
  <c r="AO63" i="26" s="1"/>
  <c r="AS63" i="26" s="1"/>
  <c r="AI52" i="26"/>
  <c r="AO52" i="26" s="1"/>
  <c r="AS52" i="26" s="1"/>
  <c r="AI50" i="26"/>
  <c r="AO50" i="26" s="1"/>
  <c r="AS50" i="26" s="1"/>
  <c r="AI39" i="26"/>
  <c r="AO39" i="26" s="1"/>
  <c r="AS39" i="26" s="1"/>
  <c r="AE25" i="26"/>
  <c r="AI31" i="26"/>
  <c r="AO31" i="26" s="1"/>
  <c r="AS31" i="26" s="1"/>
  <c r="AI33" i="26"/>
  <c r="AO33" i="26" s="1"/>
  <c r="AS33" i="26" s="1"/>
  <c r="T112" i="26"/>
  <c r="L46" i="26"/>
  <c r="P46" i="26" s="1"/>
  <c r="T46" i="26" s="1"/>
  <c r="T48" i="26" s="1"/>
  <c r="M98" i="26"/>
  <c r="Q98" i="26" s="1"/>
  <c r="U98" i="26" s="1"/>
  <c r="I112" i="26"/>
  <c r="I94" i="26" s="1"/>
  <c r="H112" i="26"/>
  <c r="I73" i="26"/>
  <c r="L57" i="26"/>
  <c r="P57" i="26" s="1"/>
  <c r="T57" i="26" s="1"/>
  <c r="H73" i="26"/>
  <c r="L21" i="26"/>
  <c r="H43" i="26"/>
  <c r="M21" i="26"/>
  <c r="Q21" i="26" s="1"/>
  <c r="U21" i="26" s="1"/>
  <c r="I43" i="26"/>
  <c r="AA11" i="26"/>
  <c r="AE11" i="26" s="1"/>
  <c r="Q11" i="26"/>
  <c r="U11" i="26" s="1"/>
  <c r="U12" i="26" s="1"/>
  <c r="M48" i="26"/>
  <c r="M54" i="26" s="1"/>
  <c r="Q46" i="26"/>
  <c r="U46" i="26" s="1"/>
  <c r="U48" i="26" s="1"/>
  <c r="P112" i="26"/>
  <c r="M55" i="17"/>
  <c r="Q61" i="26"/>
  <c r="U61" i="26" s="1"/>
  <c r="U55" i="17" s="1"/>
  <c r="M54" i="17"/>
  <c r="Q27" i="26"/>
  <c r="U27" i="26" s="1"/>
  <c r="U54" i="17" s="1"/>
  <c r="L5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57" i="17"/>
  <c r="L112" i="26"/>
  <c r="L55" i="17"/>
  <c r="M12" i="26"/>
  <c r="M18" i="26" s="1"/>
  <c r="I75" i="26"/>
  <c r="M76" i="26"/>
  <c r="I57" i="17"/>
  <c r="M96" i="26"/>
  <c r="H80" i="26"/>
  <c r="L76" i="26"/>
  <c r="Z76" i="26" s="1"/>
  <c r="AD76" i="26" s="1"/>
  <c r="Z78" i="26"/>
  <c r="AD78" i="26" s="1"/>
  <c r="H56" i="17"/>
  <c r="L83" i="26"/>
  <c r="P83" i="26" s="1"/>
  <c r="T83" i="26" s="1"/>
  <c r="M65" i="26"/>
  <c r="AA41" i="26"/>
  <c r="AE41" i="26" s="1"/>
  <c r="AI41" i="26" s="1"/>
  <c r="X55" i="26"/>
  <c r="N171" i="26"/>
  <c r="N164" i="26"/>
  <c r="J171" i="26"/>
  <c r="J164" i="26"/>
  <c r="H55" i="17"/>
  <c r="H54" i="17"/>
  <c r="H24" i="27"/>
  <c r="Z96" i="26"/>
  <c r="AD96" i="26" s="1"/>
  <c r="AH96" i="26" s="1"/>
  <c r="I54" i="17"/>
  <c r="I55" i="17"/>
  <c r="I39" i="27"/>
  <c r="I24" i="27"/>
  <c r="H39" i="27"/>
  <c r="I33" i="27"/>
  <c r="H33" i="27"/>
  <c r="Z100" i="26"/>
  <c r="AD100" i="26" s="1"/>
  <c r="AA71" i="26"/>
  <c r="AE71" i="26" s="1"/>
  <c r="Z39" i="26"/>
  <c r="AD39" i="26" s="1"/>
  <c r="Z71" i="26"/>
  <c r="AD71" i="26" s="1"/>
  <c r="Z102" i="26"/>
  <c r="AD102" i="26" s="1"/>
  <c r="Z110" i="26"/>
  <c r="AD110" i="26" s="1"/>
  <c r="Z106" i="26"/>
  <c r="AD106" i="26" s="1"/>
  <c r="Z65" i="26"/>
  <c r="AD65" i="26" s="1"/>
  <c r="AA37" i="26"/>
  <c r="AE37" i="26" s="1"/>
  <c r="Z104" i="26"/>
  <c r="AD104" i="26" s="1"/>
  <c r="Z63" i="26"/>
  <c r="AD63" i="26" s="1"/>
  <c r="AA57" i="26"/>
  <c r="AE57" i="26" s="1"/>
  <c r="AI57" i="26" s="1"/>
  <c r="AA9" i="26"/>
  <c r="AE9" i="26" s="1"/>
  <c r="Z98" i="26"/>
  <c r="AD98" i="26" s="1"/>
  <c r="Z108" i="26"/>
  <c r="AD108" i="26" s="1"/>
  <c r="AA104" i="26"/>
  <c r="AE104" i="26" s="1"/>
  <c r="AA35" i="26"/>
  <c r="AE35" i="26" s="1"/>
  <c r="AA59" i="26"/>
  <c r="AE59" i="26" s="1"/>
  <c r="AI59" i="26" s="1"/>
  <c r="AA106" i="26"/>
  <c r="AE106" i="26" s="1"/>
  <c r="Z67" i="26"/>
  <c r="AD67" i="26" s="1"/>
  <c r="AA29" i="26"/>
  <c r="AE29" i="26" s="1"/>
  <c r="Z69" i="26"/>
  <c r="AD69" i="26" s="1"/>
  <c r="AD50" i="26"/>
  <c r="Y45" i="26"/>
  <c r="I13" i="26"/>
  <c r="I7" i="26" s="1"/>
  <c r="I19" i="26"/>
  <c r="I18" i="26"/>
  <c r="I80" i="26"/>
  <c r="AA78" i="26"/>
  <c r="AE78" i="26" s="1"/>
  <c r="I81" i="26"/>
  <c r="H48" i="26"/>
  <c r="I48" i="26"/>
  <c r="AA46" i="26"/>
  <c r="AE46" i="26" s="1"/>
  <c r="AI46" i="26" s="1"/>
  <c r="AI48" i="26" s="1"/>
  <c r="H55" i="26"/>
  <c r="H81" i="26"/>
  <c r="Z46" i="26" l="1"/>
  <c r="AD46" i="26" s="1"/>
  <c r="AH46" i="26" s="1"/>
  <c r="AH48" i="26" s="1"/>
  <c r="AH54" i="26" s="1"/>
  <c r="AW91" i="26"/>
  <c r="BE91" i="26" s="1"/>
  <c r="T2" i="27"/>
  <c r="U2" i="27"/>
  <c r="AW108" i="26"/>
  <c r="BE108" i="26" s="1"/>
  <c r="AW110" i="26"/>
  <c r="BE110" i="26" s="1"/>
  <c r="AW102" i="26"/>
  <c r="BE102" i="26" s="1"/>
  <c r="AW100" i="26"/>
  <c r="BE100" i="26" s="1"/>
  <c r="AW67" i="26"/>
  <c r="BE67" i="26" s="1"/>
  <c r="AW63" i="26"/>
  <c r="BE63" i="26" s="1"/>
  <c r="AW69" i="26"/>
  <c r="BE69" i="26" s="1"/>
  <c r="AW50" i="26"/>
  <c r="BE50" i="26" s="1"/>
  <c r="AW52" i="26"/>
  <c r="BE52" i="26" s="1"/>
  <c r="AW39" i="26"/>
  <c r="BE39" i="26" s="1"/>
  <c r="AW33" i="26"/>
  <c r="BE33" i="26" s="1"/>
  <c r="AW31" i="26"/>
  <c r="BE31" i="26" s="1"/>
  <c r="L48" i="26"/>
  <c r="L54" i="26" s="1"/>
  <c r="AH98" i="26"/>
  <c r="AI106" i="26"/>
  <c r="AO106" i="26" s="1"/>
  <c r="AS106" i="26" s="1"/>
  <c r="AH106" i="26"/>
  <c r="AN106" i="26" s="1"/>
  <c r="AR106" i="26" s="1"/>
  <c r="AI104" i="26"/>
  <c r="AO104" i="26" s="1"/>
  <c r="AS104" i="26" s="1"/>
  <c r="AH108" i="26"/>
  <c r="AN108" i="26" s="1"/>
  <c r="AR108" i="26" s="1"/>
  <c r="AH110" i="26"/>
  <c r="AN110" i="26" s="1"/>
  <c r="AR110" i="26" s="1"/>
  <c r="AH100" i="26"/>
  <c r="AN100" i="26" s="1"/>
  <c r="AR100" i="26" s="1"/>
  <c r="AH104" i="26"/>
  <c r="AN104" i="26" s="1"/>
  <c r="AR104" i="26" s="1"/>
  <c r="AH102" i="26"/>
  <c r="AN102" i="26" s="1"/>
  <c r="AR102" i="26" s="1"/>
  <c r="AH76" i="26"/>
  <c r="AI78" i="26"/>
  <c r="AH78" i="26"/>
  <c r="AI71" i="26"/>
  <c r="AO71" i="26" s="1"/>
  <c r="AS71" i="26" s="1"/>
  <c r="AH67" i="26"/>
  <c r="AN67" i="26" s="1"/>
  <c r="AR67" i="26" s="1"/>
  <c r="AH65" i="26"/>
  <c r="AN65" i="26" s="1"/>
  <c r="AR65" i="26" s="1"/>
  <c r="AH63" i="26"/>
  <c r="AN63" i="26" s="1"/>
  <c r="AR63" i="26" s="1"/>
  <c r="AH69" i="26"/>
  <c r="AN69" i="26" s="1"/>
  <c r="AR69" i="26" s="1"/>
  <c r="AH71" i="26"/>
  <c r="AN71" i="26" s="1"/>
  <c r="AR71" i="26" s="1"/>
  <c r="AH50" i="26"/>
  <c r="AN50" i="26" s="1"/>
  <c r="AR50" i="26" s="1"/>
  <c r="AI55" i="26"/>
  <c r="AI54" i="26"/>
  <c r="AI49" i="26"/>
  <c r="AI37" i="26"/>
  <c r="AO37" i="26" s="1"/>
  <c r="AS37" i="26" s="1"/>
  <c r="AH39" i="26"/>
  <c r="AN39" i="26" s="1"/>
  <c r="AR39" i="26" s="1"/>
  <c r="AI9" i="26"/>
  <c r="AI25" i="26"/>
  <c r="AI29" i="26"/>
  <c r="AO29" i="26" s="1"/>
  <c r="AS29" i="26" s="1"/>
  <c r="AI35" i="26"/>
  <c r="AO35" i="26" s="1"/>
  <c r="AS35" i="26" s="1"/>
  <c r="AI11" i="26"/>
  <c r="AO11" i="26" s="1"/>
  <c r="AS11" i="26" s="1"/>
  <c r="P55" i="17"/>
  <c r="T3" i="26"/>
  <c r="U43" i="26"/>
  <c r="T73" i="26"/>
  <c r="U55" i="26"/>
  <c r="U49" i="26"/>
  <c r="U167" i="26"/>
  <c r="U54" i="26"/>
  <c r="U13" i="26"/>
  <c r="U19" i="26"/>
  <c r="U18" i="26"/>
  <c r="T56" i="17"/>
  <c r="T167" i="26"/>
  <c r="T49" i="26"/>
  <c r="T54" i="26"/>
  <c r="H54" i="26"/>
  <c r="AO59" i="26"/>
  <c r="AE48" i="26"/>
  <c r="AE54" i="26" s="1"/>
  <c r="AD80" i="26"/>
  <c r="AE12" i="26"/>
  <c r="AD112" i="26"/>
  <c r="AD81" i="26"/>
  <c r="AA98" i="26"/>
  <c r="AE98" i="26" s="1"/>
  <c r="P20" i="27"/>
  <c r="P37" i="27"/>
  <c r="Q21" i="27"/>
  <c r="Q36" i="27"/>
  <c r="Q22" i="27"/>
  <c r="U22" i="27" s="1"/>
  <c r="L55" i="26"/>
  <c r="Z55" i="26" s="1"/>
  <c r="AD55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5" i="26"/>
  <c r="L73" i="26"/>
  <c r="M49" i="26"/>
  <c r="L43" i="26"/>
  <c r="M43" i="26"/>
  <c r="M24" i="27"/>
  <c r="M57" i="17"/>
  <c r="Q96" i="26"/>
  <c r="U96" i="26" s="1"/>
  <c r="P48" i="26"/>
  <c r="P54" i="26" s="1"/>
  <c r="M80" i="26"/>
  <c r="Q76" i="26"/>
  <c r="U76" i="26" s="1"/>
  <c r="Q48" i="26"/>
  <c r="Q12" i="26"/>
  <c r="P13" i="26"/>
  <c r="P57" i="17"/>
  <c r="Q55" i="17"/>
  <c r="P73" i="26"/>
  <c r="M73" i="26"/>
  <c r="Q65" i="26"/>
  <c r="U65" i="26" s="1"/>
  <c r="U73" i="26" s="1"/>
  <c r="L81" i="26"/>
  <c r="P76" i="26"/>
  <c r="T76" i="26" s="1"/>
  <c r="P56" i="17"/>
  <c r="Q54" i="17"/>
  <c r="Q43" i="26"/>
  <c r="M39" i="27"/>
  <c r="L33" i="27"/>
  <c r="L39" i="27"/>
  <c r="L24" i="27"/>
  <c r="M33" i="27"/>
  <c r="M13" i="26"/>
  <c r="M19" i="26"/>
  <c r="M81" i="26"/>
  <c r="AA65" i="26"/>
  <c r="AE65" i="26" s="1"/>
  <c r="L56" i="17"/>
  <c r="L80" i="26"/>
  <c r="M75" i="26"/>
  <c r="M112" i="26"/>
  <c r="M94" i="26" s="1"/>
  <c r="AA61" i="26"/>
  <c r="AE61" i="26" s="1"/>
  <c r="AI61" i="26" s="1"/>
  <c r="Z61" i="26"/>
  <c r="AD61" i="26" s="1"/>
  <c r="AH61" i="26" s="1"/>
  <c r="H164" i="26"/>
  <c r="I54" i="26"/>
  <c r="I167" i="26"/>
  <c r="H49" i="26"/>
  <c r="H167" i="26"/>
  <c r="AA27" i="26"/>
  <c r="AE27" i="26" s="1"/>
  <c r="AI27" i="26" s="1"/>
  <c r="Z83" i="26"/>
  <c r="AD83" i="26" s="1"/>
  <c r="AH83" i="26" s="1"/>
  <c r="AN83" i="26" s="1"/>
  <c r="AR83" i="26" s="1"/>
  <c r="AV83" i="26" s="1"/>
  <c r="BD83" i="26" s="1"/>
  <c r="P26" i="27"/>
  <c r="T26" i="27" s="1"/>
  <c r="Q29" i="27"/>
  <c r="U29" i="27" s="1"/>
  <c r="Q26" i="27"/>
  <c r="U26" i="27" s="1"/>
  <c r="Z80" i="26"/>
  <c r="AA76" i="26"/>
  <c r="AE76" i="26" s="1"/>
  <c r="AI76" i="26" s="1"/>
  <c r="Z57" i="26"/>
  <c r="AD57" i="26" s="1"/>
  <c r="AH57" i="26" s="1"/>
  <c r="AA23" i="26"/>
  <c r="AE23" i="26" s="1"/>
  <c r="AI23" i="26" s="1"/>
  <c r="Z59" i="26"/>
  <c r="AD59" i="26" s="1"/>
  <c r="AH59" i="26" s="1"/>
  <c r="AA12" i="26"/>
  <c r="AA19" i="26" s="1"/>
  <c r="Z112" i="26"/>
  <c r="X112" i="26"/>
  <c r="Q18" i="27"/>
  <c r="U18" i="27" s="1"/>
  <c r="P30" i="27"/>
  <c r="T30" i="27" s="1"/>
  <c r="P18" i="27"/>
  <c r="T18" i="27" s="1"/>
  <c r="Q35" i="27"/>
  <c r="U35" i="27" s="1"/>
  <c r="P35" i="27"/>
  <c r="T35" i="27" s="1"/>
  <c r="I55" i="26"/>
  <c r="I49" i="26"/>
  <c r="I45" i="26" s="1"/>
  <c r="U36" i="27" l="1"/>
  <c r="U21" i="27"/>
  <c r="AD48" i="26"/>
  <c r="AI81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08" i="26"/>
  <c r="BD108" i="26" s="1"/>
  <c r="AW104" i="26"/>
  <c r="BE104" i="26" s="1"/>
  <c r="AV102" i="26"/>
  <c r="BD102" i="26" s="1"/>
  <c r="AV106" i="26"/>
  <c r="BD106" i="26" s="1"/>
  <c r="AV104" i="26"/>
  <c r="BD104" i="26" s="1"/>
  <c r="AW106" i="26"/>
  <c r="BE106" i="26" s="1"/>
  <c r="AV100" i="26"/>
  <c r="BD100" i="26" s="1"/>
  <c r="AV110" i="26"/>
  <c r="BD110" i="26" s="1"/>
  <c r="AV63" i="26"/>
  <c r="BD63" i="26" s="1"/>
  <c r="AV65" i="26"/>
  <c r="BD65" i="26" s="1"/>
  <c r="AV67" i="26"/>
  <c r="BD67" i="26" s="1"/>
  <c r="AW71" i="26"/>
  <c r="BE71" i="26" s="1"/>
  <c r="AV71" i="26"/>
  <c r="BD71" i="26" s="1"/>
  <c r="AV69" i="26"/>
  <c r="BD69" i="26" s="1"/>
  <c r="AV50" i="26"/>
  <c r="BD50" i="26" s="1"/>
  <c r="L49" i="26"/>
  <c r="AV39" i="26"/>
  <c r="BD39" i="26" s="1"/>
  <c r="AW37" i="26"/>
  <c r="BE37" i="26" s="1"/>
  <c r="AW35" i="26"/>
  <c r="BE35" i="26" s="1"/>
  <c r="AW29" i="26"/>
  <c r="BE29" i="26" s="1"/>
  <c r="AW11" i="26"/>
  <c r="BE11" i="26" s="1"/>
  <c r="AH80" i="26"/>
  <c r="AI98" i="26"/>
  <c r="AO98" i="26" s="1"/>
  <c r="AS98" i="26" s="1"/>
  <c r="AH112" i="26"/>
  <c r="AN98" i="26"/>
  <c r="AR98" i="26" s="1"/>
  <c r="AN78" i="26"/>
  <c r="AI80" i="26"/>
  <c r="AO78" i="26"/>
  <c r="AS78" i="26" s="1"/>
  <c r="AH81" i="26"/>
  <c r="AN76" i="26"/>
  <c r="AI65" i="26"/>
  <c r="AI73" i="26" s="1"/>
  <c r="AH73" i="26"/>
  <c r="AH55" i="26"/>
  <c r="AN55" i="26" s="1"/>
  <c r="AR55" i="26" s="1"/>
  <c r="AI12" i="26"/>
  <c r="AO9" i="26"/>
  <c r="AI21" i="26"/>
  <c r="AI43" i="26" s="1"/>
  <c r="AO25" i="26"/>
  <c r="AS25" i="26" s="1"/>
  <c r="AN57" i="26"/>
  <c r="AR57" i="26" s="1"/>
  <c r="AV57" i="26" s="1"/>
  <c r="AN96" i="26"/>
  <c r="AO57" i="26"/>
  <c r="AS57" i="26" s="1"/>
  <c r="AW57" i="26" s="1"/>
  <c r="T13" i="26"/>
  <c r="T7" i="26" s="1"/>
  <c r="T55" i="17"/>
  <c r="T57" i="17"/>
  <c r="U81" i="26"/>
  <c r="U80" i="26"/>
  <c r="T81" i="26"/>
  <c r="T80" i="26"/>
  <c r="U112" i="26"/>
  <c r="U57" i="17"/>
  <c r="U164" i="26"/>
  <c r="AS59" i="26"/>
  <c r="AW59" i="26" s="1"/>
  <c r="AN46" i="26"/>
  <c r="AO46" i="26"/>
  <c r="AO41" i="26"/>
  <c r="AE49" i="26"/>
  <c r="AE55" i="26"/>
  <c r="AE55" i="17"/>
  <c r="AE81" i="26"/>
  <c r="AO76" i="26"/>
  <c r="AS76" i="26" s="1"/>
  <c r="AI54" i="17"/>
  <c r="AE54" i="17"/>
  <c r="AD54" i="26"/>
  <c r="AE80" i="26"/>
  <c r="AE73" i="26"/>
  <c r="AD73" i="26"/>
  <c r="AE43" i="26"/>
  <c r="AE19" i="26"/>
  <c r="AE13" i="26"/>
  <c r="AE18" i="26"/>
  <c r="AA20" i="27"/>
  <c r="Z19" i="27"/>
  <c r="AA22" i="27"/>
  <c r="AA21" i="27"/>
  <c r="Z3" i="26"/>
  <c r="Z13" i="26" s="1"/>
  <c r="I164" i="26"/>
  <c r="P55" i="26"/>
  <c r="T55" i="26" s="1"/>
  <c r="T164" i="26" s="1"/>
  <c r="M45" i="26"/>
  <c r="P39" i="27"/>
  <c r="Q24" i="27"/>
  <c r="Q39" i="27"/>
  <c r="P24" i="27"/>
  <c r="M7" i="26"/>
  <c r="Q13" i="26"/>
  <c r="Q19" i="26"/>
  <c r="Q18" i="26"/>
  <c r="Q75" i="26"/>
  <c r="U75" i="26" s="1"/>
  <c r="Q81" i="26"/>
  <c r="Q80" i="26"/>
  <c r="P49" i="26"/>
  <c r="Q49" i="26"/>
  <c r="Q55" i="26"/>
  <c r="Q54" i="26"/>
  <c r="Q57" i="17"/>
  <c r="Q112" i="26"/>
  <c r="Q94" i="26" s="1"/>
  <c r="P81" i="26"/>
  <c r="P80" i="26"/>
  <c r="AA55" i="17"/>
  <c r="Q73" i="26"/>
  <c r="Q33" i="27"/>
  <c r="L164" i="26"/>
  <c r="L167" i="26"/>
  <c r="AA54" i="17"/>
  <c r="P33" i="27"/>
  <c r="AA75" i="26"/>
  <c r="AE75" i="26" s="1"/>
  <c r="AI75" i="26" s="1"/>
  <c r="AA80" i="26"/>
  <c r="AA13" i="26"/>
  <c r="X92" i="26"/>
  <c r="X48" i="26"/>
  <c r="X167" i="26" s="1"/>
  <c r="X73" i="26"/>
  <c r="Z20" i="27" l="1"/>
  <c r="AN112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98" i="26"/>
  <c r="AW98" i="26"/>
  <c r="BE98" i="26" s="1"/>
  <c r="AW78" i="26"/>
  <c r="AW76" i="26"/>
  <c r="AV55" i="26"/>
  <c r="BD55" i="26" s="1"/>
  <c r="AW25" i="26"/>
  <c r="BE25" i="26" s="1"/>
  <c r="BD57" i="26"/>
  <c r="BE57" i="26"/>
  <c r="AR96" i="26"/>
  <c r="AV96" i="26" s="1"/>
  <c r="AN81" i="26"/>
  <c r="AR76" i="26"/>
  <c r="AV76" i="26" s="1"/>
  <c r="AR78" i="26"/>
  <c r="AV78" i="26" s="1"/>
  <c r="AN80" i="26"/>
  <c r="AO65" i="26"/>
  <c r="AS65" i="26" s="1"/>
  <c r="AO21" i="26"/>
  <c r="AS21" i="26" s="1"/>
  <c r="AS9" i="26"/>
  <c r="AW9" i="26" s="1"/>
  <c r="AW12" i="26" s="1"/>
  <c r="AO12" i="26"/>
  <c r="AI19" i="26"/>
  <c r="AI13" i="26"/>
  <c r="AI18" i="26"/>
  <c r="AI55" i="17"/>
  <c r="U94" i="26"/>
  <c r="BE59" i="26"/>
  <c r="AN48" i="26"/>
  <c r="AN54" i="26" s="1"/>
  <c r="AR46" i="26"/>
  <c r="AV46" i="26" s="1"/>
  <c r="AV48" i="26" s="1"/>
  <c r="AS81" i="26"/>
  <c r="AS80" i="26"/>
  <c r="AO48" i="26"/>
  <c r="AO55" i="26" s="1"/>
  <c r="AS46" i="26"/>
  <c r="AW46" i="26" s="1"/>
  <c r="AW48" i="26" s="1"/>
  <c r="AS41" i="26"/>
  <c r="Z55" i="17"/>
  <c r="AD3" i="26"/>
  <c r="AO81" i="26"/>
  <c r="AO80" i="26"/>
  <c r="AO23" i="26"/>
  <c r="AN61" i="26"/>
  <c r="AO27" i="26"/>
  <c r="AN59" i="26"/>
  <c r="AO61" i="26"/>
  <c r="AO75" i="26"/>
  <c r="AS75" i="26" s="1"/>
  <c r="Q45" i="26"/>
  <c r="U45" i="26" s="1"/>
  <c r="Z56" i="17"/>
  <c r="Z57" i="17"/>
  <c r="X39" i="27"/>
  <c r="Y39" i="27"/>
  <c r="X164" i="26"/>
  <c r="AA19" i="27"/>
  <c r="AA7" i="26"/>
  <c r="AE7" i="26" s="1"/>
  <c r="Q7" i="26"/>
  <c r="U7" i="26" s="1"/>
  <c r="P164" i="26"/>
  <c r="P167" i="26"/>
  <c r="AA55" i="26"/>
  <c r="Q167" i="26"/>
  <c r="X49" i="26"/>
  <c r="X54" i="26"/>
  <c r="AA18" i="26"/>
  <c r="AA18" i="27"/>
  <c r="AE18" i="27" s="1"/>
  <c r="AI18" i="27" s="1"/>
  <c r="Z73" i="26"/>
  <c r="Z81" i="26"/>
  <c r="AA43" i="26"/>
  <c r="X81" i="26"/>
  <c r="Z48" i="26"/>
  <c r="Z167" i="26" s="1"/>
  <c r="AA48" i="26"/>
  <c r="Z18" i="27"/>
  <c r="AD18" i="27" s="1"/>
  <c r="AH18" i="27" s="1"/>
  <c r="AD21" i="27" l="1"/>
  <c r="AD22" i="27"/>
  <c r="AE27" i="27"/>
  <c r="AI27" i="27" s="1"/>
  <c r="AO27" i="27" s="1"/>
  <c r="AS27" i="27" s="1"/>
  <c r="AD19" i="27"/>
  <c r="AH19" i="27" s="1"/>
  <c r="AN19" i="27" s="1"/>
  <c r="AR19" i="27" s="1"/>
  <c r="AV19" i="27" s="1"/>
  <c r="BD19" i="27" s="1"/>
  <c r="BI19" i="27" s="1"/>
  <c r="AV80" i="26"/>
  <c r="AH22" i="27"/>
  <c r="AN22" i="27" s="1"/>
  <c r="AR22" i="27" s="1"/>
  <c r="AH36" i="27"/>
  <c r="AN36" i="27" s="1"/>
  <c r="AR36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2" i="26"/>
  <c r="AV112" i="26"/>
  <c r="BD98" i="26"/>
  <c r="AW75" i="26"/>
  <c r="AW81" i="26"/>
  <c r="BE76" i="26"/>
  <c r="AW80" i="26"/>
  <c r="AV81" i="26"/>
  <c r="BE78" i="26"/>
  <c r="AW65" i="26"/>
  <c r="BE65" i="26" s="1"/>
  <c r="AW54" i="26"/>
  <c r="AW49" i="26"/>
  <c r="AW55" i="26"/>
  <c r="AV54" i="26"/>
  <c r="AW41" i="26"/>
  <c r="AW21" i="26"/>
  <c r="AW13" i="26"/>
  <c r="AW18" i="26"/>
  <c r="AW19" i="26"/>
  <c r="AR80" i="26"/>
  <c r="AR81" i="26"/>
  <c r="AO19" i="26"/>
  <c r="AO13" i="26"/>
  <c r="AO18" i="26"/>
  <c r="AI7" i="26"/>
  <c r="AS12" i="26"/>
  <c r="AO49" i="26"/>
  <c r="AO54" i="26"/>
  <c r="AR48" i="26"/>
  <c r="AR54" i="26" s="1"/>
  <c r="AS48" i="26"/>
  <c r="AS49" i="26" s="1"/>
  <c r="AO73" i="26"/>
  <c r="AS61" i="26"/>
  <c r="AW61" i="26" s="1"/>
  <c r="AO55" i="17"/>
  <c r="AR59" i="26"/>
  <c r="AR61" i="26"/>
  <c r="AV61" i="26" s="1"/>
  <c r="AS23" i="26"/>
  <c r="AS27" i="26"/>
  <c r="AO54" i="17"/>
  <c r="AH3" i="26"/>
  <c r="AD13" i="26"/>
  <c r="AD57" i="17"/>
  <c r="AD55" i="17"/>
  <c r="AD49" i="26"/>
  <c r="AD56" i="17"/>
  <c r="AN73" i="26"/>
  <c r="AO43" i="26"/>
  <c r="Z164" i="26"/>
  <c r="AA24" i="27"/>
  <c r="Z39" i="27"/>
  <c r="Z33" i="27"/>
  <c r="AA39" i="27"/>
  <c r="Z24" i="27"/>
  <c r="AA33" i="27"/>
  <c r="Z49" i="26"/>
  <c r="Z54" i="26"/>
  <c r="AA49" i="26"/>
  <c r="AA45" i="26" s="1"/>
  <c r="AE45" i="26" s="1"/>
  <c r="AI45" i="26" s="1"/>
  <c r="AA54" i="26"/>
  <c r="AE24" i="27" l="1"/>
  <c r="AH13" i="26"/>
  <c r="AH49" i="26"/>
  <c r="AH55" i="17"/>
  <c r="AH57" i="17"/>
  <c r="AH56" i="17"/>
  <c r="AW73" i="26"/>
  <c r="BE81" i="26"/>
  <c r="AW27" i="27"/>
  <c r="BE27" i="27" s="1"/>
  <c r="BJ27" i="27" s="1"/>
  <c r="AV28" i="27"/>
  <c r="BD28" i="27" s="1"/>
  <c r="BI28" i="27" s="1"/>
  <c r="AV37" i="27"/>
  <c r="BD37" i="27" s="1"/>
  <c r="BI37" i="27" s="1"/>
  <c r="AV36" i="27"/>
  <c r="BD36" i="27" s="1"/>
  <c r="BI36" i="27" s="1"/>
  <c r="AV21" i="27"/>
  <c r="BD21" i="27" s="1"/>
  <c r="BI21" i="27" s="1"/>
  <c r="AV22" i="27"/>
  <c r="BD22" i="27" s="1"/>
  <c r="BI22" i="27" s="1"/>
  <c r="AV29" i="27"/>
  <c r="BD29" i="27" s="1"/>
  <c r="BI29" i="27" s="1"/>
  <c r="AV30" i="27"/>
  <c r="BD30" i="27" s="1"/>
  <c r="BI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BI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5" i="26"/>
  <c r="BE41" i="26"/>
  <c r="BE80" i="26"/>
  <c r="AV59" i="26"/>
  <c r="AV73" i="26" s="1"/>
  <c r="AS54" i="17"/>
  <c r="AW27" i="26"/>
  <c r="AW54" i="17" s="1"/>
  <c r="AW23" i="26"/>
  <c r="BE21" i="26"/>
  <c r="AS55" i="17"/>
  <c r="BD96" i="26"/>
  <c r="AO7" i="26"/>
  <c r="BD76" i="26"/>
  <c r="BD78" i="26"/>
  <c r="BE9" i="26"/>
  <c r="AS19" i="26"/>
  <c r="AS18" i="26"/>
  <c r="AS13" i="26"/>
  <c r="AO45" i="26"/>
  <c r="AS45" i="26" s="1"/>
  <c r="AW45" i="26" s="1"/>
  <c r="BE31" i="27"/>
  <c r="BJ31" i="27" s="1"/>
  <c r="AS54" i="26"/>
  <c r="BE46" i="26"/>
  <c r="BD46" i="26"/>
  <c r="AS55" i="26"/>
  <c r="AS43" i="26"/>
  <c r="BD61" i="26"/>
  <c r="AR73" i="26"/>
  <c r="AS73" i="26"/>
  <c r="AN3" i="26"/>
  <c r="AN18" i="27"/>
  <c r="AO18" i="27"/>
  <c r="E16" i="8"/>
  <c r="BG16" i="8" s="1"/>
  <c r="BE12" i="26" l="1"/>
  <c r="BD112" i="26"/>
  <c r="BE48" i="26"/>
  <c r="BE54" i="26" s="1"/>
  <c r="BD48" i="26"/>
  <c r="AW43" i="26"/>
  <c r="AH33" i="27"/>
  <c r="AN20" i="27"/>
  <c r="AR20" i="27" s="1"/>
  <c r="AV20" i="27" s="1"/>
  <c r="BD20" i="27" s="1"/>
  <c r="BI20" i="27" s="1"/>
  <c r="AW29" i="27"/>
  <c r="BE29" i="27" s="1"/>
  <c r="BJ29" i="27" s="1"/>
  <c r="AW28" i="27"/>
  <c r="BE28" i="27" s="1"/>
  <c r="BJ28" i="27" s="1"/>
  <c r="AW36" i="27"/>
  <c r="BE36" i="27" s="1"/>
  <c r="BJ36" i="27" s="1"/>
  <c r="AW37" i="27"/>
  <c r="BE37" i="27" s="1"/>
  <c r="BJ37" i="27" s="1"/>
  <c r="AV31" i="27"/>
  <c r="BD31" i="27" s="1"/>
  <c r="BI31" i="27" s="1"/>
  <c r="AW22" i="27"/>
  <c r="BE22" i="27" s="1"/>
  <c r="BJ22" i="27" s="1"/>
  <c r="AI39" i="27"/>
  <c r="AO35" i="27"/>
  <c r="AW20" i="27"/>
  <c r="BE20" i="27" s="1"/>
  <c r="BJ20" i="27" s="1"/>
  <c r="AI33" i="27"/>
  <c r="AW21" i="27"/>
  <c r="BE21" i="27" s="1"/>
  <c r="BJ21" i="27" s="1"/>
  <c r="AO26" i="27"/>
  <c r="AR35" i="27"/>
  <c r="AN39" i="27"/>
  <c r="AI24" i="27"/>
  <c r="AN33" i="27"/>
  <c r="AR26" i="27"/>
  <c r="AO19" i="27"/>
  <c r="AS19" i="27" s="1"/>
  <c r="AW19" i="27" s="1"/>
  <c r="BE19" i="27" s="1"/>
  <c r="BJ19" i="27" s="1"/>
  <c r="BD59" i="26"/>
  <c r="BE23" i="26"/>
  <c r="BE61" i="26"/>
  <c r="AW55" i="17"/>
  <c r="BD80" i="26"/>
  <c r="AS7" i="26"/>
  <c r="AW7" i="26" s="1"/>
  <c r="BD81" i="26"/>
  <c r="BE18" i="26"/>
  <c r="BE13" i="26"/>
  <c r="BE19" i="26"/>
  <c r="BE49" i="26"/>
  <c r="BE27" i="26"/>
  <c r="AR18" i="27"/>
  <c r="AV18" i="27" s="1"/>
  <c r="AS18" i="27"/>
  <c r="AW18" i="27" s="1"/>
  <c r="AR3" i="26"/>
  <c r="AN57" i="17"/>
  <c r="AN56" i="17"/>
  <c r="AN55" i="17"/>
  <c r="AN13" i="26"/>
  <c r="AN49" i="26"/>
  <c r="J27" i="22"/>
  <c r="N27" i="22" s="1"/>
  <c r="R27" i="22" s="1"/>
  <c r="J13" i="22"/>
  <c r="R13" i="22" s="1"/>
  <c r="V13" i="22" s="1"/>
  <c r="BD73" i="26" l="1"/>
  <c r="BE55" i="26"/>
  <c r="BE73" i="26"/>
  <c r="BD54" i="26"/>
  <c r="AV3" i="26"/>
  <c r="BD3" i="26" s="1"/>
  <c r="AR57" i="17"/>
  <c r="AR55" i="17"/>
  <c r="AR56" i="17"/>
  <c r="AN24" i="27"/>
  <c r="Z28" i="22"/>
  <c r="V27" i="22"/>
  <c r="AB27" i="22" s="1"/>
  <c r="AF27" i="22" s="1"/>
  <c r="AJ27" i="22" s="1"/>
  <c r="BE5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E43" i="26"/>
  <c r="BE54" i="17"/>
  <c r="AS24" i="27"/>
  <c r="AR24" i="27"/>
  <c r="BE45" i="26"/>
  <c r="AR13" i="26"/>
  <c r="AR49" i="26"/>
  <c r="BF143" i="45" l="1"/>
  <c r="BE176" i="10"/>
  <c r="BE77" i="11"/>
  <c r="AV13" i="26"/>
  <c r="AV57" i="17"/>
  <c r="AV49" i="26"/>
  <c r="AV56" i="17"/>
  <c r="AV55" i="17"/>
  <c r="AW35" i="27"/>
  <c r="AS39" i="27"/>
  <c r="AV39" i="27"/>
  <c r="BD35" i="27"/>
  <c r="AW26" i="27"/>
  <c r="AW33" i="27" s="1"/>
  <c r="AS33" i="27"/>
  <c r="AV33" i="27"/>
  <c r="BD26" i="27"/>
  <c r="BD13" i="26"/>
  <c r="BD57" i="17"/>
  <c r="BD56" i="17"/>
  <c r="BD49" i="26"/>
  <c r="BD55" i="17"/>
  <c r="BE18" i="27"/>
  <c r="BD18" i="27"/>
  <c r="AB13" i="22"/>
  <c r="AF13" i="22" s="1"/>
  <c r="AJ13" i="22" s="1"/>
  <c r="BE24" i="27" l="1"/>
  <c r="BJ24" i="27" s="1"/>
  <c r="BJ18" i="27"/>
  <c r="BD39" i="27"/>
  <c r="BI39" i="27" s="1"/>
  <c r="BI35" i="27"/>
  <c r="BD33" i="27"/>
  <c r="BI33" i="27" s="1"/>
  <c r="BI26" i="27"/>
  <c r="BD24" i="27"/>
  <c r="BI24" i="27" s="1"/>
  <c r="BI18" i="27"/>
  <c r="BE26" i="27"/>
  <c r="AW39" i="27"/>
  <c r="BE35" i="27"/>
  <c r="AP27" i="22"/>
  <c r="Z6" i="24"/>
  <c r="Y6" i="24"/>
  <c r="BE33" i="27" l="1"/>
  <c r="BJ33" i="27" s="1"/>
  <c r="BJ26" i="27"/>
  <c r="BE39" i="27"/>
  <c r="BJ39" i="27" s="1"/>
  <c r="BJ35" i="27"/>
  <c r="AP13" i="22"/>
  <c r="AT27" i="22"/>
  <c r="Z13" i="15"/>
  <c r="AD13" i="15" s="1"/>
  <c r="AX27" i="22" l="1"/>
  <c r="BF27" i="22" s="1"/>
  <c r="AH13" i="15"/>
  <c r="AN13" i="15" s="1"/>
  <c r="AR13" i="15" s="1"/>
  <c r="AT13" i="22"/>
  <c r="I61" i="8"/>
  <c r="AX13" i="22" l="1"/>
  <c r="BF13" i="22" s="1"/>
  <c r="AV13" i="15"/>
  <c r="BD13" i="15" s="1"/>
  <c r="AE61" i="8"/>
  <c r="AI61" i="8" l="1"/>
  <c r="AO61" i="8" s="1"/>
  <c r="AS61" i="8" s="1"/>
  <c r="J69" i="8"/>
  <c r="AW61" i="8" l="1"/>
  <c r="BE61" i="8" s="1"/>
  <c r="BG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522" i="28" l="1"/>
  <c r="AJ523" i="28"/>
  <c r="AT6" i="21"/>
  <c r="AP12" i="21"/>
  <c r="AE22" i="21"/>
  <c r="AO6" i="21"/>
  <c r="AI12" i="21"/>
  <c r="J62" i="8"/>
  <c r="J59" i="8"/>
  <c r="AT12" i="21" l="1"/>
  <c r="AT522" i="28" s="1"/>
  <c r="AX6" i="21"/>
  <c r="AS6" i="21"/>
  <c r="AO12" i="21"/>
  <c r="AP522" i="28"/>
  <c r="AP523" i="28"/>
  <c r="AI22" i="21"/>
  <c r="AO22" i="21" s="1"/>
  <c r="J63" i="8"/>
  <c r="AT523" i="28" l="1"/>
  <c r="AX12" i="21"/>
  <c r="AX523" i="28" s="1"/>
  <c r="BF6" i="21"/>
  <c r="BF12" i="21" s="1"/>
  <c r="AS12" i="21"/>
  <c r="AW6" i="21"/>
  <c r="BE6" i="21" s="1"/>
  <c r="I66" i="9"/>
  <c r="J66" i="9"/>
  <c r="AX522" i="28" l="1"/>
  <c r="BF522" i="28"/>
  <c r="BH522" i="28" s="1"/>
  <c r="BF523" i="28"/>
  <c r="BH523" i="28" s="1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42" i="22" s="1"/>
  <c r="AB22" i="22"/>
  <c r="AF22" i="22" s="1"/>
  <c r="AJ22" i="22" s="1"/>
  <c r="AB21" i="22"/>
  <c r="AB43" i="22" s="1"/>
  <c r="AB24" i="22"/>
  <c r="AF24" i="22" s="1"/>
  <c r="AA13" i="22"/>
  <c r="AE13" i="22" s="1"/>
  <c r="I12" i="22"/>
  <c r="AF7" i="22" l="1"/>
  <c r="AJ7" i="22" s="1"/>
  <c r="AF21" i="22"/>
  <c r="AJ21" i="22" s="1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43" i="22" s="1"/>
  <c r="AP7" i="22"/>
  <c r="AP42" i="22" s="1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T42" i="22" s="1"/>
  <c r="AT21" i="22"/>
  <c r="AT43" i="22" s="1"/>
  <c r="AF15" i="22"/>
  <c r="AF23" i="22"/>
  <c r="AW24" i="22"/>
  <c r="BE24" i="22" s="1"/>
  <c r="AJ19" i="22"/>
  <c r="AJ18" i="22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1" i="22" l="1"/>
  <c r="AX43" i="22" s="1"/>
  <c r="AX24" i="22"/>
  <c r="AX22" i="22"/>
  <c r="AX23" i="22" s="1"/>
  <c r="AX8" i="22"/>
  <c r="AX7" i="22"/>
  <c r="AX42" i="22" s="1"/>
  <c r="AW10" i="22"/>
  <c r="BE10" i="22" s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AX25" i="22"/>
  <c r="AX28" i="22" s="1"/>
  <c r="AX9" i="22"/>
  <c r="AW11" i="22"/>
  <c r="AW12" i="22" s="1"/>
  <c r="AX31" i="22"/>
  <c r="AT17" i="22"/>
  <c r="AP10" i="22"/>
  <c r="AW27" i="22"/>
  <c r="BE27" i="22" s="1"/>
  <c r="AI29" i="22"/>
  <c r="AI28" i="22"/>
  <c r="AS22" i="22"/>
  <c r="AO23" i="22"/>
  <c r="AT16" i="22"/>
  <c r="AT19" i="22"/>
  <c r="AT18" i="22"/>
  <c r="BF22" i="22"/>
  <c r="BF8" i="22"/>
  <c r="BE11" i="22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E14" i="22" l="1"/>
  <c r="BF23" i="22"/>
  <c r="BF9" i="22"/>
  <c r="BF30" i="22"/>
  <c r="AX26" i="22"/>
  <c r="BF25" i="22"/>
  <c r="BF31" i="22"/>
  <c r="AW14" i="22"/>
  <c r="AX11" i="22"/>
  <c r="AX14" i="22" s="1"/>
  <c r="AW22" i="22"/>
  <c r="AW23" i="22" s="1"/>
  <c r="AX16" i="22"/>
  <c r="AX19" i="22"/>
  <c r="AX18" i="22"/>
  <c r="AX17" i="22"/>
  <c r="AP12" i="22"/>
  <c r="AT10" i="22"/>
  <c r="AT15" i="22"/>
  <c r="BA16" i="22"/>
  <c r="AW8" i="22"/>
  <c r="AW9" i="22" s="1"/>
  <c r="AS23" i="22"/>
  <c r="BE12" i="22"/>
  <c r="BE15" i="22"/>
  <c r="AS9" i="22"/>
  <c r="BA17" i="22" s="1"/>
  <c r="AO26" i="22"/>
  <c r="AS25" i="22"/>
  <c r="AO29" i="22"/>
  <c r="AT14" i="22"/>
  <c r="AO28" i="22"/>
  <c r="AA32" i="27"/>
  <c r="AE32" i="27" s="1"/>
  <c r="Z71" i="7"/>
  <c r="Z73" i="7" s="1"/>
  <c r="Z41" i="7"/>
  <c r="BF18" i="22" l="1"/>
  <c r="BF11" i="22"/>
  <c r="BF19" i="22"/>
  <c r="BF28" i="22"/>
  <c r="BF17" i="22"/>
  <c r="BF16" i="22"/>
  <c r="BF26" i="22"/>
  <c r="AX10" i="22"/>
  <c r="BF10" i="22" s="1"/>
  <c r="AW25" i="22"/>
  <c r="AW26" i="22" s="1"/>
  <c r="AT12" i="22"/>
  <c r="AX12" i="22"/>
  <c r="AI32" i="27"/>
  <c r="AO32" i="27" s="1"/>
  <c r="AS32" i="27" s="1"/>
  <c r="BE22" i="22"/>
  <c r="AS29" i="22"/>
  <c r="BA31" i="22"/>
  <c r="BE8" i="22"/>
  <c r="AS26" i="22"/>
  <c r="AS28" i="22"/>
  <c r="Z51" i="7"/>
  <c r="BF12" i="22" l="1"/>
  <c r="BF14" i="22"/>
  <c r="BE9" i="22"/>
  <c r="BE23" i="22"/>
  <c r="AW28" i="22"/>
  <c r="AW29" i="22"/>
  <c r="BE25" i="22"/>
  <c r="AW32" i="27"/>
  <c r="BE32" i="27" s="1"/>
  <c r="BJ32" i="27" s="1"/>
  <c r="Z106" i="7"/>
  <c r="Z107" i="7"/>
  <c r="Z108" i="7"/>
  <c r="Z85" i="7"/>
  <c r="Z63" i="7"/>
  <c r="BE26" i="22" l="1"/>
  <c r="BE28" i="22"/>
  <c r="BE29" i="22"/>
  <c r="I83" i="26"/>
  <c r="I56" i="17" l="1"/>
  <c r="M83" i="26"/>
  <c r="Q83" i="26" s="1"/>
  <c r="U83" i="26" s="1"/>
  <c r="AA81" i="26"/>
  <c r="Y81" i="26"/>
  <c r="I92" i="26"/>
  <c r="U92" i="26" l="1"/>
  <c r="U56" i="17"/>
  <c r="Q56" i="17"/>
  <c r="Q92" i="26"/>
  <c r="M92" i="26"/>
  <c r="M56" i="17"/>
  <c r="AA83" i="26"/>
  <c r="AE83" i="26" s="1"/>
  <c r="AI83" i="26" s="1"/>
  <c r="AI92" i="26" s="1"/>
  <c r="Y15" i="21"/>
  <c r="AE92" i="26" l="1"/>
  <c r="AE56" i="17"/>
  <c r="AA56" i="17"/>
  <c r="AO83" i="26" l="1"/>
  <c r="AO92" i="26" s="1"/>
  <c r="AI56" i="17"/>
  <c r="AA92" i="26"/>
  <c r="AS83" i="26" l="1"/>
  <c r="AW83" i="26" s="1"/>
  <c r="AW92" i="26" s="1"/>
  <c r="AO56" i="17"/>
  <c r="L123" i="7"/>
  <c r="L124" i="7" s="1"/>
  <c r="BE83" i="26" l="1"/>
  <c r="AS56" i="17"/>
  <c r="AW56" i="17"/>
  <c r="AS92" i="26"/>
  <c r="BE92" i="26"/>
  <c r="L125" i="7"/>
  <c r="L126" i="7"/>
  <c r="L127" i="7" s="1"/>
  <c r="BE56" i="17" l="1"/>
  <c r="L128" i="7"/>
  <c r="L135" i="7" l="1"/>
  <c r="Y73" i="26" l="1"/>
  <c r="I65" i="17" l="1"/>
  <c r="Q65" i="17" s="1"/>
  <c r="U65" i="17" s="1"/>
  <c r="I69" i="17"/>
  <c r="Q69" i="17" s="1"/>
  <c r="U69" i="17" s="1"/>
  <c r="I63" i="17"/>
  <c r="Q63" i="17" s="1"/>
  <c r="U63" i="17" s="1"/>
  <c r="I64" i="17"/>
  <c r="Q64" i="17" s="1"/>
  <c r="U64" i="17" s="1"/>
  <c r="I68" i="17"/>
  <c r="Q68" i="17" s="1"/>
  <c r="U68" i="17" s="1"/>
  <c r="I72" i="17"/>
  <c r="Q72" i="17" s="1"/>
  <c r="U72" i="17" s="1"/>
  <c r="I66" i="17"/>
  <c r="Q66" i="17" s="1"/>
  <c r="U66" i="17" s="1"/>
  <c r="I70" i="17"/>
  <c r="Q70" i="17" s="1"/>
  <c r="U70" i="17" s="1"/>
  <c r="I67" i="17"/>
  <c r="Q67" i="17" s="1"/>
  <c r="U67" i="17" s="1"/>
  <c r="I71" i="17"/>
  <c r="Q71" i="17" s="1"/>
  <c r="U71" i="17" s="1"/>
  <c r="H31" i="17" l="1"/>
  <c r="L31" i="17" s="1"/>
  <c r="P31" i="17" l="1"/>
  <c r="T31" i="17" s="1"/>
  <c r="Z31" i="17"/>
  <c r="AD31" i="17" s="1"/>
  <c r="I31" i="17"/>
  <c r="I28" i="17"/>
  <c r="I3" i="17"/>
  <c r="H3" i="17"/>
  <c r="I42" i="17" l="1"/>
  <c r="H38" i="17"/>
  <c r="AH31" i="17"/>
  <c r="AN31" i="17" s="1"/>
  <c r="M31" i="17"/>
  <c r="AA31" i="17" s="1"/>
  <c r="AE31" i="17" s="1"/>
  <c r="M28" i="17"/>
  <c r="AA28" i="17" s="1"/>
  <c r="AE28" i="17" s="1"/>
  <c r="H42" i="17"/>
  <c r="H51" i="17"/>
  <c r="H45" i="17"/>
  <c r="H36" i="17"/>
  <c r="H52" i="17"/>
  <c r="H47" i="17"/>
  <c r="H43" i="17"/>
  <c r="H41" i="17"/>
  <c r="H48" i="17"/>
  <c r="I45" i="17"/>
  <c r="I36" i="17"/>
  <c r="I41" i="17"/>
  <c r="I52" i="17"/>
  <c r="I43" i="17"/>
  <c r="I38" i="17"/>
  <c r="I51" i="17"/>
  <c r="I48" i="17"/>
  <c r="I47" i="17"/>
  <c r="I11" i="17"/>
  <c r="I23" i="17"/>
  <c r="I13" i="17"/>
  <c r="I9" i="17"/>
  <c r="I19" i="17"/>
  <c r="I17" i="17"/>
  <c r="L3" i="17"/>
  <c r="M3" i="17"/>
  <c r="H18" i="17"/>
  <c r="L18" i="17" s="1"/>
  <c r="Z18" i="17" s="1"/>
  <c r="AD18" i="17" s="1"/>
  <c r="AH18" i="17" s="1"/>
  <c r="H28" i="17"/>
  <c r="H16" i="17"/>
  <c r="J73" i="11"/>
  <c r="H22" i="17"/>
  <c r="I44" i="17" l="1"/>
  <c r="L38" i="17"/>
  <c r="H49" i="17"/>
  <c r="I49" i="17"/>
  <c r="H44" i="17"/>
  <c r="AB73" i="11"/>
  <c r="AF73" i="11" s="1"/>
  <c r="J74" i="11"/>
  <c r="AI31" i="17"/>
  <c r="AO31" i="17" s="1"/>
  <c r="AS31" i="17" s="1"/>
  <c r="AI28" i="17"/>
  <c r="AO28" i="17" s="1"/>
  <c r="AR31" i="17"/>
  <c r="BB31" i="17"/>
  <c r="BB32" i="17" s="1"/>
  <c r="AN18" i="17"/>
  <c r="AR18" i="17" s="1"/>
  <c r="L36" i="17"/>
  <c r="Q28" i="17"/>
  <c r="U28" i="17" s="1"/>
  <c r="L28" i="17"/>
  <c r="Z28" i="17" s="1"/>
  <c r="AD28" i="17" s="1"/>
  <c r="M38" i="17"/>
  <c r="M36" i="17"/>
  <c r="M58" i="17"/>
  <c r="Q31" i="17"/>
  <c r="U31" i="17" s="1"/>
  <c r="M45" i="17"/>
  <c r="M41" i="17"/>
  <c r="L45" i="17"/>
  <c r="L19" i="17"/>
  <c r="P18" i="17"/>
  <c r="T18" i="17" s="1"/>
  <c r="L51" i="17"/>
  <c r="L47" i="17"/>
  <c r="L52" i="17"/>
  <c r="M47" i="17"/>
  <c r="L42" i="17"/>
  <c r="M52" i="17"/>
  <c r="L43" i="17"/>
  <c r="M42" i="17"/>
  <c r="M51" i="17"/>
  <c r="L48" i="17"/>
  <c r="M23" i="17"/>
  <c r="M13" i="17"/>
  <c r="M17" i="17"/>
  <c r="M11" i="17"/>
  <c r="M19" i="17"/>
  <c r="M9" i="17"/>
  <c r="M48" i="17"/>
  <c r="P3" i="17"/>
  <c r="M43" i="17"/>
  <c r="L41" i="17"/>
  <c r="H17" i="17"/>
  <c r="L16" i="17"/>
  <c r="Z16" i="17" s="1"/>
  <c r="AD16" i="17" s="1"/>
  <c r="AH16" i="17" s="1"/>
  <c r="H23" i="17"/>
  <c r="L22" i="17"/>
  <c r="Z22" i="17" s="1"/>
  <c r="H58" i="17"/>
  <c r="L58" i="17" s="1"/>
  <c r="H19" i="17"/>
  <c r="I58" i="17"/>
  <c r="I53" i="17"/>
  <c r="R73" i="11"/>
  <c r="I14" i="17"/>
  <c r="Q3" i="17"/>
  <c r="H53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3" i="17" l="1"/>
  <c r="T19" i="17"/>
  <c r="AV31" i="17"/>
  <c r="BD31" i="17" s="1"/>
  <c r="L49" i="17"/>
  <c r="M49" i="17"/>
  <c r="P38" i="17"/>
  <c r="T38" i="17" s="1"/>
  <c r="L44" i="17"/>
  <c r="AB74" i="11"/>
  <c r="M44" i="17"/>
  <c r="V73" i="11"/>
  <c r="V74" i="11" s="1"/>
  <c r="R74" i="11"/>
  <c r="AJ73" i="11"/>
  <c r="AJ74" i="11" s="1"/>
  <c r="AF74" i="11"/>
  <c r="AS28" i="17"/>
  <c r="AH20" i="17"/>
  <c r="AH28" i="17"/>
  <c r="U3" i="17"/>
  <c r="AW31" i="17"/>
  <c r="AV18" i="17"/>
  <c r="BD18" i="17" s="1"/>
  <c r="AD22" i="17"/>
  <c r="AH22" i="17" s="1"/>
  <c r="AN16" i="17"/>
  <c r="AR16" i="17" s="1"/>
  <c r="AD20" i="17"/>
  <c r="P28" i="17"/>
  <c r="T28" i="17" s="1"/>
  <c r="L53" i="17"/>
  <c r="P41" i="17"/>
  <c r="P58" i="17"/>
  <c r="T58" i="17" s="1"/>
  <c r="P45" i="17"/>
  <c r="Q58" i="17"/>
  <c r="U58" i="17" s="1"/>
  <c r="P47" i="17"/>
  <c r="T47" i="17" s="1"/>
  <c r="P48" i="17"/>
  <c r="T48" i="17" s="1"/>
  <c r="P36" i="17"/>
  <c r="T36" i="17" s="1"/>
  <c r="P51" i="17"/>
  <c r="T51" i="17" s="1"/>
  <c r="Q48" i="17"/>
  <c r="P43" i="17"/>
  <c r="T43" i="17" s="1"/>
  <c r="P42" i="17"/>
  <c r="T42" i="17" s="1"/>
  <c r="P52" i="17"/>
  <c r="T52" i="17" s="1"/>
  <c r="Q52" i="17"/>
  <c r="U52" i="17" s="1"/>
  <c r="L23" i="17"/>
  <c r="P22" i="17"/>
  <c r="T22" i="17" s="1"/>
  <c r="Q41" i="17"/>
  <c r="Q43" i="17"/>
  <c r="Q38" i="17"/>
  <c r="Q36" i="17"/>
  <c r="L17" i="17"/>
  <c r="P16" i="17"/>
  <c r="T16" i="17" s="1"/>
  <c r="T17" i="17" s="1"/>
  <c r="M53" i="17"/>
  <c r="Q51" i="17"/>
  <c r="P19" i="17"/>
  <c r="Q17" i="17"/>
  <c r="Q13" i="17"/>
  <c r="Q23" i="17"/>
  <c r="Q19" i="17"/>
  <c r="Q9" i="17"/>
  <c r="Q11" i="17"/>
  <c r="Q42" i="17"/>
  <c r="Q47" i="17"/>
  <c r="Q45" i="17"/>
  <c r="I20" i="17"/>
  <c r="I24" i="17" s="1"/>
  <c r="Q14" i="17"/>
  <c r="U14" i="17" s="1"/>
  <c r="I178" i="10"/>
  <c r="L65" i="59" s="1"/>
  <c r="I79" i="11"/>
  <c r="L69" i="59" s="1"/>
  <c r="Q169" i="10"/>
  <c r="U169" i="10" s="1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15" i="17"/>
  <c r="I175" i="10"/>
  <c r="I177" i="10"/>
  <c r="I174" i="10"/>
  <c r="N2" i="10"/>
  <c r="N176" i="10" s="1"/>
  <c r="J177" i="10"/>
  <c r="J175" i="10"/>
  <c r="J174" i="10"/>
  <c r="I66" i="11"/>
  <c r="M2" i="11"/>
  <c r="M77" i="11" s="1"/>
  <c r="I72" i="11"/>
  <c r="I170" i="10"/>
  <c r="I71" i="11"/>
  <c r="I172" i="10"/>
  <c r="I173" i="10" s="1"/>
  <c r="I165" i="10"/>
  <c r="M2" i="10"/>
  <c r="M176" i="10" s="1"/>
  <c r="H69" i="59"/>
  <c r="H65" i="59"/>
  <c r="I73" i="11"/>
  <c r="I69" i="11"/>
  <c r="L68" i="59" s="1"/>
  <c r="I168" i="10"/>
  <c r="L64" i="59" s="1"/>
  <c r="J5" i="11"/>
  <c r="J58" i="11" s="1"/>
  <c r="U36" i="17" l="1"/>
  <c r="T45" i="17"/>
  <c r="T49" i="17" s="1"/>
  <c r="P49" i="17"/>
  <c r="U38" i="17"/>
  <c r="U43" i="17"/>
  <c r="Q49" i="17"/>
  <c r="AW28" i="17"/>
  <c r="BE28" i="17" s="1"/>
  <c r="U47" i="17"/>
  <c r="U42" i="17"/>
  <c r="U51" i="17"/>
  <c r="U53" i="17" s="1"/>
  <c r="Q44" i="17"/>
  <c r="T41" i="17"/>
  <c r="T44" i="17" s="1"/>
  <c r="P44" i="17"/>
  <c r="AA73" i="11"/>
  <c r="AE73" i="11" s="1"/>
  <c r="I74" i="11"/>
  <c r="AP73" i="11"/>
  <c r="AH24" i="17"/>
  <c r="AV16" i="17"/>
  <c r="BD16" i="17" s="1"/>
  <c r="BD20" i="17" s="1"/>
  <c r="U13" i="17"/>
  <c r="U23" i="17"/>
  <c r="U19" i="17"/>
  <c r="U9" i="17"/>
  <c r="U11" i="17"/>
  <c r="U17" i="17"/>
  <c r="AN28" i="17"/>
  <c r="AR28" i="17" s="1"/>
  <c r="U41" i="17"/>
  <c r="U45" i="17"/>
  <c r="U48" i="17"/>
  <c r="AR20" i="17"/>
  <c r="BE31" i="17"/>
  <c r="U79" i="11"/>
  <c r="X69" i="59" s="1"/>
  <c r="U71" i="11"/>
  <c r="U69" i="11"/>
  <c r="T53" i="17"/>
  <c r="U15" i="17"/>
  <c r="U20" i="17"/>
  <c r="T23" i="17"/>
  <c r="P53" i="17"/>
  <c r="AN20" i="17"/>
  <c r="AD24" i="17"/>
  <c r="AN22" i="17"/>
  <c r="P17" i="17"/>
  <c r="Z3" i="17"/>
  <c r="P23" i="17"/>
  <c r="Q15" i="17"/>
  <c r="Q20" i="17"/>
  <c r="Q53" i="17"/>
  <c r="M15" i="17"/>
  <c r="M20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69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4" i="59" s="1"/>
  <c r="AA3" i="17"/>
  <c r="Q167" i="10"/>
  <c r="U167" i="10" s="1"/>
  <c r="U170" i="10" s="1"/>
  <c r="J89" i="11"/>
  <c r="J84" i="11"/>
  <c r="J72" i="11"/>
  <c r="Q71" i="11"/>
  <c r="Q69" i="11"/>
  <c r="T68" i="59" s="1"/>
  <c r="Q73" i="11"/>
  <c r="I21" i="17"/>
  <c r="I69" i="59"/>
  <c r="Q5" i="11"/>
  <c r="U5" i="11" s="1"/>
  <c r="U58" i="11" s="1"/>
  <c r="AA165" i="10"/>
  <c r="AE165" i="10" s="1"/>
  <c r="AI165" i="10" s="1"/>
  <c r="AI166" i="10" s="1"/>
  <c r="I67" i="11"/>
  <c r="I166" i="10"/>
  <c r="J92" i="11"/>
  <c r="I65" i="59"/>
  <c r="AE3" i="17" l="1"/>
  <c r="Z38" i="17"/>
  <c r="U49" i="17"/>
  <c r="U44" i="17"/>
  <c r="Q77" i="11"/>
  <c r="U77" i="11" s="1"/>
  <c r="AA74" i="11"/>
  <c r="U73" i="11"/>
  <c r="U74" i="11" s="1"/>
  <c r="Q74" i="11"/>
  <c r="AT73" i="11"/>
  <c r="AP74" i="11"/>
  <c r="AI73" i="11"/>
  <c r="AI74" i="11" s="1"/>
  <c r="AE74" i="11"/>
  <c r="AR22" i="17"/>
  <c r="AV20" i="17"/>
  <c r="AV28" i="17"/>
  <c r="BD28" i="17" s="1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4" i="59" s="1"/>
  <c r="U21" i="17"/>
  <c r="U24" i="17"/>
  <c r="U25" i="17" s="1"/>
  <c r="AT2" i="10"/>
  <c r="AX2" i="10" s="1"/>
  <c r="BF2" i="10" s="1"/>
  <c r="BD2" i="10"/>
  <c r="AS2" i="10"/>
  <c r="AW2" i="10" s="1"/>
  <c r="BE2" i="10" s="1"/>
  <c r="BC2" i="10"/>
  <c r="AN24" i="17"/>
  <c r="AE58" i="11"/>
  <c r="AE166" i="10"/>
  <c r="AD3" i="17"/>
  <c r="AI3" i="17"/>
  <c r="AE19" i="17"/>
  <c r="AE11" i="17"/>
  <c r="AE13" i="17"/>
  <c r="AE9" i="17"/>
  <c r="AE15" i="17"/>
  <c r="AE23" i="17"/>
  <c r="AE17" i="17"/>
  <c r="AE21" i="17"/>
  <c r="AE25" i="17"/>
  <c r="X68" i="59"/>
  <c r="AE79" i="11"/>
  <c r="AH69" i="59" s="1"/>
  <c r="AA36" i="17"/>
  <c r="AE36" i="17" s="1"/>
  <c r="AA38" i="17"/>
  <c r="AE38" i="17" s="1"/>
  <c r="Z41" i="17"/>
  <c r="Z47" i="17"/>
  <c r="Z42" i="17"/>
  <c r="Z48" i="17"/>
  <c r="Z43" i="17"/>
  <c r="Z45" i="17"/>
  <c r="Y71" i="11"/>
  <c r="Y69" i="11"/>
  <c r="AB68" i="59" s="1"/>
  <c r="Y67" i="11"/>
  <c r="AA68" i="11"/>
  <c r="AE68" i="11" s="1"/>
  <c r="AI68" i="11" s="1"/>
  <c r="Z36" i="17"/>
  <c r="Q21" i="17"/>
  <c r="Q24" i="17"/>
  <c r="Q25" i="17" s="1"/>
  <c r="Z51" i="17"/>
  <c r="Z52" i="17"/>
  <c r="AA58" i="11"/>
  <c r="AD67" i="59" s="1"/>
  <c r="Q58" i="11"/>
  <c r="T67" i="59" s="1"/>
  <c r="AA42" i="17"/>
  <c r="AE42" i="17" s="1"/>
  <c r="AA11" i="17"/>
  <c r="AA19" i="17"/>
  <c r="AA13" i="17"/>
  <c r="M21" i="17"/>
  <c r="M24" i="17"/>
  <c r="M25" i="17" s="1"/>
  <c r="AA23" i="17"/>
  <c r="AA17" i="17"/>
  <c r="AA9" i="17"/>
  <c r="AA79" i="11"/>
  <c r="AD69" i="59" s="1"/>
  <c r="AA72" i="11"/>
  <c r="AE72" i="11" s="1"/>
  <c r="AB175" i="10"/>
  <c r="AF175" i="10" s="1"/>
  <c r="AB174" i="10"/>
  <c r="AF174" i="10" s="1"/>
  <c r="AA177" i="10"/>
  <c r="AE177" i="10" s="1"/>
  <c r="Q67" i="11"/>
  <c r="X67" i="59"/>
  <c r="AB5" i="11"/>
  <c r="AF5" i="11" s="1"/>
  <c r="AJ5" i="11" s="1"/>
  <c r="AA166" i="10"/>
  <c r="AA51" i="17"/>
  <c r="AE51" i="17" s="1"/>
  <c r="AA48" i="17"/>
  <c r="AE48" i="17" s="1"/>
  <c r="AA52" i="17"/>
  <c r="AE52" i="17" s="1"/>
  <c r="AI52" i="17" s="1"/>
  <c r="AA41" i="17"/>
  <c r="AA47" i="17"/>
  <c r="AE47" i="17" s="1"/>
  <c r="AI47" i="17" s="1"/>
  <c r="AA43" i="17"/>
  <c r="AE43" i="17" s="1"/>
  <c r="AI43" i="17" s="1"/>
  <c r="AA4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Q168" i="10"/>
  <c r="T64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I25" i="17"/>
  <c r="J94" i="11"/>
  <c r="J191" i="10"/>
  <c r="R5" i="11"/>
  <c r="V5" i="11" s="1"/>
  <c r="Q72" i="11"/>
  <c r="U72" i="11" s="1"/>
  <c r="I5" i="10"/>
  <c r="I161" i="10" s="1"/>
  <c r="AD58" i="17" l="1"/>
  <c r="AE45" i="17"/>
  <c r="AE49" i="17" s="1"/>
  <c r="AA49" i="17"/>
  <c r="AI42" i="17"/>
  <c r="AI48" i="17"/>
  <c r="AI51" i="17"/>
  <c r="AI53" i="17" s="1"/>
  <c r="AI36" i="17"/>
  <c r="AI38" i="17"/>
  <c r="Z49" i="17"/>
  <c r="AD38" i="17"/>
  <c r="J193" i="10"/>
  <c r="Z44" i="17"/>
  <c r="AE41" i="17"/>
  <c r="AA44" i="17"/>
  <c r="AI72" i="11"/>
  <c r="AO73" i="11"/>
  <c r="AS73" i="11" s="1"/>
  <c r="AX73" i="11"/>
  <c r="AT74" i="11"/>
  <c r="AV22" i="17"/>
  <c r="AO3" i="17"/>
  <c r="AI17" i="17"/>
  <c r="AI13" i="17"/>
  <c r="AI9" i="17"/>
  <c r="AI11" i="17"/>
  <c r="AI19" i="17"/>
  <c r="AI21" i="17"/>
  <c r="AI15" i="17"/>
  <c r="AI23" i="17"/>
  <c r="AI25" i="17"/>
  <c r="AR24" i="17"/>
  <c r="AS176" i="10"/>
  <c r="AW176" i="10" s="1"/>
  <c r="AT176" i="10"/>
  <c r="AX176" i="10" s="1"/>
  <c r="AW66" i="11"/>
  <c r="AJ89" i="11"/>
  <c r="AJ58" i="11"/>
  <c r="AJ22" i="36" s="1"/>
  <c r="AJ84" i="11"/>
  <c r="V89" i="11"/>
  <c r="V58" i="11"/>
  <c r="V84" i="11"/>
  <c r="AI58" i="11"/>
  <c r="AI69" i="11"/>
  <c r="AI67" i="11"/>
  <c r="AI71" i="11"/>
  <c r="AI79" i="11"/>
  <c r="AL69" i="59" s="1"/>
  <c r="AE69" i="11"/>
  <c r="AH68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52" i="17"/>
  <c r="AO42" i="17"/>
  <c r="AD52" i="17"/>
  <c r="AD48" i="17"/>
  <c r="AD42" i="17"/>
  <c r="BC177" i="10"/>
  <c r="BC174" i="10"/>
  <c r="BC175" i="10"/>
  <c r="BD177" i="10"/>
  <c r="BD175" i="10"/>
  <c r="BD174" i="10"/>
  <c r="AO165" i="10"/>
  <c r="AO23" i="17"/>
  <c r="AO17" i="17"/>
  <c r="AO21" i="17"/>
  <c r="AD45" i="17"/>
  <c r="AD47" i="17"/>
  <c r="AD36" i="17"/>
  <c r="AD43" i="17"/>
  <c r="AF89" i="11"/>
  <c r="AF58" i="11"/>
  <c r="AF22" i="36" s="1"/>
  <c r="AI67" i="59" s="1"/>
  <c r="AF84" i="11"/>
  <c r="AO5" i="11"/>
  <c r="AA71" i="11"/>
  <c r="AA67" i="11"/>
  <c r="AO68" i="11"/>
  <c r="AS68" i="11" s="1"/>
  <c r="AE53" i="17"/>
  <c r="AD51" i="17"/>
  <c r="AH3" i="17"/>
  <c r="AD15" i="17"/>
  <c r="AD19" i="17"/>
  <c r="AD17" i="17"/>
  <c r="AD23" i="17"/>
  <c r="AD41" i="17"/>
  <c r="AE67" i="11"/>
  <c r="AE71" i="11"/>
  <c r="AA69" i="11"/>
  <c r="AD68" i="59" s="1"/>
  <c r="AB58" i="11"/>
  <c r="AE67" i="59" s="1"/>
  <c r="R58" i="11"/>
  <c r="R22" i="36" s="1"/>
  <c r="Z19" i="17"/>
  <c r="AB89" i="11"/>
  <c r="J31" i="35"/>
  <c r="J97" i="11" s="1"/>
  <c r="AB84" i="11"/>
  <c r="AB72" i="11"/>
  <c r="AF72" i="11" s="1"/>
  <c r="AJ72" i="11" s="1"/>
  <c r="AA53" i="17"/>
  <c r="Q166" i="10"/>
  <c r="Z53" i="17"/>
  <c r="R191" i="10"/>
  <c r="U65" i="59"/>
  <c r="Z17" i="17"/>
  <c r="Z23" i="17"/>
  <c r="R72" i="11"/>
  <c r="V72" i="11" s="1"/>
  <c r="R89" i="11"/>
  <c r="R84" i="11"/>
  <c r="R92" i="11"/>
  <c r="I171" i="10"/>
  <c r="J5" i="10"/>
  <c r="J161" i="10" s="1"/>
  <c r="I95" i="9"/>
  <c r="AI45" i="17" l="1"/>
  <c r="AI49" i="17" s="1"/>
  <c r="AS3" i="17"/>
  <c r="AS42" i="17" s="1"/>
  <c r="BE66" i="11"/>
  <c r="AD49" i="17"/>
  <c r="AH42" i="17"/>
  <c r="AD44" i="17"/>
  <c r="AO43" i="17"/>
  <c r="AS43" i="17" s="1"/>
  <c r="AH38" i="17"/>
  <c r="R193" i="10"/>
  <c r="AI41" i="17"/>
  <c r="AO41" i="17" s="1"/>
  <c r="AE44" i="17"/>
  <c r="AO74" i="11"/>
  <c r="AX74" i="11"/>
  <c r="BF73" i="11"/>
  <c r="BF74" i="11" s="1"/>
  <c r="AW73" i="11"/>
  <c r="AS74" i="11"/>
  <c r="AS52" i="17"/>
  <c r="AW3" i="17"/>
  <c r="AS17" i="17"/>
  <c r="AS13" i="17"/>
  <c r="AS19" i="17"/>
  <c r="AS9" i="17"/>
  <c r="AS11" i="17"/>
  <c r="AS15" i="17"/>
  <c r="AS21" i="17"/>
  <c r="AS23" i="17"/>
  <c r="AS25" i="17"/>
  <c r="AO36" i="17"/>
  <c r="AH43" i="17"/>
  <c r="AO9" i="17"/>
  <c r="AH48" i="17"/>
  <c r="BD22" i="17"/>
  <c r="AV24" i="17"/>
  <c r="AH36" i="17"/>
  <c r="AO15" i="17"/>
  <c r="AH52" i="17"/>
  <c r="AH15" i="17"/>
  <c r="AH19" i="17"/>
  <c r="AH17" i="17"/>
  <c r="AH23" i="17"/>
  <c r="AH47" i="17"/>
  <c r="AO11" i="17"/>
  <c r="AO48" i="17"/>
  <c r="AH45" i="17"/>
  <c r="AO13" i="17"/>
  <c r="AO47" i="17"/>
  <c r="AH58" i="17"/>
  <c r="AH51" i="17"/>
  <c r="AH41" i="17"/>
  <c r="AO38" i="17"/>
  <c r="AS38" i="17" s="1"/>
  <c r="AO25" i="17"/>
  <c r="AO19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AW175" i="10"/>
  <c r="AX175" i="10"/>
  <c r="AX174" i="10"/>
  <c r="AX177" i="10"/>
  <c r="AS70" i="11"/>
  <c r="AO79" i="11"/>
  <c r="AR69" i="59" s="1"/>
  <c r="AD53" i="17"/>
  <c r="AO58" i="11"/>
  <c r="AR67" i="59" s="1"/>
  <c r="AS5" i="11"/>
  <c r="AS165" i="10"/>
  <c r="AW165" i="10" s="1"/>
  <c r="AO166" i="10"/>
  <c r="AS67" i="11"/>
  <c r="AN3" i="17"/>
  <c r="AD21" i="17"/>
  <c r="AD25" i="17" s="1"/>
  <c r="AO51" i="17"/>
  <c r="AS51" i="17" s="1"/>
  <c r="AP5" i="11"/>
  <c r="AT5" i="11" s="1"/>
  <c r="AM67" i="59"/>
  <c r="AO67" i="11"/>
  <c r="AO69" i="11"/>
  <c r="AR68" i="59" s="1"/>
  <c r="AO71" i="11"/>
  <c r="AO72" i="11"/>
  <c r="AL68" i="59"/>
  <c r="AB22" i="36"/>
  <c r="J33" i="35"/>
  <c r="J21" i="36"/>
  <c r="M63" i="59" s="1"/>
  <c r="AA5" i="10"/>
  <c r="Q5" i="10"/>
  <c r="AA15" i="17"/>
  <c r="AA20" i="17"/>
  <c r="J188" i="10"/>
  <c r="R94" i="11"/>
  <c r="R79" i="11"/>
  <c r="U69" i="59" s="1"/>
  <c r="J183" i="10"/>
  <c r="J171" i="10"/>
  <c r="N21" i="36"/>
  <c r="Q63" i="59" s="1"/>
  <c r="I92" i="9"/>
  <c r="J99" i="9"/>
  <c r="J95" i="9"/>
  <c r="J92" i="9"/>
  <c r="I99" i="9"/>
  <c r="AO45" i="17" l="1"/>
  <c r="AR3" i="17"/>
  <c r="AW166" i="10"/>
  <c r="BF174" i="10"/>
  <c r="BF175" i="10"/>
  <c r="BE175" i="10"/>
  <c r="BF177" i="10"/>
  <c r="BE177" i="10"/>
  <c r="AW38" i="17"/>
  <c r="AS45" i="17"/>
  <c r="AW45" i="17" s="1"/>
  <c r="AO49" i="17"/>
  <c r="AH49" i="17"/>
  <c r="AW5" i="11"/>
  <c r="AW58" i="11" s="1"/>
  <c r="AW70" i="11"/>
  <c r="AW69" i="11" s="1"/>
  <c r="AX5" i="11"/>
  <c r="AW43" i="17"/>
  <c r="AN38" i="17"/>
  <c r="AR38" i="17" s="1"/>
  <c r="AH44" i="17"/>
  <c r="AS41" i="17"/>
  <c r="AS44" i="17" s="1"/>
  <c r="AO44" i="17"/>
  <c r="AI44" i="17"/>
  <c r="AW74" i="11"/>
  <c r="BE73" i="11"/>
  <c r="BE74" i="11" s="1"/>
  <c r="AS36" i="17"/>
  <c r="AW36" i="17" s="1"/>
  <c r="AS48" i="17"/>
  <c r="AW48" i="17" s="1"/>
  <c r="BD24" i="17"/>
  <c r="AW9" i="17"/>
  <c r="AW19" i="17"/>
  <c r="AW11" i="17"/>
  <c r="AW13" i="17"/>
  <c r="AW17" i="17"/>
  <c r="AW15" i="17"/>
  <c r="AW21" i="17"/>
  <c r="AW23" i="17"/>
  <c r="AW25" i="17"/>
  <c r="BE3" i="17"/>
  <c r="AW51" i="17"/>
  <c r="AS53" i="17"/>
  <c r="AH21" i="17"/>
  <c r="AW52" i="17"/>
  <c r="AH53" i="17"/>
  <c r="AW42" i="17"/>
  <c r="AV3" i="17"/>
  <c r="AR15" i="17"/>
  <c r="AR19" i="17"/>
  <c r="AR17" i="17"/>
  <c r="AR23" i="17"/>
  <c r="AS47" i="17"/>
  <c r="AW47" i="17" s="1"/>
  <c r="AS71" i="11"/>
  <c r="AS69" i="11"/>
  <c r="AV68" i="59" s="1"/>
  <c r="AW67" i="11"/>
  <c r="BE68" i="11"/>
  <c r="BE67" i="11" s="1"/>
  <c r="AS79" i="11"/>
  <c r="AV69" i="59" s="1"/>
  <c r="U5" i="10"/>
  <c r="AN41" i="17"/>
  <c r="AN58" i="17"/>
  <c r="AN47" i="17"/>
  <c r="AR47" i="17" s="1"/>
  <c r="AN36" i="17"/>
  <c r="V22" i="36"/>
  <c r="Y67" i="59"/>
  <c r="AN45" i="17"/>
  <c r="AS72" i="11"/>
  <c r="AS166" i="10"/>
  <c r="AN43" i="17"/>
  <c r="AS58" i="11"/>
  <c r="AO53" i="17"/>
  <c r="AN42" i="17"/>
  <c r="AT89" i="11"/>
  <c r="AT58" i="11"/>
  <c r="AT22" i="36" s="1"/>
  <c r="AW67" i="59" s="1"/>
  <c r="AT84" i="11"/>
  <c r="AN52" i="17"/>
  <c r="AN51" i="17"/>
  <c r="AR51" i="17" s="1"/>
  <c r="AN15" i="17"/>
  <c r="AN19" i="17"/>
  <c r="AN17" i="17"/>
  <c r="AN23" i="17"/>
  <c r="AN48" i="17"/>
  <c r="AR48" i="17" s="1"/>
  <c r="AP89" i="11"/>
  <c r="AP58" i="11"/>
  <c r="AP84" i="11"/>
  <c r="AP72" i="11"/>
  <c r="AT72" i="11" s="1"/>
  <c r="AE5" i="10"/>
  <c r="AA24" i="17"/>
  <c r="J79" i="11"/>
  <c r="M69" i="59" s="1"/>
  <c r="J22" i="36"/>
  <c r="M67" i="59" s="1"/>
  <c r="J34" i="35"/>
  <c r="N33" i="35"/>
  <c r="AA171" i="10"/>
  <c r="AB5" i="10"/>
  <c r="AB161" i="10" s="1"/>
  <c r="R5" i="10"/>
  <c r="Q171" i="10"/>
  <c r="AA21" i="17"/>
  <c r="I38" i="9"/>
  <c r="I20" i="9"/>
  <c r="I15" i="9"/>
  <c r="J2" i="9"/>
  <c r="I2" i="9"/>
  <c r="BD3" i="17" l="1"/>
  <c r="AV48" i="17"/>
  <c r="AW72" i="11"/>
  <c r="BE5" i="11"/>
  <c r="AX89" i="11"/>
  <c r="AW71" i="11"/>
  <c r="AX72" i="11"/>
  <c r="AW79" i="11"/>
  <c r="AZ69" i="59" s="1"/>
  <c r="BF5" i="11"/>
  <c r="AX84" i="11"/>
  <c r="AR45" i="17"/>
  <c r="AR49" i="17" s="1"/>
  <c r="AN49" i="17"/>
  <c r="AX58" i="11"/>
  <c r="AX22" i="36" s="1"/>
  <c r="BA67" i="59" s="1"/>
  <c r="AW49" i="17"/>
  <c r="AS49" i="17"/>
  <c r="BE36" i="17"/>
  <c r="BE47" i="17"/>
  <c r="BE52" i="17"/>
  <c r="BE48" i="17"/>
  <c r="AV38" i="17"/>
  <c r="BD38" i="17" s="1"/>
  <c r="AW41" i="17"/>
  <c r="AW44" i="17" s="1"/>
  <c r="AW53" i="17"/>
  <c r="AN44" i="17"/>
  <c r="AR43" i="17"/>
  <c r="AV43" i="17" s="1"/>
  <c r="BD43" i="17" s="1"/>
  <c r="AR36" i="17"/>
  <c r="AV36" i="17" s="1"/>
  <c r="BD36" i="17" s="1"/>
  <c r="AV47" i="17"/>
  <c r="BD47" i="17" s="1"/>
  <c r="AR21" i="17"/>
  <c r="AV51" i="17"/>
  <c r="AR41" i="17"/>
  <c r="AH25" i="17"/>
  <c r="AR52" i="17"/>
  <c r="AV52" i="17" s="1"/>
  <c r="BD52" i="17" s="1"/>
  <c r="AV15" i="17"/>
  <c r="AV19" i="17"/>
  <c r="AV17" i="17"/>
  <c r="AV23" i="17"/>
  <c r="BE45" i="17"/>
  <c r="BE11" i="17"/>
  <c r="BE13" i="17"/>
  <c r="BE15" i="17"/>
  <c r="BE17" i="17"/>
  <c r="BE9" i="17"/>
  <c r="BE23" i="17"/>
  <c r="BE21" i="17"/>
  <c r="BE19" i="17"/>
  <c r="BE38" i="17"/>
  <c r="BE25" i="17"/>
  <c r="BE42" i="17"/>
  <c r="BE43" i="17"/>
  <c r="AR42" i="17"/>
  <c r="AV42" i="17" s="1"/>
  <c r="BD42" i="17" s="1"/>
  <c r="U171" i="10"/>
  <c r="AR58" i="17"/>
  <c r="BE70" i="11"/>
  <c r="AZ68" i="59"/>
  <c r="AI5" i="10"/>
  <c r="R161" i="10"/>
  <c r="U63" i="59" s="1"/>
  <c r="V5" i="10"/>
  <c r="BD15" i="17"/>
  <c r="BD19" i="17"/>
  <c r="BD17" i="17"/>
  <c r="BD23" i="17"/>
  <c r="AE171" i="10"/>
  <c r="BE165" i="10"/>
  <c r="AN53" i="17"/>
  <c r="AN21" i="17"/>
  <c r="AS67" i="59"/>
  <c r="AP22" i="36"/>
  <c r="AF5" i="10"/>
  <c r="R97" i="11"/>
  <c r="AA25" i="17"/>
  <c r="J36" i="35"/>
  <c r="U67" i="59"/>
  <c r="AB171" i="10"/>
  <c r="AB188" i="10"/>
  <c r="AB183" i="10"/>
  <c r="R171" i="10"/>
  <c r="R188" i="10"/>
  <c r="R183" i="10"/>
  <c r="J103" i="9"/>
  <c r="J97" i="9"/>
  <c r="J98" i="9"/>
  <c r="I51" i="9"/>
  <c r="M94" i="9"/>
  <c r="L19" i="15" s="1"/>
  <c r="I104" i="9"/>
  <c r="L58" i="59" s="1"/>
  <c r="I89" i="9"/>
  <c r="I96" i="9"/>
  <c r="I94" i="9"/>
  <c r="H19" i="15" s="1"/>
  <c r="I93" i="9"/>
  <c r="H130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3" i="59" s="1"/>
  <c r="I102" i="9"/>
  <c r="I100" i="9"/>
  <c r="J20" i="9"/>
  <c r="J9" i="9"/>
  <c r="J7" i="9"/>
  <c r="J19" i="9"/>
  <c r="J57" i="36" s="1"/>
  <c r="J17" i="36" s="1"/>
  <c r="M54" i="59" s="1"/>
  <c r="J88" i="9"/>
  <c r="J65" i="9"/>
  <c r="J70" i="9"/>
  <c r="J27" i="9"/>
  <c r="J29" i="9"/>
  <c r="J8" i="9"/>
  <c r="J24" i="9"/>
  <c r="J12" i="9"/>
  <c r="J23" i="9"/>
  <c r="J22" i="9"/>
  <c r="J2" i="8"/>
  <c r="I2" i="8"/>
  <c r="BF72" i="11" l="1"/>
  <c r="BF89" i="11"/>
  <c r="BF58" i="11"/>
  <c r="BF22" i="36" s="1"/>
  <c r="BE72" i="11"/>
  <c r="BE166" i="10"/>
  <c r="AV45" i="17"/>
  <c r="BD45" i="17" s="1"/>
  <c r="BF84" i="11"/>
  <c r="BE58" i="11"/>
  <c r="BE49" i="17"/>
  <c r="AR44" i="17"/>
  <c r="AI171" i="10"/>
  <c r="AV53" i="17"/>
  <c r="AR53" i="17"/>
  <c r="R21" i="36"/>
  <c r="AR25" i="17"/>
  <c r="AV41" i="17"/>
  <c r="AV44" i="17" s="1"/>
  <c r="AV21" i="17"/>
  <c r="V171" i="10"/>
  <c r="AV58" i="17"/>
  <c r="BD58" i="17" s="1"/>
  <c r="BE79" i="11"/>
  <c r="BH69" i="59" s="1"/>
  <c r="BE71" i="11"/>
  <c r="BE69" i="11"/>
  <c r="BH68" i="59" s="1"/>
  <c r="AF161" i="10"/>
  <c r="AF21" i="36" s="1"/>
  <c r="AI63" i="59" s="1"/>
  <c r="AJ5" i="10"/>
  <c r="V188" i="10"/>
  <c r="V183" i="10"/>
  <c r="V161" i="10"/>
  <c r="V21" i="36" s="1"/>
  <c r="J88" i="8"/>
  <c r="BD21" i="17"/>
  <c r="AO5" i="10"/>
  <c r="BE41" i="17"/>
  <c r="BE51" i="17"/>
  <c r="BE53" i="17" s="1"/>
  <c r="AN25" i="17"/>
  <c r="AF171" i="10"/>
  <c r="AF183" i="10"/>
  <c r="AF188" i="10"/>
  <c r="J18" i="36"/>
  <c r="M55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5" i="59" s="1"/>
  <c r="N36" i="35"/>
  <c r="M2" i="8"/>
  <c r="I88" i="8"/>
  <c r="J129" i="7"/>
  <c r="J101" i="9"/>
  <c r="I53" i="9"/>
  <c r="J51" i="9"/>
  <c r="I83" i="9"/>
  <c r="M25" i="9"/>
  <c r="M89" i="9"/>
  <c r="M100" i="9"/>
  <c r="M96" i="9"/>
  <c r="Y96" i="9"/>
  <c r="I82" i="9"/>
  <c r="L61" i="59" s="1"/>
  <c r="I86" i="9"/>
  <c r="N25" i="9"/>
  <c r="I85" i="9"/>
  <c r="I87" i="9"/>
  <c r="L60" i="59" s="1"/>
  <c r="I80" i="9"/>
  <c r="I81" i="9"/>
  <c r="M93" i="9"/>
  <c r="I90" i="9"/>
  <c r="I91" i="9" s="1"/>
  <c r="M90" i="9"/>
  <c r="N2" i="8"/>
  <c r="J80" i="8"/>
  <c r="M44" i="59" s="1"/>
  <c r="J87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7" i="59" s="1"/>
  <c r="Q2" i="9"/>
  <c r="U2" i="9" s="1"/>
  <c r="I29" i="8"/>
  <c r="I87" i="8"/>
  <c r="I31" i="8"/>
  <c r="J93" i="9"/>
  <c r="J10" i="9"/>
  <c r="I27" i="8"/>
  <c r="J25" i="9"/>
  <c r="I28" i="8"/>
  <c r="I148" i="8" s="1"/>
  <c r="BI67" i="59" l="1"/>
  <c r="AV49" i="17"/>
  <c r="N77" i="8"/>
  <c r="BE44" i="17"/>
  <c r="AV25" i="17"/>
  <c r="BD41" i="17"/>
  <c r="BD44" i="17" s="1"/>
  <c r="AJ171" i="10"/>
  <c r="AJ188" i="10"/>
  <c r="AJ183" i="10"/>
  <c r="AJ161" i="10"/>
  <c r="Y63" i="59"/>
  <c r="BD25" i="17"/>
  <c r="AS5" i="10"/>
  <c r="AO171" i="10"/>
  <c r="AP5" i="10"/>
  <c r="AP161" i="10" s="1"/>
  <c r="K80" i="83"/>
  <c r="K97" i="50"/>
  <c r="K95" i="50" s="1"/>
  <c r="BD51" i="17"/>
  <c r="BD53" i="17" s="1"/>
  <c r="BD48" i="17"/>
  <c r="BD49" i="17" s="1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N80" i="8"/>
  <c r="Q44" i="59" s="1"/>
  <c r="N87" i="8"/>
  <c r="N10" i="9"/>
  <c r="J55" i="35"/>
  <c r="N49" i="35"/>
  <c r="N37" i="35"/>
  <c r="O97" i="50" s="1"/>
  <c r="O95" i="50" s="1"/>
  <c r="J25" i="36"/>
  <c r="M75" i="59" s="1"/>
  <c r="AB33" i="35"/>
  <c r="N85" i="9"/>
  <c r="I7" i="9"/>
  <c r="N129" i="7"/>
  <c r="J130" i="7"/>
  <c r="J131" i="7"/>
  <c r="I61" i="59"/>
  <c r="I60" i="59"/>
  <c r="I57" i="59"/>
  <c r="AA2" i="9"/>
  <c r="AE2" i="9" s="1"/>
  <c r="AI2" i="9" s="1"/>
  <c r="M83" i="9"/>
  <c r="M88" i="9"/>
  <c r="P57" i="59"/>
  <c r="M91" i="9"/>
  <c r="M80" i="9"/>
  <c r="M85" i="9"/>
  <c r="M81" i="9"/>
  <c r="M87" i="9"/>
  <c r="P60" i="59" s="1"/>
  <c r="M86" i="9"/>
  <c r="M82" i="9"/>
  <c r="P61" i="59" s="1"/>
  <c r="I88" i="9"/>
  <c r="I69" i="8"/>
  <c r="E36" i="8"/>
  <c r="I59" i="8"/>
  <c r="M36" i="8" l="1"/>
  <c r="AA36" i="8" s="1"/>
  <c r="AE36" i="8" s="1"/>
  <c r="R77" i="8"/>
  <c r="AJ21" i="36"/>
  <c r="AM63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4" i="59" s="1"/>
  <c r="I24" i="36"/>
  <c r="L74" i="59" s="1"/>
  <c r="M24" i="36"/>
  <c r="P74" i="59" s="1"/>
  <c r="J132" i="7"/>
  <c r="AP183" i="10"/>
  <c r="AP188" i="10"/>
  <c r="AP171" i="10"/>
  <c r="AT5" i="10"/>
  <c r="AO2" i="9"/>
  <c r="AS2" i="9" s="1"/>
  <c r="AW2" i="9" s="1"/>
  <c r="BE2" i="9" s="1"/>
  <c r="J19" i="36"/>
  <c r="M56" i="59" s="1"/>
  <c r="AS63" i="59"/>
  <c r="AP21" i="36"/>
  <c r="AM19" i="9"/>
  <c r="BC57" i="36"/>
  <c r="BC17" i="36" s="1"/>
  <c r="BE57" i="36"/>
  <c r="BE17" i="36" s="1"/>
  <c r="Q24" i="36"/>
  <c r="T74" i="59" s="1"/>
  <c r="Q35" i="8"/>
  <c r="U35" i="8" s="1"/>
  <c r="I110" i="8"/>
  <c r="I111" i="8" s="1"/>
  <c r="I53" i="8" s="1"/>
  <c r="L42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5" i="59" s="1"/>
  <c r="M7" i="9"/>
  <c r="R129" i="7"/>
  <c r="N83" i="9"/>
  <c r="J133" i="7"/>
  <c r="N131" i="7"/>
  <c r="N130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1" i="59" s="1"/>
  <c r="N52" i="9"/>
  <c r="Q57" i="59" s="1"/>
  <c r="N81" i="9"/>
  <c r="N80" i="9"/>
  <c r="AB10" i="9"/>
  <c r="N87" i="9"/>
  <c r="Q60" i="59" s="1"/>
  <c r="Y25" i="9"/>
  <c r="Y88" i="9" s="1"/>
  <c r="T57" i="59"/>
  <c r="Y94" i="9"/>
  <c r="X19" i="15" s="1"/>
  <c r="Y93" i="9"/>
  <c r="J83" i="9"/>
  <c r="J87" i="9"/>
  <c r="M60" i="59" s="1"/>
  <c r="J86" i="9"/>
  <c r="J80" i="9"/>
  <c r="J81" i="9"/>
  <c r="J85" i="9"/>
  <c r="J82" i="9"/>
  <c r="M61" i="59" s="1"/>
  <c r="T61" i="59"/>
  <c r="T60" i="59"/>
  <c r="I74" i="8"/>
  <c r="I35" i="8"/>
  <c r="I63" i="8"/>
  <c r="J52" i="9"/>
  <c r="M57" i="59" s="1"/>
  <c r="J53" i="9"/>
  <c r="I15" i="8"/>
  <c r="I10" i="8"/>
  <c r="I9" i="8"/>
  <c r="I8" i="8"/>
  <c r="J58" i="8"/>
  <c r="J54" i="8" s="1"/>
  <c r="I6" i="8"/>
  <c r="J82" i="7"/>
  <c r="J68" i="7"/>
  <c r="BH54" i="59" l="1"/>
  <c r="BF54" i="59"/>
  <c r="AW35" i="8"/>
  <c r="BE35" i="8" s="1"/>
  <c r="BG35" i="8" s="1"/>
  <c r="AW36" i="8"/>
  <c r="BE36" i="8" s="1"/>
  <c r="BG36" i="8" s="1"/>
  <c r="AT161" i="10"/>
  <c r="AW63" i="59" s="1"/>
  <c r="AX5" i="10"/>
  <c r="AW171" i="10"/>
  <c r="BE5" i="10"/>
  <c r="BH5" i="10" s="1"/>
  <c r="AX97" i="9"/>
  <c r="BF97" i="9" s="1"/>
  <c r="N132" i="7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49" i="59" s="1"/>
  <c r="I83" i="8"/>
  <c r="L50" i="59" s="1"/>
  <c r="AO98" i="9"/>
  <c r="AS98" i="9" s="1"/>
  <c r="AT171" i="10"/>
  <c r="AT183" i="10"/>
  <c r="AT188" i="10"/>
  <c r="AM90" i="9"/>
  <c r="AM91" i="9" s="1"/>
  <c r="BC19" i="9"/>
  <c r="U44" i="59"/>
  <c r="I46" i="8"/>
  <c r="L46" i="59" s="1"/>
  <c r="AB2" i="8"/>
  <c r="AA2" i="8"/>
  <c r="AA88" i="8" s="1"/>
  <c r="M50" i="8"/>
  <c r="M51" i="8" s="1"/>
  <c r="M49" i="8"/>
  <c r="M14" i="36"/>
  <c r="P40" i="59" s="1"/>
  <c r="N133" i="7"/>
  <c r="R131" i="7"/>
  <c r="R132" i="7" s="1"/>
  <c r="R130" i="7"/>
  <c r="Y16" i="8"/>
  <c r="AA33" i="22"/>
  <c r="Z130" i="26"/>
  <c r="AA25" i="9"/>
  <c r="AA88" i="9" s="1"/>
  <c r="U60" i="59"/>
  <c r="AA93" i="9"/>
  <c r="AB25" i="9"/>
  <c r="AA89" i="9"/>
  <c r="AA100" i="9"/>
  <c r="AA96" i="9"/>
  <c r="U57" i="59"/>
  <c r="U61" i="59"/>
  <c r="I71" i="8"/>
  <c r="I44" i="8"/>
  <c r="L47" i="59" s="1"/>
  <c r="I45" i="8"/>
  <c r="I47" i="8"/>
  <c r="I43" i="8"/>
  <c r="L45" i="59" s="1"/>
  <c r="I14" i="36"/>
  <c r="L40" i="59" s="1"/>
  <c r="J31" i="8"/>
  <c r="J28" i="8"/>
  <c r="J148" i="8" s="1"/>
  <c r="I18" i="8"/>
  <c r="I81" i="8" s="1"/>
  <c r="L51" i="59" s="1"/>
  <c r="I49" i="8"/>
  <c r="I91" i="8"/>
  <c r="I14" i="8"/>
  <c r="I50" i="8"/>
  <c r="I51" i="8" s="1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C90" i="9" l="1"/>
  <c r="BC91" i="9" s="1"/>
  <c r="AB87" i="8"/>
  <c r="BF5" i="10"/>
  <c r="AX171" i="10"/>
  <c r="AT21" i="36"/>
  <c r="M77" i="8"/>
  <c r="L2" i="26"/>
  <c r="L2" i="17"/>
  <c r="I77" i="8"/>
  <c r="H2" i="17"/>
  <c r="H2" i="26"/>
  <c r="AX103" i="9"/>
  <c r="BF103" i="9" s="1"/>
  <c r="AW103" i="9"/>
  <c r="BE103" i="9" s="1"/>
  <c r="BE171" i="10"/>
  <c r="AX188" i="10"/>
  <c r="AX161" i="10"/>
  <c r="BA63" i="59" s="1"/>
  <c r="AX183" i="10"/>
  <c r="AW98" i="9"/>
  <c r="BE98" i="9" s="1"/>
  <c r="AX98" i="9"/>
  <c r="BF98" i="9" s="1"/>
  <c r="L48" i="59"/>
  <c r="AF2" i="8"/>
  <c r="AB88" i="8"/>
  <c r="Y44" i="59"/>
  <c r="AE2" i="8"/>
  <c r="AB77" i="8"/>
  <c r="AA50" i="8"/>
  <c r="AA51" i="8" s="1"/>
  <c r="AA49" i="8"/>
  <c r="J74" i="8"/>
  <c r="I52" i="8"/>
  <c r="L41" i="59" s="1"/>
  <c r="L43" i="59" s="1"/>
  <c r="I14" i="15"/>
  <c r="J46" i="8"/>
  <c r="M46" i="59" s="1"/>
  <c r="J108" i="8"/>
  <c r="J109" i="8" s="1"/>
  <c r="AB80" i="8"/>
  <c r="Q50" i="8"/>
  <c r="Q51" i="8" s="1"/>
  <c r="Q49" i="8"/>
  <c r="AB84" i="9"/>
  <c r="AB21" i="8"/>
  <c r="AF21" i="8" s="1"/>
  <c r="J10" i="36"/>
  <c r="M36" i="59" s="1"/>
  <c r="R133" i="7"/>
  <c r="N12" i="36"/>
  <c r="Q38" i="59" s="1"/>
  <c r="J12" i="36"/>
  <c r="M38" i="59" s="1"/>
  <c r="J11" i="36"/>
  <c r="M37" i="59" s="1"/>
  <c r="AA73" i="9"/>
  <c r="AA52" i="9"/>
  <c r="AD57" i="59" s="1"/>
  <c r="AA53" i="9"/>
  <c r="AB93" i="9"/>
  <c r="AB57" i="9"/>
  <c r="AF57" i="9" s="1"/>
  <c r="AJ57" i="9" s="1"/>
  <c r="AJ74" i="9" s="1"/>
  <c r="AA72" i="9"/>
  <c r="AA57" i="9"/>
  <c r="AA75" i="9"/>
  <c r="AA82" i="9"/>
  <c r="AD61" i="59" s="1"/>
  <c r="M47" i="8"/>
  <c r="AA84" i="9"/>
  <c r="AA80" i="9"/>
  <c r="AA87" i="9"/>
  <c r="AD60" i="59" s="1"/>
  <c r="AA85" i="9"/>
  <c r="AA86" i="9"/>
  <c r="AA83" i="9"/>
  <c r="AB61" i="59"/>
  <c r="AB60" i="59"/>
  <c r="Y52" i="9"/>
  <c r="AB57" i="59" s="1"/>
  <c r="Y53" i="9"/>
  <c r="J71" i="8"/>
  <c r="J70" i="8"/>
  <c r="M81" i="8"/>
  <c r="P51" i="59" s="1"/>
  <c r="H8" i="15"/>
  <c r="J41" i="8"/>
  <c r="J40" i="8"/>
  <c r="J81" i="8"/>
  <c r="M51" i="59" s="1"/>
  <c r="J39" i="8"/>
  <c r="J82" i="8"/>
  <c r="M49" i="59" s="1"/>
  <c r="J83" i="8"/>
  <c r="M50" i="59" s="1"/>
  <c r="J44" i="8"/>
  <c r="M47" i="59" s="1"/>
  <c r="J43" i="8"/>
  <c r="M45" i="59" s="1"/>
  <c r="J45" i="8"/>
  <c r="J47" i="8"/>
  <c r="M91" i="8"/>
  <c r="J91" i="8"/>
  <c r="I16" i="8"/>
  <c r="J35" i="8"/>
  <c r="J50" i="8"/>
  <c r="J51" i="8" s="1"/>
  <c r="J36" i="8"/>
  <c r="J26" i="8"/>
  <c r="J49" i="8"/>
  <c r="J89" i="8"/>
  <c r="J15" i="8"/>
  <c r="BF161" i="10" l="1"/>
  <c r="BI5" i="10"/>
  <c r="BF188" i="10"/>
  <c r="BF183" i="10"/>
  <c r="BI183" i="10" s="1"/>
  <c r="BF171" i="10"/>
  <c r="AF87" i="8"/>
  <c r="AI24" i="36"/>
  <c r="Z2" i="26"/>
  <c r="Z2" i="17"/>
  <c r="J77" i="8"/>
  <c r="I2" i="26"/>
  <c r="I2" i="17"/>
  <c r="P2" i="17"/>
  <c r="P2" i="26"/>
  <c r="AF88" i="8"/>
  <c r="AF77" i="8"/>
  <c r="AJ2" i="8"/>
  <c r="AF80" i="8"/>
  <c r="AJ21" i="8"/>
  <c r="AP21" i="8" s="1"/>
  <c r="AT21" i="8" s="1"/>
  <c r="AB40" i="59"/>
  <c r="U50" i="8"/>
  <c r="U51" i="8" s="1"/>
  <c r="U14" i="36"/>
  <c r="X40" i="59" s="1"/>
  <c r="U49" i="8"/>
  <c r="M48" i="59"/>
  <c r="AX21" i="36"/>
  <c r="BI63" i="59"/>
  <c r="BF21" i="36"/>
  <c r="AF74" i="9"/>
  <c r="AI2" i="8"/>
  <c r="AE88" i="8"/>
  <c r="AE50" i="8"/>
  <c r="AE51" i="8" s="1"/>
  <c r="AE14" i="36"/>
  <c r="AH40" i="59" s="1"/>
  <c r="AE49" i="8"/>
  <c r="AA74" i="9"/>
  <c r="AE57" i="9"/>
  <c r="AI57" i="9" s="1"/>
  <c r="AI74" i="9" s="1"/>
  <c r="AA108" i="8"/>
  <c r="AA109" i="8" s="1"/>
  <c r="J110" i="8"/>
  <c r="J111" i="8" s="1"/>
  <c r="Q77" i="8"/>
  <c r="J52" i="8"/>
  <c r="M41" i="59" s="1"/>
  <c r="AE44" i="59"/>
  <c r="AB129" i="7"/>
  <c r="AB72" i="9"/>
  <c r="AB86" i="9"/>
  <c r="AB53" i="9"/>
  <c r="AB82" i="9"/>
  <c r="AE61" i="59" s="1"/>
  <c r="AB87" i="9"/>
  <c r="AE60" i="59" s="1"/>
  <c r="AB83" i="9"/>
  <c r="AB80" i="9"/>
  <c r="AB75" i="9"/>
  <c r="AB85" i="9"/>
  <c r="AB52" i="9"/>
  <c r="AE57" i="59" s="1"/>
  <c r="AB81" i="9"/>
  <c r="AB73" i="9"/>
  <c r="AA14" i="36"/>
  <c r="AD40" i="59" s="1"/>
  <c r="Y7" i="9"/>
  <c r="AA7" i="9"/>
  <c r="AA21" i="8"/>
  <c r="AE21" i="8" s="1"/>
  <c r="Q14" i="36"/>
  <c r="T40" i="59" s="1"/>
  <c r="N10" i="36"/>
  <c r="Q36" i="59" s="1"/>
  <c r="N11" i="36"/>
  <c r="Q37" i="59" s="1"/>
  <c r="AB74" i="9"/>
  <c r="J13" i="36"/>
  <c r="M39" i="59" s="1"/>
  <c r="N44" i="8"/>
  <c r="N40" i="8"/>
  <c r="N43" i="8"/>
  <c r="N39" i="8"/>
  <c r="N47" i="8"/>
  <c r="N45" i="8"/>
  <c r="N41" i="8"/>
  <c r="N74" i="8"/>
  <c r="N71" i="8"/>
  <c r="N70" i="8"/>
  <c r="N81" i="8"/>
  <c r="Q51" i="59" s="1"/>
  <c r="AB14" i="36"/>
  <c r="I6" i="26"/>
  <c r="N26" i="8"/>
  <c r="M16" i="8"/>
  <c r="N91" i="8"/>
  <c r="J16" i="8"/>
  <c r="J42" i="8"/>
  <c r="Q45" i="59" l="1"/>
  <c r="N135" i="8"/>
  <c r="Q47" i="59"/>
  <c r="Q48" i="59" s="1"/>
  <c r="N136" i="8"/>
  <c r="N143" i="8" s="1"/>
  <c r="BI188" i="10"/>
  <c r="AI88" i="8"/>
  <c r="AJ77" i="8"/>
  <c r="AJ80" i="8"/>
  <c r="AM44" i="59" s="1"/>
  <c r="U77" i="8"/>
  <c r="T2" i="17"/>
  <c r="T2" i="26"/>
  <c r="AI14" i="36"/>
  <c r="AL40" i="59" s="1"/>
  <c r="AD2" i="26"/>
  <c r="AD2" i="17"/>
  <c r="AP2" i="8"/>
  <c r="AJ88" i="8"/>
  <c r="AX21" i="8"/>
  <c r="BF21" i="8" s="1"/>
  <c r="BH21" i="8" s="1"/>
  <c r="AJ87" i="8"/>
  <c r="AI44" i="59"/>
  <c r="BE24" i="36"/>
  <c r="BH74" i="59" s="1"/>
  <c r="AE24" i="36"/>
  <c r="AH74" i="59" s="1"/>
  <c r="AI21" i="8"/>
  <c r="AO21" i="8" s="1"/>
  <c r="AS21" i="8" s="1"/>
  <c r="AI50" i="8"/>
  <c r="AI51" i="8" s="1"/>
  <c r="AI49" i="8"/>
  <c r="AB131" i="7"/>
  <c r="AO2" i="8"/>
  <c r="AP57" i="9"/>
  <c r="AE74" i="9"/>
  <c r="AE77" i="8"/>
  <c r="AA110" i="8"/>
  <c r="AA111" i="8" s="1"/>
  <c r="AA53" i="8" s="1"/>
  <c r="AD42" i="59" s="1"/>
  <c r="J53" i="8"/>
  <c r="M42" i="59" s="1"/>
  <c r="M43" i="59" s="1"/>
  <c r="AA64" i="9"/>
  <c r="AE64" i="9" s="1"/>
  <c r="AI64" i="9" s="1"/>
  <c r="AI81" i="9" s="1"/>
  <c r="AB130" i="7"/>
  <c r="R14" i="36"/>
  <c r="U40" i="59" s="1"/>
  <c r="AE40" i="59"/>
  <c r="R10" i="36"/>
  <c r="U36" i="59" s="1"/>
  <c r="R11" i="36"/>
  <c r="U37" i="59" s="1"/>
  <c r="N13" i="36"/>
  <c r="Q39" i="59" s="1"/>
  <c r="R12" i="36"/>
  <c r="U38" i="59" s="1"/>
  <c r="AA71" i="8"/>
  <c r="AA74" i="8"/>
  <c r="N42" i="8"/>
  <c r="T51" i="59"/>
  <c r="U51" i="59"/>
  <c r="Q6" i="26"/>
  <c r="U6" i="26" s="1"/>
  <c r="N16" i="8"/>
  <c r="J74" i="7"/>
  <c r="I74" i="7"/>
  <c r="J72" i="7"/>
  <c r="I72" i="7"/>
  <c r="J2" i="7"/>
  <c r="J159" i="7" s="1"/>
  <c r="I2" i="7"/>
  <c r="J66" i="7"/>
  <c r="J65" i="7"/>
  <c r="J6" i="7"/>
  <c r="I66" i="7"/>
  <c r="I65" i="7"/>
  <c r="N138" i="8" l="1"/>
  <c r="N145" i="8" s="1"/>
  <c r="N142" i="8"/>
  <c r="I84" i="7"/>
  <c r="I159" i="7"/>
  <c r="AT2" i="8"/>
  <c r="AT77" i="8" s="1"/>
  <c r="AP87" i="8"/>
  <c r="AI77" i="8"/>
  <c r="AH2" i="26"/>
  <c r="AH2" i="17"/>
  <c r="AP88" i="8"/>
  <c r="AW21" i="8"/>
  <c r="BE21" i="8" s="1"/>
  <c r="BG21" i="8" s="1"/>
  <c r="AP80" i="8"/>
  <c r="AT80" i="8" s="1"/>
  <c r="AP77" i="8"/>
  <c r="AL74" i="59"/>
  <c r="AB132" i="7"/>
  <c r="AT57" i="9"/>
  <c r="AX57" i="9" s="1"/>
  <c r="AX74" i="9" s="1"/>
  <c r="AP74" i="9"/>
  <c r="AT88" i="8"/>
  <c r="AS2" i="8"/>
  <c r="AO88" i="8"/>
  <c r="AO57" i="9"/>
  <c r="AO50" i="8"/>
  <c r="AO51" i="8" s="1"/>
  <c r="AO14" i="36"/>
  <c r="AR40" i="59" s="1"/>
  <c r="AO49" i="8"/>
  <c r="AE81" i="9"/>
  <c r="AA81" i="9"/>
  <c r="J21" i="7"/>
  <c r="AA46" i="8"/>
  <c r="AD46" i="59" s="1"/>
  <c r="AB12" i="36"/>
  <c r="AE38" i="59" s="1"/>
  <c r="N71" i="7"/>
  <c r="AB71" i="7" s="1"/>
  <c r="AF71" i="7" s="1"/>
  <c r="AJ71" i="7" s="1"/>
  <c r="AJ73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41" i="7"/>
  <c r="M71" i="7"/>
  <c r="AA71" i="7" s="1"/>
  <c r="AE71" i="7" s="1"/>
  <c r="AI71" i="7" s="1"/>
  <c r="AI73" i="7" s="1"/>
  <c r="Y24" i="36"/>
  <c r="AB74" i="59" s="1"/>
  <c r="J144" i="7"/>
  <c r="I33" i="59"/>
  <c r="AA91" i="8"/>
  <c r="AA6" i="49"/>
  <c r="AE6" i="49" s="1"/>
  <c r="AI6" i="49" s="1"/>
  <c r="AO6" i="49" s="1"/>
  <c r="AS6" i="49" s="1"/>
  <c r="AW6" i="49" s="1"/>
  <c r="BE6" i="49" s="1"/>
  <c r="R13" i="36"/>
  <c r="U39" i="59" s="1"/>
  <c r="AA66" i="7"/>
  <c r="AE66" i="7" s="1"/>
  <c r="AA6" i="26"/>
  <c r="AE6" i="26" s="1"/>
  <c r="AI6" i="26" s="1"/>
  <c r="AO6" i="26" s="1"/>
  <c r="AS6" i="26" s="1"/>
  <c r="AW6" i="26" s="1"/>
  <c r="BE6" i="26" s="1"/>
  <c r="N2" i="7"/>
  <c r="J84" i="7"/>
  <c r="H123" i="7"/>
  <c r="J138" i="7"/>
  <c r="J1" i="7"/>
  <c r="AB74" i="8"/>
  <c r="AB71" i="8"/>
  <c r="AB70" i="8"/>
  <c r="AA16" i="8"/>
  <c r="AA45" i="8"/>
  <c r="AA44" i="8"/>
  <c r="AD47" i="59" s="1"/>
  <c r="AA47" i="8"/>
  <c r="AA43" i="8"/>
  <c r="AD45" i="59" s="1"/>
  <c r="M1" i="7"/>
  <c r="M80" i="7" s="1"/>
  <c r="I1" i="7"/>
  <c r="AA77" i="8"/>
  <c r="I29" i="59"/>
  <c r="Q50" i="7"/>
  <c r="Q45" i="7"/>
  <c r="Q46" i="7"/>
  <c r="Q48" i="7"/>
  <c r="Q44" i="7"/>
  <c r="Q43" i="7"/>
  <c r="Q42" i="7"/>
  <c r="M68" i="7"/>
  <c r="J71" i="7"/>
  <c r="M2" i="7"/>
  <c r="I75" i="7"/>
  <c r="I71" i="7"/>
  <c r="J75" i="7"/>
  <c r="I35" i="59"/>
  <c r="I28" i="59"/>
  <c r="J67" i="7"/>
  <c r="I67" i="7"/>
  <c r="U44" i="7" l="1"/>
  <c r="U56" i="7" s="1"/>
  <c r="U102" i="7" s="1"/>
  <c r="Q56" i="7"/>
  <c r="Q102" i="7" s="1"/>
  <c r="U43" i="7"/>
  <c r="U55" i="7" s="1"/>
  <c r="U89" i="7" s="1"/>
  <c r="X31" i="59" s="1"/>
  <c r="Q55" i="7"/>
  <c r="Q89" i="7" s="1"/>
  <c r="Q161" i="7"/>
  <c r="Q57" i="7"/>
  <c r="Q90" i="7" s="1"/>
  <c r="T32" i="59" s="1"/>
  <c r="U50" i="7"/>
  <c r="U62" i="7" s="1"/>
  <c r="Q62" i="7"/>
  <c r="U48" i="7"/>
  <c r="U60" i="7" s="1"/>
  <c r="Q60" i="7"/>
  <c r="U42" i="7"/>
  <c r="U54" i="7" s="1"/>
  <c r="Q54" i="7"/>
  <c r="U46" i="7"/>
  <c r="U58" i="7" s="1"/>
  <c r="Q58" i="7"/>
  <c r="J62" i="7"/>
  <c r="J61" i="7"/>
  <c r="J103" i="7" s="1"/>
  <c r="J60" i="7"/>
  <c r="J59" i="7"/>
  <c r="J58" i="7"/>
  <c r="J57" i="7"/>
  <c r="J56" i="7"/>
  <c r="J102" i="7" s="1"/>
  <c r="J55" i="7"/>
  <c r="J54" i="7"/>
  <c r="J35" i="7"/>
  <c r="J99" i="7" s="1"/>
  <c r="J34" i="7"/>
  <c r="J98" i="7" s="1"/>
  <c r="J31" i="7"/>
  <c r="J95" i="7" s="1"/>
  <c r="J25" i="7"/>
  <c r="J27" i="7"/>
  <c r="J91" i="7" s="1"/>
  <c r="J32" i="7"/>
  <c r="J96" i="7" s="1"/>
  <c r="J24" i="7"/>
  <c r="J88" i="7" s="1"/>
  <c r="J29" i="7"/>
  <c r="J93" i="7" s="1"/>
  <c r="J26" i="7"/>
  <c r="J90" i="7" s="1"/>
  <c r="M32" i="59" s="1"/>
  <c r="J37" i="7"/>
  <c r="J101" i="7" s="1"/>
  <c r="J28" i="7"/>
  <c r="J92" i="7" s="1"/>
  <c r="J36" i="7"/>
  <c r="J100" i="7" s="1"/>
  <c r="J33" i="7"/>
  <c r="J97" i="7" s="1"/>
  <c r="I37" i="7"/>
  <c r="I101" i="7" s="1"/>
  <c r="I33" i="7"/>
  <c r="I97" i="7" s="1"/>
  <c r="I28" i="7"/>
  <c r="I92" i="7" s="1"/>
  <c r="I24" i="7"/>
  <c r="I36" i="7"/>
  <c r="I100" i="7" s="1"/>
  <c r="I32" i="7"/>
  <c r="I96" i="7" s="1"/>
  <c r="I27" i="7"/>
  <c r="I91" i="7" s="1"/>
  <c r="I23" i="7"/>
  <c r="I87" i="7" s="1"/>
  <c r="I35" i="7"/>
  <c r="I99" i="7" s="1"/>
  <c r="I31" i="7"/>
  <c r="I95" i="7" s="1"/>
  <c r="I26" i="7"/>
  <c r="I34" i="7"/>
  <c r="I98" i="7" s="1"/>
  <c r="I29" i="7"/>
  <c r="I93" i="7" s="1"/>
  <c r="I25" i="7"/>
  <c r="I62" i="7"/>
  <c r="I61" i="7"/>
  <c r="I103" i="7" s="1"/>
  <c r="I60" i="7"/>
  <c r="I59" i="7"/>
  <c r="I58" i="7"/>
  <c r="I57" i="7"/>
  <c r="I56" i="7"/>
  <c r="I102" i="7" s="1"/>
  <c r="I55" i="7"/>
  <c r="I54" i="7"/>
  <c r="J23" i="7"/>
  <c r="J87" i="7" s="1"/>
  <c r="AT87" i="8"/>
  <c r="N84" i="7"/>
  <c r="N159" i="7"/>
  <c r="M84" i="7"/>
  <c r="M159" i="7"/>
  <c r="U45" i="7"/>
  <c r="U57" i="7" s="1"/>
  <c r="U90" i="7" s="1"/>
  <c r="X32" i="59" s="1"/>
  <c r="Q157" i="7"/>
  <c r="AX2" i="8"/>
  <c r="AS44" i="59"/>
  <c r="AI66" i="7"/>
  <c r="AO66" i="7" s="1"/>
  <c r="AS66" i="7" s="1"/>
  <c r="AN2" i="17"/>
  <c r="AN2" i="26"/>
  <c r="AO24" i="36"/>
  <c r="AR74" i="59" s="1"/>
  <c r="AB133" i="7"/>
  <c r="AD48" i="59"/>
  <c r="J146" i="7"/>
  <c r="J140" i="7"/>
  <c r="L33" i="59"/>
  <c r="L34" i="59"/>
  <c r="AS88" i="8"/>
  <c r="AW2" i="8"/>
  <c r="AW44" i="59"/>
  <c r="AT74" i="9"/>
  <c r="AE73" i="7"/>
  <c r="AO77" i="8"/>
  <c r="AS50" i="8"/>
  <c r="AS51" i="8" s="1"/>
  <c r="AS14" i="36"/>
  <c r="AV40" i="59" s="1"/>
  <c r="AS49" i="8"/>
  <c r="AF73" i="7"/>
  <c r="AO74" i="9"/>
  <c r="AS57" i="9"/>
  <c r="AW57" i="9" s="1"/>
  <c r="AW74" i="9" s="1"/>
  <c r="AO64" i="9"/>
  <c r="R41" i="7"/>
  <c r="V41" i="7" s="1"/>
  <c r="V51" i="7" s="1"/>
  <c r="AB41" i="7"/>
  <c r="AF41" i="7" s="1"/>
  <c r="AJ41" i="7" s="1"/>
  <c r="AJ51" i="7" s="1"/>
  <c r="AA52" i="8"/>
  <c r="AD41" i="59" s="1"/>
  <c r="AD43" i="59" s="1"/>
  <c r="H124" i="7"/>
  <c r="AB46" i="8"/>
  <c r="AE46" i="59" s="1"/>
  <c r="AB11" i="36"/>
  <c r="AE37" i="59" s="1"/>
  <c r="AB9" i="49"/>
  <c r="AF9" i="49" s="1"/>
  <c r="AJ9" i="49" s="1"/>
  <c r="AP9" i="49" s="1"/>
  <c r="AT9" i="49" s="1"/>
  <c r="AX9" i="49" s="1"/>
  <c r="BF9" i="49" s="1"/>
  <c r="M73" i="7"/>
  <c r="Q71" i="7"/>
  <c r="U71" i="7" s="1"/>
  <c r="U73" i="7" s="1"/>
  <c r="M69" i="7"/>
  <c r="Q68" i="7"/>
  <c r="U68" i="7" s="1"/>
  <c r="U69" i="7" s="1"/>
  <c r="N73" i="7"/>
  <c r="R71" i="7"/>
  <c r="V71" i="7" s="1"/>
  <c r="V73" i="7" s="1"/>
  <c r="Q47" i="7"/>
  <c r="M29" i="59"/>
  <c r="N51" i="7"/>
  <c r="AA24" i="36"/>
  <c r="AD74" i="59" s="1"/>
  <c r="N144" i="7"/>
  <c r="AA8" i="15"/>
  <c r="AA14" i="15" s="1"/>
  <c r="AB10" i="36"/>
  <c r="AA81" i="8"/>
  <c r="AD51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R159" i="7" s="1"/>
  <c r="J123" i="7"/>
  <c r="J124" i="7" s="1"/>
  <c r="J125" i="7" s="1"/>
  <c r="N138" i="7"/>
  <c r="N123" i="7"/>
  <c r="Y104" i="7"/>
  <c r="AB67" i="7"/>
  <c r="U28" i="59"/>
  <c r="N1" i="7"/>
  <c r="N80" i="7" s="1"/>
  <c r="Z8" i="15"/>
  <c r="AB26" i="8"/>
  <c r="AB81" i="8"/>
  <c r="AE51" i="59" s="1"/>
  <c r="AB41" i="8"/>
  <c r="AB40" i="8"/>
  <c r="AB39" i="8"/>
  <c r="AB44" i="8"/>
  <c r="AE47" i="59" s="1"/>
  <c r="AB47" i="8"/>
  <c r="AB43" i="8"/>
  <c r="AE45" i="59" s="1"/>
  <c r="AB45" i="8"/>
  <c r="AA65" i="7"/>
  <c r="AE65" i="7" s="1"/>
  <c r="AI65" i="7" s="1"/>
  <c r="J112" i="7"/>
  <c r="J106" i="7"/>
  <c r="J108" i="7"/>
  <c r="J110" i="7"/>
  <c r="J111" i="7"/>
  <c r="J113" i="7"/>
  <c r="J107" i="7"/>
  <c r="J109" i="7"/>
  <c r="Q29" i="59"/>
  <c r="I30" i="59"/>
  <c r="J78" i="7"/>
  <c r="J73" i="7"/>
  <c r="I68" i="7"/>
  <c r="I81" i="7"/>
  <c r="L28" i="59" s="1"/>
  <c r="I80" i="7"/>
  <c r="I76" i="7"/>
  <c r="Q2" i="7"/>
  <c r="P28" i="59"/>
  <c r="I73" i="7"/>
  <c r="U35" i="59"/>
  <c r="Q35" i="59"/>
  <c r="Q28" i="59"/>
  <c r="J80" i="7"/>
  <c r="J83" i="7"/>
  <c r="M35" i="59" s="1"/>
  <c r="J81" i="7"/>
  <c r="M28" i="59" s="1"/>
  <c r="J76" i="7"/>
  <c r="J69" i="7"/>
  <c r="J85" i="7"/>
  <c r="I6" i="7"/>
  <c r="Q88" i="7" l="1"/>
  <c r="Q104" i="7" s="1"/>
  <c r="Q77" i="7"/>
  <c r="U88" i="7"/>
  <c r="U77" i="7"/>
  <c r="U47" i="7"/>
  <c r="Q59" i="7"/>
  <c r="Q63" i="7" s="1"/>
  <c r="I89" i="7"/>
  <c r="I88" i="7"/>
  <c r="AB62" i="7"/>
  <c r="AB61" i="7"/>
  <c r="AB103" i="7" s="1"/>
  <c r="AB60" i="7"/>
  <c r="AB59" i="7"/>
  <c r="AB58" i="7"/>
  <c r="AB57" i="7"/>
  <c r="AB56" i="7"/>
  <c r="AB102" i="7" s="1"/>
  <c r="AB55" i="7"/>
  <c r="AB54" i="7"/>
  <c r="AB35" i="7"/>
  <c r="AB99" i="7" s="1"/>
  <c r="AB34" i="7"/>
  <c r="AB98" i="7" s="1"/>
  <c r="AB36" i="7"/>
  <c r="AB100" i="7" s="1"/>
  <c r="AB32" i="7"/>
  <c r="AB96" i="7" s="1"/>
  <c r="AB31" i="7"/>
  <c r="AB95" i="7" s="1"/>
  <c r="AB28" i="7"/>
  <c r="AB92" i="7" s="1"/>
  <c r="AB25" i="7"/>
  <c r="AB89" i="7" s="1"/>
  <c r="AB24" i="7"/>
  <c r="AB88" i="7" s="1"/>
  <c r="AB37" i="7"/>
  <c r="AB101" i="7" s="1"/>
  <c r="AB33" i="7"/>
  <c r="AB97" i="7" s="1"/>
  <c r="AB29" i="7"/>
  <c r="AB93" i="7" s="1"/>
  <c r="AB27" i="7"/>
  <c r="AB91" i="7" s="1"/>
  <c r="AB26" i="7"/>
  <c r="AB90" i="7" s="1"/>
  <c r="AE32" i="59" s="1"/>
  <c r="AB23" i="7"/>
  <c r="AB87" i="7" s="1"/>
  <c r="I90" i="7"/>
  <c r="L32" i="59" s="1"/>
  <c r="J89" i="7"/>
  <c r="AI67" i="7"/>
  <c r="AI76" i="7" s="1"/>
  <c r="U157" i="7"/>
  <c r="U161" i="7"/>
  <c r="Q159" i="7"/>
  <c r="AX77" i="8"/>
  <c r="BF2" i="8"/>
  <c r="AX88" i="8"/>
  <c r="AX80" i="8"/>
  <c r="BA44" i="59" s="1"/>
  <c r="AX87" i="8"/>
  <c r="AW66" i="7"/>
  <c r="AI78" i="7"/>
  <c r="L31" i="59"/>
  <c r="N146" i="7"/>
  <c r="N124" i="7"/>
  <c r="N140" i="7"/>
  <c r="AR2" i="17"/>
  <c r="AR2" i="26"/>
  <c r="AW50" i="8"/>
  <c r="AW49" i="8"/>
  <c r="AW88" i="8"/>
  <c r="AW24" i="36"/>
  <c r="AZ74" i="59" s="1"/>
  <c r="AS24" i="36"/>
  <c r="AV74" i="59" s="1"/>
  <c r="L29" i="59"/>
  <c r="I38" i="7"/>
  <c r="I53" i="7" s="1"/>
  <c r="H125" i="7"/>
  <c r="L30" i="59"/>
  <c r="J141" i="7"/>
  <c r="J147" i="7"/>
  <c r="AE48" i="59"/>
  <c r="AB110" i="7"/>
  <c r="AF110" i="7" s="1"/>
  <c r="BE2" i="8"/>
  <c r="BF57" i="9"/>
  <c r="AS74" i="9"/>
  <c r="AS77" i="8"/>
  <c r="AW14" i="36"/>
  <c r="AZ40" i="59" s="1"/>
  <c r="AO81" i="9"/>
  <c r="AS64" i="9"/>
  <c r="AW64" i="9" s="1"/>
  <c r="AW81" i="9" s="1"/>
  <c r="M30" i="59"/>
  <c r="AP71" i="7"/>
  <c r="AE67" i="7"/>
  <c r="AF51" i="7"/>
  <c r="AO71" i="7"/>
  <c r="R51" i="7"/>
  <c r="AB113" i="7"/>
  <c r="AF113" i="7" s="1"/>
  <c r="AB109" i="7"/>
  <c r="AF109" i="7" s="1"/>
  <c r="AB76" i="7"/>
  <c r="AB108" i="7"/>
  <c r="AF108" i="7" s="1"/>
  <c r="AB112" i="7"/>
  <c r="AF112" i="7" s="1"/>
  <c r="AB106" i="7"/>
  <c r="AF106" i="7" s="1"/>
  <c r="AB111" i="7"/>
  <c r="AF111" i="7" s="1"/>
  <c r="AB107" i="7"/>
  <c r="AF107" i="7" s="1"/>
  <c r="AB85" i="7"/>
  <c r="AF85" i="7" s="1"/>
  <c r="M31" i="59"/>
  <c r="M34" i="59"/>
  <c r="M33" i="59"/>
  <c r="H126" i="7"/>
  <c r="J38" i="7"/>
  <c r="J53" i="7" s="1"/>
  <c r="I21" i="7"/>
  <c r="R73" i="7"/>
  <c r="Q78" i="7"/>
  <c r="Q69" i="7"/>
  <c r="V2" i="7"/>
  <c r="R84" i="7"/>
  <c r="Q73" i="7"/>
  <c r="U2" i="7"/>
  <c r="U159" i="7" s="1"/>
  <c r="M51" i="7"/>
  <c r="Q41" i="7"/>
  <c r="U41" i="7" s="1"/>
  <c r="U51" i="7" s="1"/>
  <c r="R77" i="7"/>
  <c r="R63" i="7"/>
  <c r="M78" i="7"/>
  <c r="N63" i="7"/>
  <c r="Q1" i="7"/>
  <c r="Q80" i="7" s="1"/>
  <c r="U31" i="59"/>
  <c r="Q31" i="59"/>
  <c r="AB13" i="36"/>
  <c r="AE39" i="59" s="1"/>
  <c r="AE36" i="59"/>
  <c r="U29" i="59"/>
  <c r="J126" i="7"/>
  <c r="J127" i="7" s="1"/>
  <c r="R138" i="7"/>
  <c r="R140" i="7" s="1"/>
  <c r="R141" i="7" s="1"/>
  <c r="R144" i="7"/>
  <c r="R146" i="7" s="1"/>
  <c r="R147" i="7" s="1"/>
  <c r="I69" i="7"/>
  <c r="AB69" i="7"/>
  <c r="AB83" i="7"/>
  <c r="AE35" i="59" s="1"/>
  <c r="AA67" i="7"/>
  <c r="R123" i="7"/>
  <c r="R124" i="7" s="1"/>
  <c r="Z104" i="7"/>
  <c r="R1" i="7"/>
  <c r="R80" i="7" s="1"/>
  <c r="AB42" i="8"/>
  <c r="U1" i="7"/>
  <c r="U80" i="7" s="1"/>
  <c r="Q30" i="59"/>
  <c r="T28" i="59"/>
  <c r="I78" i="7"/>
  <c r="X30" i="59" l="1"/>
  <c r="U104" i="7"/>
  <c r="U78" i="7"/>
  <c r="U59" i="7"/>
  <c r="U63" i="7" s="1"/>
  <c r="AE36" i="7"/>
  <c r="AE100" i="7" s="1"/>
  <c r="AE32" i="7"/>
  <c r="AE96" i="7" s="1"/>
  <c r="AE27" i="7"/>
  <c r="AE91" i="7" s="1"/>
  <c r="AE23" i="7"/>
  <c r="AE87" i="7" s="1"/>
  <c r="AH29" i="59" s="1"/>
  <c r="AE35" i="7"/>
  <c r="AE99" i="7" s="1"/>
  <c r="AE31" i="7"/>
  <c r="AE95" i="7" s="1"/>
  <c r="AH34" i="59" s="1"/>
  <c r="AE26" i="7"/>
  <c r="AE34" i="7"/>
  <c r="AE98" i="7" s="1"/>
  <c r="AE29" i="7"/>
  <c r="AE93" i="7" s="1"/>
  <c r="AH33" i="59" s="1"/>
  <c r="AE25" i="7"/>
  <c r="AE37" i="7"/>
  <c r="AE101" i="7" s="1"/>
  <c r="AE33" i="7"/>
  <c r="AE97" i="7" s="1"/>
  <c r="AE28" i="7"/>
  <c r="AE92" i="7" s="1"/>
  <c r="AE24" i="7"/>
  <c r="AE62" i="7"/>
  <c r="AE61" i="7"/>
  <c r="AE103" i="7" s="1"/>
  <c r="AE60" i="7"/>
  <c r="AE59" i="7"/>
  <c r="AE58" i="7"/>
  <c r="AE57" i="7"/>
  <c r="AE56" i="7"/>
  <c r="AE102" i="7" s="1"/>
  <c r="AE55" i="7"/>
  <c r="AE54" i="7"/>
  <c r="AI37" i="7"/>
  <c r="AI101" i="7" s="1"/>
  <c r="AI33" i="7"/>
  <c r="AI97" i="7" s="1"/>
  <c r="AI28" i="7"/>
  <c r="AI92" i="7" s="1"/>
  <c r="AI24" i="7"/>
  <c r="AI36" i="7"/>
  <c r="AI100" i="7" s="1"/>
  <c r="AI32" i="7"/>
  <c r="AI96" i="7" s="1"/>
  <c r="AI27" i="7"/>
  <c r="AI91" i="7" s="1"/>
  <c r="AI23" i="7"/>
  <c r="AI87" i="7" s="1"/>
  <c r="AL29" i="59" s="1"/>
  <c r="AI35" i="7"/>
  <c r="AI99" i="7" s="1"/>
  <c r="AI31" i="7"/>
  <c r="AI95" i="7" s="1"/>
  <c r="AL34" i="59" s="1"/>
  <c r="AI26" i="7"/>
  <c r="AI34" i="7"/>
  <c r="AI98" i="7" s="1"/>
  <c r="AI29" i="7"/>
  <c r="AI93" i="7" s="1"/>
  <c r="AL33" i="59" s="1"/>
  <c r="AI25" i="7"/>
  <c r="AI62" i="7"/>
  <c r="AI61" i="7"/>
  <c r="AI103" i="7" s="1"/>
  <c r="AI60" i="7"/>
  <c r="AI59" i="7"/>
  <c r="AI58" i="7"/>
  <c r="AI57" i="7"/>
  <c r="AI56" i="7"/>
  <c r="AI102" i="7" s="1"/>
  <c r="AI55" i="7"/>
  <c r="AI54" i="7"/>
  <c r="AI83" i="7"/>
  <c r="AI81" i="7"/>
  <c r="AA35" i="7"/>
  <c r="AA99" i="7" s="1"/>
  <c r="AA31" i="7"/>
  <c r="AA95" i="7" s="1"/>
  <c r="AA26" i="7"/>
  <c r="AA34" i="7"/>
  <c r="AA98" i="7" s="1"/>
  <c r="AA29" i="7"/>
  <c r="AA93" i="7" s="1"/>
  <c r="AA25" i="7"/>
  <c r="AA37" i="7"/>
  <c r="AA101" i="7" s="1"/>
  <c r="AA33" i="7"/>
  <c r="AA97" i="7" s="1"/>
  <c r="AA28" i="7"/>
  <c r="AA92" i="7" s="1"/>
  <c r="AA24" i="7"/>
  <c r="AA36" i="7"/>
  <c r="AA100" i="7" s="1"/>
  <c r="AA32" i="7"/>
  <c r="AA96" i="7" s="1"/>
  <c r="AA27" i="7"/>
  <c r="AA91" i="7" s="1"/>
  <c r="AA23" i="7"/>
  <c r="AA87" i="7" s="1"/>
  <c r="AA62" i="7"/>
  <c r="AA61" i="7"/>
  <c r="AA103" i="7" s="1"/>
  <c r="AA60" i="7"/>
  <c r="AA59" i="7"/>
  <c r="AA58" i="7"/>
  <c r="AA57" i="7"/>
  <c r="AA56" i="7"/>
  <c r="AA102" i="7" s="1"/>
  <c r="AA55" i="7"/>
  <c r="AA54" i="7"/>
  <c r="AI80" i="7"/>
  <c r="I63" i="7"/>
  <c r="AW77" i="8"/>
  <c r="AW51" i="8"/>
  <c r="BF80" i="8"/>
  <c r="BI44" i="59" s="1"/>
  <c r="BF74" i="9"/>
  <c r="V84" i="7"/>
  <c r="V159" i="7"/>
  <c r="BF87" i="8"/>
  <c r="BF77" i="8"/>
  <c r="BF88" i="8"/>
  <c r="BE66" i="7"/>
  <c r="AI38" i="7"/>
  <c r="AI53" i="7" s="1"/>
  <c r="BE14" i="36"/>
  <c r="N125" i="7"/>
  <c r="N126" i="7"/>
  <c r="N127" i="7" s="1"/>
  <c r="AJ111" i="7"/>
  <c r="AP111" i="7" s="1"/>
  <c r="AT111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N147" i="7"/>
  <c r="AV2" i="17"/>
  <c r="AV2" i="26"/>
  <c r="AA76" i="7"/>
  <c r="BE88" i="8"/>
  <c r="BE57" i="9"/>
  <c r="BE50" i="8"/>
  <c r="BE49" i="8"/>
  <c r="AS81" i="9"/>
  <c r="AT71" i="7"/>
  <c r="AX71" i="7" s="1"/>
  <c r="AX73" i="7" s="1"/>
  <c r="AP73" i="7"/>
  <c r="AE81" i="7"/>
  <c r="AH28" i="59" s="1"/>
  <c r="AE80" i="7"/>
  <c r="AE76" i="7"/>
  <c r="AE78" i="7"/>
  <c r="AE83" i="7"/>
  <c r="AH35" i="59" s="1"/>
  <c r="AS71" i="7"/>
  <c r="AW71" i="7" s="1"/>
  <c r="AW73" i="7" s="1"/>
  <c r="AO73" i="7"/>
  <c r="AO65" i="7"/>
  <c r="AP41" i="7"/>
  <c r="H127" i="7"/>
  <c r="AB21" i="7"/>
  <c r="J104" i="7"/>
  <c r="AA2" i="7"/>
  <c r="AB2" i="7"/>
  <c r="AB159" i="7" s="1"/>
  <c r="Q51" i="7"/>
  <c r="AB138" i="7"/>
  <c r="U30" i="59"/>
  <c r="AA81" i="7"/>
  <c r="AD28" i="59" s="1"/>
  <c r="J128" i="7"/>
  <c r="V1" i="7"/>
  <c r="V80" i="7" s="1"/>
  <c r="R126" i="7"/>
  <c r="R127" i="7" s="1"/>
  <c r="R125" i="7"/>
  <c r="AB78" i="7"/>
  <c r="AA1" i="7"/>
  <c r="AA80" i="7" s="1"/>
  <c r="AA75" i="7"/>
  <c r="AA90" i="7" l="1"/>
  <c r="AD32" i="59" s="1"/>
  <c r="AI88" i="7"/>
  <c r="AE90" i="7"/>
  <c r="AH32" i="59" s="1"/>
  <c r="AA88" i="7"/>
  <c r="AA89" i="7"/>
  <c r="AI90" i="7"/>
  <c r="AL32" i="59" s="1"/>
  <c r="AE88" i="7"/>
  <c r="AH30" i="59" s="1"/>
  <c r="AE89" i="7"/>
  <c r="AH31" i="59" s="1"/>
  <c r="AI89" i="7"/>
  <c r="AL31" i="59" s="1"/>
  <c r="BK49" i="8"/>
  <c r="BE51" i="8"/>
  <c r="BE74" i="9"/>
  <c r="BH40" i="59"/>
  <c r="AA38" i="7"/>
  <c r="AE2" i="7"/>
  <c r="AA159" i="7"/>
  <c r="AE38" i="7"/>
  <c r="AI77" i="7"/>
  <c r="AI63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E77" i="8"/>
  <c r="BD2" i="26"/>
  <c r="BD2" i="17"/>
  <c r="AB140" i="7"/>
  <c r="AS73" i="7"/>
  <c r="AT73" i="7"/>
  <c r="BE64" i="9"/>
  <c r="BE81" i="9" s="1"/>
  <c r="AB84" i="7"/>
  <c r="AF2" i="7"/>
  <c r="AF159" i="7" s="1"/>
  <c r="AS65" i="7"/>
  <c r="AW65" i="7" s="1"/>
  <c r="AO67" i="7"/>
  <c r="AT41" i="7"/>
  <c r="AX41" i="7" s="1"/>
  <c r="AP51" i="7"/>
  <c r="AL28" i="59"/>
  <c r="AL35" i="59"/>
  <c r="H128" i="7"/>
  <c r="AA21" i="7"/>
  <c r="AA73" i="7"/>
  <c r="AB73" i="7"/>
  <c r="AE31" i="59"/>
  <c r="AE30" i="59"/>
  <c r="AE33" i="59"/>
  <c r="AE34" i="59"/>
  <c r="J135" i="7"/>
  <c r="R128" i="7"/>
  <c r="AB144" i="7"/>
  <c r="AB123" i="7"/>
  <c r="AB81" i="7"/>
  <c r="AE28" i="59" s="1"/>
  <c r="AB1" i="7"/>
  <c r="AB80" i="7" s="1"/>
  <c r="AB75" i="7"/>
  <c r="T29" i="59"/>
  <c r="AE104" i="7" l="1"/>
  <c r="AO36" i="7"/>
  <c r="AO100" i="7" s="1"/>
  <c r="AO32" i="7"/>
  <c r="AO96" i="7" s="1"/>
  <c r="AO27" i="7"/>
  <c r="AO91" i="7" s="1"/>
  <c r="AO23" i="7"/>
  <c r="AO87" i="7" s="1"/>
  <c r="AR29" i="59" s="1"/>
  <c r="AO35" i="7"/>
  <c r="AO99" i="7" s="1"/>
  <c r="AO31" i="7"/>
  <c r="AO95" i="7" s="1"/>
  <c r="AR34" i="59" s="1"/>
  <c r="AO26" i="7"/>
  <c r="AO34" i="7"/>
  <c r="AO98" i="7" s="1"/>
  <c r="AO29" i="7"/>
  <c r="AO93" i="7" s="1"/>
  <c r="AR33" i="59" s="1"/>
  <c r="AO25" i="7"/>
  <c r="AO37" i="7"/>
  <c r="AO101" i="7" s="1"/>
  <c r="AO33" i="7"/>
  <c r="AO97" i="7" s="1"/>
  <c r="AO28" i="7"/>
  <c r="AO92" i="7" s="1"/>
  <c r="AO24" i="7"/>
  <c r="AO62" i="7"/>
  <c r="AO61" i="7"/>
  <c r="AO103" i="7" s="1"/>
  <c r="AO60" i="7"/>
  <c r="AO59" i="7"/>
  <c r="AO58" i="7"/>
  <c r="AO57" i="7"/>
  <c r="AO56" i="7"/>
  <c r="AO102" i="7" s="1"/>
  <c r="AO55" i="7"/>
  <c r="AO54" i="7"/>
  <c r="AL30" i="59"/>
  <c r="AI104" i="7"/>
  <c r="AA53" i="7"/>
  <c r="AA63" i="7" s="1"/>
  <c r="AE63" i="7"/>
  <c r="AE53" i="7"/>
  <c r="AE77" i="7" s="1"/>
  <c r="AI2" i="7"/>
  <c r="AE159" i="7"/>
  <c r="AX51" i="7"/>
  <c r="AW67" i="7"/>
  <c r="AW78" i="7" s="1"/>
  <c r="AB124" i="7"/>
  <c r="AB126" i="7" s="1"/>
  <c r="AB146" i="7"/>
  <c r="AB141" i="7"/>
  <c r="BF71" i="7"/>
  <c r="BE71" i="7"/>
  <c r="AS67" i="7"/>
  <c r="AT51" i="7"/>
  <c r="AO80" i="7"/>
  <c r="AO76" i="7"/>
  <c r="AO81" i="7"/>
  <c r="AR28" i="59" s="1"/>
  <c r="AO78" i="7"/>
  <c r="AO83" i="7"/>
  <c r="AR35" i="59" s="1"/>
  <c r="AJ2" i="7"/>
  <c r="AF84" i="7"/>
  <c r="H135" i="7"/>
  <c r="AB38" i="7"/>
  <c r="AB53" i="7" s="1"/>
  <c r="T30" i="59"/>
  <c r="T31" i="59"/>
  <c r="AA68" i="7"/>
  <c r="AE68" i="7" s="1"/>
  <c r="AI68" i="7" s="1"/>
  <c r="AI69" i="7" s="1"/>
  <c r="R135" i="7"/>
  <c r="AE29" i="59"/>
  <c r="AS37" i="7" l="1"/>
  <c r="AS101" i="7" s="1"/>
  <c r="AS33" i="7"/>
  <c r="AS97" i="7" s="1"/>
  <c r="AS28" i="7"/>
  <c r="AS92" i="7" s="1"/>
  <c r="AS24" i="7"/>
  <c r="AS36" i="7"/>
  <c r="AS100" i="7" s="1"/>
  <c r="AS32" i="7"/>
  <c r="AS96" i="7" s="1"/>
  <c r="AS27" i="7"/>
  <c r="AS91" i="7" s="1"/>
  <c r="AS23" i="7"/>
  <c r="AS87" i="7" s="1"/>
  <c r="AV29" i="59" s="1"/>
  <c r="AS35" i="7"/>
  <c r="AS99" i="7" s="1"/>
  <c r="AS31" i="7"/>
  <c r="AS95" i="7" s="1"/>
  <c r="AV34" i="59" s="1"/>
  <c r="AS26" i="7"/>
  <c r="AS34" i="7"/>
  <c r="AS98" i="7" s="1"/>
  <c r="AS29" i="7"/>
  <c r="AS93" i="7" s="1"/>
  <c r="AV33" i="59" s="1"/>
  <c r="AS25" i="7"/>
  <c r="AS62" i="7"/>
  <c r="AS61" i="7"/>
  <c r="AS103" i="7" s="1"/>
  <c r="AS60" i="7"/>
  <c r="AS59" i="7"/>
  <c r="AS58" i="7"/>
  <c r="AS57" i="7"/>
  <c r="AS56" i="7"/>
  <c r="AS102" i="7" s="1"/>
  <c r="AS55" i="7"/>
  <c r="AS54" i="7"/>
  <c r="AO90" i="7"/>
  <c r="AR32" i="59" s="1"/>
  <c r="AO88" i="7"/>
  <c r="AR30" i="59" s="1"/>
  <c r="AO89" i="7"/>
  <c r="AR31" i="59" s="1"/>
  <c r="AW34" i="7"/>
  <c r="AW98" i="7" s="1"/>
  <c r="AW29" i="7"/>
  <c r="AW93" i="7" s="1"/>
  <c r="AZ33" i="59" s="1"/>
  <c r="AW25" i="7"/>
  <c r="AW37" i="7"/>
  <c r="AW101" i="7" s="1"/>
  <c r="AW33" i="7"/>
  <c r="AW97" i="7" s="1"/>
  <c r="AW28" i="7"/>
  <c r="AW92" i="7" s="1"/>
  <c r="AW24" i="7"/>
  <c r="AW36" i="7"/>
  <c r="AW100" i="7" s="1"/>
  <c r="AW32" i="7"/>
  <c r="AW96" i="7" s="1"/>
  <c r="AW27" i="7"/>
  <c r="AW91" i="7" s="1"/>
  <c r="AW23" i="7"/>
  <c r="AW87" i="7" s="1"/>
  <c r="AZ29" i="59" s="1"/>
  <c r="AW35" i="7"/>
  <c r="AW99" i="7" s="1"/>
  <c r="AW31" i="7"/>
  <c r="AW95" i="7" s="1"/>
  <c r="AZ34" i="59" s="1"/>
  <c r="AW26" i="7"/>
  <c r="AW62" i="7"/>
  <c r="AW61" i="7"/>
  <c r="AW103" i="7" s="1"/>
  <c r="AW60" i="7"/>
  <c r="AW59" i="7"/>
  <c r="AW58" i="7"/>
  <c r="AW57" i="7"/>
  <c r="AW56" i="7"/>
  <c r="AW102" i="7" s="1"/>
  <c r="AW55" i="7"/>
  <c r="AW54" i="7"/>
  <c r="BE73" i="7"/>
  <c r="BF73" i="7"/>
  <c r="AW83" i="7"/>
  <c r="AW80" i="7"/>
  <c r="AJ84" i="7"/>
  <c r="AJ159" i="7"/>
  <c r="AW81" i="7"/>
  <c r="AO2" i="7"/>
  <c r="AI159" i="7"/>
  <c r="AW76" i="7"/>
  <c r="AO38" i="7"/>
  <c r="AB125" i="7"/>
  <c r="AO104" i="7"/>
  <c r="AB147" i="7"/>
  <c r="AB127" i="7"/>
  <c r="AS80" i="7"/>
  <c r="AS81" i="7"/>
  <c r="AV28" i="59" s="1"/>
  <c r="AS78" i="7"/>
  <c r="AS76" i="7"/>
  <c r="AS83" i="7"/>
  <c r="AV35" i="59" s="1"/>
  <c r="BE65" i="7"/>
  <c r="BF41" i="7"/>
  <c r="AE69" i="7"/>
  <c r="AP2" i="7"/>
  <c r="AP159" i="7" s="1"/>
  <c r="AB104" i="7"/>
  <c r="M114" i="6"/>
  <c r="AA69" i="7"/>
  <c r="AD33" i="59"/>
  <c r="AA78" i="7"/>
  <c r="AD34" i="59"/>
  <c r="J87" i="6"/>
  <c r="AW90" i="7" l="1"/>
  <c r="AZ32" i="59" s="1"/>
  <c r="AS88" i="7"/>
  <c r="AV30" i="59" s="1"/>
  <c r="AS90" i="7"/>
  <c r="AV32" i="59" s="1"/>
  <c r="AS89" i="7"/>
  <c r="AV31" i="59" s="1"/>
  <c r="AW88" i="7"/>
  <c r="AZ30" i="59" s="1"/>
  <c r="AW89" i="7"/>
  <c r="AZ31" i="59" s="1"/>
  <c r="AO53" i="7"/>
  <c r="AO63" i="7" s="1"/>
  <c r="BE67" i="7"/>
  <c r="BE78" i="7" s="1"/>
  <c r="AW38" i="7"/>
  <c r="AW104" i="7"/>
  <c r="AS2" i="7"/>
  <c r="AO159" i="7"/>
  <c r="AB128" i="7"/>
  <c r="AB135" i="7" s="1"/>
  <c r="AS104" i="7"/>
  <c r="AS38" i="7"/>
  <c r="AS53" i="7" s="1"/>
  <c r="BE80" i="7"/>
  <c r="BE76" i="7"/>
  <c r="BE81" i="7"/>
  <c r="BH28" i="59" s="1"/>
  <c r="BE83" i="7"/>
  <c r="BH35" i="59" s="1"/>
  <c r="AZ28" i="59"/>
  <c r="AZ35" i="59"/>
  <c r="BF51" i="7"/>
  <c r="AT2" i="7"/>
  <c r="AT159" i="7" s="1"/>
  <c r="AP84" i="7"/>
  <c r="AO68" i="7"/>
  <c r="M120" i="6"/>
  <c r="BF13" i="36"/>
  <c r="AD30" i="59"/>
  <c r="AD31" i="59"/>
  <c r="AA114" i="6"/>
  <c r="N136" i="6"/>
  <c r="AB136" i="6" s="1"/>
  <c r="N114" i="6"/>
  <c r="N103" i="6"/>
  <c r="M98" i="6"/>
  <c r="M104" i="6" s="1"/>
  <c r="M106" i="6" s="1"/>
  <c r="M146" i="6" s="1"/>
  <c r="M131" i="6"/>
  <c r="M137" i="6" s="1"/>
  <c r="AD29" i="59"/>
  <c r="J86" i="6"/>
  <c r="J88" i="6"/>
  <c r="I70" i="6"/>
  <c r="I88" i="6"/>
  <c r="I87" i="6"/>
  <c r="I86" i="6"/>
  <c r="I76" i="6"/>
  <c r="I75" i="6"/>
  <c r="I74" i="6"/>
  <c r="I73" i="6"/>
  <c r="I72" i="6"/>
  <c r="AO77" i="7" l="1"/>
  <c r="BE35" i="7"/>
  <c r="BE99" i="7" s="1"/>
  <c r="BE31" i="7"/>
  <c r="BE95" i="7" s="1"/>
  <c r="BH34" i="59" s="1"/>
  <c r="BE26" i="7"/>
  <c r="BE34" i="7"/>
  <c r="BE98" i="7" s="1"/>
  <c r="BE29" i="7"/>
  <c r="BE93" i="7" s="1"/>
  <c r="BH33" i="59" s="1"/>
  <c r="BE25" i="7"/>
  <c r="BE37" i="7"/>
  <c r="BE101" i="7" s="1"/>
  <c r="BE33" i="7"/>
  <c r="BE97" i="7" s="1"/>
  <c r="BE28" i="7"/>
  <c r="BE92" i="7" s="1"/>
  <c r="BE24" i="7"/>
  <c r="BE36" i="7"/>
  <c r="BE100" i="7" s="1"/>
  <c r="BE32" i="7"/>
  <c r="BE96" i="7" s="1"/>
  <c r="BE27" i="7"/>
  <c r="BE91" i="7" s="1"/>
  <c r="BE23" i="7"/>
  <c r="BE87" i="7" s="1"/>
  <c r="BH29" i="59" s="1"/>
  <c r="BE62" i="7"/>
  <c r="BE61" i="7"/>
  <c r="BE103" i="7" s="1"/>
  <c r="BE60" i="7"/>
  <c r="BE59" i="7"/>
  <c r="BE58" i="7"/>
  <c r="BE57" i="7"/>
  <c r="BE56" i="7"/>
  <c r="BE102" i="7" s="1"/>
  <c r="BE55" i="7"/>
  <c r="BE54" i="7"/>
  <c r="AW53" i="7"/>
  <c r="AW63" i="7" s="1"/>
  <c r="BI39" i="59"/>
  <c r="AW2" i="7"/>
  <c r="AS159" i="7"/>
  <c r="AS63" i="7"/>
  <c r="AS77" i="7"/>
  <c r="AT84" i="7"/>
  <c r="AX2" i="7"/>
  <c r="AS68" i="7"/>
  <c r="AW68" i="7" s="1"/>
  <c r="AO69" i="7"/>
  <c r="M139" i="6"/>
  <c r="AA137" i="6"/>
  <c r="M122" i="6"/>
  <c r="M168" i="6" s="1"/>
  <c r="AA120" i="6"/>
  <c r="AA122" i="6" s="1"/>
  <c r="N119" i="6"/>
  <c r="N98" i="6"/>
  <c r="N104" i="6" s="1"/>
  <c r="N106" i="6" s="1"/>
  <c r="I146" i="6"/>
  <c r="J146" i="6"/>
  <c r="F8" i="36"/>
  <c r="I9" i="59" s="1"/>
  <c r="J75" i="6"/>
  <c r="J72" i="6"/>
  <c r="J76" i="6"/>
  <c r="J73" i="6"/>
  <c r="J74" i="6"/>
  <c r="I77" i="6"/>
  <c r="J171" i="6"/>
  <c r="J70" i="6"/>
  <c r="BE90" i="7" l="1"/>
  <c r="BH32" i="59" s="1"/>
  <c r="BE88" i="7"/>
  <c r="BE89" i="7"/>
  <c r="BH31" i="59" s="1"/>
  <c r="AW77" i="7"/>
  <c r="BE38" i="7"/>
  <c r="AX84" i="7"/>
  <c r="AX159" i="7"/>
  <c r="BE2" i="7"/>
  <c r="AW159" i="7"/>
  <c r="AW69" i="7"/>
  <c r="M202" i="6"/>
  <c r="M203" i="6"/>
  <c r="BF2" i="7"/>
  <c r="BF84" i="7" s="1"/>
  <c r="M209" i="6"/>
  <c r="M169" i="6"/>
  <c r="M170" i="6" s="1"/>
  <c r="M208" i="6"/>
  <c r="M171" i="6"/>
  <c r="AS69" i="7"/>
  <c r="N120" i="6"/>
  <c r="AB119" i="6"/>
  <c r="N149" i="6"/>
  <c r="R149" i="6" s="1"/>
  <c r="V149" i="6" s="1"/>
  <c r="N148" i="6"/>
  <c r="R148" i="6" s="1"/>
  <c r="V148" i="6" s="1"/>
  <c r="N150" i="6"/>
  <c r="R150" i="6" s="1"/>
  <c r="V150" i="6" s="1"/>
  <c r="AB103" i="6"/>
  <c r="AA169" i="6"/>
  <c r="AA171" i="6"/>
  <c r="AA168" i="6"/>
  <c r="AB114" i="6"/>
  <c r="N131" i="6"/>
  <c r="N137" i="6" s="1"/>
  <c r="AB137" i="6" s="1"/>
  <c r="I171" i="6"/>
  <c r="M143" i="6"/>
  <c r="M144" i="6"/>
  <c r="I169" i="6"/>
  <c r="J174" i="6"/>
  <c r="J175" i="6"/>
  <c r="J173" i="6"/>
  <c r="I144" i="6"/>
  <c r="I143" i="6"/>
  <c r="I168" i="6"/>
  <c r="J168" i="6"/>
  <c r="J77" i="6"/>
  <c r="M77" i="6"/>
  <c r="F7" i="36"/>
  <c r="I8" i="59" s="1"/>
  <c r="I68" i="6"/>
  <c r="I67" i="6"/>
  <c r="I65" i="6"/>
  <c r="I64" i="6"/>
  <c r="BH30" i="59" l="1"/>
  <c r="BE104" i="7"/>
  <c r="BE53" i="7"/>
  <c r="BE63" i="7" s="1"/>
  <c r="BE68" i="7"/>
  <c r="N122" i="6"/>
  <c r="N169" i="6" s="1"/>
  <c r="Q22" i="59" s="1"/>
  <c r="AB120" i="6"/>
  <c r="N139" i="6"/>
  <c r="AA98" i="6"/>
  <c r="AB98" i="6"/>
  <c r="AA170" i="6"/>
  <c r="M204" i="6"/>
  <c r="N146" i="6"/>
  <c r="I170" i="6"/>
  <c r="J144" i="6"/>
  <c r="M15" i="59" s="1"/>
  <c r="J148" i="6"/>
  <c r="J149" i="6"/>
  <c r="J150" i="6"/>
  <c r="M145" i="6"/>
  <c r="J143" i="6"/>
  <c r="M213" i="6"/>
  <c r="Z174" i="6"/>
  <c r="Z173" i="6"/>
  <c r="Z175" i="6"/>
  <c r="Y77" i="6"/>
  <c r="AA77" i="6"/>
  <c r="M210" i="6"/>
  <c r="M205" i="6"/>
  <c r="M207" i="6"/>
  <c r="M199" i="6"/>
  <c r="M200" i="6"/>
  <c r="I145" i="6"/>
  <c r="J169" i="6"/>
  <c r="M22" i="59" s="1"/>
  <c r="I66" i="6"/>
  <c r="I69" i="6"/>
  <c r="M69" i="6"/>
  <c r="N77" i="6"/>
  <c r="J65" i="6"/>
  <c r="J67" i="6"/>
  <c r="J68" i="6"/>
  <c r="J64" i="6"/>
  <c r="J2" i="6"/>
  <c r="I2" i="6"/>
  <c r="BE77" i="7" l="1"/>
  <c r="BE69" i="7"/>
  <c r="N202" i="6"/>
  <c r="N203" i="6"/>
  <c r="I12" i="6"/>
  <c r="I217" i="6" s="1"/>
  <c r="I13" i="6"/>
  <c r="I218" i="6" s="1"/>
  <c r="N171" i="6"/>
  <c r="N174" i="6"/>
  <c r="R174" i="6" s="1"/>
  <c r="V174" i="6" s="1"/>
  <c r="N175" i="6"/>
  <c r="R175" i="6" s="1"/>
  <c r="V175" i="6" s="1"/>
  <c r="N173" i="6"/>
  <c r="R173" i="6" s="1"/>
  <c r="V173" i="6" s="1"/>
  <c r="V193" i="6" s="1"/>
  <c r="N209" i="6"/>
  <c r="N208" i="6"/>
  <c r="N195" i="6"/>
  <c r="J170" i="6"/>
  <c r="I187" i="6"/>
  <c r="I162" i="6"/>
  <c r="I188" i="6"/>
  <c r="AB131" i="6"/>
  <c r="AB104" i="6"/>
  <c r="AB106" i="6" s="1"/>
  <c r="AB143" i="6" s="1"/>
  <c r="AA104" i="6"/>
  <c r="AA106" i="6" s="1"/>
  <c r="J145" i="6"/>
  <c r="AA131" i="6"/>
  <c r="F15" i="36"/>
  <c r="J188" i="6"/>
  <c r="J162" i="6"/>
  <c r="J187" i="6"/>
  <c r="M214" i="6"/>
  <c r="J13" i="6"/>
  <c r="J218" i="6" s="1"/>
  <c r="J12" i="6"/>
  <c r="J217" i="6" s="1"/>
  <c r="AC9" i="59"/>
  <c r="J193" i="6"/>
  <c r="Z150" i="6"/>
  <c r="Z148" i="6"/>
  <c r="Z149" i="6"/>
  <c r="M211" i="6"/>
  <c r="M206" i="6"/>
  <c r="N2" i="6"/>
  <c r="M2" i="6"/>
  <c r="N143" i="6"/>
  <c r="N144" i="6"/>
  <c r="Q15" i="59" s="1"/>
  <c r="N168" i="6"/>
  <c r="N170" i="6" s="1"/>
  <c r="N8" i="36" s="1"/>
  <c r="Q9" i="59" s="1"/>
  <c r="M66" i="6"/>
  <c r="J66" i="6"/>
  <c r="J24" i="6"/>
  <c r="J69" i="6"/>
  <c r="J27" i="6"/>
  <c r="J30" i="6"/>
  <c r="I18" i="6"/>
  <c r="I191" i="6" s="1"/>
  <c r="I17" i="6"/>
  <c r="I165" i="6" s="1"/>
  <c r="J21" i="6"/>
  <c r="AA139" i="6" l="1"/>
  <c r="AA203" i="6" s="1"/>
  <c r="V15" i="36"/>
  <c r="M13" i="6"/>
  <c r="M218" i="6" s="1"/>
  <c r="M12" i="6"/>
  <c r="M217" i="6" s="1"/>
  <c r="R193" i="6"/>
  <c r="R2" i="6"/>
  <c r="R61" i="6"/>
  <c r="R60" i="6"/>
  <c r="AB60" i="6"/>
  <c r="AB61" i="6"/>
  <c r="AA61" i="6"/>
  <c r="AD23" i="59" s="1"/>
  <c r="AA60" i="6"/>
  <c r="AD16" i="59" s="1"/>
  <c r="Q60" i="6"/>
  <c r="T16" i="59" s="1"/>
  <c r="Q61" i="6"/>
  <c r="T23" i="59" s="1"/>
  <c r="J8" i="36"/>
  <c r="M9" i="59" s="1"/>
  <c r="J7" i="36"/>
  <c r="M8" i="59" s="1"/>
  <c r="AB149" i="6"/>
  <c r="AF149" i="6" s="1"/>
  <c r="AJ149" i="6" s="1"/>
  <c r="AP149" i="6" s="1"/>
  <c r="AT149" i="6" s="1"/>
  <c r="AB150" i="6"/>
  <c r="AF150" i="6" s="1"/>
  <c r="AJ150" i="6" s="1"/>
  <c r="AP150" i="6" s="1"/>
  <c r="AT150" i="6" s="1"/>
  <c r="Z193" i="6"/>
  <c r="AB148" i="6"/>
  <c r="AF148" i="6" s="1"/>
  <c r="N12" i="6"/>
  <c r="N217" i="6" s="1"/>
  <c r="N13" i="6"/>
  <c r="N218" i="6" s="1"/>
  <c r="N187" i="6"/>
  <c r="N188" i="6"/>
  <c r="M188" i="6"/>
  <c r="M162" i="6"/>
  <c r="M187" i="6"/>
  <c r="I190" i="6"/>
  <c r="I184" i="6"/>
  <c r="I164" i="6"/>
  <c r="I159" i="6"/>
  <c r="I52" i="59"/>
  <c r="AB146" i="6"/>
  <c r="AB144" i="6"/>
  <c r="AA146" i="6"/>
  <c r="AA144" i="6"/>
  <c r="AB122" i="6"/>
  <c r="AA143" i="6"/>
  <c r="N204" i="6"/>
  <c r="Q2" i="6"/>
  <c r="N162" i="6"/>
  <c r="R8" i="36"/>
  <c r="U9" i="59" s="1"/>
  <c r="N213" i="6"/>
  <c r="R7" i="36"/>
  <c r="U8" i="59" s="1"/>
  <c r="M212" i="6"/>
  <c r="N193" i="6"/>
  <c r="N20" i="49" s="1"/>
  <c r="AC8" i="59"/>
  <c r="Y69" i="6"/>
  <c r="J157" i="6"/>
  <c r="M20" i="59" s="1"/>
  <c r="J153" i="6"/>
  <c r="J155" i="6"/>
  <c r="M18" i="59" s="1"/>
  <c r="J154" i="6"/>
  <c r="M17" i="59" s="1"/>
  <c r="J156" i="6"/>
  <c r="M19" i="59" s="1"/>
  <c r="J152" i="6"/>
  <c r="N205" i="6"/>
  <c r="N210" i="6"/>
  <c r="N200" i="6"/>
  <c r="N207" i="6"/>
  <c r="N199" i="6"/>
  <c r="I7" i="6"/>
  <c r="I15" i="6"/>
  <c r="I16" i="6"/>
  <c r="N145" i="6"/>
  <c r="N7" i="36" s="1"/>
  <c r="Q8" i="59" s="1"/>
  <c r="N69" i="6"/>
  <c r="I19" i="6"/>
  <c r="N66" i="6"/>
  <c r="J33" i="6"/>
  <c r="AA205" i="6" l="1"/>
  <c r="AA207" i="6"/>
  <c r="AA202" i="6"/>
  <c r="AA210" i="6"/>
  <c r="AA213" i="6"/>
  <c r="AA214" i="6" s="1"/>
  <c r="AA199" i="6"/>
  <c r="AA204" i="6"/>
  <c r="AA208" i="6"/>
  <c r="AA200" i="6"/>
  <c r="V61" i="6"/>
  <c r="Y23" i="59" s="1"/>
  <c r="AA209" i="6"/>
  <c r="U60" i="6"/>
  <c r="X16" i="59" s="1"/>
  <c r="R13" i="6"/>
  <c r="R218" i="6" s="1"/>
  <c r="AX150" i="6"/>
  <c r="BF150" i="6" s="1"/>
  <c r="R12" i="6"/>
  <c r="R217" i="6" s="1"/>
  <c r="AX149" i="6"/>
  <c r="BF149" i="6" s="1"/>
  <c r="Q12" i="6"/>
  <c r="Q217" i="6" s="1"/>
  <c r="Q13" i="6"/>
  <c r="Q218" i="6" s="1"/>
  <c r="U61" i="6"/>
  <c r="X23" i="59" s="1"/>
  <c r="V60" i="6"/>
  <c r="Y16" i="59" s="1"/>
  <c r="Y52" i="59"/>
  <c r="AJ148" i="6"/>
  <c r="AE16" i="59"/>
  <c r="AD12" i="59"/>
  <c r="AE12" i="59"/>
  <c r="AE23" i="59"/>
  <c r="AB145" i="6"/>
  <c r="AB7" i="36" s="1"/>
  <c r="AE8" i="59" s="1"/>
  <c r="AE15" i="59"/>
  <c r="T12" i="59"/>
  <c r="U16" i="59"/>
  <c r="U12" i="59"/>
  <c r="U23" i="59"/>
  <c r="V2" i="6"/>
  <c r="R188" i="6"/>
  <c r="R162" i="6"/>
  <c r="R187" i="6"/>
  <c r="Q188" i="6"/>
  <c r="AB173" i="6"/>
  <c r="AF173" i="6" s="1"/>
  <c r="AJ173" i="6" s="1"/>
  <c r="AP173" i="6" s="1"/>
  <c r="AT173" i="6" s="1"/>
  <c r="AB175" i="6"/>
  <c r="AF175" i="6" s="1"/>
  <c r="AJ175" i="6" s="1"/>
  <c r="AP175" i="6" s="1"/>
  <c r="AT175" i="6" s="1"/>
  <c r="AB174" i="6"/>
  <c r="AF174" i="6" s="1"/>
  <c r="AJ174" i="6" s="1"/>
  <c r="AP174" i="6" s="1"/>
  <c r="AT174" i="6" s="1"/>
  <c r="I84" i="6"/>
  <c r="M164" i="6"/>
  <c r="M159" i="6"/>
  <c r="I81" i="6"/>
  <c r="M190" i="6"/>
  <c r="M184" i="6"/>
  <c r="U2" i="6"/>
  <c r="U188" i="6" s="1"/>
  <c r="AA145" i="6"/>
  <c r="AB171" i="6"/>
  <c r="AB168" i="6"/>
  <c r="AB139" i="6"/>
  <c r="AB203" i="6" s="1"/>
  <c r="AB169" i="6"/>
  <c r="AE22" i="59" s="1"/>
  <c r="AB77" i="6"/>
  <c r="AB69" i="6"/>
  <c r="Q17" i="59"/>
  <c r="N214" i="6"/>
  <c r="M215" i="6"/>
  <c r="F9" i="36"/>
  <c r="I10" i="59" s="1"/>
  <c r="AA69" i="6"/>
  <c r="AA66" i="6"/>
  <c r="Y66" i="6"/>
  <c r="Q19" i="59"/>
  <c r="Q18" i="59"/>
  <c r="Q20" i="59"/>
  <c r="M16" i="6"/>
  <c r="N211" i="6"/>
  <c r="Q11" i="59" s="1"/>
  <c r="N206" i="6"/>
  <c r="M15" i="6"/>
  <c r="M7" i="6"/>
  <c r="M19" i="6"/>
  <c r="AA206" i="6" l="1"/>
  <c r="AA211" i="6"/>
  <c r="AB209" i="6"/>
  <c r="U12" i="6"/>
  <c r="Q15" i="6"/>
  <c r="AX174" i="6"/>
  <c r="BF174" i="6" s="1"/>
  <c r="AX175" i="6"/>
  <c r="BF175" i="6" s="1"/>
  <c r="V188" i="6"/>
  <c r="V187" i="6"/>
  <c r="V162" i="6"/>
  <c r="AX173" i="6"/>
  <c r="BF173" i="6" s="1"/>
  <c r="U13" i="6"/>
  <c r="Q16" i="6"/>
  <c r="V13" i="6"/>
  <c r="V12" i="6"/>
  <c r="AF193" i="6"/>
  <c r="AP148" i="6"/>
  <c r="AJ193" i="6"/>
  <c r="AB195" i="6"/>
  <c r="AB2" i="6"/>
  <c r="R15" i="6"/>
  <c r="R16" i="6"/>
  <c r="AB208" i="6"/>
  <c r="AB202" i="6"/>
  <c r="M84" i="6"/>
  <c r="AA2" i="6"/>
  <c r="M81" i="6"/>
  <c r="U19" i="59"/>
  <c r="AB193" i="6"/>
  <c r="U20" i="59"/>
  <c r="U18" i="59"/>
  <c r="U17" i="59"/>
  <c r="AB213" i="6"/>
  <c r="AB200" i="6"/>
  <c r="AB204" i="6"/>
  <c r="AB210" i="6"/>
  <c r="AB199" i="6"/>
  <c r="AB205" i="6"/>
  <c r="AB207" i="6"/>
  <c r="AB170" i="6"/>
  <c r="AB8" i="36" s="1"/>
  <c r="AE9" i="59" s="1"/>
  <c r="R9" i="36"/>
  <c r="U10" i="59" s="1"/>
  <c r="AB66" i="6"/>
  <c r="J9" i="36"/>
  <c r="M10" i="59" s="1"/>
  <c r="N212" i="6"/>
  <c r="N215" i="6" s="1"/>
  <c r="AA212" i="6" l="1"/>
  <c r="AA215" i="6" s="1"/>
  <c r="V15" i="6"/>
  <c r="V217" i="6"/>
  <c r="V16" i="6"/>
  <c r="V218" i="6"/>
  <c r="U16" i="6"/>
  <c r="U218" i="6"/>
  <c r="U15" i="6"/>
  <c r="U217" i="6"/>
  <c r="AA12" i="6"/>
  <c r="AA217" i="6" s="1"/>
  <c r="AA13" i="6"/>
  <c r="AA218" i="6" s="1"/>
  <c r="AB12" i="6"/>
  <c r="AB13" i="6"/>
  <c r="AE2" i="6"/>
  <c r="AE60" i="6"/>
  <c r="AH16" i="59" s="1"/>
  <c r="AE61" i="6"/>
  <c r="AH23" i="59" s="1"/>
  <c r="AF2" i="6"/>
  <c r="AF61" i="6"/>
  <c r="AF60" i="6"/>
  <c r="AT148" i="6"/>
  <c r="AX148" i="6" s="1"/>
  <c r="AP193" i="6"/>
  <c r="AB188" i="6"/>
  <c r="AB187" i="6"/>
  <c r="AB162" i="6"/>
  <c r="AA188" i="6"/>
  <c r="AB206" i="6"/>
  <c r="AB214" i="6"/>
  <c r="AB211" i="6"/>
  <c r="AC10" i="59"/>
  <c r="N9" i="36"/>
  <c r="Q10" i="59" s="1"/>
  <c r="AX193" i="6" l="1"/>
  <c r="BF148" i="6"/>
  <c r="AE11" i="59"/>
  <c r="AF13" i="6"/>
  <c r="AF218" i="6" s="1"/>
  <c r="AB218" i="6"/>
  <c r="AF12" i="6"/>
  <c r="AF217" i="6" s="1"/>
  <c r="AB217" i="6"/>
  <c r="AA16" i="6"/>
  <c r="AE13" i="6"/>
  <c r="AE218" i="6" s="1"/>
  <c r="AE12" i="6"/>
  <c r="AE217" i="6" s="1"/>
  <c r="AA15" i="6"/>
  <c r="AT193" i="6"/>
  <c r="AJ2" i="6"/>
  <c r="AF188" i="6"/>
  <c r="AF162" i="6"/>
  <c r="AF187" i="6"/>
  <c r="AI16" i="59"/>
  <c r="AJ60" i="6"/>
  <c r="AI61" i="6"/>
  <c r="AL23" i="59" s="1"/>
  <c r="AI23" i="59"/>
  <c r="AJ61" i="6"/>
  <c r="AH12" i="59"/>
  <c r="AF16" i="6"/>
  <c r="AI12" i="59"/>
  <c r="AI60" i="6"/>
  <c r="AL16" i="59" s="1"/>
  <c r="AI2" i="6"/>
  <c r="AE188" i="6"/>
  <c r="AB16" i="6"/>
  <c r="AB15" i="6"/>
  <c r="AA164" i="6"/>
  <c r="AA159" i="6"/>
  <c r="AA190" i="6"/>
  <c r="AA184" i="6"/>
  <c r="AB212" i="6"/>
  <c r="AA19" i="6"/>
  <c r="AB9" i="36" l="1"/>
  <c r="AE10" i="59" s="1"/>
  <c r="AI12" i="6"/>
  <c r="AI217" i="6" s="1"/>
  <c r="AE15" i="6"/>
  <c r="AI13" i="6"/>
  <c r="AI218" i="6" s="1"/>
  <c r="AE16" i="6"/>
  <c r="BF193" i="6"/>
  <c r="AO2" i="6"/>
  <c r="AI188" i="6"/>
  <c r="BF12" i="59"/>
  <c r="AL12" i="59"/>
  <c r="AO61" i="6"/>
  <c r="AR23" i="59" s="1"/>
  <c r="AM12" i="59"/>
  <c r="AP2" i="6"/>
  <c r="AJ188" i="6"/>
  <c r="AJ162" i="6"/>
  <c r="AJ187" i="6"/>
  <c r="AP61" i="6"/>
  <c r="AM23" i="59"/>
  <c r="AJ12" i="6"/>
  <c r="AJ217" i="6" s="1"/>
  <c r="AF15" i="6"/>
  <c r="AO60" i="6"/>
  <c r="AR16" i="59" s="1"/>
  <c r="AJ13" i="6"/>
  <c r="AJ218" i="6" s="1"/>
  <c r="AP60" i="6"/>
  <c r="AM16" i="59"/>
  <c r="AA84" i="6"/>
  <c r="AA81" i="6"/>
  <c r="AB215" i="6"/>
  <c r="AO13" i="6" l="1"/>
  <c r="AO218" i="6" s="1"/>
  <c r="AI16" i="6"/>
  <c r="AO12" i="6"/>
  <c r="AO217" i="6" s="1"/>
  <c r="AI15" i="6"/>
  <c r="BG12" i="59"/>
  <c r="AT2" i="6"/>
  <c r="AX2" i="6" s="1"/>
  <c r="AP188" i="6"/>
  <c r="AP162" i="6"/>
  <c r="AP187" i="6"/>
  <c r="AS16" i="59"/>
  <c r="AT60" i="6"/>
  <c r="AS12" i="59"/>
  <c r="AP13" i="6"/>
  <c r="AP218" i="6" s="1"/>
  <c r="AJ16" i="6"/>
  <c r="AP12" i="6"/>
  <c r="AP217" i="6" s="1"/>
  <c r="AJ15" i="6"/>
  <c r="AR12" i="59"/>
  <c r="AS23" i="59"/>
  <c r="AT61" i="6"/>
  <c r="AS60" i="6"/>
  <c r="AV16" i="59" s="1"/>
  <c r="AS61" i="6"/>
  <c r="AV23" i="59" s="1"/>
  <c r="AS2" i="6"/>
  <c r="AW2" i="6" s="1"/>
  <c r="AO188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88" i="6"/>
  <c r="AW60" i="6"/>
  <c r="AZ16" i="59" s="1"/>
  <c r="AS12" i="6"/>
  <c r="AS217" i="6" s="1"/>
  <c r="AO15" i="6"/>
  <c r="AX187" i="6"/>
  <c r="AX162" i="6"/>
  <c r="AX188" i="6"/>
  <c r="AX61" i="6"/>
  <c r="BA23" i="59" s="1"/>
  <c r="AS13" i="6"/>
  <c r="AS218" i="6" s="1"/>
  <c r="AO16" i="6"/>
  <c r="BE2" i="6"/>
  <c r="BF2" i="6"/>
  <c r="AV12" i="59"/>
  <c r="BH12" i="59"/>
  <c r="AW12" i="59"/>
  <c r="BI12" i="59"/>
  <c r="AW16" i="59"/>
  <c r="AW23" i="59"/>
  <c r="AS188" i="6"/>
  <c r="AT12" i="6"/>
  <c r="AP15" i="6"/>
  <c r="AT13" i="6"/>
  <c r="AP16" i="6"/>
  <c r="AT187" i="6"/>
  <c r="AT162" i="6"/>
  <c r="AT188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18" i="6"/>
  <c r="AX12" i="6"/>
  <c r="AT217" i="6"/>
  <c r="AW13" i="6"/>
  <c r="AS16" i="6"/>
  <c r="AW12" i="6"/>
  <c r="AS15" i="6"/>
  <c r="BF187" i="6"/>
  <c r="BF162" i="6"/>
  <c r="BF188" i="6"/>
  <c r="BE188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522" i="28"/>
  <c r="I523" i="28"/>
  <c r="AB15" i="21"/>
  <c r="AF15" i="21" s="1"/>
  <c r="I22" i="21"/>
  <c r="I15" i="21"/>
  <c r="AW16" i="6" l="1"/>
  <c r="AW218" i="6"/>
  <c r="AX15" i="6"/>
  <c r="AX217" i="6"/>
  <c r="AW15" i="6"/>
  <c r="AW217" i="6"/>
  <c r="AX16" i="6"/>
  <c r="AX218" i="6"/>
  <c r="BE12" i="6"/>
  <c r="BE13" i="6"/>
  <c r="BF13" i="6"/>
  <c r="BF12" i="6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BE16" i="6" l="1"/>
  <c r="BE218" i="6"/>
  <c r="BE15" i="6"/>
  <c r="BE217" i="6"/>
  <c r="BF15" i="6"/>
  <c r="BF217" i="6"/>
  <c r="BF16" i="6"/>
  <c r="BF218" i="6"/>
  <c r="AO28" i="2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0" i="26"/>
  <c r="J94" i="9"/>
  <c r="I19" i="15" s="1"/>
  <c r="J96" i="9"/>
  <c r="J100" i="9"/>
  <c r="J104" i="9"/>
  <c r="M58" i="59" s="1"/>
  <c r="J184" i="6"/>
  <c r="N96" i="9" l="1"/>
  <c r="N100" i="9"/>
  <c r="M19" i="15"/>
  <c r="N90" i="9"/>
  <c r="N89" i="9"/>
  <c r="J186" i="6"/>
  <c r="J84" i="8"/>
  <c r="J86" i="8" s="1"/>
  <c r="Q74" i="59" l="1"/>
  <c r="N186" i="6"/>
  <c r="Z160" i="6"/>
  <c r="J85" i="8"/>
  <c r="AP24" i="36" l="1"/>
  <c r="AS74" i="59" s="1"/>
  <c r="AM74" i="59"/>
  <c r="AF24" i="36"/>
  <c r="AI74" i="59" s="1"/>
  <c r="R24" i="36"/>
  <c r="U74" i="59" s="1"/>
  <c r="AB186" i="6"/>
  <c r="AF186" i="6" s="1"/>
  <c r="AJ186" i="6" s="1"/>
  <c r="AP186" i="6" s="1"/>
  <c r="AT186" i="6" s="1"/>
  <c r="R186" i="6"/>
  <c r="V186" i="6" s="1"/>
  <c r="N85" i="8"/>
  <c r="AX186" i="6" l="1"/>
  <c r="BF186" i="6" s="1"/>
  <c r="AX24" i="36"/>
  <c r="BA74" i="59" s="1"/>
  <c r="BF24" i="36"/>
  <c r="BI74" i="59" s="1"/>
  <c r="AT24" i="36"/>
  <c r="AW74" i="59" s="1"/>
  <c r="AB33" i="22"/>
  <c r="AB96" i="9"/>
  <c r="AB94" i="9"/>
  <c r="AA19" i="15" s="1"/>
  <c r="AB100" i="9"/>
  <c r="AB89" i="9"/>
  <c r="AB90" i="9"/>
  <c r="AB86" i="8" l="1"/>
  <c r="AB85" i="8"/>
  <c r="AF86" i="8" l="1"/>
  <c r="Z24" i="36"/>
  <c r="AC74" i="59" s="1"/>
  <c r="J28" i="6"/>
  <c r="AJ86" i="8" l="1"/>
  <c r="AP86" i="8" s="1"/>
  <c r="AT86" i="8" s="1"/>
  <c r="AB24" i="36"/>
  <c r="J29" i="6"/>
  <c r="J31" i="6"/>
  <c r="J25" i="6"/>
  <c r="AX86" i="8" l="1"/>
  <c r="BF86" i="8" s="1"/>
  <c r="AE74" i="59"/>
  <c r="N29" i="6"/>
  <c r="J32" i="6"/>
  <c r="J26" i="6"/>
  <c r="N26" i="6" l="1"/>
  <c r="N32" i="6"/>
  <c r="AB29" i="6" l="1"/>
  <c r="J65" i="8"/>
  <c r="J20" i="49" s="1"/>
  <c r="J34" i="8"/>
  <c r="J72" i="8" l="1"/>
  <c r="J15" i="36"/>
  <c r="M52" i="59" s="1"/>
  <c r="AB32" i="6"/>
  <c r="AB26" i="6"/>
  <c r="N72" i="8" l="1"/>
  <c r="N15" i="36"/>
  <c r="Q52" i="59" s="1"/>
  <c r="J19" i="21"/>
  <c r="J16" i="21" l="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4" i="59"/>
  <c r="BE74" i="59"/>
  <c r="J17" i="8" l="1"/>
  <c r="J22" i="6" l="1"/>
  <c r="J180" i="6" l="1"/>
  <c r="M25" i="59" s="1"/>
  <c r="J181" i="6"/>
  <c r="M26" i="59" s="1"/>
  <c r="J182" i="6"/>
  <c r="M27" i="59" s="1"/>
  <c r="J178" i="6"/>
  <c r="J177" i="6"/>
  <c r="J179" i="6"/>
  <c r="M24" i="59" s="1"/>
  <c r="J23" i="6"/>
  <c r="J34" i="6"/>
  <c r="J194" i="6" l="1"/>
  <c r="Q27" i="59"/>
  <c r="Q24" i="59"/>
  <c r="Q26" i="59"/>
  <c r="Q25" i="59"/>
  <c r="N23" i="6"/>
  <c r="J35" i="6"/>
  <c r="U25" i="59" l="1"/>
  <c r="U27" i="59"/>
  <c r="U26" i="59"/>
  <c r="U24" i="59"/>
  <c r="N194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J24" i="36" l="1"/>
  <c r="M74" i="59" s="1"/>
  <c r="J7" i="6"/>
  <c r="J16" i="6"/>
  <c r="J15" i="6"/>
  <c r="J41" i="7"/>
  <c r="J63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4" i="6"/>
  <c r="J165" i="6"/>
  <c r="J191" i="6"/>
  <c r="J77" i="7"/>
  <c r="N7" i="6"/>
  <c r="N16" i="6"/>
  <c r="N15" i="6"/>
  <c r="J51" i="7"/>
  <c r="J190" i="6"/>
  <c r="J185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5" i="6"/>
  <c r="N164" i="6"/>
  <c r="N190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2" i="59"/>
  <c r="N39" i="6"/>
  <c r="N40" i="6"/>
  <c r="N37" i="6"/>
  <c r="N38" i="6"/>
  <c r="J41" i="6"/>
  <c r="N41" i="6" l="1"/>
  <c r="AB191" i="6" l="1"/>
  <c r="AF191" i="6" s="1"/>
  <c r="AJ191" i="6" s="1"/>
  <c r="AP191" i="6" s="1"/>
  <c r="AT191" i="6" s="1"/>
  <c r="AF165" i="6"/>
  <c r="AB185" i="6"/>
  <c r="AB190" i="6"/>
  <c r="AB77" i="7"/>
  <c r="AB164" i="6"/>
  <c r="AB19" i="6"/>
  <c r="AB51" i="7"/>
  <c r="AJ165" i="6" l="1"/>
  <c r="AX191" i="6"/>
  <c r="BF191" i="6" s="1"/>
  <c r="AB81" i="6"/>
  <c r="AB84" i="6"/>
  <c r="AB39" i="6"/>
  <c r="AB63" i="7"/>
  <c r="AB40" i="6"/>
  <c r="AB38" i="6"/>
  <c r="AP165" i="6" l="1"/>
  <c r="AT165" i="6" s="1"/>
  <c r="AX165" i="6" s="1"/>
  <c r="BF165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4" i="7"/>
  <c r="BF84" i="6" l="1"/>
  <c r="I41" i="7"/>
  <c r="I51" i="7" s="1"/>
  <c r="I77" i="7" l="1"/>
  <c r="AA104" i="7" l="1"/>
  <c r="AA77" i="7" l="1"/>
  <c r="I82" i="7"/>
  <c r="I83" i="7" s="1"/>
  <c r="L35" i="59" s="1"/>
  <c r="P35" i="59" l="1"/>
  <c r="T35" i="59" l="1"/>
  <c r="AA83" i="7" l="1"/>
  <c r="AD35" i="59" s="1"/>
  <c r="Q164" i="26" l="1"/>
  <c r="AA73" i="26" l="1"/>
  <c r="AA96" i="26" l="1"/>
  <c r="AE96" i="26" s="1"/>
  <c r="AI96" i="26" s="1"/>
  <c r="AI112" i="26" s="1"/>
  <c r="AE112" i="26" l="1"/>
  <c r="AE57" i="17"/>
  <c r="AA57" i="17"/>
  <c r="AA58" i="17" s="1"/>
  <c r="AO96" i="26" l="1"/>
  <c r="AS96" i="26" s="1"/>
  <c r="AW96" i="26" s="1"/>
  <c r="AW112" i="26" s="1"/>
  <c r="AI57" i="17"/>
  <c r="AE58" i="17"/>
  <c r="AO57" i="17"/>
  <c r="AA112" i="26"/>
  <c r="AA94" i="26" s="1"/>
  <c r="AE94" i="26" s="1"/>
  <c r="AI94" i="26" s="1"/>
  <c r="AO112" i="26" l="1"/>
  <c r="AO94" i="26" s="1"/>
  <c r="AS57" i="17"/>
  <c r="AI58" i="17"/>
  <c r="AO58" i="17" s="1"/>
  <c r="AS112" i="26"/>
  <c r="Y19" i="9"/>
  <c r="I31" i="6"/>
  <c r="I25" i="6"/>
  <c r="I28" i="6"/>
  <c r="I24" i="6"/>
  <c r="I22" i="6"/>
  <c r="I27" i="6"/>
  <c r="BE96" i="26" l="1"/>
  <c r="AW57" i="17"/>
  <c r="AS58" i="17"/>
  <c r="AS94" i="26"/>
  <c r="AW94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58" i="17" l="1"/>
  <c r="BE112" i="26"/>
  <c r="BE57" i="17"/>
  <c r="AE90" i="9"/>
  <c r="AE91" i="9" s="1"/>
  <c r="AA90" i="9"/>
  <c r="AA91" i="9" s="1"/>
  <c r="M29" i="6"/>
  <c r="M26" i="6"/>
  <c r="I23" i="6"/>
  <c r="I33" i="6"/>
  <c r="I32" i="6"/>
  <c r="BE94" i="26" l="1"/>
  <c r="BE58" i="17"/>
  <c r="AO19" i="9"/>
  <c r="I41" i="6"/>
  <c r="Y29" i="6"/>
  <c r="M32" i="6"/>
  <c r="M23" i="6"/>
  <c r="Y26" i="6"/>
  <c r="I35" i="6"/>
  <c r="AO90" i="9" l="1"/>
  <c r="AO91" i="9" s="1"/>
  <c r="AS19" i="9"/>
  <c r="AW19" i="9" s="1"/>
  <c r="M41" i="6"/>
  <c r="Y23" i="6"/>
  <c r="M35" i="6"/>
  <c r="Y32" i="6"/>
  <c r="AW90" i="9" l="1"/>
  <c r="AW91" i="9" s="1"/>
  <c r="AS90" i="9"/>
  <c r="AS91" i="9" s="1"/>
  <c r="AA26" i="6"/>
  <c r="AA29" i="6"/>
  <c r="Y41" i="6"/>
  <c r="Y35" i="6"/>
  <c r="BE19" i="9" l="1"/>
  <c r="AA32" i="6"/>
  <c r="AA23" i="6"/>
  <c r="BE90" i="9" l="1"/>
  <c r="BE91" i="9" s="1"/>
  <c r="Y11" i="36"/>
  <c r="AB37" i="59" s="1"/>
  <c r="Y9" i="49"/>
  <c r="Y12" i="36"/>
  <c r="AB38" i="59" s="1"/>
  <c r="AA41" i="6"/>
  <c r="AA35" i="6"/>
  <c r="Y41" i="8"/>
  <c r="Y40" i="8"/>
  <c r="Y23" i="8"/>
  <c r="E13" i="36"/>
  <c r="H39" i="59" s="1"/>
  <c r="E40" i="8"/>
  <c r="E24" i="8" s="1"/>
  <c r="E39" i="8"/>
  <c r="E23" i="8" s="1"/>
  <c r="E25" i="8"/>
  <c r="M24" i="8" l="1"/>
  <c r="AA24" i="8" s="1"/>
  <c r="AE24" i="8" s="1"/>
  <c r="M23" i="8"/>
  <c r="Q23" i="8" s="1"/>
  <c r="AI24" i="8"/>
  <c r="AE11" i="36"/>
  <c r="AH37" i="59" s="1"/>
  <c r="AE40" i="8"/>
  <c r="E17" i="49"/>
  <c r="M25" i="8"/>
  <c r="AA25" i="8" s="1"/>
  <c r="AE25" i="8" s="1"/>
  <c r="Y10" i="36"/>
  <c r="Y13" i="36" s="1"/>
  <c r="Y8" i="49"/>
  <c r="E9" i="49"/>
  <c r="I9" i="49" s="1"/>
  <c r="E8" i="49"/>
  <c r="I8" i="49" s="1"/>
  <c r="E65" i="8"/>
  <c r="I25" i="8"/>
  <c r="I24" i="8"/>
  <c r="Y39" i="8"/>
  <c r="Y42" i="8" s="1"/>
  <c r="Y26" i="8"/>
  <c r="Y65" i="8"/>
  <c r="Y10" i="49" s="1"/>
  <c r="E42" i="8"/>
  <c r="E26" i="8"/>
  <c r="I23" i="8"/>
  <c r="AA23" i="8" l="1"/>
  <c r="AE23" i="8" s="1"/>
  <c r="M65" i="8"/>
  <c r="M8" i="49"/>
  <c r="Q8" i="49" s="1"/>
  <c r="U8" i="49" s="1"/>
  <c r="AI40" i="8"/>
  <c r="AI11" i="36"/>
  <c r="AL37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8" i="59" s="1"/>
  <c r="AE41" i="8"/>
  <c r="AB36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39" i="59"/>
  <c r="Y72" i="8"/>
  <c r="I11" i="36"/>
  <c r="L37" i="59" s="1"/>
  <c r="I10" i="36"/>
  <c r="L36" i="59" s="1"/>
  <c r="I12" i="36"/>
  <c r="L38" i="59" s="1"/>
  <c r="I65" i="8"/>
  <c r="E34" i="8"/>
  <c r="I26" i="8"/>
  <c r="I39" i="8"/>
  <c r="M34" i="8" l="1"/>
  <c r="AA34" i="8" s="1"/>
  <c r="AE34" i="8" s="1"/>
  <c r="AI41" i="8"/>
  <c r="AI12" i="36"/>
  <c r="AI13" i="36" s="1"/>
  <c r="AS24" i="8"/>
  <c r="AW24" i="8" s="1"/>
  <c r="AO40" i="8"/>
  <c r="AO11" i="36"/>
  <c r="AR37" i="59" s="1"/>
  <c r="AI65" i="8"/>
  <c r="AI72" i="8" s="1"/>
  <c r="AO25" i="8"/>
  <c r="AI34" i="8"/>
  <c r="AO34" i="8" s="1"/>
  <c r="AS34" i="8" s="1"/>
  <c r="AI39" i="8"/>
  <c r="AI42" i="8" s="1"/>
  <c r="AI26" i="8"/>
  <c r="AO23" i="8"/>
  <c r="U24" i="8"/>
  <c r="U40" i="8" s="1"/>
  <c r="M18" i="49"/>
  <c r="Q17" i="49"/>
  <c r="U17" i="49" s="1"/>
  <c r="U25" i="8"/>
  <c r="U41" i="8" s="1"/>
  <c r="U39" i="8"/>
  <c r="U10" i="36"/>
  <c r="X36" i="59" s="1"/>
  <c r="E12" i="49"/>
  <c r="I10" i="49"/>
  <c r="AL36" i="59"/>
  <c r="AE42" i="8"/>
  <c r="AE13" i="36"/>
  <c r="AH39" i="59" s="1"/>
  <c r="AH36" i="59"/>
  <c r="AE72" i="8"/>
  <c r="AB52" i="59"/>
  <c r="M12" i="49"/>
  <c r="Q40" i="8"/>
  <c r="Q41" i="8"/>
  <c r="Q72" i="8"/>
  <c r="Q26" i="8"/>
  <c r="I42" i="8"/>
  <c r="I34" i="8"/>
  <c r="Q34" i="8"/>
  <c r="U34" i="8" s="1"/>
  <c r="M41" i="8"/>
  <c r="M40" i="8"/>
  <c r="M11" i="36"/>
  <c r="P37" i="59" s="1"/>
  <c r="M12" i="36"/>
  <c r="P38" i="59" s="1"/>
  <c r="I13" i="36"/>
  <c r="L39" i="59" s="1"/>
  <c r="Q11" i="36"/>
  <c r="T37" i="59" s="1"/>
  <c r="I72" i="8"/>
  <c r="M10" i="36"/>
  <c r="P36" i="59" s="1"/>
  <c r="M39" i="8"/>
  <c r="M26" i="8"/>
  <c r="AL38" i="59" l="1"/>
  <c r="AW40" i="8"/>
  <c r="AW34" i="8"/>
  <c r="AO65" i="8"/>
  <c r="AS65" i="8" s="1"/>
  <c r="AW65" i="8" s="1"/>
  <c r="AL39" i="59"/>
  <c r="U72" i="8"/>
  <c r="AS23" i="8"/>
  <c r="AW23" i="8" s="1"/>
  <c r="AO26" i="8"/>
  <c r="AO39" i="8"/>
  <c r="AO10" i="36"/>
  <c r="AS25" i="8"/>
  <c r="AW25" i="8" s="1"/>
  <c r="AO12" i="36"/>
  <c r="AR38" i="59" s="1"/>
  <c r="AO41" i="8"/>
  <c r="AS11" i="36"/>
  <c r="AV37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8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8" i="59" s="1"/>
  <c r="M13" i="36"/>
  <c r="P39" i="59" s="1"/>
  <c r="Q10" i="36"/>
  <c r="T36" i="59" s="1"/>
  <c r="AO72" i="8" l="1"/>
  <c r="AW41" i="8"/>
  <c r="BE34" i="8"/>
  <c r="BG34" i="8" s="1"/>
  <c r="AW26" i="8"/>
  <c r="AW39" i="8"/>
  <c r="AW72" i="8"/>
  <c r="AO42" i="8"/>
  <c r="AS41" i="8"/>
  <c r="AS12" i="36"/>
  <c r="AV38" i="59" s="1"/>
  <c r="BE24" i="8"/>
  <c r="AW11" i="36"/>
  <c r="AZ37" i="59" s="1"/>
  <c r="AR36" i="59"/>
  <c r="AO13" i="36"/>
  <c r="AR39" i="59" s="1"/>
  <c r="AS10" i="36"/>
  <c r="AS39" i="8"/>
  <c r="AS26" i="8"/>
  <c r="AS72" i="8"/>
  <c r="U13" i="36"/>
  <c r="X39" i="59" s="1"/>
  <c r="X37" i="59"/>
  <c r="M15" i="49"/>
  <c r="AA15" i="49" s="1"/>
  <c r="Q14" i="49"/>
  <c r="U14" i="49" s="1"/>
  <c r="I14" i="49"/>
  <c r="AA11" i="36"/>
  <c r="AD37" i="59" s="1"/>
  <c r="AA12" i="36"/>
  <c r="AD38" i="59" s="1"/>
  <c r="AA9" i="49"/>
  <c r="AE9" i="49" s="1"/>
  <c r="AI9" i="49" s="1"/>
  <c r="AO9" i="49" s="1"/>
  <c r="AS9" i="49" s="1"/>
  <c r="AW9" i="49" s="1"/>
  <c r="BE9" i="49" s="1"/>
  <c r="Q13" i="36"/>
  <c r="T39" i="59" s="1"/>
  <c r="AA41" i="8"/>
  <c r="AA40" i="8"/>
  <c r="AW42" i="8" l="1"/>
  <c r="BG24" i="8"/>
  <c r="AS42" i="8"/>
  <c r="BE65" i="8"/>
  <c r="BG65" i="8" s="1"/>
  <c r="AS13" i="36"/>
  <c r="AV39" i="59" s="1"/>
  <c r="AV36" i="59"/>
  <c r="BE23" i="8"/>
  <c r="AW10" i="36"/>
  <c r="AZ36" i="59" s="1"/>
  <c r="BE25" i="8"/>
  <c r="AW12" i="36"/>
  <c r="AZ38" i="59" s="1"/>
  <c r="BE11" i="36"/>
  <c r="BH37" i="59" s="1"/>
  <c r="BE40" i="8"/>
  <c r="M16" i="49"/>
  <c r="AA16" i="49" s="1"/>
  <c r="Q15" i="49"/>
  <c r="U15" i="49" s="1"/>
  <c r="E16" i="49"/>
  <c r="I15" i="49"/>
  <c r="AA10" i="36"/>
  <c r="AA13" i="36" s="1"/>
  <c r="AD39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BG25" i="8" l="1"/>
  <c r="BG23" i="8"/>
  <c r="AW13" i="36"/>
  <c r="AZ39" i="59" s="1"/>
  <c r="BE39" i="8"/>
  <c r="BE26" i="8"/>
  <c r="BE10" i="36"/>
  <c r="BH36" i="59" s="1"/>
  <c r="BE72" i="8"/>
  <c r="BE41" i="8"/>
  <c r="BE12" i="36"/>
  <c r="BH38" i="59" s="1"/>
  <c r="M19" i="49"/>
  <c r="AA19" i="49" s="1"/>
  <c r="Q16" i="49"/>
  <c r="U16" i="49" s="1"/>
  <c r="E19" i="49"/>
  <c r="I16" i="49"/>
  <c r="AD36" i="59"/>
  <c r="AA72" i="8"/>
  <c r="AA10" i="49"/>
  <c r="BG26" i="8" l="1"/>
  <c r="BE42" i="8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2" i="59"/>
  <c r="AA15" i="36"/>
  <c r="Q15" i="36"/>
  <c r="U15" i="36" s="1"/>
  <c r="L52" i="59"/>
  <c r="AA20" i="49" l="1"/>
  <c r="AE19" i="49"/>
  <c r="AI19" i="49" s="1"/>
  <c r="X52" i="59"/>
  <c r="T52" i="59"/>
  <c r="AE15" i="36"/>
  <c r="AD52" i="59"/>
  <c r="H14" i="17"/>
  <c r="P14" i="17" s="1"/>
  <c r="T14" i="17" s="1"/>
  <c r="AI20" i="49" l="1"/>
  <c r="AO19" i="49"/>
  <c r="AE20" i="49"/>
  <c r="T15" i="17"/>
  <c r="T21" i="17" s="1"/>
  <c r="T20" i="17"/>
  <c r="AI15" i="36"/>
  <c r="AH52" i="59"/>
  <c r="P15" i="17"/>
  <c r="P21" i="17" s="1"/>
  <c r="P20" i="17"/>
  <c r="L15" i="17"/>
  <c r="L21" i="17" s="1"/>
  <c r="L20" i="17"/>
  <c r="BE13" i="36"/>
  <c r="H20" i="17"/>
  <c r="H15" i="17"/>
  <c r="H21" i="17" s="1"/>
  <c r="BH39" i="59" l="1"/>
  <c r="AO20" i="49"/>
  <c r="AO15" i="36" s="1"/>
  <c r="AS19" i="49"/>
  <c r="T24" i="17"/>
  <c r="T25" i="17"/>
  <c r="AL52" i="59"/>
  <c r="P24" i="17"/>
  <c r="P25" i="17"/>
  <c r="L24" i="17"/>
  <c r="L25" i="17"/>
  <c r="H25" i="17"/>
  <c r="H24" i="17"/>
  <c r="AR52" i="59" l="1"/>
  <c r="AS15" i="36"/>
  <c r="AV52" i="59" s="1"/>
  <c r="AW19" i="49"/>
  <c r="AS20" i="49"/>
  <c r="Z15" i="17"/>
  <c r="Z20" i="17"/>
  <c r="AW15" i="36" l="1"/>
  <c r="AW20" i="49"/>
  <c r="BE19" i="49"/>
  <c r="BE20" i="49" s="1"/>
  <c r="BE15" i="36" s="1"/>
  <c r="Z21" i="17"/>
  <c r="Z24" i="17"/>
  <c r="AZ52" i="59" l="1"/>
  <c r="BH52" i="59"/>
  <c r="Z25" i="17"/>
  <c r="H16" i="15" l="1"/>
  <c r="H17" i="15" s="1"/>
  <c r="J159" i="6" l="1"/>
  <c r="F160" i="6"/>
  <c r="J160" i="6" l="1"/>
  <c r="J161" i="6"/>
  <c r="N160" i="6" l="1"/>
  <c r="AB161" i="6" l="1"/>
  <c r="AF161" i="6" s="1"/>
  <c r="AJ161" i="6" s="1"/>
  <c r="AP161" i="6" s="1"/>
  <c r="AT161" i="6" s="1"/>
  <c r="AB160" i="6"/>
  <c r="AX161" i="6" l="1"/>
  <c r="BF161" i="6" s="1"/>
  <c r="Z191" i="10"/>
  <c r="Z184" i="10" l="1"/>
  <c r="Z192" i="10"/>
  <c r="Z193" i="10" s="1"/>
  <c r="Z178" i="10"/>
  <c r="AC65" i="59" s="1"/>
  <c r="AB196" i="10" l="1"/>
  <c r="AC63" i="59"/>
  <c r="AB192" i="10"/>
  <c r="AB184" i="10"/>
  <c r="AB191" i="10"/>
  <c r="AB193" i="10" l="1"/>
  <c r="AB178" i="10"/>
  <c r="AE65" i="59" l="1"/>
  <c r="AE63" i="59"/>
  <c r="AB21" i="36"/>
  <c r="G79" i="50" l="1"/>
  <c r="G68" i="83" l="1"/>
  <c r="O68" i="83" s="1"/>
  <c r="BH79" i="50"/>
  <c r="G94" i="50"/>
  <c r="BH94" i="50" s="1"/>
  <c r="K104" i="50"/>
  <c r="G104" i="50"/>
  <c r="G128" i="50"/>
  <c r="G69" i="83" l="1"/>
  <c r="G77" i="83" s="1"/>
  <c r="K77" i="83" s="1"/>
  <c r="K78" i="83" s="1"/>
  <c r="K68" i="83"/>
  <c r="K69" i="83" s="1"/>
  <c r="AC68" i="83"/>
  <c r="AG68" i="83" s="1"/>
  <c r="S68" i="83"/>
  <c r="O69" i="83"/>
  <c r="AC69" i="83" s="1"/>
  <c r="O128" i="50"/>
  <c r="K128" i="50"/>
  <c r="K129" i="50" s="1"/>
  <c r="G130" i="50"/>
  <c r="G135" i="50" s="1"/>
  <c r="O104" i="50"/>
  <c r="G129" i="50"/>
  <c r="G95" i="50"/>
  <c r="G78" i="83" l="1"/>
  <c r="O77" i="83"/>
  <c r="S77" i="83" s="1"/>
  <c r="W68" i="83"/>
  <c r="W69" i="83" s="1"/>
  <c r="S69" i="83"/>
  <c r="AK68" i="83"/>
  <c r="AG69" i="83"/>
  <c r="AC128" i="50"/>
  <c r="S128" i="50"/>
  <c r="O129" i="50"/>
  <c r="O130" i="50"/>
  <c r="O135" i="50" s="1"/>
  <c r="K130" i="50"/>
  <c r="K135" i="50" s="1"/>
  <c r="AG104" i="50"/>
  <c r="X21" i="26"/>
  <c r="Y162" i="6" s="1"/>
  <c r="P21" i="26"/>
  <c r="T21" i="26" s="1"/>
  <c r="O78" i="83" l="1"/>
  <c r="AC77" i="83"/>
  <c r="AG77" i="83" s="1"/>
  <c r="W77" i="83"/>
  <c r="AQ68" i="83"/>
  <c r="AK69" i="83"/>
  <c r="W128" i="50"/>
  <c r="AG128" i="50"/>
  <c r="U162" i="6"/>
  <c r="W104" i="50"/>
  <c r="Q162" i="6"/>
  <c r="Z21" i="26"/>
  <c r="AD21" i="26" s="1"/>
  <c r="AU68" i="83" l="1"/>
  <c r="AY68" i="83" s="1"/>
  <c r="AQ69" i="83"/>
  <c r="AK77" i="83"/>
  <c r="AK128" i="50"/>
  <c r="AH21" i="26"/>
  <c r="AE162" i="6"/>
  <c r="AA162" i="6"/>
  <c r="AY69" i="83" l="1"/>
  <c r="BG68" i="83"/>
  <c r="BG69" i="83" s="1"/>
  <c r="AQ77" i="83"/>
  <c r="AU69" i="83"/>
  <c r="AQ128" i="50"/>
  <c r="AI162" i="6"/>
  <c r="AN21" i="26"/>
  <c r="P23" i="26"/>
  <c r="T23" i="26" s="1"/>
  <c r="X23" i="26"/>
  <c r="AU77" i="83" l="1"/>
  <c r="AY77" i="83" s="1"/>
  <c r="AU128" i="50"/>
  <c r="AR21" i="26"/>
  <c r="AV21" i="26" s="1"/>
  <c r="AO162" i="6"/>
  <c r="U187" i="6"/>
  <c r="Q187" i="6"/>
  <c r="Z23" i="26"/>
  <c r="AD23" i="26" s="1"/>
  <c r="Y187" i="6"/>
  <c r="BG77" i="83" l="1"/>
  <c r="AY128" i="50"/>
  <c r="AH23" i="26"/>
  <c r="AI187" i="6" s="1"/>
  <c r="AW162" i="6"/>
  <c r="AS162" i="6"/>
  <c r="AE187" i="6"/>
  <c r="AA187" i="6"/>
  <c r="BG128" i="50" l="1"/>
  <c r="BH128" i="50" s="1"/>
  <c r="BD21" i="26"/>
  <c r="AN23" i="26"/>
  <c r="P25" i="26"/>
  <c r="T25" i="26" s="1"/>
  <c r="X25" i="26"/>
  <c r="Y87" i="8" s="1"/>
  <c r="BE162" i="6" l="1"/>
  <c r="AO187" i="6"/>
  <c r="AR23" i="26"/>
  <c r="AV23" i="26" s="1"/>
  <c r="Q87" i="8"/>
  <c r="U87" i="8" s="1"/>
  <c r="Z25" i="26"/>
  <c r="AD25" i="26" l="1"/>
  <c r="AA87" i="8"/>
  <c r="AS187" i="6"/>
  <c r="AW187" i="6"/>
  <c r="BD23" i="26" l="1"/>
  <c r="AH25" i="26"/>
  <c r="AE87" i="8"/>
  <c r="BE187" i="6" l="1"/>
  <c r="AN25" i="26"/>
  <c r="AR25" i="26" s="1"/>
  <c r="AI87" i="8"/>
  <c r="AO87" i="8" s="1"/>
  <c r="AS87" i="8" s="1"/>
  <c r="AW87" i="8" s="1"/>
  <c r="AV25" i="26" l="1"/>
  <c r="BD25" i="26" l="1"/>
  <c r="P27" i="26"/>
  <c r="T27" i="26" s="1"/>
  <c r="T54" i="17" s="1"/>
  <c r="X27" i="26"/>
  <c r="BE87" i="8" l="1"/>
  <c r="Z27" i="26"/>
  <c r="AD27" i="26" s="1"/>
  <c r="AH27" i="26" s="1"/>
  <c r="X54" i="17"/>
  <c r="P54" i="17"/>
  <c r="Z54" i="17" l="1"/>
  <c r="AH54" i="17"/>
  <c r="AD54" i="17"/>
  <c r="P29" i="26"/>
  <c r="T29" i="26" s="1"/>
  <c r="X29" i="26"/>
  <c r="Z29" i="26" s="1"/>
  <c r="AD29" i="26" s="1"/>
  <c r="AH29" i="26" l="1"/>
  <c r="AN29" i="26" s="1"/>
  <c r="AR29" i="26" s="1"/>
  <c r="AN27" i="26"/>
  <c r="P31" i="26"/>
  <c r="T31" i="26" s="1"/>
  <c r="X31" i="26"/>
  <c r="Y97" i="9"/>
  <c r="AA97" i="9" s="1"/>
  <c r="AE97" i="9" s="1"/>
  <c r="AV29" i="26" l="1"/>
  <c r="BD29" i="26" s="1"/>
  <c r="AI97" i="9"/>
  <c r="AO97" i="9" s="1"/>
  <c r="AS97" i="9" s="1"/>
  <c r="AR27" i="26"/>
  <c r="AN54" i="17"/>
  <c r="Z31" i="26"/>
  <c r="AD31" i="26" s="1"/>
  <c r="Q97" i="9"/>
  <c r="U97" i="9" s="1"/>
  <c r="AR54" i="17" l="1"/>
  <c r="AV27" i="26"/>
  <c r="AV54" i="17" s="1"/>
  <c r="AW97" i="9"/>
  <c r="BE97" i="9" s="1"/>
  <c r="AH31" i="26"/>
  <c r="AN31" i="26" s="1"/>
  <c r="AR31" i="26" s="1"/>
  <c r="P33" i="26"/>
  <c r="T33" i="26" s="1"/>
  <c r="Y174" i="10"/>
  <c r="AA174" i="10" s="1"/>
  <c r="AE174" i="10" s="1"/>
  <c r="X33" i="26"/>
  <c r="Z33" i="26" s="1"/>
  <c r="AD33" i="26" s="1"/>
  <c r="AV31" i="26" l="1"/>
  <c r="BD31" i="26" s="1"/>
  <c r="AI174" i="10"/>
  <c r="AO174" i="10" s="1"/>
  <c r="AS174" i="10" s="1"/>
  <c r="AH33" i="26"/>
  <c r="AN33" i="26" s="1"/>
  <c r="AR33" i="26" s="1"/>
  <c r="BD27" i="26"/>
  <c r="Q174" i="10"/>
  <c r="U174" i="10" s="1"/>
  <c r="BD54" i="17" l="1"/>
  <c r="AV33" i="26"/>
  <c r="BD33" i="26" s="1"/>
  <c r="AW174" i="10"/>
  <c r="P35" i="26"/>
  <c r="T35" i="26" s="1"/>
  <c r="Y75" i="11"/>
  <c r="AA75" i="11" s="1"/>
  <c r="AE75" i="11" s="1"/>
  <c r="X35" i="26"/>
  <c r="Z35" i="26" s="1"/>
  <c r="AD35" i="26" s="1"/>
  <c r="BE174" i="10" l="1"/>
  <c r="AH35" i="26"/>
  <c r="AN35" i="26" s="1"/>
  <c r="AR35" i="26" s="1"/>
  <c r="AI75" i="11"/>
  <c r="AO75" i="11" s="1"/>
  <c r="AS75" i="11" s="1"/>
  <c r="Q75" i="11"/>
  <c r="U75" i="11" s="1"/>
  <c r="AV35" i="26" l="1"/>
  <c r="BD35" i="26" s="1"/>
  <c r="AW75" i="11"/>
  <c r="BE75" i="11" s="1"/>
  <c r="P37" i="26"/>
  <c r="T37" i="26" s="1"/>
  <c r="X37" i="26"/>
  <c r="Z37" i="26" s="1"/>
  <c r="AD37" i="26" s="1"/>
  <c r="R141" i="45"/>
  <c r="V141" i="45" s="1"/>
  <c r="AH37" i="26" l="1"/>
  <c r="AN37" i="26" s="1"/>
  <c r="AR37" i="26" s="1"/>
  <c r="Z141" i="45"/>
  <c r="AB141" i="45" s="1"/>
  <c r="AF141" i="45" s="1"/>
  <c r="AV37" i="26" l="1"/>
  <c r="BD37" i="26" s="1"/>
  <c r="AJ141" i="45"/>
  <c r="AP141" i="45" s="1"/>
  <c r="AT141" i="45" s="1"/>
  <c r="Y84" i="7"/>
  <c r="X41" i="26"/>
  <c r="X43" i="26" s="1"/>
  <c r="P41" i="26"/>
  <c r="T41" i="26" s="1"/>
  <c r="AX141" i="45" l="1"/>
  <c r="BF141" i="45" s="1"/>
  <c r="U84" i="7"/>
  <c r="T43" i="26"/>
  <c r="Q84" i="7"/>
  <c r="Z41" i="26"/>
  <c r="AD41" i="26" s="1"/>
  <c r="AH41" i="26" s="1"/>
  <c r="AH43" i="26" s="1"/>
  <c r="P43" i="26"/>
  <c r="AN41" i="26" l="1"/>
  <c r="AR41" i="26" s="1"/>
  <c r="AV41" i="26" s="1"/>
  <c r="AV43" i="26" s="1"/>
  <c r="AI84" i="7"/>
  <c r="AE84" i="7"/>
  <c r="AD43" i="26"/>
  <c r="Z43" i="26"/>
  <c r="AA84" i="7"/>
  <c r="AO84" i="7" l="1"/>
  <c r="AN43" i="26"/>
  <c r="BD41" i="26"/>
  <c r="AW84" i="7"/>
  <c r="AR43" i="26"/>
  <c r="AS84" i="7"/>
  <c r="Y84" i="8"/>
  <c r="BE84" i="7" l="1"/>
  <c r="BD43" i="26"/>
  <c r="Y85" i="8"/>
  <c r="E24" i="39" l="1"/>
  <c r="I24" i="39" l="1"/>
  <c r="M24" i="39"/>
  <c r="Q24" i="39" l="1"/>
  <c r="Y51" i="7"/>
  <c r="U24" i="39" l="1"/>
  <c r="AA51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1" i="6" s="1"/>
  <c r="AC26" i="59" s="1"/>
  <c r="Z34" i="6"/>
  <c r="AB34" i="6" s="1"/>
  <c r="AF34" i="6" s="1"/>
  <c r="AJ34" i="6" s="1"/>
  <c r="AP34" i="6" s="1"/>
  <c r="AT34" i="6" s="1"/>
  <c r="Z21" i="6"/>
  <c r="Z153" i="6" s="1"/>
  <c r="AI24" i="39" l="1"/>
  <c r="AX34" i="6"/>
  <c r="AB5" i="36"/>
  <c r="AB13" i="49" s="1"/>
  <c r="AF14" i="35"/>
  <c r="AJ14" i="35" s="1"/>
  <c r="AB15" i="35"/>
  <c r="Z154" i="6"/>
  <c r="AC17" i="59" s="1"/>
  <c r="Z179" i="6"/>
  <c r="AC24" i="59" s="1"/>
  <c r="Z155" i="6"/>
  <c r="AC18" i="59" s="1"/>
  <c r="AC6" i="59"/>
  <c r="Z152" i="6"/>
  <c r="AB22" i="6"/>
  <c r="AF22" i="6" s="1"/>
  <c r="AJ22" i="6" s="1"/>
  <c r="Z182" i="6"/>
  <c r="AC27" i="59" s="1"/>
  <c r="Z180" i="6"/>
  <c r="AC25" i="59" s="1"/>
  <c r="Z23" i="6"/>
  <c r="Z37" i="6" s="1"/>
  <c r="Z41" i="6" s="1"/>
  <c r="AB21" i="6"/>
  <c r="AF21" i="6" s="1"/>
  <c r="AJ21" i="6" s="1"/>
  <c r="Z156" i="6"/>
  <c r="AC19" i="59" s="1"/>
  <c r="Z178" i="6"/>
  <c r="Z33" i="6"/>
  <c r="Z157" i="6"/>
  <c r="AC20" i="59" s="1"/>
  <c r="Z177" i="6"/>
  <c r="BF34" i="6" l="1"/>
  <c r="BH34" i="6" s="1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77" i="6"/>
  <c r="AF177" i="6" s="1"/>
  <c r="AJ177" i="6" s="1"/>
  <c r="AB155" i="6"/>
  <c r="AB156" i="6"/>
  <c r="AB153" i="6"/>
  <c r="AF153" i="6" s="1"/>
  <c r="AJ153" i="6" s="1"/>
  <c r="AB154" i="6"/>
  <c r="AB178" i="6"/>
  <c r="AF178" i="6" s="1"/>
  <c r="AJ178" i="6" s="1"/>
  <c r="AB33" i="6"/>
  <c r="AF33" i="6" s="1"/>
  <c r="Z35" i="6"/>
  <c r="AB23" i="6"/>
  <c r="AB37" i="6" s="1"/>
  <c r="AB41" i="6" s="1"/>
  <c r="AB152" i="6"/>
  <c r="AF152" i="6" s="1"/>
  <c r="AJ152" i="6" s="1"/>
  <c r="AB181" i="6"/>
  <c r="AF181" i="6" s="1"/>
  <c r="AB179" i="6"/>
  <c r="AF179" i="6" s="1"/>
  <c r="AB182" i="6"/>
  <c r="AF182" i="6" s="1"/>
  <c r="AB157" i="6"/>
  <c r="AF157" i="6" s="1"/>
  <c r="AB180" i="6"/>
  <c r="AF180" i="6" s="1"/>
  <c r="AI25" i="59" s="1"/>
  <c r="Z194" i="6"/>
  <c r="AC52" i="59"/>
  <c r="AP177" i="6" l="1"/>
  <c r="AT177" i="6" s="1"/>
  <c r="AS24" i="39"/>
  <c r="AX22" i="6"/>
  <c r="AX21" i="6"/>
  <c r="AP152" i="6"/>
  <c r="AP194" i="6" s="1"/>
  <c r="AF16" i="49"/>
  <c r="AJ16" i="49" s="1"/>
  <c r="AP16" i="49" s="1"/>
  <c r="AT16" i="49" s="1"/>
  <c r="AX16" i="49" s="1"/>
  <c r="BF16" i="49" s="1"/>
  <c r="AP178" i="6"/>
  <c r="AT178" i="6" s="1"/>
  <c r="AT23" i="6"/>
  <c r="AT37" i="6" s="1"/>
  <c r="AT41" i="6" s="1"/>
  <c r="AP153" i="6"/>
  <c r="AT153" i="6" s="1"/>
  <c r="AP23" i="6"/>
  <c r="AP37" i="6" s="1"/>
  <c r="AP41" i="6" s="1"/>
  <c r="AI20" i="59"/>
  <c r="AJ157" i="6"/>
  <c r="AM6" i="59"/>
  <c r="AI27" i="59"/>
  <c r="AJ182" i="6"/>
  <c r="AJ194" i="6"/>
  <c r="AJ180" i="6"/>
  <c r="AF35" i="6"/>
  <c r="AJ33" i="6"/>
  <c r="AI24" i="59"/>
  <c r="AJ179" i="6"/>
  <c r="AI26" i="59"/>
  <c r="AJ181" i="6"/>
  <c r="AM26" i="59" s="1"/>
  <c r="AI6" i="59"/>
  <c r="AF194" i="6"/>
  <c r="AE17" i="59"/>
  <c r="AF154" i="6"/>
  <c r="AE19" i="59"/>
  <c r="AF156" i="6"/>
  <c r="AE18" i="59"/>
  <c r="AF155" i="6"/>
  <c r="AE27" i="59"/>
  <c r="AE26" i="59"/>
  <c r="AB194" i="6"/>
  <c r="AB35" i="6"/>
  <c r="AE25" i="59"/>
  <c r="AE20" i="59"/>
  <c r="AE24" i="59"/>
  <c r="AX177" i="6" l="1"/>
  <c r="AW24" i="39"/>
  <c r="AT152" i="6"/>
  <c r="AX152" i="6" s="1"/>
  <c r="AX153" i="6"/>
  <c r="AX23" i="6"/>
  <c r="BF21" i="6"/>
  <c r="BH21" i="6" s="1"/>
  <c r="AX178" i="6"/>
  <c r="BF22" i="6"/>
  <c r="AB20" i="49"/>
  <c r="AB15" i="36" s="1"/>
  <c r="AF19" i="49"/>
  <c r="AJ19" i="49" s="1"/>
  <c r="AM20" i="59"/>
  <c r="AP157" i="6"/>
  <c r="AM24" i="59"/>
  <c r="AP179" i="6"/>
  <c r="AM25" i="59"/>
  <c r="AP180" i="6"/>
  <c r="AM27" i="59"/>
  <c r="AP182" i="6"/>
  <c r="AJ35" i="6"/>
  <c r="AP33" i="6"/>
  <c r="AP181" i="6"/>
  <c r="AI18" i="59"/>
  <c r="AJ155" i="6"/>
  <c r="AI19" i="59"/>
  <c r="AJ156" i="6"/>
  <c r="AI17" i="59"/>
  <c r="AJ154" i="6"/>
  <c r="BF177" i="6" l="1"/>
  <c r="BH22" i="6"/>
  <c r="AX37" i="6"/>
  <c r="AX41" i="6" s="1"/>
  <c r="AT194" i="6"/>
  <c r="BF23" i="6"/>
  <c r="BF178" i="6"/>
  <c r="BF153" i="6"/>
  <c r="BE24" i="39"/>
  <c r="AX194" i="6"/>
  <c r="BF152" i="6"/>
  <c r="BF194" i="6" s="1"/>
  <c r="AJ20" i="49"/>
  <c r="AJ15" i="36" s="1"/>
  <c r="AP19" i="49"/>
  <c r="AT19" i="49" s="1"/>
  <c r="AX19" i="49" s="1"/>
  <c r="AF20" i="49"/>
  <c r="AF15" i="36" s="1"/>
  <c r="AE52" i="59"/>
  <c r="AS27" i="59"/>
  <c r="AT182" i="6"/>
  <c r="AX182" i="6" s="1"/>
  <c r="BF182" i="6" s="1"/>
  <c r="AS24" i="59"/>
  <c r="AT179" i="6"/>
  <c r="AX179" i="6" s="1"/>
  <c r="BF179" i="6" s="1"/>
  <c r="AS26" i="59"/>
  <c r="AT181" i="6"/>
  <c r="AX181" i="6" s="1"/>
  <c r="BF181" i="6" s="1"/>
  <c r="AP35" i="6"/>
  <c r="AT33" i="6"/>
  <c r="AX33" i="6" s="1"/>
  <c r="AS25" i="59"/>
  <c r="AT180" i="6"/>
  <c r="AX180" i="6" s="1"/>
  <c r="BF180" i="6" s="1"/>
  <c r="AS20" i="59"/>
  <c r="AT157" i="6"/>
  <c r="AX157" i="6" s="1"/>
  <c r="BF157" i="6" s="1"/>
  <c r="AM18" i="59"/>
  <c r="AP155" i="6"/>
  <c r="AM19" i="59"/>
  <c r="AP156" i="6"/>
  <c r="AM17" i="59"/>
  <c r="AP154" i="6"/>
  <c r="BF37" i="6" l="1"/>
  <c r="BF41" i="6" s="1"/>
  <c r="BH23" i="6"/>
  <c r="BF24" i="39"/>
  <c r="BI24" i="39"/>
  <c r="AX35" i="6"/>
  <c r="AM52" i="59"/>
  <c r="AX20" i="49"/>
  <c r="BF19" i="49"/>
  <c r="AI52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4" i="6"/>
  <c r="AX154" i="6" s="1"/>
  <c r="BF154" i="6" s="1"/>
  <c r="AS19" i="59"/>
  <c r="AT156" i="6"/>
  <c r="AX156" i="6" s="1"/>
  <c r="BF156" i="6" s="1"/>
  <c r="AS18" i="59"/>
  <c r="AT155" i="6"/>
  <c r="AX155" i="6" s="1"/>
  <c r="BF155" i="6" s="1"/>
  <c r="BI20" i="59" l="1"/>
  <c r="BI25" i="59"/>
  <c r="BI27" i="59"/>
  <c r="BF33" i="6"/>
  <c r="BI26" i="59"/>
  <c r="BI24" i="59"/>
  <c r="AW19" i="59"/>
  <c r="BA19" i="59"/>
  <c r="AW18" i="59"/>
  <c r="BA18" i="59"/>
  <c r="AW17" i="59"/>
  <c r="BA17" i="59"/>
  <c r="BF35" i="6" l="1"/>
  <c r="BH35" i="6" s="1"/>
  <c r="BH33" i="6"/>
  <c r="BI17" i="59"/>
  <c r="BI18" i="59"/>
  <c r="BI19" i="59"/>
  <c r="AJ416" i="28" l="1"/>
  <c r="AP416" i="28" s="1"/>
  <c r="AT416" i="28" s="1"/>
  <c r="AX416" i="28" l="1"/>
  <c r="BF416" i="28" s="1"/>
  <c r="BH416" i="28" s="1"/>
  <c r="AT514" i="28"/>
  <c r="AT515" i="28"/>
  <c r="AP514" i="28"/>
  <c r="AP515" i="28"/>
  <c r="AJ514" i="28"/>
  <c r="AJ515" i="28"/>
  <c r="AX515" i="28" l="1"/>
  <c r="BF514" i="28"/>
  <c r="BH514" i="28" s="1"/>
  <c r="BF515" i="28"/>
  <c r="BH515" i="28" s="1"/>
  <c r="AX514" i="28"/>
  <c r="M10" i="38" l="1"/>
  <c r="M58" i="38" s="1"/>
  <c r="M8" i="38"/>
  <c r="M56" i="38" s="1"/>
  <c r="M9" i="38"/>
  <c r="M57" i="38" s="1"/>
  <c r="M7" i="38"/>
  <c r="M55" i="38" s="1"/>
  <c r="Q9" i="38" l="1"/>
  <c r="Q57" i="38" s="1"/>
  <c r="Q7" i="38"/>
  <c r="AE7" i="38" s="1"/>
  <c r="AI7" i="38" s="1"/>
  <c r="AM7" i="38" s="1"/>
  <c r="AM55" i="38" s="1"/>
  <c r="Q8" i="38"/>
  <c r="Q10" i="38"/>
  <c r="Q58" i="38" s="1"/>
  <c r="AE9" i="38" l="1"/>
  <c r="AI9" i="38" s="1"/>
  <c r="U9" i="38"/>
  <c r="Y9" i="38" s="1"/>
  <c r="Y57" i="38" s="1"/>
  <c r="AI55" i="38"/>
  <c r="U7" i="38"/>
  <c r="Y7" i="38" s="1"/>
  <c r="Y55" i="38" s="1"/>
  <c r="Q55" i="38"/>
  <c r="Q56" i="38"/>
  <c r="U8" i="38"/>
  <c r="Y8" i="38" s="1"/>
  <c r="Y56" i="38" s="1"/>
  <c r="AE8" i="38"/>
  <c r="AI8" i="38" s="1"/>
  <c r="AM8" i="38" s="1"/>
  <c r="AM56" i="38" s="1"/>
  <c r="AE10" i="38"/>
  <c r="U10" i="38"/>
  <c r="M6" i="38"/>
  <c r="M54" i="38" s="1"/>
  <c r="Q6" i="38"/>
  <c r="AE55" i="38"/>
  <c r="U58" i="38" l="1"/>
  <c r="Y10" i="38"/>
  <c r="Y58" i="38" s="1"/>
  <c r="AI57" i="38"/>
  <c r="AM9" i="38"/>
  <c r="AM57" i="38" s="1"/>
  <c r="AE57" i="38"/>
  <c r="AI10" i="38"/>
  <c r="AE58" i="38"/>
  <c r="AS7" i="38"/>
  <c r="BG55" i="38" s="1"/>
  <c r="U57" i="38"/>
  <c r="AI56" i="38"/>
  <c r="U55" i="38"/>
  <c r="Q15" i="38"/>
  <c r="Q48" i="38" s="1"/>
  <c r="M15" i="38"/>
  <c r="U56" i="38"/>
  <c r="Q54" i="38"/>
  <c r="AE6" i="38"/>
  <c r="AI6" i="38" s="1"/>
  <c r="AM6" i="38" s="1"/>
  <c r="AM54" i="38" s="1"/>
  <c r="U6" i="38"/>
  <c r="Y6" i="38" s="1"/>
  <c r="Y54" i="38" s="1"/>
  <c r="AE56" i="38"/>
  <c r="AS9" i="38" l="1"/>
  <c r="BG57" i="38" s="1"/>
  <c r="M63" i="38"/>
  <c r="M96" i="38" s="1"/>
  <c r="M48" i="38"/>
  <c r="AI58" i="38"/>
  <c r="AM10" i="38"/>
  <c r="AM58" i="38" s="1"/>
  <c r="AS57" i="38"/>
  <c r="AW9" i="38"/>
  <c r="BA9" i="38" s="1"/>
  <c r="BA57" i="38" s="1"/>
  <c r="AS8" i="38"/>
  <c r="BG56" i="38" s="1"/>
  <c r="AS55" i="38"/>
  <c r="AW7" i="38"/>
  <c r="BA7" i="38" s="1"/>
  <c r="BA55" i="38" s="1"/>
  <c r="AI54" i="38"/>
  <c r="Q63" i="38"/>
  <c r="Q96" i="38" s="1"/>
  <c r="AE15" i="38"/>
  <c r="AE48" i="38" s="1"/>
  <c r="U15" i="38"/>
  <c r="U48" i="38" s="1"/>
  <c r="U54" i="38"/>
  <c r="AE54" i="38"/>
  <c r="Y15" i="38" l="1"/>
  <c r="Y48" i="38" s="1"/>
  <c r="AI15" i="38"/>
  <c r="AI48" i="38" s="1"/>
  <c r="AS10" i="38"/>
  <c r="AW10" i="38" s="1"/>
  <c r="BG58" i="38"/>
  <c r="AW57" i="38"/>
  <c r="AW55" i="38"/>
  <c r="AS6" i="38"/>
  <c r="AS56" i="38"/>
  <c r="AW8" i="38"/>
  <c r="BA8" i="38" s="1"/>
  <c r="BA56" i="38" s="1"/>
  <c r="AI63" i="38"/>
  <c r="AI96" i="38" s="1"/>
  <c r="U63" i="38"/>
  <c r="U96" i="38" s="1"/>
  <c r="AE63" i="38"/>
  <c r="AE96" i="38" s="1"/>
  <c r="AW58" i="38" l="1"/>
  <c r="BA10" i="38"/>
  <c r="BA58" i="38" s="1"/>
  <c r="AM15" i="38"/>
  <c r="AM48" i="38" s="1"/>
  <c r="Y63" i="38"/>
  <c r="Y96" i="38" s="1"/>
  <c r="AS58" i="38"/>
  <c r="BI7" i="38"/>
  <c r="BI55" i="38" s="1"/>
  <c r="BI9" i="38"/>
  <c r="BI57" i="38" s="1"/>
  <c r="AW56" i="38"/>
  <c r="AS54" i="38"/>
  <c r="AW6" i="38"/>
  <c r="BA6" i="38" s="1"/>
  <c r="BA54" i="38" s="1"/>
  <c r="AS15" i="38"/>
  <c r="AS48" i="38" s="1"/>
  <c r="AM63" i="38" l="1"/>
  <c r="AM96" i="38" s="1"/>
  <c r="BI10" i="38"/>
  <c r="BI58" i="38" s="1"/>
  <c r="BI8" i="38"/>
  <c r="BI56" i="38" s="1"/>
  <c r="AW54" i="38"/>
  <c r="AS63" i="38"/>
  <c r="AS96" i="38" s="1"/>
  <c r="AW15" i="38"/>
  <c r="AP13" i="35"/>
  <c r="AW48" i="38" l="1"/>
  <c r="BA15" i="38"/>
  <c r="BI6" i="38"/>
  <c r="BI54" i="38" s="1"/>
  <c r="AT13" i="35"/>
  <c r="AX13" i="35" s="1"/>
  <c r="BF13" i="35" s="1"/>
  <c r="AW63" i="38"/>
  <c r="AW96" i="38" s="1"/>
  <c r="AN14" i="35"/>
  <c r="AP14" i="35"/>
  <c r="AN13" i="35"/>
  <c r="BD13" i="35" s="1"/>
  <c r="BA63" i="38" l="1"/>
  <c r="BA96" i="38" s="1"/>
  <c r="BA48" i="38"/>
  <c r="BI15" i="38"/>
  <c r="AN5" i="36"/>
  <c r="AN13" i="49" s="1"/>
  <c r="AN20" i="49" s="1"/>
  <c r="AN15" i="36" s="1"/>
  <c r="AQ52" i="59" s="1"/>
  <c r="BD14" i="35"/>
  <c r="BD5" i="36" s="1"/>
  <c r="AN15" i="35"/>
  <c r="AP15" i="35"/>
  <c r="AP5" i="36"/>
  <c r="AP13" i="49" s="1"/>
  <c r="AP20" i="49" s="1"/>
  <c r="AP15" i="36" s="1"/>
  <c r="AS52" i="59" s="1"/>
  <c r="AT14" i="35"/>
  <c r="AX14" i="35" s="1"/>
  <c r="BF14" i="35" s="1"/>
  <c r="BI63" i="38" l="1"/>
  <c r="BI96" i="38" s="1"/>
  <c r="BI48" i="38"/>
  <c r="BD15" i="35"/>
  <c r="BD13" i="49"/>
  <c r="BD20" i="49" s="1"/>
  <c r="BD15" i="36" s="1"/>
  <c r="BG6" i="59"/>
  <c r="AQ6" i="59"/>
  <c r="BF15" i="35"/>
  <c r="BF5" i="36"/>
  <c r="AX5" i="36"/>
  <c r="AX15" i="35"/>
  <c r="AS6" i="59"/>
  <c r="AT5" i="36"/>
  <c r="AT15" i="35"/>
  <c r="BA6" i="59" l="1"/>
  <c r="AX13" i="49"/>
  <c r="BF13" i="49"/>
  <c r="BF20" i="49" s="1"/>
  <c r="BF15" i="36" s="1"/>
  <c r="BI6" i="59"/>
  <c r="BG52" i="59"/>
  <c r="AX15" i="36"/>
  <c r="AT13" i="49"/>
  <c r="AT20" i="49" s="1"/>
  <c r="AT15" i="36" s="1"/>
  <c r="AW6" i="59"/>
  <c r="BA52" i="59" l="1"/>
  <c r="BI52" i="59"/>
  <c r="AW52" i="59"/>
  <c r="E84" i="8"/>
  <c r="M84" i="8" l="1"/>
  <c r="I84" i="8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l="1"/>
  <c r="BG84" i="8"/>
  <c r="K152" i="45"/>
  <c r="K157" i="45" s="1"/>
  <c r="O152" i="45"/>
  <c r="O157" i="45" s="1"/>
  <c r="AC152" i="45" l="1"/>
  <c r="S152" i="45"/>
  <c r="AC157" i="45" l="1"/>
  <c r="AG152" i="45"/>
  <c r="W152" i="45"/>
  <c r="W157" i="45" s="1"/>
  <c r="S157" i="45"/>
  <c r="AG157" i="45" l="1"/>
  <c r="AK152" i="45"/>
  <c r="AK157" i="45" l="1"/>
  <c r="AQ152" i="45"/>
  <c r="AU152" i="45" l="1"/>
  <c r="AQ157" i="45"/>
  <c r="AY152" i="45" l="1"/>
  <c r="AU157" i="45"/>
  <c r="AY157" i="45" l="1"/>
  <c r="BG152" i="45"/>
  <c r="BI152" i="45" s="1"/>
  <c r="BG157" i="45" l="1"/>
  <c r="BI157" i="45" s="1"/>
  <c r="H91" i="26" l="1"/>
  <c r="L91" i="26" s="1"/>
  <c r="L92" i="26" l="1"/>
  <c r="Z91" i="26"/>
  <c r="AD91" i="26" s="1"/>
  <c r="AH91" i="26" s="1"/>
  <c r="AN91" i="26" s="1"/>
  <c r="AR91" i="26" s="1"/>
  <c r="AV91" i="26" s="1"/>
  <c r="BD91" i="26" s="1"/>
  <c r="P91" i="26"/>
  <c r="T91" i="26" s="1"/>
  <c r="H92" i="26"/>
  <c r="T92" i="26" l="1"/>
  <c r="P92" i="26"/>
  <c r="Z92" i="26"/>
  <c r="AD92" i="26" l="1"/>
  <c r="AH92" i="26" l="1"/>
  <c r="AN92" i="26" l="1"/>
  <c r="AR92" i="26" l="1"/>
  <c r="BD92" i="26" l="1"/>
  <c r="AV92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BG7" i="28" s="1"/>
  <c r="L80" i="83"/>
  <c r="L97" i="50"/>
  <c r="L95" i="50" s="1"/>
  <c r="K55" i="35"/>
  <c r="AA159" i="10"/>
  <c r="AA203" i="10" s="1"/>
  <c r="AE30" i="35"/>
  <c r="AA33" i="35"/>
  <c r="AA37" i="35" s="1"/>
  <c r="Q30" i="35"/>
  <c r="N65" i="59"/>
  <c r="M159" i="10"/>
  <c r="M203" i="10" s="1"/>
  <c r="Q39" i="35"/>
  <c r="M33" i="35"/>
  <c r="M37" i="35" s="1"/>
  <c r="AA39" i="35"/>
  <c r="M13" i="28" l="1"/>
  <c r="M236" i="28"/>
  <c r="AA49" i="35"/>
  <c r="AA55" i="35" s="1"/>
  <c r="AE39" i="35"/>
  <c r="M55" i="35"/>
  <c r="N97" i="50"/>
  <c r="N95" i="50" s="1"/>
  <c r="M25" i="36"/>
  <c r="P75" i="59" s="1"/>
  <c r="U39" i="35"/>
  <c r="U49" i="35" s="1"/>
  <c r="Q49" i="35"/>
  <c r="AA161" i="10"/>
  <c r="AD63" i="59" s="1"/>
  <c r="AA158" i="10"/>
  <c r="AA210" i="10" s="1"/>
  <c r="AA173" i="10"/>
  <c r="AA178" i="10"/>
  <c r="AD65" i="59" s="1"/>
  <c r="Q33" i="35"/>
  <c r="Q37" i="35" s="1"/>
  <c r="Q159" i="10"/>
  <c r="U30" i="35"/>
  <c r="M63" i="28"/>
  <c r="AA25" i="36"/>
  <c r="AD75" i="59" s="1"/>
  <c r="AB97" i="50"/>
  <c r="AB95" i="50" s="1"/>
  <c r="M158" i="10"/>
  <c r="M210" i="10" s="1"/>
  <c r="M161" i="10"/>
  <c r="M178" i="10"/>
  <c r="P65" i="59" s="1"/>
  <c r="M173" i="10"/>
  <c r="AI30" i="35"/>
  <c r="AE159" i="10"/>
  <c r="AE203" i="10" s="1"/>
  <c r="AE33" i="35"/>
  <c r="AE37" i="35" s="1"/>
  <c r="AA236" i="28" l="1"/>
  <c r="AE236" i="28" s="1"/>
  <c r="AI236" i="28" s="1"/>
  <c r="AO236" i="28" s="1"/>
  <c r="AS236" i="28" s="1"/>
  <c r="AW236" i="28" s="1"/>
  <c r="BE236" i="28" s="1"/>
  <c r="BG236" i="28" s="1"/>
  <c r="Q236" i="28"/>
  <c r="U236" i="28" s="1"/>
  <c r="M72" i="28"/>
  <c r="AE158" i="10"/>
  <c r="AE210" i="10" s="1"/>
  <c r="AE178" i="10"/>
  <c r="AH65" i="59" s="1"/>
  <c r="AE161" i="10"/>
  <c r="AE173" i="10"/>
  <c r="Q158" i="10"/>
  <c r="Q210" i="10" s="1"/>
  <c r="Q178" i="10"/>
  <c r="T65" i="59" s="1"/>
  <c r="Q161" i="10"/>
  <c r="T63" i="59" s="1"/>
  <c r="Q173" i="10"/>
  <c r="AI33" i="35"/>
  <c r="AI37" i="35" s="1"/>
  <c r="AI25" i="36" s="1"/>
  <c r="AI159" i="10"/>
  <c r="AI203" i="10" s="1"/>
  <c r="AO30" i="35"/>
  <c r="Q63" i="28"/>
  <c r="U63" i="28" s="1"/>
  <c r="AA63" i="28"/>
  <c r="AE63" i="28" s="1"/>
  <c r="AI63" i="28" s="1"/>
  <c r="AO63" i="28" s="1"/>
  <c r="AS63" i="28" s="1"/>
  <c r="AW63" i="28" s="1"/>
  <c r="BE63" i="28" s="1"/>
  <c r="BG63" i="28" s="1"/>
  <c r="AA13" i="28"/>
  <c r="M507" i="28"/>
  <c r="Q13" i="28"/>
  <c r="Q55" i="35"/>
  <c r="Q25" i="36"/>
  <c r="T75" i="59" s="1"/>
  <c r="R97" i="50"/>
  <c r="R95" i="50" s="1"/>
  <c r="M69" i="28"/>
  <c r="AE25" i="36"/>
  <c r="AH75" i="59" s="1"/>
  <c r="AF97" i="50"/>
  <c r="AF95" i="50" s="1"/>
  <c r="U159" i="10"/>
  <c r="U33" i="35"/>
  <c r="U37" i="35" s="1"/>
  <c r="AI39" i="35"/>
  <c r="AE49" i="35"/>
  <c r="AE55" i="35" s="1"/>
  <c r="Q72" i="28" l="1"/>
  <c r="U72" i="28" s="1"/>
  <c r="AA72" i="28"/>
  <c r="AE72" i="28" s="1"/>
  <c r="AI72" i="28" s="1"/>
  <c r="AO72" i="28" s="1"/>
  <c r="AS72" i="28" s="1"/>
  <c r="AW72" i="28" s="1"/>
  <c r="BE72" i="28" s="1"/>
  <c r="BG72" i="28" s="1"/>
  <c r="AO33" i="35"/>
  <c r="AO37" i="35" s="1"/>
  <c r="AO159" i="10"/>
  <c r="AS30" i="35"/>
  <c r="M95" i="28"/>
  <c r="M79" i="28"/>
  <c r="U13" i="28"/>
  <c r="Q507" i="28"/>
  <c r="AI158" i="10"/>
  <c r="AI210" i="10" s="1"/>
  <c r="AI161" i="10"/>
  <c r="AI178" i="10"/>
  <c r="AL65" i="59" s="1"/>
  <c r="AI173" i="10"/>
  <c r="M76" i="28"/>
  <c r="Q69" i="28"/>
  <c r="M522" i="28"/>
  <c r="AA69" i="28"/>
  <c r="U25" i="36"/>
  <c r="X75" i="59" s="1"/>
  <c r="U55" i="35"/>
  <c r="V97" i="50"/>
  <c r="V95" i="50" s="1"/>
  <c r="AL75" i="59"/>
  <c r="AJ97" i="50"/>
  <c r="AJ95" i="50" s="1"/>
  <c r="AI49" i="35"/>
  <c r="AI55" i="35" s="1"/>
  <c r="AO39" i="35"/>
  <c r="AE13" i="28"/>
  <c r="AA507" i="28"/>
  <c r="U173" i="10"/>
  <c r="U178" i="10"/>
  <c r="X65" i="59" s="1"/>
  <c r="U158" i="10"/>
  <c r="U210" i="10" s="1"/>
  <c r="U161" i="10"/>
  <c r="X63" i="59" s="1"/>
  <c r="Q95" i="28" l="1"/>
  <c r="U95" i="28" s="1"/>
  <c r="AA95" i="28"/>
  <c r="AE95" i="28" s="1"/>
  <c r="AI95" i="28" s="1"/>
  <c r="AO95" i="28" s="1"/>
  <c r="AS95" i="28" s="1"/>
  <c r="AW95" i="28" s="1"/>
  <c r="BE95" i="28" s="1"/>
  <c r="BG95" i="28" s="1"/>
  <c r="AW30" i="35"/>
  <c r="AS33" i="35"/>
  <c r="AS37" i="35" s="1"/>
  <c r="AS159" i="10"/>
  <c r="AI13" i="28"/>
  <c r="AE507" i="28"/>
  <c r="AO158" i="10"/>
  <c r="AO210" i="10" s="1"/>
  <c r="AO173" i="10"/>
  <c r="AO161" i="10"/>
  <c r="AR63" i="59" s="1"/>
  <c r="AO178" i="10"/>
  <c r="AR65" i="59" s="1"/>
  <c r="AE69" i="28"/>
  <c r="AA522" i="28"/>
  <c r="AO25" i="36"/>
  <c r="AR75" i="59" s="1"/>
  <c r="Q76" i="28"/>
  <c r="AA76" i="28"/>
  <c r="M523" i="28"/>
  <c r="AA79" i="28"/>
  <c r="M506" i="28"/>
  <c r="Q79" i="28"/>
  <c r="M505" i="28"/>
  <c r="AS39" i="35"/>
  <c r="AO49" i="35"/>
  <c r="AO55" i="35" s="1"/>
  <c r="U507" i="28"/>
  <c r="U69" i="28"/>
  <c r="U522" i="28" s="1"/>
  <c r="Q522" i="28"/>
  <c r="AA523" i="28" l="1"/>
  <c r="AE76" i="28"/>
  <c r="AS178" i="10"/>
  <c r="AV65" i="59" s="1"/>
  <c r="AS158" i="10"/>
  <c r="AS210" i="10" s="1"/>
  <c r="AS173" i="10"/>
  <c r="AS161" i="10"/>
  <c r="AV63" i="59" s="1"/>
  <c r="U79" i="28"/>
  <c r="Q506" i="28"/>
  <c r="Q505" i="28"/>
  <c r="AW159" i="10"/>
  <c r="AW33" i="35"/>
  <c r="AW37" i="35" s="1"/>
  <c r="BE30" i="35"/>
  <c r="AS49" i="35"/>
  <c r="AS55" i="35" s="1"/>
  <c r="AW39" i="35"/>
  <c r="U76" i="28"/>
  <c r="U523" i="28" s="1"/>
  <c r="Q523" i="28"/>
  <c r="AS25" i="36"/>
  <c r="AV75" i="59" s="1"/>
  <c r="AT97" i="50"/>
  <c r="AT95" i="50" s="1"/>
  <c r="AE79" i="28"/>
  <c r="AA506" i="28"/>
  <c r="AA505" i="28"/>
  <c r="AI69" i="28"/>
  <c r="AE522" i="28"/>
  <c r="AI507" i="28"/>
  <c r="AO13" i="28"/>
  <c r="AW203" i="10" l="1"/>
  <c r="AO507" i="28"/>
  <c r="AS13" i="28"/>
  <c r="BE33" i="35"/>
  <c r="BE37" i="35" s="1"/>
  <c r="BE159" i="10"/>
  <c r="AX97" i="50"/>
  <c r="AX95" i="50" s="1"/>
  <c r="AW25" i="36"/>
  <c r="AZ75" i="59" s="1"/>
  <c r="AI79" i="28"/>
  <c r="AE506" i="28"/>
  <c r="AE505" i="28"/>
  <c r="AI76" i="28"/>
  <c r="AE523" i="28"/>
  <c r="AI522" i="28"/>
  <c r="AO69" i="28"/>
  <c r="AW161" i="10"/>
  <c r="AZ63" i="59" s="1"/>
  <c r="AW173" i="10"/>
  <c r="AW158" i="10"/>
  <c r="AW178" i="10"/>
  <c r="AZ65" i="59" s="1"/>
  <c r="AW49" i="35"/>
  <c r="AW55" i="35" s="1"/>
  <c r="BE39" i="35"/>
  <c r="BE49" i="35" s="1"/>
  <c r="U506" i="28"/>
  <c r="U505" i="28"/>
  <c r="BE203" i="10" l="1"/>
  <c r="BH203" i="10" s="1"/>
  <c r="BH159" i="10"/>
  <c r="AS507" i="28"/>
  <c r="AW13" i="28"/>
  <c r="AI523" i="28"/>
  <c r="AO76" i="28"/>
  <c r="BE55" i="35"/>
  <c r="BE25" i="36"/>
  <c r="BH75" i="59" s="1"/>
  <c r="BF97" i="50"/>
  <c r="BF95" i="50" s="1"/>
  <c r="AO522" i="28"/>
  <c r="AS69" i="28"/>
  <c r="BE161" i="10"/>
  <c r="BE178" i="10"/>
  <c r="BE173" i="10"/>
  <c r="BE158" i="10"/>
  <c r="BH158" i="10" s="1"/>
  <c r="AI506" i="28"/>
  <c r="AO79" i="28"/>
  <c r="AI505" i="28"/>
  <c r="BH65" i="59" l="1"/>
  <c r="BH63" i="59"/>
  <c r="AS76" i="28"/>
  <c r="AO523" i="28"/>
  <c r="AW507" i="28"/>
  <c r="BE13" i="28"/>
  <c r="BG13" i="28" s="1"/>
  <c r="AS522" i="28"/>
  <c r="AW69" i="28"/>
  <c r="AO506" i="28"/>
  <c r="AS79" i="28"/>
  <c r="AO505" i="28"/>
  <c r="BE507" i="28" l="1"/>
  <c r="BG507" i="28" s="1"/>
  <c r="AW79" i="28"/>
  <c r="AS506" i="28"/>
  <c r="AS505" i="28"/>
  <c r="BE69" i="28"/>
  <c r="AW522" i="28"/>
  <c r="AW76" i="28"/>
  <c r="AS523" i="28"/>
  <c r="BE522" i="28" l="1"/>
  <c r="BG522" i="28" s="1"/>
  <c r="BG69" i="28"/>
  <c r="AW523" i="28"/>
  <c r="BE76" i="28"/>
  <c r="BE79" i="28"/>
  <c r="BG79" i="28" s="1"/>
  <c r="AW506" i="28"/>
  <c r="AW505" i="28"/>
  <c r="BE523" i="28" l="1"/>
  <c r="BG523" i="28" s="1"/>
  <c r="BG76" i="28"/>
  <c r="BE506" i="28"/>
  <c r="BG506" i="28" s="1"/>
  <c r="BE505" i="28"/>
  <c r="BG505" i="28" s="1"/>
  <c r="Q127" i="50"/>
  <c r="Q100" i="50"/>
  <c r="O100" i="90"/>
  <c r="BE100" i="90" s="1"/>
  <c r="R34" i="35"/>
  <c r="V34" i="35" s="1"/>
  <c r="V36" i="35" s="1"/>
  <c r="P36" i="35"/>
  <c r="P48" i="35" s="1"/>
  <c r="P49" i="35" s="1"/>
  <c r="Z34" i="35"/>
  <c r="Z36" i="35" s="1"/>
  <c r="Q129" i="50" l="1"/>
  <c r="S100" i="50"/>
  <c r="S103" i="50" s="1"/>
  <c r="S104" i="50" s="1"/>
  <c r="BH100" i="50"/>
  <c r="R36" i="35"/>
  <c r="O102" i="90"/>
  <c r="BE102" i="90" s="1"/>
  <c r="AI100" i="90"/>
  <c r="AI102" i="90" s="1"/>
  <c r="Q103" i="50"/>
  <c r="Q100" i="90"/>
  <c r="Q102" i="90" s="1"/>
  <c r="V48" i="35"/>
  <c r="V49" i="35" s="1"/>
  <c r="V37" i="35"/>
  <c r="Z48" i="35"/>
  <c r="Z37" i="35"/>
  <c r="AO100" i="90"/>
  <c r="AA127" i="50"/>
  <c r="AA100" i="90"/>
  <c r="Q130" i="50"/>
  <c r="AB34" i="35"/>
  <c r="S127" i="50"/>
  <c r="U100" i="90"/>
  <c r="U102" i="90" s="1"/>
  <c r="AE100" i="90"/>
  <c r="AE102" i="90" s="1"/>
  <c r="Y100" i="90"/>
  <c r="Y102" i="90" s="1"/>
  <c r="O128" i="90"/>
  <c r="P37" i="35"/>
  <c r="AI128" i="90" l="1"/>
  <c r="AI130" i="90" s="1"/>
  <c r="BE128" i="90"/>
  <c r="Q104" i="50"/>
  <c r="BH104" i="50" s="1"/>
  <c r="BH103" i="50"/>
  <c r="Q80" i="83"/>
  <c r="Q78" i="83" s="1"/>
  <c r="R48" i="35"/>
  <c r="R49" i="35" s="1"/>
  <c r="R37" i="35"/>
  <c r="S129" i="50"/>
  <c r="W127" i="50"/>
  <c r="W129" i="50" s="1"/>
  <c r="AF34" i="35"/>
  <c r="AB36" i="35"/>
  <c r="AB37" i="35" s="1"/>
  <c r="AB48" i="35"/>
  <c r="AB49" i="35" s="1"/>
  <c r="Z49" i="35"/>
  <c r="Z55" i="35" s="1"/>
  <c r="P25" i="36"/>
  <c r="S75" i="59" s="1"/>
  <c r="Q97" i="50"/>
  <c r="P55" i="35"/>
  <c r="AC127" i="50"/>
  <c r="AA129" i="50"/>
  <c r="AS100" i="90"/>
  <c r="AO102" i="90"/>
  <c r="V55" i="35"/>
  <c r="W97" i="50"/>
  <c r="W95" i="50" s="1"/>
  <c r="V25" i="36"/>
  <c r="Y75" i="59" s="1"/>
  <c r="U128" i="90"/>
  <c r="U130" i="90" s="1"/>
  <c r="AA128" i="90"/>
  <c r="AE128" i="90"/>
  <c r="AE130" i="90" s="1"/>
  <c r="Q128" i="90"/>
  <c r="Q130" i="90" s="1"/>
  <c r="AO128" i="90"/>
  <c r="O130" i="90"/>
  <c r="BE130" i="90" s="1"/>
  <c r="Y128" i="90"/>
  <c r="Y130" i="90" s="1"/>
  <c r="AA97" i="50"/>
  <c r="AA95" i="50" s="1"/>
  <c r="Z25" i="36"/>
  <c r="AC75" i="59" s="1"/>
  <c r="Q135" i="50"/>
  <c r="S130" i="50"/>
  <c r="AA130" i="50"/>
  <c r="AA102" i="90"/>
  <c r="Q95" i="50" l="1"/>
  <c r="S97" i="50"/>
  <c r="S95" i="50" s="1"/>
  <c r="R25" i="36"/>
  <c r="U75" i="59" s="1"/>
  <c r="R55" i="35"/>
  <c r="AB55" i="35"/>
  <c r="AB25" i="36"/>
  <c r="AE75" i="59" s="1"/>
  <c r="AC97" i="50"/>
  <c r="AC95" i="50" s="1"/>
  <c r="AC129" i="50"/>
  <c r="AG127" i="50"/>
  <c r="AO130" i="90"/>
  <c r="AS128" i="90"/>
  <c r="AF36" i="35"/>
  <c r="AJ34" i="35"/>
  <c r="S80" i="83"/>
  <c r="AA80" i="83"/>
  <c r="AC130" i="50"/>
  <c r="AA135" i="50"/>
  <c r="AA130" i="90"/>
  <c r="AS102" i="90"/>
  <c r="AW100" i="90"/>
  <c r="AW102" i="90" s="1"/>
  <c r="S135" i="50"/>
  <c r="W130" i="50"/>
  <c r="W135" i="50" s="1"/>
  <c r="AP34" i="35" l="1"/>
  <c r="AJ36" i="35"/>
  <c r="AK127" i="50"/>
  <c r="AG129" i="50"/>
  <c r="AA78" i="83"/>
  <c r="AC80" i="83"/>
  <c r="W80" i="83"/>
  <c r="W78" i="83" s="1"/>
  <c r="S78" i="83"/>
  <c r="AF48" i="35"/>
  <c r="AF49" i="35" s="1"/>
  <c r="AF37" i="35"/>
  <c r="AC135" i="50"/>
  <c r="AG130" i="50"/>
  <c r="AW128" i="90"/>
  <c r="AW130" i="90" s="1"/>
  <c r="AS130" i="90"/>
  <c r="AG80" i="83" l="1"/>
  <c r="AC78" i="83"/>
  <c r="AF25" i="36"/>
  <c r="AI75" i="59" s="1"/>
  <c r="AG97" i="50"/>
  <c r="AG95" i="50" s="1"/>
  <c r="AF55" i="35"/>
  <c r="AJ37" i="35"/>
  <c r="AJ25" i="36" s="1"/>
  <c r="AJ48" i="35"/>
  <c r="AG135" i="50"/>
  <c r="AK130" i="50"/>
  <c r="AQ127" i="50"/>
  <c r="AK129" i="50"/>
  <c r="AP36" i="35"/>
  <c r="AP37" i="35" s="1"/>
  <c r="AT34" i="35"/>
  <c r="AP25" i="36" l="1"/>
  <c r="AS75" i="59" s="1"/>
  <c r="AQ97" i="50"/>
  <c r="AQ95" i="50" s="1"/>
  <c r="AK135" i="50"/>
  <c r="AQ130" i="50"/>
  <c r="AM75" i="59"/>
  <c r="AK97" i="50"/>
  <c r="AK95" i="50" s="1"/>
  <c r="AQ129" i="50"/>
  <c r="AU127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AX36" i="35"/>
  <c r="AQ135" i="50"/>
  <c r="AU130" i="50"/>
  <c r="AU129" i="50"/>
  <c r="AY127" i="50"/>
  <c r="BF36" i="35" l="1"/>
  <c r="AX37" i="35"/>
  <c r="AX48" i="35"/>
  <c r="AY129" i="50"/>
  <c r="BG127" i="50"/>
  <c r="AU135" i="50"/>
  <c r="AY130" i="50"/>
  <c r="AU80" i="83"/>
  <c r="AQ78" i="83"/>
  <c r="AT55" i="35"/>
  <c r="AT25" i="36"/>
  <c r="AW75" i="59" s="1"/>
  <c r="AU97" i="50"/>
  <c r="AU95" i="50" s="1"/>
  <c r="BF37" i="35" l="1"/>
  <c r="BG129" i="50"/>
  <c r="BH129" i="50" s="1"/>
  <c r="BH127" i="50"/>
  <c r="AU78" i="83"/>
  <c r="AY80" i="83"/>
  <c r="AX49" i="35"/>
  <c r="AX55" i="35" s="1"/>
  <c r="BF48" i="35"/>
  <c r="BF49" i="35" s="1"/>
  <c r="BF55" i="35" s="1"/>
  <c r="AY135" i="50"/>
  <c r="BG130" i="50"/>
  <c r="AY97" i="50"/>
  <c r="AY95" i="50" s="1"/>
  <c r="AX25" i="36"/>
  <c r="BA75" i="59" s="1"/>
  <c r="BF25" i="36" l="1"/>
  <c r="BI75" i="59" s="1"/>
  <c r="BG97" i="50"/>
  <c r="BG135" i="50"/>
  <c r="BH135" i="50" s="1"/>
  <c r="BH130" i="50"/>
  <c r="AY78" i="83"/>
  <c r="BG80" i="83"/>
  <c r="BG78" i="83" s="1"/>
  <c r="BH97" i="50" l="1"/>
  <c r="BG95" i="50"/>
  <c r="BH95" i="50" s="1"/>
  <c r="Y28" i="15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  <c r="D37" i="17"/>
  <c r="D39" i="17" s="1"/>
  <c r="D85" i="17" s="1"/>
  <c r="H35" i="17"/>
  <c r="H37" i="17" s="1"/>
  <c r="H39" i="17" s="1"/>
  <c r="H85" i="17" s="1"/>
  <c r="D27" i="17"/>
  <c r="D29" i="17" s="1"/>
  <c r="L35" i="17"/>
  <c r="L37" i="17" s="1"/>
  <c r="L39" i="17" s="1"/>
  <c r="L85" i="17" s="1"/>
  <c r="D32" i="17" l="1"/>
  <c r="D30" i="17"/>
  <c r="P35" i="17"/>
  <c r="P37" i="17" l="1"/>
  <c r="P39" i="17" s="1"/>
  <c r="P85" i="17" s="1"/>
  <c r="T35" i="17"/>
  <c r="H29" i="17"/>
  <c r="Z35" i="17" l="1"/>
  <c r="T37" i="17"/>
  <c r="T39" i="17" s="1"/>
  <c r="T85" i="17" s="1"/>
  <c r="L29" i="17"/>
  <c r="H32" i="17"/>
  <c r="H30" i="17"/>
  <c r="H61" i="17"/>
  <c r="L61" i="17" l="1"/>
  <c r="Z29" i="17"/>
  <c r="T29" i="17"/>
  <c r="P29" i="17"/>
  <c r="L30" i="17"/>
  <c r="L32" i="17"/>
  <c r="AD35" i="17"/>
  <c r="Z37" i="17"/>
  <c r="Z39" i="17" s="1"/>
  <c r="Z85" i="17" s="1"/>
  <c r="Z61" i="17" l="1"/>
  <c r="P32" i="17"/>
  <c r="P30" i="17"/>
  <c r="T32" i="17"/>
  <c r="T30" i="17"/>
  <c r="P61" i="17"/>
  <c r="T61" i="17" s="1"/>
  <c r="AD29" i="17"/>
  <c r="AD61" i="17" s="1"/>
  <c r="AD37" i="17"/>
  <c r="AD39" i="17" s="1"/>
  <c r="AD85" i="17" s="1"/>
  <c r="AH35" i="17"/>
  <c r="Z30" i="17"/>
  <c r="Z32" i="17"/>
  <c r="AH29" i="17" l="1"/>
  <c r="AD30" i="17"/>
  <c r="AD32" i="17"/>
  <c r="AH61" i="17"/>
  <c r="AN35" i="17"/>
  <c r="AH37" i="17"/>
  <c r="AH39" i="17" s="1"/>
  <c r="AN37" i="17" l="1"/>
  <c r="AN39" i="17" s="1"/>
  <c r="AN85" i="17" s="1"/>
  <c r="AR35" i="17"/>
  <c r="AN29" i="17"/>
  <c r="AH32" i="17"/>
  <c r="AH30" i="17"/>
  <c r="AN32" i="17" l="1"/>
  <c r="AN30" i="17"/>
  <c r="AR29" i="17"/>
  <c r="AR37" i="17"/>
  <c r="AR39" i="17" s="1"/>
  <c r="AR85" i="17" s="1"/>
  <c r="AV35" i="17"/>
  <c r="AN61" i="17"/>
  <c r="AR61" i="17" l="1"/>
  <c r="AR30" i="17"/>
  <c r="AR32" i="17"/>
  <c r="AV29" i="17"/>
  <c r="BD29" i="17"/>
  <c r="AV37" i="17"/>
  <c r="AV39" i="17" s="1"/>
  <c r="AV85" i="17" s="1"/>
  <c r="BD35" i="17"/>
  <c r="BD37" i="17" s="1"/>
  <c r="BD39" i="17" s="1"/>
  <c r="BD85" i="17" s="1"/>
  <c r="AV30" i="17" l="1"/>
  <c r="AV32" i="17"/>
  <c r="AV61" i="17"/>
  <c r="BD61" i="17" s="1"/>
  <c r="BD32" i="17"/>
  <c r="BD30" i="17"/>
  <c r="AS30" i="17"/>
  <c r="AS29" i="17"/>
  <c r="AS32" i="17" s="1"/>
  <c r="AI29" i="17"/>
  <c r="AI30" i="17" s="1"/>
  <c r="AI32" i="17"/>
  <c r="AO30" i="17"/>
  <c r="AO29" i="17"/>
  <c r="AO32" i="17"/>
  <c r="AW29" i="17"/>
  <c r="AW30" i="17" s="1"/>
  <c r="AA30" i="17"/>
  <c r="AA29" i="17"/>
  <c r="AA32" i="17"/>
  <c r="BE29" i="17"/>
  <c r="BE30" i="17" s="1"/>
  <c r="I29" i="17"/>
  <c r="I32" i="17" s="1"/>
  <c r="M29" i="17"/>
  <c r="M30" i="17" s="1"/>
  <c r="AE29" i="17"/>
  <c r="AE30" i="17" s="1"/>
  <c r="Q29" i="17"/>
  <c r="Q30" i="17" s="1"/>
  <c r="U29" i="17"/>
  <c r="U30" i="17" s="1"/>
  <c r="E29" i="17"/>
  <c r="I61" i="17" s="1"/>
  <c r="M61" i="17" s="1"/>
  <c r="E35" i="17"/>
  <c r="M35" i="17" s="1"/>
  <c r="Q35" i="17" l="1"/>
  <c r="AA35" i="17"/>
  <c r="M37" i="17"/>
  <c r="M39" i="17" s="1"/>
  <c r="M85" i="17" s="1"/>
  <c r="Q61" i="17"/>
  <c r="U61" i="17" s="1"/>
  <c r="AA61" i="17"/>
  <c r="AE61" i="17" s="1"/>
  <c r="AI61" i="17" s="1"/>
  <c r="AO61" i="17" s="1"/>
  <c r="AS61" i="17" s="1"/>
  <c r="AW61" i="17" s="1"/>
  <c r="BE61" i="17" s="1"/>
  <c r="AW32" i="17"/>
  <c r="BE32" i="17"/>
  <c r="Q32" i="17"/>
  <c r="I30" i="17"/>
  <c r="E37" i="17"/>
  <c r="E39" i="17" s="1"/>
  <c r="E85" i="17" s="1"/>
  <c r="M32" i="17"/>
  <c r="E30" i="17"/>
  <c r="I35" i="17"/>
  <c r="I37" i="17" s="1"/>
  <c r="I39" i="17" s="1"/>
  <c r="I85" i="17" s="1"/>
  <c r="U32" i="17"/>
  <c r="AE32" i="17"/>
  <c r="E32" i="17"/>
  <c r="AE35" i="17" l="1"/>
  <c r="AA37" i="17"/>
  <c r="AA39" i="17" s="1"/>
  <c r="AA85" i="17" s="1"/>
  <c r="Q37" i="17"/>
  <c r="Q39" i="17" s="1"/>
  <c r="Q85" i="17" s="1"/>
  <c r="U35" i="17"/>
  <c r="U37" i="17" s="1"/>
  <c r="U39" i="17" s="1"/>
  <c r="U85" i="17" s="1"/>
  <c r="AE37" i="17" l="1"/>
  <c r="AE39" i="17" s="1"/>
  <c r="AE85" i="17" s="1"/>
  <c r="AI35" i="17"/>
  <c r="AO35" i="17" l="1"/>
  <c r="AI37" i="17"/>
  <c r="AI39" i="17" s="1"/>
  <c r="AI85" i="17" s="1"/>
  <c r="AS35" i="17" l="1"/>
  <c r="AO37" i="17"/>
  <c r="AO39" i="17" s="1"/>
  <c r="AO85" i="17" s="1"/>
  <c r="AS37" i="17" l="1"/>
  <c r="AS39" i="17" s="1"/>
  <c r="AS85" i="17" s="1"/>
  <c r="AW35" i="17"/>
  <c r="BE35" i="17" l="1"/>
  <c r="BE37" i="17" s="1"/>
  <c r="BE39" i="17" s="1"/>
  <c r="BE85" i="17" s="1"/>
  <c r="AW37" i="17"/>
  <c r="AW39" i="17" s="1"/>
  <c r="AW85" i="17" s="1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Y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G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Y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<sst xmlns="http://schemas.openxmlformats.org/spreadsheetml/2006/main" count="9594" uniqueCount="2371">
  <si>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</si>
  <si>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</si>
  <si>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</si>
  <si>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</si>
  <si>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</si>
  <si>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</si>
  <si>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</si>
  <si>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</si>
  <si>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</si>
  <si>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</si>
  <si>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</si>
  <si>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</si>
  <si>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</si>
  <si>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</si>
  <si>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</si>
  <si>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</si>
  <si>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</si>
  <si>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</si>
  <si>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</si>
  <si>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</si>
  <si>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</si>
  <si>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</si>
  <si>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</si>
  <si>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</si>
  <si>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</si>
  <si>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</si>
  <si>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</si>
  <si>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</si>
  <si>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</si>
  <si>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</si>
  <si>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</si>
  <si>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</si>
  <si>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</si>
  <si>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</si>
  <si>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</si>
  <si>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</si>
  <si>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</si>
  <si>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</si>
  <si>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</si>
  <si>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</si>
  <si>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</si>
  <si>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</si>
  <si>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</si>
  <si>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</si>
  <si>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</si>
  <si>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</si>
  <si>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</si>
  <si>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</si>
  <si>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</si>
  <si>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</si>
  <si>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</si>
  <si>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</si>
  <si>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</si>
  <si>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</si>
  <si>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</si>
  <si>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</si>
  <si>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</si>
  <si>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</si>
  <si>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</si>
  <si>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</si>
  <si>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</si>
  <si>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</si>
  <si>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</si>
  <si>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</si>
  <si>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</si>
  <si>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</si>
  <si>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</si>
  <si>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</si>
  <si>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</si>
  <si>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</si>
  <si>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</si>
  <si>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</si>
  <si>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</si>
  <si>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</si>
  <si>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</si>
  <si>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</si>
  <si>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</si>
  <si>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</si>
  <si>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</si>
  <si>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</si>
  <si>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</si>
  <si>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</si>
  <si>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</si>
  <si>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</si>
  <si>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</si>
  <si>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</si>
  <si>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</si>
  <si>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</si>
  <si>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</si>
  <si>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</si>
  <si>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</si>
  <si>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</si>
  <si>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</si>
  <si>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</si>
  <si>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</si>
  <si>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</si>
  <si>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</si>
  <si>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</si>
  <si>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</si>
  <si>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</si>
  <si>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</si>
  <si>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</si>
  <si>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</si>
  <si>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</si>
  <si>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</si>
  <si>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</si>
  <si>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</si>
  <si>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</si>
  <si>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</si>
  <si>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</si>
  <si>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</si>
  <si>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</si>
  <si>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</si>
  <si>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</si>
  <si>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</si>
  <si>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</si>
  <si>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</si>
  <si>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</si>
  <si>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</si>
  <si>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</si>
  <si>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</si>
  <si>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</si>
  <si>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</si>
  <si>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</si>
  <si>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</si>
  <si>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</si>
  <si>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</si>
  <si>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</si>
  <si>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</si>
  <si>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</si>
  <si>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</si>
  <si>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</si>
  <si>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</si>
  <si>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</si>
  <si>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</si>
  <si>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</si>
  <si>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</si>
  <si>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</si>
  <si>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</si>
  <si>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</si>
  <si>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</si>
  <si>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</si>
  <si>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</si>
  <si>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</si>
  <si>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</si>
  <si>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</si>
  <si>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</si>
  <si>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</si>
  <si>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</si>
  <si>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</si>
  <si>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</si>
  <si>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</si>
  <si>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</si>
  <si>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</si>
  <si>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</si>
  <si>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</si>
  <si>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</si>
  <si>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</si>
  <si>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</si>
  <si>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</si>
  <si>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</si>
  <si>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</si>
  <si>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</si>
  <si>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</si>
  <si>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</si>
  <si>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</si>
  <si>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</si>
  <si>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</si>
  <si>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</si>
  <si>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</si>
  <si>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</si>
  <si>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</si>
  <si>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</si>
  <si>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</si>
  <si>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</si>
  <si>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</si>
  <si>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</si>
  <si>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</si>
  <si>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</si>
  <si>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</si>
  <si>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</si>
  <si>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</si>
  <si>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</si>
  <si>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</si>
  <si>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</si>
  <si>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</si>
  <si>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</si>
  <si>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</si>
  <si>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</si>
  <si>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</si>
  <si>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</si>
  <si>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</si>
  <si>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</si>
  <si>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</si>
  <si>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</si>
  <si>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</si>
  <si>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</si>
  <si>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</si>
  <si>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</si>
  <si>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</si>
  <si>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</si>
  <si>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</si>
  <si>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</si>
  <si>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</si>
  <si>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</si>
  <si>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</si>
  <si>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</si>
  <si>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</si>
  <si>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</si>
  <si>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</si>
  <si>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</si>
  <si>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</si>
  <si>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</si>
  <si>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</si>
  <si>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</si>
  <si>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</si>
  <si>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</si>
  <si>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</si>
  <si>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</si>
  <si>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</si>
  <si>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</si>
  <si>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</si>
  <si>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</si>
  <si>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</si>
  <si>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</si>
  <si>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</si>
  <si>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</si>
  <si>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</si>
  <si>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</si>
  <si>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</si>
  <si>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</si>
  <si>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</si>
  <si>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</si>
  <si>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</si>
  <si>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</si>
  <si>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</si>
  <si>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</si>
  <si>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</si>
  <si>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</si>
  <si>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</si>
  <si>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</si>
  <si>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</si>
  <si>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</si>
  <si>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</si>
  <si>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</si>
  <si>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</si>
  <si>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</si>
  <si>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</si>
  <si>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</si>
  <si>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</si>
  <si>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</si>
  <si>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</si>
  <si>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</si>
  <si>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</si>
  <si>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</si>
  <si>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</si>
  <si>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</si>
  <si>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</si>
  <si>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</si>
  <si>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</si>
  <si>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</si>
  <si>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</si>
  <si>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</si>
  <si>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</si>
  <si>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</si>
  <si>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</si>
  <si>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</si>
  <si>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</si>
  <si>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</si>
  <si>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</si>
  <si>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</si>
  <si>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</si>
  <si>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</si>
  <si>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</si>
  <si>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</si>
  <si>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</si>
  <si>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</si>
  <si>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</si>
  <si>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</si>
  <si>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</si>
  <si>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</si>
  <si>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</si>
  <si>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</si>
  <si>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</si>
  <si>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</si>
  <si>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</si>
  <si>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</si>
  <si>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</si>
  <si>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</si>
  <si>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</si>
  <si>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</si>
  <si>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</si>
  <si>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</si>
  <si>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</si>
  <si>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</si>
  <si>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</si>
  <si>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</si>
  <si>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</si>
  <si>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</si>
  <si>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</si>
  <si>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</si>
  <si>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</si>
  <si>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</si>
  <si>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</si>
  <si>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</si>
  <si>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</si>
  <si>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</si>
  <si>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</si>
  <si>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</si>
  <si>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</si>
  <si>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</si>
  <si>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</si>
  <si>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</si>
  <si>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</si>
  <si>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</si>
  <si>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</si>
  <si>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</si>
  <si>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</si>
  <si>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</si>
  <si>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</si>
  <si>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</si>
  <si>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</si>
  <si>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</si>
  <si>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</si>
  <si>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</si>
  <si>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</si>
  <si>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</si>
  <si>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</si>
  <si>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</si>
  <si>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</si>
  <si>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</si>
  <si>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</si>
  <si>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</si>
  <si>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</si>
  <si>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</si>
  <si>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</si>
  <si>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</si>
  <si>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</si>
  <si>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</si>
  <si>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</si>
  <si>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</si>
  <si>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</si>
  <si>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</si>
  <si>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</si>
  <si>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</si>
  <si>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</si>
  <si>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</si>
  <si>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</si>
  <si>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</si>
  <si>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</si>
  <si>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</si>
  <si>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</si>
  <si>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</si>
  <si>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</si>
  <si>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</si>
  <si>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</si>
  <si>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</si>
  <si>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</si>
  <si>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</si>
  <si>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</si>
  <si>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</si>
  <si>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</si>
  <si>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</si>
  <si>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</si>
  <si>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</si>
  <si>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</si>
  <si>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</si>
  <si>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</si>
  <si>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</si>
  <si>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</si>
  <si>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</si>
  <si>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STEAM GENERATION</t>
  </si>
  <si>
    <t>Coke Ovens</t>
  </si>
  <si>
    <t>Losses</t>
  </si>
  <si>
    <t>MW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</si>
  <si>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</si>
  <si>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</si>
  <si>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</si>
  <si>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</si>
  <si>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</si>
  <si>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</si>
  <si>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</si>
  <si>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</si>
  <si>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</si>
  <si>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</si>
  <si>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</si>
  <si>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</si>
  <si>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</si>
  <si>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</si>
  <si>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</si>
  <si>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</si>
  <si>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</si>
  <si>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</si>
  <si>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</si>
  <si>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</si>
  <si>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</si>
  <si>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</si>
  <si>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</si>
  <si>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</si>
  <si>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</si>
  <si>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</si>
  <si>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</si>
  <si>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</si>
  <si>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</si>
  <si>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</si>
  <si>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</si>
  <si>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</si>
  <si>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</si>
  <si>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</si>
  <si>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</si>
  <si>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</si>
  <si>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</si>
  <si>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</si>
  <si>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</si>
  <si>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</si>
  <si>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</si>
  <si>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</si>
  <si>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</si>
  <si>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</si>
  <si>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</si>
  <si>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</si>
  <si>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</si>
  <si>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</si>
  <si>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</si>
  <si>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</si>
  <si>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</si>
  <si>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</si>
  <si>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</si>
  <si>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</si>
  <si>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</si>
  <si>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</si>
  <si>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</si>
  <si>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</si>
  <si>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</si>
  <si>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PBS-2 (NEW PLANT ZONE)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</si>
  <si>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</si>
  <si>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</si>
  <si>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</si>
  <si>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</si>
  <si>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</si>
  <si>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</si>
  <si>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</si>
  <si>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</si>
  <si>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</si>
  <si>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</si>
  <si>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</si>
  <si>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</si>
  <si>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</si>
  <si>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</si>
  <si>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</si>
  <si>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</si>
  <si>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</si>
  <si>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</si>
  <si>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</si>
  <si>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</si>
  <si>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</si>
  <si>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</si>
  <si>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</si>
  <si>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</si>
  <si>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</si>
  <si>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</si>
  <si>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</si>
  <si>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</si>
  <si>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</si>
  <si>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</si>
  <si>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</si>
  <si>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</si>
  <si>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</si>
  <si>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</si>
  <si>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</si>
  <si>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</si>
  <si>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</si>
  <si>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</si>
  <si>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</si>
  <si>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</si>
  <si>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</si>
  <si>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</si>
  <si>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</si>
  <si>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</si>
  <si>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</si>
  <si>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</si>
  <si>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</si>
  <si>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</si>
  <si>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</si>
  <si>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</si>
  <si>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</si>
  <si>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</si>
  <si>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</si>
  <si>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</si>
  <si>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</si>
  <si>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</si>
  <si>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</si>
  <si>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</si>
  <si>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</si>
  <si>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</si>
  <si>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</si>
  <si>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</si>
  <si>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</si>
  <si>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</si>
  <si>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</si>
  <si>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</si>
  <si>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</si>
  <si>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</si>
  <si>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</si>
  <si>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</si>
  <si>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</si>
  <si>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</si>
  <si>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</si>
  <si>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</si>
  <si>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</si>
  <si>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</si>
  <si>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</si>
  <si>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</si>
  <si>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</si>
  <si>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</si>
  <si>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</si>
  <si>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</si>
  <si>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</si>
  <si>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</si>
  <si>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</si>
  <si>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</si>
  <si>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</si>
  <si>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</si>
  <si>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</si>
  <si>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</si>
  <si>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</si>
  <si>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</si>
  <si>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Defective (Mktg)</t>
  </si>
  <si>
    <t>Average Manpower (Works)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</si>
  <si>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</si>
  <si>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</si>
  <si>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</si>
  <si>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</si>
  <si>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</si>
  <si>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</si>
  <si>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</si>
  <si>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</si>
  <si>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</si>
  <si>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</si>
  <si>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</si>
  <si>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</si>
  <si>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</si>
  <si>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</si>
  <si>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</si>
  <si>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</si>
  <si>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</si>
  <si>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</si>
  <si>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</si>
  <si>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</si>
  <si>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</si>
  <si>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</si>
  <si>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</si>
  <si>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</si>
  <si>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</si>
  <si>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</si>
  <si>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</si>
  <si>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</si>
  <si>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</si>
  <si>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</si>
  <si>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</si>
  <si>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</si>
  <si>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</si>
  <si>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</si>
  <si>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</si>
  <si>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</si>
  <si>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</si>
  <si>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</si>
  <si>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</si>
  <si>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</si>
  <si>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</si>
  <si>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</si>
  <si>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</si>
  <si>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</si>
  <si>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</si>
  <si>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</si>
  <si>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</si>
  <si>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</si>
  <si>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</si>
  <si>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</si>
  <si>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</si>
  <si>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</si>
  <si>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</si>
  <si>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</si>
  <si>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</si>
  <si>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</si>
  <si>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</si>
  <si>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</si>
  <si>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</si>
  <si>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</si>
  <si>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</si>
  <si>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</si>
  <si>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</si>
  <si>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</si>
  <si>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</si>
  <si>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</si>
  <si>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</si>
  <si>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</si>
  <si>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</si>
  <si>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</si>
  <si>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</si>
  <si>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</si>
  <si>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</si>
  <si>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</si>
  <si>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</si>
  <si>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</si>
  <si>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</si>
  <si>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</si>
  <si>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</si>
  <si>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</si>
  <si>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</si>
  <si>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</si>
  <si>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</si>
  <si>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</si>
  <si>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</si>
  <si>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</si>
  <si>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</si>
  <si>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</si>
  <si>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</si>
  <si>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</si>
  <si>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</si>
  <si>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</si>
  <si>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</si>
  <si>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</si>
  <si>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</si>
  <si>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</si>
  <si>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</si>
  <si>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</si>
  <si>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</si>
  <si>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</si>
  <si>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</si>
  <si>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</si>
  <si>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</si>
  <si>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</si>
  <si>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>IDLE ASSET</t>
  </si>
  <si>
    <t>WET BOILER ASH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</si>
  <si>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</si>
  <si>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</si>
  <si>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</si>
  <si>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</si>
  <si>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</si>
  <si>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</si>
  <si>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</si>
  <si>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</si>
  <si>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</si>
  <si>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</si>
  <si>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</si>
  <si>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</si>
  <si>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</si>
  <si>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</si>
  <si>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</si>
  <si>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</si>
  <si>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</si>
  <si>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</si>
  <si>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</si>
  <si>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</si>
  <si>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</si>
  <si>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</si>
  <si>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</si>
  <si>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</si>
  <si>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</si>
  <si>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</si>
  <si>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</si>
  <si>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</si>
  <si>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</si>
  <si>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</si>
  <si>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</si>
  <si>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</si>
  <si>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</si>
  <si>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</si>
  <si>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</si>
  <si>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</si>
  <si>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</si>
  <si>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</si>
  <si>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</si>
  <si>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</si>
  <si>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</si>
  <si>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</si>
  <si>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</si>
  <si>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</si>
  <si>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</si>
  <si>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</si>
  <si>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</si>
  <si>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</si>
  <si>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</si>
  <si>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</si>
  <si>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</si>
  <si>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</si>
  <si>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</si>
  <si>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</si>
  <si>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</si>
  <si>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</si>
  <si>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</si>
  <si>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</si>
  <si>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</si>
  <si>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</si>
  <si>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</si>
  <si>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</si>
  <si>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</si>
  <si>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</si>
  <si>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</si>
  <si>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</si>
  <si>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</si>
  <si>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</si>
  <si>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</si>
  <si>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</si>
  <si>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</si>
  <si>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</si>
  <si>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</si>
  <si>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</si>
  <si>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</si>
  <si>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</si>
  <si>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</si>
  <si>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</si>
  <si>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</si>
  <si>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</si>
  <si>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</si>
  <si>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</si>
  <si>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</si>
  <si>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</si>
  <si>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</si>
  <si>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</si>
  <si>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</si>
  <si>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</si>
  <si>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</si>
  <si>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</si>
  <si>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</si>
  <si>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</si>
  <si>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</si>
  <si>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</si>
  <si>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</si>
  <si>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</si>
  <si>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</si>
  <si>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</si>
  <si>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</si>
  <si>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</si>
  <si>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</si>
  <si>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</si>
  <si>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</si>
  <si>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</si>
  <si>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</si>
  <si>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</si>
  <si>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</si>
  <si>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</si>
  <si>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</si>
  <si>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</si>
  <si>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</si>
  <si>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</si>
  <si>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</si>
  <si>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</si>
  <si>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</si>
  <si>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</si>
  <si>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</si>
  <si>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</si>
  <si>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</si>
  <si>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</si>
  <si>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</si>
  <si>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</si>
  <si>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</si>
  <si>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</si>
  <si>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</si>
  <si>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</si>
  <si>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</si>
  <si>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</si>
  <si>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</si>
  <si>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</si>
  <si>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</si>
  <si>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</si>
  <si>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</si>
  <si>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</si>
  <si>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</si>
  <si>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</si>
  <si>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</si>
  <si>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</si>
  <si>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</si>
  <si>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</si>
  <si>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</si>
  <si>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</si>
  <si>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</si>
  <si>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</si>
  <si>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</si>
  <si>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</si>
  <si>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</si>
  <si>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</si>
  <si>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</si>
  <si>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</si>
  <si>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</si>
  <si>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</si>
  <si>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</si>
  <si>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</si>
  <si>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</si>
  <si>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</si>
  <si>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</si>
  <si>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</si>
  <si>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</si>
  <si>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</si>
  <si>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</si>
  <si>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</si>
  <si>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</si>
  <si>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</si>
  <si>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</si>
  <si>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</si>
  <si>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</si>
  <si>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</si>
  <si>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</si>
  <si>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</si>
  <si>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</si>
  <si>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</si>
  <si>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</si>
  <si>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</si>
  <si>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</si>
  <si>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</si>
  <si>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</si>
  <si>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</si>
  <si>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</si>
  <si>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</si>
  <si>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</si>
  <si>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</si>
  <si>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</si>
  <si>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</si>
  <si>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</si>
  <si>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</si>
  <si>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</si>
  <si>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</si>
  <si>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</si>
  <si>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</si>
  <si>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</si>
  <si>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</si>
  <si>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</si>
  <si>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</si>
  <si>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</si>
  <si>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</si>
  <si>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</si>
  <si>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</si>
  <si>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</si>
  <si>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</si>
  <si>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</si>
  <si>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</si>
  <si>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</si>
  <si>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</si>
  <si>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</si>
  <si>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</si>
  <si>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</si>
  <si>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</si>
  <si>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</si>
  <si>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</si>
  <si>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</si>
  <si>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</si>
  <si>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</si>
  <si>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</si>
  <si>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</si>
  <si>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</si>
  <si>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</si>
  <si>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</si>
  <si>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</si>
  <si>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</si>
  <si>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</si>
  <si>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</si>
  <si>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</si>
  <si>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</si>
  <si>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</si>
  <si>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</si>
  <si>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</si>
  <si>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</si>
  <si>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</si>
  <si>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</si>
  <si>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</si>
  <si>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</si>
  <si>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</si>
  <si>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</si>
  <si>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</si>
  <si>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</si>
  <si>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</si>
  <si>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</si>
  <si>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</si>
  <si>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</si>
  <si>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</si>
  <si>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</si>
  <si>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</si>
  <si>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</si>
  <si>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</si>
  <si>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</si>
  <si>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</si>
  <si>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</si>
  <si>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</si>
  <si>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</si>
  <si>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</si>
  <si>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</si>
  <si>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</si>
  <si>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</si>
  <si>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</si>
  <si>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</si>
  <si>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</si>
  <si>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</si>
  <si>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</si>
  <si>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</si>
  <si>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</si>
  <si>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</si>
  <si>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</si>
  <si>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</si>
  <si>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</si>
  <si>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</si>
  <si>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</si>
  <si>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</si>
  <si>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</si>
  <si>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</si>
  <si>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</si>
  <si>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</si>
  <si>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</si>
  <si>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</si>
  <si>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</si>
  <si>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</si>
  <si>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</si>
  <si>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</si>
  <si>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</si>
  <si>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</si>
  <si>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</si>
  <si>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</si>
  <si>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</si>
  <si>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</si>
  <si>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</si>
  <si>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</si>
  <si>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</si>
  <si>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</si>
  <si>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</si>
  <si>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</si>
  <si>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</si>
  <si>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</si>
  <si>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</si>
  <si>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</si>
  <si>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</si>
  <si>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</si>
  <si>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</si>
  <si>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</si>
  <si>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</si>
  <si>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</si>
  <si>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</si>
  <si>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</si>
  <si>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</si>
  <si>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</si>
  <si>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</si>
  <si>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</si>
  <si>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</si>
  <si>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</si>
  <si>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</si>
  <si>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</si>
  <si>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</si>
  <si>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</si>
  <si>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</si>
  <si>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</si>
  <si>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</si>
  <si>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</si>
  <si>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</si>
  <si>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</si>
  <si>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</si>
  <si>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</si>
  <si>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</si>
  <si>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</si>
  <si>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</si>
  <si>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</si>
  <si>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</si>
  <si>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</si>
  <si>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</si>
  <si>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</si>
  <si>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</si>
  <si>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</si>
  <si>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</si>
  <si>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</si>
  <si>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</si>
  <si>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</si>
  <si>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</si>
  <si>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</si>
  <si>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</si>
  <si>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</si>
  <si>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</si>
  <si>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</si>
  <si>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</si>
  <si>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</si>
  <si>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</si>
  <si>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</si>
  <si>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</si>
  <si>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</si>
  <si>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</si>
  <si>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</si>
  <si>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</si>
  <si>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</si>
  <si>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</si>
  <si>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</si>
  <si>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</si>
  <si>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</si>
  <si>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</si>
  <si>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</si>
  <si>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</si>
  <si>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</si>
  <si>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</si>
  <si>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</si>
  <si>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</si>
  <si>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</si>
  <si>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</si>
  <si>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</si>
  <si>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</si>
  <si>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</si>
  <si>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</si>
  <si>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</si>
  <si>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</si>
  <si>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</si>
  <si>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</si>
  <si>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</si>
  <si>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</si>
  <si>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</si>
  <si>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</si>
  <si>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</si>
  <si>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</si>
  <si>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</si>
  <si>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</si>
  <si>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</si>
  <si>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</si>
  <si>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</si>
  <si>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</si>
  <si>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</si>
  <si>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</si>
  <si>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</si>
  <si>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</si>
  <si>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</si>
  <si>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</si>
  <si>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</si>
  <si>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</si>
  <si>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</si>
  <si>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</si>
  <si>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</si>
  <si>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</si>
  <si>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</si>
  <si>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</si>
  <si>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</si>
  <si>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</si>
  <si>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</si>
  <si>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</si>
  <si>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</si>
  <si>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</si>
  <si>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</si>
  <si>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</si>
  <si>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</si>
  <si>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</si>
  <si>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</si>
  <si>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</si>
  <si>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</si>
  <si>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</si>
  <si>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</si>
  <si>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</si>
  <si>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</si>
  <si>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</si>
  <si>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</si>
  <si>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</si>
  <si>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</si>
  <si>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</si>
  <si>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</si>
  <si>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</si>
  <si>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</si>
  <si>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</si>
  <si>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</si>
  <si>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</si>
  <si>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</si>
  <si>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</si>
  <si>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</si>
  <si>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</si>
  <si>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</si>
  <si>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</si>
  <si>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</si>
  <si>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</si>
  <si>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</si>
  <si>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</si>
  <si>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</si>
  <si>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</si>
  <si>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</si>
  <si>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</si>
  <si>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</si>
  <si>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</si>
  <si>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</si>
  <si>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</si>
  <si>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</si>
  <si>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</si>
  <si>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</si>
  <si>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</si>
  <si>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</si>
  <si>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</si>
  <si>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</si>
  <si>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</si>
  <si>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</si>
  <si>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</si>
  <si>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</si>
  <si>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</si>
  <si>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</si>
  <si>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</si>
  <si>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</si>
  <si>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</si>
  <si>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</si>
  <si>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</si>
  <si>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</si>
  <si>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</si>
  <si>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</si>
  <si>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</si>
  <si>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</si>
  <si>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</si>
  <si>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</si>
  <si>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</si>
  <si>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</si>
  <si>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</si>
  <si>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</si>
  <si>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</si>
  <si>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</si>
  <si>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</si>
  <si>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</si>
  <si>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</si>
  <si>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</si>
  <si>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</si>
  <si>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</si>
  <si>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</si>
  <si>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</si>
  <si>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</si>
  <si>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</si>
  <si>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</si>
  <si>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</si>
  <si>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</si>
  <si>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</si>
  <si>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</si>
  <si>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</si>
  <si>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</si>
  <si>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</si>
  <si>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</si>
  <si>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</si>
  <si>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</si>
  <si>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</si>
  <si>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</si>
  <si>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</si>
  <si>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</si>
  <si>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</si>
  <si>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</si>
  <si>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</si>
  <si>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</si>
  <si>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</si>
  <si>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</si>
  <si>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</si>
  <si>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</si>
  <si>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</si>
  <si>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</si>
  <si>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</si>
  <si>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</si>
  <si>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</si>
  <si>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</si>
  <si>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</si>
  <si>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</si>
  <si>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</si>
  <si>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</si>
  <si>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</si>
  <si>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</si>
  <si>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</si>
  <si>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</si>
  <si>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</si>
  <si>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</si>
  <si>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</si>
  <si>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</si>
  <si>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</si>
  <si>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</si>
  <si>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</si>
  <si>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</si>
  <si>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</si>
  <si>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</si>
  <si>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</si>
  <si>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</si>
  <si>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</si>
  <si>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</si>
  <si>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</si>
  <si>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</si>
  <si>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</si>
  <si>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</si>
  <si>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</si>
  <si>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</si>
  <si>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</si>
  <si>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</si>
  <si>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</si>
  <si>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</si>
  <si>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</si>
  <si>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</si>
  <si>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</si>
  <si>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</si>
  <si>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</si>
  <si>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</si>
  <si>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</si>
  <si>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</si>
  <si>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</si>
  <si>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</si>
  <si>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</si>
  <si>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</si>
  <si>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</si>
  <si>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</si>
  <si>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</si>
  <si>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</si>
  <si>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</si>
  <si>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</si>
  <si>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</si>
  <si>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</si>
  <si>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</si>
  <si>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</si>
  <si>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</si>
  <si>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</si>
  <si>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</si>
  <si>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</si>
  <si>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</si>
  <si>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</si>
  <si>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</si>
  <si>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</si>
  <si>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</si>
  <si>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</si>
  <si>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</si>
  <si>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</si>
  <si>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</si>
  <si>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</si>
  <si>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</si>
  <si>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</si>
  <si>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</si>
  <si>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</si>
  <si>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</si>
  <si>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</si>
  <si>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</si>
  <si>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</si>
  <si>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</si>
  <si>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</si>
  <si>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</si>
  <si>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</si>
  <si>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</si>
  <si>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</si>
  <si>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</si>
  <si>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</si>
  <si>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</si>
  <si>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</si>
  <si>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</si>
  <si>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</si>
  <si>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</si>
  <si>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</si>
  <si>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</si>
  <si>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</si>
  <si>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</si>
  <si>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</si>
  <si>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</si>
  <si>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</si>
  <si>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</si>
  <si>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</si>
  <si>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</si>
  <si>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</si>
  <si>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</si>
  <si>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</si>
  <si>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</si>
  <si>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</si>
  <si>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</si>
  <si>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</si>
  <si>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</si>
  <si>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</si>
  <si>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</si>
  <si>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</si>
  <si>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</si>
  <si>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</si>
  <si>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</si>
  <si>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</si>
  <si>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</si>
  <si>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</si>
  <si>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</si>
  <si>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</si>
  <si>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</si>
  <si>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</si>
  <si>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</si>
  <si>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</si>
  <si>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</si>
  <si>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</si>
  <si>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</si>
  <si>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</si>
  <si>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</si>
  <si>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</si>
  <si>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</si>
  <si>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</si>
  <si>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</si>
  <si>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</si>
  <si>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</si>
  <si>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</si>
  <si>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</si>
  <si>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</si>
  <si>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</si>
  <si>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</si>
  <si>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</si>
  <si>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</si>
  <si>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IRON BASED SCRAPED ROLLS</t>
  </si>
  <si>
    <t>ASSORTED BILLET (CCP)150*150</t>
  </si>
  <si>
    <t>ASSORTED CC BLOOM 200*280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</si>
  <si>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</si>
  <si>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</si>
  <si>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</si>
  <si>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</si>
  <si>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</si>
  <si>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</si>
  <si>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</si>
  <si>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</si>
  <si>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</si>
  <si>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</si>
  <si>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</si>
  <si>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</si>
  <si>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</si>
  <si>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</si>
  <si>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</si>
  <si>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</si>
  <si>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Russian (Soft)</t>
  </si>
  <si>
    <t>PROCESSED 50-200MM LD SLAG (BOLDER)</t>
  </si>
  <si>
    <t>RUS/S</t>
  </si>
  <si>
    <t>PROCESSED 50-200MM LD SLAG (BOULDER)</t>
  </si>
  <si>
    <t>COPPER CATHODE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</si>
  <si>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</si>
  <si>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</si>
  <si>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</si>
  <si>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</si>
  <si>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</si>
  <si>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</si>
  <si>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</si>
  <si>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</si>
  <si>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</si>
  <si>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</si>
  <si>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</si>
  <si>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</si>
  <si>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</si>
  <si>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</si>
  <si>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</si>
  <si>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</si>
  <si>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</si>
  <si>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</si>
  <si>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</si>
  <si>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</si>
  <si>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</si>
  <si>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</si>
  <si>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</si>
  <si>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</si>
  <si>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</si>
  <si>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</si>
  <si>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</si>
  <si>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</si>
  <si>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</si>
  <si>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</si>
  <si>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</si>
  <si>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</si>
  <si>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</si>
  <si>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</si>
  <si>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</si>
  <si>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</si>
  <si>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</si>
  <si>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</si>
  <si>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</si>
  <si>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</si>
  <si>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</si>
  <si>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</si>
  <si>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</si>
  <si>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</si>
  <si>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</si>
  <si>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</si>
  <si>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</si>
  <si>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</si>
  <si>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</si>
  <si>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</si>
  <si>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</si>
  <si>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</si>
  <si>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</si>
  <si>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</si>
  <si>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</si>
  <si>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</si>
  <si>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</si>
  <si>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</si>
  <si>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</si>
  <si>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</si>
  <si>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</si>
  <si>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</si>
  <si>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</si>
  <si>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</si>
  <si>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</si>
  <si>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</si>
  <si>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</si>
  <si>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</si>
  <si>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</si>
  <si>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</si>
  <si>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</si>
  <si>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</si>
  <si>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</si>
  <si>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</si>
  <si>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</si>
  <si>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</si>
  <si>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</si>
  <si>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</si>
  <si>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</si>
  <si>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</si>
  <si>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</si>
  <si>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</si>
  <si>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</si>
  <si>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</si>
  <si>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</si>
  <si>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</si>
  <si>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</si>
  <si>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</si>
  <si>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</si>
  <si>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</si>
  <si>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</si>
  <si>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</si>
  <si>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</si>
  <si>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OLD/USED &amp; REJECTED TYRES OF MV/EQUIP.</t>
  </si>
  <si>
    <t>USED &amp; REJECTED EMPTY GREASE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</si>
  <si>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</si>
  <si>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</si>
  <si>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</si>
  <si>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</si>
  <si>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</si>
  <si>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</si>
  <si>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</si>
  <si>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</si>
  <si>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</si>
  <si>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</si>
  <si>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</si>
  <si>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</si>
  <si>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</si>
  <si>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</si>
  <si>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</si>
  <si>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</si>
  <si>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</si>
  <si>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</si>
  <si>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</si>
  <si>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</si>
  <si>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</si>
  <si>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</si>
  <si>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</si>
  <si>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</si>
  <si>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</si>
  <si>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</si>
  <si>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</si>
  <si>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</si>
  <si>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</si>
  <si>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</si>
  <si>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</si>
  <si>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</si>
  <si>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</si>
  <si>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</si>
  <si>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</si>
  <si>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</si>
  <si>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</si>
  <si>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</si>
  <si>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</si>
  <si>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</si>
  <si>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200X280</t>
  </si>
  <si>
    <t>SMS Assorted blooms</t>
  </si>
  <si>
    <t>ASSORTED CC BEAM BLANK sale through marketing/IPT</t>
  </si>
  <si>
    <t>JUL'23</t>
  </si>
  <si>
    <t>SAE10B33(VD)</t>
  </si>
  <si>
    <t>CARES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</si>
  <si>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</si>
  <si>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</si>
  <si>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</si>
  <si>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</si>
  <si>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</si>
  <si>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</si>
  <si>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</si>
  <si>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</si>
  <si>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</si>
  <si>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</si>
  <si>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</si>
  <si>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</si>
  <si>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</si>
  <si>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</si>
  <si>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</si>
  <si>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</si>
  <si>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</si>
  <si>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</si>
  <si>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</si>
  <si>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</si>
  <si>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</si>
  <si>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OTHER CONSUMPTION</t>
  </si>
  <si>
    <t>AUG'23</t>
  </si>
  <si>
    <t>Motor Spirit/Benzol</t>
  </si>
  <si>
    <t>DISMANTLED  STAINLESS STEEL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</si>
  <si>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</si>
  <si>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</si>
  <si>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</si>
  <si>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</si>
  <si>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</si>
  <si>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</si>
  <si>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</si>
  <si>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</si>
  <si>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</si>
  <si>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</si>
  <si>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</si>
  <si>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</si>
  <si>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</si>
  <si>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</si>
  <si>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</si>
  <si>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</si>
  <si>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</si>
  <si>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</si>
  <si>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</si>
  <si>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</si>
  <si>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</si>
  <si>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</si>
  <si>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</si>
  <si>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</si>
  <si>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</si>
  <si>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</si>
  <si>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</si>
  <si>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</si>
  <si>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</si>
  <si>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</si>
  <si>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</si>
  <si>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</si>
  <si>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</si>
  <si>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</si>
  <si>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</si>
  <si>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</si>
  <si>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</si>
  <si>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</si>
  <si>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</si>
  <si>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</si>
  <si>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</si>
  <si>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</si>
  <si>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</si>
  <si>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</si>
  <si>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</si>
  <si>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</si>
  <si>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</si>
  <si>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</si>
  <si>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</si>
  <si>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</si>
  <si>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</si>
  <si>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</si>
  <si>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</si>
  <si>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</si>
  <si>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</si>
  <si>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</si>
  <si>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</si>
  <si>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</si>
  <si>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</si>
  <si>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</si>
  <si>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</si>
  <si>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</si>
  <si>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</si>
  <si>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</si>
  <si>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Plant sales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</si>
  <si>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</si>
  <si>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</si>
  <si>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</si>
  <si>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</si>
  <si>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</si>
  <si>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</si>
  <si>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</si>
  <si>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</si>
  <si>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</si>
  <si>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</si>
  <si>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</si>
  <si>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</si>
  <si>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</si>
  <si>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</si>
  <si>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</si>
  <si>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</si>
  <si>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</si>
  <si>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</si>
  <si>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</si>
  <si>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</si>
  <si>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</si>
  <si>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</si>
  <si>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</si>
  <si>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</si>
  <si>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</si>
  <si>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</si>
  <si>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</si>
  <si>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</si>
  <si>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</si>
  <si>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</si>
  <si>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</si>
  <si>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</si>
  <si>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</si>
  <si>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</si>
  <si>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</si>
  <si>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</si>
  <si>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</si>
  <si>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</si>
  <si>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</si>
  <si>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</si>
  <si>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</si>
  <si>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</si>
  <si>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</si>
  <si>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</si>
  <si>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</si>
  <si>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</si>
  <si>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</si>
  <si>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</si>
  <si>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</si>
  <si>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</si>
  <si>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10 M</t>
  </si>
  <si>
    <t>JAN'24</t>
  </si>
  <si>
    <t>SILICO MANGANESE</t>
  </si>
  <si>
    <t>Actual Jan'24</t>
  </si>
  <si>
    <t>FERRO NEOBIUM</t>
  </si>
  <si>
    <t>ROURKELA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</si>
  <si>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</si>
  <si>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</si>
  <si>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</si>
  <si>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</si>
  <si>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</si>
  <si>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</si>
  <si>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</si>
  <si>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</si>
  <si>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</si>
  <si>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</si>
  <si>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</si>
  <si>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</si>
  <si>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</si>
  <si>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</si>
  <si>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</si>
  <si>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</si>
  <si>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</si>
  <si>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</si>
  <si>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</si>
  <si>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</si>
  <si>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</si>
  <si>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</si>
  <si>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</si>
  <si>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</si>
  <si>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</si>
  <si>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</si>
  <si>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</si>
  <si>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</si>
  <si>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</si>
  <si>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(Equiv. Pig Iron @ 65% of HM sent to Sand Pit. (Ref to Fax Msg from ED (O), vide SAIL/OPRNS/ PPMS/33 dt. 05.02.15)</t>
  </si>
  <si>
    <t>ABP 2024-25</t>
  </si>
  <si>
    <t>25.0-25.2</t>
  </si>
  <si>
    <t>FeNi</t>
  </si>
  <si>
    <t>2024-25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</si>
  <si>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</si>
  <si>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</si>
  <si>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</si>
  <si>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</si>
  <si>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</si>
  <si>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</si>
  <si>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</si>
  <si>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</si>
  <si>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</si>
  <si>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SP</t>
  </si>
  <si>
    <t>OHP</t>
  </si>
  <si>
    <t>CHP</t>
  </si>
  <si>
    <t>CO &amp; BPP</t>
  </si>
  <si>
    <t>PCM</t>
  </si>
  <si>
    <t>LRS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</si>
  <si>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</si>
  <si>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</si>
  <si>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</si>
  <si>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</si>
  <si>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</si>
  <si>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</si>
  <si>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</si>
  <si>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</si>
  <si>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</si>
  <si>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</si>
  <si>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</si>
  <si>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</si>
  <si>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</si>
  <si>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</si>
  <si>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</si>
  <si>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</si>
  <si>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</si>
  <si>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</si>
  <si>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</si>
  <si>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</si>
  <si>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</si>
  <si>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</si>
  <si>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</si>
  <si>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</si>
  <si>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</si>
  <si>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</si>
  <si>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</si>
  <si>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</si>
  <si>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</si>
  <si>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</si>
  <si>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</si>
  <si>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</si>
  <si>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</si>
  <si>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</si>
  <si>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</si>
  <si>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</si>
  <si>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</si>
  <si>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</si>
  <si>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</si>
  <si>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</si>
  <si>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</si>
  <si>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</si>
  <si>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</si>
  <si>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</si>
  <si>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</si>
  <si>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</si>
  <si>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</si>
  <si>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</si>
  <si>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</si>
  <si>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</si>
  <si>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</si>
  <si>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</si>
  <si>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</si>
  <si>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</si>
  <si>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</si>
  <si>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</si>
  <si>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</si>
  <si>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</si>
  <si>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</si>
  <si>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</si>
  <si>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</si>
  <si>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</si>
  <si>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</si>
  <si>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</si>
  <si>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</si>
  <si>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</si>
  <si>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</si>
  <si>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</si>
  <si>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</si>
  <si>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</si>
  <si>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</si>
  <si>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</si>
  <si>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</si>
  <si>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</si>
  <si>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</si>
  <si>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</si>
  <si>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</si>
  <si>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</si>
  <si>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</si>
  <si>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</si>
  <si>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</si>
  <si>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</si>
  <si>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</si>
  <si>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</si>
  <si>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</si>
  <si>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</si>
  <si>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</si>
  <si>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</si>
  <si>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</si>
  <si>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</si>
  <si>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</si>
  <si>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</si>
  <si>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</si>
  <si>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10⁶ k.cal/tls</t>
  </si>
  <si>
    <t>10⁶ k.cal/tcs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</si>
  <si>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</si>
  <si>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</si>
  <si>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</si>
  <si>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</si>
  <si>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</si>
  <si>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</si>
  <si>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</si>
  <si>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</si>
  <si>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</si>
  <si>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</si>
  <si>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</si>
  <si>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</si>
  <si>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</si>
  <si>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</si>
  <si>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</si>
  <si>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</si>
  <si>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</si>
  <si>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</si>
  <si>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</si>
  <si>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</si>
  <si>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</si>
  <si>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</si>
  <si>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</si>
  <si>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</si>
  <si>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</si>
  <si>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HC82B CR 12 (LRPC)</t>
  </si>
  <si>
    <t>IPE350</t>
  </si>
  <si>
    <t>Rejected IPE 350</t>
  </si>
  <si>
    <t>FLASH-MIXER DROSS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</si>
  <si>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</si>
  <si>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</si>
  <si>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</si>
  <si>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</si>
  <si>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</si>
  <si>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</si>
  <si>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</si>
  <si>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</si>
  <si>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</si>
  <si>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</si>
  <si>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</si>
  <si>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</si>
  <si>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</si>
  <si>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</si>
  <si>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</si>
  <si>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INDUSTRIAL SAFETY SHOE</t>
  </si>
  <si>
    <t>Actual Aug'24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</si>
  <si>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</si>
  <si>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</si>
  <si>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</si>
  <si>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</si>
  <si>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</si>
  <si>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</si>
  <si>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</si>
  <si>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</si>
  <si>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</si>
  <si>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</si>
  <si>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</si>
  <si>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</si>
  <si>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</si>
  <si>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</si>
  <si>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</si>
  <si>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</si>
  <si>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</si>
  <si>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</si>
  <si>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BLOOM CB C15 MMNC 150*150</t>
  </si>
  <si>
    <t>NPB IS 2062 E250BR 450*190*77.58</t>
  </si>
  <si>
    <t>Actual Oct'24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</si>
  <si>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</si>
  <si>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</si>
  <si>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</si>
  <si>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</si>
  <si>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</si>
  <si>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</si>
  <si>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</si>
  <si>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</si>
  <si>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</si>
  <si>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Qtr-3</t>
  </si>
  <si>
    <t>Q2</t>
  </si>
  <si>
    <t>Q3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</si>
  <si>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</si>
  <si>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</si>
  <si>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</si>
  <si>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</si>
  <si>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</si>
  <si>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</si>
  <si>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</si>
  <si>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</si>
  <si>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</si>
  <si>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</si>
  <si>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</si>
  <si>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</si>
  <si>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</si>
  <si>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</si>
  <si>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</si>
  <si>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</si>
  <si>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</si>
  <si>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</si>
  <si>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</si>
  <si>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</si>
  <si>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</si>
  <si>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</si>
  <si>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</si>
  <si>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</si>
  <si>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</si>
  <si>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</si>
  <si>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</si>
  <si>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</si>
  <si>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SPECIAL  SALEABLE STEEL</t>
  </si>
  <si>
    <t>IS7887 GR 4M</t>
  </si>
  <si>
    <t>Actual Feb'25</t>
  </si>
  <si>
    <t>Billet Gr4M-Sik</t>
  </si>
  <si>
    <t>IS 2062 E350 BO-200/10.2/90.69</t>
  </si>
  <si>
    <t xml:space="preserve">BLOOM CB C20 MMNA CU </t>
  </si>
  <si>
    <t>CFP</t>
  </si>
  <si>
    <t>BEAM BLANK</t>
  </si>
  <si>
    <t>Q4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</si>
  <si>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</si>
  <si>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</si>
  <si>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</si>
  <si>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</si>
  <si>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</si>
  <si>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</si>
  <si>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</si>
  <si>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</si>
  <si>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</si>
  <si>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</si>
  <si>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</si>
  <si>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</si>
  <si>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</si>
  <si>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</si>
  <si>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</si>
  <si>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</si>
  <si>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</si>
  <si>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</si>
  <si>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</si>
  <si>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</si>
  <si>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</si>
  <si>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</si>
  <si>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MMNA CU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</si>
  <si>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</si>
  <si>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</si>
  <si>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</si>
  <si>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</si>
  <si>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</si>
  <si>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BB3 IS: 2062/2011; E250B</t>
  </si>
  <si>
    <t>BLOOM CB C20 MMNC 200*280</t>
  </si>
  <si>
    <t>BLOOM CB C25 HMN 200*280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</si>
  <si>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</si>
  <si>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</si>
  <si>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</si>
  <si>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</si>
  <si>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</si>
  <si>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</si>
  <si>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</si>
  <si>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</si>
  <si>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</si>
  <si>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</si>
  <si>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</si>
  <si>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</si>
  <si>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</si>
  <si>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</si>
  <si>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</si>
  <si>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</si>
  <si>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</si>
  <si>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Area/Unit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</si>
  <si>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</si>
  <si>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</si>
  <si>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</si>
  <si>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</si>
  <si>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</si>
  <si>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</si>
  <si>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</si>
  <si>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</si>
  <si>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</si>
  <si>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</si>
  <si>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</si>
  <si>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</si>
  <si>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MAJOR TECHNO PARAMETERS 2025-2026</t>
  </si>
  <si>
    <t>MAJOR DESPATCH SUMMARY 2025-26 (As per Finance CENVAT report)</t>
  </si>
  <si>
    <t>ICC (AH)</t>
  </si>
  <si>
    <t>Mabu HCC trial (Hard)</t>
  </si>
  <si>
    <t>Moatize Low VM</t>
  </si>
  <si>
    <t>10.5-10.7</t>
  </si>
  <si>
    <t>13.4-14.1</t>
  </si>
  <si>
    <t>85.0-86.5</t>
  </si>
  <si>
    <t>7.5-8.0</t>
  </si>
  <si>
    <t>64.0-65.5</t>
  </si>
  <si>
    <t>22.5-24.0</t>
  </si>
  <si>
    <t>10.0-10.2</t>
  </si>
  <si>
    <t>12.5-13.5</t>
  </si>
  <si>
    <t>89.0-90.5</t>
  </si>
  <si>
    <t>5.5-5.9</t>
  </si>
  <si>
    <t>67.0-68.4</t>
  </si>
  <si>
    <t>21.0-22.5</t>
  </si>
  <si>
    <t>&lt;=2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</si>
  <si>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</si>
  <si>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</si>
  <si>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</si>
  <si>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</si>
  <si>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</si>
  <si>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</si>
  <si>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</si>
  <si>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</si>
  <si>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</si>
  <si>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</si>
  <si>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</si>
  <si>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</si>
  <si>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</si>
  <si>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</si>
  <si>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</si>
  <si>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TOTAL Aux Steam with process steam through 22 ata PRDS</t>
  </si>
  <si>
    <t>Total Shutdown Actual</t>
  </si>
  <si>
    <t>Conversion</t>
  </si>
  <si>
    <t>May'25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</si>
  <si>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</si>
  <si>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</si>
  <si>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</si>
  <si>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</si>
  <si>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</si>
  <si>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</si>
  <si>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</si>
  <si>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</si>
  <si>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</si>
  <si>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</si>
  <si>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</si>
  <si>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</si>
  <si>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</si>
  <si>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</si>
  <si>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</si>
  <si>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</si>
  <si>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</si>
  <si>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</si>
  <si>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</si>
  <si>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</si>
  <si>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</si>
  <si>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</si>
  <si>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</si>
  <si>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</si>
  <si>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</si>
  <si>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</si>
  <si>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</si>
  <si>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</si>
  <si>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</si>
  <si>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</si>
  <si>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</si>
  <si>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</si>
  <si>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</si>
  <si>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</si>
  <si>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</si>
  <si>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</si>
  <si>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</si>
  <si>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</si>
  <si>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</si>
  <si>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</si>
  <si>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</si>
  <si>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</si>
  <si>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</si>
  <si>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</si>
  <si>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</si>
  <si>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</si>
  <si>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</si>
  <si>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</si>
  <si>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</si>
  <si>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</si>
  <si>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</si>
  <si>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</si>
  <si>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</si>
  <si>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</si>
  <si>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</si>
  <si>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</si>
  <si>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</si>
  <si>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</si>
  <si>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</si>
  <si>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</si>
  <si>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</si>
  <si>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</si>
  <si>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</si>
  <si>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</si>
  <si>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</si>
  <si>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</si>
  <si>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</si>
  <si>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</si>
  <si>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</si>
  <si>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</si>
  <si>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</si>
  <si>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</si>
  <si>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</si>
  <si>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</si>
  <si>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</si>
  <si>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</si>
  <si>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</si>
  <si>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</si>
  <si>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</si>
  <si>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</si>
  <si>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</si>
  <si>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</si>
  <si>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</si>
  <si>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</si>
  <si>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</si>
  <si>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</si>
  <si>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</si>
  <si>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</si>
  <si>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</si>
  <si>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</si>
  <si>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</si>
  <si>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</si>
  <si>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</si>
  <si>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</si>
  <si>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</si>
  <si>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</si>
  <si>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</si>
  <si>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</si>
  <si>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</si>
  <si>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</si>
  <si>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</si>
  <si>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</si>
  <si>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</si>
  <si>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</si>
  <si>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</si>
  <si>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</si>
  <si>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</si>
  <si>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</si>
  <si>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</si>
  <si>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</si>
  <si>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</si>
  <si>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</si>
  <si>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</si>
  <si>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</si>
  <si>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</si>
  <si>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</si>
  <si>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</si>
  <si>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</si>
  <si>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</si>
  <si>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</si>
  <si>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</si>
  <si>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</si>
  <si>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</si>
  <si>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</si>
  <si>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</si>
  <si>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</si>
  <si>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</si>
  <si>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</si>
  <si>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</si>
  <si>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</si>
  <si>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</si>
  <si>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</si>
  <si>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</si>
  <si>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</si>
  <si>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</si>
  <si>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</si>
  <si>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</si>
  <si>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</si>
  <si>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</si>
  <si>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</si>
  <si>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</si>
  <si>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</si>
  <si>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</si>
  <si>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</si>
  <si>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</si>
  <si>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</si>
  <si>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</si>
  <si>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</si>
  <si>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</si>
  <si>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</si>
  <si>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</si>
  <si>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</si>
  <si>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</si>
  <si>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</si>
  <si>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</si>
  <si>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</si>
  <si>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</si>
  <si>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</si>
  <si>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</si>
  <si>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</si>
  <si>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</si>
  <si>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</si>
  <si>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</si>
  <si>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</si>
  <si>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</si>
  <si>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</si>
  <si>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</si>
  <si>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</si>
  <si>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</si>
  <si>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</si>
  <si>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</si>
  <si>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</si>
  <si>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</si>
  <si>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</si>
  <si>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</si>
  <si>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</si>
  <si>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</si>
  <si>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</si>
  <si>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</si>
  <si>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</si>
  <si>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</si>
  <si>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</si>
  <si>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</si>
  <si>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</si>
  <si>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</si>
  <si>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</si>
  <si>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</si>
  <si>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</si>
  <si>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</si>
  <si>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</si>
  <si>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</si>
  <si>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</si>
  <si>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</si>
  <si>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</si>
  <si>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</si>
  <si>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</si>
  <si>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</si>
  <si>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</si>
  <si>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</si>
  <si>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</si>
  <si>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</si>
  <si>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</si>
  <si>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</si>
  <si>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</si>
  <si>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</si>
  <si>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</si>
  <si>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</si>
  <si>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</si>
  <si>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</si>
  <si>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</si>
  <si>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</si>
  <si>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</si>
  <si>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</si>
  <si>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</si>
  <si>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</si>
  <si>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</si>
  <si>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</si>
  <si>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</si>
  <si>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</si>
  <si>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</si>
  <si>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</si>
  <si>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</si>
  <si>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</si>
  <si>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</si>
  <si>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</si>
  <si>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</si>
  <si>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</si>
  <si>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</si>
  <si>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TI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</si>
  <si>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</si>
  <si>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</si>
  <si>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</si>
  <si>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</si>
  <si>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</si>
  <si>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</si>
  <si>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</si>
  <si>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</si>
  <si>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</si>
  <si>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</si>
  <si>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</si>
  <si>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</si>
  <si>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</si>
  <si>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</si>
  <si>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</si>
  <si>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</si>
  <si>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</si>
  <si>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</si>
  <si>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</si>
  <si>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</si>
  <si>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</si>
  <si>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</si>
  <si>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</si>
  <si>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</si>
  <si>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</si>
  <si>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</si>
  <si>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</si>
  <si>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</si>
  <si>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</si>
  <si>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</si>
  <si>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</si>
  <si>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</si>
  <si>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</si>
  <si>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</si>
  <si>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</si>
  <si>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</si>
  <si>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</si>
  <si>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</si>
  <si>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</si>
  <si>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</si>
  <si>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</si>
  <si>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</si>
  <si>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</si>
  <si>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</si>
  <si>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</si>
  <si>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</si>
  <si>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</si>
  <si>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</si>
  <si>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</si>
  <si>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</si>
  <si>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</si>
  <si>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</si>
  <si>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</si>
  <si>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</si>
  <si>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</si>
  <si>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</si>
  <si>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</si>
  <si>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</si>
  <si>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</si>
  <si>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</si>
  <si>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</si>
  <si>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</si>
  <si>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</si>
  <si>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</si>
  <si>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</si>
  <si>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</si>
  <si>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</si>
  <si>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</si>
  <si>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</si>
  <si>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</si>
  <si>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</si>
  <si>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</si>
  <si>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</si>
  <si>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</si>
  <si>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</si>
  <si>
    <t>Mar'26</t>
  </si>
  <si>
    <t>.</t>
  </si>
  <si>
    <t>OLD, USED &amp; REJECTED MOTORS</t>
  </si>
  <si>
    <t>BLOOM CB 45 C8 (ROLLING) 200*280 (VISL)</t>
  </si>
  <si>
    <t>BLOOM CB 45C8 ALK(VD) 200*280 (VISL)</t>
  </si>
  <si>
    <t xml:space="preserve"> PIG IRON MIXED OG</t>
  </si>
  <si>
    <t>USED &amp; REJECTED MILD STEEL SCRAP (ASP)</t>
  </si>
  <si>
    <t>CONTACTOR,AUX,110V</t>
  </si>
  <si>
    <t>UNDEFINED_SPR</t>
  </si>
  <si>
    <t>Diverted Small Sinter (Joraburi)</t>
  </si>
  <si>
    <t>IS 2062 E350 BR-190/ 9.4/77.57</t>
  </si>
  <si>
    <t>125 X 125 BILLET</t>
  </si>
  <si>
    <t xml:space="preserve">Plant sales- ASSORTED BILLETS 
</t>
  </si>
  <si>
    <t>125*125</t>
  </si>
  <si>
    <t>5.5 WRC HC78B</t>
  </si>
  <si>
    <t>5.5 WRC HC82B</t>
  </si>
  <si>
    <t>SAE 1018 / GR 7M</t>
  </si>
  <si>
    <t>Actual Mar'26</t>
  </si>
  <si>
    <t>ASSORTED BILLET (CCP)125*125- Road</t>
  </si>
  <si>
    <t>TOTAL ISP DIRECT SALES  (except asorted semis)</t>
  </si>
  <si>
    <t>Indigenous</t>
  </si>
  <si>
    <t>Average Production/Day</t>
  </si>
  <si>
    <t>value added Steel Production</t>
  </si>
  <si>
    <t>Rail</t>
  </si>
  <si>
    <t>Road</t>
  </si>
  <si>
    <t>WR COIL IS 2062 E250A 6</t>
  </si>
  <si>
    <t>WR COIL IS 2062 E250A 7</t>
  </si>
  <si>
    <t>BSL</t>
  </si>
  <si>
    <t>WR COIL IS 2062 E250A 12  (BSL)</t>
  </si>
  <si>
    <t>WR COIL IS 2062 E250A 16  (BSL)</t>
  </si>
  <si>
    <t>WR COIL IS 2062 E250A 20  (ASP)</t>
  </si>
  <si>
    <t>WR COIL IS 2062 E250A 5.5  (ASP)</t>
  </si>
  <si>
    <t>Assorted Beam Blank</t>
  </si>
  <si>
    <t>Direct/Plant Sales via IPT</t>
  </si>
  <si>
    <t>Direct/Plant Sales to others</t>
  </si>
  <si>
    <t>IPT Prime</t>
  </si>
  <si>
    <t>Bloom 200x280 Prime</t>
  </si>
  <si>
    <t>Estimation of Coal to Hot Metal Ratio at ------ During 2025-26</t>
  </si>
  <si>
    <t>Item</t>
  </si>
  <si>
    <t>Coking Coal</t>
  </si>
  <si>
    <t>Op. Stock (Tonnes)</t>
  </si>
  <si>
    <t>Receipt # in Tonnes on RR basis</t>
  </si>
  <si>
    <t>Closing Stock (Tonnes)</t>
  </si>
  <si>
    <t>Estimated Consumption(Tonnes)</t>
  </si>
  <si>
    <t>CDI Coal</t>
  </si>
  <si>
    <t>Receipt/Despatch (-) in Tonnes on RR basis ( dispatches to be entered with a negative sign)</t>
  </si>
  <si>
    <t>Estimated Consumption (Tonnes)</t>
  </si>
  <si>
    <t>Moisture in BF Coke (%)</t>
  </si>
  <si>
    <t>Estimated Consumption of Dry BF Coke  from stock (Tonnes)</t>
  </si>
  <si>
    <t>BF Coke Yield(%)</t>
  </si>
  <si>
    <t>Quantity of Dry Coking Coal equivalent to BF Coke Consumption from stock(Tonnes)</t>
  </si>
  <si>
    <t>Moisture in Coking Coal (%)</t>
  </si>
  <si>
    <t>Transit &amp; Handling Loss of Coking Coal (%)</t>
  </si>
  <si>
    <t>Quantity of Dispatch Basis Wet Coking Coal equivalent to BF Coke Consumption from stock (Tonnes)</t>
  </si>
  <si>
    <t>Total Estimated Met Coal Consumption (Tonnes)</t>
  </si>
  <si>
    <t>Hot Metal Production (Tonnes)</t>
  </si>
  <si>
    <t>Estimated Coal to HM Ratio</t>
  </si>
  <si>
    <t>SHOP/MONTH</t>
  </si>
  <si>
    <t>Apr'26</t>
  </si>
  <si>
    <t>2026-27 ABP</t>
  </si>
  <si>
    <t>2026-27 
Norm</t>
  </si>
  <si>
    <t>ABP 2026-27</t>
  </si>
  <si>
    <t>MAJOR TECHNO PARAMETERS 2026-27</t>
  </si>
  <si>
    <t>Mill+SMS Scale</t>
  </si>
  <si>
    <t>859 Kg/THM</t>
  </si>
  <si>
    <t>MZ Hard Benga</t>
  </si>
  <si>
    <t>&lt;3.3%</t>
  </si>
  <si>
    <t>24.8-25.2</t>
  </si>
  <si>
    <t>&lt;=0.50</t>
  </si>
  <si>
    <t>10.0-10.5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</si>
  <si>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2835 Heats till 31.03.2026.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</si>
  <si>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5275 Heats till 31.03.2026.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</si>
  <si>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16713 Heats till 31.03.26.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</si>
  <si>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3177 Heats till 30.04.2026.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</si>
  <si>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5834 Heats till 30.04.2026.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</si>
  <si>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17234 Heats till 30.04.26.</t>
  </si>
  <si>
    <t>FERRO NIOBIUM</t>
  </si>
  <si>
    <t>IS 2062 E350 B0-180/7/57.38</t>
  </si>
  <si>
    <t>BLOOM CB C20 MMNC 150*150</t>
  </si>
  <si>
    <t>BLOOM CB C25 HMN MA V65 150*150</t>
  </si>
  <si>
    <t>CONCAST BILLET  150 X 150 ISPEXPT-1</t>
  </si>
  <si>
    <t>APR'26</t>
  </si>
  <si>
    <t>Power Import from DVC &amp; IPCL (Old Plant)</t>
  </si>
  <si>
    <t>BOF (21ata PRDS)</t>
  </si>
  <si>
    <t xml:space="preserve">DEA.TUR.AUX </t>
  </si>
  <si>
    <t>CDCP (AUX) + ESP Boiler</t>
  </si>
  <si>
    <t xml:space="preserve">LOSS </t>
  </si>
  <si>
    <t>TRIAL PCI</t>
  </si>
  <si>
    <t>April'26</t>
  </si>
  <si>
    <t>s</t>
  </si>
  <si>
    <t>ABP 2025-26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</si>
  <si>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</si>
  <si>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</si>
  <si>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</si>
  <si>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</si>
  <si>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</si>
  <si>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</si>
  <si>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</si>
  <si>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</si>
  <si>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</si>
  <si>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</si>
  <si>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</si>
  <si>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</si>
  <si>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Total Specific Refractory Consumption (KG/TCS)</t>
  </si>
  <si>
    <t>Actual 2025-26</t>
  </si>
  <si>
    <t>Actual April'26</t>
  </si>
  <si>
    <t>FY2026-27</t>
  </si>
  <si>
    <r>
      <t>SHOPWISE MAKE-UP WATER CONSUMPTION OF ISP FOR FY 2026-27 (M</t>
    </r>
    <r>
      <rPr>
        <b/>
        <u/>
        <vertAlign val="superscript"/>
        <sz val="16"/>
        <color rgb="FF000000"/>
        <rFont val="Calibri"/>
        <family val="2"/>
      </rPr>
      <t>3</t>
    </r>
    <r>
      <rPr>
        <b/>
        <u/>
        <sz val="16"/>
        <color rgb="FF000000"/>
        <rFont val="Calibri"/>
        <family val="2"/>
      </rPr>
      <t>)</t>
    </r>
  </si>
  <si>
    <t>2026-27</t>
  </si>
  <si>
    <t>Check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</si>
</sst>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  <numFmt numFmtId="181" formatCode="0.0000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b/>
      <u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u/>
      <vertAlign val="superscript"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8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8FFFFF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theme="3" tint="0.79998168889431442"/>
        <bgColor indexed="64"/>
      </patternFill>
    </fill>
  </fills>
  <borders count="20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1" fillId="29" borderId="94" applyNumberFormat="0" applyAlignment="0" applyProtection="0"/>
    <xf numFmtId="0" fontId="61" fillId="29" borderId="94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5" fillId="0" borderId="96" applyNumberFormat="0" applyFill="0" applyAlignment="0" applyProtection="0"/>
    <xf numFmtId="0" fontId="66" fillId="0" borderId="97" applyNumberFormat="0" applyFill="0" applyAlignment="0" applyProtection="0"/>
    <xf numFmtId="0" fontId="66" fillId="0" borderId="97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3" applyNumberFormat="0" applyAlignment="0" applyProtection="0"/>
    <xf numFmtId="0" fontId="68" fillId="15" borderId="93" applyNumberFormat="0" applyAlignment="0" applyProtection="0"/>
    <xf numFmtId="0" fontId="69" fillId="0" borderId="98" applyNumberFormat="0" applyFill="0" applyAlignment="0" applyProtection="0"/>
    <xf numFmtId="0" fontId="69" fillId="0" borderId="98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65" fillId="0" borderId="103" applyNumberFormat="0" applyFill="0" applyAlignment="0" applyProtection="0"/>
    <xf numFmtId="0" fontId="65" fillId="0" borderId="103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3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65" fillId="0" borderId="105" applyNumberFormat="0" applyFill="0" applyAlignment="0" applyProtection="0"/>
    <xf numFmtId="0" fontId="65" fillId="0" borderId="105" applyNumberFormat="0" applyFill="0" applyAlignment="0" applyProtection="0"/>
    <xf numFmtId="168" fontId="1" fillId="0" borderId="0" applyBorder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65" fillId="0" borderId="105" applyNumberFormat="0" applyFill="0" applyAlignment="0" applyProtection="0"/>
    <xf numFmtId="0" fontId="65" fillId="0" borderId="105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54" fillId="0" borderId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3" applyNumberFormat="0" applyAlignment="0" applyProtection="0"/>
    <xf numFmtId="0" fontId="97" fillId="41" borderId="93" applyNumberForma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79" fillId="0" borderId="0"/>
    <xf numFmtId="0" fontId="191" fillId="0" borderId="0"/>
    <xf numFmtId="0" fontId="192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1" fillId="77" borderId="94" applyNumberFormat="0" applyAlignment="0" applyProtection="0"/>
    <xf numFmtId="0" fontId="61" fillId="77" borderId="94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39" applyNumberFormat="0" applyAlignment="0" applyProtection="0"/>
    <xf numFmtId="0" fontId="97" fillId="41" borderId="139" applyNumberFormat="0" applyAlignment="0" applyProtection="0"/>
    <xf numFmtId="0" fontId="97" fillId="41" borderId="139" applyNumberForma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81" fillId="0" borderId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</cellStyleXfs>
  <cellXfs count="8437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1" xfId="0" applyNumberFormat="1" applyFont="1" applyFill="1" applyBorder="1" applyAlignment="1">
      <alignment horizontal="center" vertical="center"/>
    </xf>
    <xf numFmtId="167" fontId="4" fillId="7" borderId="81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1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1" xfId="0" applyNumberFormat="1" applyFont="1" applyFill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167" fontId="20" fillId="0" borderId="50" xfId="0" applyNumberFormat="1" applyFont="1" applyBorder="1" applyAlignment="1">
      <alignment horizontal="center" vertical="center"/>
    </xf>
    <xf numFmtId="1" fontId="18" fillId="5" borderId="91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0" xfId="0" applyFont="1" applyFill="1" applyBorder="1" applyAlignment="1">
      <alignment horizontal="center" vertical="center"/>
    </xf>
    <xf numFmtId="0" fontId="20" fillId="7" borderId="81" xfId="0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18" fillId="7" borderId="91" xfId="0" applyNumberFormat="1" applyFont="1" applyFill="1" applyBorder="1" applyAlignment="1">
      <alignment horizontal="center" vertical="center"/>
    </xf>
    <xf numFmtId="1" fontId="18" fillId="7" borderId="92" xfId="0" applyNumberFormat="1" applyFont="1" applyFill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1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2" xfId="0" applyNumberFormat="1" applyFont="1" applyFill="1" applyBorder="1" applyAlignment="1">
      <alignment horizontal="center" vertical="center"/>
    </xf>
    <xf numFmtId="1" fontId="18" fillId="5" borderId="80" xfId="0" applyNumberFormat="1" applyFont="1" applyFill="1" applyBorder="1" applyAlignment="1">
      <alignment horizontal="center" vertical="center"/>
    </xf>
    <xf numFmtId="0" fontId="20" fillId="5" borderId="81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4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2" xfId="0" applyFont="1" applyBorder="1" applyAlignment="1">
      <alignment horizontal="center" vertical="center"/>
    </xf>
    <xf numFmtId="0" fontId="13" fillId="0" borderId="63" xfId="0" applyFont="1" applyBorder="1"/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0" xfId="0" applyFont="1" applyFill="1" applyBorder="1" applyAlignment="1">
      <alignment horizontal="center" vertical="center"/>
    </xf>
    <xf numFmtId="1" fontId="20" fillId="6" borderId="81" xfId="0" applyNumberFormat="1" applyFont="1" applyFill="1" applyBorder="1" applyAlignment="1">
      <alignment horizontal="center" vertical="center"/>
    </xf>
    <xf numFmtId="1" fontId="18" fillId="6" borderId="91" xfId="0" applyNumberFormat="1" applyFont="1" applyFill="1" applyBorder="1" applyAlignment="1">
      <alignment horizontal="center" vertical="center"/>
    </xf>
    <xf numFmtId="167" fontId="20" fillId="6" borderId="81" xfId="0" applyNumberFormat="1" applyFont="1" applyFill="1" applyBorder="1" applyAlignment="1">
      <alignment horizontal="center" vertical="center"/>
    </xf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0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1" xfId="0" applyNumberFormat="1" applyFont="1" applyFill="1" applyBorder="1" applyAlignment="1">
      <alignment horizontal="center" vertical="center"/>
    </xf>
    <xf numFmtId="167" fontId="4" fillId="6" borderId="81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2" fontId="20" fillId="7" borderId="82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08" xfId="0" applyNumberFormat="1" applyFont="1" applyFill="1" applyBorder="1" applyAlignment="1">
      <alignment horizontal="center" vertical="center"/>
    </xf>
    <xf numFmtId="167" fontId="4" fillId="5" borderId="108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5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4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4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79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2" xfId="0" applyNumberFormat="1" applyFont="1" applyBorder="1" applyAlignment="1">
      <alignment horizontal="center" vertical="center"/>
    </xf>
    <xf numFmtId="1" fontId="18" fillId="7" borderId="79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0" xfId="0" applyFont="1" applyFill="1" applyBorder="1" applyAlignment="1">
      <alignment horizontal="center" vertical="center"/>
    </xf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2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2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4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79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2" xfId="0" applyNumberFormat="1" applyFont="1" applyBorder="1" applyAlignment="1">
      <alignment horizontal="center" vertical="center"/>
    </xf>
    <xf numFmtId="167" fontId="14" fillId="0" borderId="84" xfId="0" applyNumberFormat="1" applyFont="1" applyBorder="1" applyAlignment="1">
      <alignment horizontal="center" vertical="center"/>
    </xf>
    <xf numFmtId="167" fontId="14" fillId="7" borderId="84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79" xfId="0" applyFont="1" applyFill="1" applyBorder="1" applyAlignment="1">
      <alignment horizontal="center" vertical="center"/>
    </xf>
    <xf numFmtId="1" fontId="21" fillId="8" borderId="82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89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2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79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79" xfId="0" applyFont="1" applyFill="1" applyBorder="1" applyAlignment="1">
      <alignment horizontal="center" vertical="center"/>
    </xf>
    <xf numFmtId="1" fontId="8" fillId="8" borderId="82" xfId="0" applyNumberFormat="1" applyFont="1" applyFill="1" applyBorder="1" applyAlignment="1">
      <alignment horizontal="center" vertical="center"/>
    </xf>
    <xf numFmtId="1" fontId="18" fillId="8" borderId="82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0" xfId="0" applyNumberFormat="1" applyFont="1" applyBorder="1" applyAlignment="1">
      <alignment horizontal="center" vertical="center"/>
    </xf>
    <xf numFmtId="1" fontId="20" fillId="7" borderId="110" xfId="0" applyNumberFormat="1" applyFont="1" applyFill="1" applyBorder="1" applyAlignment="1">
      <alignment vertical="center"/>
    </xf>
    <xf numFmtId="1" fontId="20" fillId="7" borderId="110" xfId="0" applyNumberFormat="1" applyFont="1" applyFill="1" applyBorder="1" applyAlignment="1">
      <alignment horizontal="center" vertical="center"/>
    </xf>
    <xf numFmtId="1" fontId="20" fillId="5" borderId="110" xfId="0" applyNumberFormat="1" applyFont="1" applyFill="1" applyBorder="1" applyAlignment="1">
      <alignment vertical="center"/>
    </xf>
    <xf numFmtId="1" fontId="20" fillId="5" borderId="110" xfId="0" applyNumberFormat="1" applyFont="1" applyFill="1" applyBorder="1" applyAlignment="1">
      <alignment horizontal="center" vertical="center"/>
    </xf>
    <xf numFmtId="1" fontId="19" fillId="5" borderId="110" xfId="0" applyNumberFormat="1" applyFont="1" applyFill="1" applyBorder="1" applyAlignment="1">
      <alignment horizontal="center" vertical="center"/>
    </xf>
    <xf numFmtId="1" fontId="20" fillId="8" borderId="110" xfId="0" applyNumberFormat="1" applyFont="1" applyFill="1" applyBorder="1" applyAlignment="1">
      <alignment horizontal="center" vertical="center"/>
    </xf>
    <xf numFmtId="1" fontId="20" fillId="44" borderId="110" xfId="0" applyNumberFormat="1" applyFont="1" applyFill="1" applyBorder="1" applyAlignment="1">
      <alignment vertical="center"/>
    </xf>
    <xf numFmtId="0" fontId="0" fillId="0" borderId="0" xfId="0"/>
    <xf numFmtId="0" fontId="7" fillId="0" borderId="110" xfId="0" applyFont="1" applyBorder="1" applyAlignment="1">
      <alignment horizontal="left" vertical="center"/>
    </xf>
    <xf numFmtId="0" fontId="7" fillId="0" borderId="110" xfId="0" applyFont="1" applyBorder="1" applyAlignment="1">
      <alignment horizontal="center" vertical="center"/>
    </xf>
    <xf numFmtId="0" fontId="7" fillId="7" borderId="110" xfId="0" applyFont="1" applyFill="1" applyBorder="1" applyAlignment="1">
      <alignment horizontal="center" vertical="center"/>
    </xf>
    <xf numFmtId="0" fontId="7" fillId="5" borderId="110" xfId="0" applyFont="1" applyFill="1" applyBorder="1" applyAlignment="1">
      <alignment horizontal="center" vertical="center"/>
    </xf>
    <xf numFmtId="0" fontId="0" fillId="0" borderId="110" xfId="0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0" xfId="0" applyFont="1" applyBorder="1" applyAlignment="1">
      <alignment horizontal="right" vertical="center"/>
    </xf>
    <xf numFmtId="0" fontId="20" fillId="0" borderId="110" xfId="0" applyFont="1" applyBorder="1" applyAlignment="1">
      <alignment horizontal="center" vertical="center"/>
    </xf>
    <xf numFmtId="1" fontId="19" fillId="0" borderId="110" xfId="0" applyNumberFormat="1" applyFont="1" applyBorder="1" applyAlignment="1">
      <alignment horizontal="center" vertical="center"/>
    </xf>
    <xf numFmtId="1" fontId="20" fillId="50" borderId="110" xfId="0" applyNumberFormat="1" applyFont="1" applyFill="1" applyBorder="1" applyAlignment="1">
      <alignment horizontal="center" vertical="center"/>
    </xf>
    <xf numFmtId="1" fontId="18" fillId="0" borderId="110" xfId="0" applyNumberFormat="1" applyFont="1" applyBorder="1" applyAlignment="1">
      <alignment horizontal="center" vertical="center"/>
    </xf>
    <xf numFmtId="1" fontId="113" fillId="5" borderId="110" xfId="0" applyNumberFormat="1" applyFont="1" applyFill="1" applyBorder="1" applyAlignment="1">
      <alignment horizontal="center" vertical="center"/>
    </xf>
    <xf numFmtId="1" fontId="20" fillId="6" borderId="110" xfId="0" applyNumberFormat="1" applyFont="1" applyFill="1" applyBorder="1" applyAlignment="1">
      <alignment horizontal="center" vertical="center"/>
    </xf>
    <xf numFmtId="1" fontId="19" fillId="50" borderId="110" xfId="0" applyNumberFormat="1" applyFont="1" applyFill="1" applyBorder="1" applyAlignment="1">
      <alignment horizontal="center" vertical="center"/>
    </xf>
    <xf numFmtId="1" fontId="19" fillId="7" borderId="110" xfId="0" applyNumberFormat="1" applyFont="1" applyFill="1" applyBorder="1" applyAlignment="1">
      <alignment horizontal="center" vertical="center"/>
    </xf>
    <xf numFmtId="1" fontId="112" fillId="5" borderId="110" xfId="0" applyNumberFormat="1" applyFont="1" applyFill="1" applyBorder="1" applyAlignment="1">
      <alignment horizontal="center" vertical="center"/>
    </xf>
    <xf numFmtId="1" fontId="19" fillId="8" borderId="110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0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0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2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0" fillId="8" borderId="112" xfId="0" applyFont="1" applyFill="1" applyBorder="1" applyAlignment="1">
      <alignment horizontal="left" vertical="center"/>
    </xf>
    <xf numFmtId="0" fontId="19" fillId="0" borderId="112" xfId="0" applyFont="1" applyBorder="1" applyAlignment="1">
      <alignment horizontal="center" vertical="center"/>
    </xf>
    <xf numFmtId="0" fontId="18" fillId="8" borderId="111" xfId="0" applyFont="1" applyFill="1" applyBorder="1" applyAlignment="1">
      <alignment vertical="center"/>
    </xf>
    <xf numFmtId="1" fontId="20" fillId="0" borderId="111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19" fillId="5" borderId="111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1" fontId="17" fillId="0" borderId="111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1" xfId="0" applyFont="1" applyBorder="1" applyAlignment="1">
      <alignment horizontal="center" vertical="center"/>
    </xf>
    <xf numFmtId="1" fontId="18" fillId="0" borderId="111" xfId="0" applyNumberFormat="1" applyFont="1" applyBorder="1" applyAlignment="1">
      <alignment horizontal="center" vertical="center"/>
    </xf>
    <xf numFmtId="1" fontId="4" fillId="8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1" fontId="18" fillId="6" borderId="111" xfId="0" applyNumberFormat="1" applyFont="1" applyFill="1" applyBorder="1" applyAlignment="1">
      <alignment horizontal="center" vertical="center"/>
    </xf>
    <xf numFmtId="0" fontId="19" fillId="8" borderId="84" xfId="0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1" xfId="0" applyNumberFormat="1" applyFont="1" applyFill="1" applyBorder="1" applyAlignment="1">
      <alignment horizontal="center" vertical="center"/>
    </xf>
    <xf numFmtId="1" fontId="18" fillId="50" borderId="111" xfId="0" applyNumberFormat="1" applyFont="1" applyFill="1" applyBorder="1" applyAlignment="1">
      <alignment horizontal="center" vertical="center"/>
    </xf>
    <xf numFmtId="1" fontId="113" fillId="5" borderId="111" xfId="0" applyNumberFormat="1" applyFont="1" applyFill="1" applyBorder="1" applyAlignment="1">
      <alignment horizontal="center" vertical="center"/>
    </xf>
    <xf numFmtId="1" fontId="19" fillId="0" borderId="111" xfId="0" applyNumberFormat="1" applyFont="1" applyBorder="1" applyAlignment="1">
      <alignment horizontal="center" vertical="center"/>
    </xf>
    <xf numFmtId="1" fontId="19" fillId="50" borderId="111" xfId="0" applyNumberFormat="1" applyFont="1" applyFill="1" applyBorder="1" applyAlignment="1">
      <alignment horizontal="center" vertical="center"/>
    </xf>
    <xf numFmtId="1" fontId="112" fillId="5" borderId="111" xfId="0" applyNumberFormat="1" applyFont="1" applyFill="1" applyBorder="1" applyAlignment="1">
      <alignment horizontal="center" vertical="center"/>
    </xf>
    <xf numFmtId="1" fontId="20" fillId="48" borderId="111" xfId="0" applyNumberFormat="1" applyFont="1" applyFill="1" applyBorder="1" applyAlignment="1">
      <alignment horizontal="center" vertical="center"/>
    </xf>
    <xf numFmtId="1" fontId="112" fillId="48" borderId="111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2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1" xfId="0" applyNumberFormat="1" applyFont="1" applyFill="1" applyBorder="1" applyAlignment="1">
      <alignment horizontal="center" vertical="center"/>
    </xf>
    <xf numFmtId="0" fontId="19" fillId="8" borderId="111" xfId="0" applyFont="1" applyFill="1" applyBorder="1" applyAlignment="1">
      <alignment vertical="center"/>
    </xf>
    <xf numFmtId="1" fontId="36" fillId="8" borderId="111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2" xfId="186" applyNumberFormat="1" applyFont="1" applyBorder="1" applyAlignment="1">
      <alignment horizontal="center" vertical="center"/>
    </xf>
    <xf numFmtId="1" fontId="79" fillId="0" borderId="111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1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2" xfId="186" applyNumberFormat="1" applyFont="1" applyFill="1" applyBorder="1" applyAlignment="1">
      <alignment horizontal="center" vertical="center"/>
    </xf>
    <xf numFmtId="1" fontId="78" fillId="6" borderId="111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1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1" xfId="0" applyFont="1" applyFill="1" applyBorder="1" applyAlignment="1">
      <alignment horizont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1" xfId="0" applyNumberFormat="1" applyFont="1" applyFill="1" applyBorder="1" applyAlignment="1">
      <alignment horizontal="center" vertical="center"/>
    </xf>
    <xf numFmtId="2" fontId="19" fillId="7" borderId="111" xfId="0" applyNumberFormat="1" applyFont="1" applyFill="1" applyBorder="1" applyAlignment="1">
      <alignment horizontal="center" vertical="center"/>
    </xf>
    <xf numFmtId="2" fontId="19" fillId="5" borderId="111" xfId="0" applyNumberFormat="1" applyFont="1" applyFill="1" applyBorder="1" applyAlignment="1">
      <alignment horizontal="center" vertical="center"/>
    </xf>
    <xf numFmtId="2" fontId="19" fillId="6" borderId="111" xfId="0" applyNumberFormat="1" applyFont="1" applyFill="1" applyBorder="1" applyAlignment="1">
      <alignment horizontal="center" vertical="center"/>
    </xf>
    <xf numFmtId="169" fontId="20" fillId="8" borderId="111" xfId="0" applyNumberFormat="1" applyFont="1" applyFill="1" applyBorder="1" applyAlignment="1">
      <alignment horizontal="center" vertical="center"/>
    </xf>
    <xf numFmtId="169" fontId="19" fillId="5" borderId="111" xfId="0" applyNumberFormat="1" applyFont="1" applyFill="1" applyBorder="1" applyAlignment="1">
      <alignment horizontal="center" vertical="center"/>
    </xf>
    <xf numFmtId="169" fontId="19" fillId="7" borderId="111" xfId="0" applyNumberFormat="1" applyFont="1" applyFill="1" applyBorder="1" applyAlignment="1">
      <alignment horizontal="center" vertical="center"/>
    </xf>
    <xf numFmtId="169" fontId="19" fillId="6" borderId="111" xfId="0" applyNumberFormat="1" applyFont="1" applyFill="1" applyBorder="1" applyAlignment="1">
      <alignment horizontal="center" vertical="center"/>
    </xf>
    <xf numFmtId="1" fontId="19" fillId="8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/>
    </xf>
    <xf numFmtId="1" fontId="19" fillId="5" borderId="111" xfId="0" applyNumberFormat="1" applyFont="1" applyFill="1" applyBorder="1" applyAlignment="1">
      <alignment horizontal="center"/>
    </xf>
    <xf numFmtId="1" fontId="19" fillId="6" borderId="111" xfId="0" applyNumberFormat="1" applyFont="1" applyFill="1" applyBorder="1" applyAlignment="1">
      <alignment horizontal="center"/>
    </xf>
    <xf numFmtId="1" fontId="112" fillId="8" borderId="111" xfId="0" applyNumberFormat="1" applyFont="1" applyFill="1" applyBorder="1" applyAlignment="1">
      <alignment horizontal="center" vertical="center"/>
    </xf>
    <xf numFmtId="0" fontId="112" fillId="7" borderId="111" xfId="0" applyFont="1" applyFill="1" applyBorder="1"/>
    <xf numFmtId="0" fontId="112" fillId="7" borderId="111" xfId="0" applyFont="1" applyFill="1" applyBorder="1" applyAlignment="1">
      <alignment horizontal="center" vertical="center"/>
    </xf>
    <xf numFmtId="0" fontId="112" fillId="5" borderId="111" xfId="0" applyFont="1" applyFill="1" applyBorder="1" applyAlignment="1">
      <alignment horizontal="right" vertical="center"/>
    </xf>
    <xf numFmtId="0" fontId="112" fillId="6" borderId="111" xfId="0" applyFont="1" applyFill="1" applyBorder="1"/>
    <xf numFmtId="1" fontId="45" fillId="0" borderId="111" xfId="0" applyNumberFormat="1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5" borderId="111" xfId="0" applyFont="1" applyFill="1" applyBorder="1" applyAlignment="1">
      <alignment horizontal="center" vertical="center"/>
    </xf>
    <xf numFmtId="0" fontId="19" fillId="50" borderId="111" xfId="0" applyFont="1" applyFill="1" applyBorder="1" applyAlignment="1">
      <alignment horizontal="center" vertical="center"/>
    </xf>
    <xf numFmtId="0" fontId="19" fillId="6" borderId="111" xfId="0" applyFont="1" applyFill="1" applyBorder="1" applyAlignment="1">
      <alignment horizontal="center" vertical="center"/>
    </xf>
    <xf numFmtId="177" fontId="112" fillId="32" borderId="111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1" xfId="0" applyFont="1" applyBorder="1" applyAlignment="1">
      <alignment horizontal="right" vertical="center"/>
    </xf>
    <xf numFmtId="1" fontId="12" fillId="0" borderId="111" xfId="0" applyNumberFormat="1" applyFont="1" applyBorder="1" applyAlignment="1">
      <alignment horizontal="center" vertical="center"/>
    </xf>
    <xf numFmtId="1" fontId="12" fillId="7" borderId="111" xfId="0" applyNumberFormat="1" applyFont="1" applyFill="1" applyBorder="1" applyAlignment="1">
      <alignment horizontal="center" vertical="center"/>
    </xf>
    <xf numFmtId="1" fontId="12" fillId="5" borderId="111" xfId="0" applyNumberFormat="1" applyFont="1" applyFill="1" applyBorder="1" applyAlignment="1">
      <alignment horizontal="center" vertical="center"/>
    </xf>
    <xf numFmtId="1" fontId="12" fillId="8" borderId="111" xfId="0" applyNumberFormat="1" applyFont="1" applyFill="1" applyBorder="1" applyAlignment="1">
      <alignment horizontal="center" vertical="center"/>
    </xf>
    <xf numFmtId="1" fontId="12" fillId="6" borderId="111" xfId="0" applyNumberFormat="1" applyFont="1" applyFill="1" applyBorder="1" applyAlignment="1">
      <alignment horizontal="center" vertical="center"/>
    </xf>
    <xf numFmtId="0" fontId="14" fillId="5" borderId="112" xfId="0" applyFont="1" applyFill="1" applyBorder="1" applyAlignment="1">
      <alignment horizontal="center" vertical="center"/>
    </xf>
    <xf numFmtId="0" fontId="14" fillId="6" borderId="111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0" fontId="7" fillId="8" borderId="111" xfId="0" applyFont="1" applyFill="1" applyBorder="1" applyAlignment="1">
      <alignment horizontal="left" vertical="center"/>
    </xf>
    <xf numFmtId="1" fontId="7" fillId="0" borderId="111" xfId="0" applyNumberFormat="1" applyFont="1" applyBorder="1" applyAlignment="1">
      <alignment horizontal="center" vertical="center"/>
    </xf>
    <xf numFmtId="0" fontId="7" fillId="8" borderId="11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1" fontId="11" fillId="8" borderId="111" xfId="0" applyNumberFormat="1" applyFont="1" applyFill="1" applyBorder="1" applyAlignment="1">
      <alignment horizontal="center" vertical="center"/>
    </xf>
    <xf numFmtId="1" fontId="11" fillId="7" borderId="111" xfId="0" applyNumberFormat="1" applyFont="1" applyFill="1" applyBorder="1" applyAlignment="1">
      <alignment horizontal="center" vertical="center"/>
    </xf>
    <xf numFmtId="1" fontId="11" fillId="5" borderId="111" xfId="0" applyNumberFormat="1" applyFont="1" applyFill="1" applyBorder="1" applyAlignment="1">
      <alignment horizontal="center" vertical="center"/>
    </xf>
    <xf numFmtId="1" fontId="11" fillId="6" borderId="111" xfId="0" applyNumberFormat="1" applyFont="1" applyFill="1" applyBorder="1" applyAlignment="1">
      <alignment horizontal="center" vertical="center"/>
    </xf>
    <xf numFmtId="0" fontId="36" fillId="0" borderId="111" xfId="0" applyFont="1" applyBorder="1"/>
    <xf numFmtId="0" fontId="36" fillId="8" borderId="111" xfId="0" applyFont="1" applyFill="1" applyBorder="1"/>
    <xf numFmtId="1" fontId="36" fillId="0" borderId="111" xfId="0" applyNumberFormat="1" applyFont="1" applyBorder="1" applyAlignment="1">
      <alignment horizontal="center"/>
    </xf>
    <xf numFmtId="1" fontId="36" fillId="7" borderId="111" xfId="0" applyNumberFormat="1" applyFont="1" applyFill="1" applyBorder="1" applyAlignment="1">
      <alignment horizontal="center"/>
    </xf>
    <xf numFmtId="1" fontId="36" fillId="5" borderId="111" xfId="0" applyNumberFormat="1" applyFont="1" applyFill="1" applyBorder="1" applyAlignment="1">
      <alignment horizontal="center"/>
    </xf>
    <xf numFmtId="0" fontId="0" fillId="0" borderId="0" xfId="0"/>
    <xf numFmtId="0" fontId="0" fillId="6" borderId="111" xfId="0" applyFill="1" applyBorder="1" applyAlignment="1">
      <alignment horizontal="center" vertical="center"/>
    </xf>
    <xf numFmtId="1" fontId="20" fillId="45" borderId="111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1" xfId="0" applyNumberFormat="1" applyFont="1" applyFill="1" applyBorder="1" applyAlignment="1">
      <alignment horizontal="center" vertical="center"/>
    </xf>
    <xf numFmtId="0" fontId="81" fillId="0" borderId="0" xfId="536" applyFont="1"/>
    <xf numFmtId="2" fontId="159" fillId="0" borderId="111" xfId="0" applyNumberFormat="1" applyFont="1" applyBorder="1" applyAlignment="1">
      <alignment horizontal="center" vertical="center"/>
    </xf>
    <xf numFmtId="0" fontId="160" fillId="0" borderId="111" xfId="0" applyFont="1" applyBorder="1" applyAlignment="1">
      <alignment horizontal="center" vertical="center"/>
    </xf>
    <xf numFmtId="1" fontId="0" fillId="0" borderId="111" xfId="0" applyNumberFormat="1" applyBorder="1" applyAlignment="1">
      <alignment horizontal="center" vertical="center"/>
    </xf>
    <xf numFmtId="0" fontId="0" fillId="0" borderId="113" xfId="0" applyBorder="1"/>
    <xf numFmtId="1" fontId="0" fillId="0" borderId="113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13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1" xfId="0" applyNumberFormat="1" applyFill="1" applyBorder="1" applyAlignment="1">
      <alignment horizontal="center" vertical="center"/>
    </xf>
    <xf numFmtId="0" fontId="86" fillId="48" borderId="111" xfId="0" applyFont="1" applyFill="1" applyBorder="1" applyAlignment="1">
      <alignment horizontal="center" vertical="center"/>
    </xf>
    <xf numFmtId="1" fontId="86" fillId="48" borderId="111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1" xfId="0" applyFont="1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17" fillId="0" borderId="111" xfId="0" applyFont="1" applyBorder="1" applyAlignment="1">
      <alignment horizontal="left" vertical="center"/>
    </xf>
    <xf numFmtId="0" fontId="0" fillId="0" borderId="111" xfId="0" applyBorder="1" applyAlignment="1">
      <alignment horizontal="left"/>
    </xf>
    <xf numFmtId="0" fontId="86" fillId="7" borderId="111" xfId="0" applyFont="1" applyFill="1" applyBorder="1" applyAlignment="1">
      <alignment horizontal="left" vertical="center"/>
    </xf>
    <xf numFmtId="0" fontId="86" fillId="7" borderId="111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14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113" fillId="8" borderId="110" xfId="0" applyFont="1" applyFill="1" applyBorder="1" applyAlignment="1">
      <alignment horizontal="right" vertical="center"/>
    </xf>
    <xf numFmtId="0" fontId="112" fillId="8" borderId="111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1" xfId="0" applyNumberFormat="1" applyFont="1" applyFill="1" applyBorder="1" applyAlignment="1">
      <alignment horizontal="right" vertical="center"/>
    </xf>
    <xf numFmtId="1" fontId="14" fillId="0" borderId="113" xfId="0" applyNumberFormat="1" applyFont="1" applyBorder="1" applyAlignment="1">
      <alignment horizontal="center" vertical="center"/>
    </xf>
    <xf numFmtId="0" fontId="162" fillId="0" borderId="0" xfId="0" applyFont="1" applyAlignment="1">
      <alignment wrapText="1"/>
    </xf>
    <xf numFmtId="0" fontId="162" fillId="0" borderId="0" xfId="0" applyFont="1" applyAlignment="1">
      <alignment horizontal="center" vertical="center" wrapText="1"/>
    </xf>
    <xf numFmtId="1" fontId="162" fillId="0" borderId="0" xfId="0" applyNumberFormat="1" applyFont="1" applyAlignment="1">
      <alignment wrapTex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1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14" xfId="0" quotePrefix="1" applyNumberFormat="1" applyFont="1" applyBorder="1" applyAlignment="1">
      <alignment horizontal="left" vertical="center"/>
    </xf>
    <xf numFmtId="172" fontId="20" fillId="0" borderId="112" xfId="0" quotePrefix="1" applyNumberFormat="1" applyFont="1" applyBorder="1" applyAlignment="1">
      <alignment horizontal="center" vertical="center"/>
    </xf>
    <xf numFmtId="1" fontId="20" fillId="5" borderId="111" xfId="0" applyNumberFormat="1" applyFont="1" applyFill="1" applyBorder="1" applyAlignment="1">
      <alignment vertical="center"/>
    </xf>
    <xf numFmtId="1" fontId="20" fillId="44" borderId="111" xfId="0" applyNumberFormat="1" applyFont="1" applyFill="1" applyBorder="1" applyAlignment="1">
      <alignment vertical="center"/>
    </xf>
    <xf numFmtId="0" fontId="0" fillId="0" borderId="0" xfId="0"/>
    <xf numFmtId="0" fontId="4" fillId="8" borderId="113" xfId="0" applyFont="1" applyFill="1" applyBorder="1" applyAlignment="1">
      <alignment horizontal="center" vertical="center"/>
    </xf>
    <xf numFmtId="1" fontId="4" fillId="8" borderId="113" xfId="0" applyNumberFormat="1" applyFont="1" applyFill="1" applyBorder="1" applyAlignment="1">
      <alignment horizontal="center" vertical="center"/>
    </xf>
    <xf numFmtId="1" fontId="4" fillId="50" borderId="113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1" xfId="0" applyFont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1" fontId="19" fillId="7" borderId="113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0" fillId="0" borderId="111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59" fillId="4" borderId="111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1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1" xfId="0" applyNumberFormat="1" applyFont="1" applyBorder="1" applyAlignment="1">
      <alignment horizontal="center" vertical="center"/>
    </xf>
    <xf numFmtId="2" fontId="20" fillId="0" borderId="111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1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13" xfId="0" applyFont="1" applyFill="1" applyBorder="1" applyAlignment="1">
      <alignment vertical="center"/>
    </xf>
    <xf numFmtId="1" fontId="20" fillId="0" borderId="113" xfId="0" applyNumberFormat="1" applyFont="1" applyBorder="1" applyAlignment="1">
      <alignment horizontal="center" vertical="center"/>
    </xf>
    <xf numFmtId="1" fontId="20" fillId="7" borderId="113" xfId="0" applyNumberFormat="1" applyFont="1" applyFill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169" fontId="20" fillId="0" borderId="111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15" xfId="0" quotePrefix="1" applyNumberFormat="1" applyFont="1" applyFill="1" applyBorder="1" applyAlignment="1">
      <alignment horizontal="left" vertical="center"/>
    </xf>
    <xf numFmtId="0" fontId="134" fillId="0" borderId="112" xfId="0" applyFont="1" applyBorder="1" applyAlignment="1">
      <alignment horizontal="center" vertical="center"/>
    </xf>
    <xf numFmtId="167" fontId="18" fillId="7" borderId="111" xfId="0" applyNumberFormat="1" applyFont="1" applyFill="1" applyBorder="1" applyAlignment="1">
      <alignment vertical="center"/>
    </xf>
    <xf numFmtId="1" fontId="18" fillId="0" borderId="114" xfId="0" applyNumberFormat="1" applyFont="1" applyBorder="1" applyAlignment="1">
      <alignment vertical="center"/>
    </xf>
    <xf numFmtId="167" fontId="18" fillId="7" borderId="113" xfId="0" applyNumberFormat="1" applyFont="1" applyFill="1" applyBorder="1" applyAlignment="1">
      <alignment vertical="center"/>
    </xf>
    <xf numFmtId="0" fontId="134" fillId="0" borderId="116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15" xfId="0" applyFont="1" applyFill="1" applyBorder="1" applyAlignment="1">
      <alignment horizontal="left" vertical="center"/>
    </xf>
    <xf numFmtId="0" fontId="133" fillId="0" borderId="112" xfId="0" applyFont="1" applyBorder="1" applyAlignment="1">
      <alignment horizontal="center" vertical="center"/>
    </xf>
    <xf numFmtId="167" fontId="20" fillId="7" borderId="111" xfId="0" applyNumberFormat="1" applyFont="1" applyFill="1" applyBorder="1" applyAlignment="1">
      <alignment vertical="center"/>
    </xf>
    <xf numFmtId="0" fontId="132" fillId="0" borderId="115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13" xfId="0" applyFont="1" applyBorder="1" applyAlignment="1">
      <alignment horizontal="center" vertical="center"/>
    </xf>
    <xf numFmtId="1" fontId="20" fillId="8" borderId="113" xfId="0" applyNumberFormat="1" applyFont="1" applyFill="1" applyBorder="1" applyAlignment="1">
      <alignment horizontal="center" vertical="center"/>
    </xf>
    <xf numFmtId="1" fontId="12" fillId="0" borderId="113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13" xfId="0" applyFont="1" applyBorder="1" applyAlignment="1">
      <alignment vertical="center"/>
    </xf>
    <xf numFmtId="0" fontId="14" fillId="0" borderId="113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1" xfId="0" applyNumberFormat="1" applyFont="1" applyBorder="1" applyAlignment="1">
      <alignment horizontal="center" vertical="center"/>
    </xf>
    <xf numFmtId="0" fontId="21" fillId="8" borderId="113" xfId="0" applyFont="1" applyFill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21" fillId="7" borderId="113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1" xfId="0" applyFont="1" applyFill="1" applyBorder="1" applyAlignment="1">
      <alignment horizontal="center" vertical="center"/>
    </xf>
    <xf numFmtId="167" fontId="18" fillId="8" borderId="111" xfId="0" applyNumberFormat="1" applyFont="1" applyFill="1" applyBorder="1" applyAlignment="1">
      <alignment horizontal="center" vertical="center"/>
    </xf>
    <xf numFmtId="167" fontId="98" fillId="8" borderId="111" xfId="0" applyNumberFormat="1" applyFont="1" applyFill="1" applyBorder="1" applyAlignment="1">
      <alignment horizontal="center" vertical="center"/>
    </xf>
    <xf numFmtId="167" fontId="18" fillId="7" borderId="111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1" xfId="0" quotePrefix="1" applyNumberFormat="1" applyFont="1" applyFill="1" applyBorder="1" applyAlignment="1">
      <alignment horizontal="center" vertical="center"/>
    </xf>
    <xf numFmtId="2" fontId="20" fillId="7" borderId="111" xfId="0" applyNumberFormat="1" applyFont="1" applyFill="1" applyBorder="1" applyAlignment="1">
      <alignment horizontal="center" vertical="center"/>
    </xf>
    <xf numFmtId="0" fontId="4" fillId="0" borderId="111" xfId="0" applyFont="1" applyBorder="1" applyAlignment="1">
      <alignment horizontal="center" vertical="center"/>
    </xf>
    <xf numFmtId="1" fontId="23" fillId="8" borderId="111" xfId="0" applyNumberFormat="1" applyFont="1" applyFill="1" applyBorder="1" applyAlignment="1">
      <alignment horizontal="center" vertical="center"/>
    </xf>
    <xf numFmtId="1" fontId="4" fillId="7" borderId="111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1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1" xfId="0" applyFont="1" applyBorder="1" applyAlignment="1">
      <alignment horizontal="center" vertical="center"/>
    </xf>
    <xf numFmtId="167" fontId="18" fillId="0" borderId="111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1" xfId="0" quotePrefix="1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vertical="center"/>
    </xf>
    <xf numFmtId="1" fontId="18" fillId="8" borderId="111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15" xfId="0" applyFont="1" applyFill="1" applyBorder="1" applyAlignment="1">
      <alignment vertical="center"/>
    </xf>
    <xf numFmtId="0" fontId="32" fillId="8" borderId="113" xfId="0" applyFont="1" applyFill="1" applyBorder="1" applyAlignment="1">
      <alignment horizontal="center" vertical="center"/>
    </xf>
    <xf numFmtId="1" fontId="32" fillId="8" borderId="113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1" xfId="0" quotePrefix="1" applyNumberFormat="1" applyFont="1" applyBorder="1" applyAlignment="1">
      <alignment horizontal="left" vertical="center"/>
    </xf>
    <xf numFmtId="0" fontId="32" fillId="8" borderId="111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13" xfId="0" quotePrefix="1" applyNumberFormat="1" applyFont="1" applyBorder="1" applyAlignment="1">
      <alignment horizontal="left" vertical="center"/>
    </xf>
    <xf numFmtId="0" fontId="20" fillId="0" borderId="116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2" xfId="0" applyFont="1" applyFill="1" applyBorder="1" applyAlignment="1">
      <alignment horizontal="center" vertical="center"/>
    </xf>
    <xf numFmtId="1" fontId="19" fillId="8" borderId="113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4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16" xfId="0" quotePrefix="1" applyNumberFormat="1" applyFont="1" applyBorder="1" applyAlignment="1">
      <alignment horizontal="center" vertical="center"/>
    </xf>
    <xf numFmtId="172" fontId="20" fillId="0" borderId="83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2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14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1" xfId="186" applyFont="1" applyBorder="1" applyAlignment="1">
      <alignment horizontal="left" vertical="center"/>
    </xf>
    <xf numFmtId="0" fontId="18" fillId="0" borderId="113" xfId="0" applyFont="1" applyBorder="1" applyAlignment="1">
      <alignment horizontal="center" vertical="center"/>
    </xf>
    <xf numFmtId="0" fontId="18" fillId="5" borderId="113" xfId="0" applyFont="1" applyFill="1" applyBorder="1" applyAlignment="1">
      <alignment horizontal="center" vertical="center"/>
    </xf>
    <xf numFmtId="0" fontId="18" fillId="6" borderId="113" xfId="0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79" xfId="186" applyFont="1" applyFill="1" applyBorder="1" applyAlignment="1">
      <alignment horizontal="center" vertical="center"/>
    </xf>
    <xf numFmtId="0" fontId="78" fillId="42" borderId="83" xfId="186" applyFont="1" applyFill="1" applyBorder="1" applyAlignment="1">
      <alignment horizontal="center" vertical="center"/>
    </xf>
    <xf numFmtId="0" fontId="78" fillId="42" borderId="82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20" fillId="7" borderId="42" xfId="0" applyFont="1" applyFill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4" fillId="0" borderId="109" xfId="0" applyFont="1" applyBorder="1" applyAlignment="1">
      <alignment vertical="center"/>
    </xf>
    <xf numFmtId="0" fontId="4" fillId="0" borderId="115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17" xfId="0" applyFont="1" applyBorder="1" applyAlignment="1">
      <alignment vertical="center"/>
    </xf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1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1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2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13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1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17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86" fillId="0" borderId="113" xfId="0" applyFont="1" applyBorder="1" applyAlignment="1">
      <alignment horizontal="left"/>
    </xf>
    <xf numFmtId="0" fontId="45" fillId="0" borderId="113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1" xfId="0" applyFont="1" applyFill="1" applyBorder="1" applyAlignment="1">
      <alignment horizontal="center" vertical="center"/>
    </xf>
    <xf numFmtId="0" fontId="86" fillId="0" borderId="112" xfId="0" applyFont="1" applyBorder="1" applyAlignment="1">
      <alignment horizontal="center" vertical="center"/>
    </xf>
    <xf numFmtId="0" fontId="86" fillId="0" borderId="111" xfId="0" applyFont="1" applyBorder="1" applyAlignment="1">
      <alignment horizontal="center" vertical="center"/>
    </xf>
    <xf numFmtId="1" fontId="86" fillId="0" borderId="111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21" fillId="7" borderId="111" xfId="0" applyFont="1" applyFill="1" applyBorder="1" applyAlignment="1">
      <alignment horizontal="center" vertical="center"/>
    </xf>
    <xf numFmtId="0" fontId="18" fillId="7" borderId="111" xfId="0" applyFont="1" applyFill="1" applyBorder="1" applyAlignment="1">
      <alignment horizontal="center" vertical="center"/>
    </xf>
    <xf numFmtId="0" fontId="21" fillId="8" borderId="111" xfId="0" applyFont="1" applyFill="1" applyBorder="1" applyAlignment="1">
      <alignment horizontal="center" vertical="center"/>
    </xf>
    <xf numFmtId="0" fontId="21" fillId="8" borderId="82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1" xfId="0" applyNumberFormat="1" applyFont="1" applyFill="1" applyBorder="1" applyAlignment="1">
      <alignment horizontal="center" vertical="center"/>
    </xf>
    <xf numFmtId="167" fontId="19" fillId="0" borderId="111" xfId="0" applyNumberFormat="1" applyFont="1" applyBorder="1" applyAlignment="1">
      <alignment horizontal="center" vertical="center"/>
    </xf>
    <xf numFmtId="167" fontId="19" fillId="7" borderId="111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1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15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67" fontId="20" fillId="0" borderId="113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1" xfId="0" applyFont="1" applyBorder="1" applyAlignment="1">
      <alignment horizontal="center" vertical="center"/>
    </xf>
    <xf numFmtId="167" fontId="12" fillId="0" borderId="111" xfId="0" applyNumberFormat="1" applyFont="1" applyBorder="1" applyAlignment="1">
      <alignment horizontal="center" vertical="center"/>
    </xf>
    <xf numFmtId="167" fontId="12" fillId="7" borderId="111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1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1" fontId="18" fillId="0" borderId="113" xfId="0" applyNumberFormat="1" applyFont="1" applyBorder="1" applyAlignment="1">
      <alignment horizontal="center" vertical="center"/>
    </xf>
    <xf numFmtId="0" fontId="14" fillId="7" borderId="113" xfId="0" applyFont="1" applyFill="1" applyBorder="1" applyAlignment="1">
      <alignment horizontal="center" vertical="center"/>
    </xf>
    <xf numFmtId="0" fontId="12" fillId="7" borderId="111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1" xfId="0" applyNumberFormat="1" applyFont="1" applyFill="1" applyBorder="1" applyAlignment="1">
      <alignment horizontal="center" vertical="center"/>
    </xf>
    <xf numFmtId="0" fontId="12" fillId="8" borderId="111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13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13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79" xfId="0" applyFont="1" applyFill="1" applyBorder="1" applyAlignment="1">
      <alignment horizontal="center" vertical="center"/>
    </xf>
    <xf numFmtId="1" fontId="20" fillId="8" borderId="79" xfId="0" applyNumberFormat="1" applyFont="1" applyFill="1" applyBorder="1" applyAlignment="1">
      <alignment horizontal="center" vertical="center"/>
    </xf>
    <xf numFmtId="1" fontId="20" fillId="50" borderId="79" xfId="0" applyNumberFormat="1" applyFont="1" applyFill="1" applyBorder="1" applyAlignment="1">
      <alignment horizontal="center" vertical="center"/>
    </xf>
    <xf numFmtId="1" fontId="20" fillId="50" borderId="82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14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1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1" fontId="0" fillId="50" borderId="17" xfId="0" applyNumberFormat="1" applyFill="1" applyBorder="1" applyAlignment="1">
      <alignment horizontal="center" vertical="center"/>
    </xf>
    <xf numFmtId="1" fontId="0" fillId="50" borderId="111" xfId="0" applyNumberFormat="1" applyFill="1" applyBorder="1" applyAlignment="1">
      <alignment horizontal="center" vertical="center"/>
    </xf>
    <xf numFmtId="1" fontId="20" fillId="50" borderId="111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0" fontId="0" fillId="50" borderId="42" xfId="0" applyFill="1" applyBorder="1"/>
    <xf numFmtId="0" fontId="4" fillId="8" borderId="111" xfId="0" applyFont="1" applyFill="1" applyBorder="1" applyAlignment="1">
      <alignment horizontal="center" vertical="center"/>
    </xf>
    <xf numFmtId="1" fontId="4" fillId="50" borderId="111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15" xfId="0" applyFont="1" applyFill="1" applyBorder="1" applyAlignment="1">
      <alignment vertical="center"/>
    </xf>
    <xf numFmtId="0" fontId="29" fillId="8" borderId="117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1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74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1" xfId="0" applyFont="1" applyFill="1" applyBorder="1" applyAlignment="1">
      <alignment horizontal="center" vertical="center"/>
    </xf>
    <xf numFmtId="0" fontId="21" fillId="0" borderId="111" xfId="0" applyFont="1" applyFill="1" applyBorder="1" applyAlignment="1">
      <alignment horizontal="center" vertical="center"/>
    </xf>
    <xf numFmtId="0" fontId="21" fillId="6" borderId="111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3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1" xfId="0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1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16" xfId="0" applyFont="1" applyBorder="1" applyAlignment="1">
      <alignment horizontal="center" vertical="center"/>
    </xf>
    <xf numFmtId="1" fontId="26" fillId="8" borderId="111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3" xfId="0" applyFont="1" applyBorder="1" applyAlignment="1">
      <alignment horizontal="center" vertical="center"/>
    </xf>
    <xf numFmtId="1" fontId="20" fillId="0" borderId="111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1" xfId="0" applyNumberFormat="1" applyFont="1" applyFill="1" applyBorder="1" applyAlignment="1">
      <alignment horizontal="center" vertical="center"/>
    </xf>
    <xf numFmtId="167" fontId="20" fillId="6" borderId="111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1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2" xfId="0" applyFont="1" applyFill="1" applyBorder="1" applyAlignment="1">
      <alignment horizontal="center" vertical="center"/>
    </xf>
    <xf numFmtId="1" fontId="21" fillId="54" borderId="111" xfId="0" applyNumberFormat="1" applyFont="1" applyFill="1" applyBorder="1" applyAlignment="1">
      <alignment horizontal="center" vertical="center"/>
    </xf>
    <xf numFmtId="0" fontId="21" fillId="0" borderId="112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1" xfId="0" applyNumberFormat="1" applyFont="1" applyBorder="1" applyAlignment="1">
      <alignment horizontal="center" vertical="center"/>
    </xf>
    <xf numFmtId="2" fontId="21" fillId="7" borderId="111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1" xfId="0" applyNumberFormat="1" applyFont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67" fontId="21" fillId="6" borderId="111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1" xfId="0" applyNumberFormat="1" applyFont="1" applyFill="1" applyBorder="1" applyAlignment="1">
      <alignment horizontal="center" vertical="center"/>
    </xf>
    <xf numFmtId="2" fontId="20" fillId="6" borderId="11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1" xfId="0" applyNumberFormat="1" applyFont="1" applyFill="1" applyBorder="1" applyAlignment="1">
      <alignment horizontal="center" vertical="center"/>
    </xf>
    <xf numFmtId="169" fontId="20" fillId="6" borderId="111" xfId="0" applyNumberFormat="1" applyFont="1" applyFill="1" applyBorder="1" applyAlignment="1">
      <alignment horizontal="center" vertical="center"/>
    </xf>
    <xf numFmtId="2" fontId="21" fillId="5" borderId="111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13" xfId="0" applyNumberFormat="1" applyFont="1" applyFill="1" applyBorder="1" applyAlignment="1">
      <alignment horizontal="center" vertical="center"/>
    </xf>
    <xf numFmtId="1" fontId="21" fillId="7" borderId="113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1" xfId="0" applyFont="1" applyFill="1" applyBorder="1" applyAlignment="1">
      <alignment vertical="center"/>
    </xf>
    <xf numFmtId="0" fontId="20" fillId="7" borderId="111" xfId="0" applyFont="1" applyFill="1" applyBorder="1" applyAlignment="1">
      <alignment vertical="center"/>
    </xf>
    <xf numFmtId="0" fontId="20" fillId="6" borderId="111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1" xfId="0" applyNumberFormat="1" applyFont="1" applyFill="1" applyBorder="1" applyAlignment="1">
      <alignment horizontal="center" vertical="center"/>
    </xf>
    <xf numFmtId="2" fontId="21" fillId="6" borderId="111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9" fillId="8" borderId="10" xfId="0" applyFont="1" applyFill="1" applyBorder="1" applyAlignment="1">
      <alignment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1" xfId="0" applyFont="1" applyFill="1" applyBorder="1" applyAlignment="1">
      <alignment horizontal="left" vertical="center"/>
    </xf>
    <xf numFmtId="0" fontId="20" fillId="0" borderId="111" xfId="0" applyFont="1" applyBorder="1" applyAlignment="1">
      <alignment horizontal="left" vertical="center"/>
    </xf>
    <xf numFmtId="0" fontId="20" fillId="8" borderId="110" xfId="0" applyFont="1" applyFill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1" fontId="20" fillId="0" borderId="110" xfId="0" applyNumberFormat="1" applyFont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2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64" fontId="20" fillId="8" borderId="113" xfId="0" quotePrefix="1" applyNumberFormat="1" applyFont="1" applyFill="1" applyBorder="1" applyAlignment="1">
      <alignment horizontal="left" vertical="center"/>
    </xf>
    <xf numFmtId="0" fontId="20" fillId="8" borderId="113" xfId="0" applyFont="1" applyFill="1" applyBorder="1" applyAlignment="1">
      <alignment horizontal="left" vertical="center"/>
    </xf>
    <xf numFmtId="1" fontId="45" fillId="8" borderId="113" xfId="0" applyNumberFormat="1" applyFont="1" applyFill="1" applyBorder="1" applyAlignment="1">
      <alignment vertical="center"/>
    </xf>
    <xf numFmtId="1" fontId="45" fillId="7" borderId="113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1" xfId="0" applyNumberFormat="1" applyFont="1" applyFill="1" applyBorder="1" applyAlignment="1">
      <alignment vertical="center"/>
    </xf>
    <xf numFmtId="1" fontId="45" fillId="7" borderId="111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13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64" fontId="20" fillId="8" borderId="111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0" xfId="0" quotePrefix="1" applyNumberFormat="1" applyFont="1" applyFill="1" applyBorder="1" applyAlignment="1">
      <alignment horizontal="left" vertical="center"/>
    </xf>
    <xf numFmtId="164" fontId="20" fillId="8" borderId="112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48" fillId="8" borderId="10" xfId="0" applyFont="1" applyFill="1" applyBorder="1"/>
    <xf numFmtId="0" fontId="36" fillId="0" borderId="0" xfId="0" applyFont="1"/>
    <xf numFmtId="0" fontId="175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1" xfId="0" applyFont="1" applyFill="1" applyBorder="1" applyAlignment="1">
      <alignment horizontal="center" vertical="center"/>
    </xf>
    <xf numFmtId="0" fontId="26" fillId="8" borderId="112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1" xfId="0" applyFont="1" applyBorder="1" applyAlignment="1">
      <alignment horizontal="center" vertical="center"/>
    </xf>
    <xf numFmtId="167" fontId="26" fillId="0" borderId="111" xfId="0" applyNumberFormat="1" applyFont="1" applyBorder="1" applyAlignment="1">
      <alignment horizontal="center" vertical="center"/>
    </xf>
    <xf numFmtId="167" fontId="26" fillId="0" borderId="112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2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1" xfId="0" applyNumberFormat="1" applyFont="1" applyFill="1" applyBorder="1" applyAlignment="1">
      <alignment horizontal="center" vertical="center"/>
    </xf>
    <xf numFmtId="1" fontId="26" fillId="8" borderId="112" xfId="0" applyNumberFormat="1" applyFont="1" applyFill="1" applyBorder="1" applyAlignment="1">
      <alignment horizontal="center" vertical="center"/>
    </xf>
    <xf numFmtId="167" fontId="26" fillId="8" borderId="112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1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1" xfId="0" applyFont="1" applyBorder="1"/>
    <xf numFmtId="169" fontId="26" fillId="0" borderId="111" xfId="0" applyNumberFormat="1" applyFont="1" applyBorder="1" applyAlignment="1">
      <alignment horizontal="center" vertical="center"/>
    </xf>
    <xf numFmtId="0" fontId="26" fillId="0" borderId="113" xfId="0" applyFont="1" applyBorder="1"/>
    <xf numFmtId="1" fontId="26" fillId="0" borderId="113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0" fillId="0" borderId="111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0" fontId="51" fillId="0" borderId="112" xfId="0" applyFont="1" applyBorder="1"/>
    <xf numFmtId="0" fontId="20" fillId="0" borderId="111" xfId="0" applyFont="1" applyBorder="1" applyAlignment="1">
      <alignment horizontal="left" vertical="center" indent="1"/>
    </xf>
    <xf numFmtId="168" fontId="20" fillId="0" borderId="111" xfId="0" applyNumberFormat="1" applyFont="1" applyBorder="1" applyAlignment="1">
      <alignment horizontal="left" indent="1"/>
    </xf>
    <xf numFmtId="168" fontId="20" fillId="0" borderId="111" xfId="0" applyNumberFormat="1" applyFont="1" applyBorder="1" applyAlignment="1">
      <alignment horizontal="left" vertical="center" indent="1"/>
    </xf>
    <xf numFmtId="168" fontId="20" fillId="8" borderId="111" xfId="0" applyNumberFormat="1" applyFont="1" applyFill="1" applyBorder="1" applyAlignment="1">
      <alignment horizontal="left" indent="1"/>
    </xf>
    <xf numFmtId="171" fontId="20" fillId="7" borderId="111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0" fontId="20" fillId="7" borderId="111" xfId="22" applyNumberFormat="1" applyFont="1" applyFill="1" applyBorder="1" applyAlignment="1">
      <alignment horizontal="center" vertical="center"/>
    </xf>
    <xf numFmtId="0" fontId="20" fillId="8" borderId="111" xfId="22" applyNumberFormat="1" applyFont="1" applyFill="1" applyBorder="1" applyAlignment="1">
      <alignment horizontal="center" vertical="center"/>
    </xf>
    <xf numFmtId="0" fontId="20" fillId="5" borderId="111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16" xfId="0" applyFont="1" applyFill="1" applyBorder="1" applyAlignment="1">
      <alignment horizontal="left" vertical="center"/>
    </xf>
    <xf numFmtId="1" fontId="20" fillId="0" borderId="114" xfId="0" applyNumberFormat="1" applyFont="1" applyBorder="1" applyAlignment="1">
      <alignment vertical="center"/>
    </xf>
    <xf numFmtId="1" fontId="20" fillId="7" borderId="113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1" xfId="0" applyNumberFormat="1" applyFont="1" applyFill="1" applyBorder="1" applyAlignment="1">
      <alignment vertical="center"/>
    </xf>
    <xf numFmtId="1" fontId="21" fillId="44" borderId="111" xfId="0" applyNumberFormat="1" applyFont="1" applyFill="1" applyBorder="1" applyAlignment="1">
      <alignment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67" fontId="12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4" fontId="20" fillId="0" borderId="111" xfId="0" quotePrefix="1" applyNumberFormat="1" applyFont="1" applyBorder="1" applyAlignment="1">
      <alignment horizontal="right" vertical="center"/>
    </xf>
    <xf numFmtId="1" fontId="48" fillId="0" borderId="111" xfId="0" applyNumberFormat="1" applyFont="1" applyBorder="1" applyAlignment="1">
      <alignment vertical="center"/>
    </xf>
    <xf numFmtId="1" fontId="48" fillId="7" borderId="111" xfId="0" applyNumberFormat="1" applyFont="1" applyFill="1" applyBorder="1" applyAlignment="1">
      <alignment vertical="center"/>
    </xf>
    <xf numFmtId="1" fontId="48" fillId="5" borderId="111" xfId="0" applyNumberFormat="1" applyFont="1" applyFill="1" applyBorder="1" applyAlignment="1">
      <alignment vertical="center"/>
    </xf>
    <xf numFmtId="1" fontId="21" fillId="8" borderId="111" xfId="0" applyNumberFormat="1" applyFont="1" applyFill="1" applyBorder="1" applyAlignment="1">
      <alignment vertical="center"/>
    </xf>
    <xf numFmtId="1" fontId="21" fillId="7" borderId="111" xfId="0" applyNumberFormat="1" applyFont="1" applyFill="1" applyBorder="1" applyAlignment="1">
      <alignment vertical="center"/>
    </xf>
    <xf numFmtId="0" fontId="20" fillId="0" borderId="111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1" xfId="0" applyFont="1" applyBorder="1" applyAlignment="1">
      <alignment horizontal="center" vertical="center"/>
    </xf>
    <xf numFmtId="1" fontId="7" fillId="8" borderId="111" xfId="0" applyNumberFormat="1" applyFont="1" applyFill="1" applyBorder="1"/>
    <xf numFmtId="1" fontId="4" fillId="8" borderId="111" xfId="0" applyNumberFormat="1" applyFont="1" applyFill="1" applyBorder="1" applyAlignment="1">
      <alignment horizontal="left"/>
    </xf>
    <xf numFmtId="1" fontId="7" fillId="56" borderId="111" xfId="0" applyNumberFormat="1" applyFont="1" applyFill="1" applyBorder="1" applyAlignment="1">
      <alignment horizontal="center" vertical="center"/>
    </xf>
    <xf numFmtId="0" fontId="4" fillId="8" borderId="111" xfId="0" applyFont="1" applyFill="1" applyBorder="1" applyAlignment="1">
      <alignment horizontal="left"/>
    </xf>
    <xf numFmtId="0" fontId="7" fillId="56" borderId="111" xfId="0" applyFont="1" applyFill="1" applyBorder="1" applyAlignment="1">
      <alignment horizontal="center" vertical="center"/>
    </xf>
    <xf numFmtId="1" fontId="7" fillId="8" borderId="111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0" borderId="111" xfId="0" applyFont="1" applyBorder="1" applyAlignment="1">
      <alignment horizontal="center" vertical="center"/>
    </xf>
    <xf numFmtId="0" fontId="45" fillId="5" borderId="111" xfId="0" applyFont="1" applyFill="1" applyBorder="1" applyAlignment="1">
      <alignment horizontal="center" vertical="center"/>
    </xf>
    <xf numFmtId="0" fontId="45" fillId="6" borderId="111" xfId="0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22" fillId="8" borderId="111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19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1" xfId="186" applyNumberFormat="1" applyFont="1" applyFill="1" applyBorder="1" applyAlignment="1">
      <alignment horizontal="center" vertical="top"/>
    </xf>
    <xf numFmtId="1" fontId="19" fillId="5" borderId="111" xfId="186" applyNumberFormat="1" applyFont="1" applyFill="1" applyBorder="1" applyAlignment="1">
      <alignment horizontal="center" vertical="top"/>
    </xf>
    <xf numFmtId="1" fontId="19" fillId="8" borderId="111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0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vertical="center"/>
    </xf>
    <xf numFmtId="1" fontId="20" fillId="7" borderId="119" xfId="0" applyNumberFormat="1" applyFont="1" applyFill="1" applyBorder="1" applyAlignment="1">
      <alignment vertical="center"/>
    </xf>
    <xf numFmtId="1" fontId="20" fillId="0" borderId="119" xfId="0" applyNumberFormat="1" applyFont="1" applyBorder="1" applyAlignment="1">
      <alignment horizontal="center" vertical="center"/>
    </xf>
    <xf numFmtId="1" fontId="19" fillId="54" borderId="111" xfId="186" applyNumberFormat="1" applyFont="1" applyFill="1" applyBorder="1" applyAlignment="1">
      <alignment horizontal="center" vertical="top"/>
    </xf>
    <xf numFmtId="1" fontId="178" fillId="8" borderId="0" xfId="186" applyNumberFormat="1" applyFont="1" applyFill="1" applyAlignment="1">
      <alignment horizontal="center" vertical="center"/>
    </xf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1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1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1" xfId="0" applyNumberFormat="1" applyFont="1" applyFill="1" applyBorder="1" applyAlignment="1">
      <alignment vertical="center"/>
    </xf>
    <xf numFmtId="1" fontId="20" fillId="6" borderId="110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1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0" fillId="7" borderId="121" xfId="0" applyNumberFormat="1" applyFont="1" applyFill="1" applyBorder="1" applyAlignment="1">
      <alignment horizontal="center" vertical="center"/>
    </xf>
    <xf numFmtId="1" fontId="21" fillId="7" borderId="121" xfId="0" applyNumberFormat="1" applyFont="1" applyFill="1" applyBorder="1" applyAlignment="1">
      <alignment horizontal="center" vertical="center"/>
    </xf>
    <xf numFmtId="1" fontId="20" fillId="5" borderId="121" xfId="0" applyNumberFormat="1" applyFont="1" applyFill="1" applyBorder="1" applyAlignment="1">
      <alignment horizontal="center" vertical="center"/>
    </xf>
    <xf numFmtId="1" fontId="20" fillId="6" borderId="121" xfId="0" applyNumberFormat="1" applyFont="1" applyFill="1" applyBorder="1" applyAlignment="1">
      <alignment horizontal="center" vertical="center"/>
    </xf>
    <xf numFmtId="1" fontId="20" fillId="8" borderId="121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79" xfId="0" applyFont="1" applyFill="1" applyBorder="1" applyAlignment="1">
      <alignment horizontal="center" vertical="center"/>
    </xf>
    <xf numFmtId="0" fontId="0" fillId="8" borderId="84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2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1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1" fontId="20" fillId="0" borderId="121" xfId="0" applyNumberFormat="1" applyFont="1" applyBorder="1" applyAlignment="1">
      <alignment horizontal="center" vertical="center"/>
    </xf>
    <xf numFmtId="2" fontId="20" fillId="0" borderId="121" xfId="0" applyNumberFormat="1" applyFont="1" applyBorder="1" applyAlignment="1">
      <alignment horizontal="center" vertical="center"/>
    </xf>
    <xf numFmtId="167" fontId="20" fillId="7" borderId="121" xfId="0" applyNumberFormat="1" applyFont="1" applyFill="1" applyBorder="1" applyAlignment="1">
      <alignment vertical="center"/>
    </xf>
    <xf numFmtId="1" fontId="20" fillId="5" borderId="121" xfId="0" applyNumberFormat="1" applyFont="1" applyFill="1" applyBorder="1" applyAlignment="1">
      <alignment vertical="center"/>
    </xf>
    <xf numFmtId="167" fontId="20" fillId="7" borderId="121" xfId="0" applyNumberFormat="1" applyFont="1" applyFill="1" applyBorder="1" applyAlignment="1">
      <alignment horizontal="center" vertical="center"/>
    </xf>
    <xf numFmtId="1" fontId="19" fillId="5" borderId="121" xfId="0" applyNumberFormat="1" applyFont="1" applyFill="1" applyBorder="1" applyAlignment="1">
      <alignment horizontal="center" vertical="center"/>
    </xf>
    <xf numFmtId="1" fontId="19" fillId="6" borderId="121" xfId="0" applyNumberFormat="1" applyFont="1" applyFill="1" applyBorder="1" applyAlignment="1">
      <alignment horizontal="center" vertical="center"/>
    </xf>
    <xf numFmtId="167" fontId="18" fillId="7" borderId="121" xfId="0" applyNumberFormat="1" applyFont="1" applyFill="1" applyBorder="1" applyAlignment="1">
      <alignment vertical="center"/>
    </xf>
    <xf numFmtId="1" fontId="18" fillId="5" borderId="121" xfId="0" applyNumberFormat="1" applyFont="1" applyFill="1" applyBorder="1" applyAlignment="1">
      <alignment vertical="center"/>
    </xf>
    <xf numFmtId="0" fontId="19" fillId="8" borderId="121" xfId="0" applyFont="1" applyFill="1" applyBorder="1" applyAlignment="1">
      <alignment vertical="center"/>
    </xf>
    <xf numFmtId="1" fontId="20" fillId="7" borderId="121" xfId="0" applyNumberFormat="1" applyFont="1" applyFill="1" applyBorder="1" applyAlignment="1">
      <alignment vertical="center"/>
    </xf>
    <xf numFmtId="1" fontId="20" fillId="7" borderId="122" xfId="0" applyNumberFormat="1" applyFont="1" applyFill="1" applyBorder="1" applyAlignment="1">
      <alignment vertical="center"/>
    </xf>
    <xf numFmtId="1" fontId="20" fillId="5" borderId="122" xfId="0" applyNumberFormat="1" applyFont="1" applyFill="1" applyBorder="1" applyAlignment="1">
      <alignment vertical="center"/>
    </xf>
    <xf numFmtId="1" fontId="20" fillId="5" borderId="122" xfId="0" applyNumberFormat="1" applyFont="1" applyFill="1" applyBorder="1" applyAlignment="1">
      <alignment horizontal="center" vertical="center"/>
    </xf>
    <xf numFmtId="1" fontId="20" fillId="7" borderId="122" xfId="0" applyNumberFormat="1" applyFont="1" applyFill="1" applyBorder="1" applyAlignment="1">
      <alignment horizontal="center" vertical="center"/>
    </xf>
    <xf numFmtId="1" fontId="19" fillId="5" borderId="122" xfId="0" applyNumberFormat="1" applyFont="1" applyFill="1" applyBorder="1" applyAlignment="1">
      <alignment horizontal="center" vertical="center"/>
    </xf>
    <xf numFmtId="1" fontId="19" fillId="6" borderId="122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1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1" fontId="20" fillId="5" borderId="123" xfId="0" applyNumberFormat="1" applyFont="1" applyFill="1" applyBorder="1" applyAlignment="1">
      <alignment vertical="center"/>
    </xf>
    <xf numFmtId="1" fontId="20" fillId="6" borderId="123" xfId="0" applyNumberFormat="1" applyFont="1" applyFill="1" applyBorder="1" applyAlignment="1">
      <alignment vertical="center"/>
    </xf>
    <xf numFmtId="1" fontId="20" fillId="44" borderId="123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2" xfId="0" applyNumberFormat="1" applyFont="1" applyBorder="1" applyAlignment="1">
      <alignment horizontal="center" vertical="center"/>
    </xf>
    <xf numFmtId="1" fontId="20" fillId="7" borderId="84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/>
    </xf>
    <xf numFmtId="1" fontId="19" fillId="0" borderId="124" xfId="0" applyNumberFormat="1" applyFont="1" applyBorder="1" applyAlignment="1">
      <alignment horizontal="center" vertical="center"/>
    </xf>
    <xf numFmtId="1" fontId="19" fillId="50" borderId="124" xfId="0" applyNumberFormat="1" applyFont="1" applyFill="1" applyBorder="1" applyAlignment="1">
      <alignment horizontal="center" vertical="center"/>
    </xf>
    <xf numFmtId="1" fontId="19" fillId="8" borderId="124" xfId="0" applyNumberFormat="1" applyFont="1" applyFill="1" applyBorder="1" applyAlignment="1">
      <alignment horizontal="center" vertical="center"/>
    </xf>
    <xf numFmtId="1" fontId="19" fillId="8" borderId="126" xfId="0" applyNumberFormat="1" applyFont="1" applyFill="1" applyBorder="1" applyAlignment="1">
      <alignment horizontal="center" vertical="center"/>
    </xf>
    <xf numFmtId="1" fontId="18" fillId="5" borderId="124" xfId="0" applyNumberFormat="1" applyFont="1" applyFill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24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2" xfId="0" applyFont="1" applyBorder="1" applyAlignment="1">
      <alignment horizontal="center" vertical="center"/>
    </xf>
    <xf numFmtId="0" fontId="18" fillId="8" borderId="112" xfId="0" applyFont="1" applyFill="1" applyBorder="1" applyAlignment="1">
      <alignment horizontal="center" vertical="center"/>
    </xf>
    <xf numFmtId="0" fontId="113" fillId="8" borderId="112" xfId="0" applyFont="1" applyFill="1" applyBorder="1"/>
    <xf numFmtId="0" fontId="19" fillId="0" borderId="126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24" xfId="0" applyFont="1" applyBorder="1" applyAlignment="1">
      <alignment horizontal="center" vertical="center"/>
    </xf>
    <xf numFmtId="0" fontId="19" fillId="7" borderId="124" xfId="0" applyFont="1" applyFill="1" applyBorder="1" applyAlignment="1">
      <alignment horizontal="center" vertical="center"/>
    </xf>
    <xf numFmtId="0" fontId="19" fillId="5" borderId="124" xfId="0" applyFont="1" applyFill="1" applyBorder="1" applyAlignment="1">
      <alignment horizontal="center" vertical="center"/>
    </xf>
    <xf numFmtId="0" fontId="19" fillId="50" borderId="124" xfId="0" applyFont="1" applyFill="1" applyBorder="1" applyAlignment="1">
      <alignment horizontal="center" vertical="center"/>
    </xf>
    <xf numFmtId="0" fontId="19" fillId="6" borderId="124" xfId="0" applyFont="1" applyFill="1" applyBorder="1" applyAlignment="1">
      <alignment horizontal="center" vertical="center"/>
    </xf>
    <xf numFmtId="2" fontId="19" fillId="7" borderId="124" xfId="0" applyNumberFormat="1" applyFont="1" applyFill="1" applyBorder="1" applyAlignment="1">
      <alignment horizontal="center" vertical="center"/>
    </xf>
    <xf numFmtId="2" fontId="19" fillId="5" borderId="124" xfId="0" applyNumberFormat="1" applyFont="1" applyFill="1" applyBorder="1" applyAlignment="1">
      <alignment horizontal="center" vertical="center"/>
    </xf>
    <xf numFmtId="2" fontId="19" fillId="6" borderId="124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9" fillId="8" borderId="124" xfId="0" applyNumberFormat="1" applyFont="1" applyFill="1" applyBorder="1" applyAlignment="1">
      <alignment horizontal="center"/>
    </xf>
    <xf numFmtId="1" fontId="19" fillId="7" borderId="124" xfId="0" applyNumberFormat="1" applyFont="1" applyFill="1" applyBorder="1" applyAlignment="1">
      <alignment horizontal="center"/>
    </xf>
    <xf numFmtId="1" fontId="19" fillId="5" borderId="124" xfId="0" applyNumberFormat="1" applyFont="1" applyFill="1" applyBorder="1" applyAlignment="1">
      <alignment horizontal="center"/>
    </xf>
    <xf numFmtId="1" fontId="19" fillId="6" borderId="124" xfId="0" applyNumberFormat="1" applyFont="1" applyFill="1" applyBorder="1" applyAlignment="1">
      <alignment horizont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24" xfId="0" quotePrefix="1" applyNumberFormat="1" applyFont="1" applyBorder="1" applyAlignment="1">
      <alignment horizontal="right" vertical="center"/>
    </xf>
    <xf numFmtId="1" fontId="48" fillId="0" borderId="124" xfId="0" applyNumberFormat="1" applyFont="1" applyBorder="1" applyAlignment="1">
      <alignment vertical="center"/>
    </xf>
    <xf numFmtId="1" fontId="48" fillId="7" borderId="124" xfId="0" applyNumberFormat="1" applyFont="1" applyFill="1" applyBorder="1" applyAlignment="1">
      <alignment vertical="center"/>
    </xf>
    <xf numFmtId="1" fontId="20" fillId="7" borderId="124" xfId="0" applyNumberFormat="1" applyFont="1" applyFill="1" applyBorder="1" applyAlignment="1">
      <alignment horizontal="center" vertical="center"/>
    </xf>
    <xf numFmtId="1" fontId="48" fillId="5" borderId="124" xfId="0" applyNumberFormat="1" applyFont="1" applyFill="1" applyBorder="1" applyAlignment="1">
      <alignment vertical="center"/>
    </xf>
    <xf numFmtId="1" fontId="20" fillId="5" borderId="124" xfId="0" applyNumberFormat="1" applyFont="1" applyFill="1" applyBorder="1" applyAlignment="1">
      <alignment horizontal="center" vertical="center"/>
    </xf>
    <xf numFmtId="0" fontId="20" fillId="8" borderId="124" xfId="0" applyFont="1" applyFill="1" applyBorder="1" applyAlignment="1">
      <alignment horizontal="left" vertical="center"/>
    </xf>
    <xf numFmtId="0" fontId="20" fillId="0" borderId="124" xfId="0" applyFont="1" applyBorder="1" applyAlignment="1">
      <alignment horizontal="left" vertical="center"/>
    </xf>
    <xf numFmtId="1" fontId="20" fillId="0" borderId="124" xfId="0" applyNumberFormat="1" applyFont="1" applyBorder="1" applyAlignment="1">
      <alignment vertical="center"/>
    </xf>
    <xf numFmtId="1" fontId="20" fillId="0" borderId="124" xfId="0" applyNumberFormat="1" applyFont="1" applyBorder="1" applyAlignment="1">
      <alignment horizontal="center" vertical="center"/>
    </xf>
    <xf numFmtId="1" fontId="20" fillId="7" borderId="124" xfId="0" applyNumberFormat="1" applyFont="1" applyFill="1" applyBorder="1" applyAlignment="1">
      <alignment vertical="center"/>
    </xf>
    <xf numFmtId="1" fontId="20" fillId="5" borderId="124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69" fontId="12" fillId="8" borderId="111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1" fillId="0" borderId="0" xfId="0" applyFont="1"/>
    <xf numFmtId="167" fontId="181" fillId="0" borderId="0" xfId="0" applyNumberFormat="1" applyFont="1" applyAlignment="1">
      <alignment horizontal="center" vertical="center"/>
    </xf>
    <xf numFmtId="1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8" borderId="0" xfId="0" applyFont="1" applyFill="1" applyAlignment="1">
      <alignment horizontal="center" vertical="center"/>
    </xf>
    <xf numFmtId="1" fontId="7" fillId="45" borderId="126" xfId="0" applyNumberFormat="1" applyFont="1" applyFill="1" applyBorder="1" applyAlignment="1">
      <alignment horizontal="center" vertical="center"/>
    </xf>
    <xf numFmtId="1" fontId="4" fillId="45" borderId="126" xfId="0" applyNumberFormat="1" applyFont="1" applyFill="1" applyBorder="1" applyAlignment="1">
      <alignment horizontal="center" vertical="center"/>
    </xf>
    <xf numFmtId="0" fontId="76" fillId="45" borderId="126" xfId="0" applyFont="1" applyFill="1" applyBorder="1" applyAlignment="1">
      <alignment horizontal="center" vertical="center"/>
    </xf>
    <xf numFmtId="167" fontId="7" fillId="45" borderId="126" xfId="0" applyNumberFormat="1" applyFont="1" applyFill="1" applyBorder="1" applyAlignment="1">
      <alignment horizontal="center" vertical="center"/>
    </xf>
    <xf numFmtId="167" fontId="4" fillId="45" borderId="126" xfId="0" applyNumberFormat="1" applyFont="1" applyFill="1" applyBorder="1" applyAlignment="1">
      <alignment horizontal="center" vertical="center"/>
    </xf>
    <xf numFmtId="167" fontId="7" fillId="45" borderId="114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22" xfId="0" applyFont="1" applyBorder="1" applyAlignment="1">
      <alignment horizontal="left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120" xfId="0" applyNumberFormat="1" applyFont="1" applyFill="1" applyBorder="1" applyAlignment="1">
      <alignment horizontal="center" vertical="center"/>
    </xf>
    <xf numFmtId="1" fontId="20" fillId="6" borderId="122" xfId="0" applyNumberFormat="1" applyFont="1" applyFill="1" applyBorder="1" applyAlignment="1">
      <alignment horizontal="center" vertical="center"/>
    </xf>
    <xf numFmtId="1" fontId="20" fillId="6" borderId="79" xfId="0" applyNumberFormat="1" applyFont="1" applyFill="1" applyBorder="1" applyAlignment="1">
      <alignment horizontal="center" vertical="center"/>
    </xf>
    <xf numFmtId="1" fontId="20" fillId="45" borderId="122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24" xfId="0" applyFont="1" applyBorder="1" applyAlignment="1">
      <alignment horizontal="left" vertical="center"/>
    </xf>
    <xf numFmtId="1" fontId="20" fillId="6" borderId="124" xfId="0" applyNumberFormat="1" applyFont="1" applyFill="1" applyBorder="1" applyAlignment="1">
      <alignment horizontal="center" vertical="center"/>
    </xf>
    <xf numFmtId="1" fontId="20" fillId="45" borderId="124" xfId="0" applyNumberFormat="1" applyFont="1" applyFill="1" applyBorder="1" applyAlignment="1">
      <alignment horizontal="center" vertical="center"/>
    </xf>
    <xf numFmtId="0" fontId="86" fillId="0" borderId="124" xfId="0" applyFont="1" applyBorder="1" applyAlignment="1">
      <alignment horizontal="left" vertical="center"/>
    </xf>
    <xf numFmtId="1" fontId="21" fillId="5" borderId="124" xfId="0" applyNumberFormat="1" applyFont="1" applyFill="1" applyBorder="1" applyAlignment="1">
      <alignment horizontal="center" vertical="center"/>
    </xf>
    <xf numFmtId="1" fontId="21" fillId="6" borderId="124" xfId="0" applyNumberFormat="1" applyFont="1" applyFill="1" applyBorder="1" applyAlignment="1">
      <alignment horizontal="center" vertical="center"/>
    </xf>
    <xf numFmtId="1" fontId="21" fillId="7" borderId="124" xfId="0" applyNumberFormat="1" applyFont="1" applyFill="1" applyBorder="1" applyAlignment="1">
      <alignment horizontal="center" vertical="center"/>
    </xf>
    <xf numFmtId="1" fontId="21" fillId="45" borderId="124" xfId="0" applyNumberFormat="1" applyFont="1" applyFill="1" applyBorder="1" applyAlignment="1">
      <alignment horizontal="center" vertical="center"/>
    </xf>
    <xf numFmtId="0" fontId="76" fillId="8" borderId="124" xfId="0" applyFont="1" applyFill="1" applyBorder="1" applyAlignment="1">
      <alignment horizontal="left" vertical="center"/>
    </xf>
    <xf numFmtId="0" fontId="45" fillId="8" borderId="112" xfId="0" applyFont="1" applyFill="1" applyBorder="1" applyAlignment="1">
      <alignment horizontal="center" vertical="center"/>
    </xf>
    <xf numFmtId="0" fontId="45" fillId="8" borderId="124" xfId="0" applyFont="1" applyFill="1" applyBorder="1" applyAlignment="1">
      <alignment horizontal="center" vertical="center"/>
    </xf>
    <xf numFmtId="0" fontId="45" fillId="45" borderId="124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2" xfId="0" applyNumberFormat="1" applyFont="1" applyBorder="1" applyAlignment="1">
      <alignment horizontal="center" vertical="center"/>
    </xf>
    <xf numFmtId="167" fontId="20" fillId="5" borderId="124" xfId="0" applyNumberFormat="1" applyFont="1" applyFill="1" applyBorder="1" applyAlignment="1">
      <alignment horizontal="center" vertical="center"/>
    </xf>
    <xf numFmtId="167" fontId="20" fillId="6" borderId="124" xfId="0" applyNumberFormat="1" applyFont="1" applyFill="1" applyBorder="1" applyAlignment="1">
      <alignment horizontal="center" vertical="center"/>
    </xf>
    <xf numFmtId="167" fontId="20" fillId="45" borderId="124" xfId="0" applyNumberFormat="1" applyFont="1" applyFill="1" applyBorder="1" applyAlignment="1">
      <alignment horizontal="center" vertical="center"/>
    </xf>
    <xf numFmtId="167" fontId="20" fillId="7" borderId="124" xfId="0" applyNumberFormat="1" applyFont="1" applyFill="1" applyBorder="1" applyAlignment="1">
      <alignment horizontal="center" vertical="center"/>
    </xf>
    <xf numFmtId="167" fontId="21" fillId="0" borderId="112" xfId="0" applyNumberFormat="1" applyFont="1" applyBorder="1" applyAlignment="1">
      <alignment horizontal="center" vertical="center"/>
    </xf>
    <xf numFmtId="167" fontId="21" fillId="5" borderId="124" xfId="0" applyNumberFormat="1" applyFont="1" applyFill="1" applyBorder="1" applyAlignment="1">
      <alignment horizontal="center" vertical="center"/>
    </xf>
    <xf numFmtId="167" fontId="21" fillId="6" borderId="124" xfId="0" applyNumberFormat="1" applyFont="1" applyFill="1" applyBorder="1" applyAlignment="1">
      <alignment horizontal="center" vertical="center"/>
    </xf>
    <xf numFmtId="167" fontId="21" fillId="7" borderId="124" xfId="0" applyNumberFormat="1" applyFont="1" applyFill="1" applyBorder="1" applyAlignment="1">
      <alignment horizontal="center" vertical="center"/>
    </xf>
    <xf numFmtId="167" fontId="21" fillId="45" borderId="124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16" xfId="0" applyNumberFormat="1" applyFont="1" applyBorder="1" applyAlignment="1">
      <alignment horizontal="center" vertical="center"/>
    </xf>
    <xf numFmtId="167" fontId="20" fillId="5" borderId="122" xfId="0" applyNumberFormat="1" applyFont="1" applyFill="1" applyBorder="1" applyAlignment="1">
      <alignment horizontal="center" vertical="center"/>
    </xf>
    <xf numFmtId="167" fontId="20" fillId="6" borderId="122" xfId="0" applyNumberFormat="1" applyFont="1" applyFill="1" applyBorder="1" applyAlignment="1">
      <alignment horizontal="center" vertical="center"/>
    </xf>
    <xf numFmtId="167" fontId="20" fillId="45" borderId="122" xfId="0" applyNumberFormat="1" applyFont="1" applyFill="1" applyBorder="1" applyAlignment="1">
      <alignment horizontal="center" vertical="center"/>
    </xf>
    <xf numFmtId="167" fontId="20" fillId="45" borderId="120" xfId="0" applyNumberFormat="1" applyFont="1" applyFill="1" applyBorder="1" applyAlignment="1">
      <alignment horizontal="center" vertical="center"/>
    </xf>
    <xf numFmtId="167" fontId="21" fillId="0" borderId="116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82" fillId="8" borderId="111" xfId="0" applyFont="1" applyFill="1" applyBorder="1" applyAlignment="1">
      <alignment horizontal="center" vertical="center"/>
    </xf>
    <xf numFmtId="0" fontId="183" fillId="8" borderId="111" xfId="0" applyFont="1" applyFill="1" applyBorder="1" applyAlignment="1">
      <alignment horizontal="center"/>
    </xf>
    <xf numFmtId="0" fontId="182" fillId="8" borderId="111" xfId="0" applyFont="1" applyFill="1" applyBorder="1" applyAlignment="1">
      <alignment horizontal="center"/>
    </xf>
    <xf numFmtId="0" fontId="184" fillId="8" borderId="111" xfId="0" applyFont="1" applyFill="1" applyBorder="1" applyAlignment="1">
      <alignment horizontal="center"/>
    </xf>
    <xf numFmtId="0" fontId="185" fillId="8" borderId="111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1" fillId="8" borderId="0" xfId="0" applyNumberFormat="1" applyFont="1" applyFill="1" applyAlignment="1">
      <alignment horizontal="center" vertical="center"/>
    </xf>
    <xf numFmtId="167" fontId="181" fillId="0" borderId="0" xfId="0" applyNumberFormat="1" applyFont="1" applyFill="1" applyAlignment="1">
      <alignment horizontal="center" vertical="center"/>
    </xf>
    <xf numFmtId="1" fontId="181" fillId="8" borderId="0" xfId="0" applyNumberFormat="1" applyFont="1" applyFill="1" applyAlignment="1">
      <alignment horizontal="center" vertical="center"/>
    </xf>
    <xf numFmtId="1" fontId="181" fillId="0" borderId="0" xfId="0" applyNumberFormat="1" applyFont="1" applyFill="1" applyAlignment="1">
      <alignment horizontal="center" vertical="center"/>
    </xf>
    <xf numFmtId="2" fontId="181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86" fillId="0" borderId="10" xfId="0" applyFont="1" applyBorder="1" applyAlignment="1">
      <alignment horizontal="center" vertical="center"/>
    </xf>
    <xf numFmtId="0" fontId="186" fillId="6" borderId="10" xfId="0" applyFont="1" applyFill="1" applyBorder="1" applyAlignment="1">
      <alignment horizontal="center" vertical="center"/>
    </xf>
    <xf numFmtId="0" fontId="187" fillId="0" borderId="10" xfId="0" applyFont="1" applyBorder="1"/>
    <xf numFmtId="0" fontId="187" fillId="8" borderId="10" xfId="0" applyFont="1" applyFill="1" applyBorder="1"/>
    <xf numFmtId="1" fontId="187" fillId="0" borderId="10" xfId="0" applyNumberFormat="1" applyFont="1" applyBorder="1" applyAlignment="1">
      <alignment horizontal="center"/>
    </xf>
    <xf numFmtId="1" fontId="187" fillId="7" borderId="10" xfId="0" applyNumberFormat="1" applyFont="1" applyFill="1" applyBorder="1" applyAlignment="1">
      <alignment horizontal="center"/>
    </xf>
    <xf numFmtId="1" fontId="187" fillId="5" borderId="10" xfId="0" applyNumberFormat="1" applyFont="1" applyFill="1" applyBorder="1" applyAlignment="1">
      <alignment horizontal="center"/>
    </xf>
    <xf numFmtId="0" fontId="187" fillId="0" borderId="0" xfId="0" applyFont="1"/>
    <xf numFmtId="1" fontId="187" fillId="8" borderId="111" xfId="0" applyNumberFormat="1" applyFont="1" applyFill="1" applyBorder="1" applyAlignment="1">
      <alignment horizontal="center"/>
    </xf>
    <xf numFmtId="1" fontId="187" fillId="6" borderId="111" xfId="0" applyNumberFormat="1" applyFont="1" applyFill="1" applyBorder="1" applyAlignment="1">
      <alignment horizontal="center"/>
    </xf>
    <xf numFmtId="1" fontId="187" fillId="6" borderId="10" xfId="0" applyNumberFormat="1" applyFont="1" applyFill="1" applyBorder="1" applyAlignment="1">
      <alignment horizontal="center"/>
    </xf>
    <xf numFmtId="0" fontId="187" fillId="0" borderId="111" xfId="0" applyFont="1" applyBorder="1"/>
    <xf numFmtId="0" fontId="187" fillId="8" borderId="111" xfId="0" applyFont="1" applyFill="1" applyBorder="1"/>
    <xf numFmtId="1" fontId="187" fillId="0" borderId="111" xfId="0" applyNumberFormat="1" applyFont="1" applyBorder="1" applyAlignment="1">
      <alignment horizontal="center"/>
    </xf>
    <xf numFmtId="1" fontId="187" fillId="5" borderId="111" xfId="0" applyNumberFormat="1" applyFont="1" applyFill="1" applyBorder="1" applyAlignment="1">
      <alignment horizontal="center"/>
    </xf>
    <xf numFmtId="1" fontId="187" fillId="7" borderId="111" xfId="0" applyNumberFormat="1" applyFont="1" applyFill="1" applyBorder="1" applyAlignment="1">
      <alignment horizontal="center"/>
    </xf>
    <xf numFmtId="1" fontId="187" fillId="0" borderId="0" xfId="0" applyNumberFormat="1" applyFont="1"/>
    <xf numFmtId="0" fontId="186" fillId="43" borderId="10" xfId="0" applyFont="1" applyFill="1" applyBorder="1"/>
    <xf numFmtId="1" fontId="186" fillId="43" borderId="10" xfId="0" applyNumberFormat="1" applyFont="1" applyFill="1" applyBorder="1" applyAlignment="1">
      <alignment horizontal="center"/>
    </xf>
    <xf numFmtId="1" fontId="186" fillId="7" borderId="10" xfId="0" applyNumberFormat="1" applyFont="1" applyFill="1" applyBorder="1" applyAlignment="1">
      <alignment horizontal="center"/>
    </xf>
    <xf numFmtId="1" fontId="186" fillId="5" borderId="10" xfId="0" applyNumberFormat="1" applyFont="1" applyFill="1" applyBorder="1" applyAlignment="1">
      <alignment horizontal="center"/>
    </xf>
    <xf numFmtId="1" fontId="186" fillId="6" borderId="10" xfId="0" applyNumberFormat="1" applyFont="1" applyFill="1" applyBorder="1" applyAlignment="1">
      <alignment horizontal="center"/>
    </xf>
    <xf numFmtId="1" fontId="187" fillId="8" borderId="10" xfId="0" applyNumberFormat="1" applyFont="1" applyFill="1" applyBorder="1" applyAlignment="1">
      <alignment horizontal="center"/>
    </xf>
    <xf numFmtId="0" fontId="187" fillId="0" borderId="110" xfId="0" applyFont="1" applyBorder="1"/>
    <xf numFmtId="1" fontId="187" fillId="8" borderId="110" xfId="0" applyNumberFormat="1" applyFont="1" applyFill="1" applyBorder="1" applyAlignment="1">
      <alignment horizontal="center"/>
    </xf>
    <xf numFmtId="1" fontId="187" fillId="7" borderId="110" xfId="0" applyNumberFormat="1" applyFont="1" applyFill="1" applyBorder="1" applyAlignment="1">
      <alignment horizontal="center"/>
    </xf>
    <xf numFmtId="1" fontId="187" fillId="5" borderId="110" xfId="0" applyNumberFormat="1" applyFont="1" applyFill="1" applyBorder="1" applyAlignment="1">
      <alignment horizontal="center"/>
    </xf>
    <xf numFmtId="0" fontId="187" fillId="0" borderId="123" xfId="0" applyFont="1" applyBorder="1"/>
    <xf numFmtId="1" fontId="187" fillId="8" borderId="123" xfId="0" applyNumberFormat="1" applyFont="1" applyFill="1" applyBorder="1" applyAlignment="1">
      <alignment horizontal="center"/>
    </xf>
    <xf numFmtId="1" fontId="187" fillId="7" borderId="123" xfId="0" applyNumberFormat="1" applyFont="1" applyFill="1" applyBorder="1" applyAlignment="1">
      <alignment horizontal="center"/>
    </xf>
    <xf numFmtId="1" fontId="187" fillId="5" borderId="123" xfId="0" applyNumberFormat="1" applyFont="1" applyFill="1" applyBorder="1" applyAlignment="1">
      <alignment horizontal="center"/>
    </xf>
    <xf numFmtId="1" fontId="187" fillId="6" borderId="123" xfId="0" applyNumberFormat="1" applyFont="1" applyFill="1" applyBorder="1" applyAlignment="1">
      <alignment horizontal="center"/>
    </xf>
    <xf numFmtId="0" fontId="187" fillId="8" borderId="10" xfId="0" applyFont="1" applyFill="1" applyBorder="1" applyAlignment="1">
      <alignment horizontal="center"/>
    </xf>
    <xf numFmtId="0" fontId="187" fillId="7" borderId="10" xfId="0" applyFont="1" applyFill="1" applyBorder="1" applyAlignment="1">
      <alignment horizontal="center"/>
    </xf>
    <xf numFmtId="0" fontId="187" fillId="5" borderId="10" xfId="0" applyFont="1" applyFill="1" applyBorder="1" applyAlignment="1">
      <alignment horizontal="center"/>
    </xf>
    <xf numFmtId="0" fontId="188" fillId="0" borderId="10" xfId="0" applyFont="1" applyBorder="1"/>
    <xf numFmtId="0" fontId="189" fillId="0" borderId="10" xfId="0" applyFont="1" applyBorder="1"/>
    <xf numFmtId="1" fontId="188" fillId="8" borderId="10" xfId="0" applyNumberFormat="1" applyFont="1" applyFill="1" applyBorder="1" applyAlignment="1">
      <alignment horizontal="center"/>
    </xf>
    <xf numFmtId="0" fontId="188" fillId="0" borderId="10" xfId="0" applyFont="1" applyBorder="1" applyAlignment="1">
      <alignment horizontal="center"/>
    </xf>
    <xf numFmtId="0" fontId="188" fillId="7" borderId="10" xfId="0" applyFont="1" applyFill="1" applyBorder="1" applyAlignment="1">
      <alignment horizontal="center"/>
    </xf>
    <xf numFmtId="0" fontId="188" fillId="5" borderId="10" xfId="0" applyFont="1" applyFill="1" applyBorder="1" applyAlignment="1">
      <alignment horizontal="center"/>
    </xf>
    <xf numFmtId="1" fontId="188" fillId="0" borderId="10" xfId="0" applyNumberFormat="1" applyFont="1" applyBorder="1" applyAlignment="1">
      <alignment horizontal="center"/>
    </xf>
    <xf numFmtId="0" fontId="188" fillId="0" borderId="0" xfId="0" applyFont="1"/>
    <xf numFmtId="1" fontId="188" fillId="8" borderId="29" xfId="0" applyNumberFormat="1" applyFont="1" applyFill="1" applyBorder="1" applyAlignment="1">
      <alignment horizontal="center"/>
    </xf>
    <xf numFmtId="0" fontId="189" fillId="0" borderId="0" xfId="0" applyFont="1"/>
    <xf numFmtId="0" fontId="187" fillId="0" borderId="10" xfId="0" applyFont="1" applyBorder="1" applyAlignment="1">
      <alignment horizontal="center"/>
    </xf>
    <xf numFmtId="1" fontId="187" fillId="8" borderId="29" xfId="0" applyNumberFormat="1" applyFont="1" applyFill="1" applyBorder="1" applyAlignment="1">
      <alignment horizontal="center"/>
    </xf>
    <xf numFmtId="0" fontId="186" fillId="0" borderId="10" xfId="0" applyFont="1" applyBorder="1"/>
    <xf numFmtId="1" fontId="186" fillId="4" borderId="10" xfId="0" applyNumberFormat="1" applyFont="1" applyFill="1" applyBorder="1" applyAlignment="1">
      <alignment horizontal="center"/>
    </xf>
    <xf numFmtId="0" fontId="187" fillId="0" borderId="10" xfId="0" applyFont="1" applyBorder="1" applyAlignment="1">
      <alignment horizontal="center" vertical="center"/>
    </xf>
    <xf numFmtId="9" fontId="186" fillId="8" borderId="10" xfId="22" applyFont="1" applyFill="1" applyBorder="1" applyAlignment="1">
      <alignment horizontal="center"/>
    </xf>
    <xf numFmtId="9" fontId="186" fillId="7" borderId="10" xfId="22" applyFont="1" applyFill="1" applyBorder="1" applyAlignment="1">
      <alignment horizontal="center"/>
    </xf>
    <xf numFmtId="9" fontId="186" fillId="6" borderId="10" xfId="22" applyFont="1" applyFill="1" applyBorder="1" applyAlignment="1">
      <alignment horizontal="center"/>
    </xf>
    <xf numFmtId="0" fontId="187" fillId="8" borderId="0" xfId="0" applyFont="1" applyFill="1"/>
    <xf numFmtId="0" fontId="187" fillId="7" borderId="0" xfId="0" applyFont="1" applyFill="1"/>
    <xf numFmtId="0" fontId="187" fillId="5" borderId="0" xfId="0" applyFont="1" applyFill="1"/>
    <xf numFmtId="0" fontId="187" fillId="6" borderId="0" xfId="0" applyFont="1" applyFill="1"/>
    <xf numFmtId="0" fontId="186" fillId="8" borderId="10" xfId="0" applyFont="1" applyFill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1" fontId="187" fillId="7" borderId="0" xfId="0" applyNumberFormat="1" applyFont="1" applyFill="1"/>
    <xf numFmtId="1" fontId="187" fillId="5" borderId="0" xfId="0" applyNumberFormat="1" applyFont="1" applyFill="1"/>
    <xf numFmtId="1" fontId="187" fillId="8" borderId="0" xfId="0" applyNumberFormat="1" applyFont="1" applyFill="1"/>
    <xf numFmtId="1" fontId="187" fillId="6" borderId="0" xfId="0" applyNumberFormat="1" applyFont="1" applyFill="1"/>
    <xf numFmtId="0" fontId="187" fillId="0" borderId="41" xfId="0" applyFont="1" applyBorder="1"/>
    <xf numFmtId="0" fontId="187" fillId="0" borderId="46" xfId="0" applyFont="1" applyBorder="1"/>
    <xf numFmtId="0" fontId="187" fillId="0" borderId="23" xfId="0" applyFont="1" applyBorder="1"/>
    <xf numFmtId="0" fontId="187" fillId="0" borderId="30" xfId="0" applyFont="1" applyBorder="1"/>
    <xf numFmtId="0" fontId="187" fillId="0" borderId="40" xfId="0" applyFont="1" applyBorder="1" applyAlignment="1">
      <alignment horizontal="center" vertical="center"/>
    </xf>
    <xf numFmtId="0" fontId="186" fillId="8" borderId="111" xfId="0" applyFont="1" applyFill="1" applyBorder="1" applyAlignment="1">
      <alignment horizontal="center" vertical="center"/>
    </xf>
    <xf numFmtId="0" fontId="186" fillId="6" borderId="29" xfId="0" applyFont="1" applyFill="1" applyBorder="1" applyAlignment="1">
      <alignment horizontal="center" vertical="center"/>
    </xf>
    <xf numFmtId="0" fontId="187" fillId="0" borderId="59" xfId="0" applyFont="1" applyBorder="1" applyAlignment="1">
      <alignment horizontal="right" vertical="center"/>
    </xf>
    <xf numFmtId="1" fontId="187" fillId="0" borderId="23" xfId="0" applyNumberFormat="1" applyFont="1" applyBorder="1" applyAlignment="1">
      <alignment horizontal="center" vertical="center"/>
    </xf>
    <xf numFmtId="9" fontId="187" fillId="7" borderId="23" xfId="22" applyFont="1" applyFill="1" applyBorder="1" applyAlignment="1">
      <alignment horizontal="center" vertical="center"/>
    </xf>
    <xf numFmtId="9" fontId="187" fillId="5" borderId="23" xfId="22" applyFont="1" applyFill="1" applyBorder="1" applyAlignment="1">
      <alignment horizontal="center" vertical="center"/>
    </xf>
    <xf numFmtId="9" fontId="187" fillId="6" borderId="23" xfId="22" applyFont="1" applyFill="1" applyBorder="1" applyAlignment="1">
      <alignment horizontal="center" vertical="center"/>
    </xf>
    <xf numFmtId="0" fontId="187" fillId="0" borderId="38" xfId="0" applyFont="1" applyBorder="1" applyAlignment="1">
      <alignment horizontal="right" vertical="center"/>
    </xf>
    <xf numFmtId="1" fontId="187" fillId="0" borderId="46" xfId="0" applyNumberFormat="1" applyFont="1" applyBorder="1" applyAlignment="1">
      <alignment horizontal="center" vertical="center"/>
    </xf>
    <xf numFmtId="1" fontId="187" fillId="7" borderId="46" xfId="0" applyNumberFormat="1" applyFont="1" applyFill="1" applyBorder="1" applyAlignment="1">
      <alignment horizontal="center" vertical="center"/>
    </xf>
    <xf numFmtId="1" fontId="187" fillId="5" borderId="46" xfId="0" applyNumberFormat="1" applyFont="1" applyFill="1" applyBorder="1" applyAlignment="1">
      <alignment horizontal="center" vertical="center"/>
    </xf>
    <xf numFmtId="1" fontId="187" fillId="6" borderId="46" xfId="0" applyNumberFormat="1" applyFont="1" applyFill="1" applyBorder="1" applyAlignment="1">
      <alignment horizontal="center" vertical="center"/>
    </xf>
    <xf numFmtId="0" fontId="187" fillId="0" borderId="3" xfId="0" applyFont="1" applyBorder="1" applyAlignment="1">
      <alignment horizontal="left" vertical="center"/>
    </xf>
    <xf numFmtId="1" fontId="187" fillId="0" borderId="41" xfId="0" applyNumberFormat="1" applyFont="1" applyBorder="1" applyAlignment="1">
      <alignment horizontal="center" vertical="center"/>
    </xf>
    <xf numFmtId="0" fontId="187" fillId="0" borderId="41" xfId="0" applyFont="1" applyBorder="1" applyAlignment="1">
      <alignment horizontal="center" vertical="center"/>
    </xf>
    <xf numFmtId="0" fontId="187" fillId="0" borderId="59" xfId="0" applyFont="1" applyBorder="1" applyAlignment="1">
      <alignment horizontal="left" vertical="center"/>
    </xf>
    <xf numFmtId="9" fontId="187" fillId="0" borderId="23" xfId="22" applyFont="1" applyBorder="1" applyAlignment="1">
      <alignment horizontal="center" vertical="center"/>
    </xf>
    <xf numFmtId="1" fontId="187" fillId="0" borderId="30" xfId="0" applyNumberFormat="1" applyFont="1" applyBorder="1" applyAlignment="1">
      <alignment horizontal="center" vertical="center"/>
    </xf>
    <xf numFmtId="1" fontId="187" fillId="7" borderId="41" xfId="0" applyNumberFormat="1" applyFont="1" applyFill="1" applyBorder="1" applyAlignment="1">
      <alignment horizontal="center"/>
    </xf>
    <xf numFmtId="1" fontId="187" fillId="5" borderId="41" xfId="0" applyNumberFormat="1" applyFont="1" applyFill="1" applyBorder="1" applyAlignment="1">
      <alignment horizontal="center"/>
    </xf>
    <xf numFmtId="1" fontId="187" fillId="6" borderId="41" xfId="0" applyNumberFormat="1" applyFont="1" applyFill="1" applyBorder="1" applyAlignment="1">
      <alignment horizontal="center"/>
    </xf>
    <xf numFmtId="1" fontId="187" fillId="7" borderId="42" xfId="0" applyNumberFormat="1" applyFont="1" applyFill="1" applyBorder="1" applyAlignment="1">
      <alignment horizontal="center"/>
    </xf>
    <xf numFmtId="0" fontId="187" fillId="0" borderId="126" xfId="0" applyFont="1" applyBorder="1" applyAlignment="1">
      <alignment horizontal="left" vertical="center"/>
    </xf>
    <xf numFmtId="0" fontId="187" fillId="0" borderId="124" xfId="0" applyFont="1" applyBorder="1"/>
    <xf numFmtId="1" fontId="187" fillId="0" borderId="124" xfId="0" applyNumberFormat="1" applyFont="1" applyBorder="1" applyAlignment="1">
      <alignment horizontal="center" vertical="center"/>
    </xf>
    <xf numFmtId="1" fontId="187" fillId="7" borderId="124" xfId="0" applyNumberFormat="1" applyFont="1" applyFill="1" applyBorder="1" applyAlignment="1">
      <alignment horizontal="center"/>
    </xf>
    <xf numFmtId="1" fontId="187" fillId="5" borderId="124" xfId="0" applyNumberFormat="1" applyFont="1" applyFill="1" applyBorder="1" applyAlignment="1">
      <alignment horizontal="center"/>
    </xf>
    <xf numFmtId="1" fontId="187" fillId="6" borderId="124" xfId="0" applyNumberFormat="1" applyFont="1" applyFill="1" applyBorder="1" applyAlignment="1">
      <alignment horizontal="center"/>
    </xf>
    <xf numFmtId="1" fontId="187" fillId="7" borderId="17" xfId="0" applyNumberFormat="1" applyFont="1" applyFill="1" applyBorder="1" applyAlignment="1">
      <alignment horizontal="center"/>
    </xf>
    <xf numFmtId="9" fontId="187" fillId="0" borderId="124" xfId="22" applyFont="1" applyBorder="1" applyAlignment="1">
      <alignment horizontal="center" vertical="center"/>
    </xf>
    <xf numFmtId="9" fontId="187" fillId="7" borderId="124" xfId="22" applyFont="1" applyFill="1" applyBorder="1" applyAlignment="1">
      <alignment horizontal="center" vertical="center"/>
    </xf>
    <xf numFmtId="9" fontId="187" fillId="5" borderId="124" xfId="22" applyFont="1" applyFill="1" applyBorder="1" applyAlignment="1">
      <alignment horizontal="center" vertical="center"/>
    </xf>
    <xf numFmtId="9" fontId="187" fillId="6" borderId="124" xfId="22" applyFont="1" applyFill="1" applyBorder="1" applyAlignment="1">
      <alignment horizontal="center" vertical="center"/>
    </xf>
    <xf numFmtId="9" fontId="187" fillId="7" borderId="17" xfId="22" applyFont="1" applyFill="1" applyBorder="1" applyAlignment="1">
      <alignment horizontal="center" vertical="center"/>
    </xf>
    <xf numFmtId="0" fontId="187" fillId="8" borderId="126" xfId="0" applyFont="1" applyFill="1" applyBorder="1" applyAlignment="1">
      <alignment horizontal="right" vertical="center"/>
    </xf>
    <xf numFmtId="0" fontId="187" fillId="8" borderId="124" xfId="0" applyFont="1" applyFill="1" applyBorder="1"/>
    <xf numFmtId="1" fontId="187" fillId="8" borderId="124" xfId="0" applyNumberFormat="1" applyFont="1" applyFill="1" applyBorder="1" applyAlignment="1">
      <alignment horizontal="center" vertical="center"/>
    </xf>
    <xf numFmtId="0" fontId="187" fillId="0" borderId="126" xfId="0" applyFont="1" applyBorder="1" applyAlignment="1">
      <alignment horizontal="right" vertical="center"/>
    </xf>
    <xf numFmtId="1" fontId="187" fillId="7" borderId="23" xfId="0" applyNumberFormat="1" applyFont="1" applyFill="1" applyBorder="1" applyAlignment="1">
      <alignment horizontal="center"/>
    </xf>
    <xf numFmtId="1" fontId="187" fillId="5" borderId="23" xfId="0" applyNumberFormat="1" applyFont="1" applyFill="1" applyBorder="1" applyAlignment="1">
      <alignment horizontal="center"/>
    </xf>
    <xf numFmtId="1" fontId="187" fillId="6" borderId="23" xfId="0" applyNumberFormat="1" applyFont="1" applyFill="1" applyBorder="1" applyAlignment="1">
      <alignment horizontal="center"/>
    </xf>
    <xf numFmtId="1" fontId="18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8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1" fontId="189" fillId="8" borderId="124" xfId="0" applyNumberFormat="1" applyFont="1" applyFill="1" applyBorder="1" applyAlignment="1">
      <alignment horizontal="center" vertical="center"/>
    </xf>
    <xf numFmtId="0" fontId="189" fillId="0" borderId="25" xfId="0" applyFont="1" applyBorder="1"/>
    <xf numFmtId="1" fontId="189" fillId="0" borderId="5" xfId="0" applyNumberFormat="1" applyFont="1" applyBorder="1" applyAlignment="1">
      <alignment horizontal="center" vertical="center"/>
    </xf>
    <xf numFmtId="1" fontId="189" fillId="7" borderId="5" xfId="0" applyNumberFormat="1" applyFont="1" applyFill="1" applyBorder="1" applyAlignment="1">
      <alignment horizontal="center"/>
    </xf>
    <xf numFmtId="1" fontId="189" fillId="5" borderId="5" xfId="0" applyNumberFormat="1" applyFont="1" applyFill="1" applyBorder="1" applyAlignment="1">
      <alignment horizontal="center"/>
    </xf>
    <xf numFmtId="1" fontId="189" fillId="6" borderId="5" xfId="0" applyNumberFormat="1" applyFont="1" applyFill="1" applyBorder="1" applyAlignment="1">
      <alignment horizontal="center"/>
    </xf>
    <xf numFmtId="1" fontId="189" fillId="7" borderId="11" xfId="0" applyNumberFormat="1" applyFont="1" applyFill="1" applyBorder="1" applyAlignment="1">
      <alignment horizontal="center"/>
    </xf>
    <xf numFmtId="1" fontId="187" fillId="0" borderId="124" xfId="0" applyNumberFormat="1" applyFont="1" applyBorder="1" applyAlignment="1">
      <alignment horizontal="center"/>
    </xf>
    <xf numFmtId="1" fontId="187" fillId="8" borderId="124" xfId="0" applyNumberFormat="1" applyFont="1" applyFill="1" applyBorder="1" applyAlignment="1">
      <alignment horizontal="center"/>
    </xf>
    <xf numFmtId="0" fontId="187" fillId="0" borderId="127" xfId="0" applyFont="1" applyBorder="1"/>
    <xf numFmtId="1" fontId="187" fillId="0" borderId="127" xfId="0" applyNumberFormat="1" applyFont="1" applyBorder="1" applyAlignment="1">
      <alignment horizontal="center"/>
    </xf>
    <xf numFmtId="1" fontId="187" fillId="7" borderId="127" xfId="0" applyNumberFormat="1" applyFont="1" applyFill="1" applyBorder="1" applyAlignment="1">
      <alignment horizontal="center"/>
    </xf>
    <xf numFmtId="1" fontId="187" fillId="5" borderId="127" xfId="0" applyNumberFormat="1" applyFont="1" applyFill="1" applyBorder="1" applyAlignment="1">
      <alignment horizontal="center"/>
    </xf>
    <xf numFmtId="1" fontId="187" fillId="8" borderId="127" xfId="0" applyNumberFormat="1" applyFont="1" applyFill="1" applyBorder="1" applyAlignment="1">
      <alignment horizontal="center"/>
    </xf>
    <xf numFmtId="1" fontId="187" fillId="6" borderId="127" xfId="0" applyNumberFormat="1" applyFont="1" applyFill="1" applyBorder="1" applyAlignment="1">
      <alignment horizontal="center"/>
    </xf>
    <xf numFmtId="0" fontId="187" fillId="8" borderId="127" xfId="0" applyFont="1" applyFill="1" applyBorder="1"/>
    <xf numFmtId="1" fontId="11" fillId="8" borderId="124" xfId="0" applyNumberFormat="1" applyFont="1" applyFill="1" applyBorder="1" applyAlignment="1">
      <alignment horizontal="center" vertical="center"/>
    </xf>
    <xf numFmtId="1" fontId="11" fillId="7" borderId="124" xfId="0" applyNumberFormat="1" applyFont="1" applyFill="1" applyBorder="1" applyAlignment="1">
      <alignment horizontal="center" vertical="center"/>
    </xf>
    <xf numFmtId="1" fontId="11" fillId="5" borderId="124" xfId="0" applyNumberFormat="1" applyFont="1" applyFill="1" applyBorder="1" applyAlignment="1">
      <alignment horizontal="center" vertical="center"/>
    </xf>
    <xf numFmtId="1" fontId="11" fillId="6" borderId="124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187" fillId="0" borderId="0" xfId="0" applyNumberFormat="1" applyFont="1" applyBorder="1" applyAlignment="1">
      <alignment horizontal="center"/>
    </xf>
    <xf numFmtId="1" fontId="186" fillId="43" borderId="127" xfId="0" applyNumberFormat="1" applyFont="1" applyFill="1" applyBorder="1" applyAlignment="1">
      <alignment horizontal="center"/>
    </xf>
    <xf numFmtId="1" fontId="187" fillId="8" borderId="0" xfId="0" applyNumberFormat="1" applyFont="1" applyFill="1" applyBorder="1" applyAlignment="1">
      <alignment horizontal="center"/>
    </xf>
    <xf numFmtId="1" fontId="188" fillId="0" borderId="0" xfId="0" applyNumberFormat="1" applyFont="1" applyBorder="1" applyAlignment="1">
      <alignment horizontal="center"/>
    </xf>
    <xf numFmtId="0" fontId="187" fillId="0" borderId="0" xfId="0" applyFont="1" applyBorder="1" applyAlignment="1">
      <alignment horizontal="center"/>
    </xf>
    <xf numFmtId="1" fontId="186" fillId="4" borderId="127" xfId="0" applyNumberFormat="1" applyFont="1" applyFill="1" applyBorder="1" applyAlignment="1">
      <alignment horizontal="center"/>
    </xf>
    <xf numFmtId="9" fontId="186" fillId="8" borderId="127" xfId="22" applyFont="1" applyFill="1" applyBorder="1" applyAlignment="1">
      <alignment horizontal="center"/>
    </xf>
    <xf numFmtId="1" fontId="14" fillId="57" borderId="127" xfId="0" applyNumberFormat="1" applyFont="1" applyFill="1" applyBorder="1" applyAlignment="1">
      <alignment horizontal="center" vertical="center"/>
    </xf>
    <xf numFmtId="1" fontId="187" fillId="0" borderId="127" xfId="0" applyNumberFormat="1" applyFont="1" applyBorder="1" applyAlignment="1">
      <alignment horizontal="center" vertical="center"/>
    </xf>
    <xf numFmtId="9" fontId="187" fillId="0" borderId="127" xfId="22" applyFont="1" applyBorder="1" applyAlignment="1">
      <alignment horizontal="center" vertical="center"/>
    </xf>
    <xf numFmtId="1" fontId="187" fillId="8" borderId="127" xfId="0" applyNumberFormat="1" applyFont="1" applyFill="1" applyBorder="1" applyAlignment="1">
      <alignment horizontal="center" vertical="center"/>
    </xf>
    <xf numFmtId="1" fontId="189" fillId="8" borderId="127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0" fontId="0" fillId="0" borderId="0" xfId="0" applyFont="1"/>
    <xf numFmtId="164" fontId="20" fillId="8" borderId="130" xfId="0" quotePrefix="1" applyNumberFormat="1" applyFont="1" applyFill="1" applyBorder="1" applyAlignment="1">
      <alignment horizontal="left" vertical="center"/>
    </xf>
    <xf numFmtId="0" fontId="20" fillId="0" borderId="130" xfId="0" applyFont="1" applyBorder="1" applyAlignment="1">
      <alignment horizontal="center" vertical="center"/>
    </xf>
    <xf numFmtId="1" fontId="21" fillId="8" borderId="130" xfId="0" applyNumberFormat="1" applyFont="1" applyFill="1" applyBorder="1" applyAlignment="1">
      <alignment vertical="center"/>
    </xf>
    <xf numFmtId="1" fontId="20" fillId="0" borderId="130" xfId="0" applyNumberFormat="1" applyFont="1" applyBorder="1" applyAlignment="1">
      <alignment horizontal="center" vertical="center"/>
    </xf>
    <xf numFmtId="1" fontId="21" fillId="7" borderId="130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/>
    </xf>
    <xf numFmtId="0" fontId="86" fillId="0" borderId="130" xfId="0" applyFont="1" applyBorder="1" applyAlignment="1">
      <alignment horizontal="center" vertical="center"/>
    </xf>
    <xf numFmtId="1" fontId="86" fillId="0" borderId="130" xfId="0" applyNumberFormat="1" applyFont="1" applyBorder="1" applyAlignment="1">
      <alignment horizontal="center" vertical="center"/>
    </xf>
    <xf numFmtId="0" fontId="86" fillId="7" borderId="130" xfId="0" applyFont="1" applyFill="1" applyBorder="1" applyAlignment="1">
      <alignment horizontal="center" vertical="center"/>
    </xf>
    <xf numFmtId="1" fontId="4" fillId="5" borderId="130" xfId="0" applyNumberFormat="1" applyFont="1" applyFill="1" applyBorder="1" applyAlignment="1">
      <alignment horizontal="center" vertical="center"/>
    </xf>
    <xf numFmtId="1" fontId="4" fillId="7" borderId="130" xfId="0" applyNumberFormat="1" applyFont="1" applyFill="1" applyBorder="1" applyAlignment="1">
      <alignment horizontal="center" vertical="center"/>
    </xf>
    <xf numFmtId="0" fontId="86" fillId="6" borderId="130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20" fillId="0" borderId="131" xfId="0" applyNumberFormat="1" applyFont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" fontId="20" fillId="44" borderId="13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0" fontId="20" fillId="0" borderId="130" xfId="0" applyFont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9" fontId="186" fillId="8" borderId="10" xfId="22" applyNumberFormat="1" applyFont="1" applyFill="1" applyBorder="1" applyAlignment="1">
      <alignment horizontal="center"/>
    </xf>
    <xf numFmtId="9" fontId="186" fillId="7" borderId="10" xfId="22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0" xfId="0" applyFont="1" applyFill="1" applyBorder="1" applyAlignment="1">
      <alignment horizontal="center" vertical="center"/>
    </xf>
    <xf numFmtId="9" fontId="186" fillId="5" borderId="10" xfId="22" applyNumberFormat="1" applyFont="1" applyFill="1" applyBorder="1" applyAlignment="1">
      <alignment horizontal="center"/>
    </xf>
    <xf numFmtId="167" fontId="20" fillId="8" borderId="0" xfId="0" applyNumberFormat="1" applyFont="1" applyFill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0" fontId="36" fillId="0" borderId="122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32" xfId="0" applyFont="1" applyBorder="1"/>
    <xf numFmtId="0" fontId="36" fillId="8" borderId="132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28" xfId="0" applyFont="1" applyFill="1" applyBorder="1" applyAlignment="1">
      <alignment horizontal="left" vertical="center"/>
    </xf>
    <xf numFmtId="0" fontId="19" fillId="0" borderId="128" xfId="0" applyFont="1" applyBorder="1" applyAlignment="1">
      <alignment horizontal="center" vertical="center"/>
    </xf>
    <xf numFmtId="0" fontId="19" fillId="8" borderId="132" xfId="0" applyFont="1" applyFill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20" fillId="8" borderId="114" xfId="0" applyNumberFormat="1" applyFont="1" applyFill="1" applyBorder="1" applyAlignment="1">
      <alignment horizontal="center" vertical="center"/>
    </xf>
    <xf numFmtId="1" fontId="20" fillId="8" borderId="122" xfId="0" applyNumberFormat="1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right" vertical="center" indent="2"/>
    </xf>
    <xf numFmtId="0" fontId="20" fillId="0" borderId="132" xfId="0" applyFont="1" applyBorder="1" applyAlignment="1">
      <alignment horizontal="center"/>
    </xf>
    <xf numFmtId="1" fontId="20" fillId="8" borderId="12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33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0" fontId="20" fillId="8" borderId="133" xfId="0" applyFont="1" applyFill="1" applyBorder="1" applyAlignment="1">
      <alignment horizontal="left" vertical="center"/>
    </xf>
    <xf numFmtId="1" fontId="45" fillId="8" borderId="133" xfId="0" applyNumberFormat="1" applyFont="1" applyFill="1" applyBorder="1" applyAlignment="1">
      <alignment vertical="center"/>
    </xf>
    <xf numFmtId="1" fontId="20" fillId="8" borderId="133" xfId="0" applyNumberFormat="1" applyFont="1" applyFill="1" applyBorder="1" applyAlignment="1">
      <alignment horizontal="center" vertical="center"/>
    </xf>
    <xf numFmtId="1" fontId="45" fillId="7" borderId="133" xfId="0" applyNumberFormat="1" applyFont="1" applyFill="1" applyBorder="1" applyAlignment="1">
      <alignment vertical="center"/>
    </xf>
    <xf numFmtId="1" fontId="45" fillId="5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1" xfId="0" applyNumberFormat="1" applyFont="1" applyFill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34" xfId="0" quotePrefix="1" applyNumberFormat="1" applyFont="1" applyFill="1" applyBorder="1" applyAlignment="1">
      <alignment horizontal="left" vertical="center"/>
    </xf>
    <xf numFmtId="0" fontId="19" fillId="8" borderId="135" xfId="0" applyFont="1" applyFill="1" applyBorder="1" applyAlignment="1">
      <alignment vertical="center"/>
    </xf>
    <xf numFmtId="1" fontId="20" fillId="0" borderId="135" xfId="0" applyNumberFormat="1" applyFont="1" applyBorder="1" applyAlignment="1">
      <alignment horizontal="center" vertical="center"/>
    </xf>
    <xf numFmtId="1" fontId="20" fillId="7" borderId="135" xfId="0" applyNumberFormat="1" applyFont="1" applyFill="1" applyBorder="1" applyAlignment="1">
      <alignment horizontal="center" vertical="center"/>
    </xf>
    <xf numFmtId="1" fontId="20" fillId="7" borderId="136" xfId="0" applyNumberFormat="1" applyFont="1" applyFill="1" applyBorder="1" applyAlignment="1">
      <alignment horizontal="center" vertical="center"/>
    </xf>
    <xf numFmtId="1" fontId="20" fillId="5" borderId="135" xfId="0" applyNumberFormat="1" applyFont="1" applyFill="1" applyBorder="1" applyAlignment="1">
      <alignment horizontal="center" vertical="center"/>
    </xf>
    <xf numFmtId="1" fontId="19" fillId="5" borderId="135" xfId="0" applyNumberFormat="1" applyFont="1" applyFill="1" applyBorder="1" applyAlignment="1">
      <alignment horizontal="center" vertical="center"/>
    </xf>
    <xf numFmtId="1" fontId="19" fillId="6" borderId="135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45" fillId="0" borderId="111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46" xfId="0" quotePrefix="1" applyNumberFormat="1" applyFont="1" applyBorder="1" applyAlignment="1">
      <alignment horizontal="left" vertical="center"/>
    </xf>
    <xf numFmtId="172" fontId="20" fillId="0" borderId="128" xfId="0" quotePrefix="1" applyNumberFormat="1" applyFont="1" applyBorder="1" applyAlignment="1">
      <alignment horizontal="center" vertical="center"/>
    </xf>
    <xf numFmtId="1" fontId="20" fillId="0" borderId="134" xfId="0" applyNumberFormat="1" applyFont="1" applyBorder="1" applyAlignment="1">
      <alignment vertical="center"/>
    </xf>
    <xf numFmtId="1" fontId="20" fillId="0" borderId="136" xfId="0" applyNumberFormat="1" applyFont="1" applyBorder="1" applyAlignment="1">
      <alignment horizontal="center"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4" xfId="0" applyNumberFormat="1" applyFont="1" applyFill="1" applyBorder="1" applyAlignment="1">
      <alignment vertical="center"/>
    </xf>
    <xf numFmtId="1" fontId="20" fillId="7" borderId="134" xfId="0" applyNumberFormat="1" applyFont="1" applyFill="1" applyBorder="1" applyAlignment="1">
      <alignment vertical="center"/>
    </xf>
    <xf numFmtId="1" fontId="20" fillId="5" borderId="135" xfId="0" applyNumberFormat="1" applyFont="1" applyFill="1" applyBorder="1" applyAlignment="1">
      <alignment vertical="center"/>
    </xf>
    <xf numFmtId="1" fontId="20" fillId="6" borderId="135" xfId="0" applyNumberFormat="1" applyFont="1" applyFill="1" applyBorder="1" applyAlignment="1">
      <alignment vertical="center"/>
    </xf>
    <xf numFmtId="1" fontId="20" fillId="44" borderId="135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34" xfId="0" quotePrefix="1" applyNumberFormat="1" applyFont="1" applyFill="1" applyBorder="1" applyAlignment="1">
      <alignment horizontal="left" vertical="center" wrapText="1"/>
    </xf>
    <xf numFmtId="0" fontId="20" fillId="8" borderId="135" xfId="0" applyFont="1" applyFill="1" applyBorder="1" applyAlignment="1">
      <alignment horizontal="left" vertical="center"/>
    </xf>
    <xf numFmtId="0" fontId="20" fillId="0" borderId="135" xfId="0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1" fontId="45" fillId="8" borderId="138" xfId="0" applyNumberFormat="1" applyFont="1" applyFill="1" applyBorder="1" applyAlignment="1">
      <alignment vertical="center"/>
    </xf>
    <xf numFmtId="1" fontId="20" fillId="8" borderId="138" xfId="0" applyNumberFormat="1" applyFont="1" applyFill="1" applyBorder="1" applyAlignment="1">
      <alignment horizontal="center" vertical="center"/>
    </xf>
    <xf numFmtId="1" fontId="45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45" fillId="5" borderId="138" xfId="0" applyNumberFormat="1" applyFont="1" applyFill="1" applyBorder="1" applyAlignment="1">
      <alignment vertical="center"/>
    </xf>
    <xf numFmtId="1" fontId="45" fillId="5" borderId="13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0" fontId="20" fillId="0" borderId="134" xfId="0" applyFont="1" applyBorder="1" applyAlignment="1">
      <alignment horizontal="right" vertical="center"/>
    </xf>
    <xf numFmtId="1" fontId="20" fillId="8" borderId="135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left" vertical="center"/>
    </xf>
    <xf numFmtId="0" fontId="4" fillId="0" borderId="144" xfId="0" applyFont="1" applyBorder="1" applyAlignment="1">
      <alignment horizontal="center" vertical="center"/>
    </xf>
    <xf numFmtId="0" fontId="4" fillId="8" borderId="144" xfId="0" applyFont="1" applyFill="1" applyBorder="1" applyAlignment="1">
      <alignment horizontal="center" vertical="center"/>
    </xf>
    <xf numFmtId="1" fontId="4" fillId="8" borderId="144" xfId="0" applyNumberFormat="1" applyFont="1" applyFill="1" applyBorder="1" applyAlignment="1">
      <alignment horizontal="center" vertical="center"/>
    </xf>
    <xf numFmtId="1" fontId="4" fillId="50" borderId="144" xfId="0" applyNumberFormat="1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20" fillId="8" borderId="145" xfId="0" applyNumberFormat="1" applyFont="1" applyFill="1" applyBorder="1" applyAlignment="1">
      <alignment horizontal="center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4" fillId="6" borderId="146" xfId="0" applyNumberFormat="1" applyFont="1" applyFill="1" applyBorder="1" applyAlignment="1">
      <alignment horizontal="center" vertical="center"/>
    </xf>
    <xf numFmtId="1" fontId="4" fillId="8" borderId="146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0" fontId="20" fillId="0" borderId="144" xfId="0" applyFont="1" applyBorder="1" applyAlignment="1">
      <alignment horizontal="center" vertical="center"/>
    </xf>
    <xf numFmtId="1" fontId="20" fillId="50" borderId="144" xfId="0" applyNumberFormat="1" applyFont="1" applyFill="1" applyBorder="1" applyAlignment="1">
      <alignment horizontal="center" vertical="center"/>
    </xf>
    <xf numFmtId="1" fontId="21" fillId="6" borderId="146" xfId="0" applyNumberFormat="1" applyFont="1" applyFill="1" applyBorder="1" applyAlignment="1">
      <alignment horizontal="center" vertical="center"/>
    </xf>
    <xf numFmtId="1" fontId="20" fillId="7" borderId="146" xfId="0" applyNumberFormat="1" applyFont="1" applyFill="1" applyBorder="1" applyAlignment="1">
      <alignment horizontal="center" vertical="center"/>
    </xf>
    <xf numFmtId="1" fontId="21" fillId="7" borderId="146" xfId="0" applyNumberFormat="1" applyFont="1" applyFill="1" applyBorder="1" applyAlignment="1">
      <alignment horizontal="center" vertical="center"/>
    </xf>
    <xf numFmtId="0" fontId="18" fillId="8" borderId="144" xfId="0" applyFont="1" applyFill="1" applyBorder="1" applyAlignment="1">
      <alignment horizontal="center" vertical="center"/>
    </xf>
    <xf numFmtId="0" fontId="20" fillId="8" borderId="144" xfId="0" applyFont="1" applyFill="1" applyBorder="1" applyAlignment="1">
      <alignment horizontal="center" vertical="center"/>
    </xf>
    <xf numFmtId="1" fontId="4" fillId="8" borderId="145" xfId="0" applyNumberFormat="1" applyFont="1" applyFill="1" applyBorder="1" applyAlignment="1">
      <alignment horizontal="center" vertical="center"/>
    </xf>
    <xf numFmtId="1" fontId="19" fillId="8" borderId="145" xfId="0" applyNumberFormat="1" applyFont="1" applyFill="1" applyBorder="1" applyAlignment="1">
      <alignment horizontal="center" vertical="center"/>
    </xf>
    <xf numFmtId="1" fontId="19" fillId="8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4" fillId="7" borderId="146" xfId="0" applyNumberFormat="1" applyFont="1" applyFill="1" applyBorder="1" applyAlignment="1">
      <alignment horizontal="center" vertical="center"/>
    </xf>
    <xf numFmtId="0" fontId="20" fillId="0" borderId="137" xfId="0" applyFont="1" applyBorder="1" applyAlignment="1">
      <alignment horizontal="right" vertical="center"/>
    </xf>
    <xf numFmtId="0" fontId="20" fillId="0" borderId="147" xfId="0" applyFont="1" applyBorder="1" applyAlignment="1">
      <alignment horizontal="center" vertical="center"/>
    </xf>
    <xf numFmtId="1" fontId="20" fillId="8" borderId="147" xfId="0" applyNumberFormat="1" applyFont="1" applyFill="1" applyBorder="1" applyAlignment="1">
      <alignment horizontal="center" vertical="center"/>
    </xf>
    <xf numFmtId="1" fontId="18" fillId="5" borderId="147" xfId="0" applyNumberFormat="1" applyFont="1" applyFill="1" applyBorder="1" applyAlignment="1">
      <alignment horizontal="center" vertical="center"/>
    </xf>
    <xf numFmtId="0" fontId="14" fillId="0" borderId="144" xfId="0" applyFont="1" applyBorder="1" applyAlignment="1">
      <alignment horizontal="left" vertical="center"/>
    </xf>
    <xf numFmtId="167" fontId="14" fillId="0" borderId="144" xfId="0" applyNumberFormat="1" applyFont="1" applyBorder="1" applyAlignment="1">
      <alignment horizontal="center" vertical="center"/>
    </xf>
    <xf numFmtId="167" fontId="14" fillId="7" borderId="144" xfId="0" applyNumberFormat="1" applyFont="1" applyFill="1" applyBorder="1" applyAlignment="1">
      <alignment horizontal="center" vertical="center"/>
    </xf>
    <xf numFmtId="1" fontId="14" fillId="5" borderId="144" xfId="0" applyNumberFormat="1" applyFont="1" applyFill="1" applyBorder="1" applyAlignment="1">
      <alignment horizontal="center" vertical="center"/>
    </xf>
    <xf numFmtId="1" fontId="14" fillId="0" borderId="144" xfId="0" applyNumberFormat="1" applyFont="1" applyBorder="1" applyAlignment="1">
      <alignment horizontal="center" vertical="center"/>
    </xf>
    <xf numFmtId="167" fontId="27" fillId="0" borderId="144" xfId="0" applyNumberFormat="1" applyFont="1" applyBorder="1" applyAlignment="1">
      <alignment horizontal="center" vertical="center"/>
    </xf>
    <xf numFmtId="1" fontId="27" fillId="8" borderId="144" xfId="0" applyNumberFormat="1" applyFont="1" applyFill="1" applyBorder="1" applyAlignment="1">
      <alignment horizontal="center" vertical="center"/>
    </xf>
    <xf numFmtId="1" fontId="27" fillId="0" borderId="144" xfId="0" applyNumberFormat="1" applyFont="1" applyBorder="1" applyAlignment="1">
      <alignment horizontal="center" vertical="center"/>
    </xf>
    <xf numFmtId="1" fontId="27" fillId="5" borderId="144" xfId="0" applyNumberFormat="1" applyFont="1" applyFill="1" applyBorder="1" applyAlignment="1">
      <alignment horizontal="center" vertical="center"/>
    </xf>
    <xf numFmtId="1" fontId="27" fillId="6" borderId="144" xfId="0" applyNumberFormat="1" applyFont="1" applyFill="1" applyBorder="1" applyAlignment="1">
      <alignment horizontal="center" vertical="center"/>
    </xf>
    <xf numFmtId="1" fontId="27" fillId="7" borderId="144" xfId="0" applyNumberFormat="1" applyFont="1" applyFill="1" applyBorder="1" applyAlignment="1">
      <alignment horizontal="center" vertical="center"/>
    </xf>
    <xf numFmtId="1" fontId="27" fillId="5" borderId="143" xfId="0" applyNumberFormat="1" applyFont="1" applyFill="1" applyBorder="1" applyAlignment="1">
      <alignment horizontal="center" vertical="center"/>
    </xf>
    <xf numFmtId="167" fontId="27" fillId="6" borderId="144" xfId="0" applyNumberFormat="1" applyFont="1" applyFill="1" applyBorder="1" applyAlignment="1">
      <alignment horizontal="center" vertical="center"/>
    </xf>
    <xf numFmtId="167" fontId="27" fillId="7" borderId="144" xfId="0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1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0" fontId="21" fillId="7" borderId="14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44" xfId="0" applyFont="1" applyBorder="1"/>
    <xf numFmtId="0" fontId="20" fillId="0" borderId="14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43" xfId="0" applyBorder="1" applyAlignment="1">
      <alignment horizontal="right"/>
    </xf>
    <xf numFmtId="0" fontId="0" fillId="0" borderId="145" xfId="0" applyBorder="1" applyAlignment="1">
      <alignment horizontal="right"/>
    </xf>
    <xf numFmtId="0" fontId="100" fillId="0" borderId="111" xfId="0" applyFont="1" applyBorder="1" applyAlignment="1">
      <alignment horizontal="center" vertical="center"/>
    </xf>
    <xf numFmtId="1" fontId="55" fillId="0" borderId="111" xfId="0" applyNumberFormat="1" applyFont="1" applyBorder="1" applyAlignment="1">
      <alignment horizontal="center" vertical="center"/>
    </xf>
    <xf numFmtId="1" fontId="55" fillId="0" borderId="113" xfId="0" applyNumberFormat="1" applyFont="1" applyBorder="1" applyAlignment="1">
      <alignment horizontal="center" vertical="center"/>
    </xf>
    <xf numFmtId="0" fontId="194" fillId="0" borderId="55" xfId="0" applyFont="1" applyBorder="1" applyAlignment="1"/>
    <xf numFmtId="0" fontId="55" fillId="0" borderId="111" xfId="0" applyFont="1" applyBorder="1"/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1" xfId="0" applyNumberFormat="1" applyFont="1" applyFill="1" applyBorder="1" applyAlignment="1">
      <alignment horizontal="center" vertical="center"/>
    </xf>
    <xf numFmtId="1" fontId="86" fillId="7" borderId="111" xfId="0" applyNumberFormat="1" applyFont="1" applyFill="1" applyBorder="1" applyAlignment="1">
      <alignment horizontal="center" vertical="center"/>
    </xf>
    <xf numFmtId="1" fontId="45" fillId="0" borderId="14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1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19" fillId="7" borderId="111" xfId="0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0" fontId="19" fillId="0" borderId="148" xfId="0" applyFont="1" applyBorder="1" applyAlignment="1">
      <alignment horizontal="center" vertical="center"/>
    </xf>
    <xf numFmtId="0" fontId="18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18" fillId="8" borderId="144" xfId="0" applyNumberFormat="1" applyFont="1" applyFill="1" applyBorder="1" applyAlignment="1">
      <alignment vertical="center"/>
    </xf>
    <xf numFmtId="164" fontId="20" fillId="8" borderId="137" xfId="0" quotePrefix="1" applyNumberFormat="1" applyFont="1" applyFill="1" applyBorder="1" applyAlignment="1">
      <alignment horizontal="left" vertical="center"/>
    </xf>
    <xf numFmtId="0" fontId="20" fillId="8" borderId="152" xfId="0" applyFont="1" applyFill="1" applyBorder="1" applyAlignment="1">
      <alignment horizontal="left" vertical="center"/>
    </xf>
    <xf numFmtId="0" fontId="18" fillId="8" borderId="147" xfId="0" applyFont="1" applyFill="1" applyBorder="1" applyAlignment="1">
      <alignment vertical="center"/>
    </xf>
    <xf numFmtId="1" fontId="20" fillId="0" borderId="147" xfId="0" applyNumberFormat="1" applyFont="1" applyBorder="1" applyAlignment="1">
      <alignment horizontal="center" vertical="center"/>
    </xf>
    <xf numFmtId="1" fontId="20" fillId="7" borderId="147" xfId="0" applyNumberFormat="1" applyFont="1" applyFill="1" applyBorder="1" applyAlignment="1">
      <alignment horizontal="center"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20" fillId="5" borderId="147" xfId="0" applyNumberFormat="1" applyFont="1" applyFill="1" applyBorder="1" applyAlignment="1">
      <alignment horizontal="center" vertical="center"/>
    </xf>
    <xf numFmtId="1" fontId="19" fillId="5" borderId="147" xfId="0" applyNumberFormat="1" applyFont="1" applyFill="1" applyBorder="1" applyAlignment="1">
      <alignment horizontal="center" vertical="center"/>
    </xf>
    <xf numFmtId="1" fontId="19" fillId="6" borderId="14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7" fillId="5" borderId="146" xfId="0" applyNumberFormat="1" applyFont="1" applyFill="1" applyBorder="1" applyAlignment="1">
      <alignment horizontal="center" vertical="center"/>
    </xf>
    <xf numFmtId="1" fontId="27" fillId="5" borderId="148" xfId="0" applyNumberFormat="1" applyFont="1" applyFill="1" applyBorder="1" applyAlignment="1">
      <alignment horizontal="center" vertical="center"/>
    </xf>
    <xf numFmtId="0" fontId="27" fillId="0" borderId="153" xfId="0" applyFont="1" applyBorder="1" applyAlignment="1">
      <alignment horizontal="left" vertical="center"/>
    </xf>
    <xf numFmtId="167" fontId="27" fillId="0" borderId="150" xfId="0" applyNumberFormat="1" applyFont="1" applyBorder="1" applyAlignment="1">
      <alignment horizontal="center" vertical="center"/>
    </xf>
    <xf numFmtId="1" fontId="27" fillId="0" borderId="146" xfId="0" applyNumberFormat="1" applyFont="1" applyBorder="1" applyAlignment="1">
      <alignment horizontal="center" vertical="center"/>
    </xf>
    <xf numFmtId="0" fontId="14" fillId="0" borderId="153" xfId="0" applyFont="1" applyBorder="1" applyAlignment="1">
      <alignment horizontal="right" vertical="center"/>
    </xf>
    <xf numFmtId="1" fontId="14" fillId="0" borderId="150" xfId="0" applyNumberFormat="1" applyFont="1" applyBorder="1" applyAlignment="1">
      <alignment horizontal="center" vertical="center"/>
    </xf>
    <xf numFmtId="167" fontId="27" fillId="0" borderId="151" xfId="0" applyNumberFormat="1" applyFont="1" applyBorder="1" applyAlignment="1">
      <alignment horizontal="center" vertical="center"/>
    </xf>
    <xf numFmtId="1" fontId="27" fillId="0" borderId="149" xfId="0" applyNumberFormat="1" applyFont="1" applyBorder="1" applyAlignment="1">
      <alignment horizontal="center" vertical="center"/>
    </xf>
    <xf numFmtId="1" fontId="27" fillId="8" borderId="146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right" vertical="center"/>
    </xf>
    <xf numFmtId="1" fontId="14" fillId="0" borderId="156" xfId="0" applyNumberFormat="1" applyFont="1" applyBorder="1" applyAlignment="1">
      <alignment horizontal="center" vertical="center"/>
    </xf>
    <xf numFmtId="0" fontId="27" fillId="8" borderId="153" xfId="0" applyFont="1" applyFill="1" applyBorder="1" applyAlignment="1">
      <alignment horizontal="left" vertical="center"/>
    </xf>
    <xf numFmtId="0" fontId="27" fillId="8" borderId="155" xfId="0" applyFont="1" applyFill="1" applyBorder="1" applyAlignment="1">
      <alignment horizontal="left" vertical="center"/>
    </xf>
    <xf numFmtId="167" fontId="27" fillId="0" borderId="156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" fontId="14" fillId="0" borderId="151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2" fontId="27" fillId="0" borderId="150" xfId="0" applyNumberFormat="1" applyFont="1" applyBorder="1" applyAlignment="1">
      <alignment horizontal="center" vertical="center"/>
    </xf>
    <xf numFmtId="2" fontId="27" fillId="0" borderId="146" xfId="0" applyNumberFormat="1" applyFont="1" applyBorder="1" applyAlignment="1">
      <alignment horizontal="center" vertical="center"/>
    </xf>
    <xf numFmtId="0" fontId="14" fillId="8" borderId="153" xfId="0" applyFont="1" applyFill="1" applyBorder="1" applyAlignment="1">
      <alignment horizontal="right" vertical="center"/>
    </xf>
    <xf numFmtId="1" fontId="14" fillId="8" borderId="143" xfId="0" applyNumberFormat="1" applyFont="1" applyFill="1" applyBorder="1" applyAlignment="1">
      <alignment horizontal="center" vertical="center"/>
    </xf>
    <xf numFmtId="1" fontId="14" fillId="5" borderId="143" xfId="0" applyNumberFormat="1" applyFont="1" applyFill="1" applyBorder="1" applyAlignment="1">
      <alignment horizontal="center" vertical="center"/>
    </xf>
    <xf numFmtId="1" fontId="14" fillId="8" borderId="159" xfId="0" applyNumberFormat="1" applyFont="1" applyFill="1" applyBorder="1" applyAlignment="1">
      <alignment horizontal="center" vertical="center"/>
    </xf>
    <xf numFmtId="1" fontId="14" fillId="8" borderId="144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6" borderId="162" xfId="0" applyNumberFormat="1" applyFont="1" applyFill="1" applyBorder="1" applyAlignment="1">
      <alignment horizontal="center" vertical="center"/>
    </xf>
    <xf numFmtId="167" fontId="27" fillId="6" borderId="162" xfId="0" applyNumberFormat="1" applyFont="1" applyFill="1" applyBorder="1" applyAlignment="1">
      <alignment horizontal="center" vertical="center"/>
    </xf>
    <xf numFmtId="0" fontId="27" fillId="8" borderId="147" xfId="0" applyFont="1" applyFill="1" applyBorder="1" applyAlignment="1">
      <alignment vertical="center"/>
    </xf>
    <xf numFmtId="167" fontId="14" fillId="0" borderId="147" xfId="0" applyNumberFormat="1" applyFont="1" applyBorder="1" applyAlignment="1">
      <alignment horizontal="center" vertical="center"/>
    </xf>
    <xf numFmtId="1" fontId="14" fillId="0" borderId="147" xfId="0" applyNumberFormat="1" applyFont="1" applyBorder="1" applyAlignment="1">
      <alignment horizontal="center" vertical="center"/>
    </xf>
    <xf numFmtId="1" fontId="14" fillId="5" borderId="147" xfId="0" applyNumberFormat="1" applyFont="1" applyFill="1" applyBorder="1" applyAlignment="1">
      <alignment horizontal="center" vertical="center"/>
    </xf>
    <xf numFmtId="0" fontId="27" fillId="8" borderId="144" xfId="0" applyFont="1" applyFill="1" applyBorder="1" applyAlignment="1">
      <alignment horizontal="left" vertical="center"/>
    </xf>
    <xf numFmtId="0" fontId="27" fillId="0" borderId="144" xfId="0" applyFont="1" applyBorder="1" applyAlignment="1">
      <alignment horizontal="left" vertical="center"/>
    </xf>
    <xf numFmtId="0" fontId="14" fillId="0" borderId="144" xfId="0" applyFont="1" applyBorder="1" applyAlignment="1">
      <alignment horizontal="right" vertical="center"/>
    </xf>
    <xf numFmtId="167" fontId="14" fillId="6" borderId="144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1" fontId="19" fillId="8" borderId="111" xfId="0" applyNumberFormat="1" applyFont="1" applyFill="1" applyBorder="1" applyAlignment="1">
      <alignment horizontal="center"/>
    </xf>
    <xf numFmtId="0" fontId="19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1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62" xfId="0" applyNumberFormat="1" applyFont="1" applyFill="1" applyBorder="1" applyAlignment="1">
      <alignment horizontal="center" vertical="center"/>
    </xf>
    <xf numFmtId="1" fontId="20" fillId="5" borderId="160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5" borderId="162" xfId="0" applyNumberFormat="1" applyFont="1" applyFill="1" applyBorder="1" applyAlignment="1">
      <alignment vertical="center"/>
    </xf>
    <xf numFmtId="1" fontId="20" fillId="5" borderId="162" xfId="0" applyNumberFormat="1" applyFont="1" applyFill="1" applyBorder="1" applyAlignment="1">
      <alignment horizontal="center" vertical="center"/>
    </xf>
    <xf numFmtId="1" fontId="20" fillId="44" borderId="162" xfId="0" applyNumberFormat="1" applyFont="1" applyFill="1" applyBorder="1" applyAlignment="1">
      <alignment vertical="center"/>
    </xf>
    <xf numFmtId="1" fontId="20" fillId="44" borderId="16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44" xfId="0" quotePrefix="1" applyNumberFormat="1" applyFont="1" applyBorder="1" applyAlignment="1">
      <alignment horizontal="left" vertical="center"/>
    </xf>
    <xf numFmtId="172" fontId="20" fillId="0" borderId="144" xfId="0" quotePrefix="1" applyNumberFormat="1" applyFont="1" applyBorder="1" applyAlignment="1">
      <alignment horizontal="center" vertical="center"/>
    </xf>
    <xf numFmtId="1" fontId="20" fillId="0" borderId="144" xfId="0" applyNumberFormat="1" applyFont="1" applyBorder="1" applyAlignment="1">
      <alignment vertical="center"/>
    </xf>
    <xf numFmtId="1" fontId="20" fillId="7" borderId="144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horizontal="center" vertical="center"/>
    </xf>
    <xf numFmtId="1" fontId="20" fillId="44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43" xfId="0" quotePrefix="1" applyNumberFormat="1" applyFont="1" applyBorder="1" applyAlignment="1">
      <alignment horizontal="left" vertical="center"/>
    </xf>
    <xf numFmtId="164" fontId="20" fillId="0" borderId="137" xfId="0" quotePrefix="1" applyNumberFormat="1" applyFont="1" applyBorder="1" applyAlignment="1">
      <alignment horizontal="left" vertical="center"/>
    </xf>
    <xf numFmtId="164" fontId="20" fillId="0" borderId="147" xfId="0" quotePrefix="1" applyNumberFormat="1" applyFont="1" applyBorder="1" applyAlignment="1">
      <alignment horizontal="left" vertical="center"/>
    </xf>
    <xf numFmtId="172" fontId="20" fillId="0" borderId="147" xfId="0" quotePrefix="1" applyNumberFormat="1" applyFont="1" applyBorder="1" applyAlignment="1">
      <alignment horizontal="center" vertical="center"/>
    </xf>
    <xf numFmtId="1" fontId="20" fillId="0" borderId="147" xfId="0" applyNumberFormat="1" applyFont="1" applyBorder="1" applyAlignment="1">
      <alignment vertical="center"/>
    </xf>
    <xf numFmtId="1" fontId="20" fillId="7" borderId="147" xfId="0" applyNumberFormat="1" applyFont="1" applyFill="1" applyBorder="1" applyAlignment="1">
      <alignment vertical="center"/>
    </xf>
    <xf numFmtId="1" fontId="20" fillId="5" borderId="147" xfId="0" applyNumberFormat="1" applyFont="1" applyFill="1" applyBorder="1" applyAlignment="1">
      <alignment vertical="center"/>
    </xf>
    <xf numFmtId="1" fontId="20" fillId="6" borderId="147" xfId="0" applyNumberFormat="1" applyFont="1" applyFill="1" applyBorder="1" applyAlignment="1">
      <alignment vertical="center"/>
    </xf>
    <xf numFmtId="1" fontId="20" fillId="6" borderId="147" xfId="0" applyNumberFormat="1" applyFont="1" applyFill="1" applyBorder="1" applyAlignment="1">
      <alignment horizontal="center" vertical="center"/>
    </xf>
    <xf numFmtId="1" fontId="20" fillId="44" borderId="147" xfId="0" applyNumberFormat="1" applyFont="1" applyFill="1" applyBorder="1" applyAlignment="1">
      <alignment vertical="center"/>
    </xf>
    <xf numFmtId="1" fontId="20" fillId="44" borderId="147" xfId="0" applyNumberFormat="1" applyFont="1" applyFill="1" applyBorder="1" applyAlignment="1">
      <alignment horizontal="center" vertical="center"/>
    </xf>
    <xf numFmtId="0" fontId="45" fillId="0" borderId="144" xfId="0" applyFont="1" applyBorder="1"/>
    <xf numFmtId="1" fontId="45" fillId="7" borderId="144" xfId="0" applyNumberFormat="1" applyFont="1" applyFill="1" applyBorder="1" applyAlignment="1">
      <alignment horizontal="center" vertical="center"/>
    </xf>
    <xf numFmtId="1" fontId="45" fillId="5" borderId="144" xfId="0" applyNumberFormat="1" applyFont="1" applyFill="1" applyBorder="1" applyAlignment="1">
      <alignment horizontal="center" vertical="center"/>
    </xf>
    <xf numFmtId="1" fontId="45" fillId="6" borderId="144" xfId="0" applyNumberFormat="1" applyFont="1" applyFill="1" applyBorder="1" applyAlignment="1">
      <alignment horizontal="center" vertical="center"/>
    </xf>
    <xf numFmtId="1" fontId="45" fillId="44" borderId="144" xfId="0" applyNumberFormat="1" applyFont="1" applyFill="1" applyBorder="1" applyAlignment="1">
      <alignment horizontal="center" vertical="center"/>
    </xf>
    <xf numFmtId="167" fontId="45" fillId="0" borderId="144" xfId="0" applyNumberFormat="1" applyFont="1" applyBorder="1"/>
    <xf numFmtId="167" fontId="45" fillId="7" borderId="144" xfId="0" applyNumberFormat="1" applyFont="1" applyFill="1" applyBorder="1"/>
    <xf numFmtId="167" fontId="45" fillId="5" borderId="144" xfId="0" applyNumberFormat="1" applyFont="1" applyFill="1" applyBorder="1"/>
    <xf numFmtId="167" fontId="45" fillId="6" borderId="144" xfId="0" applyNumberFormat="1" applyFont="1" applyFill="1" applyBorder="1"/>
    <xf numFmtId="167" fontId="45" fillId="44" borderId="144" xfId="0" applyNumberFormat="1" applyFont="1" applyFill="1" applyBorder="1"/>
    <xf numFmtId="0" fontId="45" fillId="0" borderId="144" xfId="0" applyFont="1" applyBorder="1" applyAlignment="1">
      <alignment wrapText="1"/>
    </xf>
    <xf numFmtId="0" fontId="45" fillId="7" borderId="144" xfId="0" applyFont="1" applyFill="1" applyBorder="1"/>
    <xf numFmtId="0" fontId="45" fillId="5" borderId="14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43" xfId="0" applyFont="1" applyBorder="1" applyAlignment="1">
      <alignment wrapText="1"/>
    </xf>
    <xf numFmtId="1" fontId="45" fillId="7" borderId="146" xfId="0" applyNumberFormat="1" applyFont="1" applyFill="1" applyBorder="1" applyAlignment="1">
      <alignment horizontal="center" vertical="center"/>
    </xf>
    <xf numFmtId="0" fontId="45" fillId="0" borderId="143" xfId="0" applyFont="1" applyBorder="1"/>
    <xf numFmtId="0" fontId="45" fillId="0" borderId="137" xfId="0" applyFont="1" applyBorder="1"/>
    <xf numFmtId="0" fontId="45" fillId="0" borderId="147" xfId="0" applyFont="1" applyBorder="1"/>
    <xf numFmtId="167" fontId="45" fillId="0" borderId="147" xfId="0" applyNumberFormat="1" applyFont="1" applyBorder="1"/>
    <xf numFmtId="1" fontId="45" fillId="0" borderId="147" xfId="0" applyNumberFormat="1" applyFont="1" applyBorder="1" applyAlignment="1">
      <alignment horizontal="center" vertical="center"/>
    </xf>
    <xf numFmtId="167" fontId="45" fillId="7" borderId="147" xfId="0" applyNumberFormat="1" applyFont="1" applyFill="1" applyBorder="1"/>
    <xf numFmtId="1" fontId="45" fillId="7" borderId="147" xfId="0" applyNumberFormat="1" applyFont="1" applyFill="1" applyBorder="1" applyAlignment="1">
      <alignment horizontal="center" vertical="center"/>
    </xf>
    <xf numFmtId="167" fontId="45" fillId="5" borderId="147" xfId="0" applyNumberFormat="1" applyFont="1" applyFill="1" applyBorder="1"/>
    <xf numFmtId="1" fontId="45" fillId="5" borderId="147" xfId="0" applyNumberFormat="1" applyFont="1" applyFill="1" applyBorder="1" applyAlignment="1">
      <alignment horizontal="center" vertical="center"/>
    </xf>
    <xf numFmtId="167" fontId="45" fillId="6" borderId="147" xfId="0" applyNumberFormat="1" applyFont="1" applyFill="1" applyBorder="1"/>
    <xf numFmtId="1" fontId="45" fillId="6" borderId="147" xfId="0" applyNumberFormat="1" applyFont="1" applyFill="1" applyBorder="1" applyAlignment="1">
      <alignment horizontal="center" vertical="center"/>
    </xf>
    <xf numFmtId="167" fontId="45" fillId="44" borderId="147" xfId="0" applyNumberFormat="1" applyFont="1" applyFill="1" applyBorder="1"/>
    <xf numFmtId="1" fontId="45" fillId="44" borderId="147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horizontal="center" vertical="center"/>
    </xf>
    <xf numFmtId="1" fontId="45" fillId="8" borderId="144" xfId="0" applyNumberFormat="1" applyFont="1" applyFill="1" applyBorder="1" applyAlignment="1">
      <alignment horizontal="center" vertical="center"/>
    </xf>
    <xf numFmtId="0" fontId="45" fillId="8" borderId="144" xfId="0" applyFont="1" applyFill="1" applyBorder="1"/>
    <xf numFmtId="0" fontId="45" fillId="6" borderId="144" xfId="0" applyFont="1" applyFill="1" applyBorder="1"/>
    <xf numFmtId="0" fontId="45" fillId="44" borderId="144" xfId="0" applyFont="1" applyFill="1" applyBorder="1"/>
    <xf numFmtId="9" fontId="45" fillId="0" borderId="144" xfId="22" applyFont="1" applyBorder="1" applyAlignment="1">
      <alignment horizontal="center" vertical="center"/>
    </xf>
    <xf numFmtId="9" fontId="45" fillId="7" borderId="144" xfId="22" applyFont="1" applyFill="1" applyBorder="1" applyAlignment="1">
      <alignment horizontal="center" vertical="center"/>
    </xf>
    <xf numFmtId="9" fontId="45" fillId="5" borderId="144" xfId="22" applyFont="1" applyFill="1" applyBorder="1" applyAlignment="1">
      <alignment horizontal="center" vertical="center"/>
    </xf>
    <xf numFmtId="9" fontId="45" fillId="6" borderId="144" xfId="22" applyFont="1" applyFill="1" applyBorder="1" applyAlignment="1">
      <alignment horizontal="center" vertical="center"/>
    </xf>
    <xf numFmtId="9" fontId="45" fillId="44" borderId="144" xfId="22" applyFont="1" applyFill="1" applyBorder="1" applyAlignment="1">
      <alignment horizontal="center" vertical="center"/>
    </xf>
    <xf numFmtId="0" fontId="45" fillId="8" borderId="143" xfId="0" applyFont="1" applyFill="1" applyBorder="1"/>
    <xf numFmtId="9" fontId="45" fillId="7" borderId="146" xfId="22" applyFont="1" applyFill="1" applyBorder="1" applyAlignment="1">
      <alignment horizontal="center" vertical="center"/>
    </xf>
    <xf numFmtId="0" fontId="45" fillId="7" borderId="147" xfId="0" applyFont="1" applyFill="1" applyBorder="1"/>
    <xf numFmtId="0" fontId="45" fillId="5" borderId="147" xfId="0" applyFont="1" applyFill="1" applyBorder="1"/>
    <xf numFmtId="0" fontId="20" fillId="0" borderId="144" xfId="0" applyFont="1" applyBorder="1" applyAlignment="1">
      <alignment vertical="center"/>
    </xf>
    <xf numFmtId="0" fontId="20" fillId="7" borderId="144" xfId="0" applyFont="1" applyFill="1" applyBorder="1" applyAlignment="1">
      <alignment horizontal="center" vertical="center"/>
    </xf>
    <xf numFmtId="167" fontId="20" fillId="0" borderId="144" xfId="0" applyNumberFormat="1" applyFont="1" applyBorder="1" applyAlignment="1">
      <alignment horizontal="center" vertical="center"/>
    </xf>
    <xf numFmtId="167" fontId="20" fillId="7" borderId="144" xfId="0" applyNumberFormat="1" applyFont="1" applyFill="1" applyBorder="1" applyAlignment="1">
      <alignment horizontal="center" vertical="center"/>
    </xf>
    <xf numFmtId="167" fontId="20" fillId="5" borderId="144" xfId="0" applyNumberFormat="1" applyFont="1" applyFill="1" applyBorder="1" applyAlignment="1">
      <alignment horizontal="center" vertical="center"/>
    </xf>
    <xf numFmtId="167" fontId="20" fillId="6" borderId="144" xfId="0" applyNumberFormat="1" applyFont="1" applyFill="1" applyBorder="1" applyAlignment="1">
      <alignment horizontal="center" vertical="center"/>
    </xf>
    <xf numFmtId="167" fontId="20" fillId="44" borderId="144" xfId="0" applyNumberFormat="1" applyFont="1" applyFill="1" applyBorder="1" applyAlignment="1">
      <alignment horizontal="center" vertical="center"/>
    </xf>
    <xf numFmtId="167" fontId="20" fillId="8" borderId="144" xfId="0" applyNumberFormat="1" applyFont="1" applyFill="1" applyBorder="1" applyAlignment="1">
      <alignment horizontal="center" vertical="center"/>
    </xf>
    <xf numFmtId="169" fontId="20" fillId="8" borderId="144" xfId="0" applyNumberFormat="1" applyFont="1" applyFill="1" applyBorder="1" applyAlignment="1">
      <alignment horizontal="center" vertical="center"/>
    </xf>
    <xf numFmtId="169" fontId="20" fillId="7" borderId="144" xfId="0" applyNumberFormat="1" applyFont="1" applyFill="1" applyBorder="1" applyAlignment="1">
      <alignment horizontal="center" vertical="center"/>
    </xf>
    <xf numFmtId="169" fontId="20" fillId="5" borderId="144" xfId="0" applyNumberFormat="1" applyFont="1" applyFill="1" applyBorder="1" applyAlignment="1">
      <alignment horizontal="center" vertical="center"/>
    </xf>
    <xf numFmtId="169" fontId="20" fillId="6" borderId="144" xfId="0" applyNumberFormat="1" applyFont="1" applyFill="1" applyBorder="1" applyAlignment="1">
      <alignment horizontal="center" vertical="center"/>
    </xf>
    <xf numFmtId="169" fontId="20" fillId="44" borderId="144" xfId="0" applyNumberFormat="1" applyFont="1" applyFill="1" applyBorder="1" applyAlignment="1">
      <alignment horizontal="center" vertical="center"/>
    </xf>
    <xf numFmtId="2" fontId="20" fillId="8" borderId="144" xfId="0" applyNumberFormat="1" applyFont="1" applyFill="1" applyBorder="1" applyAlignment="1">
      <alignment horizontal="center" vertical="center"/>
    </xf>
    <xf numFmtId="2" fontId="20" fillId="7" borderId="144" xfId="0" applyNumberFormat="1" applyFont="1" applyFill="1" applyBorder="1" applyAlignment="1">
      <alignment horizontal="center" vertical="center"/>
    </xf>
    <xf numFmtId="2" fontId="20" fillId="5" borderId="144" xfId="0" applyNumberFormat="1" applyFont="1" applyFill="1" applyBorder="1" applyAlignment="1">
      <alignment horizontal="center" vertical="center"/>
    </xf>
    <xf numFmtId="2" fontId="20" fillId="6" borderId="144" xfId="0" applyNumberFormat="1" applyFont="1" applyFill="1" applyBorder="1" applyAlignment="1">
      <alignment horizontal="center" vertical="center"/>
    </xf>
    <xf numFmtId="2" fontId="20" fillId="44" borderId="144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vertical="center"/>
    </xf>
    <xf numFmtId="167" fontId="20" fillId="7" borderId="146" xfId="0" applyNumberFormat="1" applyFont="1" applyFill="1" applyBorder="1" applyAlignment="1">
      <alignment horizontal="center" vertical="center"/>
    </xf>
    <xf numFmtId="169" fontId="20" fillId="7" borderId="146" xfId="0" applyNumberFormat="1" applyFont="1" applyFill="1" applyBorder="1" applyAlignment="1">
      <alignment horizontal="center" vertical="center"/>
    </xf>
    <xf numFmtId="2" fontId="20" fillId="7" borderId="146" xfId="0" applyNumberFormat="1" applyFont="1" applyFill="1" applyBorder="1" applyAlignment="1">
      <alignment horizontal="center" vertical="center"/>
    </xf>
    <xf numFmtId="0" fontId="20" fillId="0" borderId="137" xfId="0" applyFont="1" applyBorder="1" applyAlignment="1">
      <alignment vertical="center"/>
    </xf>
    <xf numFmtId="0" fontId="20" fillId="0" borderId="147" xfId="0" applyFont="1" applyBorder="1" applyAlignment="1">
      <alignment vertical="center"/>
    </xf>
    <xf numFmtId="2" fontId="20" fillId="8" borderId="147" xfId="0" applyNumberFormat="1" applyFont="1" applyFill="1" applyBorder="1" applyAlignment="1">
      <alignment horizontal="center" vertical="center"/>
    </xf>
    <xf numFmtId="167" fontId="20" fillId="7" borderId="147" xfId="0" applyNumberFormat="1" applyFont="1" applyFill="1" applyBorder="1" applyAlignment="1">
      <alignment horizontal="center" vertical="center"/>
    </xf>
    <xf numFmtId="167" fontId="20" fillId="5" borderId="147" xfId="0" applyNumberFormat="1" applyFont="1" applyFill="1" applyBorder="1" applyAlignment="1">
      <alignment horizontal="center" vertical="center"/>
    </xf>
    <xf numFmtId="2" fontId="20" fillId="6" borderId="147" xfId="0" applyNumberFormat="1" applyFont="1" applyFill="1" applyBorder="1" applyAlignment="1">
      <alignment horizontal="center" vertical="center"/>
    </xf>
    <xf numFmtId="167" fontId="20" fillId="8" borderId="147" xfId="0" applyNumberFormat="1" applyFont="1" applyFill="1" applyBorder="1" applyAlignment="1">
      <alignment horizontal="center" vertical="center"/>
    </xf>
    <xf numFmtId="2" fontId="20" fillId="44" borderId="147" xfId="0" applyNumberFormat="1" applyFont="1" applyFill="1" applyBorder="1" applyAlignment="1">
      <alignment horizontal="center" vertical="center"/>
    </xf>
    <xf numFmtId="167" fontId="20" fillId="7" borderId="149" xfId="0" applyNumberFormat="1" applyFont="1" applyFill="1" applyBorder="1" applyAlignment="1">
      <alignment horizontal="center" vertical="center"/>
    </xf>
    <xf numFmtId="167" fontId="20" fillId="6" borderId="148" xfId="0" applyNumberFormat="1" applyFont="1" applyFill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50" xfId="186" applyNumberFormat="1" applyFont="1" applyFill="1" applyBorder="1" applyAlignment="1">
      <alignment horizontal="center" vertical="top"/>
    </xf>
    <xf numFmtId="1" fontId="19" fillId="8" borderId="144" xfId="186" applyNumberFormat="1" applyFont="1" applyFill="1" applyBorder="1" applyAlignment="1">
      <alignment horizontal="center" vertical="top"/>
    </xf>
    <xf numFmtId="1" fontId="19" fillId="5" borderId="144" xfId="186" applyNumberFormat="1" applyFont="1" applyFill="1" applyBorder="1" applyAlignment="1">
      <alignment horizontal="center" vertical="top"/>
    </xf>
    <xf numFmtId="1" fontId="19" fillId="7" borderId="144" xfId="186" applyNumberFormat="1" applyFont="1" applyFill="1" applyBorder="1" applyAlignment="1">
      <alignment horizontal="center" vertical="top"/>
    </xf>
    <xf numFmtId="1" fontId="79" fillId="0" borderId="150" xfId="186" applyNumberFormat="1" applyFont="1" applyBorder="1" applyAlignment="1">
      <alignment horizontal="center" vertical="center"/>
    </xf>
    <xf numFmtId="1" fontId="79" fillId="7" borderId="150" xfId="186" applyNumberFormat="1" applyFont="1" applyFill="1" applyBorder="1" applyAlignment="1">
      <alignment horizontal="center" vertical="center"/>
    </xf>
    <xf numFmtId="1" fontId="79" fillId="8" borderId="150" xfId="186" applyNumberFormat="1" applyFont="1" applyFill="1" applyBorder="1" applyAlignment="1">
      <alignment horizontal="center" vertical="center"/>
    </xf>
    <xf numFmtId="1" fontId="79" fillId="5" borderId="154" xfId="186" applyNumberFormat="1" applyFont="1" applyFill="1" applyBorder="1" applyAlignment="1">
      <alignment horizontal="center" vertical="center"/>
    </xf>
    <xf numFmtId="1" fontId="78" fillId="5" borderId="146" xfId="186" applyNumberFormat="1" applyFont="1" applyFill="1" applyBorder="1" applyAlignment="1">
      <alignment horizontal="center" vertical="center"/>
    </xf>
    <xf numFmtId="1" fontId="79" fillId="0" borderId="154" xfId="186" applyNumberFormat="1" applyFont="1" applyBorder="1" applyAlignment="1">
      <alignment horizontal="center" vertical="center"/>
    </xf>
    <xf numFmtId="1" fontId="78" fillId="7" borderId="146" xfId="186" applyNumberFormat="1" applyFont="1" applyFill="1" applyBorder="1" applyAlignment="1">
      <alignment horizontal="center" vertical="center"/>
    </xf>
    <xf numFmtId="1" fontId="78" fillId="7" borderId="144" xfId="186" applyNumberFormat="1" applyFont="1" applyFill="1" applyBorder="1" applyAlignment="1">
      <alignment horizontal="center" vertical="center"/>
    </xf>
    <xf numFmtId="1" fontId="78" fillId="7" borderId="150" xfId="186" applyNumberFormat="1" applyFont="1" applyFill="1" applyBorder="1" applyAlignment="1">
      <alignment horizontal="center" vertical="center"/>
    </xf>
    <xf numFmtId="0" fontId="20" fillId="8" borderId="143" xfId="0" quotePrefix="1" applyFont="1" applyFill="1" applyBorder="1" applyAlignment="1">
      <alignment horizontal="left" vertical="center" wrapText="1"/>
    </xf>
    <xf numFmtId="0" fontId="20" fillId="0" borderId="144" xfId="0" applyFont="1" applyBorder="1" applyAlignment="1">
      <alignment horizontal="center" vertical="center"/>
    </xf>
    <xf numFmtId="0" fontId="20" fillId="0" borderId="144" xfId="0" applyFont="1" applyBorder="1" applyAlignment="1">
      <alignment horizontal="right" vertical="center"/>
    </xf>
    <xf numFmtId="1" fontId="18" fillId="8" borderId="14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left" vertical="center" wrapText="1" indent="2"/>
    </xf>
    <xf numFmtId="0" fontId="20" fillId="0" borderId="146" xfId="0" applyFont="1" applyBorder="1" applyAlignment="1">
      <alignment horizontal="center" vertical="center"/>
    </xf>
    <xf numFmtId="1" fontId="21" fillId="8" borderId="143" xfId="0" applyNumberFormat="1" applyFont="1" applyFill="1" applyBorder="1" applyAlignment="1">
      <alignment horizontal="center" vertical="center"/>
    </xf>
    <xf numFmtId="0" fontId="20" fillId="0" borderId="160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37" xfId="0" applyNumberFormat="1" applyFont="1" applyFill="1" applyBorder="1" applyAlignment="1">
      <alignment horizontal="center" vertical="center"/>
    </xf>
    <xf numFmtId="1" fontId="176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77" fillId="8" borderId="0" xfId="0" applyFont="1" applyFill="1" applyBorder="1" applyAlignment="1">
      <alignment horizontal="left" vertical="center" wrapText="1"/>
    </xf>
    <xf numFmtId="0" fontId="20" fillId="0" borderId="148" xfId="0" applyFont="1" applyBorder="1" applyAlignment="1">
      <alignment horizontal="center" vertical="center"/>
    </xf>
    <xf numFmtId="0" fontId="20" fillId="0" borderId="161" xfId="0" applyFont="1" applyBorder="1" applyAlignment="1">
      <alignment horizontal="center" vertical="center"/>
    </xf>
    <xf numFmtId="0" fontId="20" fillId="0" borderId="160" xfId="0" applyFont="1" applyBorder="1" applyAlignment="1">
      <alignment horizontal="right" vertical="center" wrapText="1" indent="2"/>
    </xf>
    <xf numFmtId="0" fontId="20" fillId="0" borderId="14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20" fillId="8" borderId="15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 wrapText="1"/>
    </xf>
    <xf numFmtId="1" fontId="20" fillId="8" borderId="15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2" xfId="0" applyFont="1" applyFill="1" applyBorder="1" applyAlignment="1">
      <alignment horizontal="center" vertical="center"/>
    </xf>
    <xf numFmtId="2" fontId="18" fillId="8" borderId="79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44" xfId="0" applyFont="1" applyFill="1" applyBorder="1" applyAlignment="1">
      <alignment vertical="center"/>
    </xf>
    <xf numFmtId="0" fontId="21" fillId="8" borderId="144" xfId="0" applyFont="1" applyFill="1" applyBorder="1" applyAlignment="1">
      <alignment horizontal="center" vertical="center"/>
    </xf>
    <xf numFmtId="9" fontId="21" fillId="8" borderId="14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43" xfId="0" applyFont="1" applyFill="1" applyBorder="1" applyAlignment="1">
      <alignment vertical="center"/>
    </xf>
    <xf numFmtId="9" fontId="21" fillId="8" borderId="146" xfId="22" applyFont="1" applyFill="1" applyBorder="1" applyAlignment="1">
      <alignment horizontal="center" vertical="center"/>
    </xf>
    <xf numFmtId="1" fontId="19" fillId="8" borderId="146" xfId="0" applyNumberFormat="1" applyFont="1" applyFill="1" applyBorder="1" applyAlignment="1">
      <alignment horizontal="center" vertical="center"/>
    </xf>
    <xf numFmtId="0" fontId="21" fillId="8" borderId="137" xfId="0" applyFont="1" applyFill="1" applyBorder="1" applyAlignment="1">
      <alignment vertical="center"/>
    </xf>
    <xf numFmtId="0" fontId="21" fillId="8" borderId="147" xfId="0" applyFont="1" applyFill="1" applyBorder="1" applyAlignment="1">
      <alignment vertical="center"/>
    </xf>
    <xf numFmtId="0" fontId="21" fillId="8" borderId="147" xfId="0" applyFont="1" applyFill="1" applyBorder="1" applyAlignment="1">
      <alignment horizontal="center" vertical="center"/>
    </xf>
    <xf numFmtId="9" fontId="21" fillId="8" borderId="147" xfId="22" applyFont="1" applyFill="1" applyBorder="1" applyAlignment="1">
      <alignment horizontal="center" vertical="center"/>
    </xf>
    <xf numFmtId="1" fontId="19" fillId="8" borderId="149" xfId="0" applyNumberFormat="1" applyFont="1" applyFill="1" applyBorder="1" applyAlignment="1">
      <alignment horizontal="center" vertical="center"/>
    </xf>
    <xf numFmtId="0" fontId="14" fillId="0" borderId="15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6" borderId="143" xfId="0" applyNumberFormat="1" applyFont="1" applyFill="1" applyBorder="1" applyAlignment="1">
      <alignment horizontal="center" vertical="center"/>
    </xf>
    <xf numFmtId="0" fontId="18" fillId="0" borderId="143" xfId="0" applyFont="1" applyBorder="1" applyAlignment="1">
      <alignment vertical="center"/>
    </xf>
    <xf numFmtId="0" fontId="18" fillId="0" borderId="148" xfId="0" applyFont="1" applyBorder="1" applyAlignment="1">
      <alignment horizontal="center" vertical="center"/>
    </xf>
    <xf numFmtId="167" fontId="21" fillId="8" borderId="143" xfId="0" applyNumberFormat="1" applyFont="1" applyFill="1" applyBorder="1" applyAlignment="1">
      <alignment horizontal="center" vertical="center"/>
    </xf>
    <xf numFmtId="0" fontId="7" fillId="0" borderId="14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86" fillId="8" borderId="10" xfId="22" applyNumberFormat="1" applyFont="1" applyFill="1" applyBorder="1" applyAlignment="1">
      <alignment horizontal="center"/>
    </xf>
    <xf numFmtId="0" fontId="187" fillId="0" borderId="144" xfId="0" applyFont="1" applyBorder="1"/>
    <xf numFmtId="1" fontId="187" fillId="8" borderId="144" xfId="0" applyNumberFormat="1" applyFont="1" applyFill="1" applyBorder="1" applyAlignment="1">
      <alignment horizontal="center"/>
    </xf>
    <xf numFmtId="1" fontId="187" fillId="7" borderId="144" xfId="0" applyNumberFormat="1" applyFont="1" applyFill="1" applyBorder="1" applyAlignment="1">
      <alignment horizontal="center"/>
    </xf>
    <xf numFmtId="1" fontId="187" fillId="5" borderId="14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63" xfId="0" applyFont="1" applyBorder="1" applyAlignment="1">
      <alignment horizontal="right" vertical="center"/>
    </xf>
    <xf numFmtId="0" fontId="12" fillId="0" borderId="163" xfId="0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12" fillId="0" borderId="163" xfId="0" applyNumberFormat="1" applyFont="1" applyBorder="1" applyAlignment="1">
      <alignment horizontal="center" vertical="center"/>
    </xf>
    <xf numFmtId="1" fontId="12" fillId="7" borderId="163" xfId="0" applyNumberFormat="1" applyFont="1" applyFill="1" applyBorder="1" applyAlignment="1">
      <alignment horizontal="center" vertical="center"/>
    </xf>
    <xf numFmtId="1" fontId="12" fillId="5" borderId="163" xfId="0" applyNumberFormat="1" applyFont="1" applyFill="1" applyBorder="1" applyAlignment="1">
      <alignment horizontal="center" vertical="center"/>
    </xf>
    <xf numFmtId="1" fontId="12" fillId="6" borderId="163" xfId="0" applyNumberFormat="1" applyFont="1" applyFill="1" applyBorder="1" applyAlignment="1">
      <alignment horizontal="center" vertical="center"/>
    </xf>
    <xf numFmtId="0" fontId="12" fillId="8" borderId="143" xfId="0" applyFont="1" applyFill="1" applyBorder="1" applyAlignment="1">
      <alignment horizontal="right" vertical="center"/>
    </xf>
    <xf numFmtId="2" fontId="12" fillId="8" borderId="16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63" xfId="0" applyNumberFormat="1" applyFont="1" applyFill="1" applyBorder="1" applyAlignment="1">
      <alignment horizontal="center" vertical="center"/>
    </xf>
    <xf numFmtId="1" fontId="20" fillId="7" borderId="163" xfId="0" applyNumberFormat="1" applyFont="1" applyFill="1" applyBorder="1" applyAlignment="1">
      <alignment horizontal="center" vertical="center"/>
    </xf>
    <xf numFmtId="1" fontId="20" fillId="7" borderId="163" xfId="0" applyNumberFormat="1" applyFont="1" applyFill="1" applyBorder="1" applyAlignment="1">
      <alignment vertical="center"/>
    </xf>
    <xf numFmtId="1" fontId="19" fillId="6" borderId="163" xfId="0" applyNumberFormat="1" applyFont="1" applyFill="1" applyBorder="1" applyAlignment="1">
      <alignment horizontal="center" vertical="center"/>
    </xf>
    <xf numFmtId="1" fontId="78" fillId="7" borderId="163" xfId="186" applyNumberFormat="1" applyFont="1" applyFill="1" applyBorder="1" applyAlignment="1">
      <alignment horizontal="center" vertical="center"/>
    </xf>
    <xf numFmtId="0" fontId="7" fillId="0" borderId="148" xfId="0" applyFont="1" applyBorder="1" applyAlignment="1">
      <alignment horizontal="left" vertical="center"/>
    </xf>
    <xf numFmtId="0" fontId="7" fillId="0" borderId="163" xfId="0" applyFont="1" applyBorder="1" applyAlignment="1">
      <alignment horizontal="left" vertical="center"/>
    </xf>
    <xf numFmtId="0" fontId="7" fillId="0" borderId="163" xfId="0" applyFont="1" applyBorder="1" applyAlignment="1">
      <alignment horizontal="center" vertical="center"/>
    </xf>
    <xf numFmtId="0" fontId="7" fillId="7" borderId="163" xfId="0" applyFont="1" applyFill="1" applyBorder="1" applyAlignment="1">
      <alignment horizontal="center" vertical="center"/>
    </xf>
    <xf numFmtId="0" fontId="7" fillId="5" borderId="163" xfId="0" applyFont="1" applyFill="1" applyBorder="1" applyAlignment="1">
      <alignment horizontal="center" vertical="center"/>
    </xf>
    <xf numFmtId="0" fontId="0" fillId="0" borderId="163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19" fillId="0" borderId="164" xfId="0" applyNumberFormat="1" applyFont="1" applyBorder="1" applyAlignment="1">
      <alignment horizontal="center" vertical="center"/>
    </xf>
    <xf numFmtId="1" fontId="19" fillId="50" borderId="164" xfId="0" applyNumberFormat="1" applyFont="1" applyFill="1" applyBorder="1" applyAlignment="1">
      <alignment horizontal="center" vertical="center"/>
    </xf>
    <xf numFmtId="1" fontId="112" fillId="5" borderId="164" xfId="0" applyNumberFormat="1" applyFont="1" applyFill="1" applyBorder="1" applyAlignment="1">
      <alignment horizontal="center" vertical="center"/>
    </xf>
    <xf numFmtId="1" fontId="18" fillId="6" borderId="164" xfId="0" applyNumberFormat="1" applyFont="1" applyFill="1" applyBorder="1" applyAlignment="1">
      <alignment horizontal="center" vertical="center"/>
    </xf>
    <xf numFmtId="1" fontId="19" fillId="7" borderId="164" xfId="0" applyNumberFormat="1" applyFont="1" applyFill="1" applyBorder="1" applyAlignment="1">
      <alignment horizontal="center" vertical="center"/>
    </xf>
    <xf numFmtId="1" fontId="18" fillId="7" borderId="14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64" xfId="0" applyFont="1" applyFill="1" applyBorder="1" applyAlignment="1">
      <alignment horizontal="right" vertical="center"/>
    </xf>
    <xf numFmtId="0" fontId="18" fillId="8" borderId="164" xfId="0" applyFont="1" applyFill="1" applyBorder="1" applyAlignment="1">
      <alignment horizontal="center" vertical="center"/>
    </xf>
    <xf numFmtId="1" fontId="112" fillId="8" borderId="164" xfId="0" applyNumberFormat="1" applyFont="1" applyFill="1" applyBorder="1" applyAlignment="1">
      <alignment horizontal="center" vertical="center"/>
    </xf>
    <xf numFmtId="0" fontId="112" fillId="7" borderId="164" xfId="0" applyFont="1" applyFill="1" applyBorder="1" applyAlignment="1">
      <alignment horizontal="center" vertical="center"/>
    </xf>
    <xf numFmtId="0" fontId="112" fillId="5" borderId="164" xfId="0" applyFont="1" applyFill="1" applyBorder="1" applyAlignment="1">
      <alignment horizontal="right" vertical="center"/>
    </xf>
    <xf numFmtId="1" fontId="19" fillId="5" borderId="164" xfId="0" applyNumberFormat="1" applyFont="1" applyFill="1" applyBorder="1" applyAlignment="1">
      <alignment horizontal="center" vertical="center"/>
    </xf>
    <xf numFmtId="1" fontId="19" fillId="6" borderId="164" xfId="0" applyNumberFormat="1" applyFont="1" applyFill="1" applyBorder="1" applyAlignment="1">
      <alignment horizontal="center" vertical="center"/>
    </xf>
    <xf numFmtId="171" fontId="186" fillId="7" borderId="10" xfId="22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64" xfId="186" applyNumberFormat="1" applyFont="1" applyFill="1" applyBorder="1" applyAlignment="1">
      <alignment horizontal="center" vertical="top"/>
    </xf>
    <xf numFmtId="1" fontId="19" fillId="5" borderId="164" xfId="186" applyNumberFormat="1" applyFont="1" applyFill="1" applyBorder="1" applyAlignment="1">
      <alignment horizontal="center" vertical="top"/>
    </xf>
    <xf numFmtId="1" fontId="19" fillId="7" borderId="16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1" xfId="0" applyNumberFormat="1" applyFont="1" applyFill="1" applyBorder="1" applyAlignment="1">
      <alignment horizontal="center" vertical="center"/>
    </xf>
    <xf numFmtId="2" fontId="12" fillId="7" borderId="163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64" xfId="0" applyNumberFormat="1" applyFont="1" applyFill="1" applyBorder="1" applyAlignment="1">
      <alignment vertical="center"/>
    </xf>
    <xf numFmtId="1" fontId="20" fillId="7" borderId="164" xfId="0" applyNumberFormat="1" applyFont="1" applyFill="1" applyBorder="1" applyAlignment="1">
      <alignment vertical="center"/>
    </xf>
    <xf numFmtId="1" fontId="20" fillId="7" borderId="16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4" fillId="0" borderId="143" xfId="0" quotePrefix="1" applyNumberFormat="1" applyFont="1" applyBorder="1" applyAlignment="1">
      <alignment horizontal="left" vertical="center"/>
    </xf>
    <xf numFmtId="164" fontId="134" fillId="0" borderId="154" xfId="0" quotePrefix="1" applyNumberFormat="1" applyFont="1" applyBorder="1" applyAlignment="1">
      <alignment horizontal="left" vertical="center"/>
    </xf>
    <xf numFmtId="1" fontId="18" fillId="0" borderId="164" xfId="0" applyNumberFormat="1" applyFont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0" fillId="5" borderId="164" xfId="0" applyNumberFormat="1" applyFont="1" applyFill="1" applyBorder="1" applyAlignment="1">
      <alignment horizontal="center" vertical="center"/>
    </xf>
    <xf numFmtId="1" fontId="18" fillId="5" borderId="16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6" borderId="164" xfId="0" applyNumberFormat="1" applyFont="1" applyFill="1" applyBorder="1" applyAlignment="1">
      <alignment vertical="center"/>
    </xf>
    <xf numFmtId="1" fontId="20" fillId="6" borderId="164" xfId="0" applyNumberFormat="1" applyFont="1" applyFill="1" applyBorder="1" applyAlignment="1">
      <alignment horizontal="center" vertical="center"/>
    </xf>
    <xf numFmtId="1" fontId="20" fillId="44" borderId="164" xfId="0" applyNumberFormat="1" applyFont="1" applyFill="1" applyBorder="1" applyAlignment="1">
      <alignment vertical="center"/>
    </xf>
    <xf numFmtId="0" fontId="187" fillId="0" borderId="164" xfId="0" applyFont="1" applyBorder="1"/>
    <xf numFmtId="0" fontId="36" fillId="0" borderId="164" xfId="0" applyFont="1" applyBorder="1"/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56" xfId="0" quotePrefix="1" applyNumberFormat="1" applyFont="1" applyBorder="1" applyAlignment="1">
      <alignment horizontal="left" vertical="center"/>
    </xf>
    <xf numFmtId="172" fontId="20" fillId="0" borderId="161" xfId="0" quotePrefix="1" applyNumberFormat="1" applyFont="1" applyBorder="1" applyAlignment="1">
      <alignment horizontal="center" vertical="center"/>
    </xf>
    <xf numFmtId="0" fontId="20" fillId="0" borderId="153" xfId="0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6" xfId="0" applyNumberFormat="1" applyFont="1" applyBorder="1" applyAlignment="1">
      <alignment horizontal="center" vertical="center"/>
    </xf>
    <xf numFmtId="1" fontId="20" fillId="7" borderId="15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4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55" xfId="0" quotePrefix="1" applyNumberFormat="1" applyFont="1" applyBorder="1" applyAlignment="1">
      <alignment horizontal="left" vertical="center"/>
    </xf>
    <xf numFmtId="164" fontId="37" fillId="0" borderId="156" xfId="0" quotePrefix="1" applyNumberFormat="1" applyFont="1" applyBorder="1" applyAlignment="1">
      <alignment horizontal="left" vertical="center"/>
    </xf>
    <xf numFmtId="172" fontId="37" fillId="0" borderId="161" xfId="0" quotePrefix="1" applyNumberFormat="1" applyFont="1" applyBorder="1" applyAlignment="1">
      <alignment horizontal="center" vertical="center"/>
    </xf>
    <xf numFmtId="0" fontId="37" fillId="0" borderId="155" xfId="0" applyFont="1" applyBorder="1" applyAlignment="1">
      <alignment horizontal="center" vertical="center"/>
    </xf>
    <xf numFmtId="1" fontId="21" fillId="0" borderId="160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1" fillId="7" borderId="156" xfId="0" applyNumberFormat="1" applyFont="1" applyFill="1" applyBorder="1" applyAlignment="1">
      <alignment vertical="center"/>
    </xf>
    <xf numFmtId="1" fontId="21" fillId="5" borderId="143" xfId="0" applyNumberFormat="1" applyFont="1" applyFill="1" applyBorder="1" applyAlignment="1">
      <alignment vertical="center"/>
    </xf>
    <xf numFmtId="1" fontId="21" fillId="7" borderId="143" xfId="0" applyNumberFormat="1" applyFont="1" applyFill="1" applyBorder="1" applyAlignment="1">
      <alignment vertical="center"/>
    </xf>
    <xf numFmtId="1" fontId="21" fillId="5" borderId="164" xfId="0" applyNumberFormat="1" applyFont="1" applyFill="1" applyBorder="1" applyAlignment="1">
      <alignment vertical="center"/>
    </xf>
    <xf numFmtId="0" fontId="25" fillId="0" borderId="153" xfId="0" applyFont="1" applyBorder="1" applyAlignment="1">
      <alignment horizontal="left" vertical="center" indent="2"/>
    </xf>
    <xf numFmtId="0" fontId="12" fillId="0" borderId="154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20" fillId="45" borderId="16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64" fontId="20" fillId="8" borderId="164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20" fillId="0" borderId="164" xfId="0" applyFont="1" applyBorder="1" applyAlignment="1">
      <alignment horizontal="left" vertical="center"/>
    </xf>
    <xf numFmtId="1" fontId="20" fillId="0" borderId="16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64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9" fillId="7" borderId="165" xfId="186" applyNumberFormat="1" applyFont="1" applyFill="1" applyBorder="1" applyAlignment="1">
      <alignment horizontal="center" vertical="center"/>
    </xf>
    <xf numFmtId="1" fontId="79" fillId="8" borderId="165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64" xfId="186" applyNumberFormat="1" applyFont="1" applyFill="1" applyBorder="1" applyAlignment="1">
      <alignment horizontal="center" vertical="center"/>
    </xf>
    <xf numFmtId="1" fontId="78" fillId="7" borderId="165" xfId="186" applyNumberFormat="1" applyFont="1" applyFill="1" applyBorder="1" applyAlignment="1">
      <alignment horizontal="center" vertical="center"/>
    </xf>
    <xf numFmtId="0" fontId="21" fillId="8" borderId="143" xfId="0" applyFont="1" applyFill="1" applyBorder="1" applyAlignment="1">
      <alignment horizontal="left" vertical="center"/>
    </xf>
    <xf numFmtId="1" fontId="20" fillId="5" borderId="111" xfId="0" applyNumberFormat="1" applyFont="1" applyFill="1" applyBorder="1" applyAlignment="1">
      <alignment horizontal="center" vertical="center"/>
    </xf>
    <xf numFmtId="0" fontId="12" fillId="0" borderId="167" xfId="0" applyFont="1" applyBorder="1" applyAlignment="1">
      <alignment horizontal="left" indent="1"/>
    </xf>
    <xf numFmtId="0" fontId="12" fillId="0" borderId="167" xfId="0" applyFont="1" applyBorder="1" applyAlignment="1">
      <alignment horizontal="center"/>
    </xf>
    <xf numFmtId="1" fontId="12" fillId="0" borderId="155" xfId="0" applyNumberFormat="1" applyFont="1" applyBorder="1" applyAlignment="1">
      <alignment horizontal="center"/>
    </xf>
    <xf numFmtId="1" fontId="12" fillId="0" borderId="167" xfId="0" applyNumberFormat="1" applyFont="1" applyBorder="1" applyAlignment="1">
      <alignment horizontal="center"/>
    </xf>
    <xf numFmtId="168" fontId="20" fillId="0" borderId="164" xfId="1" applyFont="1" applyBorder="1" applyAlignment="1">
      <alignment vertical="center"/>
    </xf>
    <xf numFmtId="169" fontId="20" fillId="8" borderId="164" xfId="0" applyNumberFormat="1" applyFont="1" applyFill="1" applyBorder="1" applyAlignment="1">
      <alignment horizontal="center" vertical="center"/>
    </xf>
    <xf numFmtId="169" fontId="20" fillId="7" borderId="16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2" fillId="0" borderId="16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19" fillId="8" borderId="146" xfId="186" applyNumberFormat="1" applyFont="1" applyFill="1" applyBorder="1" applyAlignment="1">
      <alignment horizontal="center" vertical="top"/>
    </xf>
    <xf numFmtId="1" fontId="19" fillId="8" borderId="165" xfId="186" applyNumberFormat="1" applyFont="1" applyFill="1" applyBorder="1" applyAlignment="1">
      <alignment horizontal="center" vertical="top"/>
    </xf>
    <xf numFmtId="171" fontId="186" fillId="5" borderId="10" xfId="22" applyNumberFormat="1" applyFont="1" applyFill="1" applyBorder="1" applyAlignment="1">
      <alignment horizontal="center"/>
    </xf>
    <xf numFmtId="0" fontId="160" fillId="0" borderId="11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6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19" fillId="48" borderId="111" xfId="0" applyNumberFormat="1" applyFont="1" applyFill="1" applyBorder="1" applyAlignment="1">
      <alignment horizontal="center" vertical="center"/>
    </xf>
    <xf numFmtId="1" fontId="7" fillId="50" borderId="144" xfId="0" applyNumberFormat="1" applyFont="1" applyFill="1" applyBorder="1" applyAlignment="1">
      <alignment horizontal="center" vertical="center"/>
    </xf>
    <xf numFmtId="1" fontId="7" fillId="8" borderId="14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67" xfId="0" quotePrefix="1" applyNumberFormat="1" applyFont="1" applyBorder="1" applyAlignment="1">
      <alignment horizontal="left" vertical="center"/>
    </xf>
    <xf numFmtId="164" fontId="20" fillId="0" borderId="168" xfId="0" quotePrefix="1" applyNumberFormat="1" applyFont="1" applyBorder="1" applyAlignment="1">
      <alignment horizontal="left" vertical="center"/>
    </xf>
    <xf numFmtId="0" fontId="20" fillId="0" borderId="169" xfId="0" applyFont="1" applyBorder="1" applyAlignment="1">
      <alignment horizontal="center" vertical="center"/>
    </xf>
    <xf numFmtId="1" fontId="20" fillId="0" borderId="168" xfId="0" applyNumberFormat="1" applyFont="1" applyBorder="1" applyAlignment="1">
      <alignment horizontal="center" vertical="center"/>
    </xf>
    <xf numFmtId="1" fontId="20" fillId="8" borderId="168" xfId="0" applyNumberFormat="1" applyFont="1" applyFill="1" applyBorder="1" applyAlignment="1">
      <alignment horizontal="center" vertical="center"/>
    </xf>
    <xf numFmtId="1" fontId="20" fillId="7" borderId="16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64" xfId="0" applyNumberFormat="1" applyFont="1" applyFill="1" applyBorder="1" applyAlignment="1">
      <alignment vertical="center"/>
    </xf>
    <xf numFmtId="1" fontId="45" fillId="7" borderId="164" xfId="0" applyNumberFormat="1" applyFont="1" applyFill="1" applyBorder="1" applyAlignment="1">
      <alignment vertical="center"/>
    </xf>
    <xf numFmtId="1" fontId="20" fillId="0" borderId="171" xfId="0" applyNumberFormat="1" applyFont="1" applyBorder="1" applyAlignment="1">
      <alignment horizontal="center" vertical="center"/>
    </xf>
    <xf numFmtId="1" fontId="20" fillId="7" borderId="171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60" xfId="0" applyFont="1" applyBorder="1" applyAlignment="1">
      <alignment vertical="center"/>
    </xf>
    <xf numFmtId="0" fontId="20" fillId="7" borderId="172" xfId="0" applyFont="1" applyFill="1" applyBorder="1" applyAlignment="1">
      <alignment horizontal="center" vertical="center"/>
    </xf>
    <xf numFmtId="0" fontId="20" fillId="5" borderId="172" xfId="0" applyFont="1" applyFill="1" applyBorder="1" applyAlignment="1">
      <alignment horizontal="center" vertical="center"/>
    </xf>
    <xf numFmtId="1" fontId="20" fillId="6" borderId="172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67" fontId="27" fillId="6" borderId="171" xfId="0" applyNumberFormat="1" applyFont="1" applyFill="1" applyBorder="1" applyAlignment="1">
      <alignment horizontal="center" vertical="center"/>
    </xf>
    <xf numFmtId="1" fontId="27" fillId="6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27" fillId="5" borderId="170" xfId="0" applyNumberFormat="1" applyFont="1" applyFill="1" applyBorder="1" applyAlignment="1">
      <alignment horizontal="center" vertical="center"/>
    </xf>
    <xf numFmtId="1" fontId="27" fillId="7" borderId="171" xfId="0" applyNumberFormat="1" applyFont="1" applyFill="1" applyBorder="1" applyAlignment="1">
      <alignment horizontal="center" vertical="center"/>
    </xf>
    <xf numFmtId="1" fontId="27" fillId="5" borderId="17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7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7" fillId="0" borderId="171" xfId="0" applyFont="1" applyBorder="1"/>
    <xf numFmtId="0" fontId="187" fillId="8" borderId="171" xfId="0" applyFont="1" applyFill="1" applyBorder="1"/>
    <xf numFmtId="1" fontId="18" fillId="5" borderId="171" xfId="0" applyNumberFormat="1" applyFont="1" applyFill="1" applyBorder="1" applyAlignment="1">
      <alignment horizontal="center" vertical="center"/>
    </xf>
    <xf numFmtId="1" fontId="18" fillId="6" borderId="171" xfId="0" applyNumberFormat="1" applyFont="1" applyFill="1" applyBorder="1" applyAlignment="1">
      <alignment horizontal="center" vertical="center"/>
    </xf>
    <xf numFmtId="1" fontId="19" fillId="6" borderId="171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vertical="center"/>
    </xf>
    <xf numFmtId="1" fontId="20" fillId="44" borderId="171" xfId="0" applyNumberFormat="1" applyFont="1" applyFill="1" applyBorder="1" applyAlignment="1">
      <alignment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70" xfId="186" applyNumberFormat="1" applyFont="1" applyBorder="1" applyAlignment="1">
      <alignment horizontal="center" vertical="center"/>
    </xf>
    <xf numFmtId="1" fontId="79" fillId="0" borderId="171" xfId="186" applyNumberFormat="1" applyFont="1" applyBorder="1" applyAlignment="1">
      <alignment horizontal="center" vertical="center"/>
    </xf>
    <xf numFmtId="1" fontId="79" fillId="7" borderId="170" xfId="186" applyNumberFormat="1" applyFont="1" applyFill="1" applyBorder="1" applyAlignment="1">
      <alignment horizontal="center" vertical="center"/>
    </xf>
    <xf numFmtId="1" fontId="78" fillId="7" borderId="171" xfId="186" applyNumberFormat="1" applyFont="1" applyFill="1" applyBorder="1" applyAlignment="1">
      <alignment horizontal="center" vertical="center"/>
    </xf>
    <xf numFmtId="1" fontId="78" fillId="7" borderId="170" xfId="186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43" xfId="0" applyBorder="1"/>
    <xf numFmtId="0" fontId="0" fillId="0" borderId="170" xfId="0" applyBorder="1"/>
    <xf numFmtId="1" fontId="0" fillId="0" borderId="143" xfId="0" applyNumberFormat="1" applyBorder="1" applyAlignment="1">
      <alignment horizontal="center" vertical="center"/>
    </xf>
    <xf numFmtId="1" fontId="0" fillId="0" borderId="17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4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21" fillId="6" borderId="84" xfId="0" applyFont="1" applyFill="1" applyBorder="1" applyAlignment="1">
      <alignment horizontal="center" vertical="center"/>
    </xf>
    <xf numFmtId="0" fontId="21" fillId="44" borderId="84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71" xfId="0" applyFont="1" applyBorder="1" applyAlignment="1">
      <alignment horizontal="left" vertical="center"/>
    </xf>
    <xf numFmtId="0" fontId="21" fillId="0" borderId="171" xfId="0" applyFont="1" applyBorder="1" applyAlignment="1">
      <alignment horizontal="center" vertical="center"/>
    </xf>
    <xf numFmtId="0" fontId="21" fillId="0" borderId="171" xfId="0" applyFont="1" applyBorder="1" applyAlignment="1">
      <alignment horizontal="center" vertical="center" wrapText="1"/>
    </xf>
    <xf numFmtId="1" fontId="21" fillId="0" borderId="171" xfId="0" applyNumberFormat="1" applyFont="1" applyBorder="1" applyAlignment="1">
      <alignment horizontal="center" vertical="center"/>
    </xf>
    <xf numFmtId="0" fontId="21" fillId="7" borderId="171" xfId="0" applyFont="1" applyFill="1" applyBorder="1" applyAlignment="1">
      <alignment horizontal="center" vertical="center"/>
    </xf>
    <xf numFmtId="0" fontId="21" fillId="5" borderId="171" xfId="0" applyFont="1" applyFill="1" applyBorder="1" applyAlignment="1">
      <alignment horizontal="center" vertical="center"/>
    </xf>
    <xf numFmtId="1" fontId="21" fillId="5" borderId="171" xfId="0" applyNumberFormat="1" applyFont="1" applyFill="1" applyBorder="1" applyAlignment="1">
      <alignment horizontal="center" vertical="center"/>
    </xf>
    <xf numFmtId="0" fontId="21" fillId="8" borderId="171" xfId="0" applyFont="1" applyFill="1" applyBorder="1" applyAlignment="1">
      <alignment horizontal="center" vertical="center"/>
    </xf>
    <xf numFmtId="1" fontId="21" fillId="7" borderId="171" xfId="0" applyNumberFormat="1" applyFont="1" applyFill="1" applyBorder="1" applyAlignment="1">
      <alignment horizontal="center" vertical="center"/>
    </xf>
    <xf numFmtId="0" fontId="21" fillId="6" borderId="171" xfId="0" applyFont="1" applyFill="1" applyBorder="1" applyAlignment="1">
      <alignment horizontal="center" vertical="center"/>
    </xf>
    <xf numFmtId="0" fontId="21" fillId="0" borderId="171" xfId="0" applyFont="1" applyFill="1" applyBorder="1" applyAlignment="1">
      <alignment horizontal="center" vertical="center"/>
    </xf>
    <xf numFmtId="0" fontId="21" fillId="44" borderId="171" xfId="0" applyFont="1" applyFill="1" applyBorder="1" applyAlignment="1">
      <alignment horizontal="center" vertical="center"/>
    </xf>
    <xf numFmtId="0" fontId="0" fillId="0" borderId="171" xfId="0" applyBorder="1"/>
    <xf numFmtId="1" fontId="21" fillId="0" borderId="171" xfId="0" applyNumberFormat="1" applyFont="1" applyFill="1" applyBorder="1" applyAlignment="1">
      <alignment horizontal="center" vertical="center"/>
    </xf>
    <xf numFmtId="1" fontId="21" fillId="6" borderId="171" xfId="0" applyNumberFormat="1" applyFont="1" applyFill="1" applyBorder="1" applyAlignment="1">
      <alignment horizontal="center" vertical="center"/>
    </xf>
    <xf numFmtId="164" fontId="20" fillId="8" borderId="160" xfId="0" quotePrefix="1" applyNumberFormat="1" applyFont="1" applyFill="1" applyBorder="1" applyAlignment="1">
      <alignment horizontal="left" vertical="center"/>
    </xf>
    <xf numFmtId="0" fontId="20" fillId="0" borderId="168" xfId="0" applyFont="1" applyBorder="1" applyAlignment="1">
      <alignment horizontal="left" vertical="center"/>
    </xf>
    <xf numFmtId="0" fontId="20" fillId="0" borderId="157" xfId="0" applyFont="1" applyBorder="1" applyAlignment="1">
      <alignment horizontal="left" vertical="center"/>
    </xf>
    <xf numFmtId="164" fontId="20" fillId="8" borderId="171" xfId="0" quotePrefix="1" applyNumberFormat="1" applyFont="1" applyFill="1" applyBorder="1" applyAlignment="1">
      <alignment horizontal="left" vertical="center"/>
    </xf>
    <xf numFmtId="0" fontId="20" fillId="0" borderId="171" xfId="0" applyFont="1" applyBorder="1" applyAlignment="1">
      <alignment horizontal="left" vertical="center"/>
    </xf>
    <xf numFmtId="9" fontId="186" fillId="6" borderId="10" xfId="22" applyNumberFormat="1" applyFont="1" applyFill="1" applyBorder="1" applyAlignment="1">
      <alignment horizontal="center"/>
    </xf>
    <xf numFmtId="0" fontId="36" fillId="0" borderId="171" xfId="0" applyFont="1" applyBorder="1"/>
    <xf numFmtId="0" fontId="36" fillId="8" borderId="171" xfId="0" applyFont="1" applyFill="1" applyBorder="1"/>
    <xf numFmtId="167" fontId="21" fillId="8" borderId="111" xfId="0" applyNumberFormat="1" applyFont="1" applyFill="1" applyBorder="1" applyAlignment="1">
      <alignment horizontal="center" vertical="center"/>
    </xf>
    <xf numFmtId="167" fontId="27" fillId="0" borderId="171" xfId="0" applyNumberFormat="1" applyFont="1" applyBorder="1" applyAlignment="1">
      <alignment horizontal="center" vertical="center"/>
    </xf>
    <xf numFmtId="1" fontId="27" fillId="8" borderId="171" xfId="0" applyNumberFormat="1" applyFont="1" applyFill="1" applyBorder="1" applyAlignment="1">
      <alignment horizontal="center" vertical="center"/>
    </xf>
    <xf numFmtId="1" fontId="27" fillId="0" borderId="171" xfId="0" applyNumberFormat="1" applyFont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48" xfId="0" quotePrefix="1" applyNumberFormat="1" applyFont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6" borderId="171" xfId="0" applyNumberFormat="1" applyFont="1" applyFill="1" applyBorder="1" applyAlignment="1">
      <alignment vertical="center"/>
    </xf>
    <xf numFmtId="164" fontId="37" fillId="0" borderId="114" xfId="0" quotePrefix="1" applyNumberFormat="1" applyFont="1" applyBorder="1" applyAlignment="1">
      <alignment horizontal="left" vertical="center"/>
    </xf>
    <xf numFmtId="172" fontId="37" fillId="0" borderId="116" xfId="0" quotePrefix="1" applyNumberFormat="1" applyFont="1" applyBorder="1" applyAlignment="1">
      <alignment horizontal="center" vertical="center"/>
    </xf>
    <xf numFmtId="1" fontId="21" fillId="7" borderId="114" xfId="0" applyNumberFormat="1" applyFont="1" applyFill="1" applyBorder="1" applyAlignment="1">
      <alignment vertical="center"/>
    </xf>
    <xf numFmtId="1" fontId="21" fillId="5" borderId="171" xfId="0" applyNumberFormat="1" applyFont="1" applyFill="1" applyBorder="1" applyAlignment="1">
      <alignment vertical="center"/>
    </xf>
    <xf numFmtId="1" fontId="21" fillId="6" borderId="171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7" fillId="7" borderId="171" xfId="0" applyNumberFormat="1" applyFont="1" applyFill="1" applyBorder="1" applyAlignment="1">
      <alignment horizontal="center" vertical="center"/>
    </xf>
    <xf numFmtId="167" fontId="14" fillId="7" borderId="171" xfId="0" applyNumberFormat="1" applyFont="1" applyFill="1" applyBorder="1" applyAlignment="1">
      <alignment horizontal="center" vertical="center"/>
    </xf>
    <xf numFmtId="1" fontId="14" fillId="7" borderId="17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97" fillId="0" borderId="171" xfId="0" applyFont="1" applyBorder="1" applyAlignment="1">
      <alignment horizontal="left" vertical="center" wrapText="1" readingOrder="1"/>
    </xf>
    <xf numFmtId="0" fontId="158" fillId="0" borderId="171" xfId="0" applyFont="1" applyBorder="1" applyAlignment="1">
      <alignment horizontal="left" vertical="center" wrapText="1" readingOrder="1"/>
    </xf>
    <xf numFmtId="0" fontId="198" fillId="0" borderId="171" xfId="0" applyFont="1" applyBorder="1" applyAlignment="1">
      <alignment horizontal="left" vertical="center" wrapText="1" readingOrder="1"/>
    </xf>
    <xf numFmtId="0" fontId="197" fillId="0" borderId="171" xfId="0" applyFont="1" applyBorder="1" applyAlignment="1">
      <alignment horizontal="center" vertical="center" wrapText="1" readingOrder="1"/>
    </xf>
    <xf numFmtId="0" fontId="198" fillId="0" borderId="171" xfId="0" applyFont="1" applyBorder="1" applyAlignment="1">
      <alignment horizontal="center" vertical="center" wrapText="1" readingOrder="1"/>
    </xf>
    <xf numFmtId="0" fontId="143" fillId="0" borderId="130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43" fillId="0" borderId="130" xfId="0" applyFont="1" applyBorder="1" applyAlignment="1">
      <alignment horizontal="left" vertical="center"/>
    </xf>
    <xf numFmtId="0" fontId="136" fillId="8" borderId="171" xfId="0" applyFont="1" applyFill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 wrapText="1"/>
    </xf>
    <xf numFmtId="0" fontId="143" fillId="0" borderId="130" xfId="0" applyFont="1" applyBorder="1" applyAlignment="1">
      <alignment vertical="center"/>
    </xf>
    <xf numFmtId="0" fontId="136" fillId="0" borderId="171" xfId="0" applyFont="1" applyBorder="1" applyAlignment="1">
      <alignment horizontal="center" vertical="center"/>
    </xf>
    <xf numFmtId="0" fontId="136" fillId="0" borderId="130" xfId="0" applyFont="1" applyBorder="1"/>
    <xf numFmtId="0" fontId="136" fillId="0" borderId="122" xfId="0" applyFont="1" applyBorder="1" applyAlignment="1">
      <alignment horizontal="center" vertical="center"/>
    </xf>
    <xf numFmtId="0" fontId="143" fillId="8" borderId="130" xfId="0" applyFont="1" applyFill="1" applyBorder="1" applyAlignment="1">
      <alignment horizontal="left" vertical="center"/>
    </xf>
    <xf numFmtId="0" fontId="143" fillId="8" borderId="171" xfId="0" applyFont="1" applyFill="1" applyBorder="1" applyAlignment="1">
      <alignment horizontal="left" vertical="center"/>
    </xf>
    <xf numFmtId="0" fontId="143" fillId="8" borderId="130" xfId="0" applyFont="1" applyFill="1" applyBorder="1" applyAlignment="1">
      <alignment horizontal="center" vertical="center"/>
    </xf>
    <xf numFmtId="0" fontId="136" fillId="8" borderId="171" xfId="0" applyFont="1" applyFill="1" applyBorder="1" applyAlignment="1">
      <alignment vertical="center" wrapText="1"/>
    </xf>
    <xf numFmtId="0" fontId="136" fillId="0" borderId="171" xfId="0" applyFont="1" applyBorder="1" applyAlignment="1">
      <alignment horizontal="left" vertical="center" wrapText="1"/>
    </xf>
    <xf numFmtId="0" fontId="136" fillId="0" borderId="171" xfId="0" applyFont="1" applyBorder="1" applyAlignment="1">
      <alignment horizontal="center"/>
    </xf>
    <xf numFmtId="0" fontId="143" fillId="0" borderId="171" xfId="0" applyFont="1" applyBorder="1" applyAlignment="1">
      <alignment horizontal="center" vertical="center"/>
    </xf>
    <xf numFmtId="0" fontId="17" fillId="0" borderId="171" xfId="0" applyFont="1" applyFill="1" applyBorder="1" applyAlignment="1">
      <alignment vertical="center" wrapText="1"/>
    </xf>
    <xf numFmtId="0" fontId="199" fillId="0" borderId="171" xfId="0" applyFont="1" applyBorder="1" applyAlignment="1">
      <alignment horizontal="center" vertical="center"/>
    </xf>
    <xf numFmtId="0" fontId="36" fillId="0" borderId="171" xfId="0" applyFont="1" applyBorder="1" applyAlignment="1">
      <alignment horizontal="center" vertical="center"/>
    </xf>
    <xf numFmtId="0" fontId="36" fillId="0" borderId="171" xfId="0" applyFont="1" applyBorder="1" applyAlignment="1">
      <alignment horizontal="center" vertical="center" wrapText="1"/>
    </xf>
    <xf numFmtId="0" fontId="136" fillId="8" borderId="171" xfId="0" applyFont="1" applyFill="1" applyBorder="1" applyAlignment="1">
      <alignment horizontal="left" vertical="center" wrapText="1"/>
    </xf>
    <xf numFmtId="0" fontId="136" fillId="0" borderId="171" xfId="0" applyFont="1" applyBorder="1" applyAlignment="1">
      <alignment horizontal="left" vertical="center"/>
    </xf>
    <xf numFmtId="0" fontId="136" fillId="0" borderId="171" xfId="0" applyFont="1" applyBorder="1" applyAlignment="1">
      <alignment horizontal="center" vertical="center" wrapText="1"/>
    </xf>
    <xf numFmtId="0" fontId="136" fillId="0" borderId="171" xfId="0" applyFont="1" applyBorder="1" applyAlignment="1">
      <alignment vertical="center" wrapText="1"/>
    </xf>
    <xf numFmtId="0" fontId="136" fillId="0" borderId="130" xfId="0" applyFont="1" applyBorder="1" applyAlignment="1">
      <alignment horizontal="left" vertical="center" wrapText="1"/>
    </xf>
    <xf numFmtId="0" fontId="136" fillId="0" borderId="171" xfId="0" applyFont="1" applyBorder="1"/>
    <xf numFmtId="0" fontId="136" fillId="0" borderId="171" xfId="0" applyFont="1" applyBorder="1" applyAlignment="1">
      <alignment horizontal="center" vertical="center"/>
    </xf>
    <xf numFmtId="0" fontId="198" fillId="8" borderId="171" xfId="0" applyFont="1" applyFill="1" applyBorder="1" applyAlignment="1">
      <alignment horizontal="left" vertical="center" wrapText="1" readingOrder="1"/>
    </xf>
    <xf numFmtId="0" fontId="198" fillId="0" borderId="171" xfId="0" applyFont="1" applyBorder="1" applyAlignment="1">
      <alignment horizontal="center" vertical="center" wrapText="1"/>
    </xf>
    <xf numFmtId="0" fontId="14" fillId="48" borderId="170" xfId="0" applyFont="1" applyFill="1" applyBorder="1" applyAlignment="1">
      <alignment horizontal="left" vertical="center"/>
    </xf>
    <xf numFmtId="1" fontId="14" fillId="48" borderId="144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0" fontId="0" fillId="8" borderId="171" xfId="0" applyFill="1" applyBorder="1"/>
    <xf numFmtId="1" fontId="36" fillId="0" borderId="171" xfId="0" applyNumberFormat="1" applyFont="1" applyBorder="1" applyAlignment="1">
      <alignment horizontal="right" vertical="center"/>
    </xf>
    <xf numFmtId="0" fontId="27" fillId="0" borderId="171" xfId="0" applyFont="1" applyBorder="1" applyAlignment="1">
      <alignment horizontal="right" vertical="center"/>
    </xf>
    <xf numFmtId="1" fontId="14" fillId="48" borderId="171" xfId="0" applyNumberFormat="1" applyFont="1" applyFill="1" applyBorder="1" applyAlignment="1">
      <alignment horizontal="center" vertical="center"/>
    </xf>
    <xf numFmtId="167" fontId="27" fillId="5" borderId="171" xfId="0" applyNumberFormat="1" applyFont="1" applyFill="1" applyBorder="1" applyAlignment="1">
      <alignment horizontal="center" vertical="center"/>
    </xf>
    <xf numFmtId="1" fontId="23" fillId="48" borderId="171" xfId="0" applyNumberFormat="1" applyFont="1" applyFill="1" applyBorder="1" applyAlignment="1">
      <alignment horizontal="left" vertical="center"/>
    </xf>
    <xf numFmtId="0" fontId="14" fillId="33" borderId="171" xfId="0" applyFont="1" applyFill="1" applyBorder="1" applyAlignment="1">
      <alignment horizontal="left" vertical="center"/>
    </xf>
    <xf numFmtId="1" fontId="14" fillId="33" borderId="171" xfId="0" applyNumberFormat="1" applyFont="1" applyFill="1" applyBorder="1" applyAlignment="1">
      <alignment horizontal="center" vertical="center"/>
    </xf>
    <xf numFmtId="1" fontId="27" fillId="33" borderId="171" xfId="0" applyNumberFormat="1" applyFont="1" applyFill="1" applyBorder="1" applyAlignment="1">
      <alignment horizontal="center" vertical="center"/>
    </xf>
    <xf numFmtId="1" fontId="14" fillId="33" borderId="170" xfId="0" applyNumberFormat="1" applyFont="1" applyFill="1" applyBorder="1" applyAlignment="1">
      <alignment horizontal="center" vertical="center"/>
    </xf>
    <xf numFmtId="0" fontId="14" fillId="8" borderId="171" xfId="0" applyFont="1" applyFill="1" applyBorder="1" applyAlignment="1">
      <alignment horizontal="left" vertical="center"/>
    </xf>
    <xf numFmtId="1" fontId="14" fillId="8" borderId="17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70" xfId="0" applyNumberFormat="1" applyFont="1" applyBorder="1" applyAlignment="1">
      <alignment horizontal="center" vertical="center"/>
    </xf>
    <xf numFmtId="0" fontId="27" fillId="8" borderId="171" xfId="0" applyFont="1" applyFill="1" applyBorder="1" applyAlignment="1">
      <alignment horizontal="right" vertical="center"/>
    </xf>
    <xf numFmtId="1" fontId="27" fillId="8" borderId="170" xfId="0" applyNumberFormat="1" applyFont="1" applyFill="1" applyBorder="1" applyAlignment="1">
      <alignment horizontal="center" vertical="center"/>
    </xf>
    <xf numFmtId="1" fontId="27" fillId="33" borderId="146" xfId="0" applyNumberFormat="1" applyFont="1" applyFill="1" applyBorder="1" applyAlignment="1">
      <alignment horizontal="center" vertical="center"/>
    </xf>
    <xf numFmtId="1" fontId="27" fillId="33" borderId="148" xfId="0" applyNumberFormat="1" applyFont="1" applyFill="1" applyBorder="1" applyAlignment="1">
      <alignment horizontal="center" vertical="center"/>
    </xf>
    <xf numFmtId="1" fontId="27" fillId="33" borderId="144" xfId="0" applyNumberFormat="1" applyFont="1" applyFill="1" applyBorder="1" applyAlignment="1">
      <alignment horizontal="center" vertical="center"/>
    </xf>
    <xf numFmtId="0" fontId="17" fillId="0" borderId="171" xfId="0" applyFont="1" applyBorder="1"/>
    <xf numFmtId="0" fontId="14" fillId="7" borderId="15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" fontId="14" fillId="0" borderId="125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3" xfId="0" applyNumberFormat="1" applyFont="1" applyFill="1" applyBorder="1" applyAlignment="1">
      <alignment horizontal="center" vertical="center"/>
    </xf>
    <xf numFmtId="167" fontId="27" fillId="7" borderId="14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4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48" xfId="0" applyNumberFormat="1" applyFont="1" applyFill="1" applyBorder="1" applyAlignment="1">
      <alignment horizontal="center" vertical="center"/>
    </xf>
    <xf numFmtId="1" fontId="14" fillId="48" borderId="148" xfId="0" applyNumberFormat="1" applyFont="1" applyFill="1" applyBorder="1" applyAlignment="1">
      <alignment horizontal="center" vertical="center"/>
    </xf>
    <xf numFmtId="0" fontId="0" fillId="0" borderId="148" xfId="0" applyBorder="1"/>
    <xf numFmtId="1" fontId="14" fillId="33" borderId="148" xfId="0" applyNumberFormat="1" applyFont="1" applyFill="1" applyBorder="1" applyAlignment="1">
      <alignment horizontal="center" vertical="center"/>
    </xf>
    <xf numFmtId="0" fontId="14" fillId="8" borderId="151" xfId="0" applyFont="1" applyFill="1" applyBorder="1" applyAlignment="1">
      <alignment horizontal="center" vertical="center"/>
    </xf>
    <xf numFmtId="1" fontId="14" fillId="0" borderId="114" xfId="0" applyNumberFormat="1" applyFont="1" applyBorder="1" applyAlignment="1">
      <alignment horizontal="center" vertical="center"/>
    </xf>
    <xf numFmtId="167" fontId="27" fillId="0" borderId="114" xfId="0" applyNumberFormat="1" applyFont="1" applyBorder="1" applyAlignment="1">
      <alignment horizontal="center" vertical="center"/>
    </xf>
    <xf numFmtId="2" fontId="27" fillId="0" borderId="17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51" xfId="0" applyNumberFormat="1" applyFont="1" applyBorder="1" applyAlignment="1">
      <alignment horizontal="center" vertical="center"/>
    </xf>
    <xf numFmtId="167" fontId="14" fillId="0" borderId="170" xfId="0" applyNumberFormat="1" applyFont="1" applyBorder="1" applyAlignment="1">
      <alignment horizontal="center" vertical="center"/>
    </xf>
    <xf numFmtId="1" fontId="14" fillId="48" borderId="170" xfId="0" applyNumberFormat="1" applyFont="1" applyFill="1" applyBorder="1" applyAlignment="1">
      <alignment horizontal="center" vertical="center"/>
    </xf>
    <xf numFmtId="0" fontId="14" fillId="7" borderId="17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70" xfId="186" applyNumberFormat="1" applyFont="1" applyFill="1" applyBorder="1" applyAlignment="1">
      <alignment horizontal="center" vertical="top"/>
    </xf>
    <xf numFmtId="1" fontId="19" fillId="8" borderId="171" xfId="186" applyNumberFormat="1" applyFont="1" applyFill="1" applyBorder="1" applyAlignment="1">
      <alignment horizontal="center" vertical="top"/>
    </xf>
    <xf numFmtId="1" fontId="19" fillId="5" borderId="171" xfId="186" applyNumberFormat="1" applyFont="1" applyFill="1" applyBorder="1" applyAlignment="1">
      <alignment horizontal="center" vertical="top"/>
    </xf>
    <xf numFmtId="1" fontId="19" fillId="7" borderId="171" xfId="186" applyNumberFormat="1" applyFont="1" applyFill="1" applyBorder="1" applyAlignment="1">
      <alignment horizontal="center" vertical="top"/>
    </xf>
    <xf numFmtId="1" fontId="19" fillId="54" borderId="171" xfId="186" applyNumberFormat="1" applyFont="1" applyFill="1" applyBorder="1" applyAlignment="1">
      <alignment horizontal="center" vertical="top"/>
    </xf>
    <xf numFmtId="3" fontId="7" fillId="0" borderId="17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19" fillId="5" borderId="171" xfId="0" applyNumberFormat="1" applyFont="1" applyFill="1" applyBorder="1" applyAlignment="1">
      <alignment horizontal="center" vertical="center"/>
    </xf>
    <xf numFmtId="1" fontId="20" fillId="6" borderId="17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73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0" fontId="20" fillId="0" borderId="175" xfId="0" applyFont="1" applyBorder="1" applyAlignment="1">
      <alignment horizontal="left" vertical="center"/>
    </xf>
    <xf numFmtId="1" fontId="20" fillId="0" borderId="177" xfId="0" applyNumberFormat="1" applyFont="1" applyBorder="1" applyAlignment="1">
      <alignment horizontal="center" vertical="center"/>
    </xf>
    <xf numFmtId="1" fontId="20" fillId="7" borderId="177" xfId="0" applyNumberFormat="1" applyFont="1" applyFill="1" applyBorder="1" applyAlignment="1">
      <alignment horizontal="center" vertical="center"/>
    </xf>
    <xf numFmtId="1" fontId="20" fillId="5" borderId="17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63" xfId="0" applyNumberFormat="1" applyFont="1" applyFill="1" applyBorder="1" applyAlignment="1">
      <alignment horizontal="center" vertical="center"/>
    </xf>
    <xf numFmtId="0" fontId="166" fillId="8" borderId="46" xfId="0" applyFont="1" applyFill="1" applyBorder="1" applyAlignment="1">
      <alignment horizontal="center" vertical="center" wrapText="1"/>
    </xf>
    <xf numFmtId="2" fontId="168" fillId="0" borderId="46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62" fillId="0" borderId="41" xfId="0" applyFont="1" applyBorder="1" applyAlignment="1">
      <alignment horizontal="left" vertical="center" wrapText="1" indent="1"/>
    </xf>
    <xf numFmtId="167" fontId="162" fillId="0" borderId="41" xfId="0" applyNumberFormat="1" applyFont="1" applyBorder="1" applyAlignment="1">
      <alignment horizontal="center" wrapText="1"/>
    </xf>
    <xf numFmtId="2" fontId="162" fillId="0" borderId="41" xfId="0" applyNumberFormat="1" applyFont="1" applyBorder="1" applyAlignment="1">
      <alignment horizontal="center" wrapText="1"/>
    </xf>
    <xf numFmtId="2" fontId="168" fillId="8" borderId="41" xfId="0" applyNumberFormat="1" applyFont="1" applyFill="1" applyBorder="1" applyAlignment="1">
      <alignment horizontal="center" wrapText="1"/>
    </xf>
    <xf numFmtId="167" fontId="162" fillId="0" borderId="41" xfId="0" applyNumberFormat="1" applyFont="1" applyBorder="1" applyAlignment="1">
      <alignment horizontal="center" vertical="center" wrapText="1"/>
    </xf>
    <xf numFmtId="2" fontId="164" fillId="0" borderId="41" xfId="0" applyNumberFormat="1" applyFont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/>
    </xf>
    <xf numFmtId="167" fontId="169" fillId="0" borderId="42" xfId="0" applyNumberFormat="1" applyFont="1" applyBorder="1" applyAlignment="1">
      <alignment horizontal="center" vertical="center"/>
    </xf>
    <xf numFmtId="167" fontId="169" fillId="0" borderId="146" xfId="0" applyNumberFormat="1" applyFont="1" applyBorder="1" applyAlignment="1">
      <alignment horizontal="center" vertical="center"/>
    </xf>
    <xf numFmtId="0" fontId="162" fillId="0" borderId="147" xfId="0" applyFont="1" applyBorder="1" applyAlignment="1">
      <alignment horizontal="left" vertical="center" wrapText="1" indent="1"/>
    </xf>
    <xf numFmtId="2" fontId="0" fillId="0" borderId="147" xfId="0" applyNumberFormat="1" applyFont="1" applyBorder="1" applyAlignment="1">
      <alignment horizontal="center" vertical="center"/>
    </xf>
    <xf numFmtId="2" fontId="162" fillId="0" borderId="147" xfId="0" applyNumberFormat="1" applyFont="1" applyBorder="1" applyAlignment="1">
      <alignment horizontal="center" wrapText="1"/>
    </xf>
    <xf numFmtId="2" fontId="168" fillId="8" borderId="147" xfId="0" applyNumberFormat="1" applyFont="1" applyFill="1" applyBorder="1" applyAlignment="1">
      <alignment horizontal="center" wrapText="1"/>
    </xf>
    <xf numFmtId="167" fontId="162" fillId="0" borderId="147" xfId="0" applyNumberFormat="1" applyFont="1" applyBorder="1" applyAlignment="1">
      <alignment horizontal="center" vertical="center" wrapText="1"/>
    </xf>
    <xf numFmtId="2" fontId="164" fillId="0" borderId="147" xfId="0" applyNumberFormat="1" applyFont="1" applyBorder="1" applyAlignment="1">
      <alignment horizontal="center" wrapText="1"/>
    </xf>
    <xf numFmtId="167" fontId="169" fillId="0" borderId="147" xfId="0" applyNumberFormat="1" applyFont="1" applyBorder="1" applyAlignment="1">
      <alignment horizontal="center" vertical="center"/>
    </xf>
    <xf numFmtId="167" fontId="169" fillId="0" borderId="149" xfId="0" applyNumberFormat="1" applyFont="1" applyBorder="1" applyAlignment="1">
      <alignment horizontal="center" vertical="center"/>
    </xf>
    <xf numFmtId="0" fontId="162" fillId="0" borderId="46" xfId="0" applyFont="1" applyBorder="1" applyAlignment="1">
      <alignment horizontal="center" vertical="center" wrapText="1"/>
    </xf>
    <xf numFmtId="0" fontId="164" fillId="8" borderId="46" xfId="0" applyFont="1" applyFill="1" applyBorder="1" applyAlignment="1">
      <alignment vertical="center" wrapText="1"/>
    </xf>
    <xf numFmtId="0" fontId="164" fillId="0" borderId="41" xfId="0" applyFont="1" applyBorder="1" applyAlignment="1">
      <alignment horizontal="center" vertical="center" wrapText="1"/>
    </xf>
    <xf numFmtId="0" fontId="164" fillId="0" borderId="66" xfId="0" applyFont="1" applyBorder="1" applyAlignment="1">
      <alignment horizontal="center" vertical="center" wrapText="1"/>
    </xf>
    <xf numFmtId="0" fontId="164" fillId="0" borderId="3" xfId="0" applyFont="1" applyBorder="1" applyAlignment="1">
      <alignment horizontal="center" vertical="center" wrapText="1"/>
    </xf>
    <xf numFmtId="0" fontId="164" fillId="0" borderId="42" xfId="0" applyFont="1" applyBorder="1" applyAlignment="1">
      <alignment horizontal="center" vertical="center" wrapText="1"/>
    </xf>
    <xf numFmtId="167" fontId="162" fillId="0" borderId="146" xfId="0" applyNumberFormat="1" applyFont="1" applyBorder="1" applyAlignment="1">
      <alignment horizontal="center" wrapText="1"/>
    </xf>
    <xf numFmtId="0" fontId="0" fillId="0" borderId="177" xfId="0" applyBorder="1"/>
    <xf numFmtId="0" fontId="0" fillId="0" borderId="146" xfId="0" applyBorder="1"/>
    <xf numFmtId="167" fontId="162" fillId="0" borderId="147" xfId="0" applyNumberFormat="1" applyFont="1" applyBorder="1" applyAlignment="1">
      <alignment horizontal="center" wrapText="1"/>
    </xf>
    <xf numFmtId="167" fontId="162" fillId="0" borderId="149" xfId="0" applyNumberFormat="1" applyFont="1" applyBorder="1" applyAlignment="1">
      <alignment horizontal="center" wrapText="1"/>
    </xf>
    <xf numFmtId="0" fontId="164" fillId="0" borderId="63" xfId="0" applyFont="1" applyBorder="1" applyAlignment="1">
      <alignment horizontal="center" vertical="center" wrapText="1"/>
    </xf>
    <xf numFmtId="167" fontId="162" fillId="0" borderId="146" xfId="0" applyNumberFormat="1" applyFont="1" applyBorder="1" applyAlignment="1">
      <alignment horizontal="center" vertical="center" wrapText="1"/>
    </xf>
    <xf numFmtId="167" fontId="17" fillId="0" borderId="147" xfId="0" applyNumberFormat="1" applyFont="1" applyBorder="1" applyAlignment="1">
      <alignment horizontal="center" vertical="center"/>
    </xf>
    <xf numFmtId="167" fontId="162" fillId="0" borderId="149" xfId="0" applyNumberFormat="1" applyFont="1" applyBorder="1" applyAlignment="1">
      <alignment horizontal="center" vertical="center" wrapText="1"/>
    </xf>
    <xf numFmtId="0" fontId="162" fillId="0" borderId="3" xfId="0" applyFont="1" applyBorder="1" applyAlignment="1">
      <alignment wrapText="1"/>
    </xf>
    <xf numFmtId="0" fontId="162" fillId="0" borderId="41" xfId="0" applyFont="1" applyBorder="1" applyAlignment="1">
      <alignment horizontal="center" wrapText="1"/>
    </xf>
    <xf numFmtId="0" fontId="162" fillId="0" borderId="42" xfId="0" applyFont="1" applyBorder="1" applyAlignment="1">
      <alignment horizontal="center" wrapText="1"/>
    </xf>
    <xf numFmtId="0" fontId="164" fillId="0" borderId="146" xfId="0" applyFont="1" applyBorder="1" applyAlignment="1">
      <alignment horizontal="center" vertical="center" wrapText="1"/>
    </xf>
    <xf numFmtId="167" fontId="168" fillId="0" borderId="146" xfId="0" applyNumberFormat="1" applyFont="1" applyBorder="1" applyAlignment="1">
      <alignment horizontal="center"/>
    </xf>
    <xf numFmtId="167" fontId="169" fillId="0" borderId="146" xfId="0" applyNumberFormat="1" applyFont="1" applyBorder="1" applyAlignment="1">
      <alignment horizontal="center"/>
    </xf>
    <xf numFmtId="1" fontId="17" fillId="0" borderId="147" xfId="0" applyNumberFormat="1" applyFont="1" applyBorder="1" applyAlignment="1">
      <alignment horizontal="center" vertical="center"/>
    </xf>
    <xf numFmtId="0" fontId="169" fillId="0" borderId="147" xfId="0" applyFont="1" applyBorder="1" applyAlignment="1">
      <alignment horizontal="center"/>
    </xf>
    <xf numFmtId="0" fontId="168" fillId="0" borderId="147" xfId="0" applyFont="1" applyBorder="1" applyAlignment="1">
      <alignment horizontal="center"/>
    </xf>
    <xf numFmtId="167" fontId="169" fillId="0" borderId="147" xfId="0" applyNumberFormat="1" applyFont="1" applyBorder="1" applyAlignment="1">
      <alignment horizontal="center"/>
    </xf>
    <xf numFmtId="167" fontId="169" fillId="0" borderId="149" xfId="0" applyNumberFormat="1" applyFont="1" applyBorder="1" applyAlignment="1">
      <alignment horizontal="center"/>
    </xf>
    <xf numFmtId="0" fontId="162" fillId="0" borderId="30" xfId="0" applyFont="1" applyBorder="1" applyAlignment="1">
      <alignment wrapText="1"/>
    </xf>
    <xf numFmtId="0" fontId="162" fillId="0" borderId="30" xfId="0" applyFont="1" applyBorder="1" applyAlignment="1">
      <alignment horizontal="center" wrapText="1"/>
    </xf>
    <xf numFmtId="0" fontId="0" fillId="0" borderId="30" xfId="0" applyBorder="1"/>
    <xf numFmtId="167" fontId="18" fillId="8" borderId="79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1" xfId="412" applyNumberFormat="1" applyFont="1" applyFill="1" applyBorder="1" applyAlignment="1">
      <alignment horizontal="center" vertical="center"/>
    </xf>
    <xf numFmtId="0" fontId="138" fillId="7" borderId="177" xfId="376" applyFont="1" applyFill="1" applyBorder="1" applyAlignment="1">
      <alignment wrapText="1"/>
    </xf>
    <xf numFmtId="0" fontId="54" fillId="0" borderId="177" xfId="376" applyBorder="1"/>
    <xf numFmtId="0" fontId="138" fillId="9" borderId="177" xfId="376" applyFont="1" applyFill="1" applyBorder="1" applyAlignment="1">
      <alignment wrapText="1"/>
    </xf>
    <xf numFmtId="2" fontId="139" fillId="9" borderId="177" xfId="376" applyNumberFormat="1" applyFont="1" applyFill="1" applyBorder="1" applyAlignment="1">
      <alignment vertical="center"/>
    </xf>
    <xf numFmtId="2" fontId="139" fillId="9" borderId="177" xfId="376" applyNumberFormat="1" applyFont="1" applyFill="1" applyBorder="1" applyAlignment="1">
      <alignment horizontal="center" vertical="center"/>
    </xf>
    <xf numFmtId="0" fontId="138" fillId="6" borderId="177" xfId="376" applyFont="1" applyFill="1" applyBorder="1" applyAlignment="1">
      <alignment wrapText="1"/>
    </xf>
    <xf numFmtId="2" fontId="139" fillId="6" borderId="177" xfId="376" applyNumberFormat="1" applyFont="1" applyFill="1" applyBorder="1" applyAlignment="1">
      <alignment horizontal="center" vertical="center"/>
    </xf>
    <xf numFmtId="0" fontId="138" fillId="5" borderId="177" xfId="376" applyFont="1" applyFill="1" applyBorder="1" applyAlignment="1">
      <alignment wrapText="1"/>
    </xf>
    <xf numFmtId="2" fontId="139" fillId="5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 applyAlignment="1">
      <alignment wrapText="1"/>
    </xf>
    <xf numFmtId="2" fontId="139" fillId="32" borderId="177" xfId="376" applyNumberFormat="1" applyFont="1" applyFill="1" applyBorder="1" applyAlignment="1">
      <alignment horizontal="center" vertical="center"/>
    </xf>
    <xf numFmtId="1" fontId="20" fillId="45" borderId="114" xfId="0" applyNumberFormat="1" applyFont="1" applyFill="1" applyBorder="1" applyAlignment="1">
      <alignment horizontal="center" vertical="center"/>
    </xf>
    <xf numFmtId="1" fontId="20" fillId="45" borderId="138" xfId="0" applyNumberFormat="1" applyFont="1" applyFill="1" applyBorder="1" applyAlignment="1">
      <alignment horizontal="center" vertical="center"/>
    </xf>
    <xf numFmtId="1" fontId="20" fillId="45" borderId="120" xfId="0" applyNumberFormat="1" applyFont="1" applyFill="1" applyBorder="1" applyAlignment="1">
      <alignment horizontal="center" vertical="center"/>
    </xf>
    <xf numFmtId="1" fontId="7" fillId="45" borderId="131" xfId="0" applyNumberFormat="1" applyFont="1" applyFill="1" applyBorder="1" applyAlignment="1">
      <alignment horizontal="center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0" fontId="0" fillId="0" borderId="0" xfId="0" applyFont="1"/>
    <xf numFmtId="2" fontId="139" fillId="7" borderId="17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4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9" fontId="20" fillId="45" borderId="131" xfId="0" applyNumberFormat="1" applyFont="1" applyFill="1" applyBorder="1" applyAlignment="1">
      <alignment horizontal="center" vertical="center"/>
    </xf>
    <xf numFmtId="2" fontId="20" fillId="45" borderId="131" xfId="0" applyNumberFormat="1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4" fillId="7" borderId="135" xfId="0" applyFont="1" applyFill="1" applyBorder="1" applyAlignment="1">
      <alignment horizontal="center" vertical="center"/>
    </xf>
    <xf numFmtId="0" fontId="4" fillId="8" borderId="135" xfId="0" applyFont="1" applyFill="1" applyBorder="1" applyAlignment="1">
      <alignment horizontal="center" vertical="center"/>
    </xf>
    <xf numFmtId="0" fontId="4" fillId="5" borderId="135" xfId="0" applyFont="1" applyFill="1" applyBorder="1" applyAlignment="1">
      <alignment horizontal="center" vertical="center"/>
    </xf>
    <xf numFmtId="0" fontId="4" fillId="6" borderId="135" xfId="0" applyFont="1" applyFill="1" applyBorder="1" applyAlignment="1">
      <alignment horizontal="center" vertical="center"/>
    </xf>
    <xf numFmtId="0" fontId="4" fillId="45" borderId="135" xfId="0" applyFont="1" applyFill="1" applyBorder="1" applyAlignment="1">
      <alignment horizontal="center" vertical="center"/>
    </xf>
    <xf numFmtId="0" fontId="7" fillId="0" borderId="135" xfId="0" applyFont="1" applyBorder="1" applyAlignment="1">
      <alignment horizontal="left" vertical="center"/>
    </xf>
    <xf numFmtId="0" fontId="7" fillId="0" borderId="135" xfId="0" applyFont="1" applyBorder="1" applyAlignment="1">
      <alignment horizontal="center" vertical="center"/>
    </xf>
    <xf numFmtId="167" fontId="20" fillId="8" borderId="135" xfId="0" applyNumberFormat="1" applyFont="1" applyFill="1" applyBorder="1" applyAlignment="1">
      <alignment horizontal="center" vertical="center"/>
    </xf>
    <xf numFmtId="167" fontId="20" fillId="0" borderId="135" xfId="0" applyNumberFormat="1" applyFont="1" applyBorder="1" applyAlignment="1">
      <alignment horizontal="center" vertical="center"/>
    </xf>
    <xf numFmtId="167" fontId="20" fillId="7" borderId="135" xfId="0" applyNumberFormat="1" applyFont="1" applyFill="1" applyBorder="1" applyAlignment="1">
      <alignment horizontal="center" vertical="center"/>
    </xf>
    <xf numFmtId="167" fontId="20" fillId="5" borderId="135" xfId="0" applyNumberFormat="1" applyFont="1" applyFill="1" applyBorder="1" applyAlignment="1">
      <alignment horizontal="center" vertical="center"/>
    </xf>
    <xf numFmtId="167" fontId="20" fillId="6" borderId="135" xfId="0" applyNumberFormat="1" applyFont="1" applyFill="1" applyBorder="1" applyAlignment="1">
      <alignment horizontal="center" vertical="center"/>
    </xf>
    <xf numFmtId="167" fontId="20" fillId="45" borderId="135" xfId="0" applyNumberFormat="1" applyFont="1" applyFill="1" applyBorder="1" applyAlignment="1">
      <alignment horizontal="center" vertical="center"/>
    </xf>
    <xf numFmtId="0" fontId="7" fillId="8" borderId="135" xfId="0" applyFont="1" applyFill="1" applyBorder="1" applyAlignment="1">
      <alignment horizontal="left" vertical="center"/>
    </xf>
    <xf numFmtId="0" fontId="7" fillId="8" borderId="135" xfId="0" applyFont="1" applyFill="1" applyBorder="1" applyAlignment="1">
      <alignment horizontal="center" vertical="center"/>
    </xf>
    <xf numFmtId="0" fontId="20" fillId="8" borderId="135" xfId="0" applyFont="1" applyFill="1" applyBorder="1" applyAlignment="1">
      <alignment horizontal="center" vertical="center"/>
    </xf>
    <xf numFmtId="1" fontId="20" fillId="45" borderId="135" xfId="0" applyNumberFormat="1" applyFont="1" applyFill="1" applyBorder="1" applyAlignment="1">
      <alignment horizontal="center" vertical="center"/>
    </xf>
    <xf numFmtId="1" fontId="20" fillId="6" borderId="135" xfId="0" applyNumberFormat="1" applyFont="1" applyFill="1" applyBorder="1" applyAlignment="1">
      <alignment horizontal="center" vertical="center"/>
    </xf>
    <xf numFmtId="169" fontId="20" fillId="0" borderId="135" xfId="0" applyNumberFormat="1" applyFont="1" applyBorder="1" applyAlignment="1">
      <alignment horizontal="center" vertical="center"/>
    </xf>
    <xf numFmtId="169" fontId="20" fillId="7" borderId="135" xfId="0" applyNumberFormat="1" applyFont="1" applyFill="1" applyBorder="1" applyAlignment="1">
      <alignment horizontal="center" vertical="center"/>
    </xf>
    <xf numFmtId="169" fontId="20" fillId="5" borderId="135" xfId="0" applyNumberFormat="1" applyFont="1" applyFill="1" applyBorder="1" applyAlignment="1">
      <alignment horizontal="center" vertical="center"/>
    </xf>
    <xf numFmtId="169" fontId="20" fillId="6" borderId="135" xfId="0" applyNumberFormat="1" applyFont="1" applyFill="1" applyBorder="1" applyAlignment="1">
      <alignment horizontal="center" vertical="center"/>
    </xf>
    <xf numFmtId="169" fontId="20" fillId="8" borderId="135" xfId="0" applyNumberFormat="1" applyFont="1" applyFill="1" applyBorder="1" applyAlignment="1">
      <alignment horizontal="center" vertical="center"/>
    </xf>
    <xf numFmtId="169" fontId="20" fillId="45" borderId="135" xfId="0" applyNumberFormat="1" applyFont="1" applyFill="1" applyBorder="1" applyAlignment="1">
      <alignment horizontal="center" vertical="center"/>
    </xf>
    <xf numFmtId="0" fontId="36" fillId="8" borderId="135" xfId="0" applyFont="1" applyFill="1" applyBorder="1" applyAlignment="1">
      <alignment horizontal="left" vertical="center"/>
    </xf>
    <xf numFmtId="0" fontId="11" fillId="8" borderId="135" xfId="0" applyFont="1" applyFill="1" applyBorder="1" applyAlignment="1">
      <alignment horizontal="center" vertical="center"/>
    </xf>
    <xf numFmtId="1" fontId="0" fillId="8" borderId="135" xfId="0" applyNumberFormat="1" applyFont="1" applyFill="1" applyBorder="1" applyAlignment="1">
      <alignment horizontal="center" vertical="center"/>
    </xf>
    <xf numFmtId="0" fontId="0" fillId="8" borderId="135" xfId="0" applyFont="1" applyFill="1" applyBorder="1" applyAlignment="1">
      <alignment horizontal="center" vertical="center"/>
    </xf>
    <xf numFmtId="2" fontId="20" fillId="8" borderId="135" xfId="0" applyNumberFormat="1" applyFont="1" applyFill="1" applyBorder="1" applyAlignment="1">
      <alignment horizontal="center" vertical="center"/>
    </xf>
    <xf numFmtId="2" fontId="20" fillId="7" borderId="135" xfId="0" applyNumberFormat="1" applyFont="1" applyFill="1" applyBorder="1" applyAlignment="1">
      <alignment horizontal="center" vertical="center"/>
    </xf>
    <xf numFmtId="2" fontId="20" fillId="5" borderId="135" xfId="0" applyNumberFormat="1" applyFont="1" applyFill="1" applyBorder="1" applyAlignment="1">
      <alignment horizontal="center" vertical="center"/>
    </xf>
    <xf numFmtId="2" fontId="20" fillId="6" borderId="135" xfId="0" applyNumberFormat="1" applyFont="1" applyFill="1" applyBorder="1" applyAlignment="1">
      <alignment horizontal="center" vertical="center"/>
    </xf>
    <xf numFmtId="2" fontId="20" fillId="0" borderId="135" xfId="0" applyNumberFormat="1" applyFont="1" applyBorder="1" applyAlignment="1">
      <alignment horizontal="center" vertical="center"/>
    </xf>
    <xf numFmtId="2" fontId="20" fillId="45" borderId="135" xfId="0" applyNumberFormat="1" applyFont="1" applyFill="1" applyBorder="1" applyAlignment="1">
      <alignment horizontal="center" vertical="center"/>
    </xf>
    <xf numFmtId="1" fontId="45" fillId="8" borderId="120" xfId="0" applyNumberFormat="1" applyFont="1" applyFill="1" applyBorder="1" applyAlignment="1">
      <alignment horizontal="center" vertical="center"/>
    </xf>
    <xf numFmtId="0" fontId="76" fillId="8" borderId="114" xfId="0" applyFont="1" applyFill="1" applyBorder="1" applyAlignment="1">
      <alignment horizontal="center" vertical="center"/>
    </xf>
    <xf numFmtId="0" fontId="76" fillId="8" borderId="120" xfId="0" applyFont="1" applyFill="1" applyBorder="1" applyAlignment="1">
      <alignment horizontal="center" vertical="center"/>
    </xf>
    <xf numFmtId="0" fontId="0" fillId="5" borderId="135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24" xfId="0" applyFont="1" applyFill="1" applyBorder="1" applyAlignment="1">
      <alignment horizontal="center" vertical="center"/>
    </xf>
    <xf numFmtId="0" fontId="20" fillId="6" borderId="135" xfId="0" applyFont="1" applyFill="1" applyBorder="1" applyAlignment="1">
      <alignment horizontal="center" vertical="center"/>
    </xf>
    <xf numFmtId="0" fontId="0" fillId="6" borderId="135" xfId="0" applyFont="1" applyFill="1" applyBorder="1" applyAlignment="1">
      <alignment horizontal="center" vertical="center"/>
    </xf>
    <xf numFmtId="0" fontId="45" fillId="6" borderId="124" xfId="0" applyFont="1" applyFill="1" applyBorder="1" applyAlignment="1">
      <alignment horizontal="center" vertical="center"/>
    </xf>
    <xf numFmtId="0" fontId="0" fillId="7" borderId="135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0" fontId="45" fillId="8" borderId="8" xfId="0" applyFont="1" applyFill="1" applyBorder="1" applyAlignment="1">
      <alignment horizontal="center" vertical="center"/>
    </xf>
    <xf numFmtId="0" fontId="45" fillId="8" borderId="131" xfId="0" applyFont="1" applyFill="1" applyBorder="1" applyAlignment="1">
      <alignment horizontal="center" vertical="center"/>
    </xf>
    <xf numFmtId="0" fontId="45" fillId="8" borderId="114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36" xfId="0" applyNumberFormat="1" applyFont="1" applyFill="1" applyBorder="1" applyAlignment="1">
      <alignment horizontal="center" vertical="center"/>
    </xf>
    <xf numFmtId="0" fontId="7" fillId="8" borderId="147" xfId="0" applyFont="1" applyFill="1" applyBorder="1" applyAlignment="1">
      <alignment horizontal="left" vertical="center"/>
    </xf>
    <xf numFmtId="1" fontId="20" fillId="8" borderId="14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35" xfId="0" applyFont="1" applyFill="1" applyBorder="1" applyAlignment="1">
      <alignment horizontal="left" vertical="center" wrapText="1"/>
    </xf>
    <xf numFmtId="0" fontId="138" fillId="0" borderId="177" xfId="376" applyFont="1" applyBorder="1" applyAlignment="1">
      <alignment horizontal="center" vertical="center"/>
    </xf>
    <xf numFmtId="0" fontId="139" fillId="0" borderId="177" xfId="376" applyFont="1" applyBorder="1" applyAlignment="1">
      <alignment horizontal="center" vertical="center"/>
    </xf>
    <xf numFmtId="0" fontId="138" fillId="7" borderId="177" xfId="376" applyFont="1" applyFill="1" applyBorder="1"/>
    <xf numFmtId="0" fontId="138" fillId="0" borderId="177" xfId="376" applyFont="1" applyBorder="1" applyAlignment="1">
      <alignment wrapText="1"/>
    </xf>
    <xf numFmtId="0" fontId="138" fillId="0" borderId="177" xfId="376" applyFont="1" applyBorder="1"/>
    <xf numFmtId="0" fontId="139" fillId="0" borderId="177" xfId="376" applyFont="1" applyBorder="1"/>
    <xf numFmtId="0" fontId="138" fillId="9" borderId="177" xfId="376" applyFont="1" applyFill="1" applyBorder="1"/>
    <xf numFmtId="0" fontId="138" fillId="6" borderId="177" xfId="376" applyFont="1" applyFill="1" applyBorder="1"/>
    <xf numFmtId="1" fontId="139" fillId="7" borderId="177" xfId="376" applyNumberFormat="1" applyFont="1" applyFill="1" applyBorder="1" applyAlignment="1">
      <alignment horizontal="center" vertical="center"/>
    </xf>
    <xf numFmtId="0" fontId="138" fillId="5" borderId="177" xfId="376" applyFont="1" applyFill="1" applyBorder="1"/>
    <xf numFmtId="1" fontId="106" fillId="5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/>
    <xf numFmtId="1" fontId="139" fillId="32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 applyAlignment="1">
      <alignment horizontal="center" vertical="center" wrapText="1"/>
    </xf>
    <xf numFmtId="0" fontId="138" fillId="32" borderId="17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64" fontId="20" fillId="8" borderId="177" xfId="0" quotePrefix="1" applyNumberFormat="1" applyFont="1" applyFill="1" applyBorder="1" applyAlignment="1">
      <alignment horizontal="left" vertical="center"/>
    </xf>
    <xf numFmtId="0" fontId="20" fillId="8" borderId="177" xfId="0" applyFont="1" applyFill="1" applyBorder="1" applyAlignment="1">
      <alignment horizontal="left" vertical="center"/>
    </xf>
    <xf numFmtId="1" fontId="45" fillId="7" borderId="17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14" xfId="0" quotePrefix="1" applyNumberFormat="1" applyFont="1" applyFill="1" applyBorder="1" applyAlignment="1">
      <alignment horizontal="left" vertical="center"/>
    </xf>
    <xf numFmtId="0" fontId="20" fillId="0" borderId="116" xfId="0" applyFont="1" applyBorder="1" applyAlignment="1">
      <alignment horizontal="left" vertical="center"/>
    </xf>
    <xf numFmtId="1" fontId="20" fillId="7" borderId="135" xfId="0" applyNumberFormat="1" applyFont="1" applyFill="1" applyBorder="1" applyAlignment="1">
      <alignment vertical="center"/>
    </xf>
    <xf numFmtId="1" fontId="20" fillId="5" borderId="13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1" xfId="0" applyNumberFormat="1" applyFont="1" applyFill="1" applyBorder="1" applyAlignment="1">
      <alignment horizontal="center" vertical="center"/>
    </xf>
    <xf numFmtId="1" fontId="139" fillId="5" borderId="177" xfId="376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0" fontId="4" fillId="8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77" xfId="0" applyFont="1" applyBorder="1" applyAlignment="1">
      <alignment horizontal="left" vertical="center"/>
    </xf>
    <xf numFmtId="1" fontId="20" fillId="0" borderId="177" xfId="0" applyNumberFormat="1" applyFont="1" applyBorder="1" applyAlignment="1">
      <alignment vertical="center"/>
    </xf>
    <xf numFmtId="1" fontId="20" fillId="7" borderId="177" xfId="0" applyNumberFormat="1" applyFont="1" applyFill="1" applyBorder="1" applyAlignment="1">
      <alignment vertical="center"/>
    </xf>
    <xf numFmtId="1" fontId="20" fillId="5" borderId="177" xfId="0" applyNumberFormat="1" applyFont="1" applyFill="1" applyBorder="1" applyAlignment="1">
      <alignment vertical="center"/>
    </xf>
    <xf numFmtId="0" fontId="20" fillId="0" borderId="146" xfId="0" applyFont="1" applyBorder="1" applyAlignment="1">
      <alignment horizontal="left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45" fillId="5" borderId="177" xfId="0" applyNumberFormat="1" applyFont="1" applyFill="1" applyBorder="1" applyAlignment="1">
      <alignment vertical="center"/>
    </xf>
    <xf numFmtId="1" fontId="45" fillId="5" borderId="177" xfId="0" applyNumberFormat="1" applyFont="1" applyFill="1" applyBorder="1" applyAlignment="1">
      <alignment horizontal="center"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vertical="center"/>
    </xf>
    <xf numFmtId="1" fontId="20" fillId="8" borderId="177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0" fontId="20" fillId="8" borderId="147" xfId="0" applyFont="1" applyFill="1" applyBorder="1" applyAlignment="1">
      <alignment horizontal="left" vertical="center"/>
    </xf>
    <xf numFmtId="1" fontId="45" fillId="8" borderId="147" xfId="0" applyNumberFormat="1" applyFont="1" applyFill="1" applyBorder="1" applyAlignment="1">
      <alignment vertical="center"/>
    </xf>
    <xf numFmtId="1" fontId="45" fillId="7" borderId="147" xfId="0" applyNumberFormat="1" applyFont="1" applyFill="1" applyBorder="1" applyAlignment="1">
      <alignment vertical="center"/>
    </xf>
    <xf numFmtId="1" fontId="45" fillId="5" borderId="147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45" borderId="128" xfId="0" applyNumberFormat="1" applyFont="1" applyFill="1" applyBorder="1" applyAlignment="1">
      <alignment horizontal="center" vertical="center"/>
    </xf>
    <xf numFmtId="1" fontId="4" fillId="45" borderId="128" xfId="0" applyNumberFormat="1" applyFont="1" applyFill="1" applyBorder="1" applyAlignment="1">
      <alignment horizontal="center" vertical="center"/>
    </xf>
    <xf numFmtId="2" fontId="20" fillId="7" borderId="4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1" xfId="186" applyNumberFormat="1" applyFont="1" applyBorder="1" applyAlignment="1">
      <alignment horizontal="center" vertical="center"/>
    </xf>
    <xf numFmtId="1" fontId="79" fillId="7" borderId="131" xfId="186" applyNumberFormat="1" applyFont="1" applyFill="1" applyBorder="1" applyAlignment="1">
      <alignment horizontal="center" vertical="center"/>
    </xf>
    <xf numFmtId="1" fontId="79" fillId="8" borderId="131" xfId="186" applyNumberFormat="1" applyFont="1" applyFill="1" applyBorder="1" applyAlignment="1">
      <alignment horizontal="center" vertical="center"/>
    </xf>
    <xf numFmtId="1" fontId="78" fillId="7" borderId="131" xfId="186" applyNumberFormat="1" applyFont="1" applyFill="1" applyBorder="1" applyAlignment="1">
      <alignment horizontal="center" vertical="center"/>
    </xf>
    <xf numFmtId="1" fontId="78" fillId="5" borderId="128" xfId="186" applyNumberFormat="1" applyFont="1" applyFill="1" applyBorder="1" applyAlignment="1">
      <alignment horizontal="center" vertical="center"/>
    </xf>
    <xf numFmtId="1" fontId="78" fillId="6" borderId="177" xfId="186" applyNumberFormat="1" applyFont="1" applyFill="1" applyBorder="1" applyAlignment="1">
      <alignment horizontal="center" vertical="center"/>
    </xf>
    <xf numFmtId="1" fontId="78" fillId="6" borderId="131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187" fillId="0" borderId="177" xfId="0" applyFont="1" applyBorder="1"/>
    <xf numFmtId="1" fontId="187" fillId="8" borderId="177" xfId="0" applyNumberFormat="1" applyFont="1" applyFill="1" applyBorder="1" applyAlignment="1">
      <alignment horizontal="center"/>
    </xf>
    <xf numFmtId="0" fontId="187" fillId="0" borderId="177" xfId="0" applyFont="1" applyBorder="1" applyAlignment="1">
      <alignment horizontal="center"/>
    </xf>
    <xf numFmtId="0" fontId="187" fillId="7" borderId="177" xfId="0" applyFont="1" applyFill="1" applyBorder="1" applyAlignment="1">
      <alignment horizontal="center"/>
    </xf>
    <xf numFmtId="1" fontId="187" fillId="7" borderId="177" xfId="0" applyNumberFormat="1" applyFont="1" applyFill="1" applyBorder="1" applyAlignment="1">
      <alignment horizontal="center"/>
    </xf>
    <xf numFmtId="0" fontId="187" fillId="5" borderId="177" xfId="0" applyFont="1" applyFill="1" applyBorder="1" applyAlignment="1">
      <alignment horizontal="center"/>
    </xf>
    <xf numFmtId="1" fontId="187" fillId="5" borderId="177" xfId="0" applyNumberFormat="1" applyFont="1" applyFill="1" applyBorder="1" applyAlignment="1">
      <alignment horizontal="center"/>
    </xf>
    <xf numFmtId="1" fontId="187" fillId="6" borderId="177" xfId="0" applyNumberFormat="1" applyFont="1" applyFill="1" applyBorder="1" applyAlignment="1">
      <alignment horizontal="center"/>
    </xf>
    <xf numFmtId="0" fontId="78" fillId="8" borderId="153" xfId="186" applyFont="1" applyFill="1" applyBorder="1" applyAlignment="1">
      <alignment horizontal="left" vertical="center"/>
    </xf>
    <xf numFmtId="0" fontId="78" fillId="4" borderId="0" xfId="186" applyFont="1" applyFill="1" applyBorder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Border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2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11" xfId="0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left" vertical="center" indent="1"/>
    </xf>
    <xf numFmtId="0" fontId="20" fillId="0" borderId="177" xfId="0" applyFont="1" applyBorder="1" applyAlignment="1">
      <alignment horizontal="center" vertical="center"/>
    </xf>
    <xf numFmtId="1" fontId="19" fillId="0" borderId="177" xfId="0" applyNumberFormat="1" applyFont="1" applyBorder="1" applyAlignment="1">
      <alignment horizontal="center" vertical="center"/>
    </xf>
    <xf numFmtId="1" fontId="19" fillId="50" borderId="177" xfId="0" applyNumberFormat="1" applyFont="1" applyFill="1" applyBorder="1" applyAlignment="1">
      <alignment horizontal="center" vertical="center"/>
    </xf>
    <xf numFmtId="1" fontId="19" fillId="50" borderId="146" xfId="0" applyNumberFormat="1" applyFont="1" applyFill="1" applyBorder="1" applyAlignment="1">
      <alignment horizontal="center" vertical="center"/>
    </xf>
    <xf numFmtId="1" fontId="19" fillId="0" borderId="131" xfId="0" applyNumberFormat="1" applyFont="1" applyBorder="1" applyAlignment="1">
      <alignment horizontal="center" vertical="center"/>
    </xf>
    <xf numFmtId="1" fontId="112" fillId="5" borderId="177" xfId="0" applyNumberFormat="1" applyFont="1" applyFill="1" applyBorder="1" applyAlignment="1">
      <alignment horizontal="center" vertical="center"/>
    </xf>
    <xf numFmtId="1" fontId="20" fillId="50" borderId="177" xfId="0" applyNumberFormat="1" applyFont="1" applyFill="1" applyBorder="1" applyAlignment="1">
      <alignment horizontal="center" vertical="center"/>
    </xf>
    <xf numFmtId="1" fontId="18" fillId="6" borderId="177" xfId="0" applyNumberFormat="1" applyFont="1" applyFill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1" fontId="18" fillId="7" borderId="177" xfId="0" applyNumberFormat="1" applyFont="1" applyFill="1" applyBorder="1" applyAlignment="1">
      <alignment horizontal="center" vertical="center"/>
    </xf>
    <xf numFmtId="167" fontId="18" fillId="6" borderId="177" xfId="0" applyNumberFormat="1" applyFont="1" applyFill="1" applyBorder="1" applyAlignment="1">
      <alignment horizontal="center" vertical="center"/>
    </xf>
    <xf numFmtId="1" fontId="18" fillId="48" borderId="177" xfId="0" applyNumberFormat="1" applyFont="1" applyFill="1" applyBorder="1" applyAlignment="1">
      <alignment horizontal="center" vertical="center"/>
    </xf>
    <xf numFmtId="1" fontId="18" fillId="50" borderId="177" xfId="0" applyNumberFormat="1" applyFont="1" applyFill="1" applyBorder="1" applyAlignment="1">
      <alignment horizontal="center" vertical="center"/>
    </xf>
    <xf numFmtId="1" fontId="18" fillId="0" borderId="177" xfId="0" applyNumberFormat="1" applyFont="1" applyBorder="1" applyAlignment="1">
      <alignment horizontal="center" vertical="center"/>
    </xf>
    <xf numFmtId="1" fontId="113" fillId="5" borderId="177" xfId="0" applyNumberFormat="1" applyFont="1" applyFill="1" applyBorder="1" applyAlignment="1">
      <alignment horizontal="center" vertical="center"/>
    </xf>
    <xf numFmtId="0" fontId="113" fillId="0" borderId="177" xfId="0" applyFont="1" applyBorder="1" applyAlignment="1">
      <alignment horizontal="left" vertical="center" wrapText="1"/>
    </xf>
    <xf numFmtId="0" fontId="18" fillId="0" borderId="128" xfId="0" applyFont="1" applyBorder="1" applyAlignment="1">
      <alignment horizontal="center" vertical="center"/>
    </xf>
    <xf numFmtId="1" fontId="19" fillId="8" borderId="177" xfId="0" applyNumberFormat="1" applyFont="1" applyFill="1" applyBorder="1" applyAlignment="1">
      <alignment horizontal="center" vertical="center"/>
    </xf>
    <xf numFmtId="1" fontId="19" fillId="5" borderId="177" xfId="0" applyNumberFormat="1" applyFont="1" applyFill="1" applyBorder="1" applyAlignment="1">
      <alignment horizontal="center" vertical="center"/>
    </xf>
    <xf numFmtId="1" fontId="19" fillId="6" borderId="177" xfId="0" applyNumberFormat="1" applyFont="1" applyFill="1" applyBorder="1" applyAlignment="1">
      <alignment horizontal="center" vertical="center"/>
    </xf>
    <xf numFmtId="1" fontId="19" fillId="7" borderId="146" xfId="0" applyNumberFormat="1" applyFont="1" applyFill="1" applyBorder="1" applyAlignment="1">
      <alignment horizontal="center" vertical="center"/>
    </xf>
    <xf numFmtId="1" fontId="0" fillId="7" borderId="177" xfId="0" applyNumberFormat="1" applyFill="1" applyBorder="1" applyAlignment="1">
      <alignment horizontal="center" vertical="center"/>
    </xf>
    <xf numFmtId="0" fontId="20" fillId="8" borderId="177" xfId="0" applyFont="1" applyFill="1" applyBorder="1" applyAlignment="1">
      <alignment horizontal="center" vertical="center"/>
    </xf>
    <xf numFmtId="1" fontId="18" fillId="8" borderId="17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0" fontId="185" fillId="80" borderId="118" xfId="0" applyFont="1" applyFill="1" applyBorder="1" applyAlignment="1">
      <alignment horizontal="center"/>
    </xf>
    <xf numFmtId="2" fontId="185" fillId="81" borderId="118" xfId="0" applyNumberFormat="1" applyFont="1" applyFill="1" applyBorder="1" applyAlignment="1">
      <alignment horizontal="center"/>
    </xf>
    <xf numFmtId="2" fontId="185" fillId="80" borderId="118" xfId="0" applyNumberFormat="1" applyFont="1" applyFill="1" applyBorder="1" applyAlignment="1">
      <alignment horizontal="center"/>
    </xf>
    <xf numFmtId="0" fontId="185" fillId="8" borderId="118" xfId="0" applyFont="1" applyFill="1" applyBorder="1" applyAlignment="1">
      <alignment horizontal="center"/>
    </xf>
    <xf numFmtId="167" fontId="185" fillId="81" borderId="118" xfId="0" applyNumberFormat="1" applyFont="1" applyFill="1" applyBorder="1" applyAlignment="1">
      <alignment horizontal="center"/>
    </xf>
    <xf numFmtId="1" fontId="185" fillId="8" borderId="118" xfId="0" applyNumberFormat="1" applyFont="1" applyFill="1" applyBorder="1" applyAlignment="1">
      <alignment horizontal="center"/>
    </xf>
    <xf numFmtId="167" fontId="185" fillId="80" borderId="118" xfId="0" applyNumberFormat="1" applyFont="1" applyFill="1" applyBorder="1" applyAlignment="1">
      <alignment horizontal="center"/>
    </xf>
    <xf numFmtId="167" fontId="185" fillId="8" borderId="118" xfId="0" applyNumberFormat="1" applyFont="1" applyFill="1" applyBorder="1" applyAlignment="1">
      <alignment horizontal="center"/>
    </xf>
    <xf numFmtId="167" fontId="21" fillId="8" borderId="111" xfId="0" applyNumberFormat="1" applyFont="1" applyFill="1" applyBorder="1" applyAlignment="1">
      <alignment horizontal="center" vertical="center"/>
    </xf>
    <xf numFmtId="0" fontId="36" fillId="0" borderId="177" xfId="0" applyFont="1" applyBorder="1"/>
    <xf numFmtId="1" fontId="36" fillId="0" borderId="177" xfId="0" applyNumberFormat="1" applyFont="1" applyBorder="1" applyAlignment="1">
      <alignment horizontal="center"/>
    </xf>
    <xf numFmtId="0" fontId="36" fillId="0" borderId="177" xfId="0" applyFont="1" applyBorder="1" applyAlignment="1">
      <alignment horizontal="center"/>
    </xf>
    <xf numFmtId="0" fontId="36" fillId="7" borderId="177" xfId="0" applyFont="1" applyFill="1" applyBorder="1" applyAlignment="1">
      <alignment horizontal="center"/>
    </xf>
    <xf numFmtId="1" fontId="36" fillId="7" borderId="177" xfId="0" applyNumberFormat="1" applyFont="1" applyFill="1" applyBorder="1" applyAlignment="1">
      <alignment horizontal="center"/>
    </xf>
    <xf numFmtId="0" fontId="36" fillId="5" borderId="177" xfId="0" applyFont="1" applyFill="1" applyBorder="1" applyAlignment="1">
      <alignment horizontal="center"/>
    </xf>
    <xf numFmtId="1" fontId="36" fillId="5" borderId="177" xfId="0" applyNumberFormat="1" applyFont="1" applyFill="1" applyBorder="1" applyAlignment="1">
      <alignment horizontal="center"/>
    </xf>
    <xf numFmtId="1" fontId="36" fillId="5" borderId="128" xfId="0" applyNumberFormat="1" applyFont="1" applyFill="1" applyBorder="1" applyAlignment="1">
      <alignment horizontal="center"/>
    </xf>
    <xf numFmtId="0" fontId="0" fillId="6" borderId="177" xfId="0" applyFill="1" applyBorder="1" applyAlignment="1">
      <alignment horizontal="center" vertical="center"/>
    </xf>
    <xf numFmtId="1" fontId="11" fillId="6" borderId="177" xfId="0" applyNumberFormat="1" applyFont="1" applyFill="1" applyBorder="1" applyAlignment="1">
      <alignment horizontal="center" vertical="center"/>
    </xf>
    <xf numFmtId="1" fontId="23" fillId="43" borderId="177" xfId="0" applyNumberFormat="1" applyFont="1" applyFill="1" applyBorder="1" applyAlignment="1">
      <alignment horizontal="center"/>
    </xf>
    <xf numFmtId="0" fontId="23" fillId="43" borderId="177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2" fillId="0" borderId="46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0" fontId="18" fillId="8" borderId="138" xfId="0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82" xfId="0" applyNumberFormat="1" applyFont="1" applyFill="1" applyBorder="1" applyAlignment="1">
      <alignment horizontal="center" vertical="center"/>
    </xf>
    <xf numFmtId="1" fontId="20" fillId="5" borderId="79" xfId="0" applyNumberFormat="1" applyFont="1" applyFill="1" applyBorder="1" applyAlignment="1">
      <alignment horizontal="center" vertical="center"/>
    </xf>
    <xf numFmtId="1" fontId="20" fillId="7" borderId="79" xfId="0" applyNumberFormat="1" applyFont="1" applyFill="1" applyBorder="1" applyAlignment="1">
      <alignment horizontal="center" vertical="center"/>
    </xf>
    <xf numFmtId="1" fontId="19" fillId="5" borderId="79" xfId="0" applyNumberFormat="1" applyFont="1" applyFill="1" applyBorder="1" applyAlignment="1">
      <alignment horizontal="center" vertical="center"/>
    </xf>
    <xf numFmtId="1" fontId="19" fillId="6" borderId="79" xfId="0" applyNumberFormat="1" applyFont="1" applyFill="1" applyBorder="1" applyAlignment="1">
      <alignment horizontal="center" vertical="center"/>
    </xf>
    <xf numFmtId="0" fontId="18" fillId="8" borderId="177" xfId="0" applyFont="1" applyFill="1" applyBorder="1" applyAlignment="1">
      <alignment vertical="center"/>
    </xf>
    <xf numFmtId="9" fontId="45" fillId="7" borderId="10" xfId="22" applyNumberFormat="1" applyFont="1" applyFill="1" applyBorder="1" applyAlignment="1">
      <alignment horizontal="center" vertical="center"/>
    </xf>
    <xf numFmtId="1" fontId="20" fillId="6" borderId="177" xfId="0" applyNumberFormat="1" applyFont="1" applyFill="1" applyBorder="1" applyAlignment="1">
      <alignment vertical="center"/>
    </xf>
    <xf numFmtId="1" fontId="20" fillId="6" borderId="177" xfId="0" applyNumberFormat="1" applyFont="1" applyFill="1" applyBorder="1" applyAlignment="1">
      <alignment horizontal="center" vertical="center"/>
    </xf>
    <xf numFmtId="1" fontId="4" fillId="8" borderId="138" xfId="0" applyNumberFormat="1" applyFont="1" applyFill="1" applyBorder="1" applyAlignment="1">
      <alignment horizontal="center" vertical="center"/>
    </xf>
    <xf numFmtId="1" fontId="4" fillId="50" borderId="138" xfId="0" applyNumberFormat="1" applyFont="1" applyFill="1" applyBorder="1" applyAlignment="1">
      <alignment horizontal="center" vertical="center"/>
    </xf>
    <xf numFmtId="1" fontId="18" fillId="5" borderId="177" xfId="0" applyNumberFormat="1" applyFont="1" applyFill="1" applyBorder="1" applyAlignment="1">
      <alignment horizontal="center" vertical="center"/>
    </xf>
    <xf numFmtId="1" fontId="18" fillId="6" borderId="146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right" vertical="center" indent="1"/>
    </xf>
    <xf numFmtId="0" fontId="29" fillId="0" borderId="177" xfId="0" applyFont="1" applyBorder="1" applyAlignment="1">
      <alignment vertical="center"/>
    </xf>
    <xf numFmtId="0" fontId="29" fillId="7" borderId="177" xfId="0" applyFont="1" applyFill="1" applyBorder="1" applyAlignment="1">
      <alignment vertical="center"/>
    </xf>
    <xf numFmtId="0" fontId="29" fillId="5" borderId="177" xfId="0" applyFont="1" applyFill="1" applyBorder="1" applyAlignment="1">
      <alignment vertical="center"/>
    </xf>
    <xf numFmtId="1" fontId="21" fillId="6" borderId="177" xfId="0" applyNumberFormat="1" applyFont="1" applyFill="1" applyBorder="1" applyAlignment="1">
      <alignment horizontal="center" vertical="center"/>
    </xf>
    <xf numFmtId="1" fontId="21" fillId="7" borderId="177" xfId="0" applyNumberFormat="1" applyFont="1" applyFill="1" applyBorder="1" applyAlignment="1">
      <alignment horizontal="center" vertical="center"/>
    </xf>
    <xf numFmtId="1" fontId="0" fillId="50" borderId="177" xfId="0" applyNumberFormat="1" applyFill="1" applyBorder="1" applyAlignment="1">
      <alignment horizontal="center" vertical="center"/>
    </xf>
    <xf numFmtId="1" fontId="19" fillId="8" borderId="131" xfId="186" applyNumberFormat="1" applyFont="1" applyFill="1" applyBorder="1" applyAlignment="1">
      <alignment horizontal="center" vertical="top"/>
    </xf>
    <xf numFmtId="1" fontId="19" fillId="8" borderId="177" xfId="186" applyNumberFormat="1" applyFont="1" applyFill="1" applyBorder="1" applyAlignment="1">
      <alignment horizontal="center" vertical="top"/>
    </xf>
    <xf numFmtId="1" fontId="19" fillId="5" borderId="177" xfId="186" applyNumberFormat="1" applyFont="1" applyFill="1" applyBorder="1" applyAlignment="1">
      <alignment horizontal="center" vertical="top"/>
    </xf>
    <xf numFmtId="1" fontId="19" fillId="7" borderId="177" xfId="186" applyNumberFormat="1" applyFont="1" applyFill="1" applyBorder="1" applyAlignment="1">
      <alignment horizontal="center" vertical="top"/>
    </xf>
    <xf numFmtId="1" fontId="19" fillId="54" borderId="177" xfId="186" applyNumberFormat="1" applyFont="1" applyFill="1" applyBorder="1" applyAlignment="1">
      <alignment horizontal="center" vertical="top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7" fillId="8" borderId="31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4" fillId="50" borderId="146" xfId="0" applyNumberFormat="1" applyFont="1" applyFill="1" applyBorder="1" applyAlignment="1">
      <alignment horizontal="center" vertical="center"/>
    </xf>
    <xf numFmtId="1" fontId="4" fillId="8" borderId="131" xfId="0" applyNumberFormat="1" applyFont="1" applyFill="1" applyBorder="1" applyAlignment="1">
      <alignment horizontal="center" vertical="center"/>
    </xf>
    <xf numFmtId="1" fontId="4" fillId="8" borderId="177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0" fontId="80" fillId="0" borderId="177" xfId="0" applyFont="1" applyBorder="1" applyAlignment="1">
      <alignment horizontal="left" vertical="center"/>
    </xf>
    <xf numFmtId="1" fontId="113" fillId="32" borderId="23" xfId="0" applyNumberFormat="1" applyFont="1" applyFill="1" applyBorder="1" applyAlignment="1">
      <alignment horizontal="center" vertical="center"/>
    </xf>
    <xf numFmtId="1" fontId="45" fillId="0" borderId="31" xfId="0" applyNumberFormat="1" applyFont="1" applyBorder="1" applyAlignment="1">
      <alignment horizontal="center" vertical="center"/>
    </xf>
    <xf numFmtId="1" fontId="45" fillId="0" borderId="143" xfId="0" applyNumberFormat="1" applyFont="1" applyBorder="1" applyAlignment="1">
      <alignment horizontal="center" vertical="center"/>
    </xf>
    <xf numFmtId="1" fontId="113" fillId="32" borderId="113" xfId="0" applyNumberFormat="1" applyFont="1" applyFill="1" applyBorder="1" applyAlignment="1">
      <alignment horizontal="center" vertical="center"/>
    </xf>
    <xf numFmtId="1" fontId="48" fillId="0" borderId="111" xfId="0" applyNumberFormat="1" applyFont="1" applyBorder="1" applyAlignment="1">
      <alignment horizontal="center" vertical="center"/>
    </xf>
    <xf numFmtId="1" fontId="48" fillId="32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7" fillId="8" borderId="131" xfId="0" applyFont="1" applyFill="1" applyBorder="1" applyAlignment="1">
      <alignment horizontal="right" vertical="center"/>
    </xf>
    <xf numFmtId="0" fontId="4" fillId="8" borderId="177" xfId="0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18" fillId="50" borderId="146" xfId="0" applyNumberFormat="1" applyFont="1" applyFill="1" applyBorder="1" applyAlignment="1">
      <alignment horizontal="center" vertical="center"/>
    </xf>
    <xf numFmtId="1" fontId="18" fillId="8" borderId="131" xfId="0" applyNumberFormat="1" applyFont="1" applyFill="1" applyBorder="1" applyAlignment="1">
      <alignment horizontal="center" vertical="center"/>
    </xf>
    <xf numFmtId="1" fontId="0" fillId="0" borderId="177" xfId="0" applyNumberFormat="1" applyBorder="1" applyAlignment="1">
      <alignment horizontal="center" vertical="center"/>
    </xf>
    <xf numFmtId="0" fontId="20" fillId="0" borderId="143" xfId="0" applyFont="1" applyBorder="1" applyAlignment="1">
      <alignment horizontal="left" vertical="center" indent="2"/>
    </xf>
    <xf numFmtId="1" fontId="0" fillId="50" borderId="146" xfId="0" applyNumberFormat="1" applyFill="1" applyBorder="1" applyAlignment="1">
      <alignment horizontal="center" vertical="center"/>
    </xf>
    <xf numFmtId="1" fontId="0" fillId="0" borderId="131" xfId="0" applyNumberForma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12" fillId="0" borderId="178" xfId="0" applyFont="1" applyBorder="1" applyAlignment="1">
      <alignment horizontal="right" vertical="center"/>
    </xf>
    <xf numFmtId="1" fontId="20" fillId="0" borderId="178" xfId="0" applyNumberFormat="1" applyFont="1" applyBorder="1" applyAlignment="1">
      <alignment horizontal="center" vertical="center"/>
    </xf>
    <xf numFmtId="1" fontId="12" fillId="0" borderId="178" xfId="0" applyNumberFormat="1" applyFont="1" applyBorder="1" applyAlignment="1">
      <alignment horizontal="center" vertical="center"/>
    </xf>
    <xf numFmtId="1" fontId="12" fillId="7" borderId="178" xfId="0" applyNumberFormat="1" applyFont="1" applyFill="1" applyBorder="1" applyAlignment="1">
      <alignment horizontal="center" vertical="center"/>
    </xf>
    <xf numFmtId="1" fontId="12" fillId="5" borderId="178" xfId="0" applyNumberFormat="1" applyFont="1" applyFill="1" applyBorder="1" applyAlignment="1">
      <alignment horizontal="center" vertical="center"/>
    </xf>
    <xf numFmtId="1" fontId="12" fillId="6" borderId="178" xfId="0" applyNumberFormat="1" applyFont="1" applyFill="1" applyBorder="1" applyAlignment="1">
      <alignment horizontal="center" vertical="center"/>
    </xf>
    <xf numFmtId="1" fontId="12" fillId="0" borderId="178" xfId="0" applyNumberFormat="1" applyFont="1" applyFill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78" xfId="0" applyFont="1" applyBorder="1" applyAlignment="1">
      <alignment horizontal="left" vertical="center"/>
    </xf>
    <xf numFmtId="1" fontId="20" fillId="7" borderId="178" xfId="0" applyNumberFormat="1" applyFont="1" applyFill="1" applyBorder="1" applyAlignment="1">
      <alignment horizontal="center" vertical="center"/>
    </xf>
    <xf numFmtId="1" fontId="20" fillId="5" borderId="178" xfId="0" applyNumberFormat="1" applyFont="1" applyFill="1" applyBorder="1" applyAlignment="1">
      <alignment horizontal="center" vertical="center"/>
    </xf>
    <xf numFmtId="0" fontId="20" fillId="0" borderId="178" xfId="0" applyFont="1" applyBorder="1" applyAlignment="1">
      <alignment horizontal="center" vertical="center"/>
    </xf>
    <xf numFmtId="1" fontId="21" fillId="8" borderId="178" xfId="0" applyNumberFormat="1" applyFont="1" applyFill="1" applyBorder="1" applyAlignment="1">
      <alignment horizontal="center" vertical="center"/>
    </xf>
    <xf numFmtId="1" fontId="21" fillId="5" borderId="178" xfId="0" applyNumberFormat="1" applyFont="1" applyFill="1" applyBorder="1" applyAlignment="1">
      <alignment horizontal="center" vertical="center"/>
    </xf>
    <xf numFmtId="0" fontId="0" fillId="0" borderId="79" xfId="0" applyFont="1" applyBorder="1"/>
    <xf numFmtId="0" fontId="45" fillId="8" borderId="0" xfId="0" applyFont="1" applyFill="1" applyBorder="1"/>
    <xf numFmtId="0" fontId="21" fillId="8" borderId="0" xfId="0" applyFont="1" applyFill="1" applyBorder="1" applyAlignment="1">
      <alignment horizontal="left" vertical="center"/>
    </xf>
    <xf numFmtId="0" fontId="0" fillId="0" borderId="0" xfId="0" applyFont="1" applyBorder="1"/>
    <xf numFmtId="1" fontId="20" fillId="7" borderId="0" xfId="0" applyNumberFormat="1" applyFont="1" applyFill="1" applyBorder="1" applyAlignment="1">
      <alignment horizontal="center" vertical="center"/>
    </xf>
    <xf numFmtId="1" fontId="20" fillId="5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/>
    <xf numFmtId="0" fontId="29" fillId="8" borderId="178" xfId="0" applyFont="1" applyFill="1" applyBorder="1" applyAlignment="1">
      <alignment horizontal="left" vertical="center"/>
    </xf>
    <xf numFmtId="0" fontId="0" fillId="0" borderId="178" xfId="0" applyFont="1" applyBorder="1"/>
    <xf numFmtId="0" fontId="21" fillId="8" borderId="0" xfId="0" applyFont="1" applyFill="1" applyBorder="1" applyAlignment="1">
      <alignment horizontal="left" vertical="top" wrapText="1"/>
    </xf>
    <xf numFmtId="1" fontId="21" fillId="8" borderId="0" xfId="0" applyNumberFormat="1" applyFont="1" applyFill="1" applyBorder="1" applyAlignment="1">
      <alignment horizontal="center" vertical="center"/>
    </xf>
    <xf numFmtId="1" fontId="21" fillId="5" borderId="0" xfId="0" applyNumberFormat="1" applyFont="1" applyFill="1" applyBorder="1" applyAlignment="1">
      <alignment horizontal="center" vertical="center"/>
    </xf>
    <xf numFmtId="1" fontId="21" fillId="6" borderId="0" xfId="0" applyNumberFormat="1" applyFont="1" applyFill="1" applyBorder="1" applyAlignment="1">
      <alignment horizontal="center" vertical="center"/>
    </xf>
    <xf numFmtId="0" fontId="21" fillId="8" borderId="178" xfId="0" applyFont="1" applyFill="1" applyBorder="1" applyAlignment="1">
      <alignment horizontal="left" vertical="top" wrapText="1"/>
    </xf>
    <xf numFmtId="1" fontId="21" fillId="6" borderId="178" xfId="0" applyNumberFormat="1" applyFont="1" applyFill="1" applyBorder="1" applyAlignment="1">
      <alignment horizontal="center" vertical="center"/>
    </xf>
    <xf numFmtId="1" fontId="21" fillId="0" borderId="178" xfId="0" applyNumberFormat="1" applyFont="1" applyBorder="1" applyAlignment="1">
      <alignment horizontal="center" vertical="center"/>
    </xf>
    <xf numFmtId="1" fontId="21" fillId="7" borderId="178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81" fontId="0" fillId="0" borderId="0" xfId="0" applyNumberFormat="1"/>
    <xf numFmtId="1" fontId="20" fillId="0" borderId="178" xfId="0" applyNumberFormat="1" applyFont="1" applyBorder="1" applyAlignment="1">
      <alignment vertical="center"/>
    </xf>
    <xf numFmtId="1" fontId="20" fillId="7" borderId="178" xfId="0" applyNumberFormat="1" applyFont="1" applyFill="1" applyBorder="1" applyAlignment="1">
      <alignment vertical="center"/>
    </xf>
    <xf numFmtId="1" fontId="20" fillId="5" borderId="178" xfId="0" applyNumberFormat="1" applyFont="1" applyFill="1" applyBorder="1" applyAlignment="1">
      <alignment vertical="center"/>
    </xf>
    <xf numFmtId="1" fontId="48" fillId="0" borderId="178" xfId="0" applyNumberFormat="1" applyFont="1" applyBorder="1" applyAlignment="1">
      <alignment vertical="center"/>
    </xf>
    <xf numFmtId="1" fontId="48" fillId="7" borderId="178" xfId="0" applyNumberFormat="1" applyFont="1" applyFill="1" applyBorder="1" applyAlignment="1">
      <alignment vertical="center"/>
    </xf>
    <xf numFmtId="1" fontId="48" fillId="5" borderId="178" xfId="0" applyNumberFormat="1" applyFont="1" applyFill="1" applyBorder="1" applyAlignment="1">
      <alignment vertical="center"/>
    </xf>
    <xf numFmtId="1" fontId="20" fillId="0" borderId="3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1" fontId="21" fillId="0" borderId="179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2" fontId="12" fillId="8" borderId="135" xfId="0" applyNumberFormat="1" applyFont="1" applyFill="1" applyBorder="1" applyAlignment="1">
      <alignment horizontal="center" vertical="center"/>
    </xf>
    <xf numFmtId="2" fontId="12" fillId="7" borderId="135" xfId="0" applyNumberFormat="1" applyFont="1" applyFill="1" applyBorder="1" applyAlignment="1">
      <alignment horizontal="center" vertical="center"/>
    </xf>
    <xf numFmtId="2" fontId="12" fillId="7" borderId="146" xfId="0" applyNumberFormat="1" applyFont="1" applyFill="1" applyBorder="1" applyAlignment="1">
      <alignment horizontal="center" vertical="center"/>
    </xf>
    <xf numFmtId="1" fontId="12" fillId="5" borderId="135" xfId="0" applyNumberFormat="1" applyFont="1" applyFill="1" applyBorder="1" applyAlignment="1">
      <alignment horizontal="center" vertical="center"/>
    </xf>
    <xf numFmtId="167" fontId="12" fillId="5" borderId="135" xfId="0" applyNumberFormat="1" applyFont="1" applyFill="1" applyBorder="1" applyAlignment="1">
      <alignment horizontal="center" vertical="center"/>
    </xf>
    <xf numFmtId="1" fontId="12" fillId="7" borderId="135" xfId="0" applyNumberFormat="1" applyFont="1" applyFill="1" applyBorder="1" applyAlignment="1">
      <alignment horizontal="center" vertical="center"/>
    </xf>
    <xf numFmtId="167" fontId="12" fillId="7" borderId="135" xfId="0" applyNumberFormat="1" applyFont="1" applyFill="1" applyBorder="1" applyAlignment="1">
      <alignment horizontal="center" vertical="center"/>
    </xf>
    <xf numFmtId="1" fontId="12" fillId="6" borderId="135" xfId="0" applyNumberFormat="1" applyFont="1" applyFill="1" applyBorder="1" applyAlignment="1">
      <alignment horizontal="center" vertical="center"/>
    </xf>
    <xf numFmtId="167" fontId="12" fillId="8" borderId="135" xfId="0" applyNumberFormat="1" applyFont="1" applyFill="1" applyBorder="1" applyAlignment="1">
      <alignment horizontal="center" vertical="center"/>
    </xf>
    <xf numFmtId="1" fontId="19" fillId="5" borderId="178" xfId="0" applyNumberFormat="1" applyFont="1" applyFill="1" applyBorder="1" applyAlignment="1">
      <alignment horizontal="center" vertical="center"/>
    </xf>
    <xf numFmtId="1" fontId="19" fillId="6" borderId="178" xfId="0" applyNumberFormat="1" applyFont="1" applyFill="1" applyBorder="1" applyAlignment="1">
      <alignment horizontal="center" vertical="center"/>
    </xf>
    <xf numFmtId="0" fontId="0" fillId="0" borderId="0" xfId="0" applyFont="1"/>
    <xf numFmtId="0" fontId="187" fillId="0" borderId="178" xfId="0" applyFont="1" applyBorder="1"/>
    <xf numFmtId="1" fontId="187" fillId="8" borderId="178" xfId="0" applyNumberFormat="1" applyFont="1" applyFill="1" applyBorder="1" applyAlignment="1">
      <alignment horizontal="center"/>
    </xf>
    <xf numFmtId="1" fontId="187" fillId="7" borderId="178" xfId="0" applyNumberFormat="1" applyFont="1" applyFill="1" applyBorder="1" applyAlignment="1">
      <alignment horizontal="center"/>
    </xf>
    <xf numFmtId="1" fontId="187" fillId="5" borderId="178" xfId="0" applyNumberFormat="1" applyFont="1" applyFill="1" applyBorder="1" applyAlignment="1">
      <alignment horizontal="center"/>
    </xf>
    <xf numFmtId="1" fontId="187" fillId="6" borderId="178" xfId="0" applyNumberFormat="1" applyFont="1" applyFill="1" applyBorder="1" applyAlignment="1">
      <alignment horizontal="center"/>
    </xf>
    <xf numFmtId="1" fontId="187" fillId="0" borderId="177" xfId="0" applyNumberFormat="1" applyFont="1" applyBorder="1" applyAlignment="1">
      <alignment horizontal="center"/>
    </xf>
    <xf numFmtId="167" fontId="11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18" fillId="5" borderId="178" xfId="0" applyNumberFormat="1" applyFont="1" applyFill="1" applyBorder="1" applyAlignment="1">
      <alignment horizontal="center" vertical="center"/>
    </xf>
    <xf numFmtId="1" fontId="20" fillId="50" borderId="178" xfId="0" applyNumberFormat="1" applyFont="1" applyFill="1" applyBorder="1" applyAlignment="1">
      <alignment horizontal="center" vertical="center"/>
    </xf>
    <xf numFmtId="1" fontId="4" fillId="8" borderId="176" xfId="0" applyNumberFormat="1" applyFont="1" applyFill="1" applyBorder="1" applyAlignment="1">
      <alignment horizontal="center" vertical="center"/>
    </xf>
    <xf numFmtId="1" fontId="4" fillId="8" borderId="178" xfId="0" applyNumberFormat="1" applyFont="1" applyFill="1" applyBorder="1" applyAlignment="1">
      <alignment horizontal="center" vertical="center"/>
    </xf>
    <xf numFmtId="167" fontId="20" fillId="0" borderId="121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47" fillId="0" borderId="0" xfId="0" applyNumberFormat="1" applyFont="1"/>
    <xf numFmtId="1" fontId="47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1" fontId="47" fillId="8" borderId="0" xfId="0" applyNumberFormat="1" applyFont="1" applyFill="1" applyAlignment="1">
      <alignment horizontal="center"/>
    </xf>
    <xf numFmtId="1" fontId="45" fillId="8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62" fillId="0" borderId="178" xfId="0" applyFont="1" applyBorder="1" applyAlignment="1">
      <alignment wrapText="1"/>
    </xf>
    <xf numFmtId="0" fontId="164" fillId="0" borderId="178" xfId="0" applyFont="1" applyBorder="1" applyAlignment="1">
      <alignment horizontal="center" vertical="center" wrapText="1"/>
    </xf>
    <xf numFmtId="0" fontId="164" fillId="0" borderId="178" xfId="0" applyFont="1" applyBorder="1" applyAlignment="1">
      <alignment vertical="center" wrapText="1"/>
    </xf>
    <xf numFmtId="17" fontId="162" fillId="0" borderId="178" xfId="0" applyNumberFormat="1" applyFont="1" applyBorder="1" applyAlignment="1">
      <alignment wrapText="1"/>
    </xf>
    <xf numFmtId="1" fontId="162" fillId="0" borderId="178" xfId="0" applyNumberFormat="1" applyFont="1" applyBorder="1" applyAlignment="1">
      <alignment horizontal="center" vertical="center" wrapText="1"/>
    </xf>
    <xf numFmtId="0" fontId="165" fillId="0" borderId="178" xfId="0" applyFont="1" applyBorder="1" applyAlignment="1">
      <alignment horizontal="center" vertical="center" wrapText="1"/>
    </xf>
    <xf numFmtId="0" fontId="165" fillId="8" borderId="178" xfId="0" applyFont="1" applyFill="1" applyBorder="1" applyAlignment="1">
      <alignment horizontal="center" vertical="center" wrapText="1"/>
    </xf>
    <xf numFmtId="0" fontId="164" fillId="0" borderId="178" xfId="0" applyFont="1" applyBorder="1" applyAlignment="1">
      <alignment wrapText="1"/>
    </xf>
    <xf numFmtId="0" fontId="166" fillId="0" borderId="178" xfId="0" applyFont="1" applyBorder="1" applyAlignment="1">
      <alignment horizontal="center" vertical="center" wrapText="1"/>
    </xf>
    <xf numFmtId="0" fontId="167" fillId="8" borderId="178" xfId="0" applyFont="1" applyFill="1" applyBorder="1" applyAlignment="1">
      <alignment horizontal="center" vertical="center" wrapText="1"/>
    </xf>
    <xf numFmtId="0" fontId="169" fillId="0" borderId="178" xfId="0" applyFont="1" applyBorder="1" applyAlignment="1">
      <alignment horizontal="center" vertical="center" wrapText="1"/>
    </xf>
    <xf numFmtId="0" fontId="169" fillId="8" borderId="178" xfId="0" applyFont="1" applyFill="1" applyBorder="1" applyAlignment="1">
      <alignment horizontal="center" vertical="center" wrapText="1"/>
    </xf>
    <xf numFmtId="0" fontId="170" fillId="0" borderId="178" xfId="0" applyFont="1" applyBorder="1" applyAlignment="1">
      <alignment horizontal="center" vertical="center" wrapText="1"/>
    </xf>
    <xf numFmtId="0" fontId="168" fillId="0" borderId="178" xfId="0" applyFont="1" applyBorder="1" applyAlignment="1">
      <alignment horizontal="center" vertical="center" wrapText="1"/>
    </xf>
    <xf numFmtId="0" fontId="168" fillId="8" borderId="178" xfId="0" applyFont="1" applyFill="1" applyBorder="1" applyAlignment="1">
      <alignment horizontal="center" vertical="center" wrapText="1"/>
    </xf>
    <xf numFmtId="0" fontId="166" fillId="8" borderId="178" xfId="0" applyFont="1" applyFill="1" applyBorder="1" applyAlignment="1">
      <alignment horizontal="center" vertical="center" wrapText="1"/>
    </xf>
    <xf numFmtId="1" fontId="166" fillId="8" borderId="178" xfId="0" applyNumberFormat="1" applyFont="1" applyFill="1" applyBorder="1" applyAlignment="1">
      <alignment horizontal="center" vertical="center" wrapText="1"/>
    </xf>
    <xf numFmtId="0" fontId="162" fillId="8" borderId="178" xfId="0" applyFont="1" applyFill="1" applyBorder="1" applyAlignment="1">
      <alignment horizontal="center" vertical="center" wrapText="1"/>
    </xf>
    <xf numFmtId="0" fontId="164" fillId="8" borderId="178" xfId="0" applyFont="1" applyFill="1" applyBorder="1" applyAlignment="1">
      <alignment horizontal="center" vertical="center" wrapText="1"/>
    </xf>
    <xf numFmtId="1" fontId="168" fillId="0" borderId="178" xfId="0" applyNumberFormat="1" applyFont="1" applyBorder="1" applyAlignment="1">
      <alignment horizontal="center" vertical="center" wrapText="1"/>
    </xf>
    <xf numFmtId="1" fontId="166" fillId="0" borderId="178" xfId="0" applyNumberFormat="1" applyFont="1" applyBorder="1" applyAlignment="1">
      <alignment horizontal="center" vertical="center" wrapText="1"/>
    </xf>
    <xf numFmtId="0" fontId="167" fillId="0" borderId="178" xfId="0" applyFont="1" applyBorder="1" applyAlignment="1">
      <alignment horizontal="center" vertical="center" wrapText="1"/>
    </xf>
    <xf numFmtId="1" fontId="168" fillId="8" borderId="178" xfId="0" applyNumberFormat="1" applyFont="1" applyFill="1" applyBorder="1" applyAlignment="1">
      <alignment horizontal="center" vertical="center" wrapText="1"/>
    </xf>
    <xf numFmtId="1" fontId="169" fillId="0" borderId="178" xfId="0" applyNumberFormat="1" applyFont="1" applyBorder="1" applyAlignment="1">
      <alignment horizontal="center" vertical="center" wrapText="1"/>
    </xf>
    <xf numFmtId="1" fontId="170" fillId="0" borderId="178" xfId="0" applyNumberFormat="1" applyFont="1" applyBorder="1" applyAlignment="1">
      <alignment horizontal="center" vertical="center" wrapText="1"/>
    </xf>
    <xf numFmtId="1" fontId="165" fillId="0" borderId="178" xfId="0" applyNumberFormat="1" applyFont="1" applyBorder="1" applyAlignment="1">
      <alignment horizontal="center" vertical="center" wrapText="1"/>
    </xf>
    <xf numFmtId="167" fontId="168" fillId="0" borderId="178" xfId="0" applyNumberFormat="1" applyFont="1" applyBorder="1" applyAlignment="1">
      <alignment horizontal="center" vertical="center" wrapText="1"/>
    </xf>
    <xf numFmtId="2" fontId="168" fillId="0" borderId="178" xfId="0" applyNumberFormat="1" applyFont="1" applyBorder="1" applyAlignment="1">
      <alignment horizontal="center" vertical="center" wrapText="1"/>
    </xf>
    <xf numFmtId="1" fontId="167" fillId="0" borderId="178" xfId="0" applyNumberFormat="1" applyFont="1" applyBorder="1" applyAlignment="1">
      <alignment horizontal="center" vertical="center" wrapText="1"/>
    </xf>
    <xf numFmtId="9" fontId="162" fillId="0" borderId="178" xfId="22" applyFont="1" applyBorder="1" applyAlignment="1">
      <alignment horizontal="center" vertical="center" wrapText="1"/>
    </xf>
    <xf numFmtId="1" fontId="164" fillId="0" borderId="178" xfId="0" applyNumberFormat="1" applyFont="1" applyBorder="1" applyAlignment="1">
      <alignment horizontal="center" vertical="center" wrapText="1"/>
    </xf>
    <xf numFmtId="167" fontId="165" fillId="0" borderId="178" xfId="0" applyNumberFormat="1" applyFont="1" applyBorder="1" applyAlignment="1">
      <alignment horizontal="center" vertical="center" wrapText="1"/>
    </xf>
    <xf numFmtId="0" fontId="162" fillId="0" borderId="178" xfId="0" applyFont="1" applyBorder="1" applyAlignment="1">
      <alignment horizontal="left" vertical="center" wrapText="1" indent="1"/>
    </xf>
    <xf numFmtId="167" fontId="0" fillId="0" borderId="178" xfId="0" applyNumberFormat="1" applyFont="1" applyBorder="1" applyAlignment="1">
      <alignment horizontal="center" vertical="center"/>
    </xf>
    <xf numFmtId="2" fontId="162" fillId="0" borderId="178" xfId="0" applyNumberFormat="1" applyFont="1" applyBorder="1" applyAlignment="1">
      <alignment horizontal="center" wrapText="1"/>
    </xf>
    <xf numFmtId="2" fontId="168" fillId="8" borderId="178" xfId="0" applyNumberFormat="1" applyFont="1" applyFill="1" applyBorder="1" applyAlignment="1">
      <alignment horizontal="center" wrapText="1"/>
    </xf>
    <xf numFmtId="167" fontId="162" fillId="0" borderId="178" xfId="0" applyNumberFormat="1" applyFont="1" applyBorder="1" applyAlignment="1">
      <alignment horizontal="center" vertical="center" wrapText="1"/>
    </xf>
    <xf numFmtId="2" fontId="164" fillId="0" borderId="178" xfId="0" applyNumberFormat="1" applyFont="1" applyBorder="1" applyAlignment="1">
      <alignment horizontal="center" wrapText="1"/>
    </xf>
    <xf numFmtId="167" fontId="169" fillId="0" borderId="178" xfId="0" applyNumberFormat="1" applyFont="1" applyBorder="1" applyAlignment="1">
      <alignment horizontal="center" vertical="center"/>
    </xf>
    <xf numFmtId="167" fontId="162" fillId="0" borderId="178" xfId="0" applyNumberFormat="1" applyFont="1" applyBorder="1" applyAlignment="1">
      <alignment horizontal="center" wrapText="1"/>
    </xf>
    <xf numFmtId="2" fontId="0" fillId="0" borderId="178" xfId="0" applyNumberFormat="1" applyFont="1" applyBorder="1" applyAlignment="1">
      <alignment horizontal="center" vertical="center"/>
    </xf>
    <xf numFmtId="0" fontId="0" fillId="0" borderId="178" xfId="0" applyBorder="1"/>
    <xf numFmtId="167" fontId="17" fillId="0" borderId="178" xfId="0" applyNumberFormat="1" applyFont="1" applyBorder="1" applyAlignment="1">
      <alignment horizontal="center" vertical="center"/>
    </xf>
    <xf numFmtId="167" fontId="164" fillId="0" borderId="178" xfId="0" applyNumberFormat="1" applyFont="1" applyBorder="1" applyAlignment="1">
      <alignment horizontal="center" wrapText="1"/>
    </xf>
    <xf numFmtId="0" fontId="169" fillId="0" borderId="178" xfId="0" applyFont="1" applyBorder="1" applyAlignment="1">
      <alignment horizontal="center"/>
    </xf>
    <xf numFmtId="167" fontId="168" fillId="0" borderId="178" xfId="0" applyNumberFormat="1" applyFont="1" applyBorder="1" applyAlignment="1">
      <alignment horizontal="center"/>
    </xf>
    <xf numFmtId="167" fontId="169" fillId="0" borderId="178" xfId="0" applyNumberFormat="1" applyFont="1" applyBorder="1" applyAlignment="1">
      <alignment horizontal="center"/>
    </xf>
    <xf numFmtId="1" fontId="17" fillId="0" borderId="178" xfId="0" applyNumberFormat="1" applyFont="1" applyBorder="1" applyAlignment="1">
      <alignment horizontal="center" vertical="center"/>
    </xf>
    <xf numFmtId="0" fontId="168" fillId="0" borderId="178" xfId="0" applyFont="1" applyBorder="1" applyAlignment="1">
      <alignment horizontal="center"/>
    </xf>
    <xf numFmtId="17" fontId="164" fillId="0" borderId="178" xfId="0" applyNumberFormat="1" applyFont="1" applyBorder="1" applyAlignment="1">
      <alignment wrapText="1"/>
    </xf>
    <xf numFmtId="2" fontId="169" fillId="0" borderId="178" xfId="0" applyNumberFormat="1" applyFont="1" applyBorder="1" applyAlignment="1">
      <alignment horizontal="center"/>
    </xf>
    <xf numFmtId="1" fontId="164" fillId="0" borderId="178" xfId="0" applyNumberFormat="1" applyFont="1" applyBorder="1" applyAlignment="1">
      <alignment horizontal="center" wrapText="1"/>
    </xf>
    <xf numFmtId="1" fontId="166" fillId="8" borderId="178" xfId="0" applyNumberFormat="1" applyFont="1" applyFill="1" applyBorder="1" applyAlignment="1">
      <alignment horizontal="center" wrapText="1"/>
    </xf>
    <xf numFmtId="0" fontId="162" fillId="0" borderId="178" xfId="0" applyFont="1" applyBorder="1" applyAlignment="1">
      <alignment horizontal="center" wrapText="1"/>
    </xf>
    <xf numFmtId="167" fontId="0" fillId="0" borderId="178" xfId="0" applyNumberFormat="1" applyBorder="1"/>
    <xf numFmtId="167" fontId="164" fillId="0" borderId="178" xfId="0" applyNumberFormat="1" applyFont="1" applyBorder="1" applyAlignment="1">
      <alignment horizontal="center" vertical="center" wrapText="1"/>
    </xf>
    <xf numFmtId="9" fontId="21" fillId="7" borderId="10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70" fontId="181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45" fillId="0" borderId="113" xfId="0" applyFont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4" fillId="0" borderId="173" xfId="0" applyNumberFormat="1" applyFont="1" applyBorder="1" applyAlignment="1">
      <alignment horizontal="center" vertical="center"/>
    </xf>
    <xf numFmtId="1" fontId="14" fillId="0" borderId="178" xfId="0" applyNumberFormat="1" applyFont="1" applyBorder="1" applyAlignment="1">
      <alignment horizontal="center" vertical="center"/>
    </xf>
    <xf numFmtId="167" fontId="20" fillId="4" borderId="31" xfId="0" applyNumberFormat="1" applyFont="1" applyFill="1" applyBorder="1" applyAlignment="1">
      <alignment horizontal="center" vertical="center"/>
    </xf>
    <xf numFmtId="2" fontId="20" fillId="4" borderId="17" xfId="0" applyNumberFormat="1" applyFont="1" applyFill="1" applyBorder="1" applyAlignment="1">
      <alignment horizontal="center" vertical="center"/>
    </xf>
    <xf numFmtId="167" fontId="20" fillId="4" borderId="53" xfId="0" applyNumberFormat="1" applyFont="1" applyFill="1" applyBorder="1" applyAlignment="1">
      <alignment horizontal="center" vertical="center"/>
    </xf>
    <xf numFmtId="167" fontId="14" fillId="7" borderId="10" xfId="0" applyNumberFormat="1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0" fontId="12" fillId="4" borderId="0" xfId="0" applyFont="1" applyFill="1"/>
    <xf numFmtId="0" fontId="20" fillId="4" borderId="32" xfId="0" applyFont="1" applyFill="1" applyBorder="1" applyAlignment="1">
      <alignment horizontal="left" vertical="center" wrapText="1" indent="1"/>
    </xf>
    <xf numFmtId="0" fontId="20" fillId="4" borderId="68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169" fontId="12" fillId="4" borderId="0" xfId="0" applyNumberFormat="1" applyFont="1" applyFill="1"/>
    <xf numFmtId="1" fontId="12" fillId="4" borderId="0" xfId="0" applyNumberFormat="1" applyFont="1" applyFill="1"/>
    <xf numFmtId="2" fontId="12" fillId="4" borderId="0" xfId="0" applyNumberFormat="1" applyFont="1" applyFill="1"/>
    <xf numFmtId="1" fontId="79" fillId="8" borderId="6" xfId="186" applyNumberFormat="1" applyFont="1" applyFill="1" applyBorder="1" applyAlignment="1">
      <alignment horizontal="center" vertical="center"/>
    </xf>
    <xf numFmtId="1" fontId="78" fillId="8" borderId="17" xfId="186" applyNumberFormat="1" applyFont="1" applyFill="1" applyBorder="1" applyAlignment="1">
      <alignment horizontal="center" vertical="center"/>
    </xf>
    <xf numFmtId="1" fontId="78" fillId="8" borderId="29" xfId="186" applyNumberFormat="1" applyFont="1" applyFill="1" applyBorder="1" applyAlignment="1">
      <alignment horizontal="center" vertical="center"/>
    </xf>
    <xf numFmtId="1" fontId="78" fillId="8" borderId="112" xfId="186" applyNumberFormat="1" applyFont="1" applyFill="1" applyBorder="1" applyAlignment="1">
      <alignment horizontal="center" vertical="center"/>
    </xf>
    <xf numFmtId="1" fontId="78" fillId="8" borderId="111" xfId="186" applyNumberFormat="1" applyFont="1" applyFill="1" applyBorder="1" applyAlignment="1">
      <alignment horizontal="center" vertical="center"/>
    </xf>
    <xf numFmtId="1" fontId="78" fillId="8" borderId="6" xfId="186" applyNumberFormat="1" applyFont="1" applyFill="1" applyBorder="1" applyAlignment="1">
      <alignment horizontal="center" vertical="center"/>
    </xf>
    <xf numFmtId="1" fontId="54" fillId="8" borderId="0" xfId="0" applyNumberFormat="1" applyFont="1" applyFill="1"/>
    <xf numFmtId="0" fontId="54" fillId="8" borderId="0" xfId="0" applyFont="1" applyFill="1"/>
    <xf numFmtId="0" fontId="187" fillId="8" borderId="176" xfId="0" applyFont="1" applyFill="1" applyBorder="1" applyAlignment="1">
      <alignment horizontal="right" vertical="center"/>
    </xf>
    <xf numFmtId="0" fontId="187" fillId="8" borderId="178" xfId="0" applyFont="1" applyFill="1" applyBorder="1"/>
    <xf numFmtId="9" fontId="187" fillId="7" borderId="17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3" fillId="8" borderId="10" xfId="0" applyNumberFormat="1" applyFont="1" applyFill="1" applyBorder="1" applyAlignment="1">
      <alignment horizontal="center" vertical="center"/>
    </xf>
    <xf numFmtId="1" fontId="45" fillId="0" borderId="39" xfId="0" applyNumberFormat="1" applyFont="1" applyBorder="1"/>
    <xf numFmtId="0" fontId="45" fillId="0" borderId="39" xfId="0" applyFont="1" applyBorder="1"/>
    <xf numFmtId="1" fontId="45" fillId="0" borderId="177" xfId="0" applyNumberFormat="1" applyFont="1" applyBorder="1" applyAlignment="1">
      <alignment horizontal="center" vertical="center"/>
    </xf>
    <xf numFmtId="1" fontId="45" fillId="0" borderId="39" xfId="0" applyNumberFormat="1" applyFont="1" applyBorder="1" applyAlignment="1">
      <alignment horizontal="center" vertical="center"/>
    </xf>
    <xf numFmtId="0" fontId="0" fillId="0" borderId="0" xfId="0" applyFont="1"/>
    <xf numFmtId="167" fontId="21" fillId="6" borderId="121" xfId="0" applyNumberFormat="1" applyFont="1" applyFill="1" applyBorder="1" applyAlignment="1">
      <alignment horizontal="center" vertical="center"/>
    </xf>
    <xf numFmtId="167" fontId="12" fillId="6" borderId="135" xfId="0" applyNumberFormat="1" applyFont="1" applyFill="1" applyBorder="1" applyAlignment="1">
      <alignment horizontal="center" vertical="center"/>
    </xf>
    <xf numFmtId="167" fontId="26" fillId="6" borderId="10" xfId="0" applyNumberFormat="1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1" fontId="14" fillId="0" borderId="71" xfId="0" applyNumberFormat="1" applyFont="1" applyBorder="1" applyAlignment="1">
      <alignment horizontal="center" vertical="center"/>
    </xf>
    <xf numFmtId="1" fontId="200" fillId="8" borderId="113" xfId="0" applyNumberFormat="1" applyFont="1" applyFill="1" applyBorder="1" applyAlignment="1">
      <alignment vertical="center"/>
    </xf>
    <xf numFmtId="1" fontId="12" fillId="8" borderId="41" xfId="0" applyNumberFormat="1" applyFont="1" applyFill="1" applyBorder="1" applyAlignment="1">
      <alignment horizontal="center" vertical="center"/>
    </xf>
    <xf numFmtId="1" fontId="12" fillId="8" borderId="23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1" fontId="12" fillId="8" borderId="168" xfId="0" applyNumberFormat="1" applyFont="1" applyFill="1" applyBorder="1" applyAlignment="1">
      <alignment horizontal="center" vertical="center"/>
    </xf>
    <xf numFmtId="1" fontId="12" fillId="8" borderId="113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2" fontId="12" fillId="8" borderId="10" xfId="0" applyNumberFormat="1" applyFont="1" applyFill="1" applyBorder="1" applyAlignment="1">
      <alignment horizontal="center" vertical="center"/>
    </xf>
    <xf numFmtId="167" fontId="12" fillId="8" borderId="10" xfId="0" applyNumberFormat="1" applyFont="1" applyFill="1" applyBorder="1" applyAlignment="1">
      <alignment horizontal="center" vertical="center"/>
    </xf>
    <xf numFmtId="1" fontId="12" fillId="8" borderId="164" xfId="0" applyNumberFormat="1" applyFont="1" applyFill="1" applyBorder="1" applyAlignment="1">
      <alignment horizontal="center" vertical="center"/>
    </xf>
    <xf numFmtId="1" fontId="27" fillId="8" borderId="149" xfId="0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187" fillId="0" borderId="5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" fontId="187" fillId="8" borderId="41" xfId="0" applyNumberFormat="1" applyFont="1" applyFill="1" applyBorder="1" applyAlignment="1">
      <alignment horizontal="center" vertical="center"/>
    </xf>
    <xf numFmtId="9" fontId="187" fillId="8" borderId="124" xfId="22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0" fillId="8" borderId="0" xfId="0" applyFill="1" applyAlignment="1">
      <alignment horizontal="right"/>
    </xf>
    <xf numFmtId="0" fontId="45" fillId="8" borderId="0" xfId="0" applyFont="1" applyFill="1" applyBorder="1" applyAlignment="1">
      <alignment horizontal="left"/>
    </xf>
    <xf numFmtId="0" fontId="0" fillId="8" borderId="0" xfId="0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2" fontId="0" fillId="8" borderId="0" xfId="0" applyNumberFormat="1" applyFill="1"/>
    <xf numFmtId="1" fontId="14" fillId="0" borderId="174" xfId="0" applyNumberFormat="1" applyFont="1" applyBorder="1" applyAlignment="1">
      <alignment horizontal="center" vertical="center"/>
    </xf>
    <xf numFmtId="1" fontId="27" fillId="7" borderId="53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" fontId="14" fillId="7" borderId="30" xfId="0" applyNumberFormat="1" applyFont="1" applyFill="1" applyBorder="1" applyAlignment="1">
      <alignment horizontal="center" vertical="center"/>
    </xf>
    <xf numFmtId="0" fontId="14" fillId="0" borderId="178" xfId="0" applyFont="1" applyBorder="1" applyAlignment="1">
      <alignment horizontal="center" vertical="center"/>
    </xf>
    <xf numFmtId="0" fontId="14" fillId="0" borderId="178" xfId="0" applyFont="1" applyBorder="1" applyAlignment="1">
      <alignment horizontal="right" vertical="center"/>
    </xf>
    <xf numFmtId="1" fontId="27" fillId="0" borderId="178" xfId="0" applyNumberFormat="1" applyFont="1" applyBorder="1" applyAlignment="1">
      <alignment horizontal="center" vertical="center"/>
    </xf>
    <xf numFmtId="167" fontId="27" fillId="0" borderId="178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48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67" fontId="14" fillId="8" borderId="144" xfId="0" applyNumberFormat="1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42" xfId="0" applyNumberFormat="1" applyFont="1" applyFill="1" applyBorder="1" applyAlignment="1">
      <alignment horizontal="center" vertical="center"/>
    </xf>
    <xf numFmtId="1" fontId="27" fillId="8" borderId="3" xfId="0" applyNumberFormat="1" applyFont="1" applyFill="1" applyBorder="1" applyAlignment="1">
      <alignment horizontal="center" vertical="center"/>
    </xf>
    <xf numFmtId="1" fontId="14" fillId="8" borderId="160" xfId="0" applyNumberFormat="1" applyFont="1" applyFill="1" applyBorder="1" applyAlignment="1">
      <alignment horizontal="center" vertical="center"/>
    </xf>
    <xf numFmtId="1" fontId="27" fillId="8" borderId="148" xfId="0" applyNumberFormat="1" applyFont="1" applyFill="1" applyBorder="1" applyAlignment="1">
      <alignment horizontal="center" vertical="center"/>
    </xf>
    <xf numFmtId="167" fontId="14" fillId="8" borderId="116" xfId="0" applyNumberFormat="1" applyFont="1" applyFill="1" applyBorder="1" applyAlignment="1">
      <alignment horizontal="center" vertical="center"/>
    </xf>
    <xf numFmtId="167" fontId="14" fillId="8" borderId="170" xfId="0" applyNumberFormat="1" applyFont="1" applyFill="1" applyBorder="1" applyAlignment="1">
      <alignment horizontal="center" vertical="center"/>
    </xf>
    <xf numFmtId="167" fontId="14" fillId="8" borderId="162" xfId="0" applyNumberFormat="1" applyFont="1" applyFill="1" applyBorder="1" applyAlignment="1">
      <alignment horizontal="center" vertical="center"/>
    </xf>
    <xf numFmtId="167" fontId="27" fillId="8" borderId="144" xfId="0" applyNumberFormat="1" applyFont="1" applyFill="1" applyBorder="1" applyAlignment="1">
      <alignment horizontal="center" vertical="center"/>
    </xf>
    <xf numFmtId="0" fontId="127" fillId="8" borderId="0" xfId="0" applyFont="1" applyFill="1" applyAlignment="1">
      <alignment horizontal="center" vertical="center"/>
    </xf>
    <xf numFmtId="0" fontId="14" fillId="8" borderId="144" xfId="0" applyFont="1" applyFill="1" applyBorder="1" applyAlignment="1">
      <alignment horizontal="left" vertical="center"/>
    </xf>
    <xf numFmtId="1" fontId="27" fillId="8" borderId="145" xfId="0" applyNumberFormat="1" applyFont="1" applyFill="1" applyBorder="1" applyAlignment="1">
      <alignment horizontal="center" vertical="center"/>
    </xf>
    <xf numFmtId="1" fontId="14" fillId="8" borderId="146" xfId="0" applyNumberFormat="1" applyFont="1" applyFill="1" applyBorder="1" applyAlignment="1">
      <alignment horizontal="center" vertical="center"/>
    </xf>
    <xf numFmtId="0" fontId="0" fillId="0" borderId="0" xfId="0" applyFont="1"/>
    <xf numFmtId="1" fontId="18" fillId="7" borderId="178" xfId="0" applyNumberFormat="1" applyFont="1" applyFill="1" applyBorder="1" applyAlignment="1">
      <alignment horizontal="center" vertical="center"/>
    </xf>
    <xf numFmtId="1" fontId="19" fillId="8" borderId="17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111" xfId="0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1" fillId="50" borderId="178" xfId="0" applyNumberFormat="1" applyFont="1" applyFill="1" applyBorder="1" applyAlignment="1">
      <alignment horizontal="center" vertical="center"/>
    </xf>
    <xf numFmtId="1" fontId="18" fillId="8" borderId="178" xfId="0" applyNumberFormat="1" applyFont="1" applyFill="1" applyBorder="1" applyAlignment="1">
      <alignment horizontal="center" vertical="center"/>
    </xf>
    <xf numFmtId="1" fontId="7" fillId="8" borderId="138" xfId="0" applyNumberFormat="1" applyFont="1" applyFill="1" applyBorder="1" applyAlignment="1">
      <alignment horizontal="center" vertical="center"/>
    </xf>
    <xf numFmtId="1" fontId="7" fillId="50" borderId="138" xfId="0" applyNumberFormat="1" applyFont="1" applyFill="1" applyBorder="1" applyAlignment="1">
      <alignment horizontal="center" vertical="center"/>
    </xf>
    <xf numFmtId="1" fontId="7" fillId="50" borderId="146" xfId="0" applyNumberFormat="1" applyFont="1" applyFill="1" applyBorder="1" applyAlignment="1">
      <alignment horizontal="center" vertical="center"/>
    </xf>
    <xf numFmtId="1" fontId="7" fillId="8" borderId="114" xfId="0" applyNumberFormat="1" applyFont="1" applyFill="1" applyBorder="1" applyAlignment="1">
      <alignment horizontal="center" vertical="center"/>
    </xf>
    <xf numFmtId="1" fontId="19" fillId="6" borderId="146" xfId="0" applyNumberFormat="1" applyFont="1" applyFill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2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1" fillId="8" borderId="178" xfId="0" applyFont="1" applyFill="1" applyBorder="1" applyAlignment="1">
      <alignment horizontal="right" vertical="center"/>
    </xf>
    <xf numFmtId="0" fontId="20" fillId="0" borderId="178" xfId="0" applyFont="1" applyBorder="1" applyAlignment="1">
      <alignment horizontal="right" vertical="center"/>
    </xf>
    <xf numFmtId="0" fontId="21" fillId="7" borderId="10" xfId="0" applyFont="1" applyFill="1" applyBorder="1"/>
    <xf numFmtId="0" fontId="21" fillId="7" borderId="10" xfId="0" applyFont="1" applyFill="1" applyBorder="1" applyAlignment="1">
      <alignment vertical="center"/>
    </xf>
    <xf numFmtId="0" fontId="0" fillId="7" borderId="10" xfId="0" applyFont="1" applyFill="1" applyBorder="1"/>
    <xf numFmtId="0" fontId="29" fillId="7" borderId="10" xfId="0" applyFont="1" applyFill="1" applyBorder="1" applyAlignment="1">
      <alignment horizontal="center"/>
    </xf>
    <xf numFmtId="0" fontId="29" fillId="7" borderId="10" xfId="0" applyFont="1" applyFill="1" applyBorder="1"/>
    <xf numFmtId="0" fontId="29" fillId="7" borderId="45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/>
    </xf>
    <xf numFmtId="0" fontId="0" fillId="7" borderId="45" xfId="0" applyFont="1" applyFill="1" applyBorder="1"/>
    <xf numFmtId="0" fontId="0" fillId="7" borderId="79" xfId="0" applyFont="1" applyFill="1" applyBorder="1"/>
    <xf numFmtId="0" fontId="0" fillId="7" borderId="0" xfId="0" applyFont="1" applyFill="1" applyBorder="1"/>
    <xf numFmtId="0" fontId="0" fillId="7" borderId="178" xfId="0" applyFont="1" applyFill="1" applyBorder="1"/>
    <xf numFmtId="0" fontId="45" fillId="7" borderId="30" xfId="0" applyFont="1" applyFill="1" applyBorder="1"/>
    <xf numFmtId="1" fontId="0" fillId="7" borderId="0" xfId="0" applyNumberFormat="1" applyFont="1" applyFill="1"/>
    <xf numFmtId="0" fontId="29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vertical="center"/>
    </xf>
    <xf numFmtId="0" fontId="0" fillId="5" borderId="10" xfId="0" applyFont="1" applyFill="1" applyBorder="1"/>
    <xf numFmtId="0" fontId="29" fillId="5" borderId="10" xfId="0" applyFont="1" applyFill="1" applyBorder="1" applyAlignment="1">
      <alignment horizontal="center"/>
    </xf>
    <xf numFmtId="0" fontId="21" fillId="5" borderId="10" xfId="0" applyFont="1" applyFill="1" applyBorder="1"/>
    <xf numFmtId="0" fontId="29" fillId="5" borderId="10" xfId="0" applyFont="1" applyFill="1" applyBorder="1"/>
    <xf numFmtId="0" fontId="29" fillId="5" borderId="45" xfId="0" applyFont="1" applyFill="1" applyBorder="1" applyAlignment="1">
      <alignment vertical="center"/>
    </xf>
    <xf numFmtId="1" fontId="0" fillId="5" borderId="0" xfId="0" applyNumberFormat="1" applyFont="1" applyFill="1"/>
    <xf numFmtId="0" fontId="0" fillId="5" borderId="45" xfId="0" applyFont="1" applyFill="1" applyBorder="1"/>
    <xf numFmtId="0" fontId="0" fillId="5" borderId="79" xfId="0" applyFont="1" applyFill="1" applyBorder="1"/>
    <xf numFmtId="0" fontId="0" fillId="5" borderId="0" xfId="0" applyFont="1" applyFill="1" applyBorder="1"/>
    <xf numFmtId="0" fontId="0" fillId="5" borderId="178" xfId="0" applyFont="1" applyFill="1" applyBorder="1"/>
    <xf numFmtId="0" fontId="21" fillId="6" borderId="10" xfId="0" applyFont="1" applyFill="1" applyBorder="1" applyAlignment="1">
      <alignment vertical="center"/>
    </xf>
    <xf numFmtId="0" fontId="0" fillId="6" borderId="10" xfId="0" applyFont="1" applyFill="1" applyBorder="1"/>
    <xf numFmtId="0" fontId="29" fillId="6" borderId="10" xfId="0" applyFont="1" applyFill="1" applyBorder="1" applyAlignment="1">
      <alignment horizontal="center"/>
    </xf>
    <xf numFmtId="1" fontId="20" fillId="6" borderId="178" xfId="0" applyNumberFormat="1" applyFont="1" applyFill="1" applyBorder="1" applyAlignment="1">
      <alignment horizontal="center" vertical="center"/>
    </xf>
    <xf numFmtId="0" fontId="21" fillId="6" borderId="10" xfId="0" applyFont="1" applyFill="1" applyBorder="1"/>
    <xf numFmtId="167" fontId="21" fillId="6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29" fillId="6" borderId="10" xfId="0" applyFont="1" applyFill="1" applyBorder="1"/>
    <xf numFmtId="0" fontId="29" fillId="6" borderId="45" xfId="0" applyFont="1" applyFill="1" applyBorder="1" applyAlignment="1">
      <alignment vertical="center"/>
    </xf>
    <xf numFmtId="0" fontId="29" fillId="6" borderId="41" xfId="0" applyFont="1" applyFill="1" applyBorder="1" applyAlignment="1">
      <alignment vertical="center"/>
    </xf>
    <xf numFmtId="0" fontId="29" fillId="6" borderId="30" xfId="0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vertical="center"/>
    </xf>
    <xf numFmtId="1" fontId="20" fillId="6" borderId="23" xfId="0" applyNumberFormat="1" applyFont="1" applyFill="1" applyBorder="1" applyAlignment="1">
      <alignment vertical="center"/>
    </xf>
    <xf numFmtId="1" fontId="20" fillId="6" borderId="30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vertical="center"/>
    </xf>
    <xf numFmtId="1" fontId="20" fillId="6" borderId="45" xfId="0" applyNumberFormat="1" applyFont="1" applyFill="1" applyBorder="1" applyAlignment="1">
      <alignment vertical="center"/>
    </xf>
    <xf numFmtId="1" fontId="20" fillId="6" borderId="130" xfId="0" applyNumberFormat="1" applyFont="1" applyFill="1" applyBorder="1" applyAlignment="1">
      <alignment vertical="center"/>
    </xf>
    <xf numFmtId="0" fontId="20" fillId="6" borderId="23" xfId="0" applyFont="1" applyFill="1" applyBorder="1" applyAlignment="1">
      <alignment horizontal="center" vertical="center"/>
    </xf>
    <xf numFmtId="1" fontId="20" fillId="6" borderId="124" xfId="0" applyNumberFormat="1" applyFont="1" applyFill="1" applyBorder="1" applyAlignment="1">
      <alignment vertical="center"/>
    </xf>
    <xf numFmtId="1" fontId="20" fillId="6" borderId="178" xfId="0" applyNumberFormat="1" applyFont="1" applyFill="1" applyBorder="1" applyAlignment="1">
      <alignment vertical="center"/>
    </xf>
    <xf numFmtId="1" fontId="0" fillId="6" borderId="0" xfId="0" applyNumberFormat="1" applyFont="1" applyFill="1"/>
    <xf numFmtId="1" fontId="48" fillId="6" borderId="10" xfId="0" applyNumberFormat="1" applyFont="1" applyFill="1" applyBorder="1" applyAlignment="1">
      <alignment vertical="center"/>
    </xf>
    <xf numFmtId="1" fontId="48" fillId="6" borderId="178" xfId="0" applyNumberFormat="1" applyFont="1" applyFill="1" applyBorder="1" applyAlignment="1">
      <alignment vertical="center"/>
    </xf>
    <xf numFmtId="1" fontId="48" fillId="6" borderId="111" xfId="0" applyNumberFormat="1" applyFont="1" applyFill="1" applyBorder="1" applyAlignment="1">
      <alignment vertical="center"/>
    </xf>
    <xf numFmtId="1" fontId="48" fillId="6" borderId="124" xfId="0" applyNumberFormat="1" applyFont="1" applyFill="1" applyBorder="1" applyAlignment="1">
      <alignment vertical="center"/>
    </xf>
    <xf numFmtId="0" fontId="45" fillId="6" borderId="10" xfId="0" applyFont="1" applyFill="1" applyBorder="1"/>
    <xf numFmtId="1" fontId="45" fillId="6" borderId="10" xfId="0" applyNumberFormat="1" applyFont="1" applyFill="1" applyBorder="1" applyAlignment="1">
      <alignment vertical="center"/>
    </xf>
    <xf numFmtId="1" fontId="45" fillId="6" borderId="138" xfId="0" applyNumberFormat="1" applyFont="1" applyFill="1" applyBorder="1" applyAlignment="1">
      <alignment vertical="center"/>
    </xf>
    <xf numFmtId="1" fontId="45" fillId="6" borderId="46" xfId="0" applyNumberFormat="1" applyFont="1" applyFill="1" applyBorder="1" applyAlignment="1">
      <alignment vertical="center"/>
    </xf>
    <xf numFmtId="1" fontId="45" fillId="6" borderId="5" xfId="0" applyNumberFormat="1" applyFont="1" applyFill="1" applyBorder="1" applyAlignment="1">
      <alignment vertical="center"/>
    </xf>
    <xf numFmtId="1" fontId="45" fillId="6" borderId="30" xfId="0" applyNumberFormat="1" applyFont="1" applyFill="1" applyBorder="1" applyAlignment="1">
      <alignment vertical="center"/>
    </xf>
    <xf numFmtId="1" fontId="45" fillId="6" borderId="133" xfId="0" applyNumberFormat="1" applyFont="1" applyFill="1" applyBorder="1" applyAlignment="1">
      <alignment vertical="center"/>
    </xf>
    <xf numFmtId="1" fontId="45" fillId="6" borderId="23" xfId="0" applyNumberFormat="1" applyFont="1" applyFill="1" applyBorder="1" applyAlignment="1">
      <alignment vertical="center"/>
    </xf>
    <xf numFmtId="1" fontId="45" fillId="6" borderId="164" xfId="0" applyNumberFormat="1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vertical="center"/>
    </xf>
    <xf numFmtId="1" fontId="45" fillId="6" borderId="177" xfId="0" applyNumberFormat="1" applyFont="1" applyFill="1" applyBorder="1" applyAlignment="1">
      <alignment vertical="center"/>
    </xf>
    <xf numFmtId="1" fontId="45" fillId="6" borderId="147" xfId="0" applyNumberFormat="1" applyFont="1" applyFill="1" applyBorder="1" applyAlignment="1">
      <alignment vertical="center"/>
    </xf>
    <xf numFmtId="0" fontId="48" fillId="6" borderId="10" xfId="0" applyFont="1" applyFill="1" applyBorder="1" applyAlignment="1">
      <alignment vertical="center"/>
    </xf>
    <xf numFmtId="1" fontId="21" fillId="6" borderId="130" xfId="0" applyNumberFormat="1" applyFont="1" applyFill="1" applyBorder="1" applyAlignment="1">
      <alignment vertical="center"/>
    </xf>
    <xf numFmtId="0" fontId="0" fillId="6" borderId="45" xfId="0" applyFont="1" applyFill="1" applyBorder="1"/>
    <xf numFmtId="0" fontId="0" fillId="6" borderId="79" xfId="0" applyFont="1" applyFill="1" applyBorder="1"/>
    <xf numFmtId="0" fontId="0" fillId="6" borderId="0" xfId="0" applyFont="1" applyFill="1" applyBorder="1"/>
    <xf numFmtId="1" fontId="20" fillId="6" borderId="0" xfId="0" applyNumberFormat="1" applyFont="1" applyFill="1" applyBorder="1" applyAlignment="1">
      <alignment horizontal="center" vertical="center"/>
    </xf>
    <xf numFmtId="0" fontId="0" fillId="6" borderId="178" xfId="0" applyFont="1" applyFill="1" applyBorder="1"/>
    <xf numFmtId="0" fontId="29" fillId="6" borderId="177" xfId="0" applyFont="1" applyFill="1" applyBorder="1" applyAlignment="1">
      <alignment vertical="center"/>
    </xf>
    <xf numFmtId="0" fontId="148" fillId="6" borderId="10" xfId="0" applyFont="1" applyFill="1" applyBorder="1" applyAlignment="1">
      <alignment vertical="center"/>
    </xf>
    <xf numFmtId="0" fontId="20" fillId="6" borderId="10" xfId="0" applyFont="1" applyFill="1" applyBorder="1" applyAlignment="1">
      <alignment vertical="center"/>
    </xf>
    <xf numFmtId="0" fontId="45" fillId="6" borderId="30" xfId="0" applyFont="1" applyFill="1" applyBorder="1"/>
    <xf numFmtId="1" fontId="45" fillId="6" borderId="10" xfId="0" applyNumberFormat="1" applyFont="1" applyFill="1" applyBorder="1"/>
    <xf numFmtId="1" fontId="20" fillId="6" borderId="119" xfId="0" applyNumberFormat="1" applyFont="1" applyFill="1" applyBorder="1" applyAlignment="1">
      <alignment vertical="center"/>
    </xf>
    <xf numFmtId="0" fontId="0" fillId="6" borderId="82" xfId="0" applyFont="1" applyFill="1" applyBorder="1"/>
    <xf numFmtId="0" fontId="0" fillId="6" borderId="17" xfId="0" applyFont="1" applyFill="1" applyBorder="1"/>
    <xf numFmtId="0" fontId="4" fillId="8" borderId="138" xfId="0" applyFont="1" applyFill="1" applyBorder="1" applyAlignment="1">
      <alignment horizontal="center" vertical="center"/>
    </xf>
    <xf numFmtId="0" fontId="8" fillId="8" borderId="62" xfId="0" applyFont="1" applyFill="1" applyBorder="1" applyAlignment="1">
      <alignment horizontal="left" vertical="center"/>
    </xf>
    <xf numFmtId="0" fontId="18" fillId="8" borderId="62" xfId="0" applyFont="1" applyFill="1" applyBorder="1" applyAlignment="1">
      <alignment horizontal="right" vertical="center"/>
    </xf>
    <xf numFmtId="2" fontId="17" fillId="0" borderId="0" xfId="0" applyNumberFormat="1" applyFont="1"/>
    <xf numFmtId="1" fontId="17" fillId="0" borderId="0" xfId="0" applyNumberFormat="1" applyFont="1"/>
    <xf numFmtId="0" fontId="48" fillId="8" borderId="0" xfId="0" applyFont="1" applyFill="1"/>
    <xf numFmtId="1" fontId="48" fillId="0" borderId="0" xfId="0" applyNumberFormat="1" applyFont="1"/>
    <xf numFmtId="0" fontId="148" fillId="8" borderId="10" xfId="0" applyFont="1" applyFill="1" applyBorder="1" applyAlignment="1">
      <alignment vertical="center"/>
    </xf>
    <xf numFmtId="0" fontId="20" fillId="8" borderId="178" xfId="0" applyFont="1" applyFill="1" applyBorder="1" applyAlignment="1">
      <alignment horizontal="center" vertical="center"/>
    </xf>
    <xf numFmtId="0" fontId="148" fillId="8" borderId="45" xfId="0" applyFont="1" applyFill="1" applyBorder="1" applyAlignment="1">
      <alignment vertical="center"/>
    </xf>
    <xf numFmtId="2" fontId="21" fillId="8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14" fillId="8" borderId="160" xfId="0" applyFont="1" applyFill="1" applyBorder="1" applyAlignment="1">
      <alignment horizontal="right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19" fillId="7" borderId="124" xfId="0" applyNumberFormat="1" applyFont="1" applyFill="1" applyBorder="1" applyAlignment="1">
      <alignment horizontal="center" vertical="center"/>
    </xf>
    <xf numFmtId="1" fontId="19" fillId="6" borderId="124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2" fontId="19" fillId="8" borderId="31" xfId="0" applyNumberFormat="1" applyFont="1" applyFill="1" applyBorder="1" applyAlignment="1">
      <alignment horizontal="center" vertical="center"/>
    </xf>
    <xf numFmtId="2" fontId="19" fillId="8" borderId="124" xfId="0" applyNumberFormat="1" applyFont="1" applyFill="1" applyBorder="1" applyAlignment="1">
      <alignment horizontal="center" vertical="center"/>
    </xf>
    <xf numFmtId="169" fontId="19" fillId="8" borderId="31" xfId="0" applyNumberFormat="1" applyFont="1" applyFill="1" applyBorder="1" applyAlignment="1">
      <alignment horizontal="center" vertical="center"/>
    </xf>
    <xf numFmtId="169" fontId="19" fillId="8" borderId="124" xfId="0" applyNumberFormat="1" applyFont="1" applyFill="1" applyBorder="1" applyAlignment="1">
      <alignment horizontal="center" vertical="center"/>
    </xf>
    <xf numFmtId="1" fontId="19" fillId="8" borderId="143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/>
    </xf>
    <xf numFmtId="0" fontId="54" fillId="7" borderId="0" xfId="0" applyFont="1" applyFill="1"/>
    <xf numFmtId="0" fontId="112" fillId="8" borderId="164" xfId="0" applyFont="1" applyFill="1" applyBorder="1" applyAlignment="1">
      <alignment horizontal="right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24" xfId="22" applyFont="1" applyFill="1" applyBorder="1" applyAlignment="1">
      <alignment horizontal="center" vertical="center"/>
    </xf>
    <xf numFmtId="9" fontId="19" fillId="8" borderId="124" xfId="0" applyNumberFormat="1" applyFont="1" applyFill="1" applyBorder="1" applyAlignment="1">
      <alignment horizontal="center" vertical="center"/>
    </xf>
    <xf numFmtId="9" fontId="19" fillId="8" borderId="17" xfId="22" applyFont="1" applyFill="1" applyBorder="1" applyAlignment="1">
      <alignment horizontal="center" vertical="center"/>
    </xf>
    <xf numFmtId="9" fontId="19" fillId="8" borderId="111" xfId="22" applyFont="1" applyFill="1" applyBorder="1" applyAlignment="1">
      <alignment horizontal="center" vertical="center"/>
    </xf>
    <xf numFmtId="164" fontId="20" fillId="0" borderId="174" xfId="0" quotePrefix="1" applyNumberFormat="1" applyFont="1" applyBorder="1" applyAlignment="1">
      <alignment horizontal="left" vertical="center"/>
    </xf>
    <xf numFmtId="0" fontId="20" fillId="0" borderId="175" xfId="0" applyFont="1" applyBorder="1" applyAlignment="1">
      <alignment horizontal="center" vertical="center"/>
    </xf>
    <xf numFmtId="0" fontId="32" fillId="8" borderId="174" xfId="0" applyFont="1" applyFill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" fontId="12" fillId="8" borderId="174" xfId="0" applyNumberFormat="1" applyFont="1" applyFill="1" applyBorder="1" applyAlignment="1">
      <alignment horizontal="center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32" fillId="8" borderId="178" xfId="0" applyFont="1" applyFill="1" applyBorder="1" applyAlignment="1">
      <alignment horizontal="center" vertical="center"/>
    </xf>
    <xf numFmtId="1" fontId="18" fillId="6" borderId="178" xfId="0" applyNumberFormat="1" applyFont="1" applyFill="1" applyBorder="1" applyAlignment="1">
      <alignment horizontal="center" vertical="center"/>
    </xf>
    <xf numFmtId="1" fontId="12" fillId="8" borderId="178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13" fillId="8" borderId="178" xfId="0" applyFont="1" applyFill="1" applyBorder="1" applyAlignment="1">
      <alignment horizontal="left" vertical="center"/>
    </xf>
    <xf numFmtId="0" fontId="18" fillId="8" borderId="178" xfId="0" applyFont="1" applyFill="1" applyBorder="1" applyAlignment="1">
      <alignment horizontal="center" vertical="center"/>
    </xf>
    <xf numFmtId="0" fontId="112" fillId="8" borderId="178" xfId="0" applyFont="1" applyFill="1" applyBorder="1"/>
    <xf numFmtId="1" fontId="112" fillId="8" borderId="178" xfId="0" applyNumberFormat="1" applyFont="1" applyFill="1" applyBorder="1" applyAlignment="1">
      <alignment horizontal="center" vertical="center"/>
    </xf>
    <xf numFmtId="0" fontId="112" fillId="5" borderId="178" xfId="0" applyFont="1" applyFill="1" applyBorder="1" applyAlignment="1">
      <alignment horizontal="center"/>
    </xf>
    <xf numFmtId="1" fontId="19" fillId="7" borderId="178" xfId="0" applyNumberFormat="1" applyFont="1" applyFill="1" applyBorder="1" applyAlignment="1">
      <alignment horizontal="center"/>
    </xf>
    <xf numFmtId="1" fontId="19" fillId="6" borderId="178" xfId="0" applyNumberFormat="1" applyFont="1" applyFill="1" applyBorder="1" applyAlignment="1">
      <alignment horizontal="center"/>
    </xf>
    <xf numFmtId="1" fontId="19" fillId="8" borderId="178" xfId="0" applyNumberFormat="1" applyFont="1" applyFill="1" applyBorder="1" applyAlignment="1">
      <alignment horizontal="center"/>
    </xf>
    <xf numFmtId="0" fontId="112" fillId="7" borderId="178" xfId="0" applyFont="1" applyFill="1" applyBorder="1"/>
    <xf numFmtId="0" fontId="201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1" fillId="0" borderId="148" xfId="0" applyFont="1" applyBorder="1" applyAlignment="1">
      <alignment horizontal="left" vertical="center"/>
    </xf>
    <xf numFmtId="17" fontId="201" fillId="0" borderId="178" xfId="0" applyNumberFormat="1" applyFont="1" applyBorder="1" applyAlignment="1">
      <alignment horizontal="center" vertical="center" wrapText="1"/>
    </xf>
    <xf numFmtId="0" fontId="201" fillId="82" borderId="148" xfId="0" applyFont="1" applyFill="1" applyBorder="1" applyAlignment="1">
      <alignment horizontal="left" vertical="center"/>
    </xf>
    <xf numFmtId="0" fontId="71" fillId="82" borderId="178" xfId="0" applyFont="1" applyFill="1" applyBorder="1" applyAlignment="1">
      <alignment horizontal="center" vertical="center"/>
    </xf>
    <xf numFmtId="0" fontId="71" fillId="8" borderId="178" xfId="0" applyFont="1" applyFill="1" applyBorder="1" applyAlignment="1">
      <alignment horizontal="center" vertical="center"/>
    </xf>
    <xf numFmtId="0" fontId="71" fillId="34" borderId="148" xfId="0" applyFont="1" applyFill="1" applyBorder="1" applyAlignment="1">
      <alignment horizontal="left" vertical="center"/>
    </xf>
    <xf numFmtId="0" fontId="71" fillId="34" borderId="178" xfId="0" applyFont="1" applyFill="1" applyBorder="1" applyAlignment="1">
      <alignment horizontal="center" vertical="center"/>
    </xf>
    <xf numFmtId="1" fontId="71" fillId="8" borderId="178" xfId="0" applyNumberFormat="1" applyFont="1" applyFill="1" applyBorder="1" applyAlignment="1">
      <alignment horizontal="center" vertical="center"/>
    </xf>
    <xf numFmtId="1" fontId="71" fillId="34" borderId="178" xfId="0" applyNumberFormat="1" applyFont="1" applyFill="1" applyBorder="1" applyAlignment="1">
      <alignment horizontal="center" vertical="center"/>
    </xf>
    <xf numFmtId="0" fontId="71" fillId="0" borderId="178" xfId="0" applyFont="1" applyBorder="1" applyAlignment="1">
      <alignment horizontal="center" vertical="center"/>
    </xf>
    <xf numFmtId="0" fontId="71" fillId="0" borderId="148" xfId="0" applyFont="1" applyBorder="1" applyAlignment="1">
      <alignment horizontal="left" vertical="center" wrapText="1"/>
    </xf>
    <xf numFmtId="1" fontId="71" fillId="0" borderId="178" xfId="0" applyNumberFormat="1" applyFont="1" applyBorder="1" applyAlignment="1">
      <alignment horizontal="center" vertical="center"/>
    </xf>
    <xf numFmtId="167" fontId="71" fillId="0" borderId="178" xfId="0" applyNumberFormat="1" applyFont="1" applyBorder="1" applyAlignment="1">
      <alignment horizontal="center" vertical="center"/>
    </xf>
    <xf numFmtId="0" fontId="71" fillId="34" borderId="148" xfId="0" applyFont="1" applyFill="1" applyBorder="1" applyAlignment="1">
      <alignment horizontal="left" vertical="center" wrapText="1"/>
    </xf>
    <xf numFmtId="0" fontId="71" fillId="8" borderId="148" xfId="0" applyFont="1" applyFill="1" applyBorder="1" applyAlignment="1">
      <alignment horizontal="left" vertical="center" wrapText="1"/>
    </xf>
    <xf numFmtId="1" fontId="202" fillId="34" borderId="178" xfId="0" applyNumberFormat="1" applyFont="1" applyFill="1" applyBorder="1" applyAlignment="1">
      <alignment horizontal="center" vertical="center"/>
    </xf>
    <xf numFmtId="0" fontId="201" fillId="34" borderId="148" xfId="0" applyFont="1" applyFill="1" applyBorder="1" applyAlignment="1">
      <alignment horizontal="left" vertical="center"/>
    </xf>
    <xf numFmtId="169" fontId="203" fillId="34" borderId="17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4" fillId="0" borderId="0" xfId="0" applyFont="1" applyAlignment="1">
      <alignment horizontal="center" vertical="center"/>
    </xf>
    <xf numFmtId="1" fontId="204" fillId="0" borderId="0" xfId="0" applyNumberFormat="1" applyFont="1" applyAlignment="1">
      <alignment horizontal="center" vertical="center"/>
    </xf>
    <xf numFmtId="0" fontId="196" fillId="84" borderId="180" xfId="536" applyFont="1" applyFill="1" applyBorder="1" applyAlignment="1">
      <alignment horizontal="center"/>
    </xf>
    <xf numFmtId="1" fontId="81" fillId="0" borderId="181" xfId="536" applyNumberFormat="1" applyFont="1" applyBorder="1" applyAlignment="1">
      <alignment horizontal="center"/>
    </xf>
    <xf numFmtId="1" fontId="81" fillId="0" borderId="182" xfId="536" applyNumberFormat="1" applyFont="1" applyBorder="1" applyAlignment="1">
      <alignment horizontal="center"/>
    </xf>
    <xf numFmtId="1" fontId="81" fillId="0" borderId="182" xfId="536" applyNumberFormat="1" applyFont="1" applyFill="1" applyBorder="1" applyAlignment="1">
      <alignment horizontal="center"/>
    </xf>
    <xf numFmtId="1" fontId="81" fillId="0" borderId="183" xfId="536" applyNumberFormat="1" applyFont="1" applyFill="1" applyBorder="1" applyAlignment="1">
      <alignment horizontal="center"/>
    </xf>
    <xf numFmtId="0" fontId="196" fillId="84" borderId="184" xfId="536" applyFont="1" applyFill="1" applyBorder="1" applyAlignment="1">
      <alignment horizontal="center"/>
    </xf>
    <xf numFmtId="1" fontId="81" fillId="0" borderId="185" xfId="536" applyNumberFormat="1" applyFont="1" applyBorder="1" applyAlignment="1">
      <alignment horizontal="center"/>
    </xf>
    <xf numFmtId="1" fontId="81" fillId="0" borderId="118" xfId="536" applyNumberFormat="1" applyFont="1" applyBorder="1" applyAlignment="1">
      <alignment horizontal="center"/>
    </xf>
    <xf numFmtId="1" fontId="81" fillId="0" borderId="118" xfId="536" applyNumberFormat="1" applyFont="1" applyFill="1" applyBorder="1" applyAlignment="1">
      <alignment horizontal="center"/>
    </xf>
    <xf numFmtId="1" fontId="81" fillId="0" borderId="186" xfId="536" applyNumberFormat="1" applyFont="1" applyFill="1" applyBorder="1" applyAlignment="1">
      <alignment horizontal="center"/>
    </xf>
    <xf numFmtId="0" fontId="10" fillId="0" borderId="0" xfId="536" applyFont="1" applyBorder="1" applyAlignment="1">
      <alignment horizontal="center"/>
    </xf>
    <xf numFmtId="0" fontId="196" fillId="84" borderId="187" xfId="536" applyFont="1" applyFill="1" applyBorder="1" applyAlignment="1">
      <alignment horizontal="center"/>
    </xf>
    <xf numFmtId="1" fontId="81" fillId="0" borderId="188" xfId="536" applyNumberFormat="1" applyFont="1" applyBorder="1" applyAlignment="1">
      <alignment horizontal="center"/>
    </xf>
    <xf numFmtId="1" fontId="81" fillId="0" borderId="189" xfId="536" applyNumberFormat="1" applyFont="1" applyBorder="1" applyAlignment="1">
      <alignment horizontal="center"/>
    </xf>
    <xf numFmtId="1" fontId="81" fillId="0" borderId="189" xfId="536" applyNumberFormat="1" applyFont="1" applyFill="1" applyBorder="1" applyAlignment="1">
      <alignment horizontal="center"/>
    </xf>
    <xf numFmtId="1" fontId="81" fillId="0" borderId="190" xfId="536" applyNumberFormat="1" applyFont="1" applyFill="1" applyBorder="1" applyAlignment="1">
      <alignment horizontal="center"/>
    </xf>
    <xf numFmtId="0" fontId="196" fillId="0" borderId="191" xfId="536" applyFont="1" applyBorder="1" applyAlignment="1">
      <alignment horizontal="center"/>
    </xf>
    <xf numFmtId="1" fontId="196" fillId="0" borderId="192" xfId="536" applyNumberFormat="1" applyFont="1" applyBorder="1" applyAlignment="1">
      <alignment horizontal="center"/>
    </xf>
    <xf numFmtId="1" fontId="196" fillId="0" borderId="192" xfId="536" applyNumberFormat="1" applyFont="1" applyFill="1" applyBorder="1" applyAlignment="1">
      <alignment horizontal="center"/>
    </xf>
    <xf numFmtId="1" fontId="196" fillId="0" borderId="193" xfId="536" applyNumberFormat="1" applyFont="1" applyFill="1" applyBorder="1" applyAlignment="1">
      <alignment horizontal="center"/>
    </xf>
    <xf numFmtId="1" fontId="196" fillId="0" borderId="191" xfId="536" applyNumberFormat="1" applyFont="1" applyFill="1" applyBorder="1" applyAlignment="1">
      <alignment horizontal="center"/>
    </xf>
    <xf numFmtId="17" fontId="196" fillId="0" borderId="194" xfId="536" applyNumberFormat="1" applyFont="1" applyBorder="1" applyAlignment="1">
      <alignment horizontal="center" vertical="center"/>
    </xf>
    <xf numFmtId="17" fontId="207" fillId="83" borderId="195" xfId="536" applyNumberFormat="1" applyFont="1" applyFill="1" applyBorder="1" applyAlignment="1">
      <alignment horizontal="center" vertical="center"/>
    </xf>
    <xf numFmtId="0" fontId="207" fillId="83" borderId="196" xfId="536" applyFont="1" applyFill="1" applyBorder="1" applyAlignment="1">
      <alignment horizontal="center" vertical="center" wrapText="1"/>
    </xf>
    <xf numFmtId="1" fontId="196" fillId="0" borderId="197" xfId="536" applyNumberFormat="1" applyFont="1" applyBorder="1" applyAlignment="1">
      <alignment horizontal="center"/>
    </xf>
    <xf numFmtId="1" fontId="196" fillId="0" borderId="198" xfId="536" applyNumberFormat="1" applyFont="1" applyBorder="1" applyAlignment="1">
      <alignment horizontal="center"/>
    </xf>
    <xf numFmtId="1" fontId="196" fillId="0" borderId="199" xfId="536" applyNumberFormat="1" applyFont="1" applyBorder="1" applyAlignment="1">
      <alignment horizontal="center"/>
    </xf>
    <xf numFmtId="1" fontId="196" fillId="0" borderId="200" xfId="536" applyNumberFormat="1" applyFont="1" applyBorder="1" applyAlignment="1">
      <alignment horizont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67" fontId="20" fillId="5" borderId="79" xfId="0" applyNumberFormat="1" applyFont="1" applyFill="1" applyBorder="1" applyAlignment="1">
      <alignment horizontal="center" vertical="center"/>
    </xf>
    <xf numFmtId="167" fontId="20" fillId="6" borderId="79" xfId="0" applyNumberFormat="1" applyFont="1" applyFill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18" fillId="0" borderId="41" xfId="0" applyNumberFormat="1" applyFont="1" applyBorder="1" applyAlignment="1">
      <alignment horizontal="center" vertical="center"/>
    </xf>
    <xf numFmtId="1" fontId="18" fillId="0" borderId="30" xfId="0" applyNumberFormat="1" applyFont="1" applyBorder="1" applyAlignment="1">
      <alignment horizontal="center" vertical="center"/>
    </xf>
    <xf numFmtId="0" fontId="20" fillId="0" borderId="167" xfId="0" applyFont="1" applyBorder="1" applyAlignment="1">
      <alignment horizontal="right" vertical="center" indent="2"/>
    </xf>
    <xf numFmtId="1" fontId="20" fillId="8" borderId="173" xfId="0" applyNumberFormat="1" applyFont="1" applyFill="1" applyBorder="1" applyAlignment="1">
      <alignment horizontal="center" vertical="center"/>
    </xf>
    <xf numFmtId="1" fontId="20" fillId="0" borderId="174" xfId="0" applyNumberFormat="1" applyFont="1" applyBorder="1" applyAlignment="1">
      <alignment horizontal="center" vertical="center"/>
    </xf>
    <xf numFmtId="1" fontId="20" fillId="6" borderId="146" xfId="0" applyNumberFormat="1" applyFont="1" applyFill="1" applyBorder="1" applyAlignment="1">
      <alignment horizontal="center" vertical="center"/>
    </xf>
    <xf numFmtId="1" fontId="20" fillId="0" borderId="153" xfId="0" applyNumberFormat="1" applyFont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 applyAlignment="1">
      <alignment horizontal="center" vertical="center"/>
    </xf>
    <xf numFmtId="0" fontId="20" fillId="0" borderId="159" xfId="0" applyFont="1" applyBorder="1" applyAlignment="1">
      <alignment horizontal="center"/>
    </xf>
    <xf numFmtId="1" fontId="20" fillId="0" borderId="35" xfId="0" applyNumberFormat="1" applyFont="1" applyBorder="1" applyAlignment="1">
      <alignment horizontal="center" vertical="center"/>
    </xf>
    <xf numFmtId="1" fontId="20" fillId="0" borderId="125" xfId="0" applyNumberFormat="1" applyFont="1" applyBorder="1" applyAlignment="1">
      <alignment horizontal="center" vertical="center"/>
    </xf>
    <xf numFmtId="0" fontId="20" fillId="0" borderId="167" xfId="0" applyFont="1" applyBorder="1" applyAlignment="1">
      <alignment horizontal="right" vertical="center" indent="1"/>
    </xf>
    <xf numFmtId="1" fontId="20" fillId="8" borderId="111" xfId="0" applyNumberFormat="1" applyFont="1" applyFill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167" fontId="20" fillId="0" borderId="84" xfId="0" applyNumberFormat="1" applyFont="1" applyBorder="1" applyAlignment="1">
      <alignment horizontal="center" vertical="center"/>
    </xf>
    <xf numFmtId="0" fontId="18" fillId="8" borderId="25" xfId="0" applyFont="1" applyFill="1" applyBorder="1" applyAlignment="1">
      <alignment horizontal="center"/>
    </xf>
    <xf numFmtId="1" fontId="18" fillId="8" borderId="135" xfId="0" applyNumberFormat="1" applyFont="1" applyFill="1" applyBorder="1" applyAlignment="1">
      <alignment horizontal="center" vertical="center"/>
    </xf>
    <xf numFmtId="1" fontId="12" fillId="0" borderId="135" xfId="0" applyNumberFormat="1" applyFont="1" applyBorder="1" applyAlignment="1">
      <alignment horizontal="center" vertical="center"/>
    </xf>
    <xf numFmtId="0" fontId="0" fillId="0" borderId="135" xfId="0" applyBorder="1" applyAlignment="1">
      <alignment horizontal="center"/>
    </xf>
    <xf numFmtId="1" fontId="20" fillId="8" borderId="111" xfId="0" applyNumberFormat="1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right" vertical="center"/>
    </xf>
    <xf numFmtId="0" fontId="12" fillId="8" borderId="111" xfId="0" applyFont="1" applyFill="1" applyBorder="1" applyAlignment="1">
      <alignment horizontal="right" vertical="center"/>
    </xf>
    <xf numFmtId="0" fontId="12" fillId="8" borderId="163" xfId="0" applyFont="1" applyFill="1" applyBorder="1" applyAlignment="1">
      <alignment horizontal="right" vertical="center"/>
    </xf>
    <xf numFmtId="0" fontId="12" fillId="8" borderId="178" xfId="0" applyFont="1" applyFill="1" applyBorder="1" applyAlignment="1">
      <alignment horizontal="right" vertical="center"/>
    </xf>
    <xf numFmtId="1" fontId="12" fillId="8" borderId="135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67" fontId="21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1" fontId="112" fillId="5" borderId="178" xfId="0" applyNumberFormat="1" applyFont="1" applyFill="1" applyBorder="1" applyAlignment="1">
      <alignment horizontal="center" vertical="center"/>
    </xf>
    <xf numFmtId="1" fontId="20" fillId="0" borderId="160" xfId="0" applyNumberFormat="1" applyFont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44" borderId="17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9" fillId="0" borderId="178" xfId="0" applyNumberFormat="1" applyFont="1" applyBorder="1" applyAlignment="1">
      <alignment horizontal="center" vertical="center"/>
    </xf>
    <xf numFmtId="1" fontId="19" fillId="50" borderId="178" xfId="0" applyNumberFormat="1" applyFont="1" applyFill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4" fontId="20" fillId="8" borderId="76" xfId="0" quotePrefix="1" applyNumberFormat="1" applyFont="1" applyFill="1" applyBorder="1" applyAlignment="1">
      <alignment horizontal="left" vertical="center"/>
    </xf>
    <xf numFmtId="0" fontId="20" fillId="0" borderId="79" xfId="0" applyFont="1" applyBorder="1" applyAlignment="1">
      <alignment horizontal="left" vertical="center"/>
    </xf>
    <xf numFmtId="0" fontId="20" fillId="0" borderId="82" xfId="0" applyFont="1" applyBorder="1" applyAlignment="1">
      <alignment horizontal="left" vertical="center"/>
    </xf>
    <xf numFmtId="164" fontId="20" fillId="8" borderId="178" xfId="0" quotePrefix="1" applyNumberFormat="1" applyFont="1" applyFill="1" applyBorder="1" applyAlignment="1">
      <alignment horizontal="left" vertical="center"/>
    </xf>
    <xf numFmtId="1" fontId="0" fillId="0" borderId="178" xfId="0" applyNumberFormat="1" applyFont="1" applyBorder="1" applyAlignment="1">
      <alignment horizontal="center"/>
    </xf>
    <xf numFmtId="1" fontId="19" fillId="8" borderId="178" xfId="186" applyNumberFormat="1" applyFont="1" applyFill="1" applyBorder="1" applyAlignment="1">
      <alignment horizontal="center" vertical="top"/>
    </xf>
    <xf numFmtId="1" fontId="19" fillId="5" borderId="178" xfId="186" applyNumberFormat="1" applyFont="1" applyFill="1" applyBorder="1" applyAlignment="1">
      <alignment horizontal="center" vertical="top"/>
    </xf>
    <xf numFmtId="1" fontId="19" fillId="7" borderId="178" xfId="186" applyNumberFormat="1" applyFont="1" applyFill="1" applyBorder="1" applyAlignment="1">
      <alignment horizontal="center" vertical="top"/>
    </xf>
    <xf numFmtId="1" fontId="19" fillId="54" borderId="178" xfId="186" applyNumberFormat="1" applyFont="1" applyFill="1" applyBorder="1" applyAlignment="1">
      <alignment horizontal="center" vertical="top"/>
    </xf>
    <xf numFmtId="1" fontId="18" fillId="7" borderId="178" xfId="186" applyNumberFormat="1" applyFont="1" applyFill="1" applyBorder="1" applyAlignment="1">
      <alignment horizontal="center" vertical="top"/>
    </xf>
    <xf numFmtId="1" fontId="20" fillId="8" borderId="31" xfId="0" applyNumberFormat="1" applyFont="1" applyFill="1" applyBorder="1" applyAlignment="1">
      <alignment horizontal="center" vertical="center"/>
    </xf>
    <xf numFmtId="1" fontId="112" fillId="8" borderId="17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8" fillId="8" borderId="63" xfId="0" quotePrefix="1" applyNumberFormat="1" applyFont="1" applyFill="1" applyBorder="1" applyAlignment="1">
      <alignment horizontal="center" vertical="center"/>
    </xf>
    <xf numFmtId="0" fontId="19" fillId="0" borderId="143" xfId="0" applyFont="1" applyBorder="1" applyAlignment="1">
      <alignment vertical="center"/>
    </xf>
    <xf numFmtId="167" fontId="20" fillId="8" borderId="143" xfId="0" applyNumberFormat="1" applyFont="1" applyFill="1" applyBorder="1" applyAlignment="1">
      <alignment horizontal="center" vertical="center"/>
    </xf>
    <xf numFmtId="2" fontId="20" fillId="0" borderId="146" xfId="0" applyNumberFormat="1" applyFont="1" applyBorder="1" applyAlignment="1">
      <alignment horizontal="center" vertical="center"/>
    </xf>
    <xf numFmtId="167" fontId="20" fillId="7" borderId="178" xfId="0" applyNumberFormat="1" applyFont="1" applyFill="1" applyBorder="1" applyAlignment="1">
      <alignment horizontal="center" vertical="center"/>
    </xf>
    <xf numFmtId="167" fontId="20" fillId="5" borderId="178" xfId="0" applyNumberFormat="1" applyFont="1" applyFill="1" applyBorder="1" applyAlignment="1">
      <alignment horizontal="center" vertical="center"/>
    </xf>
    <xf numFmtId="2" fontId="20" fillId="7" borderId="17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0" fontId="27" fillId="8" borderId="46" xfId="0" applyFont="1" applyFill="1" applyBorder="1" applyAlignment="1">
      <alignment vertical="center"/>
    </xf>
    <xf numFmtId="167" fontId="14" fillId="0" borderId="46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" fontId="14" fillId="5" borderId="46" xfId="0" applyNumberFormat="1" applyFont="1" applyFill="1" applyBorder="1" applyAlignment="1">
      <alignment horizontal="center" vertical="center"/>
    </xf>
    <xf numFmtId="1" fontId="27" fillId="5" borderId="128" xfId="0" applyNumberFormat="1" applyFont="1" applyFill="1" applyBorder="1" applyAlignment="1">
      <alignment horizontal="center" vertical="center"/>
    </xf>
    <xf numFmtId="1" fontId="27" fillId="6" borderId="135" xfId="0" applyNumberFormat="1" applyFont="1" applyFill="1" applyBorder="1" applyAlignment="1">
      <alignment horizontal="center" vertical="center"/>
    </xf>
    <xf numFmtId="167" fontId="14" fillId="7" borderId="48" xfId="0" applyNumberFormat="1" applyFont="1" applyFill="1" applyBorder="1" applyAlignment="1">
      <alignment horizontal="center" vertical="center"/>
    </xf>
    <xf numFmtId="1" fontId="14" fillId="7" borderId="135" xfId="0" applyNumberFormat="1" applyFont="1" applyFill="1" applyBorder="1" applyAlignment="1">
      <alignment horizontal="center" vertical="center"/>
    </xf>
    <xf numFmtId="167" fontId="14" fillId="0" borderId="3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1" fontId="187" fillId="0" borderId="124" xfId="22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2" fontId="139" fillId="7" borderId="177" xfId="376" applyNumberFormat="1" applyFont="1" applyFill="1" applyBorder="1" applyAlignment="1">
      <alignment horizontal="center" vertical="center"/>
    </xf>
    <xf numFmtId="0" fontId="80" fillId="85" borderId="178" xfId="0" quotePrefix="1" applyFont="1" applyFill="1" applyBorder="1" applyAlignment="1">
      <alignment horizontal="center" vertical="center"/>
    </xf>
    <xf numFmtId="16" fontId="80" fillId="85" borderId="178" xfId="0" quotePrefix="1" applyNumberFormat="1" applyFont="1" applyFill="1" applyBorder="1" applyAlignment="1">
      <alignment horizontal="center" vertical="center"/>
    </xf>
    <xf numFmtId="16" fontId="80" fillId="85" borderId="178" xfId="0" quotePrefix="1" applyNumberFormat="1" applyFont="1" applyFill="1" applyBorder="1" applyAlignment="1">
      <alignment horizontal="center"/>
    </xf>
    <xf numFmtId="0" fontId="11" fillId="0" borderId="178" xfId="0" applyFont="1" applyBorder="1" applyAlignment="1">
      <alignment horizontal="center"/>
    </xf>
    <xf numFmtId="0" fontId="11" fillId="0" borderId="178" xfId="0" applyFont="1" applyBorder="1"/>
    <xf numFmtId="2" fontId="11" fillId="0" borderId="178" xfId="0" applyNumberFormat="1" applyFont="1" applyBorder="1" applyAlignment="1">
      <alignment horizontal="center"/>
    </xf>
    <xf numFmtId="0" fontId="209" fillId="0" borderId="178" xfId="0" applyFont="1" applyBorder="1"/>
    <xf numFmtId="2" fontId="80" fillId="0" borderId="178" xfId="0" applyNumberFormat="1" applyFont="1" applyBorder="1" applyAlignment="1">
      <alignment horizontal="center"/>
    </xf>
    <xf numFmtId="0" fontId="54" fillId="7" borderId="0" xfId="376" applyFill="1"/>
    <xf numFmtId="0" fontId="138" fillId="7" borderId="177" xfId="376" applyFont="1" applyFill="1" applyBorder="1" applyAlignment="1">
      <alignment horizontal="center" vertical="center"/>
    </xf>
    <xf numFmtId="0" fontId="54" fillId="7" borderId="0" xfId="376" applyFill="1" applyAlignment="1">
      <alignment horizontal="center" vertical="center"/>
    </xf>
    <xf numFmtId="0" fontId="54" fillId="85" borderId="177" xfId="376" applyFill="1" applyBorder="1"/>
    <xf numFmtId="167" fontId="12" fillId="7" borderId="178" xfId="0" applyNumberFormat="1" applyFont="1" applyFill="1" applyBorder="1" applyAlignment="1">
      <alignment horizontal="center" vertical="center"/>
    </xf>
    <xf numFmtId="167" fontId="12" fillId="5" borderId="178" xfId="0" applyNumberFormat="1" applyFont="1" applyFill="1" applyBorder="1" applyAlignment="1">
      <alignment horizontal="center" vertical="center"/>
    </xf>
    <xf numFmtId="167" fontId="20" fillId="8" borderId="178" xfId="0" applyNumberFormat="1" applyFont="1" applyFill="1" applyBorder="1" applyAlignment="1">
      <alignment horizontal="center" vertical="center"/>
    </xf>
    <xf numFmtId="167" fontId="12" fillId="8" borderId="178" xfId="0" applyNumberFormat="1" applyFont="1" applyFill="1" applyBorder="1" applyAlignment="1">
      <alignment horizontal="center" vertical="center"/>
    </xf>
    <xf numFmtId="2" fontId="12" fillId="8" borderId="178" xfId="0" applyNumberFormat="1" applyFont="1" applyFill="1" applyBorder="1" applyAlignment="1">
      <alignment horizontal="center" vertical="center"/>
    </xf>
    <xf numFmtId="2" fontId="12" fillId="7" borderId="178" xfId="0" applyNumberFormat="1" applyFont="1" applyFill="1" applyBorder="1" applyAlignment="1">
      <alignment horizontal="center" vertical="center"/>
    </xf>
    <xf numFmtId="167" fontId="12" fillId="6" borderId="178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0" fontId="0" fillId="0" borderId="131" xfId="0" applyBorder="1"/>
    <xf numFmtId="1" fontId="0" fillId="0" borderId="178" xfId="0" applyNumberFormat="1" applyBorder="1" applyAlignment="1">
      <alignment horizontal="center" vertical="center"/>
    </xf>
    <xf numFmtId="0" fontId="187" fillId="0" borderId="5" xfId="0" applyFont="1" applyBorder="1"/>
    <xf numFmtId="0" fontId="0" fillId="0" borderId="55" xfId="0" applyFont="1" applyBorder="1"/>
    <xf numFmtId="0" fontId="187" fillId="0" borderId="55" xfId="0" applyFont="1" applyBorder="1"/>
    <xf numFmtId="1" fontId="187" fillId="0" borderId="5" xfId="0" applyNumberFormat="1" applyFont="1" applyBorder="1" applyAlignment="1">
      <alignment horizontal="center" vertical="center"/>
    </xf>
    <xf numFmtId="167" fontId="45" fillId="0" borderId="11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162" fillId="0" borderId="178" xfId="0" applyFont="1" applyBorder="1" applyAlignment="1">
      <alignment horizontal="center" vertical="center" wrapText="1"/>
    </xf>
    <xf numFmtId="0" fontId="162" fillId="0" borderId="138" xfId="0" applyFont="1" applyBorder="1" applyAlignment="1">
      <alignment horizontal="center" vertical="center" wrapText="1"/>
    </xf>
    <xf numFmtId="0" fontId="162" fillId="0" borderId="138" xfId="0" applyFont="1" applyBorder="1" applyAlignment="1">
      <alignment wrapText="1"/>
    </xf>
    <xf numFmtId="0" fontId="164" fillId="0" borderId="138" xfId="0" applyFont="1" applyBorder="1" applyAlignment="1">
      <alignment horizontal="center" vertical="center" wrapText="1"/>
    </xf>
    <xf numFmtId="17" fontId="164" fillId="0" borderId="131" xfId="0" applyNumberFormat="1" applyFont="1" applyBorder="1" applyAlignment="1">
      <alignment wrapText="1"/>
    </xf>
    <xf numFmtId="1" fontId="20" fillId="8" borderId="111" xfId="0" applyNumberFormat="1" applyFont="1" applyFill="1" applyBorder="1" applyAlignment="1">
      <alignment horizontal="center" vertical="center"/>
    </xf>
    <xf numFmtId="167" fontId="20" fillId="8" borderId="111" xfId="22" applyNumberFormat="1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2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4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79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45" borderId="135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34" xfId="0" applyFont="1" applyFill="1" applyBorder="1" applyAlignment="1">
      <alignment horizontal="left" vertical="center" wrapText="1"/>
    </xf>
    <xf numFmtId="0" fontId="7" fillId="8" borderId="137" xfId="0" applyFont="1" applyFill="1" applyBorder="1" applyAlignment="1">
      <alignment horizontal="left" vertical="center" wrapText="1"/>
    </xf>
    <xf numFmtId="0" fontId="4" fillId="7" borderId="135" xfId="0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4" fillId="6" borderId="135" xfId="0" applyFont="1" applyFill="1" applyBorder="1" applyAlignment="1">
      <alignment horizontal="center" vertical="center"/>
    </xf>
    <xf numFmtId="0" fontId="4" fillId="5" borderId="135" xfId="0" applyFont="1" applyFill="1" applyBorder="1" applyAlignment="1">
      <alignment horizontal="center" vertical="center"/>
    </xf>
    <xf numFmtId="0" fontId="7" fillId="0" borderId="135" xfId="0" applyFont="1" applyBorder="1" applyAlignment="1">
      <alignment horizontal="left" vertical="center"/>
    </xf>
    <xf numFmtId="0" fontId="4" fillId="0" borderId="135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35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2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" fontId="20" fillId="8" borderId="17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78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" borderId="111" xfId="0" applyNumberFormat="1" applyFont="1" applyFill="1" applyBorder="1" applyAlignment="1">
      <alignment horizontal="center"/>
    </xf>
    <xf numFmtId="1" fontId="20" fillId="5" borderId="164" xfId="0" applyNumberFormat="1" applyFont="1" applyFill="1" applyBorder="1" applyAlignment="1">
      <alignment horizontal="center"/>
    </xf>
    <xf numFmtId="1" fontId="20" fillId="5" borderId="110" xfId="0" applyNumberFormat="1" applyFont="1" applyFill="1" applyBorder="1" applyAlignment="1">
      <alignment horizontal="center"/>
    </xf>
    <xf numFmtId="1" fontId="20" fillId="5" borderId="121" xfId="0" applyNumberFormat="1" applyFont="1" applyFill="1" applyBorder="1" applyAlignment="1">
      <alignment horizontal="center"/>
    </xf>
    <xf numFmtId="1" fontId="20" fillId="5" borderId="177" xfId="0" applyNumberFormat="1" applyFont="1" applyFill="1" applyBorder="1" applyAlignment="1">
      <alignment horizontal="center"/>
    </xf>
    <xf numFmtId="1" fontId="20" fillId="5" borderId="171" xfId="0" applyNumberFormat="1" applyFont="1" applyFill="1" applyBorder="1" applyAlignment="1">
      <alignment horizontal="center"/>
    </xf>
    <xf numFmtId="1" fontId="20" fillId="5" borderId="135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/>
    </xf>
    <xf numFmtId="1" fontId="20" fillId="6" borderId="178" xfId="0" applyNumberFormat="1" applyFont="1" applyFill="1" applyBorder="1" applyAlignment="1">
      <alignment horizontal="center"/>
    </xf>
    <xf numFmtId="1" fontId="20" fillId="6" borderId="130" xfId="0" applyNumberFormat="1" applyFont="1" applyFill="1" applyBorder="1" applyAlignment="1">
      <alignment horizontal="center"/>
    </xf>
    <xf numFmtId="1" fontId="20" fillId="6" borderId="111" xfId="0" applyNumberFormat="1" applyFont="1" applyFill="1" applyBorder="1" applyAlignment="1">
      <alignment horizontal="center"/>
    </xf>
    <xf numFmtId="1" fontId="20" fillId="6" borderId="164" xfId="0" applyNumberFormat="1" applyFont="1" applyFill="1" applyBorder="1" applyAlignment="1">
      <alignment horizontal="center"/>
    </xf>
    <xf numFmtId="1" fontId="20" fillId="6" borderId="110" xfId="0" applyNumberFormat="1" applyFont="1" applyFill="1" applyBorder="1" applyAlignment="1">
      <alignment horizontal="center"/>
    </xf>
    <xf numFmtId="1" fontId="20" fillId="6" borderId="121" xfId="0" applyNumberFormat="1" applyFont="1" applyFill="1" applyBorder="1" applyAlignment="1">
      <alignment horizontal="center"/>
    </xf>
    <xf numFmtId="1" fontId="20" fillId="6" borderId="177" xfId="0" applyNumberFormat="1" applyFont="1" applyFill="1" applyBorder="1" applyAlignment="1">
      <alignment horizontal="center"/>
    </xf>
    <xf numFmtId="1" fontId="20" fillId="6" borderId="171" xfId="0" applyNumberFormat="1" applyFont="1" applyFill="1" applyBorder="1" applyAlignment="1">
      <alignment horizontal="center"/>
    </xf>
    <xf numFmtId="1" fontId="20" fillId="6" borderId="135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1" xfId="0" applyFont="1" applyFill="1" applyBorder="1" applyAlignment="1">
      <alignment horizontal="center" vertical="center"/>
    </xf>
    <xf numFmtId="0" fontId="20" fillId="5" borderId="110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" borderId="164" xfId="0" applyFont="1" applyFill="1" applyBorder="1" applyAlignment="1">
      <alignment horizontal="center" vertical="center"/>
    </xf>
    <xf numFmtId="0" fontId="20" fillId="5" borderId="111" xfId="0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121" xfId="0" applyFont="1" applyFill="1" applyBorder="1" applyAlignment="1">
      <alignment horizontal="center" vertical="center"/>
    </xf>
    <xf numFmtId="0" fontId="20" fillId="6" borderId="110" xfId="0" applyFont="1" applyFill="1" applyBorder="1" applyAlignment="1">
      <alignment horizontal="center" vertical="center"/>
    </xf>
    <xf numFmtId="0" fontId="20" fillId="6" borderId="144" xfId="0" applyFont="1" applyFill="1" applyBorder="1" applyAlignment="1">
      <alignment horizontal="center" vertical="center"/>
    </xf>
    <xf numFmtId="0" fontId="20" fillId="6" borderId="164" xfId="0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center" vertical="center"/>
    </xf>
    <xf numFmtId="0" fontId="20" fillId="6" borderId="135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78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1" fontId="20" fillId="7" borderId="111" xfId="0" applyNumberFormat="1" applyFont="1" applyFill="1" applyBorder="1" applyAlignment="1">
      <alignment horizontal="center"/>
    </xf>
    <xf numFmtId="1" fontId="20" fillId="7" borderId="164" xfId="0" applyNumberFormat="1" applyFont="1" applyFill="1" applyBorder="1" applyAlignment="1">
      <alignment horizontal="center"/>
    </xf>
    <xf numFmtId="1" fontId="20" fillId="7" borderId="110" xfId="0" applyNumberFormat="1" applyFont="1" applyFill="1" applyBorder="1" applyAlignment="1">
      <alignment horizontal="center"/>
    </xf>
    <xf numFmtId="1" fontId="20" fillId="7" borderId="121" xfId="0" applyNumberFormat="1" applyFont="1" applyFill="1" applyBorder="1" applyAlignment="1">
      <alignment horizontal="center"/>
    </xf>
    <xf numFmtId="1" fontId="20" fillId="7" borderId="177" xfId="0" applyNumberFormat="1" applyFont="1" applyFill="1" applyBorder="1" applyAlignment="1">
      <alignment horizontal="center"/>
    </xf>
    <xf numFmtId="1" fontId="20" fillId="7" borderId="171" xfId="0" applyNumberFormat="1" applyFont="1" applyFill="1" applyBorder="1" applyAlignment="1">
      <alignment horizontal="center"/>
    </xf>
    <xf numFmtId="1" fontId="20" fillId="7" borderId="135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1" xfId="0" applyFont="1" applyFill="1" applyBorder="1" applyAlignment="1">
      <alignment horizontal="center" vertical="center"/>
    </xf>
    <xf numFmtId="0" fontId="20" fillId="7" borderId="110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7" borderId="164" xfId="0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78" xfId="0" applyNumberFormat="1" applyFont="1" applyFill="1" applyBorder="1" applyAlignment="1">
      <alignment horizontal="center"/>
    </xf>
    <xf numFmtId="1" fontId="20" fillId="8" borderId="130" xfId="0" applyNumberFormat="1" applyFont="1" applyFill="1" applyBorder="1" applyAlignment="1">
      <alignment horizontal="center"/>
    </xf>
    <xf numFmtId="1" fontId="20" fillId="8" borderId="111" xfId="0" applyNumberFormat="1" applyFont="1" applyFill="1" applyBorder="1" applyAlignment="1">
      <alignment horizontal="center"/>
    </xf>
    <xf numFmtId="1" fontId="20" fillId="8" borderId="164" xfId="0" applyNumberFormat="1" applyFont="1" applyFill="1" applyBorder="1" applyAlignment="1">
      <alignment horizontal="center"/>
    </xf>
    <xf numFmtId="1" fontId="20" fillId="8" borderId="110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8" borderId="131" xfId="0" applyNumberFormat="1" applyFont="1" applyFill="1" applyBorder="1" applyAlignment="1">
      <alignment horizontal="center"/>
    </xf>
    <xf numFmtId="1" fontId="20" fillId="8" borderId="170" xfId="0" applyNumberFormat="1" applyFont="1" applyFill="1" applyBorder="1" applyAlignment="1">
      <alignment horizontal="center"/>
    </xf>
    <xf numFmtId="1" fontId="20" fillId="8" borderId="150" xfId="0" applyNumberFormat="1" applyFont="1" applyFill="1" applyBorder="1" applyAlignment="1">
      <alignment horizontal="center"/>
    </xf>
    <xf numFmtId="1" fontId="20" fillId="8" borderId="171" xfId="0" applyNumberFormat="1" applyFont="1" applyFill="1" applyBorder="1" applyAlignment="1">
      <alignment horizontal="center"/>
    </xf>
    <xf numFmtId="1" fontId="20" fillId="8" borderId="17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22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/>
    </xf>
    <xf numFmtId="1" fontId="20" fillId="7" borderId="17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1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0" fillId="0" borderId="76" xfId="0" applyFont="1" applyBorder="1" applyAlignment="1">
      <alignment horizontal="center" vertical="center"/>
    </xf>
    <xf numFmtId="0" fontId="180" fillId="0" borderId="34" xfId="0" applyFont="1" applyBorder="1" applyAlignment="1">
      <alignment horizontal="center" vertical="center"/>
    </xf>
    <xf numFmtId="0" fontId="33" fillId="0" borderId="17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31" fillId="0" borderId="167" xfId="0" applyFont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13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12" fillId="0" borderId="138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12" fillId="8" borderId="138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13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1" xfId="0" applyFont="1" applyBorder="1" applyAlignment="1">
      <alignment horizontal="center" vertical="center"/>
    </xf>
    <xf numFmtId="0" fontId="0" fillId="0" borderId="177" xfId="0" applyBorder="1" applyAlignment="1">
      <alignment horizontal="center" vertical="center"/>
    </xf>
    <xf numFmtId="167" fontId="21" fillId="6" borderId="111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7" borderId="138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/>
    </xf>
    <xf numFmtId="1" fontId="21" fillId="6" borderId="111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/>
    </xf>
    <xf numFmtId="1" fontId="21" fillId="5" borderId="111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7" borderId="113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13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5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72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7" fontId="186" fillId="0" borderId="10" xfId="0" applyNumberFormat="1" applyFont="1" applyBorder="1" applyAlignment="1">
      <alignment horizontal="center" vertical="center"/>
    </xf>
    <xf numFmtId="0" fontId="186" fillId="0" borderId="10" xfId="0" applyFont="1" applyBorder="1" applyAlignment="1">
      <alignment horizontal="center" vertical="center"/>
    </xf>
    <xf numFmtId="0" fontId="186" fillId="7" borderId="10" xfId="0" applyFont="1" applyFill="1" applyBorder="1" applyAlignment="1">
      <alignment horizontal="center" vertical="center"/>
    </xf>
    <xf numFmtId="0" fontId="186" fillId="0" borderId="128" xfId="0" applyFont="1" applyBorder="1" applyAlignment="1">
      <alignment horizontal="center" vertical="center"/>
    </xf>
    <xf numFmtId="0" fontId="186" fillId="0" borderId="129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86" fillId="5" borderId="37" xfId="0" applyFont="1" applyFill="1" applyBorder="1" applyAlignment="1">
      <alignment horizontal="center" vertical="center"/>
    </xf>
    <xf numFmtId="0" fontId="186" fillId="5" borderId="29" xfId="0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186" fillId="43" borderId="10" xfId="0" applyFont="1" applyFill="1" applyBorder="1" applyAlignment="1">
      <alignment horizontal="center"/>
    </xf>
    <xf numFmtId="0" fontId="186" fillId="4" borderId="10" xfId="0" applyFont="1" applyFill="1" applyBorder="1" applyAlignment="1">
      <alignment horizontal="center"/>
    </xf>
    <xf numFmtId="0" fontId="186" fillId="0" borderId="37" xfId="0" applyFont="1" applyBorder="1" applyAlignment="1">
      <alignment horizontal="center" vertical="center"/>
    </xf>
    <xf numFmtId="0" fontId="186" fillId="0" borderId="29" xfId="0" applyFont="1" applyBorder="1" applyAlignment="1">
      <alignment horizontal="center" vertical="center"/>
    </xf>
    <xf numFmtId="0" fontId="187" fillId="0" borderId="46" xfId="0" applyFont="1" applyBorder="1" applyAlignment="1">
      <alignment horizontal="center" vertical="center"/>
    </xf>
    <xf numFmtId="0" fontId="18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87" fillId="0" borderId="43" xfId="0" applyFont="1" applyBorder="1" applyAlignment="1">
      <alignment horizontal="center" vertical="center"/>
    </xf>
    <xf numFmtId="0" fontId="187" fillId="0" borderId="40" xfId="0" applyFont="1" applyBorder="1" applyAlignment="1">
      <alignment horizontal="center" vertical="center"/>
    </xf>
    <xf numFmtId="0" fontId="187" fillId="0" borderId="16" xfId="0" applyFont="1" applyBorder="1" applyAlignment="1">
      <alignment horizontal="center" vertical="center"/>
    </xf>
    <xf numFmtId="0" fontId="187" fillId="0" borderId="18" xfId="0" applyFont="1" applyBorder="1" applyAlignment="1">
      <alignment horizontal="center" vertical="center"/>
    </xf>
    <xf numFmtId="0" fontId="187" fillId="0" borderId="12" xfId="0" applyFont="1" applyBorder="1" applyAlignment="1">
      <alignment horizontal="center" vertical="center"/>
    </xf>
    <xf numFmtId="0" fontId="187" fillId="0" borderId="153" xfId="0" applyFont="1" applyBorder="1" applyAlignment="1">
      <alignment horizontal="center" vertical="center"/>
    </xf>
    <xf numFmtId="0" fontId="187" fillId="0" borderId="20" xfId="0" applyFont="1" applyBorder="1" applyAlignment="1">
      <alignment horizontal="center" vertical="center"/>
    </xf>
    <xf numFmtId="0" fontId="186" fillId="7" borderId="37" xfId="0" applyFont="1" applyFill="1" applyBorder="1" applyAlignment="1">
      <alignment horizontal="center" vertical="center"/>
    </xf>
    <xf numFmtId="0" fontId="18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21" fillId="0" borderId="86" xfId="0" applyFont="1" applyBorder="1" applyAlignment="1">
      <alignment horizontal="left" vertical="center"/>
    </xf>
    <xf numFmtId="0" fontId="21" fillId="0" borderId="88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12" fillId="8" borderId="178" xfId="0" applyNumberFormat="1" applyFont="1" applyFill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112" fillId="5" borderId="178" xfId="0" applyNumberFormat="1" applyFont="1" applyFill="1" applyBorder="1" applyAlignment="1">
      <alignment horizontal="center" vertical="center"/>
    </xf>
    <xf numFmtId="1" fontId="19" fillId="6" borderId="17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126" xfId="0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18" fillId="50" borderId="111" xfId="0" applyFont="1" applyFill="1" applyBorder="1" applyAlignment="1">
      <alignment horizontal="center" vertical="center"/>
    </xf>
    <xf numFmtId="0" fontId="18" fillId="5" borderId="111" xfId="0" applyFont="1" applyFill="1" applyBorder="1" applyAlignment="1">
      <alignment horizontal="center" vertical="center"/>
    </xf>
    <xf numFmtId="0" fontId="112" fillId="5" borderId="178" xfId="0" applyFont="1" applyFill="1" applyBorder="1" applyAlignment="1">
      <alignment horizontal="center" vertical="center"/>
    </xf>
    <xf numFmtId="0" fontId="18" fillId="7" borderId="111" xfId="0" applyFont="1" applyFill="1" applyBorder="1" applyAlignment="1">
      <alignment horizontal="center" vertical="center"/>
    </xf>
    <xf numFmtId="0" fontId="18" fillId="6" borderId="111" xfId="0" applyFont="1" applyFill="1" applyBorder="1" applyAlignment="1">
      <alignment horizontal="center" vertical="center"/>
    </xf>
    <xf numFmtId="0" fontId="21" fillId="0" borderId="113" xfId="0" applyFont="1" applyBorder="1" applyAlignment="1">
      <alignment horizontal="left" vertical="center"/>
    </xf>
    <xf numFmtId="0" fontId="21" fillId="0" borderId="113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8" fillId="9" borderId="138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0" fontId="137" fillId="0" borderId="177" xfId="376" applyFont="1" applyBorder="1" applyAlignment="1">
      <alignment horizontal="center"/>
    </xf>
    <xf numFmtId="0" fontId="137" fillId="0" borderId="128" xfId="376" applyFont="1" applyBorder="1" applyAlignment="1">
      <alignment horizontal="center"/>
    </xf>
    <xf numFmtId="0" fontId="137" fillId="0" borderId="6" xfId="376" applyFont="1" applyBorder="1" applyAlignment="1">
      <alignment horizontal="center"/>
    </xf>
    <xf numFmtId="0" fontId="137" fillId="0" borderId="131" xfId="376" applyFont="1" applyBorder="1" applyAlignment="1">
      <alignment horizontal="center"/>
    </xf>
    <xf numFmtId="2" fontId="139" fillId="7" borderId="177" xfId="376" applyNumberFormat="1" applyFont="1" applyFill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0" fillId="0" borderId="111" xfId="0" applyFont="1" applyBorder="1" applyAlignment="1">
      <alignment horizontal="center" vertical="center"/>
    </xf>
    <xf numFmtId="0" fontId="159" fillId="0" borderId="111" xfId="0" applyFont="1" applyBorder="1" applyAlignment="1">
      <alignment horizontal="center"/>
    </xf>
    <xf numFmtId="0" fontId="159" fillId="4" borderId="111" xfId="0" applyFont="1" applyFill="1" applyBorder="1" applyAlignment="1">
      <alignment horizontal="center"/>
    </xf>
    <xf numFmtId="0" fontId="160" fillId="0" borderId="111" xfId="0" applyFont="1" applyBorder="1" applyAlignment="1">
      <alignment horizontal="center"/>
    </xf>
    <xf numFmtId="0" fontId="173" fillId="49" borderId="7" xfId="0" applyFont="1" applyFill="1" applyBorder="1" applyAlignment="1">
      <alignment horizontal="center"/>
    </xf>
    <xf numFmtId="0" fontId="173" fillId="49" borderId="8" xfId="0" applyFont="1" applyFill="1" applyBorder="1" applyAlignment="1">
      <alignment horizontal="center"/>
    </xf>
    <xf numFmtId="0" fontId="159" fillId="0" borderId="112" xfId="0" applyFont="1" applyBorder="1" applyAlignment="1">
      <alignment horizontal="left" vertical="center"/>
    </xf>
    <xf numFmtId="0" fontId="159" fillId="0" borderId="29" xfId="0" applyFont="1" applyBorder="1" applyAlignment="1">
      <alignment horizontal="left" vertical="center"/>
    </xf>
    <xf numFmtId="0" fontId="159" fillId="4" borderId="112" xfId="0" applyFont="1" applyFill="1" applyBorder="1" applyAlignment="1">
      <alignment horizontal="left" vertical="center"/>
    </xf>
    <xf numFmtId="0" fontId="159" fillId="4" borderId="29" xfId="0" applyFont="1" applyFill="1" applyBorder="1" applyAlignment="1">
      <alignment horizontal="left" vertical="center"/>
    </xf>
    <xf numFmtId="0" fontId="160" fillId="0" borderId="112" xfId="0" applyFont="1" applyBorder="1" applyAlignment="1">
      <alignment horizontal="left"/>
    </xf>
    <xf numFmtId="0" fontId="160" fillId="0" borderId="29" xfId="0" applyFont="1" applyBorder="1" applyAlignment="1">
      <alignment horizontal="left"/>
    </xf>
    <xf numFmtId="0" fontId="160" fillId="49" borderId="112" xfId="0" applyFont="1" applyFill="1" applyBorder="1" applyAlignment="1">
      <alignment horizontal="center"/>
    </xf>
    <xf numFmtId="0" fontId="160" fillId="49" borderId="29" xfId="0" applyFont="1" applyFill="1" applyBorder="1" applyAlignment="1">
      <alignment horizont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17" fontId="171" fillId="0" borderId="178" xfId="0" applyNumberFormat="1" applyFont="1" applyBorder="1" applyAlignment="1">
      <alignment horizontal="center" vertical="center" wrapText="1"/>
    </xf>
    <xf numFmtId="0" fontId="163" fillId="0" borderId="0" xfId="0" applyFont="1" applyAlignment="1">
      <alignment horizontal="center" wrapText="1"/>
    </xf>
    <xf numFmtId="0" fontId="163" fillId="0" borderId="0" xfId="0" applyFont="1" applyAlignment="1">
      <alignment horizontal="center" vertical="center" wrapText="1"/>
    </xf>
    <xf numFmtId="0" fontId="162" fillId="0" borderId="178" xfId="0" applyFont="1" applyBorder="1" applyAlignment="1">
      <alignment horizontal="center" vertical="center" wrapText="1"/>
    </xf>
    <xf numFmtId="17" fontId="163" fillId="0" borderId="76" xfId="0" applyNumberFormat="1" applyFont="1" applyBorder="1" applyAlignment="1">
      <alignment horizontal="center" vertical="center" wrapText="1"/>
    </xf>
    <xf numFmtId="17" fontId="163" fillId="0" borderId="74" xfId="0" applyNumberFormat="1" applyFont="1" applyBorder="1" applyAlignment="1">
      <alignment horizontal="center" vertical="center" wrapText="1"/>
    </xf>
    <xf numFmtId="17" fontId="163" fillId="0" borderId="9" xfId="0" applyNumberFormat="1" applyFont="1" applyBorder="1" applyAlignment="1">
      <alignment horizontal="center" vertical="center" wrapText="1"/>
    </xf>
    <xf numFmtId="17" fontId="171" fillId="0" borderId="63" xfId="0" applyNumberFormat="1" applyFont="1" applyBorder="1" applyAlignment="1">
      <alignment horizontal="center" vertical="center" wrapText="1"/>
    </xf>
    <xf numFmtId="17" fontId="171" fillId="0" borderId="143" xfId="0" applyNumberFormat="1" applyFont="1" applyBorder="1" applyAlignment="1">
      <alignment horizontal="center" vertical="center" wrapText="1"/>
    </xf>
    <xf numFmtId="17" fontId="171" fillId="0" borderId="201" xfId="0" applyNumberFormat="1" applyFont="1" applyBorder="1" applyAlignment="1">
      <alignment horizontal="center" vertical="center" wrapText="1"/>
    </xf>
    <xf numFmtId="17" fontId="171" fillId="0" borderId="43" xfId="0" applyNumberFormat="1" applyFont="1" applyBorder="1" applyAlignment="1">
      <alignment horizontal="center" vertical="center" wrapText="1"/>
    </xf>
    <xf numFmtId="17" fontId="171" fillId="0" borderId="40" xfId="0" applyNumberFormat="1" applyFont="1" applyBorder="1" applyAlignment="1">
      <alignment horizontal="center" vertical="center" wrapText="1"/>
    </xf>
    <xf numFmtId="17" fontId="171" fillId="0" borderId="179" xfId="0" applyNumberFormat="1" applyFont="1" applyBorder="1" applyAlignment="1">
      <alignment horizontal="center" vertical="center" wrapText="1"/>
    </xf>
    <xf numFmtId="17" fontId="171" fillId="0" borderId="30" xfId="0" applyNumberFormat="1" applyFont="1" applyBorder="1" applyAlignment="1">
      <alignment horizontal="center" vertical="center" wrapText="1"/>
    </xf>
    <xf numFmtId="0" fontId="143" fillId="0" borderId="130" xfId="0" applyFont="1" applyBorder="1" applyAlignment="1">
      <alignment horizontal="center" vertical="center"/>
    </xf>
    <xf numFmtId="0" fontId="143" fillId="0" borderId="128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143" fillId="0" borderId="166" xfId="0" applyFont="1" applyBorder="1" applyAlignment="1">
      <alignment horizontal="center" vertical="center"/>
    </xf>
    <xf numFmtId="0" fontId="143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122" xfId="0" applyFont="1" applyBorder="1" applyAlignment="1">
      <alignment horizontal="center" vertical="center"/>
    </xf>
    <xf numFmtId="0" fontId="136" fillId="0" borderId="46" xfId="0" applyFont="1" applyBorder="1" applyAlignment="1">
      <alignment horizontal="center" vertical="center"/>
    </xf>
    <xf numFmtId="0" fontId="143" fillId="8" borderId="122" xfId="0" applyFont="1" applyFill="1" applyBorder="1" applyAlignment="1">
      <alignment horizontal="left" vertical="center"/>
    </xf>
    <xf numFmtId="0" fontId="143" fillId="8" borderId="46" xfId="0" applyFont="1" applyFill="1" applyBorder="1" applyAlignment="1">
      <alignment horizontal="left" vertical="center"/>
    </xf>
    <xf numFmtId="0" fontId="143" fillId="8" borderId="168" xfId="0" applyFont="1" applyFill="1" applyBorder="1" applyAlignment="1">
      <alignment horizontal="left" vertical="center"/>
    </xf>
    <xf numFmtId="0" fontId="143" fillId="8" borderId="30" xfId="0" applyFont="1" applyFill="1" applyBorder="1" applyAlignment="1">
      <alignment horizontal="left" vertical="center"/>
    </xf>
    <xf numFmtId="0" fontId="136" fillId="0" borderId="168" xfId="0" applyFont="1" applyBorder="1" applyAlignment="1">
      <alignment horizontal="center" vertical="center"/>
    </xf>
    <xf numFmtId="0" fontId="136" fillId="0" borderId="30" xfId="0" applyFont="1" applyBorder="1" applyAlignment="1">
      <alignment horizontal="center" vertical="center"/>
    </xf>
    <xf numFmtId="0" fontId="136" fillId="8" borderId="168" xfId="0" applyFont="1" applyFill="1" applyBorder="1" applyAlignment="1">
      <alignment horizontal="center" vertical="center"/>
    </xf>
    <xf numFmtId="0" fontId="136" fillId="8" borderId="46" xfId="0" applyFont="1" applyFill="1" applyBorder="1" applyAlignment="1">
      <alignment horizontal="center" vertical="center"/>
    </xf>
    <xf numFmtId="0" fontId="136" fillId="8" borderId="30" xfId="0" applyFont="1" applyFill="1" applyBorder="1" applyAlignment="1">
      <alignment horizontal="center" vertical="center"/>
    </xf>
    <xf numFmtId="0" fontId="197" fillId="0" borderId="171" xfId="0" applyFont="1" applyBorder="1" applyAlignment="1">
      <alignment horizontal="center" vertical="center" wrapText="1" readingOrder="1"/>
    </xf>
    <xf numFmtId="0" fontId="143" fillId="0" borderId="171" xfId="0" applyFont="1" applyBorder="1" applyAlignment="1">
      <alignment horizontal="center" vertical="center"/>
    </xf>
    <xf numFmtId="0" fontId="143" fillId="0" borderId="148" xfId="0" applyFont="1" applyBorder="1" applyAlignment="1">
      <alignment horizontal="center" vertical="center"/>
    </xf>
    <xf numFmtId="0" fontId="143" fillId="0" borderId="170" xfId="0" applyFont="1" applyBorder="1" applyAlignment="1">
      <alignment horizontal="center" vertical="center"/>
    </xf>
    <xf numFmtId="0" fontId="143" fillId="0" borderId="168" xfId="0" applyFont="1" applyBorder="1" applyAlignment="1">
      <alignment horizontal="center" vertical="center"/>
    </xf>
    <xf numFmtId="0" fontId="143" fillId="0" borderId="46" xfId="0" applyFont="1" applyBorder="1" applyAlignment="1">
      <alignment horizontal="center" vertical="center"/>
    </xf>
    <xf numFmtId="0" fontId="197" fillId="0" borderId="168" xfId="0" applyFont="1" applyBorder="1" applyAlignment="1">
      <alignment horizontal="center" vertical="center" wrapText="1" readingOrder="1"/>
    </xf>
    <xf numFmtId="0" fontId="197" fillId="0" borderId="46" xfId="0" applyFont="1" applyBorder="1" applyAlignment="1">
      <alignment horizontal="center" vertical="center" wrapText="1" readingOrder="1"/>
    </xf>
    <xf numFmtId="0" fontId="136" fillId="0" borderId="168" xfId="0" applyFont="1" applyBorder="1" applyAlignment="1">
      <alignment horizontal="left" vertical="center" wrapText="1"/>
    </xf>
    <xf numFmtId="0" fontId="136" fillId="0" borderId="46" xfId="0" applyFont="1" applyBorder="1" applyAlignment="1">
      <alignment horizontal="left" vertical="center" wrapText="1"/>
    </xf>
    <xf numFmtId="0" fontId="136" fillId="0" borderId="30" xfId="0" applyFont="1" applyBorder="1" applyAlignment="1">
      <alignment horizontal="left" vertical="center" wrapText="1"/>
    </xf>
    <xf numFmtId="0" fontId="136" fillId="0" borderId="171" xfId="0" applyFont="1" applyBorder="1" applyAlignment="1">
      <alignment horizontal="center" vertical="center"/>
    </xf>
    <xf numFmtId="0" fontId="143" fillId="0" borderId="171" xfId="0" applyFont="1" applyBorder="1" applyAlignment="1">
      <alignment horizontal="left" vertical="center"/>
    </xf>
    <xf numFmtId="0" fontId="197" fillId="0" borderId="171" xfId="0" applyFont="1" applyBorder="1" applyAlignment="1">
      <alignment horizontal="left" vertical="center" wrapText="1" readingOrder="1"/>
    </xf>
    <xf numFmtId="0" fontId="136" fillId="8" borderId="171" xfId="0" applyFont="1" applyFill="1" applyBorder="1" applyAlignment="1">
      <alignment horizontal="center" vertical="center"/>
    </xf>
    <xf numFmtId="0" fontId="80" fillId="0" borderId="178" xfId="0" applyFont="1" applyBorder="1" applyAlignment="1">
      <alignment horizontal="center" vertical="center" wrapText="1"/>
    </xf>
    <xf numFmtId="0" fontId="80" fillId="0" borderId="178" xfId="0" applyFont="1" applyBorder="1" applyAlignment="1">
      <alignment horizontal="center" vertical="center"/>
    </xf>
    <xf numFmtId="0" fontId="173" fillId="0" borderId="178" xfId="0" applyFont="1" applyBorder="1" applyAlignment="1">
      <alignment horizontal="center" vertical="center"/>
    </xf>
    <xf numFmtId="0" fontId="205" fillId="45" borderId="0" xfId="536" applyFont="1" applyFill="1" applyAlignment="1">
      <alignment horizontal="center"/>
    </xf>
    <xf numFmtId="0" fontId="206" fillId="45" borderId="0" xfId="536" applyFont="1" applyFill="1" applyAlignment="1"/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P/ABP%20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E21">
            <v>1023.84</v>
          </cell>
          <cell r="F21">
            <v>1057.9680000000001</v>
          </cell>
          <cell r="G21">
            <v>1023.84</v>
          </cell>
          <cell r="H21">
            <v>1057.9680000000001</v>
          </cell>
          <cell r="I21">
            <v>1057.9680000000001</v>
          </cell>
          <cell r="J21">
            <v>682.56</v>
          </cell>
          <cell r="K21">
            <v>1057.9680000000001</v>
          </cell>
          <cell r="L21">
            <v>1023.84</v>
          </cell>
          <cell r="M21">
            <v>1057.9680000000001</v>
          </cell>
          <cell r="N21">
            <v>1057.9680000000001</v>
          </cell>
          <cell r="O21">
            <v>955.58399999999995</v>
          </cell>
          <cell r="P21">
            <v>1057.9680000000001</v>
          </cell>
        </row>
        <row r="22">
          <cell r="E22">
            <v>1828.2857142857142</v>
          </cell>
          <cell r="F22">
            <v>1889.2285714285713</v>
          </cell>
          <cell r="G22">
            <v>1828.2857142857142</v>
          </cell>
          <cell r="H22">
            <v>1889.2285714285713</v>
          </cell>
          <cell r="I22">
            <v>1889.2285714285713</v>
          </cell>
          <cell r="J22">
            <v>1218.8571428571427</v>
          </cell>
          <cell r="K22">
            <v>1889.2285714285713</v>
          </cell>
          <cell r="L22">
            <v>1828.2857142857142</v>
          </cell>
          <cell r="M22">
            <v>1889.2285714285713</v>
          </cell>
          <cell r="N22">
            <v>1889.2285714285713</v>
          </cell>
          <cell r="O22">
            <v>1706.3999999999996</v>
          </cell>
          <cell r="P22">
            <v>1889.2285714285713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X67"/>
  <sheetViews>
    <sheetView tabSelected="1" zoomScale="115" zoomScaleNormal="115" workbookViewId="0">
      <pane xSplit="4" topLeftCell="E1" activePane="topRight" state="frozen"/>
      <selection pane="topRight" activeCell="BR27" sqref="BR27"/>
    </sheetView>
  </sheetViews>
  <sheetFormatPr defaultColWidth="9.140625" defaultRowHeight="15" x14ac:dyDescent="0.25"/>
  <cols>
    <col min="1" max="1" width="2.7109375" customWidth="1"/>
    <col min="2" max="2" width="47.42578125" bestFit="1" customWidth="1"/>
    <col min="3" max="3" width="10.85546875" bestFit="1" customWidth="1"/>
    <col min="4" max="4" width="13.7109375" bestFit="1" customWidth="1"/>
    <col min="5" max="6" width="10.7109375" customWidth="1"/>
    <col min="7" max="28" width="10.7109375" hidden="1" customWidth="1"/>
    <col min="29" max="32" width="10.7109375" style="2425" hidden="1" customWidth="1"/>
    <col min="33" max="36" width="10.7109375" style="2472" hidden="1" customWidth="1"/>
    <col min="37" max="42" width="10.7109375" style="2524" hidden="1" customWidth="1"/>
    <col min="43" max="46" width="10.7109375" style="2588" hidden="1" customWidth="1"/>
    <col min="47" max="50" width="10.7109375" style="2634" hidden="1" customWidth="1"/>
    <col min="51" max="58" width="10.7109375" style="2773" hidden="1" customWidth="1"/>
    <col min="59" max="60" width="11.28515625" style="3035" hidden="1" customWidth="1"/>
    <col min="61" max="69" width="11.28515625" hidden="1" customWidth="1"/>
    <col min="70" max="70" width="13" bestFit="1" customWidth="1"/>
    <col min="71" max="71" width="12.85546875" bestFit="1" customWidth="1"/>
    <col min="72" max="72" width="21" bestFit="1" customWidth="1"/>
    <col min="73" max="73" width="15.28515625" customWidth="1"/>
    <col min="74" max="84" width="9.140625" customWidth="1"/>
  </cols>
  <sheetData>
    <row r="1" spans="1:76" ht="18.75" x14ac:dyDescent="0.3">
      <c r="B1" s="3068" t="s">
        <v>337</v>
      </c>
      <c r="C1" s="4700"/>
      <c r="D1" s="4702">
        <v>340</v>
      </c>
      <c r="E1" s="4702">
        <v>26</v>
      </c>
      <c r="F1" s="4701">
        <f>F2-'B-FCE'!F3</f>
        <v>29.538194444444446</v>
      </c>
      <c r="G1" s="4702">
        <v>30</v>
      </c>
      <c r="H1" s="4702">
        <f>H2-'B-FCE'!H3</f>
        <v>29.791666666666668</v>
      </c>
      <c r="I1" s="4702">
        <f>E1+G1</f>
        <v>56</v>
      </c>
      <c r="J1" s="4702">
        <f>F1+H1</f>
        <v>59.329861111111114</v>
      </c>
      <c r="K1" s="4702">
        <v>29</v>
      </c>
      <c r="L1" s="4701">
        <f>L2-'B-FCE'!L3</f>
        <v>29.611249999999998</v>
      </c>
      <c r="M1" s="4702">
        <f>+E1+G1+K1</f>
        <v>85</v>
      </c>
      <c r="N1" s="4702">
        <f>+F1+H1+L1</f>
        <v>88.941111111111113</v>
      </c>
      <c r="O1" s="4702">
        <v>30</v>
      </c>
      <c r="P1" s="4702">
        <f>P2-'B-FCE'!P3</f>
        <v>31</v>
      </c>
      <c r="Q1" s="4702">
        <f>+M1+O1</f>
        <v>115</v>
      </c>
      <c r="R1" s="4702">
        <f>+N1+P1</f>
        <v>119.94111111111111</v>
      </c>
      <c r="S1" s="4702">
        <v>30</v>
      </c>
      <c r="T1" s="4702">
        <f>T2-'B-FCE'!T3</f>
        <v>30.024305555555554</v>
      </c>
      <c r="U1" s="4702">
        <f>+Q1+S1</f>
        <v>145</v>
      </c>
      <c r="V1" s="4702">
        <f>+R1+T1</f>
        <v>149.96541666666667</v>
      </c>
      <c r="W1" s="4702">
        <v>17.016867469879518</v>
      </c>
      <c r="X1" s="4702">
        <f>X2-'B-FCE'!X3</f>
        <v>29.673749999999998</v>
      </c>
      <c r="Y1" s="4702">
        <f>+O1+S1+W1</f>
        <v>77.016867469879514</v>
      </c>
      <c r="Z1" s="4702">
        <f>+P1+T1+X1</f>
        <v>90.698055555555555</v>
      </c>
      <c r="AA1" s="4702">
        <f>+U1+W1</f>
        <v>162.01686746987951</v>
      </c>
      <c r="AB1" s="4702">
        <f>+V1+X1</f>
        <v>179.63916666666665</v>
      </c>
      <c r="AC1" s="4702">
        <v>30</v>
      </c>
      <c r="AD1" s="4773">
        <f>AD2-'B-FCE'!AD3-2</f>
        <v>24.930555555555557</v>
      </c>
      <c r="AE1" s="4702">
        <f>AA1+AC1</f>
        <v>192.01686746987951</v>
      </c>
      <c r="AF1" s="4702">
        <f>AB1+AD1</f>
        <v>204.5697222222222</v>
      </c>
      <c r="AG1" s="4702">
        <v>29</v>
      </c>
      <c r="AH1" s="4702">
        <f>AH2-'B-FCE'!AH3</f>
        <v>29.107500000000002</v>
      </c>
      <c r="AI1" s="4702">
        <f>AE1+AG1</f>
        <v>221.01686746987951</v>
      </c>
      <c r="AJ1" s="4702">
        <f>AF1+AH1</f>
        <v>233.67722222222221</v>
      </c>
      <c r="AK1" s="2693">
        <v>30</v>
      </c>
      <c r="AL1" s="2693">
        <f>31-'B-FCE'!AL3</f>
        <v>30.697916666666668</v>
      </c>
      <c r="AM1" s="2693">
        <f>+AC1+AG1+AK1</f>
        <v>89</v>
      </c>
      <c r="AN1" s="2693">
        <f>+AD1+AH1+AL1</f>
        <v>84.73597222222223</v>
      </c>
      <c r="AO1" s="2693">
        <f>AI1+AK1</f>
        <v>251.01686746987951</v>
      </c>
      <c r="AP1" s="2693">
        <f>AJ1+AL1</f>
        <v>264.3751388888889</v>
      </c>
      <c r="AQ1" s="2693">
        <v>30</v>
      </c>
      <c r="AR1" s="5007">
        <f>31-'B-FCE'!AR3</f>
        <v>30.413194444444446</v>
      </c>
      <c r="AS1" s="2693">
        <f>AO1+AQ1</f>
        <v>281.01686746987951</v>
      </c>
      <c r="AT1" s="2693">
        <f>AP1+AR1</f>
        <v>294.78833333333336</v>
      </c>
      <c r="AU1" s="2693">
        <v>27</v>
      </c>
      <c r="AV1" s="2716">
        <f>28-'B-FCE'!AV3</f>
        <v>27.576250000000002</v>
      </c>
      <c r="AW1" s="2693">
        <f>AS1+AU1</f>
        <v>308.01686746987951</v>
      </c>
      <c r="AX1" s="2693">
        <f>AT1+AV1</f>
        <v>322.36458333333337</v>
      </c>
      <c r="AY1" s="2774">
        <v>30</v>
      </c>
      <c r="AZ1" s="2716">
        <f>31-'B-FCE'!AZ3</f>
        <v>29.972222222222221</v>
      </c>
      <c r="BA1" s="2774">
        <f>+AQ1+AU1+AY1</f>
        <v>87</v>
      </c>
      <c r="BB1" s="2774">
        <f>+AR1+AV1+AZ1</f>
        <v>87.961666666666673</v>
      </c>
      <c r="BC1" s="2774">
        <f>+AM1+BA1</f>
        <v>176</v>
      </c>
      <c r="BD1" s="2774">
        <f>+AN1+BB1</f>
        <v>172.69763888888889</v>
      </c>
      <c r="BE1" s="2774">
        <f>AW1+AY1</f>
        <v>338.01686746987951</v>
      </c>
      <c r="BF1" s="2774">
        <f>AX1+AZ1</f>
        <v>352.3368055555556</v>
      </c>
      <c r="BG1" s="5551"/>
      <c r="BH1" s="6198"/>
      <c r="BI1" s="3036"/>
      <c r="BJ1" s="3036"/>
      <c r="BK1" s="1345"/>
      <c r="BL1" s="191"/>
      <c r="BM1" s="191"/>
      <c r="BN1" s="191"/>
      <c r="BO1" s="191"/>
      <c r="BP1" s="191"/>
      <c r="BQ1" s="191"/>
    </row>
    <row r="2" spans="1:76" ht="16.5" customHeight="1" thickBot="1" x14ac:dyDescent="0.3">
      <c r="A2">
        <v>1000</v>
      </c>
      <c r="B2" s="4"/>
      <c r="C2" s="4700"/>
      <c r="D2" s="4703">
        <v>365</v>
      </c>
      <c r="E2" s="4703">
        <v>30</v>
      </c>
      <c r="F2" s="4703">
        <v>30</v>
      </c>
      <c r="G2" s="4703">
        <v>31</v>
      </c>
      <c r="H2" s="4703">
        <v>31</v>
      </c>
      <c r="I2" s="4703">
        <f>+E2+G2</f>
        <v>61</v>
      </c>
      <c r="J2" s="4703">
        <f>+F2+H2</f>
        <v>61</v>
      </c>
      <c r="K2" s="4703">
        <v>30</v>
      </c>
      <c r="L2" s="4703">
        <v>30</v>
      </c>
      <c r="M2" s="4703">
        <f>+I2+K2</f>
        <v>91</v>
      </c>
      <c r="N2" s="4703">
        <f>+J2+L2</f>
        <v>91</v>
      </c>
      <c r="O2" s="4704">
        <v>31</v>
      </c>
      <c r="P2" s="4703">
        <v>31</v>
      </c>
      <c r="Q2" s="4703">
        <f>+M2+O2</f>
        <v>122</v>
      </c>
      <c r="R2" s="4703">
        <f>+N2+P2</f>
        <v>122</v>
      </c>
      <c r="S2" s="4703">
        <v>31</v>
      </c>
      <c r="T2" s="4703">
        <v>31</v>
      </c>
      <c r="U2" s="4703">
        <f>+Q2+S2</f>
        <v>153</v>
      </c>
      <c r="V2" s="4703">
        <f>+R2+T2</f>
        <v>153</v>
      </c>
      <c r="W2" s="4703">
        <v>30</v>
      </c>
      <c r="X2" s="4703">
        <v>30</v>
      </c>
      <c r="Y2" s="4703">
        <f>+O2+S2+W2</f>
        <v>92</v>
      </c>
      <c r="Z2" s="4703">
        <f>+P2+T2+X2</f>
        <v>92</v>
      </c>
      <c r="AA2" s="4703">
        <f>+U2+W2</f>
        <v>183</v>
      </c>
      <c r="AB2" s="4703">
        <f>+V2+X2</f>
        <v>183</v>
      </c>
      <c r="AC2" s="4703">
        <v>31</v>
      </c>
      <c r="AD2" s="4703">
        <v>31</v>
      </c>
      <c r="AE2" s="4703">
        <f>AA2+AC2</f>
        <v>214</v>
      </c>
      <c r="AF2" s="4703">
        <f>AB2+AD2</f>
        <v>214</v>
      </c>
      <c r="AG2" s="4703">
        <v>30</v>
      </c>
      <c r="AH2" s="4703">
        <v>30</v>
      </c>
      <c r="AI2" s="4703">
        <f>AE2+AG2</f>
        <v>244</v>
      </c>
      <c r="AJ2" s="4703">
        <f>AF2+AH2</f>
        <v>244</v>
      </c>
      <c r="AK2" s="191">
        <v>31</v>
      </c>
      <c r="AL2" s="191">
        <v>31</v>
      </c>
      <c r="AM2" s="191">
        <f>+AC2+AG2+AK2</f>
        <v>92</v>
      </c>
      <c r="AN2" s="191">
        <f>+AD2+AH2+AL2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AO2+AQ2</f>
        <v>306</v>
      </c>
      <c r="AT2" s="191">
        <f>AP2+AR2</f>
        <v>306</v>
      </c>
      <c r="AU2" s="191">
        <v>28</v>
      </c>
      <c r="AV2" s="191">
        <v>28</v>
      </c>
      <c r="AW2" s="191">
        <f>AS2+AU2</f>
        <v>334</v>
      </c>
      <c r="AX2" s="191">
        <f>AT2+AV2</f>
        <v>334</v>
      </c>
      <c r="AY2" s="191">
        <v>31</v>
      </c>
      <c r="AZ2" s="191">
        <v>31</v>
      </c>
      <c r="BA2" s="191">
        <f>+AQ2+AU2+AY2</f>
        <v>90</v>
      </c>
      <c r="BB2" s="191">
        <f>+AR2+AV2+AZ2</f>
        <v>90</v>
      </c>
      <c r="BC2" s="191">
        <f>+AM2+BA2</f>
        <v>182</v>
      </c>
      <c r="BD2" s="191">
        <f>+AN2+BB2</f>
        <v>182</v>
      </c>
      <c r="BE2" s="191">
        <f>AW2+AY2</f>
        <v>365</v>
      </c>
      <c r="BF2" s="191">
        <f>AX2+AZ2</f>
        <v>365</v>
      </c>
      <c r="BG2" s="191"/>
      <c r="BH2" s="191"/>
      <c r="BI2" s="191"/>
      <c r="BJ2" s="191"/>
      <c r="BK2" s="191"/>
      <c r="BL2" s="191"/>
      <c r="BM2" s="191"/>
      <c r="BN2" s="191">
        <v>365</v>
      </c>
      <c r="BO2" s="191">
        <v>365</v>
      </c>
      <c r="BP2" s="191">
        <v>366</v>
      </c>
      <c r="BQ2" s="191">
        <v>366</v>
      </c>
    </row>
    <row r="3" spans="1:76" ht="18.75" customHeight="1" x14ac:dyDescent="0.25">
      <c r="A3">
        <v>1000</v>
      </c>
      <c r="B3" s="7721" t="s">
        <v>171</v>
      </c>
      <c r="C3" s="7723" t="s">
        <v>172</v>
      </c>
      <c r="D3" s="7725" t="s">
        <v>2320</v>
      </c>
      <c r="E3" s="7707" t="s">
        <v>2319</v>
      </c>
      <c r="F3" s="7708"/>
      <c r="G3" s="7707" t="s">
        <v>1956</v>
      </c>
      <c r="H3" s="7708"/>
      <c r="I3" s="7709" t="s">
        <v>14</v>
      </c>
      <c r="J3" s="7710"/>
      <c r="K3" s="7729" t="s">
        <v>1986</v>
      </c>
      <c r="L3" s="7730"/>
      <c r="M3" s="7727" t="s">
        <v>607</v>
      </c>
      <c r="N3" s="7728"/>
      <c r="O3" s="7707" t="s">
        <v>2008</v>
      </c>
      <c r="P3" s="7708"/>
      <c r="Q3" s="7709" t="s">
        <v>17</v>
      </c>
      <c r="R3" s="7710"/>
      <c r="S3" s="7707" t="s">
        <v>2011</v>
      </c>
      <c r="T3" s="7708"/>
      <c r="U3" s="7709" t="s">
        <v>18</v>
      </c>
      <c r="V3" s="7710"/>
      <c r="W3" s="7732" t="s">
        <v>2042</v>
      </c>
      <c r="X3" s="7733"/>
      <c r="Y3" s="7734" t="s">
        <v>801</v>
      </c>
      <c r="Z3" s="7734"/>
      <c r="AA3" s="7720" t="s">
        <v>626</v>
      </c>
      <c r="AB3" s="7720"/>
      <c r="AC3" s="7707" t="s">
        <v>2067</v>
      </c>
      <c r="AD3" s="7708"/>
      <c r="AE3" s="7709" t="s">
        <v>24</v>
      </c>
      <c r="AF3" s="7710"/>
      <c r="AG3" s="7707" t="s">
        <v>2170</v>
      </c>
      <c r="AH3" s="7708"/>
      <c r="AI3" s="7709" t="s">
        <v>27</v>
      </c>
      <c r="AJ3" s="7710"/>
      <c r="AK3" s="7732" t="s">
        <v>2194</v>
      </c>
      <c r="AL3" s="7733"/>
      <c r="AM3" s="7734" t="s">
        <v>1574</v>
      </c>
      <c r="AN3" s="7734"/>
      <c r="AO3" s="7709" t="s">
        <v>1575</v>
      </c>
      <c r="AP3" s="7710"/>
      <c r="AQ3" s="7707" t="s">
        <v>2206</v>
      </c>
      <c r="AR3" s="7708"/>
      <c r="AS3" s="7709" t="s">
        <v>28</v>
      </c>
      <c r="AT3" s="7710"/>
      <c r="AU3" s="7707" t="s">
        <v>2243</v>
      </c>
      <c r="AV3" s="7708"/>
      <c r="AW3" s="7709" t="s">
        <v>30</v>
      </c>
      <c r="AX3" s="7710"/>
      <c r="AY3" s="7707" t="s">
        <v>2261</v>
      </c>
      <c r="AZ3" s="7708"/>
      <c r="BA3" s="7734" t="s">
        <v>1610</v>
      </c>
      <c r="BB3" s="7734"/>
      <c r="BC3" s="7720" t="s">
        <v>638</v>
      </c>
      <c r="BD3" s="7720"/>
      <c r="BE3" s="7709" t="s">
        <v>1984</v>
      </c>
      <c r="BF3" s="7710"/>
      <c r="BG3" s="7714" t="s">
        <v>1632</v>
      </c>
      <c r="BH3" s="7715"/>
      <c r="BI3" s="7714" t="s">
        <v>1338</v>
      </c>
      <c r="BJ3" s="7715"/>
      <c r="BK3" s="3031" t="s">
        <v>1205</v>
      </c>
      <c r="BL3" s="7705" t="s">
        <v>904</v>
      </c>
      <c r="BM3" s="7705"/>
      <c r="BN3" s="7705" t="s">
        <v>646</v>
      </c>
      <c r="BO3" s="7705"/>
      <c r="BP3" s="7705" t="s">
        <v>636</v>
      </c>
      <c r="BQ3" s="7716"/>
    </row>
    <row r="4" spans="1:76" ht="23.25" customHeight="1" thickBot="1" x14ac:dyDescent="0.3">
      <c r="B4" s="7722"/>
      <c r="C4" s="7724"/>
      <c r="D4" s="7726"/>
      <c r="E4" s="1904" t="s">
        <v>173</v>
      </c>
      <c r="F4" s="1905" t="s">
        <v>174</v>
      </c>
      <c r="G4" s="1904" t="s">
        <v>173</v>
      </c>
      <c r="H4" s="1905" t="s">
        <v>174</v>
      </c>
      <c r="I4" s="1909" t="s">
        <v>173</v>
      </c>
      <c r="J4" s="1870" t="s">
        <v>174</v>
      </c>
      <c r="K4" s="1911" t="s">
        <v>173</v>
      </c>
      <c r="L4" s="1912" t="s">
        <v>174</v>
      </c>
      <c r="M4" s="1913" t="s">
        <v>173</v>
      </c>
      <c r="N4" s="1914" t="s">
        <v>174</v>
      </c>
      <c r="O4" s="1911" t="s">
        <v>173</v>
      </c>
      <c r="P4" s="1905" t="s">
        <v>174</v>
      </c>
      <c r="Q4" s="1909" t="s">
        <v>173</v>
      </c>
      <c r="R4" s="1870" t="s">
        <v>174</v>
      </c>
      <c r="S4" s="1904" t="s">
        <v>173</v>
      </c>
      <c r="T4" s="1905" t="s">
        <v>174</v>
      </c>
      <c r="U4" s="1909" t="s">
        <v>173</v>
      </c>
      <c r="V4" s="1870" t="s">
        <v>174</v>
      </c>
      <c r="W4" s="1613" t="s">
        <v>173</v>
      </c>
      <c r="X4" s="2694" t="s">
        <v>174</v>
      </c>
      <c r="Y4" s="2695" t="s">
        <v>173</v>
      </c>
      <c r="Z4" s="2695" t="s">
        <v>174</v>
      </c>
      <c r="AA4" s="2696" t="s">
        <v>173</v>
      </c>
      <c r="AB4" s="2696" t="s">
        <v>174</v>
      </c>
      <c r="AC4" s="1904" t="s">
        <v>173</v>
      </c>
      <c r="AD4" s="1905" t="s">
        <v>174</v>
      </c>
      <c r="AE4" s="1909" t="s">
        <v>173</v>
      </c>
      <c r="AF4" s="1870" t="s">
        <v>174</v>
      </c>
      <c r="AG4" s="1904" t="s">
        <v>173</v>
      </c>
      <c r="AH4" s="1905" t="s">
        <v>174</v>
      </c>
      <c r="AI4" s="1909" t="s">
        <v>173</v>
      </c>
      <c r="AJ4" s="1870" t="s">
        <v>174</v>
      </c>
      <c r="AK4" s="1613" t="s">
        <v>173</v>
      </c>
      <c r="AL4" s="2694" t="s">
        <v>174</v>
      </c>
      <c r="AM4" s="2695" t="s">
        <v>173</v>
      </c>
      <c r="AN4" s="2695" t="s">
        <v>174</v>
      </c>
      <c r="AO4" s="1909" t="s">
        <v>173</v>
      </c>
      <c r="AP4" s="1870" t="s">
        <v>174</v>
      </c>
      <c r="AQ4" s="1904" t="s">
        <v>173</v>
      </c>
      <c r="AR4" s="1905" t="s">
        <v>174</v>
      </c>
      <c r="AS4" s="1909" t="s">
        <v>173</v>
      </c>
      <c r="AT4" s="1870" t="s">
        <v>174</v>
      </c>
      <c r="AU4" s="1904" t="s">
        <v>173</v>
      </c>
      <c r="AV4" s="1905" t="s">
        <v>174</v>
      </c>
      <c r="AW4" s="1909" t="s">
        <v>173</v>
      </c>
      <c r="AX4" s="1870" t="s">
        <v>174</v>
      </c>
      <c r="AY4" s="1904" t="s">
        <v>173</v>
      </c>
      <c r="AZ4" s="1905" t="s">
        <v>174</v>
      </c>
      <c r="BA4" s="2775" t="s">
        <v>173</v>
      </c>
      <c r="BB4" s="2775" t="s">
        <v>174</v>
      </c>
      <c r="BC4" s="2776" t="s">
        <v>173</v>
      </c>
      <c r="BD4" s="2776" t="s">
        <v>174</v>
      </c>
      <c r="BE4" s="1909" t="s">
        <v>173</v>
      </c>
      <c r="BF4" s="1870" t="s">
        <v>174</v>
      </c>
      <c r="BG4" s="1058" t="s">
        <v>173</v>
      </c>
      <c r="BH4" s="1058" t="s">
        <v>174</v>
      </c>
      <c r="BI4" s="1058" t="s">
        <v>173</v>
      </c>
      <c r="BJ4" s="1058" t="s">
        <v>174</v>
      </c>
      <c r="BK4" s="1058" t="s">
        <v>174</v>
      </c>
      <c r="BL4" s="1058" t="s">
        <v>173</v>
      </c>
      <c r="BM4" s="1058" t="s">
        <v>174</v>
      </c>
      <c r="BN4" s="1058" t="s">
        <v>173</v>
      </c>
      <c r="BO4" s="1058" t="s">
        <v>174</v>
      </c>
      <c r="BP4" s="1058" t="s">
        <v>173</v>
      </c>
      <c r="BQ4" s="1921" t="s">
        <v>174</v>
      </c>
      <c r="BR4" s="4487"/>
    </row>
    <row r="5" spans="1:76" ht="15" customHeight="1" x14ac:dyDescent="0.25">
      <c r="A5" s="139"/>
      <c r="B5" s="1891" t="s">
        <v>343</v>
      </c>
      <c r="C5" s="1871"/>
      <c r="D5" s="2699"/>
      <c r="E5" s="836"/>
      <c r="F5" s="2700"/>
      <c r="G5" s="836"/>
      <c r="H5" s="2700"/>
      <c r="I5" s="836"/>
      <c r="J5" s="2700"/>
      <c r="K5" s="836"/>
      <c r="L5" s="2700"/>
      <c r="M5" s="836"/>
      <c r="N5" s="2700"/>
      <c r="O5" s="836"/>
      <c r="P5" s="2700"/>
      <c r="Q5" s="836"/>
      <c r="R5" s="2700"/>
      <c r="S5" s="836"/>
      <c r="T5" s="2700"/>
      <c r="U5" s="836"/>
      <c r="V5" s="2700"/>
      <c r="W5" s="1570"/>
      <c r="X5" s="808"/>
      <c r="Y5" s="808"/>
      <c r="Z5" s="808"/>
      <c r="AA5" s="808"/>
      <c r="AB5" s="808"/>
      <c r="AC5" s="836"/>
      <c r="AD5" s="2700"/>
      <c r="AE5" s="836"/>
      <c r="AF5" s="2700"/>
      <c r="AG5" s="836"/>
      <c r="AH5" s="2700"/>
      <c r="AI5" s="836"/>
      <c r="AJ5" s="2700"/>
      <c r="AK5" s="1570"/>
      <c r="AL5" s="808"/>
      <c r="AM5" s="808"/>
      <c r="AN5" s="808"/>
      <c r="AO5" s="836"/>
      <c r="AP5" s="2700"/>
      <c r="AQ5" s="836"/>
      <c r="AR5" s="2700"/>
      <c r="AS5" s="836"/>
      <c r="AT5" s="2700"/>
      <c r="AU5" s="836"/>
      <c r="AV5" s="2700"/>
      <c r="AW5" s="836"/>
      <c r="AX5" s="2700"/>
      <c r="AY5" s="836"/>
      <c r="AZ5" s="2700"/>
      <c r="BA5" s="808"/>
      <c r="BB5" s="808"/>
      <c r="BC5" s="808"/>
      <c r="BD5" s="808"/>
      <c r="BE5" s="836"/>
      <c r="BF5" s="2700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1614"/>
    </row>
    <row r="6" spans="1:76" ht="15" customHeight="1" x14ac:dyDescent="0.25">
      <c r="B6" s="1892" t="s">
        <v>347</v>
      </c>
      <c r="C6" s="1863" t="s">
        <v>351</v>
      </c>
      <c r="D6" s="3030">
        <v>96.509589041095893</v>
      </c>
      <c r="E6" s="7690">
        <v>98</v>
      </c>
      <c r="F6" s="97">
        <f>+F9/F2</f>
        <v>98</v>
      </c>
      <c r="G6" s="5547">
        <v>98</v>
      </c>
      <c r="H6" s="97">
        <f>+H9/H2</f>
        <v>97.612903225806448</v>
      </c>
      <c r="I6" s="51">
        <f>+((E6*$E$2)+(G6*$G$2))/$I$2</f>
        <v>98</v>
      </c>
      <c r="J6" s="103">
        <f>+((F6*$F$2)+(H6*$H$2))/$J$2</f>
        <v>97.803278688524586</v>
      </c>
      <c r="K6" s="5672">
        <v>94</v>
      </c>
      <c r="L6" s="97">
        <f>+L9/L2</f>
        <v>96.066666666666663</v>
      </c>
      <c r="M6" s="75">
        <f>+((E6*$E$2)+(G6*$G$2)+(K6*$K$2))/$M$2</f>
        <v>96.681318681318686</v>
      </c>
      <c r="N6" s="109">
        <f>+((F6*$F$2)+(H6*$H$2)+(L6*$L$2))/$N$2</f>
        <v>97.230769230769226</v>
      </c>
      <c r="O6" s="5820">
        <v>94</v>
      </c>
      <c r="P6" s="97">
        <f>+P9/P2</f>
        <v>95.41935483870968</v>
      </c>
      <c r="Q6" s="51">
        <f>+((M6*M$2)+(O6*O$2))/Q$2</f>
        <v>96</v>
      </c>
      <c r="R6" s="103">
        <f>+((N6*N$2)+(P6*P$2))/R$2</f>
        <v>96.770491803278688</v>
      </c>
      <c r="S6" s="5888">
        <v>94</v>
      </c>
      <c r="T6" s="97">
        <f>+T9/T2</f>
        <v>98</v>
      </c>
      <c r="U6" s="51">
        <f>+((Q6*Q$2)+(S6*S$2))/U$2</f>
        <v>95.59477124183006</v>
      </c>
      <c r="V6" s="103">
        <f>+((R6*R$2)+(T6*T$2))/V$2</f>
        <v>97.019607843137251</v>
      </c>
      <c r="W6" s="5993">
        <v>92.1</v>
      </c>
      <c r="X6" s="97">
        <f>+X9/X2</f>
        <v>98</v>
      </c>
      <c r="Y6" s="330">
        <f>+((O$6*O$2)+(S$6*S$2)+(W$6*W$2))/Y$2</f>
        <v>93.380434782608702</v>
      </c>
      <c r="Z6" s="330">
        <f>+((P$6*P$2)+(T$6*T$2)+(X$6*X$2))/Z$2</f>
        <v>97.130434782608702</v>
      </c>
      <c r="AA6" s="440">
        <f>+((M6*M$2)+(Y6*Y$2))/AA$2</f>
        <v>95.021857923497265</v>
      </c>
      <c r="AB6" s="440">
        <f>+((N6*N$2)+(Z6*Z$2))/AB$2</f>
        <v>97.180327868852459</v>
      </c>
      <c r="AC6" s="6121">
        <v>94</v>
      </c>
      <c r="AD6" s="97">
        <f>+AD9/AD2</f>
        <v>96.548387096774192</v>
      </c>
      <c r="AE6" s="51">
        <f>+((AA6*$AA$2)+(AC6*$AC$2))/$AE$2</f>
        <v>94.873831775700936</v>
      </c>
      <c r="AF6" s="103">
        <f>+((AB6*$AB$2)+(AD6*$AD$2))/$AF$2</f>
        <v>97.088785046728972</v>
      </c>
      <c r="AG6" s="725">
        <v>94</v>
      </c>
      <c r="AH6" s="97">
        <f>+AH9/AH2</f>
        <v>94.233333333333334</v>
      </c>
      <c r="AI6" s="51">
        <f>+((AE6*$AE$2)+(AG6*$AG$2))/$AI$2</f>
        <v>94.766393442622956</v>
      </c>
      <c r="AJ6" s="51">
        <f>+((AF6*$AF$2)+(AH6*$AH$2))/$AJ$2</f>
        <v>96.73770491803279</v>
      </c>
      <c r="AK6" s="725">
        <v>94</v>
      </c>
      <c r="AL6" s="97">
        <f>+AL9/AL2</f>
        <v>94.096774193548384</v>
      </c>
      <c r="AM6" s="330">
        <f>+((AC$6*AC$2)+(AG$6*AG$2)+(AK$6*AK$2))/AM$2</f>
        <v>94</v>
      </c>
      <c r="AN6" s="330">
        <f>+((AD$6*AD$2)+(AH$6*AH$2)+(AL$6*AL$2))/AN$2</f>
        <v>94.967391304347828</v>
      </c>
      <c r="AO6" s="51">
        <f>+((AK6*$AK$2)+(AI6*$AI$2))/$AO$2</f>
        <v>94.68</v>
      </c>
      <c r="AP6" s="51">
        <f>+((AL6*$AL$2)+(AJ6*$AJ$2))/$AP$2</f>
        <v>96.44</v>
      </c>
      <c r="AQ6" s="725">
        <v>94</v>
      </c>
      <c r="AR6" s="97">
        <f>+AR9/AR2</f>
        <v>94.838709677419359</v>
      </c>
      <c r="AS6" s="51">
        <f>+((AO6*$AO$2)+(AQ6*$AQ$2))/$AS$2</f>
        <v>94.611111111111128</v>
      </c>
      <c r="AT6" s="51">
        <f>+((AP6*$AP$2)+(AR6*$AR$2))/$AT$2</f>
        <v>96.277777777777771</v>
      </c>
      <c r="AU6" s="725">
        <v>94</v>
      </c>
      <c r="AV6" s="97">
        <f>+AV9/AV2</f>
        <v>94.428571428571431</v>
      </c>
      <c r="AW6" s="51">
        <f>+((AS6*$AS$2)+(AU6*$AU$2))/$AW$2</f>
        <v>94.559880239520965</v>
      </c>
      <c r="AX6" s="51">
        <f>+((AT6*$AT$2)+(AV6*$AV$2))/$AX$2</f>
        <v>96.122754491017957</v>
      </c>
      <c r="AY6" s="725">
        <v>94</v>
      </c>
      <c r="AZ6" s="97">
        <f>+AZ9/AZ2</f>
        <v>98</v>
      </c>
      <c r="BA6" s="330">
        <f>+((AQ$6*AQ$2)+(AU$6*AU$2)+(AY$6*AY$2))/BA$2</f>
        <v>94</v>
      </c>
      <c r="BB6" s="330">
        <f>+((AR$6*AR$2)+(AV$6*AV$2)+(AZ$6*AZ$2))/BB$2</f>
        <v>95.8</v>
      </c>
      <c r="BC6" s="2772">
        <f>+((AM6*AM$2)+(BA6*BA$2))/BC$2</f>
        <v>94</v>
      </c>
      <c r="BD6" s="2772">
        <f>+((AN6*AN$2)+(BB6*BB$2))/BD$2</f>
        <v>95.379120879120876</v>
      </c>
      <c r="BE6" s="51">
        <f>+((AW6*$AW$2)+(AY6*$AY$2))/$BE$2</f>
        <v>94.512328767123293</v>
      </c>
      <c r="BF6" s="51">
        <f>+((AZ6*$AZ$2)+(AX6*$AX$2))/$BF$2</f>
        <v>96.282191780821918</v>
      </c>
      <c r="BG6" s="1128">
        <v>96.420547945205485</v>
      </c>
      <c r="BH6" s="1128">
        <v>97.709589041095896</v>
      </c>
      <c r="BI6" s="1128">
        <v>99</v>
      </c>
      <c r="BJ6" s="1128">
        <v>98.976067110347017</v>
      </c>
      <c r="BK6" s="1128">
        <v>98.783561643835611</v>
      </c>
      <c r="BL6" s="1128">
        <v>99</v>
      </c>
      <c r="BM6" s="1128">
        <v>97.824657534246569</v>
      </c>
      <c r="BN6" s="1128">
        <v>95.547945205479451</v>
      </c>
      <c r="BO6" s="1128">
        <v>95.342465753424662</v>
      </c>
      <c r="BP6" s="1128">
        <v>97</v>
      </c>
      <c r="BQ6" s="1116">
        <v>97.109590163934413</v>
      </c>
      <c r="BR6" s="1137"/>
      <c r="BS6" s="1442"/>
      <c r="BT6" s="4234"/>
      <c r="BU6" s="25"/>
      <c r="BV6" s="25"/>
      <c r="BW6" s="502"/>
      <c r="BX6" s="502"/>
    </row>
    <row r="7" spans="1:76" ht="15" customHeight="1" x14ac:dyDescent="0.25">
      <c r="B7" s="1892" t="s">
        <v>348</v>
      </c>
      <c r="C7" s="1863" t="s">
        <v>351</v>
      </c>
      <c r="D7" s="3030">
        <v>97.71761643835616</v>
      </c>
      <c r="E7" s="7690">
        <v>96.6</v>
      </c>
      <c r="F7" s="97">
        <f>+F10/F2</f>
        <v>98.433333333333337</v>
      </c>
      <c r="G7" s="5547">
        <v>98</v>
      </c>
      <c r="H7" s="97">
        <f>+H10/H2</f>
        <v>97.483870967741936</v>
      </c>
      <c r="I7" s="51">
        <f>+((E7*$E$2)+(G7*$G$2))/$I$2</f>
        <v>97.311475409836063</v>
      </c>
      <c r="J7" s="103">
        <f>+((F7*$F$2)+(H7*$H$2))/$J$2</f>
        <v>97.950819672131146</v>
      </c>
      <c r="K7" s="5672">
        <v>98</v>
      </c>
      <c r="L7" s="97">
        <f>+L10/L2</f>
        <v>98.466666666666669</v>
      </c>
      <c r="M7" s="75">
        <f>+((E7*$E$2)+(G7*$G$2)+(K7*$K$2))/$M$2</f>
        <v>97.538461538461533</v>
      </c>
      <c r="N7" s="109">
        <f>+((F7*$F$2)+(H7*$H$2)+(L7*$L$2))/$N$2</f>
        <v>98.120879120879124</v>
      </c>
      <c r="O7" s="5820">
        <v>98</v>
      </c>
      <c r="P7" s="97">
        <f>+P10/P2</f>
        <v>99</v>
      </c>
      <c r="Q7" s="51">
        <f>+((M7*M$2)+(O7*O$2))/Q$2</f>
        <v>97.655737704918039</v>
      </c>
      <c r="R7" s="103">
        <f>+((N7*N$2)+(P7*P$2))/R$2</f>
        <v>98.344262295081961</v>
      </c>
      <c r="S7" s="5888">
        <v>98</v>
      </c>
      <c r="T7" s="97">
        <f>+T10/T2</f>
        <v>98.516129032258064</v>
      </c>
      <c r="U7" s="51">
        <f>+((Q7*Q$2)+(S7*S$2))/U$2</f>
        <v>97.725490196078425</v>
      </c>
      <c r="V7" s="103">
        <f>+((R7*R$2)+(T7*T$2))/V$2</f>
        <v>98.379084967320267</v>
      </c>
      <c r="W7" s="5993">
        <v>93.5</v>
      </c>
      <c r="X7" s="97">
        <f>+X10/X2</f>
        <v>98.766666666666666</v>
      </c>
      <c r="Y7" s="330">
        <f>((O7*O2)+(S7*S2)+(W7*W2))/Y2</f>
        <v>96.532608695652172</v>
      </c>
      <c r="Z7" s="330">
        <f>+((P$7*P$2)+(T$7*T$2)+(X$7*X$2))/Z$2</f>
        <v>98.760869565217391</v>
      </c>
      <c r="AA7" s="440">
        <f>+((M7*M$2)+(Y7*Y$2))/AA$2</f>
        <v>97.032786885245898</v>
      </c>
      <c r="AB7" s="440">
        <f>+((N7*N$2)+(Z7*Z$2))/AB$2</f>
        <v>98.442622950819668</v>
      </c>
      <c r="AC7" s="6121">
        <v>98</v>
      </c>
      <c r="AD7" s="97">
        <f>+AD10/AD2</f>
        <v>97.193548387096769</v>
      </c>
      <c r="AE7" s="51">
        <f>+((AA7*$AA$2)+(AC7*$AC$2))/$AE$2</f>
        <v>97.172897196261687</v>
      </c>
      <c r="AF7" s="103">
        <f>+((AB7*$AB$2)+(AD7*$AD$2))/$AF$2</f>
        <v>98.261682242990659</v>
      </c>
      <c r="AG7" s="725">
        <v>98</v>
      </c>
      <c r="AH7" s="97">
        <f>+AH10/AH2</f>
        <v>98.666666666666671</v>
      </c>
      <c r="AI7" s="51">
        <f>+((AE7*$AE$2)+(AG7*$AG$2))/$AI$2</f>
        <v>97.27459016393442</v>
      </c>
      <c r="AJ7" s="51">
        <f>+((AF7*$AF$2)+(AH7*$AH$2))/$AJ$2</f>
        <v>98.311475409836063</v>
      </c>
      <c r="AK7" s="725">
        <v>98</v>
      </c>
      <c r="AL7" s="97">
        <f>+AL10/AL2</f>
        <v>98.741935483870961</v>
      </c>
      <c r="AM7" s="330">
        <f>+((AC$7*AC$2)+(AG$7*AG$2)+(AK$7*AK$2))/AM$2</f>
        <v>98</v>
      </c>
      <c r="AN7" s="330">
        <f>+((AD$7*AD$2)+(AH$7*AH$2)+(AL$7*AL$2))/AN$2</f>
        <v>98.195652173913047</v>
      </c>
      <c r="AO7" s="51">
        <f>+((AK7*$AK$2)+(AI7*$AI$2))/$AO$2</f>
        <v>97.356363636363639</v>
      </c>
      <c r="AP7" s="51">
        <f>+((AL7*$AL$2)+(AJ7*$AJ$2))/$AP$2</f>
        <v>98.36</v>
      </c>
      <c r="AQ7" s="725">
        <v>98</v>
      </c>
      <c r="AR7" s="97">
        <f>+AR10/AR2</f>
        <v>97.870967741935488</v>
      </c>
      <c r="AS7" s="51">
        <f>+((AO7*$AO$2)+(AQ7*$AQ$2))/$AS$2</f>
        <v>97.421568627450981</v>
      </c>
      <c r="AT7" s="51">
        <f>+((AP7*$AP$2)+(AR7*$AR$2))/$AT$2</f>
        <v>98.310457516339866</v>
      </c>
      <c r="AU7" s="725">
        <v>98</v>
      </c>
      <c r="AV7" s="97">
        <f>+AV10/AV2</f>
        <v>98.035714285714292</v>
      </c>
      <c r="AW7" s="51">
        <f>+((AS7*$AS$2)+(AU7*$AU$2))/$AW$2</f>
        <v>97.470059880239518</v>
      </c>
      <c r="AX7" s="51">
        <f>+((AT7*$AT$2)+(AV7*$AV$2))/$AX$2</f>
        <v>98.287425149700596</v>
      </c>
      <c r="AY7" s="725">
        <v>98</v>
      </c>
      <c r="AZ7" s="97">
        <f>+AZ10/AZ2</f>
        <v>98.677419354838705</v>
      </c>
      <c r="BA7" s="330">
        <f>+((AQ$7*AQ$2)+(AU$7*AU$2)+(AY$7*AY$2))/BA$2</f>
        <v>98</v>
      </c>
      <c r="BB7" s="330">
        <f>+((AR$7*AR$2)+(AV$7*AV$2)+(AZ$7*AZ$2))/BB$2</f>
        <v>98.2</v>
      </c>
      <c r="BC7" s="2772">
        <f>+((AM7*AM$2)+(BA7*BA$2))/BC$2</f>
        <v>98</v>
      </c>
      <c r="BD7" s="2772">
        <f>+((AN7*AN$2)+(BB7*BB$2))/BD$2</f>
        <v>98.197802197802204</v>
      </c>
      <c r="BE7" s="51">
        <f>+((AW7*$AW$2)+(AY7*$AY$2))/$BE$2</f>
        <v>97.515068493150679</v>
      </c>
      <c r="BF7" s="51">
        <f>+((AZ7*$AZ$2)+(AX7*$AX$2))/$BF$2</f>
        <v>98.320547945205476</v>
      </c>
      <c r="BG7" s="1128">
        <v>98.1676712328767</v>
      </c>
      <c r="BH7" s="1128">
        <v>97.991780821917814</v>
      </c>
      <c r="BI7" s="1128">
        <v>98.000061398661487</v>
      </c>
      <c r="BJ7" s="1128">
        <v>96.670250945044899</v>
      </c>
      <c r="BK7" s="1128">
        <v>92.210958904109589</v>
      </c>
      <c r="BL7" s="1128">
        <v>99</v>
      </c>
      <c r="BM7" s="1128">
        <v>96.816438356164383</v>
      </c>
      <c r="BN7" s="1128">
        <v>94.2</v>
      </c>
      <c r="BO7" s="1128">
        <v>90.778082191780825</v>
      </c>
      <c r="BP7" s="1128">
        <v>97</v>
      </c>
      <c r="BQ7" s="1116">
        <v>95.71024590163934</v>
      </c>
      <c r="BR7" s="1137"/>
      <c r="BS7" s="4234"/>
      <c r="BT7" s="4234"/>
      <c r="BU7" s="25"/>
      <c r="BV7" s="25"/>
      <c r="BW7" s="502"/>
      <c r="BX7" s="502"/>
    </row>
    <row r="8" spans="1:76" ht="15" customHeight="1" x14ac:dyDescent="0.25">
      <c r="B8" s="1893" t="s">
        <v>79</v>
      </c>
      <c r="C8" s="1864" t="s">
        <v>351</v>
      </c>
      <c r="D8" s="3037">
        <f t="shared" ref="D8:L8" si="0">+D6+(D7*(31.55/17.2))</f>
        <v>275.7532401242434</v>
      </c>
      <c r="E8" s="6747">
        <f t="shared" si="0"/>
        <v>275.19360465116279</v>
      </c>
      <c r="F8" s="2702">
        <f t="shared" si="0"/>
        <v>278.556492248062</v>
      </c>
      <c r="G8" s="2701">
        <f t="shared" ref="G8" si="1">+G6+(G7*(31.55/17.2))</f>
        <v>277.76162790697674</v>
      </c>
      <c r="H8" s="2702">
        <f t="shared" ref="H8" si="2">+H6+(H7*(31.55/17.2))</f>
        <v>276.42779444861219</v>
      </c>
      <c r="I8" s="2703">
        <f t="shared" si="0"/>
        <v>276.49866565001906</v>
      </c>
      <c r="J8" s="2704">
        <f t="shared" si="0"/>
        <v>277.47469500571867</v>
      </c>
      <c r="K8" s="2701">
        <f t="shared" si="0"/>
        <v>273.76162790697674</v>
      </c>
      <c r="L8" s="2702">
        <f t="shared" si="0"/>
        <v>276.68430232558137</v>
      </c>
      <c r="M8" s="1950">
        <f t="shared" ref="M8" si="3">+M6+(M7*(31.55/17.2))</f>
        <v>275.59634551495014</v>
      </c>
      <c r="N8" s="1951">
        <f t="shared" ref="N8:P8" si="4">+N6+(N7*(31.55/17.2))</f>
        <v>277.21412599028884</v>
      </c>
      <c r="O8" s="2701">
        <f t="shared" si="4"/>
        <v>273.76162790697674</v>
      </c>
      <c r="P8" s="2702">
        <f t="shared" si="4"/>
        <v>277.01528507126784</v>
      </c>
      <c r="Q8" s="1958">
        <f t="shared" ref="Q8" si="5">+Q6+(Q7*(31.55/17.2))</f>
        <v>275.13014677849793</v>
      </c>
      <c r="R8" s="1959">
        <f t="shared" ref="R8:T8" si="6">+R6+(R7*(31.55/17.2))</f>
        <v>277.16360083873428</v>
      </c>
      <c r="S8" s="2701">
        <f t="shared" si="6"/>
        <v>273.76162790697674</v>
      </c>
      <c r="T8" s="2702">
        <f t="shared" si="6"/>
        <v>278.70836459114781</v>
      </c>
      <c r="U8" s="1958">
        <f t="shared" ref="U8:X8" si="7">+U6+(U7*(31.55/17.2))</f>
        <v>274.85286517707857</v>
      </c>
      <c r="V8" s="3696">
        <f t="shared" si="7"/>
        <v>277.4765921872625</v>
      </c>
      <c r="W8" s="2701">
        <f t="shared" si="7"/>
        <v>263.60726744186047</v>
      </c>
      <c r="X8" s="2702">
        <f t="shared" si="7"/>
        <v>279.16792635658919</v>
      </c>
      <c r="Y8" s="4399">
        <f>Y6+(Y7*31.55/17.2)</f>
        <v>270.45042340748233</v>
      </c>
      <c r="Z8" s="4399">
        <f>Z6+(Z7*31.55/17.2)</f>
        <v>278.28772750252779</v>
      </c>
      <c r="AA8" s="513">
        <f>AA6+(AA7*31.55/17.2)</f>
        <v>273.00932456474777</v>
      </c>
      <c r="AB8" s="513">
        <f>AB6+(AB7*31.55/17.2)</f>
        <v>277.75386008387341</v>
      </c>
      <c r="AC8" s="2701">
        <f t="shared" ref="AC8:AD8" si="8">+AC6+(AC7*(31.55/17.2))</f>
        <v>273.76162790697674</v>
      </c>
      <c r="AD8" s="2702">
        <f t="shared" si="8"/>
        <v>274.83073893473369</v>
      </c>
      <c r="AE8" s="2703">
        <f t="shared" ref="AE8:AH8" si="9">+AE6+(AE7*(31.55/17.2))</f>
        <v>273.11830308628561</v>
      </c>
      <c r="AF8" s="2704">
        <f t="shared" si="9"/>
        <v>277.33041730058687</v>
      </c>
      <c r="AG8" s="2701">
        <f t="shared" si="9"/>
        <v>273.76162790697674</v>
      </c>
      <c r="AH8" s="2702">
        <f t="shared" si="9"/>
        <v>275.21782945736436</v>
      </c>
      <c r="AI8" s="2703">
        <f t="shared" ref="AI8:AL8" si="10">+AI6+(AI7*(31.55/17.2))</f>
        <v>273.19740040030501</v>
      </c>
      <c r="AJ8" s="2704">
        <f t="shared" si="10"/>
        <v>277.07067289363329</v>
      </c>
      <c r="AK8" s="2701">
        <f t="shared" si="10"/>
        <v>273.76162790697674</v>
      </c>
      <c r="AL8" s="2702">
        <f t="shared" si="10"/>
        <v>275.21933608402099</v>
      </c>
      <c r="AM8" s="354">
        <f>AM6+(AM7*31.55/17.2)</f>
        <v>273.76162790697674</v>
      </c>
      <c r="AN8" s="354">
        <f>AN6+(AN7*31.55/17.2)</f>
        <v>275.08790444893833</v>
      </c>
      <c r="AO8" s="2703">
        <f t="shared" ref="AO8:AT8" si="11">+AO6+(AO7*(31.55/17.2))</f>
        <v>273.26100422832985</v>
      </c>
      <c r="AP8" s="2704">
        <f t="shared" si="11"/>
        <v>276.86197674418605</v>
      </c>
      <c r="AQ8" s="6747">
        <f t="shared" si="11"/>
        <v>273.76162790697674</v>
      </c>
      <c r="AR8" s="6748">
        <f t="shared" si="11"/>
        <v>274.3636534133534</v>
      </c>
      <c r="AS8" s="2703">
        <f t="shared" si="11"/>
        <v>273.31172100623201</v>
      </c>
      <c r="AT8" s="2704">
        <f t="shared" si="11"/>
        <v>276.60887862897096</v>
      </c>
      <c r="AU8" s="6747">
        <f t="shared" ref="AU8:AV8" si="12">+AU6+(AU7*(31.55/17.2))</f>
        <v>273.76162790697674</v>
      </c>
      <c r="AV8" s="6748">
        <f t="shared" si="12"/>
        <v>274.25571013289039</v>
      </c>
      <c r="AW8" s="2703">
        <f t="shared" ref="AW8:AZ8" si="13">+AW6+(AW7*(31.55/17.2))</f>
        <v>273.3494377524022</v>
      </c>
      <c r="AX8" s="5216">
        <f t="shared" si="13"/>
        <v>276.41160701852107</v>
      </c>
      <c r="AY8" s="6747">
        <f t="shared" si="13"/>
        <v>273.76162790697674</v>
      </c>
      <c r="AZ8" s="6748">
        <f t="shared" si="13"/>
        <v>279.00421980495128</v>
      </c>
      <c r="BA8" s="354">
        <f>BA6+(BA7*31.55/17.2)</f>
        <v>273.76162790697674</v>
      </c>
      <c r="BB8" s="354">
        <f>BB6+(BB7*31.55/17.2)</f>
        <v>275.92848837209306</v>
      </c>
      <c r="BC8" s="513">
        <f>BC6+(BC7*31.55/17.2)</f>
        <v>273.76162790697674</v>
      </c>
      <c r="BD8" s="513">
        <f>BD6+(BD7*31.55/17.2)</f>
        <v>275.50357781753132</v>
      </c>
      <c r="BE8" s="5212">
        <f t="shared" ref="BE8:BF8" si="14">+BE6+(BE7*(31.55/17.2))</f>
        <v>273.38444568333864</v>
      </c>
      <c r="BF8" s="5216">
        <f t="shared" si="14"/>
        <v>276.63180152914941</v>
      </c>
      <c r="BG8" s="1400">
        <v>276.48973558458107</v>
      </c>
      <c r="BH8" s="1400">
        <v>277.45614049060214</v>
      </c>
      <c r="BI8" s="1400">
        <v>278.76174053068428</v>
      </c>
      <c r="BJ8" s="1400">
        <v>276.29853323338</v>
      </c>
      <c r="BK8" s="1400">
        <v>267.92633800573469</v>
      </c>
      <c r="BL8" s="1059">
        <v>280.5959302325586</v>
      </c>
      <c r="BM8" s="1400">
        <v>275.41527556546714</v>
      </c>
      <c r="BN8" s="1059">
        <v>268.33922427524732</v>
      </c>
      <c r="BO8" s="1400">
        <v>261.85691302962772</v>
      </c>
      <c r="BP8" s="1059">
        <v>274.92732558139579</v>
      </c>
      <c r="BQ8" s="1922">
        <v>272.67111680327912</v>
      </c>
      <c r="BR8" s="1137"/>
      <c r="BS8" s="4234"/>
      <c r="BT8" s="4234"/>
      <c r="BU8" s="25"/>
      <c r="BV8" s="25"/>
      <c r="BW8" s="502"/>
      <c r="BX8" s="502"/>
    </row>
    <row r="9" spans="1:76" ht="15" customHeight="1" x14ac:dyDescent="0.25">
      <c r="B9" s="1892" t="s">
        <v>347</v>
      </c>
      <c r="C9" s="1863" t="s">
        <v>647</v>
      </c>
      <c r="D9" s="1868">
        <f>+D6*D2</f>
        <v>35226</v>
      </c>
      <c r="E9" s="2687">
        <f>+E6*E2</f>
        <v>2940</v>
      </c>
      <c r="F9" s="170">
        <v>2940</v>
      </c>
      <c r="G9" s="5547">
        <f>+G6*G2</f>
        <v>3038</v>
      </c>
      <c r="H9" s="170">
        <v>3026</v>
      </c>
      <c r="I9" s="2686">
        <f>+I6*I2</f>
        <v>5978</v>
      </c>
      <c r="J9" s="37">
        <f>+F9+H9</f>
        <v>5966</v>
      </c>
      <c r="K9" s="5672">
        <f>+K6*K2</f>
        <v>2820</v>
      </c>
      <c r="L9" s="170">
        <v>2882</v>
      </c>
      <c r="M9" s="2689">
        <f>+E9+G9+K9</f>
        <v>8798</v>
      </c>
      <c r="N9" s="67">
        <f>+F9+H9+L9</f>
        <v>8848</v>
      </c>
      <c r="O9" s="5820">
        <f>+O6*O2</f>
        <v>2914</v>
      </c>
      <c r="P9" s="170">
        <v>2958</v>
      </c>
      <c r="Q9" s="4270">
        <f>+M9+O9</f>
        <v>11712</v>
      </c>
      <c r="R9" s="37">
        <f>+N9+P9</f>
        <v>11806</v>
      </c>
      <c r="S9" s="5888">
        <f>+S6*S2</f>
        <v>2914</v>
      </c>
      <c r="T9" s="170">
        <v>3038</v>
      </c>
      <c r="U9" s="4317">
        <f>+Q9+S9</f>
        <v>14626</v>
      </c>
      <c r="V9" s="37">
        <f>+R9+T9</f>
        <v>14844</v>
      </c>
      <c r="W9" s="5993">
        <f>+W6*W2</f>
        <v>2763</v>
      </c>
      <c r="X9" s="170">
        <v>2940</v>
      </c>
      <c r="Y9" s="4397">
        <f>+O9+S9+W9</f>
        <v>8591</v>
      </c>
      <c r="Z9" s="4397">
        <f>+P9+T9+X9</f>
        <v>8936</v>
      </c>
      <c r="AA9" s="2690">
        <f>M9+Y9</f>
        <v>17389</v>
      </c>
      <c r="AB9" s="2690">
        <f>+N9+Z9</f>
        <v>17784</v>
      </c>
      <c r="AC9" s="6121">
        <f>+AC6*AC2</f>
        <v>2914</v>
      </c>
      <c r="AD9" s="170">
        <v>2993</v>
      </c>
      <c r="AE9" s="2686">
        <f>+AE6*AE2</f>
        <v>20303</v>
      </c>
      <c r="AF9" s="37">
        <f>+AB9+AD9</f>
        <v>20777</v>
      </c>
      <c r="AG9" s="6292">
        <f>+AG6*AG2</f>
        <v>2820</v>
      </c>
      <c r="AH9" s="170">
        <v>2827</v>
      </c>
      <c r="AI9" s="2686">
        <f>+AI6*AI2</f>
        <v>23123</v>
      </c>
      <c r="AJ9" s="37">
        <f>+AF9+AH9</f>
        <v>23604</v>
      </c>
      <c r="AK9" s="6544">
        <f>+AK6*AK2</f>
        <v>2914</v>
      </c>
      <c r="AL9" s="170">
        <v>2917</v>
      </c>
      <c r="AM9" s="2688">
        <f>+AC9+AG9+AK9</f>
        <v>8648</v>
      </c>
      <c r="AN9" s="2688">
        <f>+AD9+AH9+AL9</f>
        <v>8737</v>
      </c>
      <c r="AO9" s="2686">
        <f>AI9+AK9</f>
        <v>26037</v>
      </c>
      <c r="AP9" s="2686">
        <f>AJ9+AL9</f>
        <v>26521</v>
      </c>
      <c r="AQ9" s="6638">
        <f>+AQ6*AQ2</f>
        <v>2914</v>
      </c>
      <c r="AR9" s="170">
        <v>2940</v>
      </c>
      <c r="AS9" s="2686">
        <f>+AS6*AS2</f>
        <v>28951.000000000004</v>
      </c>
      <c r="AT9" s="37">
        <f>+AP9+AR9</f>
        <v>29461</v>
      </c>
      <c r="AU9" s="6803">
        <f>+AU6*AU2</f>
        <v>2632</v>
      </c>
      <c r="AV9" s="170">
        <v>2644</v>
      </c>
      <c r="AW9" s="2686">
        <f>+AW6*AW2</f>
        <v>31583.000000000004</v>
      </c>
      <c r="AX9" s="37">
        <f>+AT9+AV9</f>
        <v>32105</v>
      </c>
      <c r="AY9" s="6948">
        <f>+AY6*AY2</f>
        <v>2914</v>
      </c>
      <c r="AZ9" s="170">
        <v>3038</v>
      </c>
      <c r="BA9" s="2771">
        <f>+AQ9+AU9+AY9</f>
        <v>8460</v>
      </c>
      <c r="BB9" s="2771">
        <f>+AR9+AV9+AZ9</f>
        <v>8622</v>
      </c>
      <c r="BC9" s="2772">
        <f>AM9+BA9</f>
        <v>17108</v>
      </c>
      <c r="BD9" s="2772">
        <f t="shared" ref="BD9" si="15">AN9+BB9</f>
        <v>17359</v>
      </c>
      <c r="BE9" s="2770">
        <f>AW9+AY9</f>
        <v>34497</v>
      </c>
      <c r="BF9" s="2770">
        <f>AX9+AZ9</f>
        <v>35143</v>
      </c>
      <c r="BG9" s="1401">
        <v>35193.5</v>
      </c>
      <c r="BH9" s="1401">
        <v>35664</v>
      </c>
      <c r="BI9" s="1401">
        <v>36234</v>
      </c>
      <c r="BJ9" s="1401">
        <v>36225</v>
      </c>
      <c r="BK9" s="1401">
        <v>36056</v>
      </c>
      <c r="BL9" s="1818">
        <v>36135</v>
      </c>
      <c r="BM9" s="1401">
        <v>35706</v>
      </c>
      <c r="BN9" s="1818">
        <v>34875</v>
      </c>
      <c r="BO9" s="1401">
        <v>34800</v>
      </c>
      <c r="BP9" s="1818">
        <v>35502</v>
      </c>
      <c r="BQ9" s="1923">
        <v>35543</v>
      </c>
      <c r="BR9" s="1137"/>
      <c r="BS9" s="4234"/>
      <c r="BT9" s="4234"/>
      <c r="BU9" s="25"/>
      <c r="BV9" s="25"/>
      <c r="BW9" s="502"/>
      <c r="BX9" s="502"/>
    </row>
    <row r="10" spans="1:76" ht="15" customHeight="1" x14ac:dyDescent="0.25">
      <c r="B10" s="1892" t="s">
        <v>348</v>
      </c>
      <c r="C10" s="1863" t="s">
        <v>647</v>
      </c>
      <c r="D10" s="1868">
        <f>+D7*D2</f>
        <v>35666.93</v>
      </c>
      <c r="E10" s="1250">
        <f>+E7*E2</f>
        <v>2898</v>
      </c>
      <c r="F10" s="170">
        <v>2953</v>
      </c>
      <c r="G10" s="1250">
        <f>+G7*G2</f>
        <v>3038</v>
      </c>
      <c r="H10" s="170">
        <v>3022</v>
      </c>
      <c r="I10" s="2686">
        <f>+I7*I2</f>
        <v>5936</v>
      </c>
      <c r="J10" s="37">
        <f>+F10+H10</f>
        <v>5975</v>
      </c>
      <c r="K10" s="1250">
        <f>+K7*K2</f>
        <v>2940</v>
      </c>
      <c r="L10" s="170">
        <v>2954</v>
      </c>
      <c r="M10" s="2689">
        <f>+E10+G10+K10</f>
        <v>8876</v>
      </c>
      <c r="N10" s="67">
        <f>+F10+H10+L10</f>
        <v>8929</v>
      </c>
      <c r="O10" s="1250">
        <f>+O7*O2</f>
        <v>3038</v>
      </c>
      <c r="P10" s="170">
        <v>3069</v>
      </c>
      <c r="Q10" s="4270">
        <f>+M10+O10</f>
        <v>11914</v>
      </c>
      <c r="R10" s="37">
        <f>+N10+P10</f>
        <v>11998</v>
      </c>
      <c r="S10" s="1250">
        <f>+S7*S2</f>
        <v>3038</v>
      </c>
      <c r="T10" s="170">
        <v>3054</v>
      </c>
      <c r="U10" s="4317">
        <f>+Q10+S10</f>
        <v>14952</v>
      </c>
      <c r="V10" s="37">
        <f>+R10+T10</f>
        <v>15052</v>
      </c>
      <c r="W10" s="1250">
        <f>+W7*W2</f>
        <v>2805</v>
      </c>
      <c r="X10" s="170">
        <v>2963</v>
      </c>
      <c r="Y10" s="4397">
        <f>+O10+S10+W10</f>
        <v>8881</v>
      </c>
      <c r="Z10" s="4397">
        <f>+P10+T10+X10</f>
        <v>9086</v>
      </c>
      <c r="AA10" s="2690">
        <f>+M10+Y10</f>
        <v>17757</v>
      </c>
      <c r="AB10" s="2690">
        <f>+N10+Z10</f>
        <v>18015</v>
      </c>
      <c r="AC10" s="1250">
        <f>+AC7*AC2</f>
        <v>3038</v>
      </c>
      <c r="AD10" s="170">
        <v>3013</v>
      </c>
      <c r="AE10" s="2686">
        <f>+AE7*AE2</f>
        <v>20795</v>
      </c>
      <c r="AF10" s="37">
        <f>+AB10+AD10</f>
        <v>21028</v>
      </c>
      <c r="AG10" s="1250">
        <f>+AG7*AG2</f>
        <v>2940</v>
      </c>
      <c r="AH10" s="170">
        <v>2960</v>
      </c>
      <c r="AI10" s="2686">
        <f>+AI7*AI2</f>
        <v>23735</v>
      </c>
      <c r="AJ10" s="37">
        <f>+AF10+AH10</f>
        <v>23988</v>
      </c>
      <c r="AK10" s="1250">
        <f>+AK7*AK2</f>
        <v>3038</v>
      </c>
      <c r="AL10" s="170">
        <v>3061</v>
      </c>
      <c r="AM10" s="2688">
        <f>+AC10+AG10+AK10</f>
        <v>9016</v>
      </c>
      <c r="AN10" s="2688">
        <f>+AD10+AH10+AL10</f>
        <v>9034</v>
      </c>
      <c r="AO10" s="2686">
        <f>AI10+AK10</f>
        <v>26773</v>
      </c>
      <c r="AP10" s="2686">
        <f>AJ10+AL10</f>
        <v>27049</v>
      </c>
      <c r="AQ10" s="1250">
        <f>+AQ7*AQ2</f>
        <v>3038</v>
      </c>
      <c r="AR10" s="170">
        <v>3034</v>
      </c>
      <c r="AS10" s="2686">
        <f>+AS7*AS2</f>
        <v>29811</v>
      </c>
      <c r="AT10" s="37">
        <f>+AP10+AR10</f>
        <v>30083</v>
      </c>
      <c r="AU10" s="1250">
        <f>+AU7*AU2</f>
        <v>2744</v>
      </c>
      <c r="AV10" s="170">
        <v>2745</v>
      </c>
      <c r="AW10" s="2686">
        <f>+AW7*AW2</f>
        <v>32555</v>
      </c>
      <c r="AX10" s="37">
        <f>+AT10+AV10</f>
        <v>32828</v>
      </c>
      <c r="AY10" s="1250">
        <f>+AY7*AY2</f>
        <v>3038</v>
      </c>
      <c r="AZ10" s="170">
        <v>3059</v>
      </c>
      <c r="BA10" s="2771">
        <f>+AQ10+AU10+AY10</f>
        <v>8820</v>
      </c>
      <c r="BB10" s="2771">
        <f>+AR10+AV10+AZ10</f>
        <v>8838</v>
      </c>
      <c r="BC10" s="2772">
        <f>AM10+BA10</f>
        <v>17836</v>
      </c>
      <c r="BD10" s="2772">
        <f t="shared" ref="BD10" si="16">AN10+BB10</f>
        <v>17872</v>
      </c>
      <c r="BE10" s="2770">
        <f>AW10+AY10</f>
        <v>35593</v>
      </c>
      <c r="BF10" s="2770">
        <f>AX10+AZ10</f>
        <v>35887</v>
      </c>
      <c r="BG10" s="1401">
        <v>35831.199999999997</v>
      </c>
      <c r="BH10" s="1401">
        <v>35767</v>
      </c>
      <c r="BI10" s="1401">
        <v>35868.022471910102</v>
      </c>
      <c r="BJ10" s="1401">
        <v>35382</v>
      </c>
      <c r="BK10" s="1401">
        <v>33657</v>
      </c>
      <c r="BL10" s="1818">
        <v>36135</v>
      </c>
      <c r="BM10" s="1401">
        <v>35338</v>
      </c>
      <c r="BN10" s="1818">
        <v>34383</v>
      </c>
      <c r="BO10" s="1401">
        <v>33134</v>
      </c>
      <c r="BP10" s="1818">
        <v>35502</v>
      </c>
      <c r="BQ10" s="1923">
        <v>35030</v>
      </c>
      <c r="BR10" s="1137"/>
      <c r="BS10" s="4234"/>
      <c r="BT10" s="4234"/>
      <c r="BU10" s="25"/>
      <c r="BV10" s="25"/>
      <c r="BW10" s="502"/>
      <c r="BX10" s="502"/>
    </row>
    <row r="11" spans="1:76" ht="15" customHeight="1" thickBot="1" x14ac:dyDescent="0.3">
      <c r="B11" s="1894" t="s">
        <v>648</v>
      </c>
      <c r="C11" s="1872" t="s">
        <v>647</v>
      </c>
      <c r="D11" s="2705">
        <f t="shared" ref="D11:L11" si="17">+D9+(D10*(31.55/17.2))</f>
        <v>100649.93264534885</v>
      </c>
      <c r="E11" s="2706">
        <f t="shared" si="17"/>
        <v>8255.8081395348854</v>
      </c>
      <c r="F11" s="2707">
        <f t="shared" si="17"/>
        <v>8356.6947674418607</v>
      </c>
      <c r="G11" s="2706">
        <f t="shared" ref="G11" si="18">+G9+(G10*(31.55/17.2))</f>
        <v>8610.6104651162786</v>
      </c>
      <c r="H11" s="2707">
        <f t="shared" ref="H11" si="19">+H9+(H10*(31.55/17.2))</f>
        <v>8569.2616279069771</v>
      </c>
      <c r="I11" s="2708">
        <f t="shared" si="17"/>
        <v>16866.418604651164</v>
      </c>
      <c r="J11" s="2709">
        <f t="shared" si="17"/>
        <v>16925.95639534884</v>
      </c>
      <c r="K11" s="2706">
        <f t="shared" si="17"/>
        <v>8212.8488372093016</v>
      </c>
      <c r="L11" s="2707">
        <f t="shared" si="17"/>
        <v>8300.5290697674427</v>
      </c>
      <c r="M11" s="1918">
        <f t="shared" ref="M11" si="20">+M9+(M10*(31.55/17.2))</f>
        <v>25079.267441860466</v>
      </c>
      <c r="N11" s="1919">
        <f t="shared" ref="N11:P11" si="21">+N9+(N10*(31.55/17.2))</f>
        <v>25226.485465116282</v>
      </c>
      <c r="O11" s="2706">
        <f t="shared" si="21"/>
        <v>8486.6104651162786</v>
      </c>
      <c r="P11" s="2707">
        <f t="shared" si="21"/>
        <v>8587.4738372093016</v>
      </c>
      <c r="Q11" s="1910">
        <f t="shared" ref="Q11" si="22">+Q9+(Q10*(31.55/17.2))</f>
        <v>33565.877906976748</v>
      </c>
      <c r="R11" s="1878">
        <f t="shared" ref="R11:U11" si="23">+R9+(R10*(31.55/17.2))</f>
        <v>33813.959302325587</v>
      </c>
      <c r="S11" s="2706">
        <f t="shared" si="23"/>
        <v>8486.6104651162786</v>
      </c>
      <c r="T11" s="2707">
        <f t="shared" si="23"/>
        <v>8639.959302325582</v>
      </c>
      <c r="U11" s="1910">
        <f t="shared" si="23"/>
        <v>42052.488372093023</v>
      </c>
      <c r="V11" s="1878">
        <f t="shared" ref="V11:X11" si="24">+V9+(V10*(31.55/17.2))</f>
        <v>42453.91860465116</v>
      </c>
      <c r="W11" s="2706">
        <f t="shared" si="24"/>
        <v>7908.2180232558139</v>
      </c>
      <c r="X11" s="2707">
        <f t="shared" si="24"/>
        <v>8375.0377906976755</v>
      </c>
      <c r="Y11" s="4399">
        <f>Y9+(Y10*31.55/17.2)</f>
        <v>24881.438953488374</v>
      </c>
      <c r="Z11" s="4399">
        <f>Z9+(Z10*31.55/17.2)</f>
        <v>25602.470930232557</v>
      </c>
      <c r="AA11" s="513">
        <f>AA9+(AA10*31.55/17.2)</f>
        <v>49960.70639534884</v>
      </c>
      <c r="AB11" s="513">
        <f>AB9+(AB10*31.55/17.2)</f>
        <v>50828.95639534884</v>
      </c>
      <c r="AC11" s="2706">
        <f t="shared" ref="AC11:AD11" si="25">+AC9+(AC10*(31.55/17.2))</f>
        <v>8486.6104651162786</v>
      </c>
      <c r="AD11" s="2707">
        <f t="shared" si="25"/>
        <v>8519.7529069767443</v>
      </c>
      <c r="AE11" s="2708">
        <f t="shared" ref="AE11:AH11" si="26">+AE9+(AE10*(31.55/17.2))</f>
        <v>58447.316860465122</v>
      </c>
      <c r="AF11" s="2709">
        <f t="shared" si="26"/>
        <v>59348.709302325587</v>
      </c>
      <c r="AG11" s="2706">
        <f t="shared" si="26"/>
        <v>8212.8488372093016</v>
      </c>
      <c r="AH11" s="2707">
        <f t="shared" si="26"/>
        <v>8256.5348837209312</v>
      </c>
      <c r="AI11" s="2708">
        <f t="shared" ref="AI11:AL11" si="27">+AI9+(AI10*(31.55/17.2))</f>
        <v>66660.165697674413</v>
      </c>
      <c r="AJ11" s="2709">
        <f t="shared" si="27"/>
        <v>67605.244186046519</v>
      </c>
      <c r="AK11" s="2706">
        <f t="shared" si="27"/>
        <v>8486.6104651162786</v>
      </c>
      <c r="AL11" s="2707">
        <f t="shared" si="27"/>
        <v>8531.7994186046526</v>
      </c>
      <c r="AM11" s="354">
        <f>AM9+(AM10*31.55/17.2)</f>
        <v>25186.069767441859</v>
      </c>
      <c r="AN11" s="354">
        <f>AN9+(AN10*31.55/17.2)</f>
        <v>25308.087209302328</v>
      </c>
      <c r="AO11" s="2708">
        <f t="shared" ref="AO11:AT11" si="28">+AO9+(AO10*(31.55/17.2))</f>
        <v>75146.776162790702</v>
      </c>
      <c r="AP11" s="2709">
        <f t="shared" si="28"/>
        <v>76137.043604651175</v>
      </c>
      <c r="AQ11" s="2706">
        <f t="shared" si="28"/>
        <v>8486.6104651162786</v>
      </c>
      <c r="AR11" s="2707">
        <f t="shared" si="28"/>
        <v>8505.2732558139542</v>
      </c>
      <c r="AS11" s="2708">
        <f t="shared" si="28"/>
        <v>83633.386627906992</v>
      </c>
      <c r="AT11" s="2709">
        <f t="shared" si="28"/>
        <v>84642.316860465129</v>
      </c>
      <c r="AU11" s="2706">
        <f t="shared" ref="AU11:AV11" si="29">+AU9+(AU10*(31.55/17.2))</f>
        <v>7665.3255813953492</v>
      </c>
      <c r="AV11" s="2707">
        <f t="shared" si="29"/>
        <v>7679.1598837209303</v>
      </c>
      <c r="AW11" s="2708">
        <f t="shared" ref="AW11:AZ11" si="30">+AW9+(AW10*(31.55/17.2))</f>
        <v>91298.712209302335</v>
      </c>
      <c r="AX11" s="2709">
        <f t="shared" si="30"/>
        <v>92321.476744186046</v>
      </c>
      <c r="AY11" s="2706">
        <f t="shared" si="30"/>
        <v>8486.6104651162786</v>
      </c>
      <c r="AZ11" s="2707">
        <f t="shared" si="30"/>
        <v>8649.1308139534885</v>
      </c>
      <c r="BA11" s="354">
        <f>BA9+(BA10*31.55/17.2)</f>
        <v>24638.546511627908</v>
      </c>
      <c r="BB11" s="354">
        <f>BB9+(BB10*31.55/17.2)</f>
        <v>24833.563953488374</v>
      </c>
      <c r="BC11" s="513">
        <f>BC9+(BC10*31.55/17.2)</f>
        <v>49824.616279069771</v>
      </c>
      <c r="BD11" s="513">
        <f>BD9+(BD10*31.55/17.2)</f>
        <v>50141.651162790695</v>
      </c>
      <c r="BE11" s="2708">
        <f t="shared" ref="BE11:BF11" si="31">+BE9+(BE10*(31.55/17.2))</f>
        <v>99785.32267441861</v>
      </c>
      <c r="BF11" s="2709">
        <f t="shared" si="31"/>
        <v>100970.60755813954</v>
      </c>
      <c r="BG11" s="1059">
        <v>100918.75348837209</v>
      </c>
      <c r="BH11" s="1059">
        <v>101271.49127906977</v>
      </c>
      <c r="BI11" s="1059">
        <v>102026.79703423046</v>
      </c>
      <c r="BJ11" s="1059">
        <v>101126.28488372095</v>
      </c>
      <c r="BK11" s="1059">
        <v>97793.113372093183</v>
      </c>
      <c r="BL11" s="1059">
        <v>102417.51453488389</v>
      </c>
      <c r="BM11" s="1059">
        <v>100526.5755813955</v>
      </c>
      <c r="BN11" s="1059">
        <v>97943.816860465275</v>
      </c>
      <c r="BO11" s="1059">
        <v>95577.7732558141</v>
      </c>
      <c r="BP11" s="1059">
        <v>100623.40116279086</v>
      </c>
      <c r="BQ11" s="1924">
        <v>99798.61046511645</v>
      </c>
      <c r="BR11" s="1137"/>
      <c r="BS11" s="4234"/>
      <c r="BT11" s="4487"/>
      <c r="BU11" s="4487"/>
      <c r="BV11" s="25"/>
      <c r="BW11" s="502"/>
      <c r="BX11" s="502"/>
    </row>
    <row r="12" spans="1:76" ht="15" hidden="1" customHeight="1" x14ac:dyDescent="0.3">
      <c r="A12" s="139"/>
      <c r="B12" s="1895" t="s">
        <v>340</v>
      </c>
      <c r="C12" s="1925"/>
      <c r="D12" s="2697"/>
      <c r="E12" s="2697"/>
      <c r="F12" s="2697"/>
      <c r="G12" s="2697"/>
      <c r="H12" s="2697"/>
      <c r="I12" s="2697"/>
      <c r="J12" s="2697"/>
      <c r="K12" s="2697"/>
      <c r="L12" s="2697"/>
      <c r="M12" s="2697"/>
      <c r="N12" s="2697"/>
      <c r="O12" s="2697"/>
      <c r="P12" s="2697"/>
      <c r="Q12" s="2697"/>
      <c r="R12" s="2697"/>
      <c r="S12" s="2697"/>
      <c r="T12" s="2697"/>
      <c r="U12" s="2697"/>
      <c r="V12" s="2697"/>
      <c r="W12" s="2697"/>
      <c r="X12" s="2697"/>
      <c r="Y12" s="2697"/>
      <c r="Z12" s="2697"/>
      <c r="AA12" s="2697"/>
      <c r="AB12" s="2697"/>
      <c r="AC12" s="2697"/>
      <c r="AD12" s="2697"/>
      <c r="AE12" s="2697"/>
      <c r="AF12" s="2697"/>
      <c r="AG12" s="2697"/>
      <c r="AH12" s="2697"/>
      <c r="AI12" s="2697"/>
      <c r="AJ12" s="2697"/>
      <c r="AK12" s="2697"/>
      <c r="AL12" s="2697"/>
      <c r="AM12" s="2697"/>
      <c r="AN12" s="2697"/>
      <c r="AO12" s="2697"/>
      <c r="AP12" s="2697"/>
      <c r="AQ12" s="2697"/>
      <c r="AR12" s="2697"/>
      <c r="AS12" s="2697"/>
      <c r="AT12" s="2697"/>
      <c r="AU12" s="2697"/>
      <c r="AV12" s="2697"/>
      <c r="AW12" s="2697"/>
      <c r="AX12" s="2697"/>
      <c r="AY12" s="2697"/>
      <c r="AZ12" s="2697"/>
      <c r="BA12" s="2697"/>
      <c r="BB12" s="2697"/>
      <c r="BC12" s="2697"/>
      <c r="BD12" s="2697"/>
      <c r="BE12" s="2697"/>
      <c r="BF12" s="2697"/>
      <c r="BG12" s="1925"/>
      <c r="BH12" s="1925"/>
      <c r="BI12" s="1925"/>
      <c r="BJ12" s="1925"/>
      <c r="BK12" s="1925"/>
      <c r="BL12" s="1925"/>
      <c r="BM12" s="1925"/>
      <c r="BN12" s="1925"/>
      <c r="BO12" s="1925"/>
      <c r="BP12" s="1925"/>
      <c r="BQ12" s="1926"/>
      <c r="BR12" s="1137"/>
      <c r="BS12" s="4234"/>
      <c r="BT12" s="4487"/>
      <c r="BU12" s="4487"/>
      <c r="BV12" s="25"/>
      <c r="BW12" s="502"/>
      <c r="BX12" s="502"/>
    </row>
    <row r="13" spans="1:76" ht="15" hidden="1" customHeight="1" x14ac:dyDescent="0.3">
      <c r="B13" s="1896" t="s">
        <v>146</v>
      </c>
      <c r="C13" s="1863" t="s">
        <v>50</v>
      </c>
      <c r="D13" s="1868">
        <f>+D9*0.7*17.2</f>
        <v>424121.03999999992</v>
      </c>
      <c r="E13" s="2687">
        <f>+E9*0.7*17.2</f>
        <v>35397.599999999999</v>
      </c>
      <c r="F13" s="17">
        <f>'COKE OVENS'!F21</f>
        <v>35144.759999999995</v>
      </c>
      <c r="G13" s="5547">
        <f>+G9*0.7*17.2</f>
        <v>36577.519999999997</v>
      </c>
      <c r="H13" s="17">
        <f>'COKE OVENS'!H21</f>
        <v>36433.039999999994</v>
      </c>
      <c r="I13" s="2686">
        <f>+E13+G13</f>
        <v>71975.12</v>
      </c>
      <c r="J13" s="37">
        <f>+F13+H13</f>
        <v>71577.799999999988</v>
      </c>
      <c r="K13" s="5672">
        <f>+K9*0.7*17.2</f>
        <v>33952.799999999996</v>
      </c>
      <c r="L13" s="17">
        <f>'COKE OVENS'!L21</f>
        <v>34699.279999999999</v>
      </c>
      <c r="M13" s="2689">
        <f>+E13+G13+K13</f>
        <v>105927.91999999998</v>
      </c>
      <c r="N13" s="67">
        <f>+F13+H13+L13</f>
        <v>106277.07999999999</v>
      </c>
      <c r="O13" s="5820">
        <f>+O9*0.7*17.2</f>
        <v>35084.559999999998</v>
      </c>
      <c r="P13" s="17">
        <f>'COKE OVENS'!P21</f>
        <v>35614.32</v>
      </c>
      <c r="Q13" s="4270">
        <f>+M13+O13</f>
        <v>141012.47999999998</v>
      </c>
      <c r="R13" s="37">
        <f>+N13+P13</f>
        <v>141891.4</v>
      </c>
      <c r="S13" s="5888">
        <f>+S9*0.7*17.2</f>
        <v>35084.559999999998</v>
      </c>
      <c r="T13" s="17">
        <f>'COKE OVENS'!T21</f>
        <v>36577.519999999997</v>
      </c>
      <c r="U13" s="4317">
        <f>+Q13+S13</f>
        <v>176097.03999999998</v>
      </c>
      <c r="V13" s="37">
        <f>+R13+T13</f>
        <v>178468.91999999998</v>
      </c>
      <c r="W13" s="5993">
        <f>+W9*0.7*17.2</f>
        <v>33266.519999999997</v>
      </c>
      <c r="X13" s="17">
        <f>'COKE OVENS'!X21</f>
        <v>35397.599999999999</v>
      </c>
      <c r="Y13" s="4397">
        <f>+O13+S13+W13</f>
        <v>103435.63999999998</v>
      </c>
      <c r="Z13" s="4397">
        <f>+P13+T13+X13</f>
        <v>107589.44</v>
      </c>
      <c r="AA13" s="2690">
        <f>+M13+Y13</f>
        <v>209363.55999999997</v>
      </c>
      <c r="AB13" s="2690">
        <f>+N13+Z13</f>
        <v>213866.52</v>
      </c>
      <c r="AC13" s="6121">
        <f>+AC9*0.7*17.2</f>
        <v>35084.559999999998</v>
      </c>
      <c r="AD13" s="17">
        <f>'COKE OVENS'!AD21</f>
        <v>35881.281200000005</v>
      </c>
      <c r="AE13" s="2686">
        <f>+AA13+AC13</f>
        <v>244448.11999999997</v>
      </c>
      <c r="AF13" s="37">
        <f>+AB13+AD13</f>
        <v>249747.80119999999</v>
      </c>
      <c r="AG13" s="6292">
        <f>+AG9*0.7*17.2</f>
        <v>33952.799999999996</v>
      </c>
      <c r="AH13" s="17">
        <f>'COKE OVENS'!AH21</f>
        <v>33793.957999999999</v>
      </c>
      <c r="AI13" s="2686">
        <f>+AE13+AG13</f>
        <v>278400.92</v>
      </c>
      <c r="AJ13" s="37">
        <f>+AF13+AH13</f>
        <v>283541.75919999997</v>
      </c>
      <c r="AK13" s="6544">
        <f>+AK9*0.7*17.2</f>
        <v>35084.559999999998</v>
      </c>
      <c r="AL13" s="17">
        <f>'COKE OVENS'!AL21</f>
        <v>34869.817999999999</v>
      </c>
      <c r="AM13" s="2688">
        <f>+AC13+AG13+AK13</f>
        <v>104121.91999999998</v>
      </c>
      <c r="AN13" s="2688">
        <f>+AD13+AH13+AL13</f>
        <v>104545.05720000001</v>
      </c>
      <c r="AO13" s="2686">
        <f>AI13+AK13</f>
        <v>313485.48</v>
      </c>
      <c r="AP13" s="2686">
        <f>AJ13+AL13</f>
        <v>318411.57719999994</v>
      </c>
      <c r="AQ13" s="6638">
        <f>+AQ9*0.7*17.2</f>
        <v>35084.559999999998</v>
      </c>
      <c r="AR13" s="17">
        <f>'COKE OVENS'!AR21</f>
        <v>35144.759999999995</v>
      </c>
      <c r="AS13" s="2686">
        <f>+AO13+AQ13</f>
        <v>348570.04</v>
      </c>
      <c r="AT13" s="37">
        <f>+AP13+AR13</f>
        <v>353556.33719999995</v>
      </c>
      <c r="AU13" s="6803">
        <f>+AU9*0.7*17.2</f>
        <v>31689.279999999995</v>
      </c>
      <c r="AV13" s="17">
        <f>'COKE OVENS'!AV21</f>
        <v>31606.375999999993</v>
      </c>
      <c r="AW13" s="2686">
        <f>+AS13+AU13</f>
        <v>380259.31999999995</v>
      </c>
      <c r="AX13" s="37">
        <f>+AT13+AV13</f>
        <v>385162.71319999994</v>
      </c>
      <c r="AY13" s="6948">
        <f>+AY9*0.7*17.2</f>
        <v>35084.559999999998</v>
      </c>
      <c r="AZ13" s="17">
        <f>'COKE OVENS'!AZ21</f>
        <v>36316.251999999993</v>
      </c>
      <c r="BA13" s="2771">
        <f>+AQ13+AU13+AY13</f>
        <v>101858.4</v>
      </c>
      <c r="BB13" s="2771">
        <f>+AR13+AV13+AZ13</f>
        <v>103067.38799999998</v>
      </c>
      <c r="BC13" s="2772">
        <f>AM13+BA13</f>
        <v>205980.31999999998</v>
      </c>
      <c r="BD13" s="2772">
        <f t="shared" ref="BD13:BD14" si="32">AN13+BB13</f>
        <v>207612.44519999999</v>
      </c>
      <c r="BE13" s="2770">
        <f>AW13+AY13</f>
        <v>415343.87999999995</v>
      </c>
      <c r="BF13" s="2770">
        <f>AX13+AZ13</f>
        <v>421478.96519999992</v>
      </c>
      <c r="BG13" s="5548">
        <v>423729.73999999993</v>
      </c>
      <c r="BH13" s="5548">
        <v>431508.83856714121</v>
      </c>
      <c r="BI13" s="3062">
        <v>433141.23599999998</v>
      </c>
      <c r="BJ13" s="3032">
        <v>432382.84677469998</v>
      </c>
      <c r="BK13" s="1818">
        <v>430769.03254755842</v>
      </c>
      <c r="BL13" s="1818">
        <v>438172.79000000004</v>
      </c>
      <c r="BM13" s="1818">
        <v>428806</v>
      </c>
      <c r="BN13" s="1818">
        <v>425506</v>
      </c>
      <c r="BO13" s="1818">
        <v>430922.2</v>
      </c>
      <c r="BP13" s="1818">
        <v>406071.87599999999</v>
      </c>
      <c r="BQ13" s="1019">
        <v>412610.14</v>
      </c>
      <c r="BR13" s="1137"/>
      <c r="BS13" s="4234"/>
      <c r="BT13" s="4487"/>
      <c r="BU13" s="4487"/>
      <c r="BV13" s="25"/>
      <c r="BW13" s="502"/>
      <c r="BX13" s="502"/>
    </row>
    <row r="14" spans="1:76" ht="15" hidden="1" customHeight="1" x14ac:dyDescent="0.3">
      <c r="B14" s="1896" t="s">
        <v>147</v>
      </c>
      <c r="C14" s="1863" t="s">
        <v>50</v>
      </c>
      <c r="D14" s="1868">
        <f>+D10*0.7*31.55</f>
        <v>787704.14905000001</v>
      </c>
      <c r="E14" s="2687">
        <f>+E10*31.55*0.7</f>
        <v>64002.33</v>
      </c>
      <c r="F14" s="17">
        <f>'COKE OVENS'!F22</f>
        <v>64751.169249999999</v>
      </c>
      <c r="G14" s="5547">
        <f>+G10*31.55*0.7</f>
        <v>67094.23</v>
      </c>
      <c r="H14" s="17">
        <f>'COKE OVENS'!H22</f>
        <v>66740.87</v>
      </c>
      <c r="I14" s="2686">
        <f>+E14+G14</f>
        <v>131096.56</v>
      </c>
      <c r="J14" s="37">
        <f>+F14+H14</f>
        <v>131492.03925</v>
      </c>
      <c r="K14" s="5672">
        <f>+K10*31.55*0.7</f>
        <v>64929.899999999994</v>
      </c>
      <c r="L14" s="17">
        <f>'COKE OVENS'!L22</f>
        <v>65239.09</v>
      </c>
      <c r="M14" s="2689">
        <f>+E14+G14+K14</f>
        <v>196026.46</v>
      </c>
      <c r="N14" s="67">
        <f>+F14+H14+L14</f>
        <v>196731.12925</v>
      </c>
      <c r="O14" s="5820">
        <f>+O10*31.55*0.7</f>
        <v>67094.23</v>
      </c>
      <c r="P14" s="17">
        <f>'COKE OVENS'!P22</f>
        <v>67778.864999999991</v>
      </c>
      <c r="Q14" s="4270">
        <f>+M14+O14</f>
        <v>263120.69</v>
      </c>
      <c r="R14" s="37">
        <f>+N14+P14</f>
        <v>264509.99424999999</v>
      </c>
      <c r="S14" s="5888">
        <f>+S10*31.55*0.7</f>
        <v>67094.23</v>
      </c>
      <c r="T14" s="17">
        <f>'COKE OVENS'!T22</f>
        <v>67447.59</v>
      </c>
      <c r="U14" s="4317">
        <f>+Q14+S14</f>
        <v>330214.92</v>
      </c>
      <c r="V14" s="37">
        <f>+R14+T14</f>
        <v>331957.58424999996</v>
      </c>
      <c r="W14" s="5993">
        <f>+W10*31.55*0.7</f>
        <v>61948.424999999996</v>
      </c>
      <c r="X14" s="17">
        <f>'COKE OVENS'!X22</f>
        <v>64963.855000000003</v>
      </c>
      <c r="Y14" s="4397">
        <f>+O14+S14+W14</f>
        <v>196136.88499999998</v>
      </c>
      <c r="Z14" s="4397">
        <f>+P14+T14+X14</f>
        <v>200190.31</v>
      </c>
      <c r="AA14" s="2690">
        <f>+M14+Y14</f>
        <v>392163.34499999997</v>
      </c>
      <c r="AB14" s="2690">
        <f>+N14+Z14</f>
        <v>396921.43925</v>
      </c>
      <c r="AC14" s="6121">
        <f>+AC10*31.55*0.7</f>
        <v>67094.23</v>
      </c>
      <c r="AD14" s="17">
        <f>'COKE OVENS'!AD22</f>
        <v>66256.924550000011</v>
      </c>
      <c r="AE14" s="2686">
        <f>+AA14+AC14</f>
        <v>459257.57499999995</v>
      </c>
      <c r="AF14" s="37">
        <f>+AB14+AD14</f>
        <v>463178.36379999999</v>
      </c>
      <c r="AG14" s="6292">
        <f>+AG10*31.55*0.7</f>
        <v>64929.899999999994</v>
      </c>
      <c r="AH14" s="17">
        <f>'COKE OVENS'!AH22</f>
        <v>64904.659999999996</v>
      </c>
      <c r="AI14" s="2686">
        <f>+AE14+AG14</f>
        <v>524187.47499999998</v>
      </c>
      <c r="AJ14" s="37">
        <f>+AF14+AH14</f>
        <v>528083.02379999997</v>
      </c>
      <c r="AK14" s="6544">
        <f>+AK10*31.55*0.7</f>
        <v>67094.23</v>
      </c>
      <c r="AL14" s="17">
        <f>'COKE OVENS'!AL22</f>
        <v>67119.312250000003</v>
      </c>
      <c r="AM14" s="2688">
        <f>+AC14+AG14+AK14</f>
        <v>199118.36</v>
      </c>
      <c r="AN14" s="2688">
        <f>+AD14+AH14+AL14</f>
        <v>198280.89679999999</v>
      </c>
      <c r="AO14" s="2686">
        <f>AI14+AK14</f>
        <v>591281.70499999996</v>
      </c>
      <c r="AP14" s="2686">
        <f>AJ14+AL14</f>
        <v>595202.33604999993</v>
      </c>
      <c r="AQ14" s="6638">
        <f>+AQ10*31.55*0.7</f>
        <v>67094.23</v>
      </c>
      <c r="AR14" s="17">
        <f>'COKE OVENS'!AR22</f>
        <v>66527.276499999993</v>
      </c>
      <c r="AS14" s="2686">
        <f>+AO14+AQ14</f>
        <v>658375.93499999994</v>
      </c>
      <c r="AT14" s="37">
        <f>+AP14+AR14</f>
        <v>661729.61254999996</v>
      </c>
      <c r="AU14" s="6803">
        <f>+AU10*31.55*0.7</f>
        <v>60601.239999999991</v>
      </c>
      <c r="AV14" s="17">
        <f>'COKE OVENS'!AV22</f>
        <v>60190.301249999997</v>
      </c>
      <c r="AW14" s="2686">
        <f>+AS14+AU14</f>
        <v>718977.17499999993</v>
      </c>
      <c r="AX14" s="37">
        <f>+AT14+AV14</f>
        <v>721919.91379999998</v>
      </c>
      <c r="AY14" s="6948">
        <f>+AY10*31.55*0.7</f>
        <v>67094.23</v>
      </c>
      <c r="AZ14" s="17">
        <f>'COKE OVENS'!AZ22</f>
        <v>67075.457749999987</v>
      </c>
      <c r="BA14" s="2771">
        <f>+AQ14+AU14+AY14</f>
        <v>194789.69999999998</v>
      </c>
      <c r="BB14" s="2771">
        <f>+AR14+AV14+AZ14</f>
        <v>193793.0355</v>
      </c>
      <c r="BC14" s="2772">
        <f>AM14+BA14</f>
        <v>393908.05999999994</v>
      </c>
      <c r="BD14" s="2772">
        <f t="shared" si="32"/>
        <v>392073.93229999999</v>
      </c>
      <c r="BE14" s="2770">
        <f>AW14+AY14</f>
        <v>786071.40499999991</v>
      </c>
      <c r="BF14" s="2770">
        <f>AX14+AZ14</f>
        <v>788995.37154999992</v>
      </c>
      <c r="BG14" s="5548">
        <v>791332.05199999991</v>
      </c>
      <c r="BH14" s="5548">
        <v>793765.3142773587</v>
      </c>
      <c r="BI14" s="3062">
        <v>786486.60299999989</v>
      </c>
      <c r="BJ14" s="3032">
        <v>774691.64970837045</v>
      </c>
      <c r="BK14" s="1818">
        <v>737579.37599844171</v>
      </c>
      <c r="BL14" s="1818">
        <v>803741.80374999996</v>
      </c>
      <c r="BM14" s="1818">
        <v>778192</v>
      </c>
      <c r="BN14" s="1818">
        <v>770203</v>
      </c>
      <c r="BO14" s="1818">
        <v>752591.4</v>
      </c>
      <c r="BP14" s="1818">
        <v>744858.58650000009</v>
      </c>
      <c r="BQ14" s="1019">
        <v>745859.84</v>
      </c>
      <c r="BR14" s="1137"/>
      <c r="BS14" s="4234"/>
      <c r="BT14" s="4487"/>
      <c r="BU14" s="4487"/>
      <c r="BV14" s="25"/>
      <c r="BW14" s="502"/>
      <c r="BX14" s="502"/>
    </row>
    <row r="15" spans="1:76" ht="15" hidden="1" customHeight="1" thickBot="1" x14ac:dyDescent="0.3">
      <c r="B15" s="1894" t="s">
        <v>1495</v>
      </c>
      <c r="C15" s="1872" t="s">
        <v>50</v>
      </c>
      <c r="D15" s="1869">
        <f t="shared" ref="D15:N15" si="33">SUM(D13:D14)</f>
        <v>1211825.1890499999</v>
      </c>
      <c r="E15" s="1627">
        <f t="shared" si="33"/>
        <v>99399.93</v>
      </c>
      <c r="F15" s="1908">
        <f t="shared" si="33"/>
        <v>99895.929249999986</v>
      </c>
      <c r="G15" s="5553">
        <f t="shared" ref="G15" si="34">SUM(G13:G14)</f>
        <v>103671.75</v>
      </c>
      <c r="H15" s="1908">
        <f t="shared" ref="H15" si="35">SUM(H13:H14)</f>
        <v>103173.90999999999</v>
      </c>
      <c r="I15" s="2710">
        <f t="shared" si="33"/>
        <v>203071.68</v>
      </c>
      <c r="J15" s="2711">
        <f t="shared" si="33"/>
        <v>203069.83924999999</v>
      </c>
      <c r="K15" s="5697">
        <f t="shared" ref="K15:L15" si="36">SUM(K13:K14)</f>
        <v>98882.699999999983</v>
      </c>
      <c r="L15" s="1908">
        <f t="shared" si="36"/>
        <v>99938.37</v>
      </c>
      <c r="M15" s="1918">
        <f t="shared" si="33"/>
        <v>301954.38</v>
      </c>
      <c r="N15" s="1919">
        <f t="shared" si="33"/>
        <v>303008.20924999996</v>
      </c>
      <c r="O15" s="5822">
        <f t="shared" ref="O15:P15" si="37">SUM(O13:O14)</f>
        <v>102178.79</v>
      </c>
      <c r="P15" s="1908">
        <f t="shared" si="37"/>
        <v>103393.185</v>
      </c>
      <c r="Q15" s="1910">
        <f>SUM(Q13:Q14)</f>
        <v>404133.17</v>
      </c>
      <c r="R15" s="1878">
        <f>SUM(R13:R14)</f>
        <v>406401.39425000001</v>
      </c>
      <c r="S15" s="5904">
        <f t="shared" ref="S15:T15" si="38">SUM(S13:S14)</f>
        <v>102178.79</v>
      </c>
      <c r="T15" s="1908">
        <f t="shared" si="38"/>
        <v>104025.10999999999</v>
      </c>
      <c r="U15" s="1910">
        <f t="shared" ref="U15:X15" si="39">SUM(U13:U14)</f>
        <v>506311.95999999996</v>
      </c>
      <c r="V15" s="1878">
        <f t="shared" si="39"/>
        <v>510426.50424999994</v>
      </c>
      <c r="W15" s="5997">
        <f t="shared" si="39"/>
        <v>95214.944999999992</v>
      </c>
      <c r="X15" s="1908">
        <f t="shared" si="39"/>
        <v>100361.455</v>
      </c>
      <c r="Y15" s="4399">
        <f t="shared" ref="Y15:AD15" si="40">SUM(Y13:Y14)</f>
        <v>299572.52499999997</v>
      </c>
      <c r="Z15" s="4399">
        <f t="shared" si="40"/>
        <v>307779.75</v>
      </c>
      <c r="AA15" s="513">
        <f t="shared" si="40"/>
        <v>601526.90499999991</v>
      </c>
      <c r="AB15" s="513">
        <f t="shared" si="40"/>
        <v>610787.95924999996</v>
      </c>
      <c r="AC15" s="6128">
        <f t="shared" si="40"/>
        <v>102178.79</v>
      </c>
      <c r="AD15" s="1908">
        <f t="shared" si="40"/>
        <v>102138.20575000002</v>
      </c>
      <c r="AE15" s="2710">
        <f t="shared" ref="AE15:AH15" si="41">SUM(AE13:AE14)</f>
        <v>703705.69499999995</v>
      </c>
      <c r="AF15" s="2711">
        <f t="shared" si="41"/>
        <v>712926.16500000004</v>
      </c>
      <c r="AG15" s="6322">
        <f t="shared" si="41"/>
        <v>98882.699999999983</v>
      </c>
      <c r="AH15" s="1908">
        <f t="shared" si="41"/>
        <v>98698.617999999988</v>
      </c>
      <c r="AI15" s="2710">
        <f t="shared" ref="AI15:AN15" si="42">SUM(AI13:AI14)</f>
        <v>802588.39500000002</v>
      </c>
      <c r="AJ15" s="2711">
        <f t="shared" si="42"/>
        <v>811624.78299999994</v>
      </c>
      <c r="AK15" s="6560">
        <f t="shared" si="42"/>
        <v>102178.79</v>
      </c>
      <c r="AL15" s="1908">
        <f t="shared" si="42"/>
        <v>101989.13025</v>
      </c>
      <c r="AM15" s="354">
        <f t="shared" si="42"/>
        <v>303240.27999999997</v>
      </c>
      <c r="AN15" s="354">
        <f t="shared" si="42"/>
        <v>302825.95400000003</v>
      </c>
      <c r="AO15" s="2710">
        <f t="shared" ref="AO15:AT15" si="43">SUM(AO13:AO14)</f>
        <v>904767.18499999994</v>
      </c>
      <c r="AP15" s="2711">
        <f t="shared" si="43"/>
        <v>913613.91324999987</v>
      </c>
      <c r="AQ15" s="6661">
        <f t="shared" si="43"/>
        <v>102178.79</v>
      </c>
      <c r="AR15" s="1908">
        <f t="shared" si="43"/>
        <v>101672.03649999999</v>
      </c>
      <c r="AS15" s="2710">
        <f t="shared" si="43"/>
        <v>1006945.9749999999</v>
      </c>
      <c r="AT15" s="2711">
        <f t="shared" si="43"/>
        <v>1015285.9497499999</v>
      </c>
      <c r="AU15" s="6810">
        <f t="shared" ref="AU15:AV15" si="44">SUM(AU13:AU14)</f>
        <v>92290.51999999999</v>
      </c>
      <c r="AV15" s="1908">
        <f t="shared" si="44"/>
        <v>91796.677249999993</v>
      </c>
      <c r="AW15" s="2710">
        <f t="shared" ref="AW15:BF15" si="45">SUM(AW13:AW14)</f>
        <v>1099236.4949999999</v>
      </c>
      <c r="AX15" s="2711">
        <f t="shared" si="45"/>
        <v>1107082.6269999999</v>
      </c>
      <c r="AY15" s="6950">
        <f t="shared" si="45"/>
        <v>102178.79</v>
      </c>
      <c r="AZ15" s="1908">
        <f t="shared" si="45"/>
        <v>103391.70974999998</v>
      </c>
      <c r="BA15" s="354">
        <f t="shared" si="45"/>
        <v>296648.09999999998</v>
      </c>
      <c r="BB15" s="354">
        <f t="shared" si="45"/>
        <v>296860.42349999998</v>
      </c>
      <c r="BC15" s="513">
        <f t="shared" si="45"/>
        <v>599888.37999999989</v>
      </c>
      <c r="BD15" s="513">
        <f t="shared" si="45"/>
        <v>599686.37749999994</v>
      </c>
      <c r="BE15" s="2710">
        <f t="shared" si="45"/>
        <v>1201415.2849999999</v>
      </c>
      <c r="BF15" s="2711">
        <f t="shared" si="45"/>
        <v>1210474.3367499998</v>
      </c>
      <c r="BG15" s="1059">
        <v>1215061.7919999999</v>
      </c>
      <c r="BH15" s="1059">
        <v>1225274.1528444998</v>
      </c>
      <c r="BI15" s="1059">
        <v>1219627.8389999999</v>
      </c>
      <c r="BJ15" s="1059">
        <v>1207074.4964830703</v>
      </c>
      <c r="BK15" s="1059">
        <v>1168348.4085460003</v>
      </c>
      <c r="BL15" s="1059">
        <v>1241914.59375</v>
      </c>
      <c r="BM15" s="1059">
        <v>1206998</v>
      </c>
      <c r="BN15" s="1059">
        <v>1195709</v>
      </c>
      <c r="BO15" s="1059">
        <v>1183513.6000000001</v>
      </c>
      <c r="BP15" s="1059">
        <v>1150930.4625000001</v>
      </c>
      <c r="BQ15" s="1924">
        <v>1158469.98</v>
      </c>
      <c r="BR15" s="1137"/>
      <c r="BS15" s="4234"/>
      <c r="BT15" s="4487"/>
      <c r="BU15" s="4487"/>
      <c r="BV15" s="25"/>
      <c r="BW15" s="502"/>
      <c r="BX15" s="502"/>
    </row>
    <row r="16" spans="1:76" ht="15" customHeight="1" thickBot="1" x14ac:dyDescent="0.3">
      <c r="B16" s="1897" t="s">
        <v>345</v>
      </c>
      <c r="C16" s="1873" t="s">
        <v>50</v>
      </c>
      <c r="D16" s="1874">
        <v>4206886.3689415557</v>
      </c>
      <c r="E16" s="1722">
        <v>291677.4549132812</v>
      </c>
      <c r="F16" s="1906">
        <v>353508</v>
      </c>
      <c r="G16" s="1722">
        <f>383.372118766*1000</f>
        <v>383372.11876600003</v>
      </c>
      <c r="H16" s="1906">
        <v>355306</v>
      </c>
      <c r="I16" s="1724">
        <f t="shared" ref="I16:J18" si="46">+E16+G16</f>
        <v>675049.57367928117</v>
      </c>
      <c r="J16" s="1725">
        <f t="shared" si="46"/>
        <v>708814</v>
      </c>
      <c r="K16" s="1722">
        <f>372.191438188584*1000</f>
        <v>372191.438188584</v>
      </c>
      <c r="L16" s="1906">
        <v>376274</v>
      </c>
      <c r="M16" s="1726">
        <f t="shared" ref="M16:N20" si="47">+E16+G16+K16</f>
        <v>1047241.0118678652</v>
      </c>
      <c r="N16" s="1917">
        <f t="shared" si="47"/>
        <v>1085088</v>
      </c>
      <c r="O16" s="1722">
        <f>376.384193405115*1000</f>
        <v>376384.19340511499</v>
      </c>
      <c r="P16" s="1906">
        <v>397960</v>
      </c>
      <c r="Q16" s="1724">
        <f t="shared" ref="Q16:R18" si="48">+M16+O16</f>
        <v>1423625.2052729803</v>
      </c>
      <c r="R16" s="1725">
        <f t="shared" si="48"/>
        <v>1483048</v>
      </c>
      <c r="S16" s="1722">
        <f>376.384193405115*1000</f>
        <v>376384.19340511499</v>
      </c>
      <c r="T16" s="1906">
        <v>383179</v>
      </c>
      <c r="U16" s="1724">
        <f t="shared" ref="U16:U17" si="49">+Q16+S16</f>
        <v>1800009.3986780953</v>
      </c>
      <c r="V16" s="1725">
        <f t="shared" ref="V16" si="50">+R16+T16</f>
        <v>1866227</v>
      </c>
      <c r="W16" s="1722">
        <f>207.661910104769*1000</f>
        <v>207661.91010476899</v>
      </c>
      <c r="X16" s="1906">
        <v>374784</v>
      </c>
      <c r="Y16" s="4397">
        <f t="shared" ref="Y16:Z18" si="51">+O16+S16+W16</f>
        <v>960430.29691499891</v>
      </c>
      <c r="Z16" s="4397">
        <f t="shared" si="51"/>
        <v>1155923</v>
      </c>
      <c r="AA16" s="2690">
        <f t="shared" ref="AA16:AB18" si="52">+M16+Y16</f>
        <v>2007671.3087828641</v>
      </c>
      <c r="AB16" s="2690">
        <f t="shared" si="52"/>
        <v>2241011</v>
      </c>
      <c r="AC16" s="1722">
        <f>383.372118766*1000</f>
        <v>383372.11876600003</v>
      </c>
      <c r="AD16" s="1906">
        <v>301448</v>
      </c>
      <c r="AE16" s="1724">
        <f t="shared" ref="AE16:AE18" si="53">+AA16+AC16</f>
        <v>2391043.4275488639</v>
      </c>
      <c r="AF16" s="1725">
        <f t="shared" ref="AF16" si="54">+AB16+AD16</f>
        <v>2542459</v>
      </c>
      <c r="AG16" s="1722">
        <f>376.191438188584*1000</f>
        <v>376191.438188584</v>
      </c>
      <c r="AH16" s="1906">
        <v>366206</v>
      </c>
      <c r="AI16" s="1724">
        <f t="shared" ref="AI16:AI18" si="55">+AE16+AG16</f>
        <v>2767234.865737448</v>
      </c>
      <c r="AJ16" s="1725">
        <f t="shared" ref="AJ16" si="56">+AF16+AH16</f>
        <v>2908665</v>
      </c>
      <c r="AK16" s="1722">
        <f>387.372118766*1000</f>
        <v>387372.11876600003</v>
      </c>
      <c r="AL16" s="1906">
        <v>360713</v>
      </c>
      <c r="AM16" s="2688">
        <f t="shared" ref="AM16:AM18" si="57">+AC16+AG16+AK16</f>
        <v>1146935.6757205841</v>
      </c>
      <c r="AN16" s="2688">
        <f t="shared" ref="AN16:AN18" si="58">+AD16+AH16+AL16</f>
        <v>1028367</v>
      </c>
      <c r="AO16" s="2686">
        <f t="shared" ref="AO16:AP18" si="59">AI16+AK16</f>
        <v>3154606.984503448</v>
      </c>
      <c r="AP16" s="2686">
        <f t="shared" si="59"/>
        <v>3269378</v>
      </c>
      <c r="AQ16" s="1722">
        <v>388962.4590547072</v>
      </c>
      <c r="AR16" s="1906">
        <v>366580</v>
      </c>
      <c r="AS16" s="1724">
        <f t="shared" ref="AS16:AS18" si="60">+AO16+AQ16</f>
        <v>3543569.4435581551</v>
      </c>
      <c r="AT16" s="1725">
        <f t="shared" ref="AT16" si="61">+AP16+AR16</f>
        <v>3635958</v>
      </c>
      <c r="AU16" s="1722">
        <v>349830.07703375345</v>
      </c>
      <c r="AV16" s="1906">
        <v>314846</v>
      </c>
      <c r="AW16" s="1724">
        <f t="shared" ref="AW16:AW18" si="62">+AS16+AU16</f>
        <v>3893399.5205919086</v>
      </c>
      <c r="AX16" s="1725">
        <f t="shared" ref="AX16:AX18" si="63">+AT16+AV16</f>
        <v>3950804</v>
      </c>
      <c r="AY16" s="1722">
        <v>388962.4590547072</v>
      </c>
      <c r="AZ16" s="1906">
        <v>379828</v>
      </c>
      <c r="BA16" s="2771">
        <f t="shared" ref="BA16:BA20" si="64">+AQ16+AU16+AY16</f>
        <v>1127754.9951431677</v>
      </c>
      <c r="BB16" s="2771">
        <f t="shared" ref="BB16:BB20" si="65">+AR16+AV16+AZ16</f>
        <v>1061254</v>
      </c>
      <c r="BC16" s="2772">
        <f t="shared" ref="BC16:BC20" si="66">AM16+BA16</f>
        <v>2274690.6708637518</v>
      </c>
      <c r="BD16" s="2772">
        <f t="shared" ref="BD16:BD20" si="67">AN16+BB16</f>
        <v>2089621</v>
      </c>
      <c r="BE16" s="2770">
        <f t="shared" ref="BE16:BE18" si="68">AW16+AY16</f>
        <v>4282361.9796466157</v>
      </c>
      <c r="BF16" s="2770">
        <f t="shared" ref="BF16:BF18" si="69">AX16+AZ16</f>
        <v>4330632</v>
      </c>
      <c r="BG16" s="5548">
        <v>4387544.4524744106</v>
      </c>
      <c r="BH16" s="5548">
        <v>3980714</v>
      </c>
      <c r="BI16" s="3062">
        <v>4499999.9123089341</v>
      </c>
      <c r="BJ16" s="3032">
        <v>4398445</v>
      </c>
      <c r="BK16" s="1818">
        <v>4395665</v>
      </c>
      <c r="BL16" s="1818">
        <v>4183927.7727635596</v>
      </c>
      <c r="BM16" s="1818">
        <v>4277831</v>
      </c>
      <c r="BN16" s="1818">
        <v>3665891.272345175</v>
      </c>
      <c r="BO16" s="1818">
        <v>3629577</v>
      </c>
      <c r="BP16" s="1818">
        <v>3903932.5274391733</v>
      </c>
      <c r="BQ16" s="1019">
        <v>3709525</v>
      </c>
      <c r="BR16" s="1137"/>
      <c r="BS16" s="4234"/>
      <c r="BT16" s="4487"/>
      <c r="BU16" s="4487"/>
      <c r="BV16" s="25"/>
      <c r="BW16" s="502"/>
      <c r="BX16" s="502"/>
    </row>
    <row r="17" spans="1:76" ht="15" customHeight="1" thickBot="1" x14ac:dyDescent="0.3">
      <c r="A17" s="174"/>
      <c r="B17" s="1897" t="s">
        <v>338</v>
      </c>
      <c r="C17" s="1873" t="s">
        <v>50</v>
      </c>
      <c r="D17" s="1874">
        <v>3000000</v>
      </c>
      <c r="E17" s="1722">
        <v>208000</v>
      </c>
      <c r="F17" s="1906">
        <v>237076.80000000005</v>
      </c>
      <c r="G17" s="1722">
        <v>260000</v>
      </c>
      <c r="H17" s="1906">
        <v>255730.90000000002</v>
      </c>
      <c r="I17" s="1724">
        <f t="shared" si="46"/>
        <v>468000</v>
      </c>
      <c r="J17" s="1725">
        <f t="shared" si="46"/>
        <v>492807.70000000007</v>
      </c>
      <c r="K17" s="1722">
        <f>252*1000</f>
        <v>252000</v>
      </c>
      <c r="L17" s="1906">
        <v>261489.89999999997</v>
      </c>
      <c r="M17" s="1726">
        <f t="shared" si="47"/>
        <v>720000</v>
      </c>
      <c r="N17" s="1917">
        <f t="shared" si="47"/>
        <v>754297.60000000009</v>
      </c>
      <c r="O17" s="1722">
        <v>255000</v>
      </c>
      <c r="P17" s="1906">
        <v>268142.30000000005</v>
      </c>
      <c r="Q17" s="1724">
        <f t="shared" si="48"/>
        <v>975000</v>
      </c>
      <c r="R17" s="1725">
        <f>+N17+P17</f>
        <v>1022439.9000000001</v>
      </c>
      <c r="S17" s="1722">
        <v>255000</v>
      </c>
      <c r="T17" s="1906">
        <v>253263.6</v>
      </c>
      <c r="U17" s="1724">
        <f t="shared" si="49"/>
        <v>1230000</v>
      </c>
      <c r="V17" s="1725">
        <f>+R17+T17</f>
        <v>1275703.5000000002</v>
      </c>
      <c r="W17" s="1722">
        <v>140000</v>
      </c>
      <c r="X17" s="1906">
        <v>243297.40000000002</v>
      </c>
      <c r="Y17" s="4397">
        <f t="shared" si="51"/>
        <v>650000</v>
      </c>
      <c r="Z17" s="4397">
        <f t="shared" si="51"/>
        <v>764703.3</v>
      </c>
      <c r="AA17" s="2690">
        <f t="shared" si="52"/>
        <v>1370000</v>
      </c>
      <c r="AB17" s="2690">
        <f t="shared" si="52"/>
        <v>1519000.9000000001</v>
      </c>
      <c r="AC17" s="1722">
        <v>260000</v>
      </c>
      <c r="AD17" s="1906">
        <v>202962.09999999998</v>
      </c>
      <c r="AE17" s="1724">
        <f t="shared" si="53"/>
        <v>1630000</v>
      </c>
      <c r="AF17" s="1725">
        <f>+AB17+AD17</f>
        <v>1721963</v>
      </c>
      <c r="AG17" s="1722">
        <v>252000</v>
      </c>
      <c r="AH17" s="1906">
        <v>244148.19999999998</v>
      </c>
      <c r="AI17" s="1724">
        <f t="shared" si="55"/>
        <v>1882000</v>
      </c>
      <c r="AJ17" s="1725">
        <f>+AF17+AH17</f>
        <v>1966111.2</v>
      </c>
      <c r="AK17" s="1722">
        <v>260000</v>
      </c>
      <c r="AL17" s="1906">
        <v>251560.99999999997</v>
      </c>
      <c r="AM17" s="2688">
        <f t="shared" si="57"/>
        <v>772000</v>
      </c>
      <c r="AN17" s="2688">
        <f t="shared" si="58"/>
        <v>698671.29999999993</v>
      </c>
      <c r="AO17" s="2686">
        <f t="shared" si="59"/>
        <v>2142000</v>
      </c>
      <c r="AP17" s="2686">
        <f t="shared" si="59"/>
        <v>2217672.1999999997</v>
      </c>
      <c r="AQ17" s="1722">
        <v>264000</v>
      </c>
      <c r="AR17" s="1906">
        <v>244851.4</v>
      </c>
      <c r="AS17" s="1724">
        <f t="shared" si="60"/>
        <v>2406000</v>
      </c>
      <c r="AT17" s="1725">
        <f>+AP17+AR17</f>
        <v>2462523.5999999996</v>
      </c>
      <c r="AU17" s="1722">
        <v>236000</v>
      </c>
      <c r="AV17" s="1906">
        <v>196575.3</v>
      </c>
      <c r="AW17" s="1724">
        <f t="shared" si="62"/>
        <v>2642000</v>
      </c>
      <c r="AX17" s="1725">
        <f t="shared" si="63"/>
        <v>2659098.8999999994</v>
      </c>
      <c r="AY17" s="1722">
        <v>264000</v>
      </c>
      <c r="AZ17" s="1906">
        <v>251871.70000000004</v>
      </c>
      <c r="BA17" s="2771">
        <f t="shared" si="64"/>
        <v>764000</v>
      </c>
      <c r="BB17" s="2771">
        <f t="shared" si="65"/>
        <v>693298.4</v>
      </c>
      <c r="BC17" s="2772">
        <f t="shared" si="66"/>
        <v>1536000</v>
      </c>
      <c r="BD17" s="2772">
        <f t="shared" si="67"/>
        <v>1391969.7</v>
      </c>
      <c r="BE17" s="2770">
        <f t="shared" si="68"/>
        <v>2906000</v>
      </c>
      <c r="BF17" s="2770">
        <f t="shared" si="69"/>
        <v>2910970.5999999996</v>
      </c>
      <c r="BG17" s="5548">
        <v>2650000</v>
      </c>
      <c r="BH17" s="5548">
        <v>2622585.6999999997</v>
      </c>
      <c r="BI17" s="3062">
        <v>2800000</v>
      </c>
      <c r="BJ17" s="3032">
        <v>2721268.1</v>
      </c>
      <c r="BK17" s="1818">
        <v>2592119.6</v>
      </c>
      <c r="BL17" s="1818">
        <v>2650000.9700000002</v>
      </c>
      <c r="BM17" s="1818">
        <v>2406785.7000000002</v>
      </c>
      <c r="BN17" s="1818">
        <v>2496672.1533415001</v>
      </c>
      <c r="BO17" s="1818">
        <v>2092798</v>
      </c>
      <c r="BP17" s="1818">
        <v>2700000</v>
      </c>
      <c r="BQ17" s="6859">
        <v>2505193</v>
      </c>
      <c r="BR17" s="1137"/>
      <c r="BS17" s="4234"/>
      <c r="BT17" s="4487"/>
      <c r="BU17" s="4487"/>
      <c r="BV17" s="25"/>
      <c r="BW17" s="502"/>
      <c r="BX17" s="502"/>
    </row>
    <row r="18" spans="1:76" ht="16.5" thickBot="1" x14ac:dyDescent="0.3">
      <c r="B18" s="1898" t="s">
        <v>339</v>
      </c>
      <c r="C18" s="1873" t="s">
        <v>50</v>
      </c>
      <c r="D18" s="1874">
        <v>2817514.1242937851</v>
      </c>
      <c r="E18" s="1722">
        <v>193691.14877589454</v>
      </c>
      <c r="F18" s="1906">
        <v>223226</v>
      </c>
      <c r="G18" s="1722">
        <f>244.66477809254*1000</f>
        <v>244664.77809253999</v>
      </c>
      <c r="H18" s="1906">
        <v>236638</v>
      </c>
      <c r="I18" s="1724">
        <f t="shared" si="46"/>
        <v>438355.92686843453</v>
      </c>
      <c r="J18" s="1725">
        <f t="shared" si="46"/>
        <v>459864</v>
      </c>
      <c r="K18" s="1722">
        <f>237.110481586402*1000</f>
        <v>237110.48158640199</v>
      </c>
      <c r="L18" s="1906">
        <v>243453</v>
      </c>
      <c r="M18" s="1726">
        <f t="shared" si="47"/>
        <v>675466.40845483658</v>
      </c>
      <c r="N18" s="1917">
        <f t="shared" si="47"/>
        <v>703317</v>
      </c>
      <c r="O18" s="1722">
        <f>239.943342776204*1000</f>
        <v>239943.34277620399</v>
      </c>
      <c r="P18" s="1906">
        <v>253662</v>
      </c>
      <c r="Q18" s="1724">
        <f>+M18+O18</f>
        <v>915409.75123104057</v>
      </c>
      <c r="R18" s="1725">
        <f t="shared" si="48"/>
        <v>956979</v>
      </c>
      <c r="S18" s="1722">
        <f>239.943342776204*1000</f>
        <v>239943.34277620399</v>
      </c>
      <c r="T18" s="1906">
        <v>237622</v>
      </c>
      <c r="U18" s="1724">
        <f>+Q18+S18</f>
        <v>1155353.0940072446</v>
      </c>
      <c r="V18" s="1725">
        <f t="shared" ref="V18:V20" si="70">+R18+T18</f>
        <v>1194601</v>
      </c>
      <c r="W18" s="1722">
        <f>125.920679886686*1000</f>
        <v>125920.679886686</v>
      </c>
      <c r="X18" s="1906">
        <v>226847</v>
      </c>
      <c r="Y18" s="4397">
        <f t="shared" si="51"/>
        <v>605807.36543909402</v>
      </c>
      <c r="Z18" s="4397">
        <f t="shared" si="51"/>
        <v>718131</v>
      </c>
      <c r="AA18" s="2690">
        <f t="shared" si="52"/>
        <v>1281273.7738939305</v>
      </c>
      <c r="AB18" s="2690">
        <f t="shared" si="52"/>
        <v>1421448</v>
      </c>
      <c r="AC18" s="1722">
        <f>244.66477809254*1000</f>
        <v>244664.77809253999</v>
      </c>
      <c r="AD18" s="1906">
        <v>179201</v>
      </c>
      <c r="AE18" s="1724">
        <f t="shared" si="53"/>
        <v>1525938.5519864704</v>
      </c>
      <c r="AF18" s="1725">
        <f t="shared" ref="AF18:AF20" si="71">+AB18+AD18</f>
        <v>1600649</v>
      </c>
      <c r="AG18" s="1722">
        <f>237.110481586402*1000</f>
        <v>237110.48158640199</v>
      </c>
      <c r="AH18" s="1906">
        <v>229502</v>
      </c>
      <c r="AI18" s="1724">
        <f t="shared" si="55"/>
        <v>1763049.0335728724</v>
      </c>
      <c r="AJ18" s="1725">
        <f t="shared" ref="AJ18" si="72">+AF18+AH18</f>
        <v>1830151</v>
      </c>
      <c r="AK18" s="1722">
        <f>244.66477809254*1000</f>
        <v>244664.77809253999</v>
      </c>
      <c r="AL18" s="1906">
        <v>234365</v>
      </c>
      <c r="AM18" s="2688">
        <f t="shared" si="57"/>
        <v>726440.03777148202</v>
      </c>
      <c r="AN18" s="2688">
        <f t="shared" si="58"/>
        <v>643068</v>
      </c>
      <c r="AO18" s="2686">
        <f t="shared" si="59"/>
        <v>2007713.8116654125</v>
      </c>
      <c r="AP18" s="2686">
        <f t="shared" si="59"/>
        <v>2064516</v>
      </c>
      <c r="AQ18" s="1722">
        <v>248441.92634560907</v>
      </c>
      <c r="AR18" s="1906">
        <v>228047</v>
      </c>
      <c r="AS18" s="1724">
        <f t="shared" si="60"/>
        <v>2256155.7380110216</v>
      </c>
      <c r="AT18" s="1725">
        <f t="shared" ref="AT18:AT20" si="73">+AP18+AR18</f>
        <v>2292563</v>
      </c>
      <c r="AU18" s="1722">
        <v>222001.88857412653</v>
      </c>
      <c r="AV18" s="1906">
        <v>185016</v>
      </c>
      <c r="AW18" s="1724">
        <f t="shared" si="62"/>
        <v>2478157.6265851483</v>
      </c>
      <c r="AX18" s="1725">
        <f t="shared" si="63"/>
        <v>2477579</v>
      </c>
      <c r="AY18" s="1722">
        <v>248441.92634560907</v>
      </c>
      <c r="AZ18" s="1906">
        <v>241240</v>
      </c>
      <c r="BA18" s="2771">
        <f t="shared" si="64"/>
        <v>718885.74126534467</v>
      </c>
      <c r="BB18" s="2771">
        <f t="shared" si="65"/>
        <v>654303</v>
      </c>
      <c r="BC18" s="2772">
        <f t="shared" si="66"/>
        <v>1445325.7790368267</v>
      </c>
      <c r="BD18" s="2772">
        <f t="shared" si="67"/>
        <v>1297371</v>
      </c>
      <c r="BE18" s="2770">
        <f t="shared" si="68"/>
        <v>2726599.5529307574</v>
      </c>
      <c r="BF18" s="2770">
        <f t="shared" si="69"/>
        <v>2718819</v>
      </c>
      <c r="BG18" s="5548">
        <v>2489528.3018867923</v>
      </c>
      <c r="BH18" s="5548">
        <v>2436959</v>
      </c>
      <c r="BI18" s="3062">
        <v>2620075.4716981109</v>
      </c>
      <c r="BJ18" s="3032">
        <v>2528925</v>
      </c>
      <c r="BK18" s="1818">
        <v>2422324.3024999998</v>
      </c>
      <c r="BL18" s="1818">
        <v>2451737.723004695</v>
      </c>
      <c r="BM18" s="1818">
        <v>2227867</v>
      </c>
      <c r="BN18" s="1818">
        <v>2297163.5</v>
      </c>
      <c r="BO18" s="1818">
        <v>1847433</v>
      </c>
      <c r="BP18" s="1818">
        <v>2500000</v>
      </c>
      <c r="BQ18" s="6859">
        <v>2083412</v>
      </c>
      <c r="BR18" s="1137"/>
      <c r="BS18" s="4234"/>
      <c r="BT18" s="4487"/>
      <c r="BU18" s="4487"/>
      <c r="BV18" s="25"/>
      <c r="BW18" s="502"/>
      <c r="BX18" s="502"/>
    </row>
    <row r="19" spans="1:76" s="3058" customFormat="1" ht="16.5" thickBot="1" x14ac:dyDescent="0.3">
      <c r="B19" s="3061" t="s">
        <v>1637</v>
      </c>
      <c r="C19" s="1873" t="s">
        <v>50</v>
      </c>
      <c r="D19" s="1874">
        <v>1920416.0909301967</v>
      </c>
      <c r="E19" s="1722">
        <f>SMS!E29</f>
        <v>134587.972999641</v>
      </c>
      <c r="F19" s="1906">
        <f>SMS!F37</f>
        <v>166745.16999999998</v>
      </c>
      <c r="G19" s="1722">
        <f>SMS!G29</f>
        <v>176063.19497908399</v>
      </c>
      <c r="H19" s="1906">
        <f>SMS!H37</f>
        <v>175199.53999999998</v>
      </c>
      <c r="I19" s="1724">
        <f>+E19+G19</f>
        <v>310651.16797872499</v>
      </c>
      <c r="J19" s="1725">
        <f>SMS!J37</f>
        <v>341944.70999999996</v>
      </c>
      <c r="K19" s="1722">
        <f>SMS!K29</f>
        <v>171147.420900386</v>
      </c>
      <c r="L19" s="1906">
        <f>SMS!L37</f>
        <v>182735</v>
      </c>
      <c r="M19" s="1726">
        <f t="shared" si="47"/>
        <v>481798.58887911099</v>
      </c>
      <c r="N19" s="1726">
        <f t="shared" si="47"/>
        <v>524679.71</v>
      </c>
      <c r="O19" s="1722">
        <f>SMS!O29</f>
        <v>171341.75966274799</v>
      </c>
      <c r="P19" s="1906">
        <f>SMS!P37</f>
        <v>189077</v>
      </c>
      <c r="Q19" s="1724">
        <f t="shared" ref="Q19:Q20" si="74">+M19+O19</f>
        <v>653140.34854185896</v>
      </c>
      <c r="R19" s="1725">
        <f t="shared" ref="R19:R20" si="75">+N19+P19</f>
        <v>713756.71</v>
      </c>
      <c r="S19" s="1722">
        <f>SMS!S29</f>
        <v>171341.75966274799</v>
      </c>
      <c r="T19" s="1906">
        <f>SMS!T37</f>
        <v>179543</v>
      </c>
      <c r="U19" s="1724">
        <f t="shared" ref="U19:U20" si="76">+Q19+S19</f>
        <v>824482.10820460692</v>
      </c>
      <c r="V19" s="1725">
        <f t="shared" si="70"/>
        <v>893299.71</v>
      </c>
      <c r="W19" s="1722">
        <f>SMS!W29</f>
        <v>90564.479358981</v>
      </c>
      <c r="X19" s="1906">
        <f>SMS!X37</f>
        <v>172339.6</v>
      </c>
      <c r="Y19" s="4397">
        <f t="shared" ref="Y19:Y20" si="77">+O19+S19+W19</f>
        <v>433247.998684477</v>
      </c>
      <c r="Z19" s="4397">
        <f t="shared" ref="Z19:Z20" si="78">+P19+T19+X19</f>
        <v>540959.6</v>
      </c>
      <c r="AA19" s="4398">
        <f t="shared" ref="AA19:AA20" si="79">+M19+Y19</f>
        <v>915046.58756358805</v>
      </c>
      <c r="AB19" s="4398">
        <f t="shared" ref="AB19:AB20" si="80">+N19+Z19</f>
        <v>1065639.31</v>
      </c>
      <c r="AC19" s="1722">
        <f>SMS!AC29</f>
        <v>173952.38</v>
      </c>
      <c r="AD19" s="1906">
        <f>SMS!AD37</f>
        <v>135241</v>
      </c>
      <c r="AE19" s="1724">
        <f t="shared" ref="AE19:AE20" si="81">+AA19+AC19</f>
        <v>1088998.9675635882</v>
      </c>
      <c r="AF19" s="1725">
        <f t="shared" si="71"/>
        <v>1200880.31</v>
      </c>
      <c r="AG19" s="1722">
        <f>SMS!AG29</f>
        <v>168508.89847294599</v>
      </c>
      <c r="AH19" s="1906">
        <f>SMS!AH37</f>
        <v>178010.44</v>
      </c>
      <c r="AI19" s="1724">
        <f>SMS!AI29</f>
        <v>1257507.8660365338</v>
      </c>
      <c r="AJ19" s="1725">
        <f>SMS!AJ37</f>
        <v>1378890.75</v>
      </c>
      <c r="AK19" s="1722">
        <f>SMS!AK29</f>
        <v>173424.67255164299</v>
      </c>
      <c r="AL19" s="1906">
        <f>SMS!AL37</f>
        <v>168781</v>
      </c>
      <c r="AM19" s="4918">
        <f>SMS!AM29</f>
        <v>515885.95102458901</v>
      </c>
      <c r="AN19" s="4918">
        <f>SMS!AN37</f>
        <v>482032.44</v>
      </c>
      <c r="AO19" s="4919">
        <f>SMS!AO29</f>
        <v>1430932.5385881769</v>
      </c>
      <c r="AP19" s="4919">
        <f>SMS!AP37</f>
        <v>1547671.75</v>
      </c>
      <c r="AQ19" s="1722">
        <f>SMS!AQ29</f>
        <v>176674.11631922389</v>
      </c>
      <c r="AR19" s="1906">
        <f>SMS!AR37</f>
        <v>164934.28000000003</v>
      </c>
      <c r="AS19" s="1724">
        <f t="shared" ref="AS19:AS20" si="82">+AO19+AQ19</f>
        <v>1607606.6549074007</v>
      </c>
      <c r="AT19" s="1725">
        <f t="shared" si="73"/>
        <v>1712606.03</v>
      </c>
      <c r="AU19" s="1722">
        <f>SMS!AU29</f>
        <v>157621.94134457508</v>
      </c>
      <c r="AV19" s="1906">
        <f>SMS!AV37</f>
        <v>135607.79</v>
      </c>
      <c r="AW19" s="1724">
        <f t="shared" ref="AW19:AW20" si="83">+AS19+AU19</f>
        <v>1765228.5962519757</v>
      </c>
      <c r="AX19" s="1725">
        <f t="shared" ref="AX19:AX20" si="84">+AT19+AV19</f>
        <v>1848213.82</v>
      </c>
      <c r="AY19" s="1722">
        <f>SMS!AY29</f>
        <v>176146.41183373574</v>
      </c>
      <c r="AZ19" s="1906">
        <f>SMS!AZ37</f>
        <v>176644.91</v>
      </c>
      <c r="BA19" s="5099">
        <f t="shared" si="64"/>
        <v>510442.46949753468</v>
      </c>
      <c r="BB19" s="5099">
        <f t="shared" si="65"/>
        <v>477186.9800000001</v>
      </c>
      <c r="BC19" s="5100">
        <f t="shared" si="66"/>
        <v>1026328.4205221237</v>
      </c>
      <c r="BD19" s="5100">
        <f t="shared" si="67"/>
        <v>959219.42000000016</v>
      </c>
      <c r="BE19" s="5098">
        <f t="shared" ref="BE19:BE20" si="85">AW19+AY19</f>
        <v>1941375.0080857114</v>
      </c>
      <c r="BF19" s="5098">
        <f t="shared" ref="BF19:BF20" si="86">AX19+AZ19</f>
        <v>2024858.73</v>
      </c>
      <c r="BG19" s="3069">
        <v>1880445.45</v>
      </c>
      <c r="BH19" s="5548">
        <v>1818588.73</v>
      </c>
      <c r="BI19" s="3069"/>
      <c r="BJ19" s="3062">
        <v>1922629.6</v>
      </c>
      <c r="BK19" s="3062">
        <v>1903696</v>
      </c>
      <c r="BL19" s="3069"/>
      <c r="BM19" s="3062">
        <v>1777963.7499999998</v>
      </c>
      <c r="BN19" s="3069"/>
      <c r="BO19" s="3069"/>
      <c r="BP19" s="3060"/>
      <c r="BQ19" s="1019"/>
      <c r="BR19" s="1137"/>
      <c r="BS19" s="4234"/>
      <c r="BT19" s="4487"/>
      <c r="BU19" s="4487"/>
      <c r="BV19" s="25"/>
      <c r="BW19" s="502"/>
      <c r="BX19" s="502"/>
    </row>
    <row r="20" spans="1:76" s="3058" customFormat="1" ht="16.5" thickBot="1" x14ac:dyDescent="0.3">
      <c r="B20" s="3061" t="s">
        <v>1636</v>
      </c>
      <c r="C20" s="1873" t="s">
        <v>50</v>
      </c>
      <c r="D20" s="1874">
        <v>897098.03336358827</v>
      </c>
      <c r="E20" s="1722">
        <f>SMS!E38</f>
        <v>59103.175776253302</v>
      </c>
      <c r="F20" s="1906">
        <f>SMS!F46</f>
        <v>56481.07</v>
      </c>
      <c r="G20" s="1722">
        <f>SMS!G38</f>
        <v>68601.583113456494</v>
      </c>
      <c r="H20" s="1906">
        <f>SMS!H46</f>
        <v>61438.559999999998</v>
      </c>
      <c r="I20" s="1724">
        <f>+E20+G20</f>
        <v>127704.7588897098</v>
      </c>
      <c r="J20" s="1725">
        <f>SMS!J46</f>
        <v>117919.63</v>
      </c>
      <c r="K20" s="1722">
        <f>SMS!K38</f>
        <v>65963.060686015902</v>
      </c>
      <c r="L20" s="1906">
        <f>SMS!L46</f>
        <v>60718.3</v>
      </c>
      <c r="M20" s="1726">
        <f t="shared" si="47"/>
        <v>193667.81957572571</v>
      </c>
      <c r="N20" s="1726">
        <f t="shared" si="47"/>
        <v>178637.93</v>
      </c>
      <c r="O20" s="1722">
        <f>SMS!O38</f>
        <v>68601.583113456407</v>
      </c>
      <c r="P20" s="1906">
        <f>SMS!P46</f>
        <v>64584.79</v>
      </c>
      <c r="Q20" s="1724">
        <f t="shared" si="74"/>
        <v>262269.40268918208</v>
      </c>
      <c r="R20" s="1725">
        <f t="shared" si="75"/>
        <v>243222.72</v>
      </c>
      <c r="S20" s="1722">
        <f>SMS!S38</f>
        <v>68601.583113456407</v>
      </c>
      <c r="T20" s="1906">
        <f>SMS!T46</f>
        <v>58078.79</v>
      </c>
      <c r="U20" s="1724">
        <f t="shared" si="76"/>
        <v>330870.98580263846</v>
      </c>
      <c r="V20" s="1725">
        <f t="shared" si="70"/>
        <v>301301.51</v>
      </c>
      <c r="W20" s="1722">
        <f>SMS!W38</f>
        <v>35356.200527704597</v>
      </c>
      <c r="X20" s="1906">
        <f>SMS!X46</f>
        <v>54507.000000000007</v>
      </c>
      <c r="Y20" s="4397">
        <f t="shared" si="77"/>
        <v>172559.36675461743</v>
      </c>
      <c r="Z20" s="4397">
        <f t="shared" si="78"/>
        <v>177170.58000000002</v>
      </c>
      <c r="AA20" s="4398">
        <f t="shared" si="79"/>
        <v>366227.18633034313</v>
      </c>
      <c r="AB20" s="4398">
        <f t="shared" si="80"/>
        <v>355808.51</v>
      </c>
      <c r="AC20" s="1722">
        <f>SMS!AC38</f>
        <v>70712.399999999994</v>
      </c>
      <c r="AD20" s="1906">
        <f>SMS!AD46</f>
        <v>43960.31</v>
      </c>
      <c r="AE20" s="1724">
        <f t="shared" si="81"/>
        <v>436939.58633034315</v>
      </c>
      <c r="AF20" s="1725">
        <f t="shared" si="71"/>
        <v>399768.82</v>
      </c>
      <c r="AG20" s="1722">
        <f>SMS!AG38</f>
        <v>68601.583113456494</v>
      </c>
      <c r="AH20" s="1906">
        <f>SMS!AH46</f>
        <v>51491.21</v>
      </c>
      <c r="AI20" s="1724">
        <f>SMS!AI38</f>
        <v>505541.16944379965</v>
      </c>
      <c r="AJ20" s="1725">
        <f>SMS!AJ46</f>
        <v>451260.03</v>
      </c>
      <c r="AK20" s="1722">
        <f>SMS!AK38</f>
        <v>71240.105540897101</v>
      </c>
      <c r="AL20" s="1906">
        <f>SMS!AL46</f>
        <v>65584.38</v>
      </c>
      <c r="AM20" s="4918">
        <f>SMS!AM38</f>
        <v>210554.0886543536</v>
      </c>
      <c r="AN20" s="4918">
        <f>SMS!AN46</f>
        <v>161035.9</v>
      </c>
      <c r="AO20" s="4919">
        <f>SMS!AO38</f>
        <v>576781.27498469676</v>
      </c>
      <c r="AP20" s="4919">
        <f>SMS!AP46</f>
        <v>516844.41000000003</v>
      </c>
      <c r="AQ20" s="1722">
        <f>SMS!AQ38</f>
        <v>71767.810026385181</v>
      </c>
      <c r="AR20" s="1906">
        <f>SMS!AR46</f>
        <v>63113.100000000006</v>
      </c>
      <c r="AS20" s="1724">
        <f t="shared" si="82"/>
        <v>648549.085011082</v>
      </c>
      <c r="AT20" s="1725">
        <f t="shared" si="73"/>
        <v>579957.51</v>
      </c>
      <c r="AU20" s="1722">
        <f>SMS!AU38</f>
        <v>64379.947229551442</v>
      </c>
      <c r="AV20" s="1906">
        <f>SMS!AV46</f>
        <v>49408.38</v>
      </c>
      <c r="AW20" s="1724">
        <f t="shared" si="83"/>
        <v>712929.03224063339</v>
      </c>
      <c r="AX20" s="1725">
        <f t="shared" si="84"/>
        <v>629365.89</v>
      </c>
      <c r="AY20" s="1722">
        <f>SMS!AY38</f>
        <v>72295.514511873334</v>
      </c>
      <c r="AZ20" s="1906">
        <f>SMS!AZ46</f>
        <v>64595.039999999994</v>
      </c>
      <c r="BA20" s="5099">
        <f t="shared" si="64"/>
        <v>208443.27176780996</v>
      </c>
      <c r="BB20" s="5099">
        <f t="shared" si="65"/>
        <v>177116.52000000002</v>
      </c>
      <c r="BC20" s="5100">
        <f t="shared" si="66"/>
        <v>418997.36042216356</v>
      </c>
      <c r="BD20" s="5100">
        <f t="shared" si="67"/>
        <v>338152.42000000004</v>
      </c>
      <c r="BE20" s="5098">
        <f t="shared" si="85"/>
        <v>785224.54675250675</v>
      </c>
      <c r="BF20" s="5098">
        <f t="shared" si="86"/>
        <v>693960.93</v>
      </c>
      <c r="BG20" s="3069">
        <v>609083.06980830187</v>
      </c>
      <c r="BH20" s="5548">
        <v>618370.32000000007</v>
      </c>
      <c r="BI20" s="3069"/>
      <c r="BJ20" s="3062">
        <v>606294.79</v>
      </c>
      <c r="BK20" s="3062">
        <v>518629.33</v>
      </c>
      <c r="BL20" s="3069"/>
      <c r="BM20" s="3062">
        <v>449903.88033333333</v>
      </c>
      <c r="BN20" s="3069"/>
      <c r="BO20" s="3069"/>
      <c r="BP20" s="3060"/>
      <c r="BQ20" s="1019"/>
      <c r="BR20" s="1137"/>
      <c r="BS20" s="4234"/>
      <c r="BT20" s="4487"/>
      <c r="BU20" s="4487"/>
      <c r="BV20" s="25"/>
      <c r="BW20" s="502"/>
      <c r="BX20" s="502"/>
    </row>
    <row r="21" spans="1:76" ht="16.5" customHeight="1" thickBot="1" x14ac:dyDescent="0.3">
      <c r="B21" s="1899" t="s">
        <v>492</v>
      </c>
      <c r="C21" s="1875" t="s">
        <v>445</v>
      </c>
      <c r="D21" s="1874">
        <f>D53/D1</f>
        <v>53.120552871300617</v>
      </c>
      <c r="E21" s="2712">
        <f t="shared" ref="E21:T21" si="87">+E53/E1</f>
        <v>47.75422800194638</v>
      </c>
      <c r="F21" s="1230">
        <f t="shared" si="87"/>
        <v>48.005642412131181</v>
      </c>
      <c r="G21" s="2712">
        <f t="shared" ref="G21:H21" si="88">+G53/G1</f>
        <v>54.369950687231139</v>
      </c>
      <c r="H21" s="1230">
        <f t="shared" si="88"/>
        <v>50.886713286713288</v>
      </c>
      <c r="I21" s="2712">
        <f t="shared" si="87"/>
        <v>51.298365154777507</v>
      </c>
      <c r="J21" s="1230">
        <f t="shared" si="87"/>
        <v>49.452332182360855</v>
      </c>
      <c r="K21" s="2712">
        <f t="shared" si="87"/>
        <v>54.508156686529261</v>
      </c>
      <c r="L21" s="1230">
        <f t="shared" si="87"/>
        <v>52.547595930600707</v>
      </c>
      <c r="M21" s="2712">
        <f t="shared" si="87"/>
        <v>52.39347050090457</v>
      </c>
      <c r="N21" s="1230">
        <f t="shared" si="87"/>
        <v>50.482841330718202</v>
      </c>
      <c r="O21" s="2712">
        <f t="shared" ref="O21:P21" si="89">+O53/O1</f>
        <v>53.320742839156438</v>
      </c>
      <c r="P21" s="1230">
        <f t="shared" si="89"/>
        <v>51.935483870967744</v>
      </c>
      <c r="Q21" s="2712">
        <f t="shared" si="87"/>
        <v>52.635367632622454</v>
      </c>
      <c r="R21" s="1230">
        <f t="shared" si="87"/>
        <v>50.858291569010717</v>
      </c>
      <c r="S21" s="2712">
        <f t="shared" si="87"/>
        <v>53.320742839156438</v>
      </c>
      <c r="T21" s="1230">
        <f t="shared" si="87"/>
        <v>50.459118769515442</v>
      </c>
      <c r="U21" s="2712">
        <f t="shared" ref="U21:X21" si="90">+U53/U1</f>
        <v>52.777169399491555</v>
      </c>
      <c r="V21" s="1230">
        <f t="shared" si="90"/>
        <v>50.778373902872048</v>
      </c>
      <c r="W21" s="2712">
        <f t="shared" si="90"/>
        <v>49.331711652010291</v>
      </c>
      <c r="X21" s="1230">
        <f t="shared" si="90"/>
        <v>48.797337714309791</v>
      </c>
      <c r="Y21" s="1820">
        <f t="shared" ref="Y21:AD21" si="91">+Y53/Y1</f>
        <v>52.439366885097684</v>
      </c>
      <c r="Z21" s="1820">
        <f t="shared" si="91"/>
        <v>50.420044531151902</v>
      </c>
      <c r="AA21" s="1820">
        <f t="shared" si="91"/>
        <v>52.415287956049518</v>
      </c>
      <c r="AB21" s="1820">
        <f t="shared" si="91"/>
        <v>50.451135841756859</v>
      </c>
      <c r="AC21" s="2712">
        <f t="shared" si="91"/>
        <v>54.369951111111114</v>
      </c>
      <c r="AD21" s="1230">
        <f t="shared" si="91"/>
        <v>45.927576601671305</v>
      </c>
      <c r="AE21" s="2712">
        <f t="shared" ref="AE21:AH21" si="92">+AE53/AE1</f>
        <v>52.720677245149581</v>
      </c>
      <c r="AF21" s="1230">
        <f t="shared" si="92"/>
        <v>49.899857560109233</v>
      </c>
      <c r="AG21" s="2712">
        <f t="shared" si="92"/>
        <v>54.508156686529261</v>
      </c>
      <c r="AH21" s="1230">
        <f t="shared" si="92"/>
        <v>50.055827535858455</v>
      </c>
      <c r="AI21" s="2712">
        <f t="shared" ref="AI21:AN21" si="93">+AI53/AI1</f>
        <v>52.955215470188335</v>
      </c>
      <c r="AJ21" s="1230">
        <f>+AJ53/AJ1</f>
        <v>49.91928562428231</v>
      </c>
      <c r="AK21" s="2712">
        <f t="shared" ref="AK21:AL21" si="94">+AK53/AK1</f>
        <v>54.369950687231139</v>
      </c>
      <c r="AL21" s="1230">
        <f t="shared" si="94"/>
        <v>48.993552765524257</v>
      </c>
      <c r="AM21" s="1820">
        <f t="shared" si="93"/>
        <v>54.414984245613667</v>
      </c>
      <c r="AN21" s="1820">
        <f t="shared" si="93"/>
        <v>48.456398059986981</v>
      </c>
      <c r="AO21" s="2712">
        <f t="shared" ref="AO21:AT21" si="95">+AO53/AO1</f>
        <v>53.124295966407878</v>
      </c>
      <c r="AP21" s="1230">
        <f t="shared" si="95"/>
        <v>49.811794162440677</v>
      </c>
      <c r="AQ21" s="2712">
        <f t="shared" si="95"/>
        <v>55.20931696569091</v>
      </c>
      <c r="AR21" s="1230">
        <f t="shared" si="95"/>
        <v>48.03836054344103</v>
      </c>
      <c r="AS21" s="2712">
        <f t="shared" si="95"/>
        <v>53.346882711971098</v>
      </c>
      <c r="AT21" s="1230">
        <f t="shared" si="95"/>
        <v>49.628829725283111</v>
      </c>
      <c r="AU21" s="2712">
        <f t="shared" ref="AU21:AV21" si="96">+AU53/AU1</f>
        <v>54.815281129413961</v>
      </c>
      <c r="AV21" s="1230">
        <f t="shared" si="96"/>
        <v>42.97176011966819</v>
      </c>
      <c r="AW21" s="2712">
        <f t="shared" ref="AW21:BF21" si="97">+AW53/AW1</f>
        <v>53.475598900784476</v>
      </c>
      <c r="AX21" s="1230">
        <f t="shared" si="97"/>
        <v>49.059359550198721</v>
      </c>
      <c r="AY21" s="2712">
        <f t="shared" si="97"/>
        <v>55.20931696569091</v>
      </c>
      <c r="AZ21" s="1230">
        <f t="shared" si="97"/>
        <v>50.91380908248378</v>
      </c>
      <c r="BA21" s="1820">
        <f t="shared" si="97"/>
        <v>55.087029982018748</v>
      </c>
      <c r="BB21" s="1820">
        <f t="shared" si="97"/>
        <v>47.429751596339308</v>
      </c>
      <c r="BC21" s="1820">
        <f t="shared" si="97"/>
        <v>54.74718867213209</v>
      </c>
      <c r="BD21" s="1820">
        <f t="shared" si="97"/>
        <v>47.933486834327496</v>
      </c>
      <c r="BE21" s="2712">
        <f t="shared" si="97"/>
        <v>53.629471523581408</v>
      </c>
      <c r="BF21" s="1230">
        <f t="shared" si="97"/>
        <v>49.217111941107483</v>
      </c>
      <c r="BG21" s="1059">
        <v>51.463117269757682</v>
      </c>
      <c r="BH21" s="1059">
        <v>49.27054583050262</v>
      </c>
      <c r="BI21" s="1059">
        <v>50.337665162307644</v>
      </c>
      <c r="BJ21" s="1059">
        <v>48.13036797026696</v>
      </c>
      <c r="BK21" s="1059">
        <v>45.269662921348313</v>
      </c>
      <c r="BL21" s="1059">
        <v>44.780041074452797</v>
      </c>
      <c r="BM21" s="1059">
        <v>40.065753424657537</v>
      </c>
      <c r="BN21" s="1059">
        <v>41.920045662100456</v>
      </c>
      <c r="BO21" s="1059">
        <v>33.30958904109589</v>
      </c>
      <c r="BP21" s="1059">
        <v>47.014645250053974</v>
      </c>
      <c r="BQ21" s="1924">
        <v>38.66393442622951</v>
      </c>
      <c r="BR21" s="1137"/>
      <c r="BS21" s="4234"/>
      <c r="BT21" s="4487"/>
      <c r="BU21" s="4487"/>
      <c r="BV21" s="25"/>
      <c r="BW21" s="502"/>
      <c r="BX21" s="502"/>
    </row>
    <row r="22" spans="1:76" ht="15" customHeight="1" x14ac:dyDescent="0.25">
      <c r="A22" s="139"/>
      <c r="B22" s="1883" t="s">
        <v>235</v>
      </c>
      <c r="C22" s="1927"/>
      <c r="D22" s="2698"/>
      <c r="E22" s="2698"/>
      <c r="F22" s="2698"/>
      <c r="G22" s="2698"/>
      <c r="H22" s="2698"/>
      <c r="I22" s="2698"/>
      <c r="J22" s="2698"/>
      <c r="K22" s="2698"/>
      <c r="L22" s="2698"/>
      <c r="M22" s="2698"/>
      <c r="N22" s="2698"/>
      <c r="O22" s="2698"/>
      <c r="P22" s="2698"/>
      <c r="Q22" s="2698"/>
      <c r="R22" s="2698"/>
      <c r="S22" s="2698"/>
      <c r="T22" s="2698"/>
      <c r="U22" s="2698"/>
      <c r="V22" s="2698"/>
      <c r="W22" s="2698"/>
      <c r="X22" s="2698"/>
      <c r="Y22" s="2698"/>
      <c r="Z22" s="2698"/>
      <c r="AA22" s="2698"/>
      <c r="AB22" s="2698"/>
      <c r="AC22" s="2698"/>
      <c r="AD22" s="2698"/>
      <c r="AE22" s="2698"/>
      <c r="AF22" s="2698"/>
      <c r="AG22" s="2698"/>
      <c r="AH22" s="2698"/>
      <c r="AI22" s="2698"/>
      <c r="AJ22" s="2698"/>
      <c r="AK22" s="2698"/>
      <c r="AL22" s="2698"/>
      <c r="AM22" s="2698"/>
      <c r="AN22" s="2698"/>
      <c r="AO22" s="2698"/>
      <c r="AP22" s="2698"/>
      <c r="AQ22" s="2698"/>
      <c r="AR22" s="2698"/>
      <c r="AS22" s="2698"/>
      <c r="AT22" s="2698"/>
      <c r="AU22" s="2698"/>
      <c r="AV22" s="2698"/>
      <c r="AW22" s="2698"/>
      <c r="AX22" s="2698"/>
      <c r="AY22" s="2698"/>
      <c r="AZ22" s="2698"/>
      <c r="BA22" s="2698"/>
      <c r="BB22" s="2698"/>
      <c r="BC22" s="2698"/>
      <c r="BD22" s="2698"/>
      <c r="BE22" s="2698"/>
      <c r="BF22" s="2698"/>
      <c r="BG22" s="1927"/>
      <c r="BH22" s="1927"/>
      <c r="BI22" s="1927"/>
      <c r="BJ22" s="1927"/>
      <c r="BK22" s="1927"/>
      <c r="BL22" s="1927"/>
      <c r="BM22" s="1927"/>
      <c r="BN22" s="1927"/>
      <c r="BO22" s="1927"/>
      <c r="BP22" s="1927"/>
      <c r="BQ22" s="1928"/>
      <c r="BR22" s="1137"/>
      <c r="BS22" s="4234"/>
      <c r="BT22" s="4487"/>
      <c r="BU22" s="4487"/>
      <c r="BV22" s="25"/>
      <c r="BW22" s="502"/>
      <c r="BX22" s="502"/>
    </row>
    <row r="23" spans="1:76" ht="15" customHeight="1" x14ac:dyDescent="0.25">
      <c r="B23" s="1892" t="s">
        <v>20</v>
      </c>
      <c r="C23" s="1863" t="s">
        <v>50</v>
      </c>
      <c r="D23" s="2691">
        <v>3420</v>
      </c>
      <c r="E23" s="2687">
        <v>1620</v>
      </c>
      <c r="F23" s="17">
        <v>246.31997000000001</v>
      </c>
      <c r="G23" s="5547">
        <v>810</v>
      </c>
      <c r="H23" s="17">
        <v>2383.6527900000001</v>
      </c>
      <c r="I23" s="2686">
        <f t="shared" ref="I23:J25" si="98">+E23+G23</f>
        <v>2430</v>
      </c>
      <c r="J23" s="37">
        <f t="shared" si="98"/>
        <v>2629.9727600000001</v>
      </c>
      <c r="K23" s="5672">
        <f>0.81*1000</f>
        <v>810</v>
      </c>
      <c r="L23" s="17">
        <v>902.97845999999993</v>
      </c>
      <c r="M23" s="2689">
        <f t="shared" ref="M23:N25" si="99">+E23+G23+K23</f>
        <v>3240</v>
      </c>
      <c r="N23" s="67">
        <f t="shared" si="99"/>
        <v>3532.9512199999999</v>
      </c>
      <c r="O23" s="5820">
        <v>810</v>
      </c>
      <c r="P23" s="17">
        <v>0</v>
      </c>
      <c r="Q23" s="4270">
        <f t="shared" ref="Q23:R25" si="100">+M23+O23</f>
        <v>4050</v>
      </c>
      <c r="R23" s="37">
        <f t="shared" si="100"/>
        <v>3532.9512199999999</v>
      </c>
      <c r="S23" s="5888">
        <f>0.81*1000</f>
        <v>810</v>
      </c>
      <c r="T23" s="17">
        <v>144.06922</v>
      </c>
      <c r="U23" s="4317">
        <f t="shared" ref="U23:U25" si="101">+Q23+S23</f>
        <v>4860</v>
      </c>
      <c r="V23" s="37">
        <f t="shared" ref="V23:V25" si="102">+R23+T23</f>
        <v>3677.0204399999998</v>
      </c>
      <c r="W23" s="5993">
        <f>5360-1625</f>
        <v>3735</v>
      </c>
      <c r="X23" s="17">
        <v>256.58677999999998</v>
      </c>
      <c r="Y23" s="4397">
        <f t="shared" ref="Y23:Z25" si="103">+O23+S23+W23</f>
        <v>5355</v>
      </c>
      <c r="Z23" s="4397">
        <f t="shared" si="103"/>
        <v>400.65599999999995</v>
      </c>
      <c r="AA23" s="2690">
        <f t="shared" ref="AA23:AB25" si="104">+M23+Y23</f>
        <v>8595</v>
      </c>
      <c r="AB23" s="2690">
        <f t="shared" si="104"/>
        <v>3933.6072199999999</v>
      </c>
      <c r="AC23" s="6121">
        <v>810</v>
      </c>
      <c r="AD23" s="17">
        <v>3014.2686399999998</v>
      </c>
      <c r="AE23" s="2686">
        <f t="shared" ref="AE23:AE25" si="105">+AA23+AC23</f>
        <v>9405</v>
      </c>
      <c r="AF23" s="37">
        <f t="shared" ref="AF23:AF25" si="106">+AB23+AD23</f>
        <v>6947.8758600000001</v>
      </c>
      <c r="AG23" s="6292">
        <v>810</v>
      </c>
      <c r="AH23" s="17">
        <v>135.13793000000001</v>
      </c>
      <c r="AI23" s="2686">
        <f t="shared" ref="AI23:AI25" si="107">+AE23+AG23</f>
        <v>10215</v>
      </c>
      <c r="AJ23" s="37">
        <f t="shared" ref="AJ23:AJ24" si="108">+AF23+AH23</f>
        <v>7083.01379</v>
      </c>
      <c r="AK23" s="6544">
        <v>810</v>
      </c>
      <c r="AL23" s="17">
        <v>35.725159999999995</v>
      </c>
      <c r="AM23" s="2688">
        <f t="shared" ref="AM23:AM25" si="109">+AC23+AG23+AK23</f>
        <v>2430</v>
      </c>
      <c r="AN23" s="2688">
        <f t="shared" ref="AN23:AN24" si="110">+AD23+AH23+AL23</f>
        <v>3185.1317299999996</v>
      </c>
      <c r="AO23" s="2686">
        <f>AI23+AK23</f>
        <v>11025</v>
      </c>
      <c r="AP23" s="2686">
        <f>AJ23+AL23</f>
        <v>7118.7389499999999</v>
      </c>
      <c r="AQ23" s="6638">
        <v>810</v>
      </c>
      <c r="AR23" s="17">
        <v>662.91874000000007</v>
      </c>
      <c r="AS23" s="2686">
        <f t="shared" ref="AS23:AS25" si="111">+AO23+AQ23</f>
        <v>11835</v>
      </c>
      <c r="AT23" s="37">
        <f t="shared" ref="AT23:AT25" si="112">+AP23+AR23</f>
        <v>7781.65769</v>
      </c>
      <c r="AU23" s="6803">
        <v>810</v>
      </c>
      <c r="AV23" s="17">
        <v>0</v>
      </c>
      <c r="AW23" s="2686">
        <f t="shared" ref="AW23:AW25" si="113">+AS23+AU23</f>
        <v>12645</v>
      </c>
      <c r="AX23" s="37">
        <f t="shared" ref="AX23:AX25" si="114">+AT23+AV23</f>
        <v>7781.65769</v>
      </c>
      <c r="AY23" s="6948">
        <v>810</v>
      </c>
      <c r="AZ23" s="17">
        <v>80.298139999999989</v>
      </c>
      <c r="BA23" s="2771">
        <f t="shared" ref="BA23:BA25" si="115">+AQ23+AU23+AY23</f>
        <v>2430</v>
      </c>
      <c r="BB23" s="2771">
        <f t="shared" ref="BB23:BB25" si="116">+AR23+AV23+AZ23</f>
        <v>743.21688000000006</v>
      </c>
      <c r="BC23" s="2772">
        <f t="shared" ref="BC23:BC25" si="117">AM23+BA23</f>
        <v>4860</v>
      </c>
      <c r="BD23" s="2772">
        <f t="shared" ref="BD23:BD25" si="118">AN23+BB23</f>
        <v>3928.3486099999996</v>
      </c>
      <c r="BE23" s="2770">
        <f>AW23+AY23</f>
        <v>13455</v>
      </c>
      <c r="BF23" s="2770">
        <f>AX23+AZ23</f>
        <v>7861.9558299999999</v>
      </c>
      <c r="BG23" s="5548">
        <v>7740</v>
      </c>
      <c r="BH23" s="5548">
        <v>12917.885679999999</v>
      </c>
      <c r="BI23" s="3062">
        <v>19561.099796333998</v>
      </c>
      <c r="BJ23" s="3032">
        <v>7548.2755700000007</v>
      </c>
      <c r="BK23" s="1818">
        <v>9129.3344199999992</v>
      </c>
      <c r="BL23" s="1818">
        <v>19735.515274949088</v>
      </c>
      <c r="BM23" s="1818">
        <v>22361.07245</v>
      </c>
      <c r="BN23" s="1818">
        <v>20755.018447889259</v>
      </c>
      <c r="BO23" s="1818">
        <v>58220.700000000004</v>
      </c>
      <c r="BP23" s="1818">
        <v>29957.855711422799</v>
      </c>
      <c r="BQ23" s="1019">
        <v>134629.17781999998</v>
      </c>
      <c r="BR23" s="1137"/>
      <c r="BS23" s="4234"/>
      <c r="BT23" s="4487"/>
      <c r="BU23" s="4487"/>
      <c r="BV23" s="25"/>
      <c r="BW23" s="502"/>
      <c r="BX23" s="502"/>
    </row>
    <row r="24" spans="1:76" ht="15" customHeight="1" x14ac:dyDescent="0.25">
      <c r="B24" s="1892" t="s">
        <v>113</v>
      </c>
      <c r="C24" s="1863" t="s">
        <v>50</v>
      </c>
      <c r="D24" s="2691">
        <v>0</v>
      </c>
      <c r="E24" s="2687">
        <v>0</v>
      </c>
      <c r="F24" s="17">
        <v>34.774583999999997</v>
      </c>
      <c r="G24" s="5547">
        <v>0</v>
      </c>
      <c r="H24" s="17">
        <v>336.51568800000001</v>
      </c>
      <c r="I24" s="2686">
        <f t="shared" si="98"/>
        <v>0</v>
      </c>
      <c r="J24" s="37">
        <f t="shared" si="98"/>
        <v>371.29027200000002</v>
      </c>
      <c r="K24" s="5672">
        <v>0</v>
      </c>
      <c r="L24" s="17">
        <v>127.47931200000001</v>
      </c>
      <c r="M24" s="2689">
        <f t="shared" si="99"/>
        <v>0</v>
      </c>
      <c r="N24" s="67">
        <f t="shared" si="99"/>
        <v>498.76958400000001</v>
      </c>
      <c r="O24" s="5820">
        <v>0</v>
      </c>
      <c r="P24" s="17">
        <v>0</v>
      </c>
      <c r="Q24" s="4270">
        <f t="shared" si="100"/>
        <v>0</v>
      </c>
      <c r="R24" s="37">
        <f t="shared" si="100"/>
        <v>498.76958400000001</v>
      </c>
      <c r="S24" s="5888">
        <v>0</v>
      </c>
      <c r="T24" s="17">
        <v>20.339184000000003</v>
      </c>
      <c r="U24" s="4317">
        <f t="shared" si="101"/>
        <v>0</v>
      </c>
      <c r="V24" s="37">
        <f t="shared" si="102"/>
        <v>519.10876800000005</v>
      </c>
      <c r="W24" s="5993">
        <v>0</v>
      </c>
      <c r="X24" s="17">
        <v>36.224015999999999</v>
      </c>
      <c r="Y24" s="4397">
        <f t="shared" si="103"/>
        <v>0</v>
      </c>
      <c r="Z24" s="4397">
        <f t="shared" si="103"/>
        <v>56.563200000000002</v>
      </c>
      <c r="AA24" s="2690">
        <f t="shared" si="104"/>
        <v>0</v>
      </c>
      <c r="AB24" s="2690">
        <f t="shared" si="104"/>
        <v>555.33278400000006</v>
      </c>
      <c r="AC24" s="6121">
        <v>0</v>
      </c>
      <c r="AD24" s="17">
        <v>426</v>
      </c>
      <c r="AE24" s="2686">
        <f t="shared" si="105"/>
        <v>0</v>
      </c>
      <c r="AF24" s="37">
        <f t="shared" si="106"/>
        <v>981.33278400000006</v>
      </c>
      <c r="AG24" s="6292">
        <v>0</v>
      </c>
      <c r="AH24" s="17">
        <v>19.078296000000002</v>
      </c>
      <c r="AI24" s="2686">
        <f t="shared" si="107"/>
        <v>0</v>
      </c>
      <c r="AJ24" s="37">
        <f t="shared" si="108"/>
        <v>1000.4110800000001</v>
      </c>
      <c r="AK24" s="6544">
        <v>0</v>
      </c>
      <c r="AL24" s="17">
        <v>5</v>
      </c>
      <c r="AM24" s="2688">
        <f t="shared" si="109"/>
        <v>0</v>
      </c>
      <c r="AN24" s="2688">
        <f t="shared" si="110"/>
        <v>450.07829600000002</v>
      </c>
      <c r="AO24" s="2686">
        <f t="shared" ref="AO24:AP27" si="119">AI24+AK24</f>
        <v>0</v>
      </c>
      <c r="AP24" s="2686">
        <f t="shared" ref="AP24:AP25" si="120">AJ24+AL24</f>
        <v>1005.4110800000001</v>
      </c>
      <c r="AQ24" s="6638">
        <v>0</v>
      </c>
      <c r="AR24" s="17">
        <v>93.588527999999997</v>
      </c>
      <c r="AS24" s="2686">
        <f t="shared" si="111"/>
        <v>0</v>
      </c>
      <c r="AT24" s="37">
        <f t="shared" si="112"/>
        <v>1098.9996080000001</v>
      </c>
      <c r="AU24" s="6803">
        <v>0</v>
      </c>
      <c r="AV24" s="17">
        <v>0</v>
      </c>
      <c r="AW24" s="2686">
        <f t="shared" si="113"/>
        <v>0</v>
      </c>
      <c r="AX24" s="37">
        <f t="shared" si="114"/>
        <v>1098.9996080000001</v>
      </c>
      <c r="AY24" s="6948">
        <v>0</v>
      </c>
      <c r="AZ24" s="17">
        <v>11.336208000000001</v>
      </c>
      <c r="BA24" s="2771">
        <f t="shared" si="115"/>
        <v>0</v>
      </c>
      <c r="BB24" s="2771">
        <f t="shared" si="116"/>
        <v>104.924736</v>
      </c>
      <c r="BC24" s="2772">
        <f t="shared" si="117"/>
        <v>0</v>
      </c>
      <c r="BD24" s="2772">
        <f t="shared" si="118"/>
        <v>555.00303200000008</v>
      </c>
      <c r="BE24" s="2770">
        <f t="shared" ref="BE24:BE25" si="121">AW24+AY24</f>
        <v>0</v>
      </c>
      <c r="BF24" s="2770">
        <f t="shared" ref="BF24:BF25" si="122">AX24+AZ24</f>
        <v>1110.335816</v>
      </c>
      <c r="BG24" s="5548">
        <v>0</v>
      </c>
      <c r="BH24" s="5548">
        <v>1823.765584</v>
      </c>
      <c r="BI24" s="3062">
        <v>0</v>
      </c>
      <c r="BJ24" s="3032">
        <v>1026.6220800000001</v>
      </c>
      <c r="BK24" s="1818">
        <v>2541.6495199999999</v>
      </c>
      <c r="BL24" s="1818">
        <v>0</v>
      </c>
      <c r="BM24" s="1818">
        <v>2774.7649000000001</v>
      </c>
      <c r="BN24" s="1818">
        <v>392</v>
      </c>
      <c r="BO24" s="1818">
        <v>3852.3</v>
      </c>
      <c r="BP24" s="1818">
        <v>1419.0563231726583</v>
      </c>
      <c r="BQ24" s="1019">
        <v>8272.9782799999994</v>
      </c>
      <c r="BR24" s="1137"/>
      <c r="BS24" s="4234"/>
      <c r="BT24" s="4487"/>
      <c r="BU24" s="4487"/>
      <c r="BV24" s="25"/>
      <c r="BW24" s="502"/>
      <c r="BX24" s="502"/>
    </row>
    <row r="25" spans="1:76" ht="20.25" customHeight="1" x14ac:dyDescent="0.25">
      <c r="B25" s="1900" t="s">
        <v>1638</v>
      </c>
      <c r="C25" s="1863" t="s">
        <v>50</v>
      </c>
      <c r="D25" s="7540">
        <v>2600</v>
      </c>
      <c r="E25" s="7541">
        <v>325</v>
      </c>
      <c r="F25" s="17">
        <v>190</v>
      </c>
      <c r="G25" s="1250">
        <v>0</v>
      </c>
      <c r="H25" s="17">
        <v>230</v>
      </c>
      <c r="I25" s="2686">
        <f t="shared" si="98"/>
        <v>325</v>
      </c>
      <c r="J25" s="37">
        <f t="shared" si="98"/>
        <v>420</v>
      </c>
      <c r="K25" s="1250">
        <v>0</v>
      </c>
      <c r="L25" s="17">
        <v>0</v>
      </c>
      <c r="M25" s="2689">
        <f t="shared" si="99"/>
        <v>325</v>
      </c>
      <c r="N25" s="67">
        <f t="shared" si="99"/>
        <v>420</v>
      </c>
      <c r="O25" s="1250">
        <v>0</v>
      </c>
      <c r="P25" s="17">
        <v>0</v>
      </c>
      <c r="Q25" s="4270">
        <f t="shared" si="100"/>
        <v>325</v>
      </c>
      <c r="R25" s="37">
        <f t="shared" si="100"/>
        <v>420</v>
      </c>
      <c r="S25" s="1250">
        <v>0</v>
      </c>
      <c r="T25" s="17">
        <v>0</v>
      </c>
      <c r="U25" s="4317">
        <f t="shared" si="101"/>
        <v>325</v>
      </c>
      <c r="V25" s="37">
        <f t="shared" si="102"/>
        <v>420</v>
      </c>
      <c r="W25" s="1250">
        <f>2500*0.65</f>
        <v>1625</v>
      </c>
      <c r="X25" s="17">
        <v>0</v>
      </c>
      <c r="Y25" s="4397">
        <f t="shared" si="103"/>
        <v>1625</v>
      </c>
      <c r="Z25" s="4397">
        <f t="shared" si="103"/>
        <v>0</v>
      </c>
      <c r="AA25" s="2690">
        <f t="shared" si="104"/>
        <v>1950</v>
      </c>
      <c r="AB25" s="2690">
        <f t="shared" si="104"/>
        <v>420</v>
      </c>
      <c r="AC25" s="1250">
        <v>0</v>
      </c>
      <c r="AD25" s="17">
        <v>5603</v>
      </c>
      <c r="AE25" s="2686">
        <f t="shared" si="105"/>
        <v>1950</v>
      </c>
      <c r="AF25" s="37">
        <f t="shared" si="106"/>
        <v>6023</v>
      </c>
      <c r="AG25" s="1250">
        <v>0</v>
      </c>
      <c r="AH25" s="17">
        <v>0</v>
      </c>
      <c r="AI25" s="2686">
        <f t="shared" si="107"/>
        <v>1950</v>
      </c>
      <c r="AJ25" s="37">
        <f>+AF25+AH25</f>
        <v>6023</v>
      </c>
      <c r="AK25" s="1250">
        <v>0</v>
      </c>
      <c r="AL25" s="17">
        <v>0</v>
      </c>
      <c r="AM25" s="2688">
        <f t="shared" si="109"/>
        <v>0</v>
      </c>
      <c r="AN25" s="2688">
        <f>+AD25+AH25+AL25</f>
        <v>5603</v>
      </c>
      <c r="AO25" s="2686">
        <f t="shared" si="119"/>
        <v>1950</v>
      </c>
      <c r="AP25" s="2686">
        <f t="shared" si="120"/>
        <v>6023</v>
      </c>
      <c r="AQ25" s="1250">
        <v>0</v>
      </c>
      <c r="AR25" s="17">
        <v>800.6</v>
      </c>
      <c r="AS25" s="2686">
        <f t="shared" si="111"/>
        <v>1950</v>
      </c>
      <c r="AT25" s="37">
        <f t="shared" si="112"/>
        <v>6823.6</v>
      </c>
      <c r="AU25" s="1250">
        <v>0</v>
      </c>
      <c r="AV25" s="17">
        <v>920</v>
      </c>
      <c r="AW25" s="2686">
        <f t="shared" si="113"/>
        <v>1950</v>
      </c>
      <c r="AX25" s="37">
        <f t="shared" si="114"/>
        <v>7743.6</v>
      </c>
      <c r="AY25" s="1250">
        <v>0</v>
      </c>
      <c r="AZ25" s="17">
        <v>310</v>
      </c>
      <c r="BA25" s="2771">
        <f t="shared" si="115"/>
        <v>0</v>
      </c>
      <c r="BB25" s="2771">
        <f t="shared" si="116"/>
        <v>2030.6</v>
      </c>
      <c r="BC25" s="2772">
        <f t="shared" si="117"/>
        <v>0</v>
      </c>
      <c r="BD25" s="2772">
        <f t="shared" si="118"/>
        <v>7633.6</v>
      </c>
      <c r="BE25" s="2770">
        <f t="shared" si="121"/>
        <v>1950</v>
      </c>
      <c r="BF25" s="2770">
        <f t="shared" si="122"/>
        <v>8053.6</v>
      </c>
      <c r="BG25" s="5548">
        <v>1625</v>
      </c>
      <c r="BH25" s="5548">
        <v>11114.8</v>
      </c>
      <c r="BI25" s="3062">
        <v>2000</v>
      </c>
      <c r="BJ25" s="3032">
        <v>5022</v>
      </c>
      <c r="BK25" s="1818">
        <v>4664.8</v>
      </c>
      <c r="BL25" s="1818">
        <v>14800</v>
      </c>
      <c r="BM25" s="1818">
        <v>9214.4</v>
      </c>
      <c r="BN25" s="1818">
        <v>0</v>
      </c>
      <c r="BO25" s="1818">
        <v>0</v>
      </c>
      <c r="BP25" s="1818">
        <v>0</v>
      </c>
      <c r="BQ25" s="1019">
        <v>26220.800000000003</v>
      </c>
      <c r="BR25" s="1137"/>
      <c r="BS25" s="4234"/>
      <c r="BT25" s="4234"/>
      <c r="BU25" s="25"/>
      <c r="BV25" s="25"/>
      <c r="BW25" s="502"/>
      <c r="BX25" s="502"/>
    </row>
    <row r="26" spans="1:76" ht="15" customHeight="1" thickBot="1" x14ac:dyDescent="0.3">
      <c r="B26" s="1901" t="s">
        <v>679</v>
      </c>
      <c r="C26" s="1876" t="s">
        <v>50</v>
      </c>
      <c r="D26" s="2713">
        <f t="shared" ref="D26:R26" si="123">SUM(D23:D25)</f>
        <v>6020</v>
      </c>
      <c r="E26" s="1627">
        <f t="shared" si="123"/>
        <v>1945</v>
      </c>
      <c r="F26" s="2714">
        <f t="shared" si="123"/>
        <v>471.09455400000002</v>
      </c>
      <c r="G26" s="5553">
        <f t="shared" ref="G26" si="124">SUM(G23:G25)</f>
        <v>810</v>
      </c>
      <c r="H26" s="2714">
        <f t="shared" ref="H26" si="125">SUM(H23:H25)</f>
        <v>2950.1684780000001</v>
      </c>
      <c r="I26" s="1910">
        <f t="shared" si="123"/>
        <v>2755</v>
      </c>
      <c r="J26" s="1878">
        <f t="shared" si="123"/>
        <v>3421.2630320000003</v>
      </c>
      <c r="K26" s="5697">
        <f t="shared" ref="K26:L26" si="126">SUM(K23:K25)</f>
        <v>810</v>
      </c>
      <c r="L26" s="2714">
        <f t="shared" si="126"/>
        <v>1030.457772</v>
      </c>
      <c r="M26" s="1918">
        <f t="shared" si="123"/>
        <v>3565</v>
      </c>
      <c r="N26" s="1919">
        <f t="shared" si="123"/>
        <v>4451.7208040000005</v>
      </c>
      <c r="O26" s="5822">
        <f t="shared" ref="O26:P26" si="127">SUM(O23:O25)</f>
        <v>810</v>
      </c>
      <c r="P26" s="2714">
        <f t="shared" si="127"/>
        <v>0</v>
      </c>
      <c r="Q26" s="1910">
        <f t="shared" si="123"/>
        <v>4375</v>
      </c>
      <c r="R26" s="1878">
        <f t="shared" si="123"/>
        <v>4451.7208040000005</v>
      </c>
      <c r="S26" s="5904">
        <f t="shared" ref="S26:T26" si="128">SUM(S23:S25)</f>
        <v>810</v>
      </c>
      <c r="T26" s="2714">
        <f t="shared" si="128"/>
        <v>164.40840400000002</v>
      </c>
      <c r="U26" s="1910">
        <f t="shared" ref="U26:X26" si="129">SUM(U23:U25)</f>
        <v>5185</v>
      </c>
      <c r="V26" s="1878">
        <f t="shared" si="129"/>
        <v>4616.1292080000003</v>
      </c>
      <c r="W26" s="5997">
        <f t="shared" si="129"/>
        <v>5360</v>
      </c>
      <c r="X26" s="2714">
        <f t="shared" si="129"/>
        <v>292.81079599999998</v>
      </c>
      <c r="Y26" s="4399">
        <f t="shared" ref="Y26:Z26" si="130">SUM(Y23:Y25)</f>
        <v>6980</v>
      </c>
      <c r="Z26" s="4399">
        <f t="shared" si="130"/>
        <v>457.21919999999994</v>
      </c>
      <c r="AA26" s="513">
        <f t="shared" ref="AA26:AD26" si="131">SUM(AA23:AA25)</f>
        <v>10545</v>
      </c>
      <c r="AB26" s="513">
        <f t="shared" si="131"/>
        <v>4908.940004</v>
      </c>
      <c r="AC26" s="6128">
        <f t="shared" si="131"/>
        <v>810</v>
      </c>
      <c r="AD26" s="2714">
        <f t="shared" si="131"/>
        <v>9043.2686400000002</v>
      </c>
      <c r="AE26" s="1910">
        <f t="shared" ref="AE26:AH26" si="132">SUM(AE23:AE25)</f>
        <v>11355</v>
      </c>
      <c r="AF26" s="1878">
        <f t="shared" si="132"/>
        <v>13952.208644</v>
      </c>
      <c r="AG26" s="6322">
        <f t="shared" si="132"/>
        <v>810</v>
      </c>
      <c r="AH26" s="2714">
        <f t="shared" si="132"/>
        <v>154.21622600000001</v>
      </c>
      <c r="AI26" s="1910">
        <f t="shared" ref="AI26:AL26" si="133">SUM(AI23:AI25)</f>
        <v>12165</v>
      </c>
      <c r="AJ26" s="1878">
        <f t="shared" si="133"/>
        <v>14106.424869999999</v>
      </c>
      <c r="AK26" s="6560">
        <f t="shared" si="133"/>
        <v>810</v>
      </c>
      <c r="AL26" s="2714">
        <f t="shared" si="133"/>
        <v>40.725159999999995</v>
      </c>
      <c r="AM26" s="354">
        <f t="shared" ref="AM26:AR26" si="134">SUM(AM23:AM25)</f>
        <v>2430</v>
      </c>
      <c r="AN26" s="354">
        <f t="shared" si="134"/>
        <v>9238.2100260000007</v>
      </c>
      <c r="AO26" s="1910">
        <f t="shared" si="134"/>
        <v>12975</v>
      </c>
      <c r="AP26" s="1878">
        <f t="shared" si="134"/>
        <v>14147.150030000001</v>
      </c>
      <c r="AQ26" s="6661">
        <f t="shared" si="134"/>
        <v>810</v>
      </c>
      <c r="AR26" s="2714">
        <f t="shared" si="134"/>
        <v>1557.1072680000002</v>
      </c>
      <c r="AS26" s="1910">
        <f t="shared" ref="AS26:AV26" si="135">SUM(AS23:AS25)</f>
        <v>13785</v>
      </c>
      <c r="AT26" s="1878">
        <f t="shared" si="135"/>
        <v>15704.257298</v>
      </c>
      <c r="AU26" s="6810">
        <f t="shared" si="135"/>
        <v>810</v>
      </c>
      <c r="AV26" s="2714">
        <f t="shared" si="135"/>
        <v>920</v>
      </c>
      <c r="AW26" s="1910">
        <f t="shared" ref="AW26:AZ26" si="136">SUM(AW23:AW25)</f>
        <v>14595</v>
      </c>
      <c r="AX26" s="1878">
        <f t="shared" si="136"/>
        <v>16624.257298</v>
      </c>
      <c r="AY26" s="6950">
        <f t="shared" si="136"/>
        <v>810</v>
      </c>
      <c r="AZ26" s="2714">
        <f t="shared" si="136"/>
        <v>401.63434799999999</v>
      </c>
      <c r="BA26" s="354">
        <f t="shared" ref="BA26:BF26" si="137">SUM(BA23:BA25)</f>
        <v>2430</v>
      </c>
      <c r="BB26" s="354">
        <f t="shared" si="137"/>
        <v>2878.7416160000002</v>
      </c>
      <c r="BC26" s="513">
        <f t="shared" si="137"/>
        <v>4860</v>
      </c>
      <c r="BD26" s="513">
        <f t="shared" si="137"/>
        <v>12116.951642</v>
      </c>
      <c r="BE26" s="1910">
        <f t="shared" si="137"/>
        <v>15405</v>
      </c>
      <c r="BF26" s="1878">
        <f t="shared" si="137"/>
        <v>17025.891646</v>
      </c>
      <c r="BG26" s="1060">
        <v>9365</v>
      </c>
      <c r="BH26" s="1060">
        <v>25856.451263999999</v>
      </c>
      <c r="BI26" s="1060">
        <v>21561.099796333998</v>
      </c>
      <c r="BJ26" s="1060">
        <v>13596.897650000001</v>
      </c>
      <c r="BK26" s="1060">
        <v>16335.783939999998</v>
      </c>
      <c r="BL26" s="1060">
        <v>34535.515274949088</v>
      </c>
      <c r="BM26" s="1060">
        <v>34350.237350000003</v>
      </c>
      <c r="BN26" s="1060">
        <v>21147.018447889259</v>
      </c>
      <c r="BO26" s="1060">
        <v>62073.000000000007</v>
      </c>
      <c r="BP26" s="1060">
        <v>31376.912034595443</v>
      </c>
      <c r="BQ26" s="1929">
        <v>169122.95610000001</v>
      </c>
      <c r="BR26" s="1137"/>
      <c r="BS26" s="4234"/>
      <c r="BT26" s="4234"/>
      <c r="BU26" s="25"/>
      <c r="BV26" s="25"/>
      <c r="BW26" s="502"/>
      <c r="BX26" s="502"/>
    </row>
    <row r="27" spans="1:76" ht="15" customHeight="1" thickBot="1" x14ac:dyDescent="0.3">
      <c r="B27" s="1902" t="s">
        <v>675</v>
      </c>
      <c r="C27" s="1873" t="s">
        <v>50</v>
      </c>
      <c r="D27" s="5454">
        <v>5103</v>
      </c>
      <c r="E27" s="494">
        <v>644.51199999999994</v>
      </c>
      <c r="F27" s="1907">
        <v>160.65</v>
      </c>
      <c r="G27" s="494">
        <v>279.98</v>
      </c>
      <c r="H27" s="1907">
        <v>603.86199999999997</v>
      </c>
      <c r="I27" s="1724">
        <f>+E27+G27</f>
        <v>924.49199999999996</v>
      </c>
      <c r="J27" s="1725">
        <f>+F27+H27</f>
        <v>764.51199999999994</v>
      </c>
      <c r="K27" s="494">
        <v>273.99599999999998</v>
      </c>
      <c r="L27" s="1907">
        <v>0</v>
      </c>
      <c r="M27" s="1726">
        <f>+E27+G27+K27</f>
        <v>1198.4879999999998</v>
      </c>
      <c r="N27" s="1917">
        <f>+F27+H27+L27</f>
        <v>764.51199999999994</v>
      </c>
      <c r="O27" s="494">
        <v>276.24</v>
      </c>
      <c r="P27" s="1907">
        <v>0</v>
      </c>
      <c r="Q27" s="1724">
        <f>+M27+O27</f>
        <v>1474.7279999999998</v>
      </c>
      <c r="R27" s="1725">
        <f>+N27+P27</f>
        <v>764.51199999999994</v>
      </c>
      <c r="S27" s="494">
        <v>276.24</v>
      </c>
      <c r="T27" s="1907">
        <v>0</v>
      </c>
      <c r="U27" s="1724">
        <f>+Q27+S27</f>
        <v>1750.9679999999998</v>
      </c>
      <c r="V27" s="1725">
        <f>+R27+T27</f>
        <v>764.51199999999994</v>
      </c>
      <c r="W27" s="494">
        <v>498.97</v>
      </c>
      <c r="X27" s="1907">
        <v>0</v>
      </c>
      <c r="Y27" s="4397">
        <f>+O27+S27+W27</f>
        <v>1051.45</v>
      </c>
      <c r="Z27" s="4397">
        <f>+P27+T27+X27</f>
        <v>0</v>
      </c>
      <c r="AA27" s="2690">
        <f>+M27+Y27</f>
        <v>2249.9380000000001</v>
      </c>
      <c r="AB27" s="2690">
        <f>+N27+Z27</f>
        <v>764.51199999999994</v>
      </c>
      <c r="AC27" s="494">
        <v>279.98</v>
      </c>
      <c r="AD27" s="1907">
        <v>549.08699999999999</v>
      </c>
      <c r="AE27" s="1724">
        <f>+AA27+AC27</f>
        <v>2529.9180000000001</v>
      </c>
      <c r="AF27" s="1725">
        <f>+AB27+AD27</f>
        <v>1313.5989999999999</v>
      </c>
      <c r="AG27" s="494">
        <v>273.99599999999998</v>
      </c>
      <c r="AH27" s="1907">
        <v>833.46900000000005</v>
      </c>
      <c r="AI27" s="1724">
        <f>+AE27+AG27</f>
        <v>2803.9140000000002</v>
      </c>
      <c r="AJ27" s="1725">
        <f>+AF27+AH27</f>
        <v>2147.0680000000002</v>
      </c>
      <c r="AK27" s="494">
        <v>279.98</v>
      </c>
      <c r="AL27" s="1907">
        <v>1510.7470000000001</v>
      </c>
      <c r="AM27" s="2688">
        <f>+AC27+AG27+AK27</f>
        <v>833.95600000000002</v>
      </c>
      <c r="AN27" s="2688">
        <f>+AD27+AH27+AL27</f>
        <v>2893.3029999999999</v>
      </c>
      <c r="AO27" s="2686">
        <f t="shared" si="119"/>
        <v>3083.8940000000002</v>
      </c>
      <c r="AP27" s="2686">
        <f t="shared" si="119"/>
        <v>3657.8150000000005</v>
      </c>
      <c r="AQ27" s="494">
        <v>282.97199999999998</v>
      </c>
      <c r="AR27" s="1907">
        <v>1549.45</v>
      </c>
      <c r="AS27" s="1724">
        <f>+AO27+AQ27</f>
        <v>3366.866</v>
      </c>
      <c r="AT27" s="1725">
        <f>+AP27+AR27</f>
        <v>5207.2650000000003</v>
      </c>
      <c r="AU27" s="494">
        <v>262.02800000000002</v>
      </c>
      <c r="AV27" s="1907">
        <v>755.40500000000009</v>
      </c>
      <c r="AW27" s="1724">
        <f>+AS27+AU27</f>
        <v>3628.8940000000002</v>
      </c>
      <c r="AX27" s="1725">
        <f>+AT27+AV27</f>
        <v>5962.67</v>
      </c>
      <c r="AY27" s="494">
        <v>282.97199999999998</v>
      </c>
      <c r="AZ27" s="1907">
        <v>209.86</v>
      </c>
      <c r="BA27" s="2771">
        <f t="shared" ref="BA27:BA28" si="138">+AQ27+AU27+AY27</f>
        <v>827.97199999999998</v>
      </c>
      <c r="BB27" s="2771">
        <f t="shared" ref="BB27:BB28" si="139">+AR27+AV27+AZ27</f>
        <v>2514.7150000000001</v>
      </c>
      <c r="BC27" s="2772">
        <f t="shared" ref="BC27:BC28" si="140">AM27+BA27</f>
        <v>1661.9279999999999</v>
      </c>
      <c r="BD27" s="2772">
        <f t="shared" ref="BD27:BD28" si="141">AN27+BB27</f>
        <v>5408.018</v>
      </c>
      <c r="BE27" s="2770">
        <f t="shared" ref="BE27:BE28" si="142">AW27+AY27</f>
        <v>3911.866</v>
      </c>
      <c r="BF27" s="2770">
        <f t="shared" ref="BF27:BF28" si="143">AX27+AZ27</f>
        <v>6172.53</v>
      </c>
      <c r="BG27" s="5548">
        <v>2831.4999999999995</v>
      </c>
      <c r="BH27" s="5548">
        <v>7991.4859999999999</v>
      </c>
      <c r="BI27" s="3062">
        <v>2377.8719999999994</v>
      </c>
      <c r="BJ27" s="3032">
        <v>6141.3949999999995</v>
      </c>
      <c r="BK27" s="1818">
        <v>5885.7340000000004</v>
      </c>
      <c r="BL27" s="1818">
        <v>2398.5599999999995</v>
      </c>
      <c r="BM27" s="1818">
        <v>13377.679</v>
      </c>
      <c r="BN27" s="1818">
        <v>11568.989680591383</v>
      </c>
      <c r="BO27" s="1818">
        <v>41093.9</v>
      </c>
      <c r="BP27" s="1818">
        <v>0</v>
      </c>
      <c r="BQ27" s="1019">
        <v>44255.19</v>
      </c>
      <c r="BR27" s="25"/>
      <c r="BS27" s="4234"/>
      <c r="BT27" s="4234"/>
      <c r="BU27" s="25"/>
      <c r="BV27" s="25"/>
      <c r="BW27" s="502"/>
      <c r="BX27" s="502"/>
    </row>
    <row r="28" spans="1:76" ht="15" customHeight="1" thickBot="1" x14ac:dyDescent="0.3">
      <c r="B28" s="1903" t="s">
        <v>346</v>
      </c>
      <c r="C28" s="1873" t="s">
        <v>50</v>
      </c>
      <c r="D28" s="1874">
        <v>1049580</v>
      </c>
      <c r="E28" s="1722">
        <v>72770.880000000005</v>
      </c>
      <c r="F28" s="1906">
        <v>73016.796365999995</v>
      </c>
      <c r="G28" s="1722">
        <v>95295.2</v>
      </c>
      <c r="H28" s="1906">
        <v>75418.546496999988</v>
      </c>
      <c r="I28" s="1724">
        <f>+E28+G28</f>
        <v>168066.08000000002</v>
      </c>
      <c r="J28" s="1725">
        <f>+F28+H28</f>
        <v>148435.342863</v>
      </c>
      <c r="K28" s="1722">
        <v>92363.04</v>
      </c>
      <c r="L28" s="1906">
        <v>72846.055192</v>
      </c>
      <c r="M28" s="1726">
        <f>+E28+G28+K28</f>
        <v>260429.12</v>
      </c>
      <c r="N28" s="1917">
        <f>+F28+H28+L28</f>
        <v>221281.398055</v>
      </c>
      <c r="O28" s="1722">
        <v>93462.6</v>
      </c>
      <c r="P28" s="1906">
        <v>75682.969600000011</v>
      </c>
      <c r="Q28" s="1724">
        <f>+M28+O28</f>
        <v>353891.72</v>
      </c>
      <c r="R28" s="1725">
        <f>+N28+P28</f>
        <v>296964.36765500001</v>
      </c>
      <c r="S28" s="1722">
        <v>93462.6</v>
      </c>
      <c r="T28" s="1906">
        <v>80832.023354799981</v>
      </c>
      <c r="U28" s="1724">
        <f>+Q28+S28</f>
        <v>447354.31999999995</v>
      </c>
      <c r="V28" s="1725">
        <f>+R28+T28</f>
        <v>377796.39100980002</v>
      </c>
      <c r="W28" s="1722">
        <v>51312.800000000003</v>
      </c>
      <c r="X28" s="1906">
        <v>79584.048650599972</v>
      </c>
      <c r="Y28" s="4397">
        <f>+O28+S28+W28</f>
        <v>238238</v>
      </c>
      <c r="Z28" s="4397">
        <f>+P28+T28+X28</f>
        <v>236099.04160539998</v>
      </c>
      <c r="AA28" s="2690">
        <f>+M28+Y28</f>
        <v>498667.12</v>
      </c>
      <c r="AB28" s="2690">
        <f>+N28+Z28</f>
        <v>457380.43966039998</v>
      </c>
      <c r="AC28" s="1722">
        <v>95295.2</v>
      </c>
      <c r="AD28" s="1906">
        <v>63840.921898000001</v>
      </c>
      <c r="AE28" s="1724">
        <f>+AA28+AC28</f>
        <v>593962.31999999995</v>
      </c>
      <c r="AF28" s="1725">
        <f>+AB28+AD28</f>
        <v>521221.36155839998</v>
      </c>
      <c r="AG28" s="1722">
        <v>92363.04</v>
      </c>
      <c r="AH28" s="1906">
        <v>88321.763468000005</v>
      </c>
      <c r="AI28" s="1724">
        <f>+AE28+AG28</f>
        <v>686325.36</v>
      </c>
      <c r="AJ28" s="1725">
        <f>+AF28+AH28</f>
        <v>609543.12502639997</v>
      </c>
      <c r="AK28" s="1722">
        <v>95295.2</v>
      </c>
      <c r="AL28" s="1906">
        <v>84104.854628999979</v>
      </c>
      <c r="AM28" s="2688">
        <f>+AC28+AG28+AK28</f>
        <v>282953.44</v>
      </c>
      <c r="AN28" s="2688">
        <f>+AD28+AH28+AL28</f>
        <v>236267.53999499997</v>
      </c>
      <c r="AO28" s="2686">
        <f t="shared" ref="AO28:AP30" si="144">AI28+AK28</f>
        <v>781620.55999999994</v>
      </c>
      <c r="AP28" s="2686">
        <f t="shared" ref="AP28" si="145">AJ28+AL28</f>
        <v>693647.97965539992</v>
      </c>
      <c r="AQ28" s="1722">
        <v>96761.279999999999</v>
      </c>
      <c r="AR28" s="1906">
        <v>81040.671480000005</v>
      </c>
      <c r="AS28" s="1724">
        <f>+AO28+AQ28</f>
        <v>878381.84</v>
      </c>
      <c r="AT28" s="1725">
        <f>+AP28+AR28</f>
        <v>774688.65113539994</v>
      </c>
      <c r="AU28" s="1722">
        <v>86498.72</v>
      </c>
      <c r="AV28" s="1906">
        <v>67236.848248000024</v>
      </c>
      <c r="AW28" s="1724">
        <f>+AS28+AU28</f>
        <v>964880.55999999994</v>
      </c>
      <c r="AX28" s="1725">
        <f>+AT28+AV28</f>
        <v>841925.49938339996</v>
      </c>
      <c r="AY28" s="1722">
        <v>96761.279999999999</v>
      </c>
      <c r="AZ28" s="1906">
        <v>71373.051535000021</v>
      </c>
      <c r="BA28" s="2771">
        <f t="shared" si="138"/>
        <v>280021.28000000003</v>
      </c>
      <c r="BB28" s="2771">
        <f t="shared" si="139"/>
        <v>219650.57126300008</v>
      </c>
      <c r="BC28" s="2772">
        <f t="shared" si="140"/>
        <v>562974.71999999997</v>
      </c>
      <c r="BD28" s="2772">
        <f t="shared" si="141"/>
        <v>455918.11125800002</v>
      </c>
      <c r="BE28" s="2770">
        <f t="shared" si="142"/>
        <v>1061641.8399999999</v>
      </c>
      <c r="BF28" s="2770">
        <f t="shared" si="143"/>
        <v>913298.55091839994</v>
      </c>
      <c r="BG28" s="5548">
        <v>987899.89462592197</v>
      </c>
      <c r="BH28" s="5548">
        <v>899258.75527899992</v>
      </c>
      <c r="BI28" s="3062">
        <v>1063046.9968387778</v>
      </c>
      <c r="BJ28" s="3032">
        <v>1075244.6396029999</v>
      </c>
      <c r="BK28" s="1818">
        <v>1065593.0052819999</v>
      </c>
      <c r="BL28" s="1818">
        <v>157305.11720405263</v>
      </c>
      <c r="BM28" s="1818">
        <v>920129.29913014814</v>
      </c>
      <c r="BN28" s="1818">
        <v>882599.96545301133</v>
      </c>
      <c r="BO28" s="1818">
        <v>776699</v>
      </c>
      <c r="BP28" s="1818">
        <v>854657.99999999988</v>
      </c>
      <c r="BQ28" s="1019">
        <v>809638.20576449996</v>
      </c>
      <c r="BR28" s="1137"/>
      <c r="BS28" s="4234"/>
      <c r="BT28" s="4234"/>
      <c r="BU28" s="25"/>
      <c r="BV28" s="25"/>
      <c r="BW28" s="502"/>
      <c r="BX28" s="502"/>
    </row>
    <row r="29" spans="1:76" ht="15" customHeight="1" x14ac:dyDescent="0.25">
      <c r="A29" s="139"/>
      <c r="B29" s="1883" t="s">
        <v>31</v>
      </c>
      <c r="C29" s="1925"/>
      <c r="D29" s="2697"/>
      <c r="E29" s="2697"/>
      <c r="F29" s="2697"/>
      <c r="G29" s="2697"/>
      <c r="H29" s="2697"/>
      <c r="I29" s="2697"/>
      <c r="J29" s="2697"/>
      <c r="K29" s="2697"/>
      <c r="L29" s="2697"/>
      <c r="M29" s="2697"/>
      <c r="N29" s="2697"/>
      <c r="O29" s="2697"/>
      <c r="P29" s="2697"/>
      <c r="Q29" s="2697"/>
      <c r="R29" s="2697"/>
      <c r="S29" s="2697"/>
      <c r="T29" s="2697"/>
      <c r="U29" s="2697"/>
      <c r="V29" s="2697"/>
      <c r="W29" s="2697"/>
      <c r="X29" s="2697"/>
      <c r="Y29" s="2697"/>
      <c r="Z29" s="2697"/>
      <c r="AA29" s="2697"/>
      <c r="AB29" s="2697"/>
      <c r="AC29" s="2697"/>
      <c r="AD29" s="2697"/>
      <c r="AE29" s="2697"/>
      <c r="AF29" s="2697"/>
      <c r="AG29" s="2697"/>
      <c r="AH29" s="2697"/>
      <c r="AI29" s="2697"/>
      <c r="AJ29" s="2697"/>
      <c r="AK29" s="2697"/>
      <c r="AL29" s="2697"/>
      <c r="AM29" s="2697"/>
      <c r="AN29" s="2697"/>
      <c r="AO29" s="2697"/>
      <c r="AP29" s="2698"/>
      <c r="AQ29" s="2697"/>
      <c r="AR29" s="2697"/>
      <c r="AS29" s="2697"/>
      <c r="AT29" s="2697"/>
      <c r="AU29" s="2697"/>
      <c r="AV29" s="2697"/>
      <c r="AW29" s="2697"/>
      <c r="AX29" s="2697"/>
      <c r="AY29" s="2697"/>
      <c r="AZ29" s="2697"/>
      <c r="BA29" s="2697"/>
      <c r="BB29" s="2697"/>
      <c r="BC29" s="2697"/>
      <c r="BD29" s="2697"/>
      <c r="BE29" s="2697"/>
      <c r="BF29" s="2698"/>
      <c r="BG29" s="1925"/>
      <c r="BH29" s="1925"/>
      <c r="BI29" s="1925"/>
      <c r="BJ29" s="1925"/>
      <c r="BK29" s="1925"/>
      <c r="BL29" s="1925"/>
      <c r="BM29" s="1925"/>
      <c r="BN29" s="1925"/>
      <c r="BO29" s="1925"/>
      <c r="BP29" s="1925"/>
      <c r="BQ29" s="1926"/>
      <c r="BR29" s="1137"/>
      <c r="BS29" s="4234"/>
      <c r="BT29" s="4234"/>
      <c r="BU29" s="25"/>
      <c r="BV29" s="25"/>
      <c r="BW29" s="502"/>
      <c r="BX29" s="502"/>
    </row>
    <row r="30" spans="1:76" ht="15" customHeight="1" x14ac:dyDescent="0.25">
      <c r="B30" s="1882" t="s">
        <v>34</v>
      </c>
      <c r="C30" s="1863" t="s">
        <v>50</v>
      </c>
      <c r="D30" s="2691">
        <v>520000</v>
      </c>
      <c r="E30" s="1253">
        <v>36500</v>
      </c>
      <c r="F30" s="17">
        <f>+WRM!F159</f>
        <v>41532.999999999985</v>
      </c>
      <c r="G30" s="5552">
        <v>44000</v>
      </c>
      <c r="H30" s="17">
        <f>+WRM!H159</f>
        <v>39351.799999999996</v>
      </c>
      <c r="I30" s="2686">
        <f t="shared" ref="I30:J32" si="146">+E30+G30</f>
        <v>80500</v>
      </c>
      <c r="J30" s="37">
        <f t="shared" si="146"/>
        <v>80884.799999999988</v>
      </c>
      <c r="K30" s="5696">
        <v>42500</v>
      </c>
      <c r="L30" s="17">
        <f>+WRM!L159</f>
        <v>38291.349999999991</v>
      </c>
      <c r="M30" s="2689">
        <f t="shared" ref="M30:N32" si="147">+E30+G30+K30</f>
        <v>123000</v>
      </c>
      <c r="N30" s="67">
        <f t="shared" si="147"/>
        <v>119176.14999999998</v>
      </c>
      <c r="O30" s="5821">
        <v>44000</v>
      </c>
      <c r="P30" s="17">
        <f>+WRM!P159</f>
        <v>47063.899999999994</v>
      </c>
      <c r="Q30" s="4270">
        <f t="shared" ref="Q30:R32" si="148">+M30+O30</f>
        <v>167000</v>
      </c>
      <c r="R30" s="37">
        <f t="shared" si="148"/>
        <v>166240.04999999999</v>
      </c>
      <c r="S30" s="5903">
        <v>44000</v>
      </c>
      <c r="T30" s="17">
        <f>+WRM!T159</f>
        <v>38718.350000000006</v>
      </c>
      <c r="U30" s="4317">
        <f t="shared" ref="U30:U32" si="149">+Q30+S30</f>
        <v>211000</v>
      </c>
      <c r="V30" s="37">
        <f t="shared" ref="V30:V32" si="150">+R30+T30</f>
        <v>204958.4</v>
      </c>
      <c r="W30" s="5996">
        <v>25000</v>
      </c>
      <c r="X30" s="17">
        <f>+WRM!X159</f>
        <v>41006.150000000009</v>
      </c>
      <c r="Y30" s="4397">
        <f t="shared" ref="Y30:Z32" si="151">+O30+S30+W30</f>
        <v>113000</v>
      </c>
      <c r="Z30" s="4397">
        <f t="shared" si="151"/>
        <v>126788.40000000001</v>
      </c>
      <c r="AA30" s="2690">
        <f t="shared" ref="AA30:AB32" si="152">+M30+Y30</f>
        <v>236000</v>
      </c>
      <c r="AB30" s="2690">
        <f t="shared" si="152"/>
        <v>245964.55</v>
      </c>
      <c r="AC30" s="6127">
        <v>42500</v>
      </c>
      <c r="AD30" s="17">
        <f>+WRM!AD159</f>
        <v>30034.550000000003</v>
      </c>
      <c r="AE30" s="2686">
        <f t="shared" ref="AE30:AE32" si="153">+AA30+AC30</f>
        <v>278500</v>
      </c>
      <c r="AF30" s="37">
        <f t="shared" ref="AF30:AF32" si="154">+AB30+AD30</f>
        <v>275999.09999999998</v>
      </c>
      <c r="AG30" s="6321">
        <v>42500</v>
      </c>
      <c r="AH30" s="17">
        <f>+WRM!AH159</f>
        <v>34614.250000000007</v>
      </c>
      <c r="AI30" s="2686">
        <f t="shared" ref="AI30:AI32" si="155">+AE30+AG30</f>
        <v>321000</v>
      </c>
      <c r="AJ30" s="37">
        <f t="shared" ref="AJ30:AJ32" si="156">+AF30+AH30</f>
        <v>310613.34999999998</v>
      </c>
      <c r="AK30" s="6559">
        <v>44000</v>
      </c>
      <c r="AL30" s="17">
        <f>+WRM!AL159</f>
        <v>44007.350000000013</v>
      </c>
      <c r="AM30" s="2688">
        <f t="shared" ref="AM30:AM32" si="157">+AC30+AG30+AK30</f>
        <v>129000</v>
      </c>
      <c r="AN30" s="2688">
        <f t="shared" ref="AN30:AN32" si="158">+AD30+AH30+AL30</f>
        <v>108656.15000000002</v>
      </c>
      <c r="AO30" s="2686">
        <f t="shared" si="144"/>
        <v>365000</v>
      </c>
      <c r="AP30" s="2686">
        <f t="shared" si="144"/>
        <v>354620.7</v>
      </c>
      <c r="AQ30" s="6660">
        <v>44500</v>
      </c>
      <c r="AR30" s="17">
        <f>+WRM!AR159</f>
        <v>44589.550000000017</v>
      </c>
      <c r="AS30" s="2686">
        <f t="shared" ref="AS30:AS32" si="159">+AO30+AQ30</f>
        <v>409500</v>
      </c>
      <c r="AT30" s="37">
        <f t="shared" ref="AT30:AT32" si="160">+AP30+AR30</f>
        <v>399210.25</v>
      </c>
      <c r="AU30" s="6809">
        <v>40000</v>
      </c>
      <c r="AV30" s="17">
        <f>+WRM!AV159</f>
        <v>37420.700000000019</v>
      </c>
      <c r="AW30" s="2686">
        <f t="shared" ref="AW30:AW32" si="161">+AS30+AU30</f>
        <v>449500</v>
      </c>
      <c r="AX30" s="37">
        <f t="shared" ref="AX30:AX32" si="162">+AT30+AV30</f>
        <v>436630.95</v>
      </c>
      <c r="AY30" s="6949">
        <v>44500</v>
      </c>
      <c r="AZ30" s="17">
        <f>+WRM!AZ159</f>
        <v>46692.85</v>
      </c>
      <c r="BA30" s="2771">
        <f t="shared" ref="BA30:BA32" si="163">+AQ30+AU30+AY30</f>
        <v>129000</v>
      </c>
      <c r="BB30" s="2771">
        <f t="shared" ref="BB30:BB32" si="164">+AR30+AV30+AZ30</f>
        <v>128703.10000000003</v>
      </c>
      <c r="BC30" s="2772">
        <f t="shared" ref="BC30:BC32" si="165">AM30+BA30</f>
        <v>258000</v>
      </c>
      <c r="BD30" s="2772">
        <f t="shared" ref="BD30:BD32" si="166">AN30+BB30</f>
        <v>237359.25000000006</v>
      </c>
      <c r="BE30" s="2770">
        <f t="shared" ref="BE30:BE32" si="167">AW30+AY30</f>
        <v>494000</v>
      </c>
      <c r="BF30" s="2770">
        <f t="shared" ref="BF30:BF32" si="168">AX30+AZ30</f>
        <v>483323.8</v>
      </c>
      <c r="BG30" s="5548">
        <v>500000</v>
      </c>
      <c r="BH30" s="5548">
        <v>459030.64</v>
      </c>
      <c r="BI30" s="3062">
        <v>500000</v>
      </c>
      <c r="BJ30" s="3032">
        <v>478528.38500000013</v>
      </c>
      <c r="BK30" s="1818">
        <v>466114.65</v>
      </c>
      <c r="BL30" s="1818">
        <v>500000</v>
      </c>
      <c r="BM30" s="1818">
        <v>465343.766</v>
      </c>
      <c r="BN30" s="1818">
        <v>435965.96179320005</v>
      </c>
      <c r="BO30" s="1818">
        <v>356518.65800000005</v>
      </c>
      <c r="BP30" s="1818">
        <v>500000</v>
      </c>
      <c r="BQ30" s="1019">
        <v>412025.22</v>
      </c>
      <c r="BR30" s="25"/>
      <c r="BS30" s="25"/>
      <c r="BT30" s="4234"/>
      <c r="BU30" s="25"/>
      <c r="BV30" s="25"/>
      <c r="BW30" s="502"/>
      <c r="BX30" s="502"/>
    </row>
    <row r="31" spans="1:76" ht="15" customHeight="1" x14ac:dyDescent="0.25">
      <c r="B31" s="1882" t="s">
        <v>344</v>
      </c>
      <c r="C31" s="1863" t="s">
        <v>50</v>
      </c>
      <c r="D31" s="2691">
        <v>990000</v>
      </c>
      <c r="E31" s="1253">
        <v>68500</v>
      </c>
      <c r="F31" s="17">
        <f>+BM!F56</f>
        <v>74661.040000000066</v>
      </c>
      <c r="G31" s="5552">
        <v>79000</v>
      </c>
      <c r="H31" s="17">
        <f>+BM!H56</f>
        <v>76175.635000000068</v>
      </c>
      <c r="I31" s="2686">
        <f t="shared" si="146"/>
        <v>147500</v>
      </c>
      <c r="J31" s="37">
        <f t="shared" si="146"/>
        <v>150836.67500000013</v>
      </c>
      <c r="K31" s="5696">
        <v>76000</v>
      </c>
      <c r="L31" s="17">
        <f>+BM!L56</f>
        <v>73644.015000000058</v>
      </c>
      <c r="M31" s="2689">
        <f t="shared" si="147"/>
        <v>223500</v>
      </c>
      <c r="N31" s="67">
        <f t="shared" si="147"/>
        <v>224480.69000000018</v>
      </c>
      <c r="O31" s="5821">
        <v>79000</v>
      </c>
      <c r="P31" s="17">
        <f>+BM!P56</f>
        <v>88056.490000000107</v>
      </c>
      <c r="Q31" s="4270">
        <f t="shared" si="148"/>
        <v>302500</v>
      </c>
      <c r="R31" s="37">
        <f t="shared" si="148"/>
        <v>312537.18000000028</v>
      </c>
      <c r="S31" s="5903">
        <v>79000</v>
      </c>
      <c r="T31" s="17">
        <f>+BM!T56</f>
        <v>75853.695000000036</v>
      </c>
      <c r="U31" s="4317">
        <f t="shared" si="149"/>
        <v>381500</v>
      </c>
      <c r="V31" s="37">
        <f t="shared" si="150"/>
        <v>388390.87500000035</v>
      </c>
      <c r="W31" s="5996">
        <f>47.5*1000</f>
        <v>47500</v>
      </c>
      <c r="X31" s="17">
        <f>+BM!X56</f>
        <v>76319.035000000062</v>
      </c>
      <c r="Y31" s="4397">
        <f t="shared" si="151"/>
        <v>205500</v>
      </c>
      <c r="Z31" s="4397">
        <f t="shared" si="151"/>
        <v>240229.2200000002</v>
      </c>
      <c r="AA31" s="2690">
        <f t="shared" si="152"/>
        <v>429000</v>
      </c>
      <c r="AB31" s="2690">
        <f t="shared" si="152"/>
        <v>464709.91000000038</v>
      </c>
      <c r="AC31" s="6127">
        <v>78000</v>
      </c>
      <c r="AD31" s="17">
        <f>+BM!AD56</f>
        <v>50950.275000000081</v>
      </c>
      <c r="AE31" s="2686">
        <f t="shared" si="153"/>
        <v>507000</v>
      </c>
      <c r="AF31" s="37">
        <f t="shared" si="154"/>
        <v>515660.18500000046</v>
      </c>
      <c r="AG31" s="6321">
        <v>76000</v>
      </c>
      <c r="AH31" s="17">
        <f>+BM!AH56</f>
        <v>69720.765000000058</v>
      </c>
      <c r="AI31" s="2686">
        <f t="shared" si="155"/>
        <v>583000</v>
      </c>
      <c r="AJ31" s="37">
        <f t="shared" si="156"/>
        <v>585380.95000000054</v>
      </c>
      <c r="AK31" s="6559">
        <v>79000</v>
      </c>
      <c r="AL31" s="17">
        <f>+BM!AL56</f>
        <v>81616.765000000145</v>
      </c>
      <c r="AM31" s="2688">
        <f t="shared" si="157"/>
        <v>233000</v>
      </c>
      <c r="AN31" s="2688">
        <f t="shared" si="158"/>
        <v>202287.80500000028</v>
      </c>
      <c r="AO31" s="2686">
        <f t="shared" ref="AO31:AP34" si="169">AI31+AK31</f>
        <v>662000</v>
      </c>
      <c r="AP31" s="2686">
        <f t="shared" ref="AP31:AP32" si="170">AJ31+AL31</f>
        <v>666997.71500000067</v>
      </c>
      <c r="AQ31" s="6660">
        <v>79000</v>
      </c>
      <c r="AR31" s="17">
        <f>+BM!AR56</f>
        <v>85804.600000000122</v>
      </c>
      <c r="AS31" s="2686">
        <f t="shared" si="159"/>
        <v>741000</v>
      </c>
      <c r="AT31" s="37">
        <f t="shared" si="160"/>
        <v>752802.31500000076</v>
      </c>
      <c r="AU31" s="6809">
        <v>71500</v>
      </c>
      <c r="AV31" s="17">
        <f>+BM!AV56</f>
        <v>74058.320000000094</v>
      </c>
      <c r="AW31" s="2686">
        <f t="shared" si="161"/>
        <v>812500</v>
      </c>
      <c r="AX31" s="37">
        <f t="shared" si="162"/>
        <v>826860.63500000082</v>
      </c>
      <c r="AY31" s="6949">
        <v>80000</v>
      </c>
      <c r="AZ31" s="17">
        <f>+BM!AZ56</f>
        <v>81200</v>
      </c>
      <c r="BA31" s="2771">
        <f t="shared" si="163"/>
        <v>230500</v>
      </c>
      <c r="BB31" s="2771">
        <f t="shared" si="164"/>
        <v>241062.92000000022</v>
      </c>
      <c r="BC31" s="2772">
        <f t="shared" si="165"/>
        <v>463500</v>
      </c>
      <c r="BD31" s="2772">
        <f t="shared" si="166"/>
        <v>443350.7250000005</v>
      </c>
      <c r="BE31" s="2770">
        <f t="shared" si="167"/>
        <v>892500</v>
      </c>
      <c r="BF31" s="2770">
        <f t="shared" si="168"/>
        <v>908060.63500000082</v>
      </c>
      <c r="BG31" s="5548">
        <v>870000</v>
      </c>
      <c r="BH31" s="5548">
        <v>750867.84800000093</v>
      </c>
      <c r="BI31" s="3062">
        <v>850000</v>
      </c>
      <c r="BJ31" s="3032">
        <v>795322.27300000074</v>
      </c>
      <c r="BK31" s="1818">
        <v>775906.62549999985</v>
      </c>
      <c r="BL31" s="1818">
        <v>750000</v>
      </c>
      <c r="BM31" s="1818">
        <v>649840.96399999992</v>
      </c>
      <c r="BN31" s="1818">
        <v>674875.14</v>
      </c>
      <c r="BO31" s="1818">
        <v>440547.26999999996</v>
      </c>
      <c r="BP31" s="1818">
        <v>800000</v>
      </c>
      <c r="BQ31" s="1019">
        <v>632220.18000000005</v>
      </c>
      <c r="BR31" s="1137"/>
      <c r="BS31" s="4234"/>
      <c r="BT31" s="4234"/>
      <c r="BU31" s="25"/>
      <c r="BV31" s="25"/>
      <c r="BW31" s="502"/>
      <c r="BX31" s="502"/>
    </row>
    <row r="32" spans="1:76" ht="15" customHeight="1" x14ac:dyDescent="0.25">
      <c r="B32" s="1882" t="s">
        <v>109</v>
      </c>
      <c r="C32" s="1863" t="s">
        <v>50</v>
      </c>
      <c r="D32" s="2691">
        <v>850000</v>
      </c>
      <c r="E32" s="1253">
        <v>56000</v>
      </c>
      <c r="F32" s="17">
        <f>+USM!G122</f>
        <v>52516.132000000005</v>
      </c>
      <c r="G32" s="5552">
        <v>65000</v>
      </c>
      <c r="H32" s="17">
        <f>+USM!I122</f>
        <v>57219.144</v>
      </c>
      <c r="I32" s="2686">
        <f t="shared" si="146"/>
        <v>121000</v>
      </c>
      <c r="J32" s="37">
        <f t="shared" si="146"/>
        <v>109735.27600000001</v>
      </c>
      <c r="K32" s="5696">
        <v>62500</v>
      </c>
      <c r="L32" s="17">
        <f>+USM!M122</f>
        <v>58674.632999999994</v>
      </c>
      <c r="M32" s="2689">
        <f t="shared" si="147"/>
        <v>183500</v>
      </c>
      <c r="N32" s="67">
        <f t="shared" si="147"/>
        <v>168409.90900000001</v>
      </c>
      <c r="O32" s="5821">
        <v>65000</v>
      </c>
      <c r="P32" s="17">
        <f>+USM!Q122</f>
        <v>57327.387000000002</v>
      </c>
      <c r="Q32" s="4270">
        <f t="shared" si="148"/>
        <v>248500</v>
      </c>
      <c r="R32" s="37">
        <f t="shared" si="148"/>
        <v>225737.29600000003</v>
      </c>
      <c r="S32" s="5903">
        <v>65000</v>
      </c>
      <c r="T32" s="17">
        <f>+USM!U122</f>
        <v>44406.292999999998</v>
      </c>
      <c r="U32" s="4317">
        <f t="shared" si="149"/>
        <v>313500</v>
      </c>
      <c r="V32" s="37">
        <f t="shared" si="150"/>
        <v>270143.58900000004</v>
      </c>
      <c r="W32" s="5996">
        <v>33500</v>
      </c>
      <c r="X32" s="17">
        <f>+USM!Y122</f>
        <v>49996.715999999993</v>
      </c>
      <c r="Y32" s="4397">
        <f t="shared" si="151"/>
        <v>163500</v>
      </c>
      <c r="Z32" s="4397">
        <f t="shared" si="151"/>
        <v>151730.39599999998</v>
      </c>
      <c r="AA32" s="2690">
        <f t="shared" si="152"/>
        <v>347000</v>
      </c>
      <c r="AB32" s="2690">
        <f t="shared" si="152"/>
        <v>320140.30499999999</v>
      </c>
      <c r="AC32" s="6127">
        <v>67000</v>
      </c>
      <c r="AD32" s="17">
        <f>+USM!AE122</f>
        <v>29659.897000000008</v>
      </c>
      <c r="AE32" s="2686">
        <f t="shared" si="153"/>
        <v>414000</v>
      </c>
      <c r="AF32" s="37">
        <f t="shared" si="154"/>
        <v>349800.20199999999</v>
      </c>
      <c r="AG32" s="6321">
        <v>65000</v>
      </c>
      <c r="AH32" s="17">
        <f>+USM!AI122</f>
        <v>49060.044000000016</v>
      </c>
      <c r="AI32" s="2686">
        <f t="shared" si="155"/>
        <v>479000</v>
      </c>
      <c r="AJ32" s="37">
        <f t="shared" si="156"/>
        <v>398860.24599999998</v>
      </c>
      <c r="AK32" s="6559">
        <f>67.5*1000</f>
        <v>67500</v>
      </c>
      <c r="AL32" s="17">
        <f>+USM!AM122</f>
        <v>52987.18</v>
      </c>
      <c r="AM32" s="2688">
        <f t="shared" si="157"/>
        <v>199500</v>
      </c>
      <c r="AN32" s="2688">
        <f t="shared" si="158"/>
        <v>131707.12100000001</v>
      </c>
      <c r="AO32" s="2686">
        <f t="shared" si="169"/>
        <v>546500</v>
      </c>
      <c r="AP32" s="2686">
        <f t="shared" si="170"/>
        <v>451847.42599999998</v>
      </c>
      <c r="AQ32" s="6660">
        <v>68000</v>
      </c>
      <c r="AR32" s="17">
        <f>+USM!AS122</f>
        <v>56169.977999999988</v>
      </c>
      <c r="AS32" s="2686">
        <f t="shared" si="159"/>
        <v>614500</v>
      </c>
      <c r="AT32" s="37">
        <f t="shared" si="160"/>
        <v>508017.40399999998</v>
      </c>
      <c r="AU32" s="6809">
        <v>61000</v>
      </c>
      <c r="AV32" s="17">
        <f>+USM!AW122</f>
        <v>54279.397999999994</v>
      </c>
      <c r="AW32" s="2686">
        <f t="shared" si="161"/>
        <v>675500</v>
      </c>
      <c r="AX32" s="37">
        <f t="shared" si="162"/>
        <v>562296.80200000003</v>
      </c>
      <c r="AY32" s="6949">
        <v>68500</v>
      </c>
      <c r="AZ32" s="17">
        <f>+USM!BA122</f>
        <v>63120.145999999993</v>
      </c>
      <c r="BA32" s="2771">
        <f t="shared" si="163"/>
        <v>197500</v>
      </c>
      <c r="BB32" s="2771">
        <f t="shared" si="164"/>
        <v>173569.522</v>
      </c>
      <c r="BC32" s="2772">
        <f t="shared" si="165"/>
        <v>397000</v>
      </c>
      <c r="BD32" s="2772">
        <f t="shared" si="166"/>
        <v>305276.64300000004</v>
      </c>
      <c r="BE32" s="2770">
        <f t="shared" si="167"/>
        <v>744000</v>
      </c>
      <c r="BF32" s="2770">
        <f t="shared" si="168"/>
        <v>625416.94799999997</v>
      </c>
      <c r="BG32" s="5548">
        <v>560000</v>
      </c>
      <c r="BH32" s="5548">
        <v>499887.228</v>
      </c>
      <c r="BI32" s="3062">
        <v>525000</v>
      </c>
      <c r="BJ32" s="3032">
        <v>459141.95204</v>
      </c>
      <c r="BK32" s="1818">
        <v>361987.55812</v>
      </c>
      <c r="BL32" s="1818">
        <v>450000</v>
      </c>
      <c r="BM32" s="1818">
        <v>213226.16405321387</v>
      </c>
      <c r="BN32" s="1818">
        <v>220000</v>
      </c>
      <c r="BO32" s="1818">
        <v>88943.894138990887</v>
      </c>
      <c r="BP32" s="1818">
        <v>535000</v>
      </c>
      <c r="BQ32" s="1019">
        <v>171634.81128897145</v>
      </c>
      <c r="BR32" s="1137"/>
      <c r="BS32" s="4234"/>
      <c r="BT32" s="4234"/>
      <c r="BU32" s="25"/>
      <c r="BV32" s="25"/>
      <c r="BW32" s="502"/>
      <c r="BX32" s="502"/>
    </row>
    <row r="33" spans="1:76" ht="15" customHeight="1" thickBot="1" x14ac:dyDescent="0.3">
      <c r="B33" s="1884" t="s">
        <v>649</v>
      </c>
      <c r="C33" s="1877" t="s">
        <v>50</v>
      </c>
      <c r="D33" s="1869">
        <f t="shared" ref="D33:N33" si="171">SUM(D30:D32)</f>
        <v>2360000</v>
      </c>
      <c r="E33" s="1627">
        <f t="shared" si="171"/>
        <v>161000</v>
      </c>
      <c r="F33" s="1908">
        <f t="shared" si="171"/>
        <v>168710.17200000005</v>
      </c>
      <c r="G33" s="5553">
        <f t="shared" ref="G33" si="172">SUM(G30:G32)</f>
        <v>188000</v>
      </c>
      <c r="H33" s="1908">
        <f t="shared" ref="H33" si="173">SUM(H30:H32)</f>
        <v>172746.57900000006</v>
      </c>
      <c r="I33" s="1910">
        <f t="shared" si="171"/>
        <v>349000</v>
      </c>
      <c r="J33" s="1878">
        <f t="shared" si="171"/>
        <v>341456.75100000016</v>
      </c>
      <c r="K33" s="5697">
        <f t="shared" ref="K33:L33" si="174">SUM(K30:K32)</f>
        <v>181000</v>
      </c>
      <c r="L33" s="1908">
        <f t="shared" si="174"/>
        <v>170609.99800000005</v>
      </c>
      <c r="M33" s="1918">
        <f t="shared" si="171"/>
        <v>530000</v>
      </c>
      <c r="N33" s="1919">
        <f t="shared" si="171"/>
        <v>512066.74900000019</v>
      </c>
      <c r="O33" s="5822">
        <f t="shared" ref="O33:P33" si="175">SUM(O30:O32)</f>
        <v>188000</v>
      </c>
      <c r="P33" s="1908">
        <f t="shared" si="175"/>
        <v>192447.77700000012</v>
      </c>
      <c r="Q33" s="1910">
        <f>SUM(Q30:Q32)</f>
        <v>718000</v>
      </c>
      <c r="R33" s="1878">
        <f>SUM(R30:R32)</f>
        <v>704514.5260000003</v>
      </c>
      <c r="S33" s="5904">
        <f t="shared" ref="S33:T33" si="176">SUM(S30:S32)</f>
        <v>188000</v>
      </c>
      <c r="T33" s="1908">
        <f t="shared" si="176"/>
        <v>158978.33800000005</v>
      </c>
      <c r="U33" s="1910">
        <f t="shared" ref="U33:X33" si="177">SUM(U30:U32)</f>
        <v>906000</v>
      </c>
      <c r="V33" s="1878">
        <f t="shared" si="177"/>
        <v>863492.86400000041</v>
      </c>
      <c r="W33" s="5997">
        <f t="shared" si="177"/>
        <v>106000</v>
      </c>
      <c r="X33" s="1908">
        <f t="shared" si="177"/>
        <v>167321.90100000007</v>
      </c>
      <c r="Y33" s="4399">
        <f>SUM(Y30:Y32)</f>
        <v>482000</v>
      </c>
      <c r="Z33" s="4399">
        <f>SUM(Z30:Z32)</f>
        <v>518748.01600000018</v>
      </c>
      <c r="AA33" s="513">
        <f>SUM(AA30:AA32)</f>
        <v>1012000</v>
      </c>
      <c r="AB33" s="513">
        <f>SUM(AB30:AB32)</f>
        <v>1030814.7650000004</v>
      </c>
      <c r="AC33" s="6128">
        <f t="shared" ref="AC33:AD33" si="178">SUM(AC30:AC32)</f>
        <v>187500</v>
      </c>
      <c r="AD33" s="1908">
        <f t="shared" si="178"/>
        <v>110644.7220000001</v>
      </c>
      <c r="AE33" s="1910">
        <f t="shared" ref="AE33:AH33" si="179">SUM(AE30:AE32)</f>
        <v>1199500</v>
      </c>
      <c r="AF33" s="1878">
        <f t="shared" si="179"/>
        <v>1141459.4870000004</v>
      </c>
      <c r="AG33" s="6322">
        <f t="shared" si="179"/>
        <v>183500</v>
      </c>
      <c r="AH33" s="1908">
        <f t="shared" si="179"/>
        <v>153395.0590000001</v>
      </c>
      <c r="AI33" s="1910">
        <f t="shared" ref="AI33:AL33" si="180">SUM(AI30:AI32)</f>
        <v>1383000</v>
      </c>
      <c r="AJ33" s="1878">
        <f t="shared" si="180"/>
        <v>1294854.5460000006</v>
      </c>
      <c r="AK33" s="6560">
        <f t="shared" si="180"/>
        <v>190500</v>
      </c>
      <c r="AL33" s="1908">
        <f t="shared" si="180"/>
        <v>178611.29500000016</v>
      </c>
      <c r="AM33" s="354">
        <f t="shared" ref="AM33:AN33" si="181">SUM(AM30:AM32)</f>
        <v>561500</v>
      </c>
      <c r="AN33" s="354">
        <f t="shared" si="181"/>
        <v>442651.07600000035</v>
      </c>
      <c r="AO33" s="1910">
        <f t="shared" ref="AO33:AT33" si="182">SUM(AO30:AO32)</f>
        <v>1573500</v>
      </c>
      <c r="AP33" s="1878">
        <f t="shared" si="182"/>
        <v>1473465.8410000007</v>
      </c>
      <c r="AQ33" s="6661">
        <f t="shared" si="182"/>
        <v>191500</v>
      </c>
      <c r="AR33" s="1908">
        <f t="shared" si="182"/>
        <v>186564.12800000014</v>
      </c>
      <c r="AS33" s="1910">
        <f t="shared" si="182"/>
        <v>1765000</v>
      </c>
      <c r="AT33" s="1878">
        <f t="shared" si="182"/>
        <v>1660029.969000001</v>
      </c>
      <c r="AU33" s="6810">
        <f t="shared" ref="AU33:AV33" si="183">SUM(AU30:AU32)</f>
        <v>172500</v>
      </c>
      <c r="AV33" s="1908">
        <f t="shared" si="183"/>
        <v>165758.41800000009</v>
      </c>
      <c r="AW33" s="1910">
        <f t="shared" ref="AW33:AZ33" si="184">SUM(AW30:AW32)</f>
        <v>1937500</v>
      </c>
      <c r="AX33" s="1878">
        <f t="shared" si="184"/>
        <v>1825788.387000001</v>
      </c>
      <c r="AY33" s="6950">
        <f t="shared" si="184"/>
        <v>193000</v>
      </c>
      <c r="AZ33" s="1908">
        <f t="shared" si="184"/>
        <v>191012.99599999998</v>
      </c>
      <c r="BA33" s="354">
        <f t="shared" ref="BA33:BD33" si="185">SUM(BA30:BA32)</f>
        <v>557000</v>
      </c>
      <c r="BB33" s="354">
        <f t="shared" si="185"/>
        <v>543335.54200000025</v>
      </c>
      <c r="BC33" s="513">
        <f t="shared" si="185"/>
        <v>1118500</v>
      </c>
      <c r="BD33" s="513">
        <f t="shared" si="185"/>
        <v>985986.6180000006</v>
      </c>
      <c r="BE33" s="1910">
        <f t="shared" ref="BE33:BF33" si="186">SUM(BE30:BE32)</f>
        <v>2130500</v>
      </c>
      <c r="BF33" s="1878">
        <f t="shared" si="186"/>
        <v>2016801.3830000008</v>
      </c>
      <c r="BG33" s="1402">
        <v>1930000</v>
      </c>
      <c r="BH33" s="1402">
        <v>1709785.7160000009</v>
      </c>
      <c r="BI33" s="1402">
        <v>1875000</v>
      </c>
      <c r="BJ33" s="1402">
        <v>1732992.6100400006</v>
      </c>
      <c r="BK33" s="1402">
        <v>1604008.8336199999</v>
      </c>
      <c r="BL33" s="1402">
        <v>1700000</v>
      </c>
      <c r="BM33" s="1402">
        <v>1328410.8940532138</v>
      </c>
      <c r="BN33" s="1402">
        <v>1330841.1017932</v>
      </c>
      <c r="BO33" s="1402">
        <v>886009.82213899097</v>
      </c>
      <c r="BP33" s="1402">
        <f>SUM(BP30:BP32)</f>
        <v>1835000</v>
      </c>
      <c r="BQ33" s="6709">
        <f>SUM(BQ30:BQ32)</f>
        <v>1215880.2112889714</v>
      </c>
      <c r="BR33" s="1137"/>
      <c r="BS33" s="4234"/>
      <c r="BT33" s="4234"/>
      <c r="BU33" s="25"/>
      <c r="BV33" s="25"/>
      <c r="BW33" s="502"/>
      <c r="BX33" s="502"/>
    </row>
    <row r="34" spans="1:76" ht="15" customHeight="1" x14ac:dyDescent="0.25">
      <c r="B34" s="1881" t="s">
        <v>650</v>
      </c>
      <c r="C34" s="1879" t="s">
        <v>50</v>
      </c>
      <c r="D34" s="1880">
        <v>349999.98851223482</v>
      </c>
      <c r="E34" s="345">
        <v>20999.683707758697</v>
      </c>
      <c r="F34" s="85">
        <f>38395.02-12</f>
        <v>38383.019999999997</v>
      </c>
      <c r="G34" s="345">
        <v>48499.576671657102</v>
      </c>
      <c r="H34" s="85">
        <v>52556</v>
      </c>
      <c r="I34" s="669">
        <f>+E34+G34</f>
        <v>69499.260379415791</v>
      </c>
      <c r="J34" s="41">
        <f>+F34+H34</f>
        <v>90939.01999999999</v>
      </c>
      <c r="K34" s="345">
        <f>48.0001108831152*1000</f>
        <v>48000.110883115201</v>
      </c>
      <c r="L34" s="85">
        <v>56218</v>
      </c>
      <c r="M34" s="670">
        <f>+E34+G34+K34</f>
        <v>117499.371262531</v>
      </c>
      <c r="N34" s="71">
        <f>+F34+H34+L34</f>
        <v>147157.01999999999</v>
      </c>
      <c r="O34" s="345">
        <f>43.5001413553209*1000</f>
        <v>43500.141355320899</v>
      </c>
      <c r="P34" s="85">
        <v>50303</v>
      </c>
      <c r="Q34" s="669">
        <f>+M34+O34</f>
        <v>160999.5126178519</v>
      </c>
      <c r="R34" s="41">
        <f>+N34+P34</f>
        <v>197460.02</v>
      </c>
      <c r="S34" s="345">
        <f>43.5001413553209*1000</f>
        <v>43500.141355320899</v>
      </c>
      <c r="T34" s="85">
        <v>51235.42</v>
      </c>
      <c r="U34" s="669">
        <f>+Q34+S34</f>
        <v>204499.6539731728</v>
      </c>
      <c r="V34" s="41">
        <f>+R34+T34</f>
        <v>248695.44</v>
      </c>
      <c r="W34" s="345">
        <f>15.3000147648532*1000</f>
        <v>15300.0147648532</v>
      </c>
      <c r="X34" s="85">
        <v>54076</v>
      </c>
      <c r="Y34" s="4397">
        <f>+O34+S34+W34</f>
        <v>102300.297475495</v>
      </c>
      <c r="Z34" s="4397">
        <f>+P34+T34+X34</f>
        <v>155614.41999999998</v>
      </c>
      <c r="AA34" s="2690">
        <f>+M34+Y34</f>
        <v>219799.668738026</v>
      </c>
      <c r="AB34" s="2690">
        <f>+N34+Z34</f>
        <v>302771.43999999994</v>
      </c>
      <c r="AC34" s="345">
        <f>48.9995281597563*1000</f>
        <v>48999.528159756301</v>
      </c>
      <c r="AD34" s="85">
        <v>54595</v>
      </c>
      <c r="AE34" s="669">
        <f>+AA34+AC34</f>
        <v>268799.19689778227</v>
      </c>
      <c r="AF34" s="41">
        <f>+AB34+AD34</f>
        <v>357366.43999999994</v>
      </c>
      <c r="AG34" s="345">
        <f>45.4995884556746*1000</f>
        <v>45499.588455674595</v>
      </c>
      <c r="AH34" s="85">
        <v>61080</v>
      </c>
      <c r="AI34" s="669">
        <f>+AE34+AG34</f>
        <v>314298.78535345686</v>
      </c>
      <c r="AJ34" s="41">
        <f>+AF34+AH34</f>
        <v>418446.43999999994</v>
      </c>
      <c r="AK34" s="345">
        <f>46.0000542442164*1000</f>
        <v>46000.054244216401</v>
      </c>
      <c r="AL34" s="85">
        <v>52347.66</v>
      </c>
      <c r="AM34" s="2688">
        <f>+AC34+AG34+AK34</f>
        <v>140499.17085964727</v>
      </c>
      <c r="AN34" s="2688">
        <f>+AD34+AH34+AL34</f>
        <v>168022.66</v>
      </c>
      <c r="AO34" s="2686">
        <f t="shared" si="169"/>
        <v>360298.83959767327</v>
      </c>
      <c r="AP34" s="2686">
        <f t="shared" si="169"/>
        <v>470794.1</v>
      </c>
      <c r="AQ34" s="345">
        <v>48499.664678463945</v>
      </c>
      <c r="AR34" s="85">
        <v>30958</v>
      </c>
      <c r="AS34" s="669">
        <f>+AO34+AQ34</f>
        <v>408798.50427613722</v>
      </c>
      <c r="AT34" s="41">
        <f>+AP34+AR34</f>
        <v>501752.1</v>
      </c>
      <c r="AU34" s="345">
        <v>41500.010429203743</v>
      </c>
      <c r="AV34" s="85">
        <v>16550</v>
      </c>
      <c r="AW34" s="669">
        <f>+AS34+AU34</f>
        <v>450298.51470534096</v>
      </c>
      <c r="AX34" s="41">
        <f>+AT34+AV34</f>
        <v>518302.1</v>
      </c>
      <c r="AY34" s="345">
        <v>46999.690762923987</v>
      </c>
      <c r="AZ34" s="85">
        <f>38139.639-111</f>
        <v>38028.639000000003</v>
      </c>
      <c r="BA34" s="2771">
        <f t="shared" ref="BA34:BA35" si="187">+AQ34+AU34+AY34</f>
        <v>136999.36587059166</v>
      </c>
      <c r="BB34" s="2771">
        <f t="shared" ref="BB34:BB35" si="188">+AR34+AV34+AZ34</f>
        <v>85536.638999999996</v>
      </c>
      <c r="BC34" s="2772">
        <f t="shared" ref="BC34:BC35" si="189">AM34+BA34</f>
        <v>277498.53673023893</v>
      </c>
      <c r="BD34" s="2772">
        <f t="shared" ref="BD34:BD35" si="190">AN34+BB34</f>
        <v>253559.299</v>
      </c>
      <c r="BE34" s="2770">
        <f t="shared" ref="BE34:BE35" si="191">AW34+AY34</f>
        <v>497298.20546826493</v>
      </c>
      <c r="BF34" s="2770">
        <f t="shared" ref="BF34:BF35" si="192">AX34+AZ34</f>
        <v>556330.73899999994</v>
      </c>
      <c r="BG34" s="5548">
        <v>461999.55998512253</v>
      </c>
      <c r="BH34" s="5548">
        <v>558374.44999999995</v>
      </c>
      <c r="BI34" s="3062">
        <v>592000.00027062534</v>
      </c>
      <c r="BJ34" s="3032">
        <v>574823.37</v>
      </c>
      <c r="BK34" s="1818">
        <v>595119.90700000001</v>
      </c>
      <c r="BL34" s="1818">
        <v>516406.76683937816</v>
      </c>
      <c r="BM34" s="1818">
        <v>627684.57297577348</v>
      </c>
      <c r="BN34" s="1818">
        <v>533055.8167946114</v>
      </c>
      <c r="BO34" s="1818">
        <v>608495.73</v>
      </c>
      <c r="BP34" s="1818">
        <v>304999.74093264237</v>
      </c>
      <c r="BQ34" s="1019">
        <v>629438.95550700894</v>
      </c>
      <c r="BR34" s="1137"/>
      <c r="BS34" s="4234"/>
      <c r="BT34" s="4234"/>
      <c r="BU34" s="25"/>
      <c r="BV34" s="25"/>
      <c r="BW34" s="502"/>
      <c r="BX34" s="502"/>
    </row>
    <row r="35" spans="1:76" ht="15" customHeight="1" x14ac:dyDescent="0.25">
      <c r="B35" s="1882" t="s">
        <v>651</v>
      </c>
      <c r="C35" s="1863" t="s">
        <v>50</v>
      </c>
      <c r="D35" s="2691">
        <v>0.40803377302654559</v>
      </c>
      <c r="E35" s="2687">
        <v>0.27340158309380058</v>
      </c>
      <c r="F35" s="17">
        <v>1625.08</v>
      </c>
      <c r="G35" s="5547">
        <v>0</v>
      </c>
      <c r="H35" s="17">
        <v>3000</v>
      </c>
      <c r="I35" s="2686">
        <f>+E35+G35</f>
        <v>0.27340158309380058</v>
      </c>
      <c r="J35" s="37">
        <f>+F35+H35</f>
        <v>4625.08</v>
      </c>
      <c r="K35" s="5672">
        <v>0</v>
      </c>
      <c r="L35" s="17">
        <v>1066</v>
      </c>
      <c r="M35" s="2689">
        <f>+E35+G35+K35</f>
        <v>0.27340158309380058</v>
      </c>
      <c r="N35" s="67">
        <f>+F35+H35+L35</f>
        <v>5691.08</v>
      </c>
      <c r="O35" s="5820">
        <v>0</v>
      </c>
      <c r="P35" s="17">
        <v>463</v>
      </c>
      <c r="Q35" s="4270">
        <f>+M35+O35</f>
        <v>0.27340158309380058</v>
      </c>
      <c r="R35" s="37">
        <f>+N35+P35</f>
        <v>6154.08</v>
      </c>
      <c r="S35" s="5888">
        <v>0</v>
      </c>
      <c r="T35" s="17">
        <v>8811.77</v>
      </c>
      <c r="U35" s="4317">
        <f>+Q35+S35</f>
        <v>0.27340158309380058</v>
      </c>
      <c r="V35" s="37">
        <f>+R35+T35</f>
        <v>14965.85</v>
      </c>
      <c r="W35" s="5993">
        <v>0</v>
      </c>
      <c r="X35" s="17">
        <v>1414</v>
      </c>
      <c r="Y35" s="4397">
        <f>+O35+S35+W35</f>
        <v>0</v>
      </c>
      <c r="Z35" s="4397">
        <f>+P35+T35+X35</f>
        <v>10688.77</v>
      </c>
      <c r="AA35" s="2690">
        <f>+M35+Y35</f>
        <v>0.27340158309380058</v>
      </c>
      <c r="AB35" s="2690">
        <f>+N35+Z35</f>
        <v>16379.85</v>
      </c>
      <c r="AC35" s="6121">
        <v>0</v>
      </c>
      <c r="AD35" s="17">
        <f>11175+37</f>
        <v>11212</v>
      </c>
      <c r="AE35" s="2686">
        <f>+AA35+AC35</f>
        <v>0.27340158309380058</v>
      </c>
      <c r="AF35" s="37">
        <f>+AB35+AD35</f>
        <v>27591.85</v>
      </c>
      <c r="AG35" s="6292">
        <v>0</v>
      </c>
      <c r="AH35" s="17">
        <v>0</v>
      </c>
      <c r="AI35" s="4693">
        <f>+AE35+AG35</f>
        <v>0.27340158309380058</v>
      </c>
      <c r="AJ35" s="37">
        <f>+AF35+AH35</f>
        <v>27591.85</v>
      </c>
      <c r="AK35" s="6544">
        <v>0</v>
      </c>
      <c r="AL35" s="17">
        <v>703.34</v>
      </c>
      <c r="AM35" s="2688">
        <f>+AC35+AG35+AK35</f>
        <v>0</v>
      </c>
      <c r="AN35" s="2688">
        <f>+AD35+AH35+AL35</f>
        <v>11915.34</v>
      </c>
      <c r="AO35" s="2686">
        <f t="shared" ref="AO35" si="193">AI35+AK35</f>
        <v>0.27340158309380058</v>
      </c>
      <c r="AP35" s="2686">
        <f t="shared" ref="AP35" si="194">AJ35+AL35</f>
        <v>28295.19</v>
      </c>
      <c r="AQ35" s="6638">
        <v>0</v>
      </c>
      <c r="AR35" s="17">
        <v>7040</v>
      </c>
      <c r="AS35" s="2686">
        <f>+AO35+AQ35</f>
        <v>0.27340158309380058</v>
      </c>
      <c r="AT35" s="37">
        <f>+AP35+AR35</f>
        <v>35335.19</v>
      </c>
      <c r="AU35" s="6803">
        <v>0</v>
      </c>
      <c r="AV35" s="17">
        <v>1892</v>
      </c>
      <c r="AW35" s="2686">
        <f>+AS35+AU35</f>
        <v>0.27340158309380058</v>
      </c>
      <c r="AX35" s="37">
        <f>+AT35+AV35</f>
        <v>37227.19</v>
      </c>
      <c r="AY35" s="6948">
        <v>0</v>
      </c>
      <c r="AZ35" s="17">
        <f>4180.26+111</f>
        <v>4291.26</v>
      </c>
      <c r="BA35" s="2771">
        <f t="shared" si="187"/>
        <v>0</v>
      </c>
      <c r="BB35" s="2771">
        <f t="shared" si="188"/>
        <v>13223.26</v>
      </c>
      <c r="BC35" s="2772">
        <f t="shared" si="189"/>
        <v>0</v>
      </c>
      <c r="BD35" s="2772">
        <f t="shared" si="190"/>
        <v>25138.6</v>
      </c>
      <c r="BE35" s="2770">
        <f t="shared" si="191"/>
        <v>0.27340158309380058</v>
      </c>
      <c r="BF35" s="2770">
        <f t="shared" si="192"/>
        <v>41518.450000000004</v>
      </c>
      <c r="BG35" s="5548">
        <v>17999.996415592192</v>
      </c>
      <c r="BH35" s="5548">
        <v>63663.849200000004</v>
      </c>
      <c r="BI35" s="3062">
        <v>57999.916142557566</v>
      </c>
      <c r="BJ35" s="3032">
        <v>101828.14418</v>
      </c>
      <c r="BK35" s="1818">
        <v>116079.049</v>
      </c>
      <c r="BL35" s="1818">
        <v>153592.3419429849</v>
      </c>
      <c r="BM35" s="1818">
        <v>204330.35166666663</v>
      </c>
      <c r="BN35" s="1818">
        <v>371378.00888192269</v>
      </c>
      <c r="BO35" s="1818">
        <v>329378.80290000001</v>
      </c>
      <c r="BP35" s="1818">
        <v>267000</v>
      </c>
      <c r="BQ35" s="1019">
        <v>248401</v>
      </c>
      <c r="BR35" s="1137"/>
      <c r="BS35" s="4234"/>
      <c r="BT35" s="4234"/>
      <c r="BU35" s="25"/>
      <c r="BV35" s="25"/>
      <c r="BW35" s="502"/>
      <c r="BX35" s="502"/>
    </row>
    <row r="36" spans="1:76" ht="15" customHeight="1" thickBot="1" x14ac:dyDescent="0.3">
      <c r="B36" s="1884" t="s">
        <v>652</v>
      </c>
      <c r="C36" s="1877" t="s">
        <v>50</v>
      </c>
      <c r="D36" s="1869">
        <f t="shared" ref="D36:N36" si="195">SUM(D34:D35)</f>
        <v>350000.39654600783</v>
      </c>
      <c r="E36" s="1627">
        <f t="shared" si="195"/>
        <v>20999.957109341791</v>
      </c>
      <c r="F36" s="1908">
        <f t="shared" si="195"/>
        <v>40008.1</v>
      </c>
      <c r="G36" s="5553">
        <f t="shared" ref="G36" si="196">SUM(G34:G35)</f>
        <v>48499.576671657102</v>
      </c>
      <c r="H36" s="1908">
        <f t="shared" ref="H36" si="197">SUM(H34:H35)</f>
        <v>55556</v>
      </c>
      <c r="I36" s="1910">
        <f t="shared" si="195"/>
        <v>69499.533780998885</v>
      </c>
      <c r="J36" s="1878">
        <f t="shared" si="195"/>
        <v>95564.099999999991</v>
      </c>
      <c r="K36" s="5697">
        <f t="shared" ref="K36:L36" si="198">SUM(K34:K35)</f>
        <v>48000.110883115201</v>
      </c>
      <c r="L36" s="1908">
        <f t="shared" si="198"/>
        <v>57284</v>
      </c>
      <c r="M36" s="1918">
        <f t="shared" si="195"/>
        <v>117499.64466411409</v>
      </c>
      <c r="N36" s="1919">
        <f t="shared" si="195"/>
        <v>152848.09999999998</v>
      </c>
      <c r="O36" s="5822">
        <f t="shared" ref="O36:P36" si="199">SUM(O34:O35)</f>
        <v>43500.141355320899</v>
      </c>
      <c r="P36" s="1908">
        <f t="shared" si="199"/>
        <v>50766</v>
      </c>
      <c r="Q36" s="1910">
        <f>SUM(Q34:Q35)</f>
        <v>160999.78601943498</v>
      </c>
      <c r="R36" s="1878">
        <f>SUM(R34:R35)</f>
        <v>203614.09999999998</v>
      </c>
      <c r="S36" s="5904">
        <f t="shared" ref="S36:T36" si="200">SUM(S34:S35)</f>
        <v>43500.141355320899</v>
      </c>
      <c r="T36" s="1908">
        <f t="shared" si="200"/>
        <v>60047.19</v>
      </c>
      <c r="U36" s="1910">
        <f t="shared" ref="U36:X36" si="201">SUM(U34:U35)</f>
        <v>204499.92737475591</v>
      </c>
      <c r="V36" s="1878">
        <f t="shared" si="201"/>
        <v>263661.28999999998</v>
      </c>
      <c r="W36" s="5997">
        <f t="shared" si="201"/>
        <v>15300.0147648532</v>
      </c>
      <c r="X36" s="1908">
        <f t="shared" si="201"/>
        <v>55490</v>
      </c>
      <c r="Y36" s="4399">
        <f>SUM(Y34:Y35)</f>
        <v>102300.297475495</v>
      </c>
      <c r="Z36" s="4399">
        <f>SUM(Z34:Z35)</f>
        <v>166303.18999999997</v>
      </c>
      <c r="AA36" s="513">
        <f>SUM(AA34:AA35)</f>
        <v>219799.94213960908</v>
      </c>
      <c r="AB36" s="513">
        <f>SUM(AB34:AB35)</f>
        <v>319151.28999999992</v>
      </c>
      <c r="AC36" s="6128">
        <f t="shared" ref="AC36:AD36" si="202">SUM(AC34:AC35)</f>
        <v>48999.528159756301</v>
      </c>
      <c r="AD36" s="1908">
        <f t="shared" si="202"/>
        <v>65807</v>
      </c>
      <c r="AE36" s="1627">
        <f t="shared" ref="AE36:AH36" si="203">SUM(AE34:AE35)</f>
        <v>268799.47029936535</v>
      </c>
      <c r="AF36" s="1908">
        <f t="shared" si="203"/>
        <v>384958.28999999992</v>
      </c>
      <c r="AG36" s="6322">
        <f t="shared" si="203"/>
        <v>45499.588455674595</v>
      </c>
      <c r="AH36" s="1908">
        <f t="shared" si="203"/>
        <v>61080</v>
      </c>
      <c r="AI36" s="1910">
        <f t="shared" ref="AI36:AL36" si="204">SUM(AI34:AI35)</f>
        <v>314299.05875503994</v>
      </c>
      <c r="AJ36" s="1878">
        <f t="shared" si="204"/>
        <v>446038.28999999992</v>
      </c>
      <c r="AK36" s="6560">
        <f t="shared" si="204"/>
        <v>46000.054244216401</v>
      </c>
      <c r="AL36" s="1908">
        <f t="shared" si="204"/>
        <v>53051</v>
      </c>
      <c r="AM36" s="354">
        <f t="shared" ref="AM36:AN36" si="205">SUM(AM34:AM35)</f>
        <v>140499.17085964727</v>
      </c>
      <c r="AN36" s="354">
        <f t="shared" si="205"/>
        <v>179938</v>
      </c>
      <c r="AO36" s="1910">
        <f t="shared" ref="AO36:AT36" si="206">SUM(AO34:AO35)</f>
        <v>360299.11299925635</v>
      </c>
      <c r="AP36" s="1878">
        <f t="shared" si="206"/>
        <v>499089.29</v>
      </c>
      <c r="AQ36" s="6661">
        <f t="shared" si="206"/>
        <v>48499.664678463945</v>
      </c>
      <c r="AR36" s="1908">
        <f t="shared" si="206"/>
        <v>37998</v>
      </c>
      <c r="AS36" s="1627">
        <f t="shared" si="206"/>
        <v>408798.7776777203</v>
      </c>
      <c r="AT36" s="1908">
        <f t="shared" si="206"/>
        <v>537087.29</v>
      </c>
      <c r="AU36" s="6810">
        <f t="shared" ref="AU36:AV36" si="207">SUM(AU34:AU35)</f>
        <v>41500.010429203743</v>
      </c>
      <c r="AV36" s="1908">
        <f t="shared" si="207"/>
        <v>18442</v>
      </c>
      <c r="AW36" s="1627">
        <f t="shared" ref="AW36:AZ36" si="208">SUM(AW34:AW35)</f>
        <v>450298.78810692404</v>
      </c>
      <c r="AX36" s="1908">
        <f t="shared" si="208"/>
        <v>555529.29</v>
      </c>
      <c r="AY36" s="6950">
        <f t="shared" si="208"/>
        <v>46999.690762923987</v>
      </c>
      <c r="AZ36" s="1908">
        <f t="shared" si="208"/>
        <v>42319.899000000005</v>
      </c>
      <c r="BA36" s="354">
        <f t="shared" ref="BA36:BD36" si="209">SUM(BA34:BA35)</f>
        <v>136999.36587059166</v>
      </c>
      <c r="BB36" s="354">
        <f t="shared" si="209"/>
        <v>98759.89899999999</v>
      </c>
      <c r="BC36" s="513">
        <f t="shared" si="209"/>
        <v>277498.53673023893</v>
      </c>
      <c r="BD36" s="513">
        <f t="shared" si="209"/>
        <v>278697.89899999998</v>
      </c>
      <c r="BE36" s="2861">
        <f t="shared" ref="BE36:BF36" si="210">SUM(BE34:BE35)</f>
        <v>497298.47886984801</v>
      </c>
      <c r="BF36" s="2861">
        <f t="shared" si="210"/>
        <v>597849.1889999999</v>
      </c>
      <c r="BG36" s="1402">
        <v>479999.55640071473</v>
      </c>
      <c r="BH36" s="1402">
        <v>622038.29920000001</v>
      </c>
      <c r="BI36" s="1402">
        <v>649999.91641318286</v>
      </c>
      <c r="BJ36" s="1402">
        <v>676651.51417999994</v>
      </c>
      <c r="BK36" s="1402">
        <v>711198.95600000001</v>
      </c>
      <c r="BL36" s="1402">
        <v>669999.10878236312</v>
      </c>
      <c r="BM36" s="1402">
        <v>832014.92464244016</v>
      </c>
      <c r="BN36" s="1402">
        <v>904433.82567653409</v>
      </c>
      <c r="BO36" s="1402">
        <v>937874.53289999999</v>
      </c>
      <c r="BP36" s="1402">
        <f>SUM(BP34:BP35)</f>
        <v>571999.74093264237</v>
      </c>
      <c r="BQ36" s="6709">
        <f>SUM(BQ34:BQ35)</f>
        <v>877839.95550700894</v>
      </c>
      <c r="BR36" s="1137"/>
      <c r="BS36" s="4234"/>
      <c r="BT36" s="4234"/>
      <c r="BU36" s="25"/>
      <c r="BV36" s="25"/>
      <c r="BW36" s="502"/>
      <c r="BX36" s="502"/>
    </row>
    <row r="37" spans="1:76" ht="15" customHeight="1" thickBot="1" x14ac:dyDescent="0.3">
      <c r="B37" s="1885" t="s">
        <v>1494</v>
      </c>
      <c r="C37" s="1821" t="s">
        <v>50</v>
      </c>
      <c r="D37" s="1874">
        <f t="shared" ref="D37:N37" si="211">+D33+D36</f>
        <v>2710000.3965460081</v>
      </c>
      <c r="E37" s="2712">
        <f t="shared" si="211"/>
        <v>181999.95710934181</v>
      </c>
      <c r="F37" s="1230">
        <f t="shared" si="211"/>
        <v>208718.27200000006</v>
      </c>
      <c r="G37" s="2712">
        <f t="shared" ref="G37" si="212">+G33+G36</f>
        <v>236499.57667165709</v>
      </c>
      <c r="H37" s="1230">
        <f t="shared" ref="H37" si="213">+H33+H36</f>
        <v>228302.57900000006</v>
      </c>
      <c r="I37" s="1048">
        <f t="shared" si="211"/>
        <v>418499.5337809989</v>
      </c>
      <c r="J37" s="1049">
        <f t="shared" si="211"/>
        <v>437020.85100000014</v>
      </c>
      <c r="K37" s="2712">
        <f t="shared" si="211"/>
        <v>229000.11088311521</v>
      </c>
      <c r="L37" s="1230">
        <f t="shared" si="211"/>
        <v>227893.99800000005</v>
      </c>
      <c r="M37" s="718">
        <f t="shared" si="211"/>
        <v>647499.64466411411</v>
      </c>
      <c r="N37" s="161">
        <f t="shared" si="211"/>
        <v>664914.84900000016</v>
      </c>
      <c r="O37" s="2712">
        <f t="shared" ref="O37:P37" si="214">+O33+O36</f>
        <v>231500.1413553209</v>
      </c>
      <c r="P37" s="1230">
        <f t="shared" si="214"/>
        <v>243213.77700000012</v>
      </c>
      <c r="Q37" s="1048">
        <f>+Q33+Q36</f>
        <v>878999.78601943492</v>
      </c>
      <c r="R37" s="1049">
        <f>+R33+R36</f>
        <v>908128.62600000028</v>
      </c>
      <c r="S37" s="2712">
        <f t="shared" ref="S37:T37" si="215">+S33+S36</f>
        <v>231500.1413553209</v>
      </c>
      <c r="T37" s="1230">
        <f t="shared" si="215"/>
        <v>219025.52800000005</v>
      </c>
      <c r="U37" s="1048">
        <f t="shared" ref="U37:X37" si="216">+U33+U36</f>
        <v>1110499.927374756</v>
      </c>
      <c r="V37" s="1049">
        <f t="shared" si="216"/>
        <v>1127154.1540000003</v>
      </c>
      <c r="W37" s="2712">
        <f t="shared" si="216"/>
        <v>121300.0147648532</v>
      </c>
      <c r="X37" s="1230">
        <f t="shared" si="216"/>
        <v>222811.90100000007</v>
      </c>
      <c r="Y37" s="4399">
        <f t="shared" ref="Y37:AD37" si="217">+Y33+Y36</f>
        <v>584300.29747549503</v>
      </c>
      <c r="Z37" s="4399">
        <f t="shared" si="217"/>
        <v>685051.20600000012</v>
      </c>
      <c r="AA37" s="513">
        <f t="shared" si="217"/>
        <v>1231799.942139609</v>
      </c>
      <c r="AB37" s="513">
        <f t="shared" si="217"/>
        <v>1349966.0550000002</v>
      </c>
      <c r="AC37" s="2712">
        <f t="shared" si="217"/>
        <v>236499.5281597563</v>
      </c>
      <c r="AD37" s="1230">
        <f t="shared" si="217"/>
        <v>176451.7220000001</v>
      </c>
      <c r="AE37" s="2712">
        <f t="shared" ref="AE37:AH37" si="218">+AE33+AE36</f>
        <v>1468299.4702993655</v>
      </c>
      <c r="AF37" s="1230">
        <f t="shared" si="218"/>
        <v>1526417.7770000002</v>
      </c>
      <c r="AG37" s="2712">
        <f t="shared" si="218"/>
        <v>228999.58845567459</v>
      </c>
      <c r="AH37" s="1230">
        <f t="shared" si="218"/>
        <v>214475.0590000001</v>
      </c>
      <c r="AI37" s="1048">
        <f t="shared" ref="AI37:AN37" si="219">+AI33+AI36</f>
        <v>1697299.0587550399</v>
      </c>
      <c r="AJ37" s="1049">
        <f t="shared" si="219"/>
        <v>1740892.8360000006</v>
      </c>
      <c r="AK37" s="2712">
        <f t="shared" si="219"/>
        <v>236500.05424421642</v>
      </c>
      <c r="AL37" s="1230">
        <f t="shared" si="219"/>
        <v>231662.29500000016</v>
      </c>
      <c r="AM37" s="354">
        <f t="shared" si="219"/>
        <v>701999.17085964722</v>
      </c>
      <c r="AN37" s="354">
        <f t="shared" si="219"/>
        <v>622589.07600000035</v>
      </c>
      <c r="AO37" s="1048">
        <f t="shared" ref="AO37:AT37" si="220">+AO33+AO36</f>
        <v>1933799.1129992562</v>
      </c>
      <c r="AP37" s="1049">
        <f t="shared" si="220"/>
        <v>1972555.1310000008</v>
      </c>
      <c r="AQ37" s="2712">
        <f t="shared" si="220"/>
        <v>239999.66467846395</v>
      </c>
      <c r="AR37" s="1230">
        <f t="shared" si="220"/>
        <v>224562.12800000014</v>
      </c>
      <c r="AS37" s="2712">
        <f t="shared" si="220"/>
        <v>2173798.7776777204</v>
      </c>
      <c r="AT37" s="1230">
        <f t="shared" si="220"/>
        <v>2197117.259000001</v>
      </c>
      <c r="AU37" s="2712">
        <f t="shared" ref="AU37:AV37" si="221">+AU33+AU36</f>
        <v>214000.01042920374</v>
      </c>
      <c r="AV37" s="1230">
        <f t="shared" si="221"/>
        <v>184200.41800000009</v>
      </c>
      <c r="AW37" s="2712">
        <f t="shared" ref="AW37:BF37" si="222">+AW33+AW36</f>
        <v>2387798.7881069239</v>
      </c>
      <c r="AX37" s="1230">
        <f t="shared" si="222"/>
        <v>2381317.6770000011</v>
      </c>
      <c r="AY37" s="2712">
        <f t="shared" si="222"/>
        <v>239999.69076292397</v>
      </c>
      <c r="AZ37" s="1230">
        <f t="shared" si="222"/>
        <v>233332.89499999999</v>
      </c>
      <c r="BA37" s="354">
        <f t="shared" si="222"/>
        <v>693999.36587059172</v>
      </c>
      <c r="BB37" s="354">
        <f t="shared" si="222"/>
        <v>642095.44100000022</v>
      </c>
      <c r="BC37" s="513">
        <f t="shared" si="222"/>
        <v>1395998.5367302389</v>
      </c>
      <c r="BD37" s="513">
        <f t="shared" si="222"/>
        <v>1264684.5170000005</v>
      </c>
      <c r="BE37" s="2712">
        <f t="shared" si="222"/>
        <v>2627798.478869848</v>
      </c>
      <c r="BF37" s="1230">
        <f t="shared" si="222"/>
        <v>2614650.5720000006</v>
      </c>
      <c r="BG37" s="1060">
        <v>2409999.5564007149</v>
      </c>
      <c r="BH37" s="1060">
        <v>2331824.0152000012</v>
      </c>
      <c r="BI37" s="1060">
        <v>2524999.9164131829</v>
      </c>
      <c r="BJ37" s="1060">
        <v>2409644.1242200006</v>
      </c>
      <c r="BK37" s="1060">
        <v>2315207.7896199999</v>
      </c>
      <c r="BL37" s="1060">
        <v>2369999.1087823631</v>
      </c>
      <c r="BM37" s="1060">
        <v>2160425.8186956542</v>
      </c>
      <c r="BN37" s="1060">
        <v>2235274.9274697341</v>
      </c>
      <c r="BO37" s="1060">
        <v>1823884.355038991</v>
      </c>
      <c r="BP37" s="1060">
        <f>+BP33+BP36</f>
        <v>2406999.7409326425</v>
      </c>
      <c r="BQ37" s="6710">
        <f>+BQ33+BQ36</f>
        <v>2093720.1667959802</v>
      </c>
      <c r="BR37" s="1137"/>
      <c r="BS37" s="4234"/>
      <c r="BT37" s="4234"/>
      <c r="BU37" s="25"/>
      <c r="BV37" s="25"/>
      <c r="BW37" s="502"/>
      <c r="BX37" s="502"/>
    </row>
    <row r="38" spans="1:76" ht="15" customHeight="1" x14ac:dyDescent="0.25">
      <c r="A38" s="139"/>
      <c r="B38" s="1889" t="s">
        <v>3</v>
      </c>
      <c r="C38" s="1927"/>
      <c r="D38" s="2698"/>
      <c r="E38" s="2698"/>
      <c r="F38" s="2698"/>
      <c r="G38" s="2698"/>
      <c r="H38" s="2698"/>
      <c r="I38" s="2698"/>
      <c r="J38" s="2698"/>
      <c r="K38" s="2698"/>
      <c r="L38" s="2698"/>
      <c r="M38" s="2698"/>
      <c r="N38" s="2698"/>
      <c r="O38" s="2698"/>
      <c r="P38" s="2698"/>
      <c r="Q38" s="5869"/>
      <c r="R38" s="2698"/>
      <c r="S38" s="2698"/>
      <c r="T38" s="2698"/>
      <c r="U38" s="2698"/>
      <c r="V38" s="2698"/>
      <c r="W38" s="2698"/>
      <c r="X38" s="2698"/>
      <c r="Y38" s="2698"/>
      <c r="Z38" s="2698"/>
      <c r="AA38" s="2698"/>
      <c r="AB38" s="2698"/>
      <c r="AC38" s="2698"/>
      <c r="AD38" s="2698"/>
      <c r="AE38" s="2698"/>
      <c r="AF38" s="2698"/>
      <c r="AG38" s="2698"/>
      <c r="AH38" s="2698"/>
      <c r="AI38" s="2698"/>
      <c r="AJ38" s="2698"/>
      <c r="AK38" s="2698"/>
      <c r="AL38" s="2698"/>
      <c r="AM38" s="2698"/>
      <c r="AN38" s="2698"/>
      <c r="AO38" s="2698"/>
      <c r="AP38" s="2698"/>
      <c r="AQ38" s="2698"/>
      <c r="AR38" s="2698"/>
      <c r="AS38" s="2698"/>
      <c r="AT38" s="2698"/>
      <c r="AU38" s="2698"/>
      <c r="AV38" s="2698"/>
      <c r="AW38" s="2698"/>
      <c r="AX38" s="2698"/>
      <c r="AY38" s="2698"/>
      <c r="AZ38" s="2698"/>
      <c r="BA38" s="2698"/>
      <c r="BB38" s="2698"/>
      <c r="BC38" s="2698"/>
      <c r="BD38" s="2698"/>
      <c r="BE38" s="2698"/>
      <c r="BF38" s="2698"/>
      <c r="BG38" s="1927"/>
      <c r="BH38" s="1927"/>
      <c r="BI38" s="1927"/>
      <c r="BJ38" s="1927"/>
      <c r="BK38" s="1927"/>
      <c r="BL38" s="1927"/>
      <c r="BM38" s="1927"/>
      <c r="BN38" s="1927"/>
      <c r="BO38" s="1927"/>
      <c r="BP38" s="1927"/>
      <c r="BQ38" s="1927"/>
      <c r="BR38" s="1137"/>
      <c r="BS38" s="4234"/>
      <c r="BT38" s="4234"/>
      <c r="BU38" s="25"/>
      <c r="BV38" s="25"/>
      <c r="BW38" s="502"/>
      <c r="BX38" s="502"/>
    </row>
    <row r="39" spans="1:76" ht="15" customHeight="1" x14ac:dyDescent="0.25">
      <c r="B39" s="1890" t="s">
        <v>653</v>
      </c>
      <c r="C39" s="1863" t="s">
        <v>50</v>
      </c>
      <c r="D39" s="7731">
        <f>+D30</f>
        <v>520000</v>
      </c>
      <c r="E39" s="7711">
        <f>+E30</f>
        <v>36500</v>
      </c>
      <c r="F39" s="17">
        <f>+WRM!F199</f>
        <v>41532.999999999985</v>
      </c>
      <c r="G39" s="7711">
        <f>+G30</f>
        <v>44000</v>
      </c>
      <c r="H39" s="17">
        <f>+WRM!H199</f>
        <v>39351.799999999988</v>
      </c>
      <c r="I39" s="7712">
        <f>+E39+G39</f>
        <v>80500</v>
      </c>
      <c r="J39" s="37">
        <f>+F39+H39</f>
        <v>80884.799999999974</v>
      </c>
      <c r="K39" s="7711">
        <f>+K30</f>
        <v>42500</v>
      </c>
      <c r="L39" s="17">
        <f>+WRM!L199</f>
        <v>28929.599999999991</v>
      </c>
      <c r="M39" s="7717">
        <f>+E39+G39+K39</f>
        <v>123000</v>
      </c>
      <c r="N39" s="67">
        <f>+F39+H39+L39</f>
        <v>109814.39999999997</v>
      </c>
      <c r="O39" s="7711">
        <f>+O30</f>
        <v>44000</v>
      </c>
      <c r="P39" s="17">
        <f>+WRM!P199</f>
        <v>35815.549999999988</v>
      </c>
      <c r="Q39" s="7718">
        <f>+M39+O39</f>
        <v>167000</v>
      </c>
      <c r="R39" s="37">
        <f t="shared" ref="Q39:R43" si="223">+N39+P39</f>
        <v>145629.94999999995</v>
      </c>
      <c r="S39" s="7711">
        <f>+S30</f>
        <v>44000</v>
      </c>
      <c r="T39" s="17">
        <f>+WRM!T199</f>
        <v>38718.350000000006</v>
      </c>
      <c r="U39" s="7718">
        <f>+Q39+S39</f>
        <v>211000</v>
      </c>
      <c r="V39" s="37">
        <f t="shared" ref="V39:V43" si="224">+R39+T39</f>
        <v>184348.29999999996</v>
      </c>
      <c r="W39" s="7711">
        <f>+W30</f>
        <v>25000</v>
      </c>
      <c r="X39" s="17">
        <f>+WRM!X199</f>
        <v>41006.150000000009</v>
      </c>
      <c r="Y39" s="7736">
        <f>+O39+S39+W39</f>
        <v>113000</v>
      </c>
      <c r="Z39" s="4397">
        <f t="shared" ref="Z39:Z47" si="225">+P39+T39+X39</f>
        <v>115540.05</v>
      </c>
      <c r="AA39" s="7735">
        <f>+M39+Y39</f>
        <v>236000</v>
      </c>
      <c r="AB39" s="2690">
        <f>+N39+Z39</f>
        <v>225354.44999999995</v>
      </c>
      <c r="AC39" s="7711">
        <f>+AC30</f>
        <v>42500</v>
      </c>
      <c r="AD39" s="17">
        <f>+WRM!AD199</f>
        <v>30034.55</v>
      </c>
      <c r="AE39" s="7712">
        <f>+AA39+AC39</f>
        <v>278500</v>
      </c>
      <c r="AF39" s="37">
        <f>+AB39+AD39</f>
        <v>255388.99999999994</v>
      </c>
      <c r="AG39" s="7711">
        <f>+AG30</f>
        <v>42500</v>
      </c>
      <c r="AH39" s="17">
        <f>+WRM!AH199</f>
        <v>34614.25</v>
      </c>
      <c r="AI39" s="7712">
        <f>+AE39+AG39</f>
        <v>321000</v>
      </c>
      <c r="AJ39" s="37">
        <f>+AF39+AH39</f>
        <v>290003.24999999994</v>
      </c>
      <c r="AK39" s="7711">
        <f>+AK30</f>
        <v>44000</v>
      </c>
      <c r="AL39" s="17">
        <f>+WRM!AL199</f>
        <v>44007.350000000013</v>
      </c>
      <c r="AM39" s="7713">
        <f>+AC39+AG39+AK39</f>
        <v>129000</v>
      </c>
      <c r="AN39" s="2688">
        <f t="shared" ref="AN39:AN47" si="226">+AD39+AH39+AL39</f>
        <v>108656.15000000002</v>
      </c>
      <c r="AO39" s="7712">
        <f>AI39+AK39</f>
        <v>365000</v>
      </c>
      <c r="AP39" s="2686">
        <f t="shared" ref="AP39:AP53" si="227">AJ39+AL39</f>
        <v>334010.59999999998</v>
      </c>
      <c r="AQ39" s="7711">
        <f>+AQ30</f>
        <v>44500</v>
      </c>
      <c r="AR39" s="17">
        <f>+WRM!AR199</f>
        <v>44589.55000000001</v>
      </c>
      <c r="AS39" s="7712">
        <f>+AO39+AQ39</f>
        <v>409500</v>
      </c>
      <c r="AT39" s="37">
        <f>+AP39+AR39</f>
        <v>378600.14999999997</v>
      </c>
      <c r="AU39" s="7711">
        <f>+AU30</f>
        <v>40000</v>
      </c>
      <c r="AV39" s="17">
        <f>+WRM!AV199</f>
        <v>37420.700000000019</v>
      </c>
      <c r="AW39" s="7712">
        <f>+AS39+AU39</f>
        <v>449500</v>
      </c>
      <c r="AX39" s="37">
        <f>+AT39+AV39</f>
        <v>416020.85</v>
      </c>
      <c r="AY39" s="7711">
        <f>+AY30</f>
        <v>44500</v>
      </c>
      <c r="AZ39" s="17">
        <f>+WRM!AZ199</f>
        <v>46692.85</v>
      </c>
      <c r="BA39" s="7713">
        <f t="shared" ref="BA39:BA48" si="228">+AQ39+AU39+AY39</f>
        <v>129000</v>
      </c>
      <c r="BB39" s="2771">
        <f t="shared" ref="BB39:BB48" si="229">+AR39+AV39+AZ39</f>
        <v>128703.10000000003</v>
      </c>
      <c r="BC39" s="7735">
        <f t="shared" ref="BC39:BC48" si="230">AM39+BA39</f>
        <v>258000</v>
      </c>
      <c r="BD39" s="2772">
        <f t="shared" ref="BD39:BD48" si="231">AN39+BB39</f>
        <v>237359.25000000006</v>
      </c>
      <c r="BE39" s="7712">
        <f>AW39+AY39</f>
        <v>494000</v>
      </c>
      <c r="BF39" s="2770">
        <f t="shared" ref="BF39:BF48" si="232">AX39+AZ39</f>
        <v>462713.69999999995</v>
      </c>
      <c r="BG39" s="5548">
        <v>500000</v>
      </c>
      <c r="BH39" s="5548">
        <v>459030.63999999996</v>
      </c>
      <c r="BI39" s="3062">
        <v>500000</v>
      </c>
      <c r="BJ39" s="3032">
        <v>471802.33500000008</v>
      </c>
      <c r="BK39" s="1818">
        <v>410762.6</v>
      </c>
      <c r="BL39" s="7706">
        <f>+BL30</f>
        <v>500000</v>
      </c>
      <c r="BM39" s="1818">
        <v>456374.83600000001</v>
      </c>
      <c r="BN39" s="7706">
        <f>+BN30</f>
        <v>435965.96179320005</v>
      </c>
      <c r="BO39" s="1818">
        <v>333534.61200000002</v>
      </c>
      <c r="BP39" s="7706">
        <v>500000</v>
      </c>
      <c r="BQ39" s="1019">
        <v>270654.57</v>
      </c>
      <c r="BR39" s="1137"/>
      <c r="BS39" s="4234"/>
      <c r="BT39" s="4234"/>
      <c r="BU39" s="25"/>
      <c r="BV39" s="25"/>
      <c r="BW39" s="502"/>
      <c r="BX39" s="502"/>
    </row>
    <row r="40" spans="1:76" ht="15" customHeight="1" x14ac:dyDescent="0.25">
      <c r="B40" s="1890" t="s">
        <v>600</v>
      </c>
      <c r="C40" s="1863" t="s">
        <v>50</v>
      </c>
      <c r="D40" s="7731"/>
      <c r="E40" s="7711"/>
      <c r="F40" s="17">
        <f>+WRM!F200</f>
        <v>0</v>
      </c>
      <c r="G40" s="7711"/>
      <c r="H40" s="17">
        <f>+WRM!H200</f>
        <v>0</v>
      </c>
      <c r="I40" s="7712"/>
      <c r="J40" s="37">
        <f t="shared" ref="J40:J45" si="233">+F40+H40</f>
        <v>0</v>
      </c>
      <c r="K40" s="7711"/>
      <c r="L40" s="17">
        <f>+WRM!L200</f>
        <v>9361.75</v>
      </c>
      <c r="M40" s="7717"/>
      <c r="N40" s="67">
        <f t="shared" ref="N40:N48" si="234">+F40+H40+L40</f>
        <v>9361.75</v>
      </c>
      <c r="O40" s="7711"/>
      <c r="P40" s="17">
        <f>+WRM!P200</f>
        <v>11248.350000000006</v>
      </c>
      <c r="Q40" s="7719"/>
      <c r="R40" s="37">
        <f t="shared" si="223"/>
        <v>20610.100000000006</v>
      </c>
      <c r="S40" s="7711"/>
      <c r="T40" s="17">
        <f>+WRM!T200</f>
        <v>0</v>
      </c>
      <c r="U40" s="7719"/>
      <c r="V40" s="37">
        <f t="shared" si="224"/>
        <v>20610.100000000006</v>
      </c>
      <c r="W40" s="7711"/>
      <c r="X40" s="17">
        <f>+WRM!X200</f>
        <v>0</v>
      </c>
      <c r="Y40" s="7737"/>
      <c r="Z40" s="4397">
        <f t="shared" si="225"/>
        <v>11248.350000000006</v>
      </c>
      <c r="AA40" s="7735"/>
      <c r="AB40" s="2690">
        <f t="shared" ref="AB40:AB48" si="235">+N40+Z40</f>
        <v>20610.100000000006</v>
      </c>
      <c r="AC40" s="7711"/>
      <c r="AD40" s="17">
        <f>+WRM!AD200</f>
        <v>0</v>
      </c>
      <c r="AE40" s="7712"/>
      <c r="AF40" s="37">
        <f t="shared" ref="AF40:AF47" si="236">+AB40+AD40</f>
        <v>20610.100000000006</v>
      </c>
      <c r="AG40" s="7711"/>
      <c r="AH40" s="17">
        <f>+WRM!AH200</f>
        <v>0</v>
      </c>
      <c r="AI40" s="7712"/>
      <c r="AJ40" s="37">
        <f t="shared" ref="AJ40:AJ47" si="237">+AF40+AH40</f>
        <v>20610.100000000006</v>
      </c>
      <c r="AK40" s="7711"/>
      <c r="AL40" s="17">
        <f>+WRM!AL200</f>
        <v>0</v>
      </c>
      <c r="AM40" s="7713"/>
      <c r="AN40" s="2688">
        <f t="shared" si="226"/>
        <v>0</v>
      </c>
      <c r="AO40" s="7712"/>
      <c r="AP40" s="2686">
        <f t="shared" si="227"/>
        <v>20610.100000000006</v>
      </c>
      <c r="AQ40" s="7711"/>
      <c r="AR40" s="17">
        <f>+WRM!AR200</f>
        <v>0</v>
      </c>
      <c r="AS40" s="7712"/>
      <c r="AT40" s="37">
        <f t="shared" ref="AT40:AT47" si="238">+AP40+AR40</f>
        <v>20610.100000000006</v>
      </c>
      <c r="AU40" s="7711"/>
      <c r="AV40" s="17">
        <f>+WRM!AV200</f>
        <v>0</v>
      </c>
      <c r="AW40" s="7712"/>
      <c r="AX40" s="37">
        <f t="shared" ref="AX40:AX47" si="239">+AT40+AV40</f>
        <v>20610.100000000006</v>
      </c>
      <c r="AY40" s="7711"/>
      <c r="AZ40" s="17">
        <f>+WRM!AZ200</f>
        <v>0</v>
      </c>
      <c r="BA40" s="7713">
        <f t="shared" si="228"/>
        <v>0</v>
      </c>
      <c r="BB40" s="2771">
        <f t="shared" si="229"/>
        <v>0</v>
      </c>
      <c r="BC40" s="7735">
        <f t="shared" si="230"/>
        <v>0</v>
      </c>
      <c r="BD40" s="2772">
        <f t="shared" si="231"/>
        <v>0</v>
      </c>
      <c r="BE40" s="7712"/>
      <c r="BF40" s="2770">
        <f t="shared" si="232"/>
        <v>20610.100000000006</v>
      </c>
      <c r="BG40" s="5548"/>
      <c r="BH40" s="5548">
        <v>0</v>
      </c>
      <c r="BI40" s="3062"/>
      <c r="BJ40" s="3032">
        <v>6726.0499999999956</v>
      </c>
      <c r="BK40" s="1818">
        <v>55352.050000000025</v>
      </c>
      <c r="BL40" s="7706"/>
      <c r="BM40" s="1818">
        <v>8968.93</v>
      </c>
      <c r="BN40" s="7706"/>
      <c r="BO40" s="1818">
        <v>22983.766</v>
      </c>
      <c r="BP40" s="7706"/>
      <c r="BQ40" s="1019">
        <v>141370.65</v>
      </c>
      <c r="BR40" s="1137"/>
      <c r="BS40" s="4234"/>
      <c r="BT40" s="4234"/>
      <c r="BU40" s="25"/>
      <c r="BV40" s="25"/>
      <c r="BW40" s="502"/>
      <c r="BX40" s="502"/>
    </row>
    <row r="41" spans="1:76" ht="15" customHeight="1" x14ac:dyDescent="0.25">
      <c r="B41" s="1890" t="s">
        <v>599</v>
      </c>
      <c r="C41" s="1863" t="s">
        <v>50</v>
      </c>
      <c r="D41" s="2691">
        <f>+D31</f>
        <v>990000</v>
      </c>
      <c r="E41" s="2687">
        <f>+E31</f>
        <v>68500</v>
      </c>
      <c r="F41" s="17">
        <f>+F31</f>
        <v>74661.040000000066</v>
      </c>
      <c r="G41" s="5547">
        <f>+G31</f>
        <v>79000</v>
      </c>
      <c r="H41" s="17">
        <f>+H31</f>
        <v>76175.635000000068</v>
      </c>
      <c r="I41" s="2686">
        <f>+E41+G41</f>
        <v>147500</v>
      </c>
      <c r="J41" s="37">
        <f t="shared" si="233"/>
        <v>150836.67500000013</v>
      </c>
      <c r="K41" s="5672">
        <f>+K31</f>
        <v>76000</v>
      </c>
      <c r="L41" s="17">
        <f>+L31</f>
        <v>73644.015000000058</v>
      </c>
      <c r="M41" s="2689">
        <f>+E41+G41+K41</f>
        <v>223500</v>
      </c>
      <c r="N41" s="67">
        <f t="shared" si="234"/>
        <v>224480.69000000018</v>
      </c>
      <c r="O41" s="5820">
        <f>+O31</f>
        <v>79000</v>
      </c>
      <c r="P41" s="17">
        <f>+P31</f>
        <v>88056.490000000107</v>
      </c>
      <c r="Q41" s="4270">
        <f t="shared" si="223"/>
        <v>302500</v>
      </c>
      <c r="R41" s="37">
        <f t="shared" si="223"/>
        <v>312537.18000000028</v>
      </c>
      <c r="S41" s="5888">
        <f>+S31</f>
        <v>79000</v>
      </c>
      <c r="T41" s="17">
        <f>+T31</f>
        <v>75853.695000000036</v>
      </c>
      <c r="U41" s="4317">
        <f t="shared" ref="U41" si="240">+Q41+S41</f>
        <v>381500</v>
      </c>
      <c r="V41" s="37">
        <f t="shared" si="224"/>
        <v>388390.87500000035</v>
      </c>
      <c r="W41" s="5993">
        <f>+W31</f>
        <v>47500</v>
      </c>
      <c r="X41" s="17">
        <f>+X31</f>
        <v>76319.035000000062</v>
      </c>
      <c r="Y41" s="4397">
        <f>+O41+S41+W41</f>
        <v>205500</v>
      </c>
      <c r="Z41" s="4397">
        <f t="shared" si="225"/>
        <v>240229.2200000002</v>
      </c>
      <c r="AA41" s="2690">
        <f>+M41+Y41</f>
        <v>429000</v>
      </c>
      <c r="AB41" s="2690">
        <f t="shared" si="235"/>
        <v>464709.91000000038</v>
      </c>
      <c r="AC41" s="6121">
        <f>+AC31</f>
        <v>78000</v>
      </c>
      <c r="AD41" s="17">
        <f>+AD31</f>
        <v>50950.275000000081</v>
      </c>
      <c r="AE41" s="2686">
        <f>+AA41+AC41</f>
        <v>507000</v>
      </c>
      <c r="AF41" s="37">
        <f t="shared" si="236"/>
        <v>515660.18500000046</v>
      </c>
      <c r="AG41" s="6292">
        <f>+AG31</f>
        <v>76000</v>
      </c>
      <c r="AH41" s="17">
        <f>+AH31</f>
        <v>69720.765000000058</v>
      </c>
      <c r="AI41" s="2686">
        <f>+AE41+AG41</f>
        <v>583000</v>
      </c>
      <c r="AJ41" s="37">
        <f t="shared" si="237"/>
        <v>585380.95000000054</v>
      </c>
      <c r="AK41" s="6544">
        <f>+AK31</f>
        <v>79000</v>
      </c>
      <c r="AL41" s="17">
        <f>+AL31</f>
        <v>81616.765000000145</v>
      </c>
      <c r="AM41" s="2688">
        <f>+AC41+AG41+AK41</f>
        <v>233000</v>
      </c>
      <c r="AN41" s="2688">
        <f t="shared" si="226"/>
        <v>202287.80500000028</v>
      </c>
      <c r="AO41" s="2686">
        <f>AI41+AK41</f>
        <v>662000</v>
      </c>
      <c r="AP41" s="2686">
        <f t="shared" si="227"/>
        <v>666997.71500000067</v>
      </c>
      <c r="AQ41" s="6638">
        <f>+AQ31</f>
        <v>79000</v>
      </c>
      <c r="AR41" s="17">
        <f>+AR31</f>
        <v>85804.600000000122</v>
      </c>
      <c r="AS41" s="2686">
        <f>+AO41+AQ41</f>
        <v>741000</v>
      </c>
      <c r="AT41" s="37">
        <f t="shared" si="238"/>
        <v>752802.31500000076</v>
      </c>
      <c r="AU41" s="6803">
        <f>+AU31</f>
        <v>71500</v>
      </c>
      <c r="AV41" s="17">
        <f>+AV31</f>
        <v>74058.320000000094</v>
      </c>
      <c r="AW41" s="2686">
        <f>+AS41+AU41</f>
        <v>812500</v>
      </c>
      <c r="AX41" s="37">
        <f t="shared" si="239"/>
        <v>826860.63500000082</v>
      </c>
      <c r="AY41" s="6948">
        <f>+AY31</f>
        <v>80000</v>
      </c>
      <c r="AZ41" s="17">
        <f>+AZ31</f>
        <v>81200</v>
      </c>
      <c r="BA41" s="2771">
        <f t="shared" si="228"/>
        <v>230500</v>
      </c>
      <c r="BB41" s="2771">
        <f t="shared" si="229"/>
        <v>241062.92000000022</v>
      </c>
      <c r="BC41" s="2772">
        <f t="shared" si="230"/>
        <v>463500</v>
      </c>
      <c r="BD41" s="2772">
        <f t="shared" si="231"/>
        <v>443350.7250000005</v>
      </c>
      <c r="BE41" s="2770">
        <f>AW41+AY41</f>
        <v>892500</v>
      </c>
      <c r="BF41" s="2770">
        <f t="shared" si="232"/>
        <v>908060.63500000082</v>
      </c>
      <c r="BG41" s="5548">
        <v>870000</v>
      </c>
      <c r="BH41" s="5548">
        <v>750867.84800000093</v>
      </c>
      <c r="BI41" s="3062">
        <v>850000</v>
      </c>
      <c r="BJ41" s="3032">
        <v>795322.27300000074</v>
      </c>
      <c r="BK41" s="1818">
        <v>775906.62549999985</v>
      </c>
      <c r="BL41" s="1818">
        <v>750000</v>
      </c>
      <c r="BM41" s="1818">
        <v>649840.96399999992</v>
      </c>
      <c r="BN41" s="1818">
        <f>+BN31</f>
        <v>674875.14</v>
      </c>
      <c r="BO41" s="1818">
        <v>440547.14499999996</v>
      </c>
      <c r="BP41" s="1818">
        <v>800000</v>
      </c>
      <c r="BQ41" s="1019">
        <v>632220.18000000005</v>
      </c>
      <c r="BR41" s="1137"/>
      <c r="BS41" s="4234"/>
      <c r="BT41" s="4234"/>
      <c r="BU41" s="25"/>
      <c r="BV41" s="25"/>
      <c r="BW41" s="502"/>
      <c r="BX41" s="502"/>
    </row>
    <row r="42" spans="1:76" ht="15" customHeight="1" x14ac:dyDescent="0.25">
      <c r="B42" s="1890" t="s">
        <v>1134</v>
      </c>
      <c r="C42" s="1863" t="s">
        <v>50</v>
      </c>
      <c r="D42" s="7700">
        <f>+D32</f>
        <v>850000</v>
      </c>
      <c r="E42" s="7701">
        <f>+E32</f>
        <v>56000</v>
      </c>
      <c r="F42" s="17">
        <f>+USM!G171</f>
        <v>35833.332999999999</v>
      </c>
      <c r="G42" s="7701">
        <f>+G32</f>
        <v>65000</v>
      </c>
      <c r="H42" s="17">
        <f>+USM!I171</f>
        <v>44993.633999999998</v>
      </c>
      <c r="I42" s="7712">
        <f>+G42+E42</f>
        <v>121000</v>
      </c>
      <c r="J42" s="37">
        <f t="shared" si="233"/>
        <v>80826.967000000004</v>
      </c>
      <c r="K42" s="7701">
        <f>+K32</f>
        <v>62500</v>
      </c>
      <c r="L42" s="17">
        <f>+USM!M171</f>
        <v>41676.830999999998</v>
      </c>
      <c r="M42" s="7717">
        <f>+K42+G42+E42</f>
        <v>183500</v>
      </c>
      <c r="N42" s="67">
        <f t="shared" si="234"/>
        <v>122503.79800000001</v>
      </c>
      <c r="O42" s="7701">
        <f>+O32</f>
        <v>65000</v>
      </c>
      <c r="P42" s="17">
        <f>+USM!Q171</f>
        <v>39505.72800000001</v>
      </c>
      <c r="Q42" s="4272">
        <f>+M42+O42</f>
        <v>248500</v>
      </c>
      <c r="R42" s="37">
        <f t="shared" si="223"/>
        <v>162009.52600000001</v>
      </c>
      <c r="S42" s="7701">
        <f>+S32</f>
        <v>65000</v>
      </c>
      <c r="T42" s="17">
        <f>+USM!U171</f>
        <v>30061.677999999996</v>
      </c>
      <c r="U42" s="4318">
        <f>+Q42+S42</f>
        <v>313500</v>
      </c>
      <c r="V42" s="37">
        <f t="shared" si="224"/>
        <v>192071.204</v>
      </c>
      <c r="W42" s="7701">
        <f>+W32</f>
        <v>33500</v>
      </c>
      <c r="X42" s="17">
        <f>+USM!Y171</f>
        <v>32261.593999999997</v>
      </c>
      <c r="Y42" s="7736">
        <f>+W42+S42+O42</f>
        <v>163500</v>
      </c>
      <c r="Z42" s="4397">
        <f t="shared" si="225"/>
        <v>101829</v>
      </c>
      <c r="AA42" s="7702">
        <f>+M42+Y42</f>
        <v>347000</v>
      </c>
      <c r="AB42" s="2690">
        <f t="shared" si="235"/>
        <v>224332.79800000001</v>
      </c>
      <c r="AC42" s="7701">
        <f>+AC32</f>
        <v>67000</v>
      </c>
      <c r="AD42" s="17">
        <f>+USM!AE171</f>
        <v>26347.059000000005</v>
      </c>
      <c r="AE42" s="7712">
        <f>+AC42+AA42</f>
        <v>414000</v>
      </c>
      <c r="AF42" s="37">
        <f t="shared" si="236"/>
        <v>250679.85700000002</v>
      </c>
      <c r="AG42" s="7701">
        <f>+AG32</f>
        <v>65000</v>
      </c>
      <c r="AH42" s="17">
        <f>+USM!AI171</f>
        <v>33174.987000000001</v>
      </c>
      <c r="AI42" s="7712">
        <f>+AG42+AE42</f>
        <v>479000</v>
      </c>
      <c r="AJ42" s="37">
        <f t="shared" si="237"/>
        <v>283854.84400000004</v>
      </c>
      <c r="AK42" s="7701">
        <f>+AK32</f>
        <v>67500</v>
      </c>
      <c r="AL42" s="17">
        <f>+USM!AM171</f>
        <v>34992.377999999997</v>
      </c>
      <c r="AM42" s="7713">
        <f>+AK42+AG42+AC42</f>
        <v>199500</v>
      </c>
      <c r="AN42" s="2688">
        <f t="shared" si="226"/>
        <v>94514.423999999999</v>
      </c>
      <c r="AO42" s="7712">
        <f>AI42+AK42</f>
        <v>546500</v>
      </c>
      <c r="AP42" s="2686">
        <f t="shared" si="227"/>
        <v>318847.22200000007</v>
      </c>
      <c r="AQ42" s="7701">
        <f>+AQ32</f>
        <v>68000</v>
      </c>
      <c r="AR42" s="17">
        <f>+USM!AS171</f>
        <v>35829.667000000001</v>
      </c>
      <c r="AS42" s="7712">
        <f>+AQ42+AO42</f>
        <v>614500</v>
      </c>
      <c r="AT42" s="37">
        <f t="shared" si="238"/>
        <v>354676.88900000008</v>
      </c>
      <c r="AU42" s="7701">
        <f>+AU32</f>
        <v>61000</v>
      </c>
      <c r="AV42" s="17">
        <f>+USM!AW171</f>
        <v>43359.470999999998</v>
      </c>
      <c r="AW42" s="7712">
        <f>+AU42+AS42</f>
        <v>675500</v>
      </c>
      <c r="AX42" s="37">
        <f t="shared" si="239"/>
        <v>398036.3600000001</v>
      </c>
      <c r="AY42" s="7701">
        <f>+AY32</f>
        <v>68500</v>
      </c>
      <c r="AZ42" s="17">
        <f>+USM!BA171</f>
        <v>50048.392999999989</v>
      </c>
      <c r="BA42" s="7713">
        <f t="shared" si="228"/>
        <v>197500</v>
      </c>
      <c r="BB42" s="2771">
        <f t="shared" si="229"/>
        <v>129237.53099999999</v>
      </c>
      <c r="BC42" s="7702">
        <f t="shared" si="230"/>
        <v>397000</v>
      </c>
      <c r="BD42" s="2772">
        <f t="shared" si="231"/>
        <v>223751.95499999999</v>
      </c>
      <c r="BE42" s="7712">
        <f>AW42+AY42</f>
        <v>744000</v>
      </c>
      <c r="BF42" s="2770">
        <f t="shared" si="232"/>
        <v>448084.75300000008</v>
      </c>
      <c r="BG42" s="5549">
        <v>560000</v>
      </c>
      <c r="BH42" s="5549">
        <v>369513.92899999995</v>
      </c>
      <c r="BI42" s="3063">
        <v>525000</v>
      </c>
      <c r="BJ42" s="3033">
        <v>322948.41899999994</v>
      </c>
      <c r="BK42" s="1816">
        <v>273627.652</v>
      </c>
      <c r="BL42" s="7706">
        <f>+BL32</f>
        <v>450000</v>
      </c>
      <c r="BM42" s="7741">
        <v>168119.5</v>
      </c>
      <c r="BN42" s="7706">
        <f>+BN32</f>
        <v>220000</v>
      </c>
      <c r="BO42" s="7741">
        <v>78790</v>
      </c>
      <c r="BP42" s="7706">
        <v>535000</v>
      </c>
      <c r="BQ42" s="7738">
        <f>+BQ32</f>
        <v>171634.81128897145</v>
      </c>
      <c r="BR42" s="1137"/>
      <c r="BS42" s="4234"/>
      <c r="BT42" s="4234"/>
      <c r="BU42" s="25"/>
      <c r="BV42" s="25"/>
      <c r="BW42" s="502"/>
      <c r="BX42" s="502"/>
    </row>
    <row r="43" spans="1:76" ht="15" customHeight="1" x14ac:dyDescent="0.25">
      <c r="B43" s="1890" t="s">
        <v>1135</v>
      </c>
      <c r="C43" s="1863" t="s">
        <v>50</v>
      </c>
      <c r="D43" s="7700"/>
      <c r="E43" s="7701"/>
      <c r="F43" s="17">
        <f>+USM!G172</f>
        <v>8136.5259999999989</v>
      </c>
      <c r="G43" s="7701"/>
      <c r="H43" s="17">
        <f>+USM!I172</f>
        <v>5159.0289999999995</v>
      </c>
      <c r="I43" s="7712">
        <f>+E43+G43</f>
        <v>0</v>
      </c>
      <c r="J43" s="37">
        <f t="shared" si="233"/>
        <v>13295.554999999998</v>
      </c>
      <c r="K43" s="7701"/>
      <c r="L43" s="17">
        <f>+USM!M172</f>
        <v>5963.7650000000003</v>
      </c>
      <c r="M43" s="7717"/>
      <c r="N43" s="67">
        <f t="shared" si="234"/>
        <v>19259.32</v>
      </c>
      <c r="O43" s="7701"/>
      <c r="P43" s="17">
        <f>+USM!Q172</f>
        <v>6848.3829999999998</v>
      </c>
      <c r="Q43" s="4271">
        <f>+M43+O43</f>
        <v>0</v>
      </c>
      <c r="R43" s="37">
        <f t="shared" si="223"/>
        <v>26107.703000000001</v>
      </c>
      <c r="S43" s="7701"/>
      <c r="T43" s="17">
        <f>+USM!U172</f>
        <v>1438.2529999999997</v>
      </c>
      <c r="U43" s="4320">
        <f>+Q43+S43</f>
        <v>0</v>
      </c>
      <c r="V43" s="37">
        <f t="shared" si="224"/>
        <v>27545.956000000002</v>
      </c>
      <c r="W43" s="7701"/>
      <c r="X43" s="17">
        <f>+USM!Y172</f>
        <v>5720.8829999999998</v>
      </c>
      <c r="Y43" s="7743"/>
      <c r="Z43" s="4397">
        <f t="shared" si="225"/>
        <v>14007.518999999998</v>
      </c>
      <c r="AA43" s="7703"/>
      <c r="AB43" s="2690">
        <f t="shared" si="235"/>
        <v>33266.839</v>
      </c>
      <c r="AC43" s="7701"/>
      <c r="AD43" s="17">
        <f>+USM!AE172</f>
        <v>0</v>
      </c>
      <c r="AE43" s="7712">
        <f>+AA43+AC43</f>
        <v>0</v>
      </c>
      <c r="AF43" s="37">
        <f t="shared" si="236"/>
        <v>33266.839</v>
      </c>
      <c r="AG43" s="7701"/>
      <c r="AH43" s="17">
        <f>+USM!AI172</f>
        <v>6170.5360000000001</v>
      </c>
      <c r="AI43" s="7712">
        <f>+AE43+AG43</f>
        <v>0</v>
      </c>
      <c r="AJ43" s="37">
        <f t="shared" si="237"/>
        <v>39437.375</v>
      </c>
      <c r="AK43" s="7701"/>
      <c r="AL43" s="17">
        <f>+USM!AM172</f>
        <v>4072.8229999999994</v>
      </c>
      <c r="AM43" s="7713"/>
      <c r="AN43" s="2688">
        <f t="shared" si="226"/>
        <v>10243.359</v>
      </c>
      <c r="AO43" s="7712">
        <f>+AK43+AM43</f>
        <v>0</v>
      </c>
      <c r="AP43" s="2686">
        <f t="shared" si="227"/>
        <v>43510.197999999997</v>
      </c>
      <c r="AQ43" s="7701"/>
      <c r="AR43" s="17">
        <f>+USM!AS172</f>
        <v>5596.3930000000018</v>
      </c>
      <c r="AS43" s="7712">
        <f>+AO43+AQ43</f>
        <v>0</v>
      </c>
      <c r="AT43" s="37">
        <f t="shared" si="238"/>
        <v>49106.591</v>
      </c>
      <c r="AU43" s="7701"/>
      <c r="AV43" s="17">
        <f>+USM!AW172</f>
        <v>3073.86</v>
      </c>
      <c r="AW43" s="7712">
        <f>+AS43+AU43</f>
        <v>0</v>
      </c>
      <c r="AX43" s="37">
        <f t="shared" si="239"/>
        <v>52180.451000000001</v>
      </c>
      <c r="AY43" s="7701"/>
      <c r="AZ43" s="17">
        <f>+USM!BA172</f>
        <v>4775.8689999999997</v>
      </c>
      <c r="BA43" s="7713">
        <f t="shared" si="228"/>
        <v>0</v>
      </c>
      <c r="BB43" s="2771">
        <f t="shared" si="229"/>
        <v>13446.122000000003</v>
      </c>
      <c r="BC43" s="7703">
        <f t="shared" si="230"/>
        <v>0</v>
      </c>
      <c r="BD43" s="2772">
        <f t="shared" si="231"/>
        <v>23689.481000000003</v>
      </c>
      <c r="BE43" s="7712">
        <f>+AY43+BA43</f>
        <v>0</v>
      </c>
      <c r="BF43" s="2770">
        <f t="shared" si="232"/>
        <v>56956.32</v>
      </c>
      <c r="BG43" s="5550">
        <v>0</v>
      </c>
      <c r="BH43" s="5550">
        <v>47628.758000000002</v>
      </c>
      <c r="BI43" s="3064">
        <v>0</v>
      </c>
      <c r="BJ43" s="3034">
        <v>47288.060999999994</v>
      </c>
      <c r="BK43" s="1817">
        <v>21791.11</v>
      </c>
      <c r="BL43" s="7706"/>
      <c r="BM43" s="7742"/>
      <c r="BN43" s="7706"/>
      <c r="BO43" s="7742"/>
      <c r="BP43" s="7706"/>
      <c r="BQ43" s="7739"/>
      <c r="BR43" s="1137"/>
      <c r="BS43" s="4234"/>
      <c r="BT43" s="4234"/>
      <c r="BU43" s="25"/>
      <c r="BV43" s="25"/>
      <c r="BW43" s="502"/>
      <c r="BX43" s="502"/>
    </row>
    <row r="44" spans="1:76" ht="15" customHeight="1" x14ac:dyDescent="0.25">
      <c r="B44" s="1890" t="s">
        <v>897</v>
      </c>
      <c r="C44" s="1863" t="s">
        <v>50</v>
      </c>
      <c r="D44" s="7700"/>
      <c r="E44" s="7701"/>
      <c r="F44" s="17">
        <f>+USM!G173</f>
        <v>3735.1699999999992</v>
      </c>
      <c r="G44" s="7701"/>
      <c r="H44" s="17">
        <f>+USM!I173</f>
        <v>7066.4809999999998</v>
      </c>
      <c r="I44" s="7712">
        <f>+E44+G44</f>
        <v>0</v>
      </c>
      <c r="J44" s="37">
        <f t="shared" si="233"/>
        <v>10801.650999999998</v>
      </c>
      <c r="K44" s="7701"/>
      <c r="L44" s="17">
        <f>+USM!M173</f>
        <v>6391.5139999999974</v>
      </c>
      <c r="M44" s="7717"/>
      <c r="N44" s="67">
        <f t="shared" si="234"/>
        <v>17193.164999999994</v>
      </c>
      <c r="O44" s="7701"/>
      <c r="P44" s="17">
        <f>+USM!Q173</f>
        <v>8126.5689999999968</v>
      </c>
      <c r="Q44" s="4271">
        <f>+M44+O44</f>
        <v>0</v>
      </c>
      <c r="R44" s="37">
        <f>+N44+P44</f>
        <v>25319.733999999989</v>
      </c>
      <c r="S44" s="7701"/>
      <c r="T44" s="17">
        <f>+USM!U173</f>
        <v>9825.4939999999988</v>
      </c>
      <c r="U44" s="4320">
        <f>+Q44+S44</f>
        <v>0</v>
      </c>
      <c r="V44" s="37">
        <f>+R44+T44</f>
        <v>35145.227999999988</v>
      </c>
      <c r="W44" s="7701"/>
      <c r="X44" s="17">
        <f>+USM!Y173</f>
        <v>9271.39</v>
      </c>
      <c r="Y44" s="7743"/>
      <c r="Z44" s="4397">
        <f t="shared" si="225"/>
        <v>27223.452999999994</v>
      </c>
      <c r="AA44" s="7703"/>
      <c r="AB44" s="2690">
        <f t="shared" si="235"/>
        <v>44416.617999999988</v>
      </c>
      <c r="AC44" s="7701"/>
      <c r="AD44" s="17">
        <f>+USM!AE173</f>
        <v>2320.6020000000003</v>
      </c>
      <c r="AE44" s="7712">
        <f>+AA44+AC44</f>
        <v>0</v>
      </c>
      <c r="AF44" s="37">
        <f t="shared" si="236"/>
        <v>46737.219999999987</v>
      </c>
      <c r="AG44" s="7701"/>
      <c r="AH44" s="17">
        <f>+USM!AI173</f>
        <v>6989.3249999999998</v>
      </c>
      <c r="AI44" s="7712">
        <f>+AE44+AG44</f>
        <v>0</v>
      </c>
      <c r="AJ44" s="37">
        <f t="shared" si="237"/>
        <v>53726.544999999984</v>
      </c>
      <c r="AK44" s="7701"/>
      <c r="AL44" s="17">
        <f>+USM!AM173</f>
        <v>10163.959000000003</v>
      </c>
      <c r="AM44" s="7713"/>
      <c r="AN44" s="2688">
        <f t="shared" si="226"/>
        <v>19473.886000000002</v>
      </c>
      <c r="AO44" s="7712">
        <f>+AK44+AM44</f>
        <v>0</v>
      </c>
      <c r="AP44" s="2686">
        <f t="shared" si="227"/>
        <v>63890.503999999986</v>
      </c>
      <c r="AQ44" s="7701"/>
      <c r="AR44" s="17">
        <f>+USM!AS173</f>
        <v>7822.952000000003</v>
      </c>
      <c r="AS44" s="7712">
        <f>+AO44+AQ44</f>
        <v>0</v>
      </c>
      <c r="AT44" s="37">
        <f t="shared" si="238"/>
        <v>71713.455999999991</v>
      </c>
      <c r="AU44" s="7701"/>
      <c r="AV44" s="17">
        <f>+USM!AW173</f>
        <v>7846.0670000000009</v>
      </c>
      <c r="AW44" s="7712">
        <f>+AS44+AU44</f>
        <v>0</v>
      </c>
      <c r="AX44" s="37">
        <f t="shared" si="239"/>
        <v>79559.522999999986</v>
      </c>
      <c r="AY44" s="7701"/>
      <c r="AZ44" s="17">
        <f>+USM!BA173</f>
        <v>4314.1299999999992</v>
      </c>
      <c r="BA44" s="7713">
        <f t="shared" si="228"/>
        <v>0</v>
      </c>
      <c r="BB44" s="2771">
        <f t="shared" si="229"/>
        <v>19983.149000000005</v>
      </c>
      <c r="BC44" s="7703">
        <f t="shared" si="230"/>
        <v>0</v>
      </c>
      <c r="BD44" s="2772">
        <f t="shared" si="231"/>
        <v>39457.035000000003</v>
      </c>
      <c r="BE44" s="7712">
        <f>+AY44+BA44</f>
        <v>0</v>
      </c>
      <c r="BF44" s="2770">
        <f t="shared" si="232"/>
        <v>83873.652999999991</v>
      </c>
      <c r="BG44" s="5548">
        <v>0</v>
      </c>
      <c r="BH44" s="5548">
        <v>81214.697000000015</v>
      </c>
      <c r="BI44" s="3062">
        <v>0</v>
      </c>
      <c r="BJ44" s="3032">
        <v>86018.164000000004</v>
      </c>
      <c r="BK44" s="1818">
        <v>62409.791000000005</v>
      </c>
      <c r="BL44" s="7706"/>
      <c r="BM44" s="1818">
        <v>44187.109898457304</v>
      </c>
      <c r="BN44" s="7706"/>
      <c r="BO44" s="1818">
        <v>4414.2190468179997</v>
      </c>
      <c r="BP44" s="7706"/>
      <c r="BQ44" s="7739"/>
      <c r="BR44" s="1137"/>
      <c r="BS44" s="4234"/>
      <c r="BT44" s="4234"/>
      <c r="BU44" s="25"/>
      <c r="BV44" s="25"/>
      <c r="BW44" s="502"/>
      <c r="BX44" s="502"/>
    </row>
    <row r="45" spans="1:76" ht="15" customHeight="1" x14ac:dyDescent="0.25">
      <c r="A45" s="25"/>
      <c r="B45" s="1890" t="s">
        <v>654</v>
      </c>
      <c r="C45" s="1863" t="s">
        <v>50</v>
      </c>
      <c r="D45" s="7700"/>
      <c r="E45" s="7701"/>
      <c r="F45" s="17">
        <f>+USM!G174</f>
        <v>2238.9240000000004</v>
      </c>
      <c r="G45" s="7701"/>
      <c r="H45" s="17">
        <f>+USM!I174</f>
        <v>0</v>
      </c>
      <c r="I45" s="7712">
        <f>+E45+G45</f>
        <v>0</v>
      </c>
      <c r="J45" s="37">
        <f t="shared" si="233"/>
        <v>2238.9240000000004</v>
      </c>
      <c r="K45" s="7701"/>
      <c r="L45" s="17">
        <f>+USM!M174</f>
        <v>1992.848</v>
      </c>
      <c r="M45" s="7717"/>
      <c r="N45" s="67">
        <f t="shared" si="234"/>
        <v>4231.7720000000008</v>
      </c>
      <c r="O45" s="7701"/>
      <c r="P45" s="17">
        <f>+USM!Q174</f>
        <v>0</v>
      </c>
      <c r="Q45" s="675">
        <f>+M45+O45</f>
        <v>0</v>
      </c>
      <c r="R45" s="37">
        <f>+N45+P45</f>
        <v>4231.7720000000008</v>
      </c>
      <c r="S45" s="7701"/>
      <c r="T45" s="17">
        <f>+USM!U174</f>
        <v>468.21000000000004</v>
      </c>
      <c r="U45" s="4319">
        <f>+Q45+S45</f>
        <v>0</v>
      </c>
      <c r="V45" s="37">
        <f>+R45+T45</f>
        <v>4699.9820000000009</v>
      </c>
      <c r="W45" s="7701"/>
      <c r="X45" s="17">
        <f>+USM!Y174</f>
        <v>0</v>
      </c>
      <c r="Y45" s="7737"/>
      <c r="Z45" s="4397">
        <f t="shared" si="225"/>
        <v>468.21000000000004</v>
      </c>
      <c r="AA45" s="7704"/>
      <c r="AB45" s="2690">
        <f t="shared" si="235"/>
        <v>4699.9820000000009</v>
      </c>
      <c r="AC45" s="7701"/>
      <c r="AD45" s="17">
        <f>+USM!AE174</f>
        <v>0</v>
      </c>
      <c r="AE45" s="7712">
        <f>+AA45+AC45</f>
        <v>0</v>
      </c>
      <c r="AF45" s="37">
        <f t="shared" si="236"/>
        <v>4699.9820000000009</v>
      </c>
      <c r="AG45" s="7701"/>
      <c r="AH45" s="17">
        <f>+USM!AI174</f>
        <v>0</v>
      </c>
      <c r="AI45" s="7712">
        <f>+AE45+AG45</f>
        <v>0</v>
      </c>
      <c r="AJ45" s="37">
        <f t="shared" si="237"/>
        <v>4699.9820000000009</v>
      </c>
      <c r="AK45" s="7701"/>
      <c r="AL45" s="17">
        <f>+USM!AM174</f>
        <v>0</v>
      </c>
      <c r="AM45" s="7713"/>
      <c r="AN45" s="2688">
        <f t="shared" si="226"/>
        <v>0</v>
      </c>
      <c r="AO45" s="7712">
        <f>+AK45+AM45</f>
        <v>0</v>
      </c>
      <c r="AP45" s="2686">
        <f t="shared" si="227"/>
        <v>4699.9820000000009</v>
      </c>
      <c r="AQ45" s="7701"/>
      <c r="AR45" s="17">
        <f>+USM!AS174</f>
        <v>0</v>
      </c>
      <c r="AS45" s="7712">
        <f>+AO45+AQ45</f>
        <v>0</v>
      </c>
      <c r="AT45" s="37">
        <f t="shared" si="238"/>
        <v>4699.9820000000009</v>
      </c>
      <c r="AU45" s="7701"/>
      <c r="AV45" s="17">
        <f>+USM!AW174</f>
        <v>0</v>
      </c>
      <c r="AW45" s="7712">
        <f>+AS45+AU45</f>
        <v>0</v>
      </c>
      <c r="AX45" s="37">
        <f t="shared" si="239"/>
        <v>4699.9820000000009</v>
      </c>
      <c r="AY45" s="7701"/>
      <c r="AZ45" s="17">
        <f>+USM!BA174</f>
        <v>0</v>
      </c>
      <c r="BA45" s="7713">
        <f t="shared" si="228"/>
        <v>0</v>
      </c>
      <c r="BB45" s="2771">
        <f t="shared" si="229"/>
        <v>0</v>
      </c>
      <c r="BC45" s="7704">
        <f t="shared" si="230"/>
        <v>0</v>
      </c>
      <c r="BD45" s="2772">
        <f t="shared" si="231"/>
        <v>0</v>
      </c>
      <c r="BE45" s="7712">
        <f>+AY45+BA45</f>
        <v>0</v>
      </c>
      <c r="BF45" s="2770">
        <f t="shared" si="232"/>
        <v>4699.9820000000009</v>
      </c>
      <c r="BG45" s="5548">
        <v>0</v>
      </c>
      <c r="BH45" s="5548">
        <v>1529.8440000000001</v>
      </c>
      <c r="BI45" s="3062">
        <v>0</v>
      </c>
      <c r="BJ45" s="3032">
        <v>2887.3210000000004</v>
      </c>
      <c r="BK45" s="1818">
        <v>4159.1839999999993</v>
      </c>
      <c r="BL45" s="7706"/>
      <c r="BM45" s="1818">
        <v>919.55454499999996</v>
      </c>
      <c r="BN45" s="7706"/>
      <c r="BO45" s="1818">
        <v>5739.5256319888003</v>
      </c>
      <c r="BP45" s="7706"/>
      <c r="BQ45" s="7740"/>
      <c r="BR45" s="1137"/>
      <c r="BS45" s="4234"/>
      <c r="BT45" s="4234"/>
      <c r="BU45" s="25"/>
      <c r="BV45" s="25"/>
      <c r="BW45" s="502"/>
      <c r="BX45" s="502"/>
    </row>
    <row r="46" spans="1:76" s="4487" customFormat="1" ht="15" customHeight="1" x14ac:dyDescent="0.25">
      <c r="A46" s="25"/>
      <c r="B46" s="5786" t="s">
        <v>2012</v>
      </c>
      <c r="C46" s="5873"/>
      <c r="D46" s="5788"/>
      <c r="E46" s="5789"/>
      <c r="F46" s="17">
        <f>+USM!G175</f>
        <v>1617.4609999999998</v>
      </c>
      <c r="G46" s="5789"/>
      <c r="H46" s="5759">
        <v>0</v>
      </c>
      <c r="I46" s="5790"/>
      <c r="J46" s="5174"/>
      <c r="K46" s="5789"/>
      <c r="L46" s="17">
        <f>+USM!M175</f>
        <v>0</v>
      </c>
      <c r="M46" s="5791"/>
      <c r="N46" s="67">
        <f t="shared" si="234"/>
        <v>1617.4609999999998</v>
      </c>
      <c r="O46" s="5789"/>
      <c r="P46" s="17">
        <f>+USM!Q175</f>
        <v>15.712999999999999</v>
      </c>
      <c r="Q46" s="5863"/>
      <c r="R46" s="37">
        <f t="shared" ref="R46:R47" si="241">+N46+P46</f>
        <v>1633.1739999999998</v>
      </c>
      <c r="S46" s="5789"/>
      <c r="T46" s="17">
        <f>+USM!U175</f>
        <v>0</v>
      </c>
      <c r="U46" s="5863"/>
      <c r="V46" s="37">
        <f t="shared" ref="V46:V47" si="242">+R46+T46</f>
        <v>1633.1739999999998</v>
      </c>
      <c r="W46" s="5789"/>
      <c r="X46" s="17">
        <f>+USM!Y175</f>
        <v>1199.047</v>
      </c>
      <c r="Y46" s="430"/>
      <c r="Z46" s="6045">
        <f t="shared" si="225"/>
        <v>1214.76</v>
      </c>
      <c r="AA46" s="5862"/>
      <c r="AB46" s="6046">
        <f t="shared" si="235"/>
        <v>2832.2209999999995</v>
      </c>
      <c r="AC46" s="5789"/>
      <c r="AD46" s="17">
        <f>+USM!AE175</f>
        <v>992.23599999999988</v>
      </c>
      <c r="AE46" s="5790"/>
      <c r="AF46" s="37">
        <f t="shared" si="236"/>
        <v>3824.4569999999994</v>
      </c>
      <c r="AG46" s="5789"/>
      <c r="AH46" s="17">
        <f>+USM!AI175</f>
        <v>1383.221</v>
      </c>
      <c r="AI46" s="5790"/>
      <c r="AJ46" s="37">
        <f t="shared" si="237"/>
        <v>5207.6779999999999</v>
      </c>
      <c r="AK46" s="5789"/>
      <c r="AL46" s="17">
        <f>+USM!AM175</f>
        <v>3758.0199999999995</v>
      </c>
      <c r="AM46" s="5745"/>
      <c r="AN46" s="6612">
        <f t="shared" si="226"/>
        <v>6133.476999999999</v>
      </c>
      <c r="AO46" s="5790"/>
      <c r="AP46" s="6613">
        <f t="shared" si="227"/>
        <v>8965.6980000000003</v>
      </c>
      <c r="AQ46" s="5789"/>
      <c r="AR46" s="17">
        <f>+USM!AS175</f>
        <v>2622.34</v>
      </c>
      <c r="AS46" s="5790"/>
      <c r="AT46" s="37">
        <f t="shared" si="238"/>
        <v>11588.038</v>
      </c>
      <c r="AU46" s="5789"/>
      <c r="AV46" s="17">
        <f>+USM!AW175</f>
        <v>0</v>
      </c>
      <c r="AW46" s="5790"/>
      <c r="AX46" s="37">
        <f t="shared" si="239"/>
        <v>11588.038</v>
      </c>
      <c r="AY46" s="5789"/>
      <c r="AZ46" s="17">
        <f>+USM!BA175</f>
        <v>1750.001</v>
      </c>
      <c r="BA46" s="5745">
        <f t="shared" si="228"/>
        <v>0</v>
      </c>
      <c r="BB46" s="5745">
        <f t="shared" si="229"/>
        <v>4372.3410000000003</v>
      </c>
      <c r="BC46" s="5862">
        <f t="shared" si="230"/>
        <v>0</v>
      </c>
      <c r="BD46" s="5750">
        <f t="shared" si="231"/>
        <v>10505.817999999999</v>
      </c>
      <c r="BE46" s="5790">
        <f t="shared" ref="BE46:BE47" si="243">AW46+AY46</f>
        <v>0</v>
      </c>
      <c r="BF46" s="5790">
        <f t="shared" ref="BF46:BF47" si="244">AX46+AZ46</f>
        <v>13338.039000000001</v>
      </c>
      <c r="BG46" s="5792"/>
      <c r="BH46" s="5792"/>
      <c r="BI46" s="5792"/>
      <c r="BJ46" s="5792"/>
      <c r="BK46" s="5792"/>
      <c r="BL46" s="5792"/>
      <c r="BM46" s="5792"/>
      <c r="BN46" s="5792"/>
      <c r="BO46" s="5792"/>
      <c r="BP46" s="5792"/>
      <c r="BQ46" s="5864"/>
      <c r="BR46" s="1137"/>
      <c r="BS46" s="4234"/>
      <c r="BT46" s="4234"/>
      <c r="BU46" s="25"/>
      <c r="BV46" s="25"/>
      <c r="BW46" s="502"/>
      <c r="BX46" s="502"/>
    </row>
    <row r="47" spans="1:76" s="4487" customFormat="1" ht="15" customHeight="1" x14ac:dyDescent="0.25">
      <c r="A47" s="25"/>
      <c r="B47" s="5786" t="s">
        <v>1993</v>
      </c>
      <c r="C47" s="5787"/>
      <c r="D47" s="5788"/>
      <c r="E47" s="5789"/>
      <c r="F47" s="17">
        <f>+USM!G176</f>
        <v>954.71799999999985</v>
      </c>
      <c r="G47" s="5789"/>
      <c r="H47" s="17">
        <f>+USM!I176</f>
        <v>0</v>
      </c>
      <c r="I47" s="5790"/>
      <c r="J47" s="5174">
        <f>+USM!K176</f>
        <v>954.71799999999985</v>
      </c>
      <c r="K47" s="5789"/>
      <c r="L47" s="5759">
        <f>+USM!M176</f>
        <v>2649.6750000000002</v>
      </c>
      <c r="M47" s="5791"/>
      <c r="N47" s="5768">
        <f>+USM!O176</f>
        <v>3604.393</v>
      </c>
      <c r="O47" s="5789"/>
      <c r="P47" s="5759">
        <f>+USM!Q176</f>
        <v>2830.9939999999997</v>
      </c>
      <c r="Q47" s="5728"/>
      <c r="R47" s="37">
        <f t="shared" si="241"/>
        <v>6435.3869999999997</v>
      </c>
      <c r="S47" s="5789"/>
      <c r="T47" s="5759">
        <f>+USM!U176</f>
        <v>2612.6579999999994</v>
      </c>
      <c r="U47" s="5728"/>
      <c r="V47" s="37">
        <f t="shared" si="242"/>
        <v>9048.0449999999983</v>
      </c>
      <c r="W47" s="5789"/>
      <c r="X47" s="5759">
        <f>+USM!Y176</f>
        <v>1543.8019999999997</v>
      </c>
      <c r="Y47" s="430"/>
      <c r="Z47" s="6045">
        <f t="shared" si="225"/>
        <v>6987.4539999999988</v>
      </c>
      <c r="AA47" s="5726"/>
      <c r="AB47" s="6046">
        <f t="shared" si="235"/>
        <v>10591.846999999998</v>
      </c>
      <c r="AC47" s="5789"/>
      <c r="AD47" s="5759">
        <f>+USM!AE176</f>
        <v>0</v>
      </c>
      <c r="AE47" s="5790"/>
      <c r="AF47" s="37">
        <f t="shared" si="236"/>
        <v>10591.846999999998</v>
      </c>
      <c r="AG47" s="5789"/>
      <c r="AH47" s="5759">
        <f>+USM!AI176</f>
        <v>1341.9749999999999</v>
      </c>
      <c r="AI47" s="5790"/>
      <c r="AJ47" s="37">
        <f t="shared" si="237"/>
        <v>11933.821999999998</v>
      </c>
      <c r="AK47" s="5789"/>
      <c r="AL47" s="5759">
        <f>+USM!AM176</f>
        <v>0</v>
      </c>
      <c r="AM47" s="5745"/>
      <c r="AN47" s="6612">
        <f t="shared" si="226"/>
        <v>1341.9749999999999</v>
      </c>
      <c r="AO47" s="5790"/>
      <c r="AP47" s="6613">
        <f t="shared" si="227"/>
        <v>11933.821999999998</v>
      </c>
      <c r="AQ47" s="5789"/>
      <c r="AR47" s="5759">
        <f>+USM!AS176</f>
        <v>4298.6260000000002</v>
      </c>
      <c r="AS47" s="5790"/>
      <c r="AT47" s="37">
        <f t="shared" si="238"/>
        <v>16232.447999999999</v>
      </c>
      <c r="AU47" s="5789"/>
      <c r="AV47" s="5759">
        <f>+USM!AW176</f>
        <v>0</v>
      </c>
      <c r="AW47" s="5790"/>
      <c r="AX47" s="37">
        <f t="shared" si="239"/>
        <v>16232.447999999999</v>
      </c>
      <c r="AY47" s="5789"/>
      <c r="AZ47" s="5759">
        <f>+USM!BA176</f>
        <v>2231.7529999999997</v>
      </c>
      <c r="BA47" s="5745">
        <f t="shared" si="228"/>
        <v>0</v>
      </c>
      <c r="BB47" s="5745">
        <f t="shared" si="229"/>
        <v>6530.3789999999999</v>
      </c>
      <c r="BC47" s="5726">
        <f t="shared" si="230"/>
        <v>0</v>
      </c>
      <c r="BD47" s="5750">
        <f t="shared" si="231"/>
        <v>7872.3539999999994</v>
      </c>
      <c r="BE47" s="5790">
        <f t="shared" si="243"/>
        <v>0</v>
      </c>
      <c r="BF47" s="5790">
        <f t="shared" si="244"/>
        <v>18464.200999999997</v>
      </c>
      <c r="BG47" s="5792"/>
      <c r="BH47" s="5792"/>
      <c r="BI47" s="5792"/>
      <c r="BJ47" s="5792"/>
      <c r="BK47" s="5792"/>
      <c r="BL47" s="5792"/>
      <c r="BM47" s="5792"/>
      <c r="BN47" s="5792"/>
      <c r="BO47" s="5792"/>
      <c r="BP47" s="5792"/>
      <c r="BQ47" s="5727"/>
      <c r="BR47" s="1137"/>
      <c r="BS47" s="4234"/>
      <c r="BT47" s="4234"/>
      <c r="BU47" s="25"/>
      <c r="BV47" s="25"/>
      <c r="BW47" s="502"/>
      <c r="BX47" s="502"/>
    </row>
    <row r="48" spans="1:76" ht="15" customHeight="1" x14ac:dyDescent="0.25">
      <c r="B48" s="1890" t="s">
        <v>655</v>
      </c>
      <c r="C48" s="1863" t="s">
        <v>50</v>
      </c>
      <c r="D48" s="2691">
        <f t="shared" ref="D48:L48" si="245">+D36</f>
        <v>350000.39654600783</v>
      </c>
      <c r="E48" s="2687">
        <f t="shared" si="245"/>
        <v>20999.957109341791</v>
      </c>
      <c r="F48" s="170">
        <f t="shared" si="245"/>
        <v>40008.1</v>
      </c>
      <c r="G48" s="5547">
        <f t="shared" ref="G48:H48" si="246">+G36</f>
        <v>48499.576671657102</v>
      </c>
      <c r="H48" s="170">
        <f t="shared" si="246"/>
        <v>55556</v>
      </c>
      <c r="I48" s="2686">
        <f t="shared" si="245"/>
        <v>69499.533780998885</v>
      </c>
      <c r="J48" s="37">
        <f t="shared" si="245"/>
        <v>95564.099999999991</v>
      </c>
      <c r="K48" s="5672">
        <f t="shared" si="245"/>
        <v>48000.110883115201</v>
      </c>
      <c r="L48" s="170">
        <f t="shared" si="245"/>
        <v>57284</v>
      </c>
      <c r="M48" s="2689">
        <f>+E48+G48+K48</f>
        <v>117499.64466411411</v>
      </c>
      <c r="N48" s="67">
        <f t="shared" si="234"/>
        <v>152848.1</v>
      </c>
      <c r="O48" s="5820">
        <f t="shared" ref="O48:P48" si="247">+O36</f>
        <v>43500.141355320899</v>
      </c>
      <c r="P48" s="170">
        <f t="shared" si="247"/>
        <v>50766</v>
      </c>
      <c r="Q48" s="4270">
        <f t="shared" ref="Q48:AA48" si="248">+Q36</f>
        <v>160999.78601943498</v>
      </c>
      <c r="R48" s="37">
        <f t="shared" si="248"/>
        <v>203614.09999999998</v>
      </c>
      <c r="S48" s="5888">
        <f t="shared" si="248"/>
        <v>43500.141355320899</v>
      </c>
      <c r="T48" s="170">
        <f t="shared" si="248"/>
        <v>60047.19</v>
      </c>
      <c r="U48" s="4317">
        <f t="shared" ref="U48:X48" si="249">+U36</f>
        <v>204499.92737475591</v>
      </c>
      <c r="V48" s="37">
        <f t="shared" si="249"/>
        <v>263661.28999999998</v>
      </c>
      <c r="W48" s="5993">
        <f t="shared" si="249"/>
        <v>15300.0147648532</v>
      </c>
      <c r="X48" s="170">
        <f t="shared" si="249"/>
        <v>55490</v>
      </c>
      <c r="Y48" s="4397">
        <f t="shared" si="248"/>
        <v>102300.297475495</v>
      </c>
      <c r="Z48" s="4397">
        <f t="shared" si="248"/>
        <v>166303.18999999997</v>
      </c>
      <c r="AA48" s="2690">
        <f t="shared" si="248"/>
        <v>219799.94213960908</v>
      </c>
      <c r="AB48" s="2690">
        <f t="shared" si="235"/>
        <v>319151.28999999998</v>
      </c>
      <c r="AC48" s="6121">
        <f t="shared" ref="AC48:AD48" si="250">+AC36</f>
        <v>48999.528159756301</v>
      </c>
      <c r="AD48" s="170">
        <f t="shared" si="250"/>
        <v>65807</v>
      </c>
      <c r="AE48" s="2686">
        <f t="shared" ref="AE48:AH48" si="251">+AE36</f>
        <v>268799.47029936535</v>
      </c>
      <c r="AF48" s="37">
        <f t="shared" si="251"/>
        <v>384958.28999999992</v>
      </c>
      <c r="AG48" s="6292">
        <f t="shared" si="251"/>
        <v>45499.588455674595</v>
      </c>
      <c r="AH48" s="170">
        <f t="shared" si="251"/>
        <v>61080</v>
      </c>
      <c r="AI48" s="2686">
        <f t="shared" ref="AI48:AN48" si="252">+AI36</f>
        <v>314299.05875503994</v>
      </c>
      <c r="AJ48" s="37">
        <f t="shared" si="252"/>
        <v>446038.28999999992</v>
      </c>
      <c r="AK48" s="6544">
        <f t="shared" si="252"/>
        <v>46000.054244216401</v>
      </c>
      <c r="AL48" s="170">
        <f t="shared" si="252"/>
        <v>53051</v>
      </c>
      <c r="AM48" s="2688">
        <f t="shared" si="252"/>
        <v>140499.17085964727</v>
      </c>
      <c r="AN48" s="2688">
        <f t="shared" si="252"/>
        <v>179938</v>
      </c>
      <c r="AO48" s="2686">
        <f>AI48+AK48</f>
        <v>360299.11299925635</v>
      </c>
      <c r="AP48" s="2686">
        <f t="shared" si="227"/>
        <v>499089.28999999992</v>
      </c>
      <c r="AQ48" s="6638">
        <f t="shared" ref="AQ48:AR48" si="253">+AQ36</f>
        <v>48499.664678463945</v>
      </c>
      <c r="AR48" s="170">
        <f t="shared" si="253"/>
        <v>37998</v>
      </c>
      <c r="AS48" s="2686">
        <f t="shared" ref="AS48:AV48" si="254">+AS36</f>
        <v>408798.7776777203</v>
      </c>
      <c r="AT48" s="37">
        <f t="shared" si="254"/>
        <v>537087.29</v>
      </c>
      <c r="AU48" s="6803">
        <f t="shared" si="254"/>
        <v>41500.010429203743</v>
      </c>
      <c r="AV48" s="170">
        <f t="shared" si="254"/>
        <v>18442</v>
      </c>
      <c r="AW48" s="2686">
        <f t="shared" ref="AW48:AZ48" si="255">+AW36</f>
        <v>450298.78810692404</v>
      </c>
      <c r="AX48" s="37">
        <f t="shared" si="255"/>
        <v>555529.29</v>
      </c>
      <c r="AY48" s="6948">
        <f t="shared" si="255"/>
        <v>46999.690762923987</v>
      </c>
      <c r="AZ48" s="170">
        <f t="shared" si="255"/>
        <v>42319.899000000005</v>
      </c>
      <c r="BA48" s="2771">
        <f t="shared" si="228"/>
        <v>136999.36587059166</v>
      </c>
      <c r="BB48" s="2771">
        <f t="shared" si="229"/>
        <v>98759.899000000005</v>
      </c>
      <c r="BC48" s="2772">
        <f t="shared" si="230"/>
        <v>277498.53673023893</v>
      </c>
      <c r="BD48" s="2772">
        <f t="shared" si="231"/>
        <v>278697.89899999998</v>
      </c>
      <c r="BE48" s="2770">
        <f>AW48+AY48</f>
        <v>497298.47886984801</v>
      </c>
      <c r="BF48" s="2770">
        <f t="shared" si="232"/>
        <v>597849.18900000001</v>
      </c>
      <c r="BG48" s="5548">
        <v>479999.55640071473</v>
      </c>
      <c r="BH48" s="5548">
        <v>622038.29920000001</v>
      </c>
      <c r="BI48" s="3062">
        <v>649999.91641318286</v>
      </c>
      <c r="BJ48" s="3032">
        <v>676651.51417999994</v>
      </c>
      <c r="BK48" s="1818">
        <v>711198.95600000001</v>
      </c>
      <c r="BL48" s="1818">
        <v>669999.10878236312</v>
      </c>
      <c r="BM48" s="1818">
        <v>832014.92464244016</v>
      </c>
      <c r="BN48" s="1818">
        <f>+BN36</f>
        <v>904433.82567653409</v>
      </c>
      <c r="BO48" s="1818">
        <v>937874.53289999999</v>
      </c>
      <c r="BP48" s="1818">
        <v>571999.74093264237</v>
      </c>
      <c r="BQ48" s="1019">
        <f>+BQ36</f>
        <v>877839.95550700894</v>
      </c>
      <c r="BR48" s="1137"/>
      <c r="BS48" s="4234"/>
      <c r="BT48" s="4234"/>
      <c r="BU48" s="25"/>
      <c r="BV48" s="25"/>
      <c r="BW48" s="502"/>
      <c r="BX48" s="502"/>
    </row>
    <row r="49" spans="1:76" ht="15" customHeight="1" x14ac:dyDescent="0.25">
      <c r="B49" s="1888" t="s">
        <v>1494</v>
      </c>
      <c r="C49" s="1865" t="s">
        <v>50</v>
      </c>
      <c r="D49" s="2691">
        <f t="shared" ref="D49:R49" si="256">SUM(D39:D48)</f>
        <v>2710000.3965460081</v>
      </c>
      <c r="E49" s="1253">
        <f t="shared" si="256"/>
        <v>181999.95710934181</v>
      </c>
      <c r="F49" s="1061">
        <f t="shared" si="256"/>
        <v>208718.27200000008</v>
      </c>
      <c r="G49" s="5552">
        <f t="shared" ref="G49" si="257">SUM(G39:G48)</f>
        <v>236499.57667165709</v>
      </c>
      <c r="H49" s="1061">
        <f t="shared" ref="H49" si="258">SUM(H39:H48)</f>
        <v>228302.57900000006</v>
      </c>
      <c r="I49" s="1958">
        <f t="shared" si="256"/>
        <v>418499.5337809989</v>
      </c>
      <c r="J49" s="1959">
        <f t="shared" si="256"/>
        <v>435403.39000000007</v>
      </c>
      <c r="K49" s="5696">
        <f t="shared" ref="K49:L49" si="259">SUM(K39:K48)</f>
        <v>229000.11088311521</v>
      </c>
      <c r="L49" s="1061">
        <f t="shared" si="259"/>
        <v>227893.99800000005</v>
      </c>
      <c r="M49" s="1950">
        <f t="shared" si="256"/>
        <v>647499.64466411411</v>
      </c>
      <c r="N49" s="1951">
        <f t="shared" si="256"/>
        <v>664914.84900000016</v>
      </c>
      <c r="O49" s="5821">
        <f t="shared" ref="O49:P49" si="260">SUM(O39:O48)</f>
        <v>231500.1413553209</v>
      </c>
      <c r="P49" s="1061">
        <f t="shared" si="260"/>
        <v>243213.77700000009</v>
      </c>
      <c r="Q49" s="1958">
        <f t="shared" si="256"/>
        <v>878999.78601943492</v>
      </c>
      <c r="R49" s="1959">
        <f t="shared" si="256"/>
        <v>908128.62600000016</v>
      </c>
      <c r="S49" s="5903">
        <f t="shared" ref="S49:T49" si="261">SUM(S39:S48)</f>
        <v>231500.1413553209</v>
      </c>
      <c r="T49" s="1061">
        <f t="shared" si="261"/>
        <v>219025.52800000002</v>
      </c>
      <c r="U49" s="1958">
        <f t="shared" ref="U49:X49" si="262">SUM(U39:U48)</f>
        <v>1110499.927374756</v>
      </c>
      <c r="V49" s="1959">
        <f t="shared" si="262"/>
        <v>1127154.1540000003</v>
      </c>
      <c r="W49" s="5996">
        <f t="shared" si="262"/>
        <v>121300.0147648532</v>
      </c>
      <c r="X49" s="1061">
        <f t="shared" si="262"/>
        <v>222811.90100000007</v>
      </c>
      <c r="Y49" s="4399">
        <f t="shared" ref="Y49:AD49" si="263">SUM(Y39:Y48)</f>
        <v>584300.29747549503</v>
      </c>
      <c r="Z49" s="4399">
        <f t="shared" si="263"/>
        <v>685051.20600000024</v>
      </c>
      <c r="AA49" s="513">
        <f t="shared" si="263"/>
        <v>1231799.942139609</v>
      </c>
      <c r="AB49" s="513">
        <f t="shared" si="263"/>
        <v>1349966.0550000004</v>
      </c>
      <c r="AC49" s="6127">
        <f t="shared" si="263"/>
        <v>236499.5281597563</v>
      </c>
      <c r="AD49" s="1061">
        <f t="shared" si="263"/>
        <v>176451.7220000001</v>
      </c>
      <c r="AE49" s="1958">
        <f t="shared" ref="AE49:AH49" si="264">SUM(AE39:AE48)</f>
        <v>1468299.4702993655</v>
      </c>
      <c r="AF49" s="1959">
        <f t="shared" si="264"/>
        <v>1526417.7770000002</v>
      </c>
      <c r="AG49" s="6321">
        <f t="shared" si="264"/>
        <v>228999.58845567459</v>
      </c>
      <c r="AH49" s="1061">
        <f t="shared" si="264"/>
        <v>214475.05900000007</v>
      </c>
      <c r="AI49" s="1958">
        <f t="shared" ref="AI49:AL49" si="265">SUM(AI39:AI48)</f>
        <v>1697299.0587550399</v>
      </c>
      <c r="AJ49" s="1959">
        <f t="shared" si="265"/>
        <v>1740892.8360000006</v>
      </c>
      <c r="AK49" s="6559">
        <f t="shared" si="265"/>
        <v>236500.05424421642</v>
      </c>
      <c r="AL49" s="1061">
        <f t="shared" si="265"/>
        <v>231662.29500000016</v>
      </c>
      <c r="AM49" s="354">
        <f t="shared" ref="AM49:AR49" si="266">SUM(AM39:AM48)</f>
        <v>701999.17085964722</v>
      </c>
      <c r="AN49" s="354">
        <f t="shared" si="266"/>
        <v>622589.07600000035</v>
      </c>
      <c r="AO49" s="1958">
        <f t="shared" si="266"/>
        <v>1933799.1129992562</v>
      </c>
      <c r="AP49" s="1959">
        <f t="shared" si="266"/>
        <v>1972555.1310000005</v>
      </c>
      <c r="AQ49" s="6660">
        <f t="shared" si="266"/>
        <v>239999.66467846395</v>
      </c>
      <c r="AR49" s="1061">
        <f t="shared" si="266"/>
        <v>224562.12800000014</v>
      </c>
      <c r="AS49" s="1958">
        <f t="shared" ref="AS49:AV49" si="267">SUM(AS39:AS48)</f>
        <v>2173798.7776777204</v>
      </c>
      <c r="AT49" s="1959">
        <f t="shared" si="267"/>
        <v>2197117.259000001</v>
      </c>
      <c r="AU49" s="6809">
        <f t="shared" si="267"/>
        <v>214000.01042920374</v>
      </c>
      <c r="AV49" s="1061">
        <f t="shared" si="267"/>
        <v>184200.41800000009</v>
      </c>
      <c r="AW49" s="1958">
        <f t="shared" ref="AW49:AZ49" si="268">SUM(AW39:AW48)</f>
        <v>2387798.7881069239</v>
      </c>
      <c r="AX49" s="1959">
        <f t="shared" si="268"/>
        <v>2381317.6770000011</v>
      </c>
      <c r="AY49" s="6949">
        <f t="shared" si="268"/>
        <v>239999.69076292397</v>
      </c>
      <c r="AZ49" s="1061">
        <f t="shared" si="268"/>
        <v>233332.89499999999</v>
      </c>
      <c r="BA49" s="354">
        <f t="shared" ref="BA49:BF49" si="269">SUM(BA39:BA48)</f>
        <v>693999.36587059172</v>
      </c>
      <c r="BB49" s="354">
        <f t="shared" si="269"/>
        <v>642095.44100000011</v>
      </c>
      <c r="BC49" s="513">
        <f t="shared" si="269"/>
        <v>1395998.5367302389</v>
      </c>
      <c r="BD49" s="513">
        <f t="shared" si="269"/>
        <v>1264684.5170000005</v>
      </c>
      <c r="BE49" s="1958">
        <f t="shared" si="269"/>
        <v>2627798.478869848</v>
      </c>
      <c r="BF49" s="1959">
        <f t="shared" si="269"/>
        <v>2614650.5720000006</v>
      </c>
      <c r="BG49" s="1060">
        <v>2409999.5564007149</v>
      </c>
      <c r="BH49" s="1060">
        <v>2331824.0152000007</v>
      </c>
      <c r="BI49" s="1060">
        <v>2524999.9164131829</v>
      </c>
      <c r="BJ49" s="1060">
        <v>2409644.1371800005</v>
      </c>
      <c r="BK49" s="1060">
        <v>2315207.9685</v>
      </c>
      <c r="BL49" s="1060">
        <f t="shared" ref="BL49:BQ49" si="270">SUM(BL39:BL48)</f>
        <v>2369999.1087823631</v>
      </c>
      <c r="BM49" s="1060">
        <f t="shared" si="270"/>
        <v>2160425.8190858974</v>
      </c>
      <c r="BN49" s="1060">
        <f t="shared" si="270"/>
        <v>2235274.9274697341</v>
      </c>
      <c r="BO49" s="1060">
        <f t="shared" si="270"/>
        <v>1823883.8005788068</v>
      </c>
      <c r="BP49" s="1060">
        <f t="shared" si="270"/>
        <v>2406999.7409326425</v>
      </c>
      <c r="BQ49" s="1929">
        <f t="shared" si="270"/>
        <v>2093720.1667959802</v>
      </c>
      <c r="BR49" s="1137"/>
      <c r="BS49" s="4234"/>
      <c r="BT49" s="4234"/>
      <c r="BU49" s="25"/>
      <c r="BV49" s="25"/>
      <c r="BW49" s="502"/>
      <c r="BX49" s="502"/>
    </row>
    <row r="50" spans="1:76" ht="15" customHeight="1" x14ac:dyDescent="0.25">
      <c r="B50" s="1887" t="s">
        <v>341</v>
      </c>
      <c r="C50" s="1863" t="s">
        <v>50</v>
      </c>
      <c r="D50" s="2691">
        <v>42110.938016750006</v>
      </c>
      <c r="E50" s="2687">
        <v>3555.1788667500005</v>
      </c>
      <c r="F50" s="17">
        <v>3446.42</v>
      </c>
      <c r="G50" s="5547">
        <v>3702.5625</v>
      </c>
      <c r="H50" s="17">
        <v>3578.13</v>
      </c>
      <c r="I50" s="2686">
        <f>+E50+G50</f>
        <v>7257.7413667500005</v>
      </c>
      <c r="J50" s="37">
        <f>+F50+H50</f>
        <v>7024.55</v>
      </c>
      <c r="K50" s="5672">
        <v>3531.5250000000001</v>
      </c>
      <c r="L50" s="17">
        <v>3463.0699999999997</v>
      </c>
      <c r="M50" s="2689">
        <f>+E50+G50+K50</f>
        <v>10789.26636675</v>
      </c>
      <c r="N50" s="67">
        <f>+F50+H50+L50</f>
        <v>10487.619999999999</v>
      </c>
      <c r="O50" s="5820">
        <v>3649.2424999999998</v>
      </c>
      <c r="P50" s="17">
        <v>3586.12</v>
      </c>
      <c r="Q50" s="4270">
        <f>+M50+O50</f>
        <v>14438.50886675</v>
      </c>
      <c r="R50" s="37">
        <f>+N50+P50</f>
        <v>14073.739999999998</v>
      </c>
      <c r="S50" s="5888">
        <v>3649.2424999999998</v>
      </c>
      <c r="T50" s="17">
        <v>3608.6899999999996</v>
      </c>
      <c r="U50" s="4317">
        <f>+Q50+S50</f>
        <v>18087.751366749999</v>
      </c>
      <c r="V50" s="37">
        <f>+R50+T50</f>
        <v>17682.429999999997</v>
      </c>
      <c r="W50" s="5993">
        <v>3400.5337499999996</v>
      </c>
      <c r="X50" s="17">
        <v>3497.87</v>
      </c>
      <c r="Y50" s="4397">
        <f>+O50+S50+W50</f>
        <v>10699.018749999999</v>
      </c>
      <c r="Z50" s="4397">
        <f>+P50+T50+X50</f>
        <v>10692.68</v>
      </c>
      <c r="AA50" s="2690">
        <f>+M50+Y50</f>
        <v>21488.285116749998</v>
      </c>
      <c r="AB50" s="2690">
        <f>+N50+Z50</f>
        <v>21180.3</v>
      </c>
      <c r="AC50" s="6121">
        <v>3649.2424999999998</v>
      </c>
      <c r="AD50" s="17">
        <v>3405.82</v>
      </c>
      <c r="AE50" s="2686">
        <f>+AA50+AC50</f>
        <v>25137.527616749998</v>
      </c>
      <c r="AF50" s="37">
        <f>+AB50+AD50</f>
        <v>24586.12</v>
      </c>
      <c r="AG50" s="6292">
        <v>3531.5250000000001</v>
      </c>
      <c r="AH50" s="17">
        <v>3215</v>
      </c>
      <c r="AI50" s="2686">
        <f>+AE50+AG50</f>
        <v>28669.052616749999</v>
      </c>
      <c r="AJ50" s="37">
        <f>+AF50+AH50</f>
        <v>27801.119999999999</v>
      </c>
      <c r="AK50" s="6544">
        <v>3649.2424999999998</v>
      </c>
      <c r="AL50" s="17">
        <v>3251.75</v>
      </c>
      <c r="AM50" s="2688">
        <f>+AC50+AG50+AK50</f>
        <v>10830.01</v>
      </c>
      <c r="AN50" s="2688">
        <f>+AD50+AH50+AL50</f>
        <v>9872.57</v>
      </c>
      <c r="AO50" s="2686">
        <f>AI50+AK50</f>
        <v>32318.29511675</v>
      </c>
      <c r="AP50" s="2686">
        <f t="shared" si="227"/>
        <v>31052.87</v>
      </c>
      <c r="AQ50" s="6638">
        <v>3649.2424999999998</v>
      </c>
      <c r="AR50" s="17">
        <v>3434.6800000000003</v>
      </c>
      <c r="AS50" s="2686">
        <f>+AO50+AQ50</f>
        <v>35967.53761675</v>
      </c>
      <c r="AT50" s="37">
        <f>+AP50+AR50</f>
        <v>34487.550000000003</v>
      </c>
      <c r="AU50" s="6803">
        <v>3296.09</v>
      </c>
      <c r="AV50" s="17">
        <v>3170.67</v>
      </c>
      <c r="AW50" s="2686">
        <f>+AS50+AU50</f>
        <v>39263.627616750004</v>
      </c>
      <c r="AX50" s="37">
        <f>+AT50+AV50</f>
        <v>37658.22</v>
      </c>
      <c r="AY50" s="6948">
        <v>3649.2424999999998</v>
      </c>
      <c r="AZ50" s="17">
        <v>3562.08</v>
      </c>
      <c r="BA50" s="2771">
        <f t="shared" ref="BA50:BA51" si="271">+AQ50+AU50+AY50</f>
        <v>10594.575000000001</v>
      </c>
      <c r="BB50" s="2771">
        <f t="shared" ref="BB50:BB51" si="272">+AR50+AV50+AZ50</f>
        <v>10167.43</v>
      </c>
      <c r="BC50" s="2772">
        <f t="shared" ref="BC50:BC51" si="273">AM50+BA50</f>
        <v>21424.584999999999</v>
      </c>
      <c r="BD50" s="2772">
        <f t="shared" ref="BD50:BD51" si="274">AN50+BB50</f>
        <v>20040</v>
      </c>
      <c r="BE50" s="2770">
        <f>AW50+AY50</f>
        <v>42912.870116750004</v>
      </c>
      <c r="BF50" s="2770">
        <f t="shared" ref="BF50:BF51" si="275">AX50+AZ50</f>
        <v>41220.300000000003</v>
      </c>
      <c r="BG50" s="5548">
        <v>46866.669119999991</v>
      </c>
      <c r="BH50" s="5548">
        <v>43164.837499999994</v>
      </c>
      <c r="BI50" s="3062">
        <v>50890.945799999994</v>
      </c>
      <c r="BJ50" s="3032">
        <v>44869.641499999998</v>
      </c>
      <c r="BK50" s="1818">
        <v>48878.170000000006</v>
      </c>
      <c r="BL50" s="1818">
        <v>51086.382800000007</v>
      </c>
      <c r="BM50" s="1818">
        <v>49592.549999999996</v>
      </c>
      <c r="BN50" s="1818">
        <v>48584.311000000002</v>
      </c>
      <c r="BO50" s="1818">
        <v>46678.95</v>
      </c>
      <c r="BP50" s="1818">
        <v>46118.873100000012</v>
      </c>
      <c r="BQ50" s="1019">
        <v>49237.57</v>
      </c>
      <c r="BR50" s="1137"/>
      <c r="BS50" s="4234"/>
      <c r="BT50" s="4234"/>
      <c r="BU50" s="25"/>
      <c r="BV50" s="25"/>
      <c r="BW50" s="502"/>
      <c r="BX50" s="502"/>
    </row>
    <row r="51" spans="1:76" ht="15" customHeight="1" x14ac:dyDescent="0.25">
      <c r="B51" s="1887" t="s">
        <v>342</v>
      </c>
      <c r="C51" s="1863" t="s">
        <v>50</v>
      </c>
      <c r="D51" s="2691">
        <v>10785.096894299999</v>
      </c>
      <c r="E51" s="2687">
        <v>917.00899430000004</v>
      </c>
      <c r="F51" s="17">
        <v>553</v>
      </c>
      <c r="G51" s="5547">
        <v>865.41741999999999</v>
      </c>
      <c r="H51" s="17">
        <v>488.5</v>
      </c>
      <c r="I51" s="2686">
        <f>+E51+G51</f>
        <v>1782.4264143</v>
      </c>
      <c r="J51" s="37">
        <f>+F51+H51</f>
        <v>1041.5</v>
      </c>
      <c r="K51" s="5672">
        <v>816.31144000000006</v>
      </c>
      <c r="L51" s="17">
        <v>494.65</v>
      </c>
      <c r="M51" s="2689">
        <f>+E51+G51+K51</f>
        <v>2598.7378543</v>
      </c>
      <c r="N51" s="67">
        <f>+F51+H51+L51</f>
        <v>1536.15</v>
      </c>
      <c r="O51" s="5820">
        <v>845.46541999999999</v>
      </c>
      <c r="P51" s="17">
        <v>717.5</v>
      </c>
      <c r="Q51" s="4270">
        <f>+M51+O51</f>
        <v>3444.2032743</v>
      </c>
      <c r="R51" s="37">
        <f>+N51+P51</f>
        <v>2253.65</v>
      </c>
      <c r="S51" s="5888">
        <v>845.46541999999999</v>
      </c>
      <c r="T51" s="17">
        <v>586.54999999999995</v>
      </c>
      <c r="U51" s="4317">
        <f>+Q51+S51</f>
        <v>4289.6686943000004</v>
      </c>
      <c r="V51" s="37">
        <f>+R51+T51</f>
        <v>2840.2</v>
      </c>
      <c r="W51" s="5993">
        <v>790.46478000000002</v>
      </c>
      <c r="X51" s="17">
        <v>519.6</v>
      </c>
      <c r="Y51" s="4397">
        <f>+O51+S51+W51</f>
        <v>2481.3956200000002</v>
      </c>
      <c r="Z51" s="4397">
        <f>+P51+T51+X51</f>
        <v>1823.65</v>
      </c>
      <c r="AA51" s="2690">
        <f>+M51+Y51</f>
        <v>5080.1334743000007</v>
      </c>
      <c r="AB51" s="2690">
        <f>+N51+Z51</f>
        <v>3359.8</v>
      </c>
      <c r="AC51" s="6121">
        <v>376.59342000000004</v>
      </c>
      <c r="AD51" s="17">
        <v>502.5</v>
      </c>
      <c r="AE51" s="2686">
        <f>+AA51+AC51</f>
        <v>5456.7268943000008</v>
      </c>
      <c r="AF51" s="37">
        <f>+AB51+AD51</f>
        <v>3862.3</v>
      </c>
      <c r="AG51" s="6292">
        <v>452.70400000000001</v>
      </c>
      <c r="AH51" s="17">
        <v>384</v>
      </c>
      <c r="AI51" s="2686">
        <f>+AE51+AG51</f>
        <v>5909.4308943000005</v>
      </c>
      <c r="AJ51" s="37">
        <f>+AF51+AH51</f>
        <v>4246.3</v>
      </c>
      <c r="AK51" s="6544">
        <v>845.46541999999999</v>
      </c>
      <c r="AL51" s="17">
        <v>573.79999999999995</v>
      </c>
      <c r="AM51" s="2688">
        <f>+AC51+AG51+AK51</f>
        <v>1674.7628400000001</v>
      </c>
      <c r="AN51" s="2688">
        <f>+AD51+AH51+AL51</f>
        <v>1460.3</v>
      </c>
      <c r="AO51" s="2686">
        <f>AI51+AK51</f>
        <v>6754.8963143000001</v>
      </c>
      <c r="AP51" s="2686">
        <f t="shared" si="227"/>
        <v>4820.1000000000004</v>
      </c>
      <c r="AQ51" s="6638">
        <v>845.46541999999999</v>
      </c>
      <c r="AR51" s="17">
        <v>682.35</v>
      </c>
      <c r="AS51" s="2686">
        <f>+AO51+AQ51</f>
        <v>7600.3617343000005</v>
      </c>
      <c r="AT51" s="37">
        <f>+AP51+AR51</f>
        <v>5502.4500000000007</v>
      </c>
      <c r="AU51" s="6803">
        <v>758.00348000000008</v>
      </c>
      <c r="AV51" s="17">
        <v>478.4</v>
      </c>
      <c r="AW51" s="2686">
        <f>+AS51+AU51</f>
        <v>8358.3652142999999</v>
      </c>
      <c r="AX51" s="37">
        <f>+AT51+AV51</f>
        <v>5980.85</v>
      </c>
      <c r="AY51" s="6948">
        <v>845.46541999999999</v>
      </c>
      <c r="AZ51" s="17">
        <v>412.2</v>
      </c>
      <c r="BA51" s="2771">
        <f t="shared" si="271"/>
        <v>2448.9343200000003</v>
      </c>
      <c r="BB51" s="2771">
        <f t="shared" si="272"/>
        <v>1572.95</v>
      </c>
      <c r="BC51" s="2772">
        <f t="shared" si="273"/>
        <v>4123.6971600000006</v>
      </c>
      <c r="BD51" s="2772">
        <f t="shared" si="274"/>
        <v>3033.25</v>
      </c>
      <c r="BE51" s="2770">
        <f>AW51+AY51</f>
        <v>9203.8306343000004</v>
      </c>
      <c r="BF51" s="2770">
        <f t="shared" si="275"/>
        <v>6393.05</v>
      </c>
      <c r="BG51" s="5548">
        <v>9348.2025633333342</v>
      </c>
      <c r="BH51" s="5548">
        <v>4897.75</v>
      </c>
      <c r="BI51" s="1818">
        <v>8145.2</v>
      </c>
      <c r="BJ51" s="1818">
        <v>16578.809000000001</v>
      </c>
      <c r="BK51" s="1818">
        <v>8876.9</v>
      </c>
      <c r="BL51" s="1818">
        <v>21728.852072500002</v>
      </c>
      <c r="BM51" s="1818">
        <v>10510.61</v>
      </c>
      <c r="BN51" s="1818">
        <v>15654.414839999999</v>
      </c>
      <c r="BO51" s="1019">
        <v>12312.800000000001</v>
      </c>
      <c r="BP51" s="2985"/>
      <c r="BQ51" s="2985"/>
      <c r="BR51" s="1137"/>
      <c r="BS51" s="4234"/>
      <c r="BT51" s="4234"/>
      <c r="BU51" s="25"/>
      <c r="BV51" s="25"/>
      <c r="BW51" s="502"/>
      <c r="BX51" s="502"/>
    </row>
    <row r="52" spans="1:76" ht="15" customHeight="1" x14ac:dyDescent="0.25">
      <c r="A52" s="139"/>
      <c r="B52" s="1931"/>
      <c r="C52" s="1925"/>
      <c r="D52" s="2697"/>
      <c r="E52" s="2697"/>
      <c r="F52" s="2697"/>
      <c r="G52" s="2697"/>
      <c r="H52" s="2697"/>
      <c r="I52" s="2697"/>
      <c r="J52" s="2697"/>
      <c r="K52" s="2697"/>
      <c r="L52" s="2697"/>
      <c r="M52" s="2697"/>
      <c r="N52" s="2697"/>
      <c r="O52" s="2697"/>
      <c r="P52" s="2697"/>
      <c r="Q52" s="2697"/>
      <c r="R52" s="2697"/>
      <c r="S52" s="2697"/>
      <c r="T52" s="2697"/>
      <c r="U52" s="2697"/>
      <c r="V52" s="2697"/>
      <c r="W52" s="2697"/>
      <c r="X52" s="2697"/>
      <c r="Y52" s="2697"/>
      <c r="Z52" s="2697"/>
      <c r="AA52" s="2697"/>
      <c r="AB52" s="2697"/>
      <c r="AC52" s="2697"/>
      <c r="AD52" s="2697"/>
      <c r="AE52" s="2697"/>
      <c r="AF52" s="2697"/>
      <c r="AG52" s="2697"/>
      <c r="AH52" s="2697"/>
      <c r="AI52" s="2697"/>
      <c r="AJ52" s="2697"/>
      <c r="AK52" s="2697"/>
      <c r="AL52" s="2697"/>
      <c r="AM52" s="2697"/>
      <c r="AN52" s="2697"/>
      <c r="AO52" s="2697"/>
      <c r="AP52" s="2697"/>
      <c r="AQ52" s="2697"/>
      <c r="AR52" s="2697"/>
      <c r="AS52" s="2697"/>
      <c r="AT52" s="2697"/>
      <c r="AU52" s="2697"/>
      <c r="AV52" s="2697"/>
      <c r="AW52" s="2697"/>
      <c r="AX52" s="2697"/>
      <c r="AY52" s="2697"/>
      <c r="AZ52" s="2697"/>
      <c r="BA52" s="2697"/>
      <c r="BB52" s="2697"/>
      <c r="BC52" s="2697"/>
      <c r="BD52" s="2697"/>
      <c r="BE52" s="2697"/>
      <c r="BF52" s="2697"/>
      <c r="BG52" s="1925"/>
      <c r="BH52" s="1925"/>
      <c r="BI52" s="1925"/>
      <c r="BJ52" s="1925"/>
      <c r="BK52" s="1925"/>
      <c r="BL52" s="1925"/>
      <c r="BM52" s="1925"/>
      <c r="BN52" s="1925"/>
      <c r="BO52" s="1926"/>
      <c r="BP52" s="2985"/>
      <c r="BQ52" s="2985"/>
      <c r="BR52" s="1137"/>
      <c r="BS52" s="4234"/>
      <c r="BT52" s="4234"/>
      <c r="BU52" s="25"/>
      <c r="BV52" s="25"/>
      <c r="BW52" s="502"/>
      <c r="BX52" s="502"/>
    </row>
    <row r="53" spans="1:76" ht="15.75" thickBot="1" x14ac:dyDescent="0.3">
      <c r="B53" s="1886" t="s">
        <v>676</v>
      </c>
      <c r="C53" s="1866" t="s">
        <v>677</v>
      </c>
      <c r="D53" s="1869">
        <v>18060.98797624221</v>
      </c>
      <c r="E53" s="677">
        <v>1241.609928050606</v>
      </c>
      <c r="F53" s="36">
        <v>1418</v>
      </c>
      <c r="G53" s="677">
        <v>1631.0985206169341</v>
      </c>
      <c r="H53" s="36">
        <v>1516</v>
      </c>
      <c r="I53" s="678">
        <f>+E53+G53</f>
        <v>2872.7084486675403</v>
      </c>
      <c r="J53" s="42">
        <f>+F53+H53</f>
        <v>2934</v>
      </c>
      <c r="K53" s="677">
        <v>1580.7365439093485</v>
      </c>
      <c r="L53" s="36">
        <v>1556</v>
      </c>
      <c r="M53" s="1439">
        <f>+E53+G53+K53</f>
        <v>4453.4449925768886</v>
      </c>
      <c r="N53" s="72">
        <f>+F53+H53+L53</f>
        <v>4490</v>
      </c>
      <c r="O53" s="677">
        <v>1599.6222851746932</v>
      </c>
      <c r="P53" s="36">
        <v>1610</v>
      </c>
      <c r="Q53" s="678">
        <f>+M53+O53</f>
        <v>6053.067277751582</v>
      </c>
      <c r="R53" s="42">
        <f>+N53+P53</f>
        <v>6100</v>
      </c>
      <c r="S53" s="677">
        <v>1599.6222851746932</v>
      </c>
      <c r="T53" s="36">
        <v>1515</v>
      </c>
      <c r="U53" s="678">
        <f>+Q53+S53</f>
        <v>7652.6895629262754</v>
      </c>
      <c r="V53" s="42">
        <f>+R53+T53</f>
        <v>7615</v>
      </c>
      <c r="W53" s="677">
        <v>839.47119924457036</v>
      </c>
      <c r="X53" s="36">
        <v>1448</v>
      </c>
      <c r="Y53" s="462">
        <f>+O53+S53+W53</f>
        <v>4038.7157695939568</v>
      </c>
      <c r="Z53" s="462">
        <f>+P53+T53+X53</f>
        <v>4573</v>
      </c>
      <c r="AA53" s="1063">
        <f>+M53+Y53</f>
        <v>8492.1607621708463</v>
      </c>
      <c r="AB53" s="1063">
        <f>+N53+Z53</f>
        <v>9063</v>
      </c>
      <c r="AC53" s="677">
        <v>1631.0985333333333</v>
      </c>
      <c r="AD53" s="36">
        <v>1145</v>
      </c>
      <c r="AE53" s="678">
        <f>+AA53+AC53</f>
        <v>10123.25929550418</v>
      </c>
      <c r="AF53" s="42">
        <f>+AB53+AD53</f>
        <v>10208</v>
      </c>
      <c r="AG53" s="677">
        <v>1580.7365439093485</v>
      </c>
      <c r="AH53" s="36">
        <v>1457</v>
      </c>
      <c r="AI53" s="678">
        <f>+AE53+AG53</f>
        <v>11703.995839413528</v>
      </c>
      <c r="AJ53" s="42">
        <f>+AF53+AH53</f>
        <v>11665</v>
      </c>
      <c r="AK53" s="677">
        <v>1631.0985206169341</v>
      </c>
      <c r="AL53" s="36">
        <v>1504</v>
      </c>
      <c r="AM53" s="462">
        <f>+AC53+AG53+AK53</f>
        <v>4842.9335978596164</v>
      </c>
      <c r="AN53" s="462">
        <f>+AD53+AH53+AL53</f>
        <v>4106</v>
      </c>
      <c r="AO53" s="2686">
        <f>AI53+AK53</f>
        <v>13335.094360030462</v>
      </c>
      <c r="AP53" s="2686">
        <f t="shared" si="227"/>
        <v>13169</v>
      </c>
      <c r="AQ53" s="677">
        <v>1656.2795089707272</v>
      </c>
      <c r="AR53" s="36">
        <v>1461</v>
      </c>
      <c r="AS53" s="678">
        <f>+AO53+AQ53</f>
        <v>14991.373869001189</v>
      </c>
      <c r="AT53" s="42">
        <f>+AP53+AR53</f>
        <v>14630</v>
      </c>
      <c r="AU53" s="677">
        <v>1480.0125904941769</v>
      </c>
      <c r="AV53" s="36">
        <v>1185</v>
      </c>
      <c r="AW53" s="678">
        <f>+AS53+AU53</f>
        <v>16471.386459495367</v>
      </c>
      <c r="AX53" s="42">
        <f>+AT53+AV53</f>
        <v>15815</v>
      </c>
      <c r="AY53" s="677">
        <v>1656.2795089707272</v>
      </c>
      <c r="AZ53" s="36">
        <v>1526</v>
      </c>
      <c r="BA53" s="462">
        <f>+AQ53+AU53+AY53</f>
        <v>4792.5716084356309</v>
      </c>
      <c r="BB53" s="462">
        <f>+AR53+AV53+AZ53</f>
        <v>4172</v>
      </c>
      <c r="BC53" s="2772">
        <f>AM53+BA53</f>
        <v>9635.5052062952473</v>
      </c>
      <c r="BD53" s="2772">
        <f t="shared" ref="BD53" si="276">AN53+BB53</f>
        <v>8278</v>
      </c>
      <c r="BE53" s="2770">
        <f>AW53+AY53</f>
        <v>18127.665968466095</v>
      </c>
      <c r="BF53" s="2770">
        <f t="shared" ref="BF53" si="277">AX53+AZ53</f>
        <v>17341</v>
      </c>
      <c r="BG53" s="1064">
        <v>16596.855319496852</v>
      </c>
      <c r="BH53" s="1064">
        <v>15925</v>
      </c>
      <c r="BI53" s="1064">
        <v>16116</v>
      </c>
      <c r="BJ53" s="1064">
        <v>16344.714992175272</v>
      </c>
      <c r="BK53" s="1064">
        <v>14624</v>
      </c>
      <c r="BL53" s="1064">
        <v>15300.816666666668</v>
      </c>
      <c r="BM53" s="1064">
        <v>12158</v>
      </c>
      <c r="BN53" s="1064">
        <v>16891.891891891893</v>
      </c>
      <c r="BO53" s="1021">
        <v>14151</v>
      </c>
      <c r="BP53" s="2985"/>
      <c r="BQ53" s="2985"/>
      <c r="BR53" s="1137"/>
      <c r="BS53" s="4234"/>
      <c r="BT53" s="4234"/>
      <c r="BU53" s="25"/>
      <c r="BV53" s="25"/>
      <c r="BW53" s="502"/>
      <c r="BX53" s="502"/>
    </row>
    <row r="54" spans="1:76" x14ac:dyDescent="0.25">
      <c r="E54" s="84"/>
      <c r="F54" s="90"/>
      <c r="G54" s="84"/>
      <c r="H54" s="90"/>
      <c r="I54" s="84"/>
      <c r="J54" s="90"/>
      <c r="K54" s="84"/>
      <c r="L54" s="90"/>
      <c r="M54" s="84"/>
      <c r="N54" s="90"/>
      <c r="O54" s="84"/>
      <c r="P54" s="90"/>
      <c r="Q54" s="84"/>
      <c r="R54" s="90"/>
      <c r="S54" s="84"/>
      <c r="T54" s="90"/>
      <c r="U54" s="84"/>
      <c r="V54" s="90"/>
      <c r="W54" s="84"/>
      <c r="X54" s="90"/>
      <c r="Z54" s="90"/>
      <c r="AC54" s="84"/>
      <c r="AD54" s="90"/>
      <c r="AE54" s="84"/>
      <c r="AF54" s="90"/>
      <c r="AG54" s="84"/>
      <c r="AH54" s="90"/>
      <c r="AI54" s="84"/>
      <c r="AJ54" s="90"/>
      <c r="AK54" s="84"/>
      <c r="AL54" s="90"/>
      <c r="AN54" s="90"/>
      <c r="AO54" s="84"/>
      <c r="AP54" s="90"/>
      <c r="AQ54" s="84"/>
      <c r="AR54" s="90"/>
      <c r="AS54" s="84"/>
      <c r="AT54" s="90"/>
      <c r="AU54" s="84"/>
      <c r="AV54" s="90"/>
      <c r="AW54" s="84"/>
      <c r="AX54" s="90"/>
      <c r="AY54" s="84"/>
      <c r="AZ54" s="90"/>
      <c r="BB54" s="90"/>
      <c r="BE54" s="84"/>
      <c r="BF54" s="90"/>
      <c r="BG54" s="3066"/>
      <c r="BP54" s="4569"/>
      <c r="BQ54" s="4569"/>
      <c r="BR54" s="2985"/>
      <c r="BS54" s="4234"/>
      <c r="BT54" s="4234"/>
    </row>
    <row r="55" spans="1:76" ht="15" customHeight="1" x14ac:dyDescent="0.25">
      <c r="E55" s="1260">
        <f t="shared" ref="E55:R55" si="278">+E37-E49</f>
        <v>0</v>
      </c>
      <c r="F55" s="1260">
        <f t="shared" si="278"/>
        <v>0</v>
      </c>
      <c r="G55" s="1260">
        <f t="shared" si="278"/>
        <v>0</v>
      </c>
      <c r="H55" s="1260">
        <f t="shared" si="278"/>
        <v>0</v>
      </c>
      <c r="I55" s="1260">
        <f t="shared" si="278"/>
        <v>0</v>
      </c>
      <c r="J55" s="1260">
        <f t="shared" si="278"/>
        <v>1617.4610000000685</v>
      </c>
      <c r="K55" s="1260">
        <f t="shared" ref="K55:L55" si="279">+K37-K49</f>
        <v>0</v>
      </c>
      <c r="L55" s="1260">
        <f t="shared" si="279"/>
        <v>0</v>
      </c>
      <c r="M55" s="1260">
        <f t="shared" si="278"/>
        <v>0</v>
      </c>
      <c r="N55" s="1260">
        <f t="shared" si="278"/>
        <v>0</v>
      </c>
      <c r="O55" s="1260">
        <f t="shared" si="278"/>
        <v>0</v>
      </c>
      <c r="P55" s="1260">
        <f t="shared" si="278"/>
        <v>0</v>
      </c>
      <c r="Q55" s="1260">
        <f t="shared" si="278"/>
        <v>0</v>
      </c>
      <c r="R55" s="1260">
        <f t="shared" si="278"/>
        <v>0</v>
      </c>
      <c r="S55" s="1260">
        <f t="shared" ref="S55:T55" si="280">+S37-S49</f>
        <v>0</v>
      </c>
      <c r="T55" s="1260">
        <f t="shared" si="280"/>
        <v>0</v>
      </c>
      <c r="U55" s="1260">
        <f t="shared" ref="U55:X55" si="281">+U37-U49</f>
        <v>0</v>
      </c>
      <c r="V55" s="1260">
        <f t="shared" si="281"/>
        <v>0</v>
      </c>
      <c r="W55" s="1260">
        <f t="shared" si="281"/>
        <v>0</v>
      </c>
      <c r="X55" s="1260">
        <f t="shared" si="281"/>
        <v>0</v>
      </c>
      <c r="Y55" s="1260">
        <f t="shared" ref="Y55:AD55" si="282">+Y37-Y49</f>
        <v>0</v>
      </c>
      <c r="Z55" s="1260">
        <f t="shared" si="282"/>
        <v>0</v>
      </c>
      <c r="AA55" s="1260">
        <f t="shared" si="282"/>
        <v>0</v>
      </c>
      <c r="AB55" s="1260">
        <f t="shared" si="282"/>
        <v>0</v>
      </c>
      <c r="AC55" s="1260">
        <f t="shared" si="282"/>
        <v>0</v>
      </c>
      <c r="AD55" s="1260">
        <f t="shared" si="282"/>
        <v>0</v>
      </c>
      <c r="AE55" s="1260">
        <f t="shared" ref="AE55:AH55" si="283">+AE37-AE49</f>
        <v>0</v>
      </c>
      <c r="AF55" s="1260">
        <f t="shared" si="283"/>
        <v>0</v>
      </c>
      <c r="AG55" s="1260">
        <f t="shared" si="283"/>
        <v>0</v>
      </c>
      <c r="AH55" s="1260">
        <f t="shared" si="283"/>
        <v>0</v>
      </c>
      <c r="AI55" s="1260">
        <f t="shared" ref="AI55:AN55" si="284">+AI37-AI49</f>
        <v>0</v>
      </c>
      <c r="AJ55" s="1260">
        <f t="shared" si="284"/>
        <v>0</v>
      </c>
      <c r="AK55" s="1260">
        <f t="shared" si="284"/>
        <v>0</v>
      </c>
      <c r="AL55" s="1260">
        <f t="shared" si="284"/>
        <v>0</v>
      </c>
      <c r="AM55" s="1260">
        <f t="shared" si="284"/>
        <v>0</v>
      </c>
      <c r="AN55" s="1260">
        <f t="shared" si="284"/>
        <v>0</v>
      </c>
      <c r="AO55" s="1260">
        <f t="shared" ref="AO55:AT55" si="285">+AO37-AO49</f>
        <v>0</v>
      </c>
      <c r="AP55" s="1260">
        <f t="shared" si="285"/>
        <v>0</v>
      </c>
      <c r="AQ55" s="1260">
        <f t="shared" si="285"/>
        <v>0</v>
      </c>
      <c r="AR55" s="1260">
        <f t="shared" si="285"/>
        <v>0</v>
      </c>
      <c r="AS55" s="1260">
        <f t="shared" si="285"/>
        <v>0</v>
      </c>
      <c r="AT55" s="1260">
        <f t="shared" si="285"/>
        <v>0</v>
      </c>
      <c r="AU55" s="1260">
        <f t="shared" ref="AU55:AV55" si="286">+AU37-AU49</f>
        <v>0</v>
      </c>
      <c r="AV55" s="1260">
        <f t="shared" si="286"/>
        <v>0</v>
      </c>
      <c r="AW55" s="1260">
        <f t="shared" ref="AW55:BF55" si="287">+AW37-AW49</f>
        <v>0</v>
      </c>
      <c r="AX55" s="1260">
        <f t="shared" si="287"/>
        <v>0</v>
      </c>
      <c r="AY55" s="1260">
        <f t="shared" si="287"/>
        <v>0</v>
      </c>
      <c r="AZ55" s="1260">
        <f t="shared" si="287"/>
        <v>0</v>
      </c>
      <c r="BA55" s="1260">
        <f t="shared" si="287"/>
        <v>0</v>
      </c>
      <c r="BB55" s="1260">
        <f t="shared" si="287"/>
        <v>0</v>
      </c>
      <c r="BC55" s="1260">
        <f t="shared" si="287"/>
        <v>0</v>
      </c>
      <c r="BD55" s="1260">
        <f t="shared" si="287"/>
        <v>0</v>
      </c>
      <c r="BE55" s="1260">
        <f t="shared" si="287"/>
        <v>0</v>
      </c>
      <c r="BF55" s="1260">
        <f t="shared" si="287"/>
        <v>0</v>
      </c>
      <c r="BG55" s="1260">
        <v>0</v>
      </c>
      <c r="BH55" s="1260">
        <v>0</v>
      </c>
      <c r="BI55" s="1260">
        <v>-1.2959999963641167E-2</v>
      </c>
      <c r="BJ55" s="1260">
        <f t="shared" ref="BJ55:BO55" si="288">+BL37-BL49</f>
        <v>0</v>
      </c>
      <c r="BK55" s="1260">
        <f t="shared" si="288"/>
        <v>-3.9024325087666512E-4</v>
      </c>
      <c r="BL55" s="1260">
        <f t="shared" si="288"/>
        <v>0</v>
      </c>
      <c r="BM55" s="1260">
        <f t="shared" si="288"/>
        <v>0.55446018418297172</v>
      </c>
      <c r="BN55" s="1260">
        <f t="shared" si="288"/>
        <v>0</v>
      </c>
      <c r="BO55" s="1260">
        <f t="shared" si="288"/>
        <v>0</v>
      </c>
      <c r="BP55" s="4569"/>
      <c r="BQ55" s="4569"/>
      <c r="BR55" s="2985"/>
      <c r="BS55" s="4234"/>
      <c r="BT55" s="4234"/>
    </row>
    <row r="56" spans="1:76" x14ac:dyDescent="0.25">
      <c r="E56" s="25"/>
      <c r="F56" s="25"/>
      <c r="H56" s="2406"/>
      <c r="I56" s="2406"/>
      <c r="J56" s="2406"/>
      <c r="K56" s="2406"/>
      <c r="L56" s="2406"/>
      <c r="M56" s="2406"/>
      <c r="S56" s="25"/>
      <c r="T56" s="25"/>
      <c r="AC56" s="4487"/>
      <c r="AD56" s="4487"/>
      <c r="AJ56" s="4487"/>
      <c r="AL56" s="25"/>
      <c r="AV56" s="4487"/>
    </row>
    <row r="57" spans="1:76" x14ac:dyDescent="0.25">
      <c r="H57" s="4487"/>
      <c r="L57" s="4487"/>
      <c r="N57" s="4487"/>
      <c r="P57" s="4487"/>
      <c r="T57" s="4487"/>
      <c r="X57" s="4487"/>
      <c r="Z57" s="4487"/>
      <c r="AB57" s="4487"/>
      <c r="AC57" s="4487"/>
      <c r="AD57" s="4487"/>
      <c r="AG57" s="25"/>
      <c r="AH57" s="4487"/>
      <c r="AJ57" s="4487"/>
      <c r="AL57" s="4487"/>
      <c r="AN57" s="4487"/>
      <c r="AP57" s="4487"/>
      <c r="AR57" s="4487"/>
      <c r="AT57" s="4487"/>
      <c r="AV57" s="25"/>
    </row>
    <row r="58" spans="1:76" x14ac:dyDescent="0.25">
      <c r="AC58" s="4487"/>
      <c r="AD58" s="4487"/>
      <c r="AH58" s="2586"/>
      <c r="AL58" s="25"/>
      <c r="AM58" s="25"/>
      <c r="AN58" s="25"/>
      <c r="AO58" s="6587"/>
      <c r="AP58" s="25"/>
    </row>
    <row r="59" spans="1:76" x14ac:dyDescent="0.25">
      <c r="AC59" s="4487"/>
      <c r="AD59" s="4487"/>
      <c r="AH59" s="2586"/>
      <c r="AO59" s="2586"/>
    </row>
    <row r="60" spans="1:76" x14ac:dyDescent="0.25">
      <c r="H60">
        <v>230</v>
      </c>
      <c r="AH60" s="2586"/>
      <c r="AO60" s="2586"/>
      <c r="AZ60" s="25"/>
    </row>
    <row r="61" spans="1:76" x14ac:dyDescent="0.25">
      <c r="X61" s="25"/>
      <c r="AH61" s="2586"/>
      <c r="AZ61" s="25"/>
    </row>
    <row r="62" spans="1:76" x14ac:dyDescent="0.25">
      <c r="X62" s="25"/>
      <c r="AZ62" s="25"/>
    </row>
    <row r="63" spans="1:76" x14ac:dyDescent="0.25">
      <c r="F63" s="3043"/>
      <c r="X63" s="25"/>
      <c r="AZ63" s="4487"/>
    </row>
    <row r="64" spans="1:76" x14ac:dyDescent="0.25">
      <c r="F64" s="3043"/>
      <c r="AN64" s="2585"/>
      <c r="AO64" s="174"/>
      <c r="AZ64" s="25"/>
    </row>
    <row r="65" spans="6:41" x14ac:dyDescent="0.25">
      <c r="F65" s="3043"/>
      <c r="AN65" s="2585"/>
      <c r="AO65" s="174"/>
    </row>
    <row r="66" spans="6:41" x14ac:dyDescent="0.25">
      <c r="AN66" s="2585"/>
      <c r="AO66" s="2587"/>
    </row>
    <row r="67" spans="6:41" x14ac:dyDescent="0.25">
      <c r="AN67" s="2585"/>
      <c r="AO67" s="2587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E1" activePane="topRight" state="frozen"/>
      <selection pane="topRight" activeCell="F27" sqref="F27"/>
    </sheetView>
  </sheetViews>
  <sheetFormatPr defaultColWidth="9.140625" defaultRowHeight="15" x14ac:dyDescent="0.25"/>
  <cols>
    <col min="1" max="1" width="3.42578125" style="4" customWidth="1"/>
    <col min="2" max="2" width="57.8554687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10.28515625" style="4" customWidth="1"/>
    <col min="7" max="7" width="12.5703125" style="4" hidden="1" customWidth="1"/>
    <col min="8" max="8" width="8.42578125" style="4" hidden="1" customWidth="1"/>
    <col min="9" max="9" width="10.42578125" style="4" hidden="1" customWidth="1"/>
    <col min="10" max="10" width="9.85546875" style="4" hidden="1" customWidth="1"/>
    <col min="11" max="11" width="7.85546875" style="4" hidden="1" customWidth="1"/>
    <col min="12" max="12" width="9.85546875" style="4" hidden="1" customWidth="1"/>
    <col min="13" max="13" width="7.85546875" style="4" hidden="1" customWidth="1"/>
    <col min="14" max="14" width="11.28515625" style="4" hidden="1" customWidth="1"/>
    <col min="15" max="15" width="7.85546875" style="4" hidden="1" customWidth="1"/>
    <col min="16" max="16" width="9.85546875" style="4" hidden="1" customWidth="1"/>
    <col min="17" max="17" width="9.5703125" style="4" hidden="1" customWidth="1"/>
    <col min="18" max="18" width="11.28515625" style="4" hidden="1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62" width="11.28515625" style="4" hidden="1" customWidth="1"/>
    <col min="63" max="63" width="9.140625" style="4" hidden="1" customWidth="1"/>
    <col min="64" max="64" width="13" style="4" hidden="1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1.57031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65" t="s">
        <v>1921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743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65"/>
      <c r="AY1" s="365"/>
      <c r="AZ1" s="365"/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L1" s="365"/>
      <c r="BM1" s="365"/>
      <c r="BN1" s="365"/>
      <c r="BO1" s="365"/>
      <c r="BP1" s="365"/>
      <c r="BQ1" s="365"/>
      <c r="BR1" s="365"/>
    </row>
    <row r="2" spans="1:75" ht="15.75" thickBot="1" x14ac:dyDescent="0.3">
      <c r="B2" s="680"/>
      <c r="C2" s="43"/>
      <c r="D2" s="43"/>
      <c r="E2" s="191">
        <v>30</v>
      </c>
      <c r="F2" s="191">
        <v>30</v>
      </c>
      <c r="G2" s="191">
        <v>31</v>
      </c>
      <c r="H2" s="191">
        <v>31</v>
      </c>
      <c r="I2" s="191">
        <f>+G2+E2</f>
        <v>61</v>
      </c>
      <c r="J2" s="191">
        <f>+H2+F2</f>
        <v>61</v>
      </c>
      <c r="K2" s="191">
        <v>30</v>
      </c>
      <c r="L2" s="191">
        <v>30</v>
      </c>
      <c r="M2" s="191">
        <f>+E2+G2+K2</f>
        <v>91</v>
      </c>
      <c r="N2" s="191">
        <f>+F2+H2+L2</f>
        <v>91</v>
      </c>
      <c r="O2" s="609">
        <v>31</v>
      </c>
      <c r="P2" s="191">
        <v>31</v>
      </c>
      <c r="Q2" s="191">
        <f>+M2+O2</f>
        <v>122</v>
      </c>
      <c r="R2" s="191">
        <f>+N2+P2</f>
        <v>122</v>
      </c>
      <c r="S2" s="191">
        <v>31</v>
      </c>
      <c r="T2" s="191">
        <v>31</v>
      </c>
      <c r="U2" s="191">
        <f>+Q2+S2</f>
        <v>153</v>
      </c>
      <c r="V2" s="191">
        <f>+R2+T2</f>
        <v>153</v>
      </c>
      <c r="W2" s="191">
        <v>30</v>
      </c>
      <c r="X2" s="191">
        <v>30</v>
      </c>
      <c r="Y2" s="191">
        <f>+O2+S2+W2</f>
        <v>92</v>
      </c>
      <c r="Z2" s="191">
        <f>+P2+T2+X2</f>
        <v>92</v>
      </c>
      <c r="AA2" s="191">
        <f>+M2+Y2</f>
        <v>183</v>
      </c>
      <c r="AB2" s="191">
        <f>+N2+Z2</f>
        <v>183</v>
      </c>
      <c r="AC2" s="191">
        <v>31</v>
      </c>
      <c r="AD2" s="191">
        <v>31</v>
      </c>
      <c r="AE2" s="191">
        <f>AA2+AC2</f>
        <v>214</v>
      </c>
      <c r="AF2" s="191">
        <f>AB2+AD2</f>
        <v>214</v>
      </c>
      <c r="AG2" s="191">
        <v>30</v>
      </c>
      <c r="AH2" s="191">
        <v>30</v>
      </c>
      <c r="AI2" s="191">
        <f>AE2+AG2</f>
        <v>244</v>
      </c>
      <c r="AJ2" s="191">
        <f>AF2+AH2</f>
        <v>244</v>
      </c>
      <c r="AK2" s="191">
        <v>31</v>
      </c>
      <c r="AL2" s="191">
        <v>31</v>
      </c>
      <c r="AM2" s="191">
        <f>+AC2+AG2+AK2</f>
        <v>92</v>
      </c>
      <c r="AN2" s="191">
        <f>+AD2+AH2+AL2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AO2+AQ2</f>
        <v>306</v>
      </c>
      <c r="AT2" s="191">
        <f>AP2+AR2</f>
        <v>306</v>
      </c>
      <c r="AU2" s="191">
        <v>28</v>
      </c>
      <c r="AV2" s="191">
        <v>28</v>
      </c>
      <c r="AW2" s="191">
        <f>AS2+AU2</f>
        <v>334</v>
      </c>
      <c r="AX2" s="191">
        <f>AT2+AV2</f>
        <v>334</v>
      </c>
      <c r="AY2" s="191">
        <v>31</v>
      </c>
      <c r="AZ2" s="191">
        <v>31</v>
      </c>
      <c r="BA2" s="191">
        <f>+AQ2+AU2+AY2</f>
        <v>90</v>
      </c>
      <c r="BB2" s="191">
        <f>+AR2+AV2+AZ2</f>
        <v>90</v>
      </c>
      <c r="BC2" s="191">
        <f>AM2+BA2</f>
        <v>182</v>
      </c>
      <c r="BD2" s="191">
        <f>AN2+BB2</f>
        <v>182</v>
      </c>
      <c r="BE2" s="191">
        <f>AW2+AY2</f>
        <v>365</v>
      </c>
      <c r="BF2" s="191">
        <f>AX2+AZ2</f>
        <v>365</v>
      </c>
      <c r="BG2" s="191"/>
      <c r="BH2" s="191"/>
      <c r="BI2" s="191"/>
      <c r="BJ2" s="191"/>
      <c r="BK2" s="191"/>
      <c r="BL2" s="191"/>
      <c r="BM2" s="191"/>
      <c r="BN2" s="191"/>
      <c r="BO2" s="191">
        <v>365</v>
      </c>
      <c r="BP2" s="191">
        <v>365</v>
      </c>
      <c r="BQ2" s="30">
        <v>366</v>
      </c>
      <c r="BR2" s="30">
        <v>366</v>
      </c>
    </row>
    <row r="3" spans="1:75" ht="15" customHeight="1" thickBot="1" x14ac:dyDescent="0.3">
      <c r="B3" s="7773" t="s">
        <v>171</v>
      </c>
      <c r="C3" s="7775" t="s">
        <v>172</v>
      </c>
      <c r="D3" s="7778" t="s">
        <v>2320</v>
      </c>
      <c r="E3" s="7768" t="s">
        <v>2319</v>
      </c>
      <c r="F3" s="7777"/>
      <c r="G3" s="7768" t="s">
        <v>1956</v>
      </c>
      <c r="H3" s="7768"/>
      <c r="I3" s="7766" t="s">
        <v>14</v>
      </c>
      <c r="J3" s="7767"/>
      <c r="K3" s="7780" t="s">
        <v>1986</v>
      </c>
      <c r="L3" s="7777"/>
      <c r="M3" s="7781" t="s">
        <v>607</v>
      </c>
      <c r="N3" s="7770"/>
      <c r="O3" s="7768" t="s">
        <v>2008</v>
      </c>
      <c r="P3" s="7768"/>
      <c r="Q3" s="7766" t="s">
        <v>17</v>
      </c>
      <c r="R3" s="7767"/>
      <c r="S3" s="7768" t="s">
        <v>2011</v>
      </c>
      <c r="T3" s="7768"/>
      <c r="U3" s="7766" t="s">
        <v>18</v>
      </c>
      <c r="V3" s="7767"/>
      <c r="W3" s="7768" t="s">
        <v>2042</v>
      </c>
      <c r="X3" s="7768"/>
      <c r="Y3" s="7769" t="s">
        <v>629</v>
      </c>
      <c r="Z3" s="7770"/>
      <c r="AA3" s="7771" t="s">
        <v>626</v>
      </c>
      <c r="AB3" s="7772"/>
      <c r="AC3" s="7768" t="s">
        <v>2067</v>
      </c>
      <c r="AD3" s="7768"/>
      <c r="AE3" s="7766" t="s">
        <v>24</v>
      </c>
      <c r="AF3" s="7767"/>
      <c r="AG3" s="7768" t="s">
        <v>2170</v>
      </c>
      <c r="AH3" s="7768"/>
      <c r="AI3" s="7766" t="s">
        <v>27</v>
      </c>
      <c r="AJ3" s="7767"/>
      <c r="AK3" s="7768" t="s">
        <v>2194</v>
      </c>
      <c r="AL3" s="7768"/>
      <c r="AM3" s="7769" t="s">
        <v>631</v>
      </c>
      <c r="AN3" s="7770"/>
      <c r="AO3" s="7766" t="s">
        <v>1575</v>
      </c>
      <c r="AP3" s="7767"/>
      <c r="AQ3" s="7768" t="s">
        <v>2206</v>
      </c>
      <c r="AR3" s="7768"/>
      <c r="AS3" s="7766" t="s">
        <v>28</v>
      </c>
      <c r="AT3" s="7767"/>
      <c r="AU3" s="7768" t="s">
        <v>2243</v>
      </c>
      <c r="AV3" s="7768"/>
      <c r="AW3" s="7766" t="s">
        <v>30</v>
      </c>
      <c r="AX3" s="7767"/>
      <c r="AY3" s="7780" t="s">
        <v>2261</v>
      </c>
      <c r="AZ3" s="7768"/>
      <c r="BA3" s="7769" t="s">
        <v>632</v>
      </c>
      <c r="BB3" s="7770"/>
      <c r="BC3" s="7771" t="s">
        <v>638</v>
      </c>
      <c r="BD3" s="7772"/>
      <c r="BE3" s="7766" t="s">
        <v>1984</v>
      </c>
      <c r="BF3" s="7767"/>
      <c r="BG3" s="7782" t="s">
        <v>1632</v>
      </c>
      <c r="BH3" s="7783"/>
      <c r="BI3" s="7782" t="s">
        <v>1338</v>
      </c>
      <c r="BJ3" s="7783"/>
      <c r="BK3" s="7782" t="s">
        <v>1205</v>
      </c>
      <c r="BL3" s="7783"/>
      <c r="BM3" s="7782" t="s">
        <v>904</v>
      </c>
      <c r="BN3" s="7783"/>
      <c r="BO3" s="7782" t="s">
        <v>646</v>
      </c>
      <c r="BP3" s="7783"/>
      <c r="BQ3" s="7782" t="s">
        <v>619</v>
      </c>
      <c r="BR3" s="7783"/>
    </row>
    <row r="4" spans="1:75" ht="15" customHeight="1" thickBot="1" x14ac:dyDescent="0.3">
      <c r="B4" s="7774"/>
      <c r="C4" s="7776"/>
      <c r="D4" s="7779"/>
      <c r="E4" s="5479" t="s">
        <v>173</v>
      </c>
      <c r="F4" s="1322" t="s">
        <v>174</v>
      </c>
      <c r="G4" s="3773" t="s">
        <v>173</v>
      </c>
      <c r="H4" s="167" t="s">
        <v>174</v>
      </c>
      <c r="I4" s="3778" t="s">
        <v>173</v>
      </c>
      <c r="J4" s="152" t="s">
        <v>174</v>
      </c>
      <c r="K4" s="168" t="s">
        <v>173</v>
      </c>
      <c r="L4" s="167" t="s">
        <v>174</v>
      </c>
      <c r="M4" s="3776" t="s">
        <v>173</v>
      </c>
      <c r="N4" s="159" t="s">
        <v>174</v>
      </c>
      <c r="O4" s="211" t="s">
        <v>173</v>
      </c>
      <c r="P4" s="167" t="s">
        <v>174</v>
      </c>
      <c r="Q4" s="3778" t="s">
        <v>173</v>
      </c>
      <c r="R4" s="152" t="s">
        <v>174</v>
      </c>
      <c r="S4" s="3773" t="s">
        <v>173</v>
      </c>
      <c r="T4" s="167" t="s">
        <v>174</v>
      </c>
      <c r="U4" s="3778" t="s">
        <v>173</v>
      </c>
      <c r="V4" s="152" t="s">
        <v>174</v>
      </c>
      <c r="W4" s="3773" t="s">
        <v>173</v>
      </c>
      <c r="X4" s="167" t="s">
        <v>174</v>
      </c>
      <c r="Y4" s="3775" t="s">
        <v>173</v>
      </c>
      <c r="Z4" s="159" t="s">
        <v>174</v>
      </c>
      <c r="AA4" s="3777" t="s">
        <v>173</v>
      </c>
      <c r="AB4" s="441" t="s">
        <v>174</v>
      </c>
      <c r="AC4" s="3773" t="s">
        <v>173</v>
      </c>
      <c r="AD4" s="167" t="s">
        <v>174</v>
      </c>
      <c r="AE4" s="3778" t="s">
        <v>173</v>
      </c>
      <c r="AF4" s="152" t="s">
        <v>174</v>
      </c>
      <c r="AG4" s="3773" t="s">
        <v>173</v>
      </c>
      <c r="AH4" s="167" t="s">
        <v>174</v>
      </c>
      <c r="AI4" s="3778" t="s">
        <v>173</v>
      </c>
      <c r="AJ4" s="152" t="s">
        <v>174</v>
      </c>
      <c r="AK4" s="3773" t="s">
        <v>173</v>
      </c>
      <c r="AL4" s="167" t="s">
        <v>174</v>
      </c>
      <c r="AM4" s="3775" t="s">
        <v>173</v>
      </c>
      <c r="AN4" s="159" t="s">
        <v>174</v>
      </c>
      <c r="AO4" s="3778" t="s">
        <v>173</v>
      </c>
      <c r="AP4" s="152" t="s">
        <v>174</v>
      </c>
      <c r="AQ4" s="3773" t="s">
        <v>173</v>
      </c>
      <c r="AR4" s="167" t="s">
        <v>174</v>
      </c>
      <c r="AS4" s="3778" t="s">
        <v>173</v>
      </c>
      <c r="AT4" s="152" t="s">
        <v>174</v>
      </c>
      <c r="AU4" s="3773" t="s">
        <v>173</v>
      </c>
      <c r="AV4" s="167" t="s">
        <v>174</v>
      </c>
      <c r="AW4" s="3778" t="s">
        <v>173</v>
      </c>
      <c r="AX4" s="152" t="s">
        <v>174</v>
      </c>
      <c r="AY4" s="3773" t="s">
        <v>173</v>
      </c>
      <c r="AZ4" s="167" t="s">
        <v>174</v>
      </c>
      <c r="BA4" s="3775" t="s">
        <v>173</v>
      </c>
      <c r="BB4" s="159" t="s">
        <v>174</v>
      </c>
      <c r="BC4" s="3777" t="s">
        <v>173</v>
      </c>
      <c r="BD4" s="441" t="s">
        <v>174</v>
      </c>
      <c r="BE4" s="3778" t="s">
        <v>173</v>
      </c>
      <c r="BF4" s="152" t="s">
        <v>174</v>
      </c>
      <c r="BG4" s="1013" t="s">
        <v>173</v>
      </c>
      <c r="BH4" s="1014" t="s">
        <v>174</v>
      </c>
      <c r="BI4" s="1013" t="s">
        <v>173</v>
      </c>
      <c r="BJ4" s="1014" t="s">
        <v>174</v>
      </c>
      <c r="BK4" s="1013" t="s">
        <v>173</v>
      </c>
      <c r="BL4" s="1014" t="s">
        <v>174</v>
      </c>
      <c r="BM4" s="1013" t="s">
        <v>173</v>
      </c>
      <c r="BN4" s="1014" t="s">
        <v>174</v>
      </c>
      <c r="BO4" s="1013" t="s">
        <v>173</v>
      </c>
      <c r="BP4" s="1014" t="s">
        <v>174</v>
      </c>
      <c r="BQ4" s="1013" t="s">
        <v>173</v>
      </c>
      <c r="BR4" s="1014" t="s">
        <v>174</v>
      </c>
    </row>
    <row r="5" spans="1:75" ht="15" customHeight="1" x14ac:dyDescent="0.25">
      <c r="A5" s="1192"/>
      <c r="B5" s="1848" t="s">
        <v>140</v>
      </c>
      <c r="C5" s="247"/>
      <c r="D5" s="231"/>
      <c r="E5" s="246"/>
      <c r="F5" s="550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1"/>
      <c r="BL5" s="231"/>
      <c r="BM5" s="1015"/>
      <c r="BN5" s="1022"/>
      <c r="BO5" s="1015"/>
      <c r="BP5" s="1022"/>
      <c r="BQ5" s="1015"/>
      <c r="BR5" s="1022"/>
      <c r="BS5" s="1192"/>
    </row>
    <row r="6" spans="1:75" ht="15" customHeight="1" x14ac:dyDescent="0.25">
      <c r="B6" s="5481" t="s">
        <v>1139</v>
      </c>
      <c r="C6" s="5482" t="s">
        <v>352</v>
      </c>
      <c r="D6" s="1850">
        <v>16000</v>
      </c>
      <c r="E6" s="5494">
        <v>83</v>
      </c>
      <c r="F6" s="5502">
        <v>5965.35</v>
      </c>
      <c r="G6" s="5494">
        <v>2083.3333333333335</v>
      </c>
      <c r="H6" s="5502">
        <v>2704.95</v>
      </c>
      <c r="I6" s="411">
        <f t="shared" ref="I6:J11" si="0">+E6+G6</f>
        <v>2166.3333333333335</v>
      </c>
      <c r="J6" s="37">
        <f t="shared" si="0"/>
        <v>8670.2999999999993</v>
      </c>
      <c r="K6" s="5494">
        <v>2083.3333333333335</v>
      </c>
      <c r="L6" s="5502">
        <v>6803.8099999999995</v>
      </c>
      <c r="M6" s="66">
        <f t="shared" ref="M6:N11" si="1">+E6+G6+K6</f>
        <v>4249.666666666667</v>
      </c>
      <c r="N6" s="66">
        <f t="shared" si="1"/>
        <v>15474.109999999999</v>
      </c>
      <c r="O6" s="5494">
        <v>2083.3333333333335</v>
      </c>
      <c r="P6" s="5502">
        <v>3865.3599999999997</v>
      </c>
      <c r="Q6" s="411">
        <f t="shared" ref="Q6:Q11" si="2">+M6+O6</f>
        <v>6333</v>
      </c>
      <c r="R6" s="37">
        <f t="shared" ref="R6:R11" si="3">+N6+P6</f>
        <v>19339.469999999998</v>
      </c>
      <c r="S6" s="5494">
        <v>2083.3333333333335</v>
      </c>
      <c r="T6" s="5502">
        <v>6257.93</v>
      </c>
      <c r="U6" s="411">
        <f t="shared" ref="U6:U11" si="4">+Q6+S6</f>
        <v>8416.3333333333339</v>
      </c>
      <c r="V6" s="37">
        <f t="shared" ref="V6:V11" si="5">+R6+T6</f>
        <v>25597.399999999998</v>
      </c>
      <c r="W6" s="5494">
        <v>2083</v>
      </c>
      <c r="X6" s="5502">
        <v>5182.59</v>
      </c>
      <c r="Y6" s="66">
        <f t="shared" ref="Y6:Z6" si="6">+O6+S6+W6</f>
        <v>6249.666666666667</v>
      </c>
      <c r="Z6" s="67">
        <f t="shared" si="6"/>
        <v>15305.880000000001</v>
      </c>
      <c r="AA6" s="608">
        <f>+M6+Y6</f>
        <v>10499.333333333334</v>
      </c>
      <c r="AB6" s="608">
        <f>+N6+Z6</f>
        <v>30779.989999999998</v>
      </c>
      <c r="AC6" s="5494">
        <f>83.3333333333333+2000</f>
        <v>2083.3333333333335</v>
      </c>
      <c r="AD6" s="5502">
        <v>5221.92</v>
      </c>
      <c r="AE6" s="411">
        <f t="shared" ref="AE6:AE11" si="7">+AA6+AC6</f>
        <v>12582.666666666668</v>
      </c>
      <c r="AF6" s="37">
        <f t="shared" ref="AF6:AF11" si="8">+AB6+AD6</f>
        <v>36001.909999999996</v>
      </c>
      <c r="AG6" s="5494">
        <v>2083.3333333333335</v>
      </c>
      <c r="AH6" s="5502">
        <v>0</v>
      </c>
      <c r="AI6" s="411">
        <f t="shared" ref="AI6:AI11" si="9">+AE6+AG6</f>
        <v>14666.000000000002</v>
      </c>
      <c r="AJ6" s="37">
        <f t="shared" ref="AJ6:AJ11" si="10">+AF6+AH6</f>
        <v>36001.909999999996</v>
      </c>
      <c r="AK6" s="5494">
        <v>2083.3333299999999</v>
      </c>
      <c r="AL6" s="5502">
        <v>2960.7299999999996</v>
      </c>
      <c r="AM6" s="66">
        <f t="shared" ref="AM6:AM11" si="11">+AC6+AG6+AK6</f>
        <v>6249.9999966666674</v>
      </c>
      <c r="AN6" s="67">
        <f t="shared" ref="AN6:AN11" si="12">+AD6+AH6+AL6</f>
        <v>8182.65</v>
      </c>
      <c r="AO6" s="411">
        <f>AI6+AK6</f>
        <v>16749.333330000001</v>
      </c>
      <c r="AP6" s="411">
        <f>AJ6+AL6</f>
        <v>38962.639999999999</v>
      </c>
      <c r="AQ6" s="5494">
        <v>2083.3333299999999</v>
      </c>
      <c r="AR6" s="5502">
        <v>6204.6100000000015</v>
      </c>
      <c r="AS6" s="411">
        <f t="shared" ref="AS6:AS11" si="13">+AO6+AQ6</f>
        <v>18832.666660000003</v>
      </c>
      <c r="AT6" s="37">
        <f t="shared" ref="AT6:AT11" si="14">+AP6+AR6</f>
        <v>45167.25</v>
      </c>
      <c r="AU6" s="5494">
        <v>2083.3333299999999</v>
      </c>
      <c r="AV6" s="5502">
        <v>3912.1499999999996</v>
      </c>
      <c r="AW6" s="411">
        <f t="shared" ref="AW6:AW11" si="15">+AS6+AU6</f>
        <v>20915.999990000004</v>
      </c>
      <c r="AX6" s="37">
        <f t="shared" ref="AX6:AX11" si="16">+AT6+AV6</f>
        <v>49079.4</v>
      </c>
      <c r="AY6" s="5494">
        <v>2083.3333299999999</v>
      </c>
      <c r="AZ6" s="5502">
        <v>3740.4</v>
      </c>
      <c r="BA6" s="66">
        <f t="shared" ref="BA6:BA11" si="17">+AQ6+AU6+AY6</f>
        <v>6249.9999900000003</v>
      </c>
      <c r="BB6" s="67">
        <f t="shared" ref="BB6:BB11" si="18">+AR6+AV6+AZ6</f>
        <v>13857.160000000002</v>
      </c>
      <c r="BC6" s="608">
        <f>AM6+BA6</f>
        <v>12499.999986666668</v>
      </c>
      <c r="BD6" s="608">
        <f t="shared" ref="BD6:BD11" si="19">AN6+BB6</f>
        <v>22039.81</v>
      </c>
      <c r="BE6" s="411">
        <f t="shared" ref="BE6:BE11" si="20">+AW6+AY6</f>
        <v>22999.333320000005</v>
      </c>
      <c r="BF6" s="37">
        <f t="shared" ref="BF6:BF11" si="21">+AX6+AZ6</f>
        <v>52819.8</v>
      </c>
      <c r="BG6" s="1018">
        <v>21500</v>
      </c>
      <c r="BH6" s="1018">
        <v>53987.54</v>
      </c>
      <c r="BI6" s="1018">
        <v>21500</v>
      </c>
      <c r="BJ6" s="1018">
        <v>30649.839999999997</v>
      </c>
      <c r="BK6" s="1018">
        <v>25500</v>
      </c>
      <c r="BL6" s="1018">
        <v>34807.22</v>
      </c>
      <c r="BM6" s="1018">
        <v>16050</v>
      </c>
      <c r="BN6" s="1019">
        <v>33201.15</v>
      </c>
      <c r="BO6" s="1018">
        <v>0</v>
      </c>
      <c r="BP6" s="1019">
        <v>35268.25</v>
      </c>
      <c r="BQ6" s="1018">
        <v>2000</v>
      </c>
      <c r="BR6" s="1019">
        <v>28405.85</v>
      </c>
      <c r="BS6" s="4396"/>
      <c r="BT6" s="4396"/>
      <c r="BU6" s="4396"/>
      <c r="BV6" s="4396"/>
      <c r="BW6" s="3604"/>
    </row>
    <row r="7" spans="1:75" ht="15" customHeight="1" x14ac:dyDescent="0.25">
      <c r="B7" s="5481" t="s">
        <v>77</v>
      </c>
      <c r="C7" s="5482" t="s">
        <v>352</v>
      </c>
      <c r="D7" s="1851">
        <v>0</v>
      </c>
      <c r="E7" s="127">
        <v>0</v>
      </c>
      <c r="F7" s="5502">
        <v>0</v>
      </c>
      <c r="G7" s="127">
        <v>0</v>
      </c>
      <c r="H7" s="5502">
        <v>0</v>
      </c>
      <c r="I7" s="411">
        <f t="shared" si="0"/>
        <v>0</v>
      </c>
      <c r="J7" s="37">
        <f t="shared" si="0"/>
        <v>0</v>
      </c>
      <c r="K7" s="127">
        <v>0</v>
      </c>
      <c r="L7" s="5502">
        <v>0</v>
      </c>
      <c r="M7" s="66">
        <f t="shared" si="1"/>
        <v>0</v>
      </c>
      <c r="N7" s="66">
        <f t="shared" si="1"/>
        <v>0</v>
      </c>
      <c r="O7" s="127">
        <v>0</v>
      </c>
      <c r="P7" s="5502">
        <v>64.099999999999994</v>
      </c>
      <c r="Q7" s="411">
        <f t="shared" si="2"/>
        <v>0</v>
      </c>
      <c r="R7" s="37">
        <f t="shared" si="3"/>
        <v>64.099999999999994</v>
      </c>
      <c r="S7" s="127">
        <v>0</v>
      </c>
      <c r="T7" s="5502">
        <v>1485.1599999999999</v>
      </c>
      <c r="U7" s="411">
        <f t="shared" si="4"/>
        <v>0</v>
      </c>
      <c r="V7" s="37">
        <f t="shared" si="5"/>
        <v>1549.2599999999998</v>
      </c>
      <c r="W7" s="127">
        <v>0</v>
      </c>
      <c r="X7" s="5502">
        <v>694</v>
      </c>
      <c r="Y7" s="66">
        <f t="shared" ref="Y7:Y11" si="22">+O7+S7+W7</f>
        <v>0</v>
      </c>
      <c r="Z7" s="67">
        <f t="shared" ref="Z7:Z11" si="23">+P7+T7+X7</f>
        <v>2243.2599999999998</v>
      </c>
      <c r="AA7" s="608">
        <f t="shared" ref="AA7:AA11" si="24">+M7+Y7</f>
        <v>0</v>
      </c>
      <c r="AB7" s="608">
        <f t="shared" ref="AB7:AB11" si="25">+N7+Z7</f>
        <v>2243.2599999999998</v>
      </c>
      <c r="AC7" s="127">
        <v>0</v>
      </c>
      <c r="AD7" s="5502">
        <v>747.82</v>
      </c>
      <c r="AE7" s="411">
        <f t="shared" si="7"/>
        <v>0</v>
      </c>
      <c r="AF7" s="37">
        <f t="shared" si="8"/>
        <v>2991.08</v>
      </c>
      <c r="AG7" s="127">
        <v>0</v>
      </c>
      <c r="AH7" s="5502">
        <v>0</v>
      </c>
      <c r="AI7" s="411">
        <f t="shared" si="9"/>
        <v>0</v>
      </c>
      <c r="AJ7" s="37">
        <f t="shared" si="10"/>
        <v>2991.08</v>
      </c>
      <c r="AK7" s="127">
        <v>0</v>
      </c>
      <c r="AL7" s="5502">
        <v>244.1</v>
      </c>
      <c r="AM7" s="66">
        <f t="shared" si="11"/>
        <v>0</v>
      </c>
      <c r="AN7" s="67">
        <f t="shared" si="12"/>
        <v>991.92000000000007</v>
      </c>
      <c r="AO7" s="411">
        <f t="shared" ref="AO7:AO11" si="26">AI7+AK7</f>
        <v>0</v>
      </c>
      <c r="AP7" s="411">
        <f t="shared" ref="AP7:AP11" si="27">AJ7+AL7</f>
        <v>3235.18</v>
      </c>
      <c r="AQ7" s="127">
        <v>0</v>
      </c>
      <c r="AR7" s="5502">
        <v>0</v>
      </c>
      <c r="AS7" s="411">
        <f t="shared" si="13"/>
        <v>0</v>
      </c>
      <c r="AT7" s="37">
        <f t="shared" si="14"/>
        <v>3235.18</v>
      </c>
      <c r="AU7" s="127">
        <v>0</v>
      </c>
      <c r="AV7" s="5502">
        <v>2333.6400000000003</v>
      </c>
      <c r="AW7" s="411">
        <f t="shared" si="15"/>
        <v>0</v>
      </c>
      <c r="AX7" s="37">
        <f t="shared" si="16"/>
        <v>5568.82</v>
      </c>
      <c r="AY7" s="127">
        <v>0</v>
      </c>
      <c r="AZ7" s="5502">
        <v>2066.9</v>
      </c>
      <c r="BA7" s="66">
        <f t="shared" si="17"/>
        <v>0</v>
      </c>
      <c r="BB7" s="67">
        <f t="shared" si="18"/>
        <v>4400.5400000000009</v>
      </c>
      <c r="BC7" s="608">
        <f t="shared" ref="BC7:BC11" si="28">AM7+BA7</f>
        <v>0</v>
      </c>
      <c r="BD7" s="608">
        <f t="shared" si="19"/>
        <v>5392.4600000000009</v>
      </c>
      <c r="BE7" s="411">
        <f t="shared" si="20"/>
        <v>0</v>
      </c>
      <c r="BF7" s="37">
        <f t="shared" si="21"/>
        <v>7635.7199999999993</v>
      </c>
      <c r="BG7" s="1018">
        <v>0</v>
      </c>
      <c r="BH7" s="1018">
        <v>322.72000000000003</v>
      </c>
      <c r="BI7" s="1018">
        <v>0</v>
      </c>
      <c r="BJ7" s="1018">
        <v>3076.2</v>
      </c>
      <c r="BK7" s="1018">
        <v>123000</v>
      </c>
      <c r="BL7" s="1018">
        <v>42263.08</v>
      </c>
      <c r="BM7" s="1018">
        <v>0</v>
      </c>
      <c r="BN7" s="1019">
        <v>71707.420000000013</v>
      </c>
      <c r="BO7" s="1018">
        <v>10800</v>
      </c>
      <c r="BP7" s="1019">
        <v>9758.5099999999966</v>
      </c>
      <c r="BQ7" s="1018">
        <v>24210</v>
      </c>
      <c r="BR7" s="1019">
        <v>5928.0949999999839</v>
      </c>
      <c r="BS7" s="4396"/>
      <c r="BT7" s="4396"/>
      <c r="BU7" s="4396"/>
      <c r="BV7" s="4396"/>
      <c r="BW7" s="3604"/>
    </row>
    <row r="8" spans="1:75" ht="15" customHeight="1" x14ac:dyDescent="0.25">
      <c r="B8" s="5481" t="s">
        <v>541</v>
      </c>
      <c r="C8" s="5482" t="s">
        <v>352</v>
      </c>
      <c r="D8" s="5483">
        <v>519000</v>
      </c>
      <c r="E8" s="5495">
        <v>36417</v>
      </c>
      <c r="F8" s="5503">
        <v>41076.229999999996</v>
      </c>
      <c r="G8" s="5495">
        <v>43916.666666666664</v>
      </c>
      <c r="H8" s="5503">
        <v>39367.019999999997</v>
      </c>
      <c r="I8" s="411">
        <f t="shared" si="0"/>
        <v>80333.666666666657</v>
      </c>
      <c r="J8" s="37">
        <f t="shared" si="0"/>
        <v>80443.25</v>
      </c>
      <c r="K8" s="5495">
        <v>42416.666666666664</v>
      </c>
      <c r="L8" s="5503">
        <v>37508.06</v>
      </c>
      <c r="M8" s="66">
        <f t="shared" si="1"/>
        <v>122750.33333333331</v>
      </c>
      <c r="N8" s="66">
        <f t="shared" si="1"/>
        <v>117951.31</v>
      </c>
      <c r="O8" s="5495">
        <v>43916.666666666664</v>
      </c>
      <c r="P8" s="5503">
        <v>44133.19</v>
      </c>
      <c r="Q8" s="411">
        <f t="shared" si="2"/>
        <v>166666.99999999997</v>
      </c>
      <c r="R8" s="37">
        <f t="shared" si="3"/>
        <v>162084.5</v>
      </c>
      <c r="S8" s="5495">
        <v>43916.666666666664</v>
      </c>
      <c r="T8" s="5503">
        <v>40726.54</v>
      </c>
      <c r="U8" s="411">
        <f t="shared" si="4"/>
        <v>210583.66666666663</v>
      </c>
      <c r="V8" s="37">
        <f t="shared" si="5"/>
        <v>202811.04</v>
      </c>
      <c r="W8" s="5495">
        <v>24916.666666666668</v>
      </c>
      <c r="X8" s="5503">
        <v>36332.970000000008</v>
      </c>
      <c r="Y8" s="66">
        <f t="shared" si="22"/>
        <v>112750</v>
      </c>
      <c r="Z8" s="67">
        <f t="shared" si="23"/>
        <v>121192.70000000001</v>
      </c>
      <c r="AA8" s="608">
        <f t="shared" si="24"/>
        <v>235500.33333333331</v>
      </c>
      <c r="AB8" s="608">
        <f t="shared" si="25"/>
        <v>239144.01</v>
      </c>
      <c r="AC8" s="5495">
        <v>42416.666666666664</v>
      </c>
      <c r="AD8" s="5503">
        <v>31032.3</v>
      </c>
      <c r="AE8" s="411">
        <f t="shared" si="7"/>
        <v>277917</v>
      </c>
      <c r="AF8" s="37">
        <f t="shared" si="8"/>
        <v>270176.31</v>
      </c>
      <c r="AG8" s="5495">
        <v>42416.666666666664</v>
      </c>
      <c r="AH8" s="5503">
        <v>38334.735999999997</v>
      </c>
      <c r="AI8" s="411">
        <f t="shared" si="9"/>
        <v>320333.66666666669</v>
      </c>
      <c r="AJ8" s="37">
        <f t="shared" si="10"/>
        <v>308511.04599999997</v>
      </c>
      <c r="AK8" s="5495">
        <v>43916.666666666664</v>
      </c>
      <c r="AL8" s="5503">
        <v>41187.810000000005</v>
      </c>
      <c r="AM8" s="66">
        <f t="shared" si="11"/>
        <v>128750</v>
      </c>
      <c r="AN8" s="67">
        <f t="shared" si="12"/>
        <v>110554.84599999999</v>
      </c>
      <c r="AO8" s="411">
        <f t="shared" si="26"/>
        <v>364250.33333333337</v>
      </c>
      <c r="AP8" s="411">
        <f t="shared" si="27"/>
        <v>349698.85599999997</v>
      </c>
      <c r="AQ8" s="5495">
        <v>44416.666666666664</v>
      </c>
      <c r="AR8" s="5503">
        <v>39752.560999999994</v>
      </c>
      <c r="AS8" s="411">
        <f t="shared" si="13"/>
        <v>408667.00000000006</v>
      </c>
      <c r="AT8" s="37">
        <f t="shared" si="14"/>
        <v>389451.41699999996</v>
      </c>
      <c r="AU8" s="5495">
        <v>39916.666666666664</v>
      </c>
      <c r="AV8" s="5503">
        <v>41871.839999999997</v>
      </c>
      <c r="AW8" s="411">
        <f t="shared" si="15"/>
        <v>448583.66666666674</v>
      </c>
      <c r="AX8" s="37">
        <f t="shared" si="16"/>
        <v>431323.25699999998</v>
      </c>
      <c r="AY8" s="5495">
        <v>44416.666666666664</v>
      </c>
      <c r="AZ8" s="5503">
        <v>48073.319999999992</v>
      </c>
      <c r="BA8" s="66">
        <f t="shared" si="17"/>
        <v>128750</v>
      </c>
      <c r="BB8" s="67">
        <f t="shared" si="18"/>
        <v>129697.72099999998</v>
      </c>
      <c r="BC8" s="608">
        <f t="shared" si="28"/>
        <v>257500</v>
      </c>
      <c r="BD8" s="608">
        <f t="shared" si="19"/>
        <v>240252.56699999998</v>
      </c>
      <c r="BE8" s="411">
        <f t="shared" si="20"/>
        <v>493000.33333333343</v>
      </c>
      <c r="BF8" s="37">
        <f t="shared" si="21"/>
        <v>479396.57699999999</v>
      </c>
      <c r="BG8" s="1018">
        <v>498500</v>
      </c>
      <c r="BH8" s="1018">
        <v>459216.41</v>
      </c>
      <c r="BI8" s="1018">
        <v>498500</v>
      </c>
      <c r="BJ8" s="1018">
        <v>473494.20999999996</v>
      </c>
      <c r="BK8" s="1018">
        <v>498500</v>
      </c>
      <c r="BL8" s="1018">
        <v>453432.75</v>
      </c>
      <c r="BM8" s="1018">
        <v>498500</v>
      </c>
      <c r="BN8" s="1019">
        <v>467953.64</v>
      </c>
      <c r="BO8" s="1018">
        <v>435166.28679320007</v>
      </c>
      <c r="BP8" s="1019">
        <v>351267.01600000006</v>
      </c>
      <c r="BQ8" s="1018">
        <v>498000</v>
      </c>
      <c r="BR8" s="1019">
        <v>399090.26199999993</v>
      </c>
      <c r="BS8" s="4396"/>
      <c r="BT8" s="4396"/>
      <c r="BU8" s="4396"/>
      <c r="BV8" s="4396"/>
      <c r="BW8" s="3604"/>
    </row>
    <row r="9" spans="1:75" ht="15" customHeight="1" x14ac:dyDescent="0.25">
      <c r="B9" s="5481" t="s">
        <v>542</v>
      </c>
      <c r="C9" s="5482" t="s">
        <v>352</v>
      </c>
      <c r="D9" s="5483">
        <v>990000</v>
      </c>
      <c r="E9" s="5495">
        <v>68500</v>
      </c>
      <c r="F9" s="5504">
        <v>78698.73000000001</v>
      </c>
      <c r="G9" s="5495">
        <v>79000</v>
      </c>
      <c r="H9" s="5504">
        <v>67347.899999999994</v>
      </c>
      <c r="I9" s="411">
        <f t="shared" si="0"/>
        <v>147500</v>
      </c>
      <c r="J9" s="37">
        <f t="shared" si="0"/>
        <v>146046.63</v>
      </c>
      <c r="K9" s="5495">
        <v>76000</v>
      </c>
      <c r="L9" s="5504">
        <v>73175.62999999999</v>
      </c>
      <c r="M9" s="66">
        <f t="shared" si="1"/>
        <v>223500</v>
      </c>
      <c r="N9" s="66">
        <f t="shared" si="1"/>
        <v>219222.26</v>
      </c>
      <c r="O9" s="5495">
        <v>79000</v>
      </c>
      <c r="P9" s="5504">
        <v>84102.500000000015</v>
      </c>
      <c r="Q9" s="411">
        <f t="shared" si="2"/>
        <v>302500</v>
      </c>
      <c r="R9" s="37">
        <f t="shared" si="3"/>
        <v>303324.76</v>
      </c>
      <c r="S9" s="5495">
        <v>79000</v>
      </c>
      <c r="T9" s="5504">
        <v>86905.93</v>
      </c>
      <c r="U9" s="411">
        <f t="shared" si="4"/>
        <v>381500</v>
      </c>
      <c r="V9" s="37">
        <f t="shared" si="5"/>
        <v>390230.69</v>
      </c>
      <c r="W9" s="5495">
        <v>47500</v>
      </c>
      <c r="X9" s="5504">
        <v>68689.990000000005</v>
      </c>
      <c r="Y9" s="66">
        <f t="shared" si="22"/>
        <v>205500</v>
      </c>
      <c r="Z9" s="67">
        <f t="shared" si="23"/>
        <v>239698.41999999998</v>
      </c>
      <c r="AA9" s="608">
        <f t="shared" si="24"/>
        <v>429000</v>
      </c>
      <c r="AB9" s="608">
        <f t="shared" si="25"/>
        <v>458920.68</v>
      </c>
      <c r="AC9" s="5495">
        <v>78000</v>
      </c>
      <c r="AD9" s="5504">
        <v>52260.41</v>
      </c>
      <c r="AE9" s="411">
        <f t="shared" si="7"/>
        <v>507000</v>
      </c>
      <c r="AF9" s="37">
        <f t="shared" si="8"/>
        <v>511181.08999999997</v>
      </c>
      <c r="AG9" s="5495">
        <v>76000</v>
      </c>
      <c r="AH9" s="5504">
        <v>70091.169000000009</v>
      </c>
      <c r="AI9" s="411">
        <f t="shared" si="9"/>
        <v>583000</v>
      </c>
      <c r="AJ9" s="37">
        <f t="shared" si="10"/>
        <v>581272.25899999996</v>
      </c>
      <c r="AK9" s="5495">
        <v>79000</v>
      </c>
      <c r="AL9" s="5504">
        <v>83237.279999999999</v>
      </c>
      <c r="AM9" s="66">
        <f t="shared" si="11"/>
        <v>233000</v>
      </c>
      <c r="AN9" s="67">
        <f t="shared" si="12"/>
        <v>205588.859</v>
      </c>
      <c r="AO9" s="411">
        <f t="shared" si="26"/>
        <v>662000</v>
      </c>
      <c r="AP9" s="411">
        <f t="shared" si="27"/>
        <v>664509.53899999999</v>
      </c>
      <c r="AQ9" s="5495">
        <v>79000</v>
      </c>
      <c r="AR9" s="5504">
        <v>79536.070000000007</v>
      </c>
      <c r="AS9" s="411">
        <f t="shared" si="13"/>
        <v>741000</v>
      </c>
      <c r="AT9" s="37">
        <f t="shared" si="14"/>
        <v>744045.60899999994</v>
      </c>
      <c r="AU9" s="5495">
        <v>71500</v>
      </c>
      <c r="AV9" s="5504">
        <v>77559.290000000008</v>
      </c>
      <c r="AW9" s="411">
        <f t="shared" si="15"/>
        <v>812500</v>
      </c>
      <c r="AX9" s="37">
        <f t="shared" si="16"/>
        <v>821604.89899999998</v>
      </c>
      <c r="AY9" s="5495">
        <v>80000</v>
      </c>
      <c r="AZ9" s="5504">
        <v>81642.31</v>
      </c>
      <c r="BA9" s="66">
        <f t="shared" si="17"/>
        <v>230500</v>
      </c>
      <c r="BB9" s="67">
        <f t="shared" si="18"/>
        <v>238737.67</v>
      </c>
      <c r="BC9" s="608">
        <f t="shared" si="28"/>
        <v>463500</v>
      </c>
      <c r="BD9" s="608">
        <f t="shared" si="19"/>
        <v>444326.52899999998</v>
      </c>
      <c r="BE9" s="411">
        <f t="shared" si="20"/>
        <v>892500</v>
      </c>
      <c r="BF9" s="37">
        <f t="shared" si="21"/>
        <v>903247.20900000003</v>
      </c>
      <c r="BG9" s="1018">
        <v>870000</v>
      </c>
      <c r="BH9" s="1018">
        <v>750184.19</v>
      </c>
      <c r="BI9" s="1018">
        <v>850000</v>
      </c>
      <c r="BJ9" s="1018">
        <v>781402.45000000007</v>
      </c>
      <c r="BK9" s="1018">
        <v>780000</v>
      </c>
      <c r="BL9" s="1018">
        <v>768402.31</v>
      </c>
      <c r="BM9" s="1018">
        <v>750000</v>
      </c>
      <c r="BN9" s="1019">
        <v>648761.89</v>
      </c>
      <c r="BO9" s="1018">
        <v>674874.74</v>
      </c>
      <c r="BP9" s="1019">
        <v>436958.46299999999</v>
      </c>
      <c r="BQ9" s="1018">
        <v>800000</v>
      </c>
      <c r="BR9" s="1019">
        <v>612890.54699999979</v>
      </c>
      <c r="BS9" s="4396"/>
      <c r="BT9" s="4396"/>
      <c r="BU9" s="4396"/>
      <c r="BV9" s="4396"/>
      <c r="BW9" s="3604"/>
    </row>
    <row r="10" spans="1:75" ht="15" customHeight="1" x14ac:dyDescent="0.25">
      <c r="B10" s="5481" t="s">
        <v>543</v>
      </c>
      <c r="C10" s="5482" t="s">
        <v>352</v>
      </c>
      <c r="D10" s="5483">
        <v>850000</v>
      </c>
      <c r="E10" s="5495">
        <v>56000</v>
      </c>
      <c r="F10" s="5504">
        <v>50540.922999999988</v>
      </c>
      <c r="G10" s="5495">
        <v>65000</v>
      </c>
      <c r="H10" s="5504">
        <v>57715.999999999985</v>
      </c>
      <c r="I10" s="411">
        <f t="shared" si="0"/>
        <v>121000</v>
      </c>
      <c r="J10" s="37">
        <f t="shared" si="0"/>
        <v>108256.92299999998</v>
      </c>
      <c r="K10" s="5495">
        <v>62500</v>
      </c>
      <c r="L10" s="5504">
        <v>56720.68</v>
      </c>
      <c r="M10" s="66">
        <f t="shared" si="1"/>
        <v>183500</v>
      </c>
      <c r="N10" s="66">
        <f t="shared" si="1"/>
        <v>164977.60299999997</v>
      </c>
      <c r="O10" s="5495">
        <v>65000</v>
      </c>
      <c r="P10" s="5504">
        <v>57264.83</v>
      </c>
      <c r="Q10" s="411">
        <f t="shared" si="2"/>
        <v>248500</v>
      </c>
      <c r="R10" s="37">
        <f t="shared" si="3"/>
        <v>222242.43299999996</v>
      </c>
      <c r="S10" s="5495">
        <v>65000</v>
      </c>
      <c r="T10" s="5504">
        <v>47224.14</v>
      </c>
      <c r="U10" s="411">
        <f t="shared" si="4"/>
        <v>313500</v>
      </c>
      <c r="V10" s="37">
        <f t="shared" si="5"/>
        <v>269466.57299999997</v>
      </c>
      <c r="W10" s="5495">
        <v>33500</v>
      </c>
      <c r="X10" s="5504">
        <v>45948.119999999995</v>
      </c>
      <c r="Y10" s="66">
        <f t="shared" si="22"/>
        <v>163500</v>
      </c>
      <c r="Z10" s="67">
        <f t="shared" si="23"/>
        <v>150437.09</v>
      </c>
      <c r="AA10" s="608">
        <f t="shared" si="24"/>
        <v>347000</v>
      </c>
      <c r="AB10" s="608">
        <f t="shared" si="25"/>
        <v>315414.69299999997</v>
      </c>
      <c r="AC10" s="5495">
        <v>67000</v>
      </c>
      <c r="AD10" s="5504">
        <v>30215.879999999997</v>
      </c>
      <c r="AE10" s="411">
        <f t="shared" si="7"/>
        <v>414000</v>
      </c>
      <c r="AF10" s="37">
        <f t="shared" si="8"/>
        <v>345630.57299999997</v>
      </c>
      <c r="AG10" s="5495">
        <v>65000</v>
      </c>
      <c r="AH10" s="5504">
        <v>49444.75</v>
      </c>
      <c r="AI10" s="411">
        <f t="shared" si="9"/>
        <v>479000</v>
      </c>
      <c r="AJ10" s="37">
        <f t="shared" si="10"/>
        <v>395075.32299999997</v>
      </c>
      <c r="AK10" s="5495">
        <v>67500</v>
      </c>
      <c r="AL10" s="5504">
        <v>51538.880999999994</v>
      </c>
      <c r="AM10" s="66">
        <f t="shared" si="11"/>
        <v>199500</v>
      </c>
      <c r="AN10" s="67">
        <f t="shared" si="12"/>
        <v>131199.511</v>
      </c>
      <c r="AO10" s="411">
        <f t="shared" si="26"/>
        <v>546500</v>
      </c>
      <c r="AP10" s="411">
        <f t="shared" si="27"/>
        <v>446614.20399999997</v>
      </c>
      <c r="AQ10" s="5495">
        <v>68000</v>
      </c>
      <c r="AR10" s="5504">
        <v>55396.94</v>
      </c>
      <c r="AS10" s="411">
        <f t="shared" si="13"/>
        <v>614500</v>
      </c>
      <c r="AT10" s="37">
        <f t="shared" si="14"/>
        <v>502011.14399999997</v>
      </c>
      <c r="AU10" s="5495">
        <v>61000</v>
      </c>
      <c r="AV10" s="5504">
        <v>53071.489999999991</v>
      </c>
      <c r="AW10" s="411">
        <f t="shared" si="15"/>
        <v>675500</v>
      </c>
      <c r="AX10" s="37">
        <f t="shared" si="16"/>
        <v>555082.63399999996</v>
      </c>
      <c r="AY10" s="5495">
        <v>68500</v>
      </c>
      <c r="AZ10" s="5504">
        <v>58800.212</v>
      </c>
      <c r="BA10" s="66">
        <f t="shared" si="17"/>
        <v>197500</v>
      </c>
      <c r="BB10" s="67">
        <f t="shared" si="18"/>
        <v>167268.64199999999</v>
      </c>
      <c r="BC10" s="608">
        <f t="shared" si="28"/>
        <v>397000</v>
      </c>
      <c r="BD10" s="608">
        <f t="shared" si="19"/>
        <v>298468.15299999999</v>
      </c>
      <c r="BE10" s="411">
        <f t="shared" si="20"/>
        <v>744000</v>
      </c>
      <c r="BF10" s="37">
        <f t="shared" si="21"/>
        <v>613882.8459999999</v>
      </c>
      <c r="BG10" s="1018">
        <v>560000</v>
      </c>
      <c r="BH10" s="1018">
        <v>502052.01</v>
      </c>
      <c r="BI10" s="1018">
        <v>525000</v>
      </c>
      <c r="BJ10" s="1018">
        <v>452802.58999999997</v>
      </c>
      <c r="BK10" s="1018">
        <v>470000</v>
      </c>
      <c r="BL10" s="1018">
        <v>357334.79000000004</v>
      </c>
      <c r="BM10" s="1018">
        <v>445000</v>
      </c>
      <c r="BN10" s="1019">
        <v>214319.65000000002</v>
      </c>
      <c r="BO10" s="1018">
        <v>220000</v>
      </c>
      <c r="BP10" s="1019">
        <v>100400.402</v>
      </c>
      <c r="BQ10" s="1018">
        <v>535000</v>
      </c>
      <c r="BR10" s="1019">
        <v>167166.99200000003</v>
      </c>
      <c r="BS10" s="4396"/>
      <c r="BT10" s="4396"/>
      <c r="BU10" s="4396"/>
      <c r="BV10" s="4396"/>
      <c r="BW10" s="3604"/>
    </row>
    <row r="11" spans="1:75" ht="15" customHeight="1" thickBot="1" x14ac:dyDescent="0.3">
      <c r="B11" s="5484" t="s">
        <v>630</v>
      </c>
      <c r="C11" s="5485" t="s">
        <v>352</v>
      </c>
      <c r="D11" s="5486">
        <v>334999.98851223482</v>
      </c>
      <c r="E11" s="5496">
        <v>20999.683707758697</v>
      </c>
      <c r="F11" s="5505">
        <v>26141.360000000001</v>
      </c>
      <c r="G11" s="5496">
        <v>46499.576671657051</v>
      </c>
      <c r="H11" s="5505">
        <v>50330.159999999996</v>
      </c>
      <c r="I11" s="411">
        <f t="shared" si="0"/>
        <v>67499.260379415748</v>
      </c>
      <c r="J11" s="37">
        <f t="shared" si="0"/>
        <v>76471.51999999999</v>
      </c>
      <c r="K11" s="5496">
        <v>46000.110883115281</v>
      </c>
      <c r="L11" s="5505">
        <v>44296.209999999992</v>
      </c>
      <c r="M11" s="66">
        <f t="shared" si="1"/>
        <v>113499.37126253103</v>
      </c>
      <c r="N11" s="66">
        <f t="shared" si="1"/>
        <v>120767.72999999998</v>
      </c>
      <c r="O11" s="5496">
        <v>41500.141355320884</v>
      </c>
      <c r="P11" s="5505">
        <v>54193.850000000006</v>
      </c>
      <c r="Q11" s="411">
        <f t="shared" si="2"/>
        <v>154999.5126178519</v>
      </c>
      <c r="R11" s="37">
        <f t="shared" si="3"/>
        <v>174961.58</v>
      </c>
      <c r="S11" s="5496">
        <v>41500.141355320884</v>
      </c>
      <c r="T11" s="5505">
        <v>63719.03</v>
      </c>
      <c r="U11" s="411">
        <f t="shared" si="4"/>
        <v>196499.65397317277</v>
      </c>
      <c r="V11" s="37">
        <f t="shared" si="5"/>
        <v>238680.61</v>
      </c>
      <c r="W11" s="5496">
        <v>13300.014764853251</v>
      </c>
      <c r="X11" s="5505">
        <v>50417.94000000001</v>
      </c>
      <c r="Y11" s="66">
        <f t="shared" si="22"/>
        <v>96300.297475495026</v>
      </c>
      <c r="Z11" s="67">
        <f t="shared" si="23"/>
        <v>168330.82</v>
      </c>
      <c r="AA11" s="608">
        <f t="shared" si="24"/>
        <v>209799.66873802606</v>
      </c>
      <c r="AB11" s="608">
        <f t="shared" si="25"/>
        <v>289098.55</v>
      </c>
      <c r="AC11" s="5496">
        <v>46999.528159756359</v>
      </c>
      <c r="AD11" s="5505">
        <v>54079.359999999986</v>
      </c>
      <c r="AE11" s="411">
        <f t="shared" si="7"/>
        <v>256799.19689778241</v>
      </c>
      <c r="AF11" s="37">
        <f t="shared" si="8"/>
        <v>343177.91</v>
      </c>
      <c r="AG11" s="5496">
        <v>43499.588455674646</v>
      </c>
      <c r="AH11" s="5505">
        <v>63043.03</v>
      </c>
      <c r="AI11" s="411">
        <f t="shared" si="9"/>
        <v>300298.78535345709</v>
      </c>
      <c r="AJ11" s="37">
        <f t="shared" si="10"/>
        <v>406220.93999999994</v>
      </c>
      <c r="AK11" s="5496">
        <v>44000.054244216415</v>
      </c>
      <c r="AL11" s="5505">
        <v>51546.680000000008</v>
      </c>
      <c r="AM11" s="66">
        <f t="shared" si="11"/>
        <v>134499.17085964742</v>
      </c>
      <c r="AN11" s="67">
        <f t="shared" si="12"/>
        <v>168669.07</v>
      </c>
      <c r="AO11" s="411">
        <f t="shared" si="26"/>
        <v>344298.8395976735</v>
      </c>
      <c r="AP11" s="411">
        <f t="shared" si="27"/>
        <v>457767.61999999994</v>
      </c>
      <c r="AQ11" s="5496">
        <v>46499.664678463945</v>
      </c>
      <c r="AR11" s="5505">
        <v>35800.429999999993</v>
      </c>
      <c r="AS11" s="411">
        <f t="shared" si="13"/>
        <v>390798.50427613745</v>
      </c>
      <c r="AT11" s="37">
        <f t="shared" si="14"/>
        <v>493568.04999999993</v>
      </c>
      <c r="AU11" s="5496">
        <v>39500.010429203743</v>
      </c>
      <c r="AV11" s="5505">
        <v>12710.87</v>
      </c>
      <c r="AW11" s="411">
        <f t="shared" si="15"/>
        <v>430298.51470534119</v>
      </c>
      <c r="AX11" s="37">
        <f t="shared" si="16"/>
        <v>506278.91999999993</v>
      </c>
      <c r="AY11" s="5496">
        <v>45000</v>
      </c>
      <c r="AZ11" s="5505">
        <v>37056.46</v>
      </c>
      <c r="BA11" s="66">
        <f t="shared" si="17"/>
        <v>130999.67510766769</v>
      </c>
      <c r="BB11" s="67">
        <f t="shared" si="18"/>
        <v>85567.76</v>
      </c>
      <c r="BC11" s="608">
        <f t="shared" si="28"/>
        <v>265498.84596731514</v>
      </c>
      <c r="BD11" s="608">
        <f t="shared" si="19"/>
        <v>254236.83000000002</v>
      </c>
      <c r="BE11" s="411">
        <f t="shared" si="20"/>
        <v>475298.51470534119</v>
      </c>
      <c r="BF11" s="37">
        <f t="shared" si="21"/>
        <v>543335.37999999989</v>
      </c>
      <c r="BG11" s="1018">
        <v>459999.54066167952</v>
      </c>
      <c r="BH11" s="1018">
        <v>584980.47</v>
      </c>
      <c r="BI11" s="1018">
        <v>630000.01444664178</v>
      </c>
      <c r="BJ11" s="1018">
        <v>623466.16999999993</v>
      </c>
      <c r="BK11" s="1018">
        <v>513000.01387175487</v>
      </c>
      <c r="BL11" s="1018">
        <v>641816.63</v>
      </c>
      <c r="BM11" s="1018">
        <v>659950.1509075613</v>
      </c>
      <c r="BN11" s="1019">
        <v>742311.7699999999</v>
      </c>
      <c r="BO11" s="1018">
        <v>893633.77567653405</v>
      </c>
      <c r="BP11" s="1019">
        <v>944002.20799999987</v>
      </c>
      <c r="BQ11" s="1018">
        <v>547789.74093264237</v>
      </c>
      <c r="BR11" s="1019">
        <v>836451.00399999984</v>
      </c>
      <c r="BS11" s="4396"/>
      <c r="BT11" s="4396"/>
      <c r="BU11" s="4396"/>
      <c r="BV11" s="4396"/>
      <c r="BW11" s="3604"/>
    </row>
    <row r="12" spans="1:75" ht="15" customHeight="1" thickBot="1" x14ac:dyDescent="0.3">
      <c r="A12" s="1192"/>
      <c r="B12" s="1845" t="s">
        <v>2</v>
      </c>
      <c r="C12" s="687" t="s">
        <v>352</v>
      </c>
      <c r="D12" s="668">
        <f>SUM(D6:D11)</f>
        <v>2709999.9885122348</v>
      </c>
      <c r="E12" s="1303">
        <f>SUM(E6:E11)</f>
        <v>181999.6837077587</v>
      </c>
      <c r="F12" s="1302">
        <f>SUM(F6:F11)</f>
        <v>202422.59299999999</v>
      </c>
      <c r="G12" s="1303">
        <f>SUM(G6:G11)</f>
        <v>236499.57667165704</v>
      </c>
      <c r="H12" s="1302">
        <f>SUM(H6:H11)</f>
        <v>217466.03</v>
      </c>
      <c r="I12" s="429">
        <f t="shared" ref="I12:J12" si="29">SUM(I6:I11)</f>
        <v>418499.26037941576</v>
      </c>
      <c r="J12" s="377">
        <f t="shared" si="29"/>
        <v>419888.62300000002</v>
      </c>
      <c r="K12" s="1303">
        <f>SUM(K6:K11)</f>
        <v>229000.11088311527</v>
      </c>
      <c r="L12" s="1302">
        <f>SUM(L6:L11)</f>
        <v>218504.38999999998</v>
      </c>
      <c r="M12" s="429">
        <f t="shared" ref="M12:N12" si="30">SUM(M6:M11)</f>
        <v>647499.37126253103</v>
      </c>
      <c r="N12" s="377">
        <f t="shared" si="30"/>
        <v>638393.01299999992</v>
      </c>
      <c r="O12" s="1303">
        <f>SUM(O6:O11)</f>
        <v>231500.14135532087</v>
      </c>
      <c r="P12" s="1302">
        <f>SUM(P6:P11)</f>
        <v>243623.83000000005</v>
      </c>
      <c r="Q12" s="429">
        <f t="shared" ref="Q12:R12" si="31">SUM(Q6:Q11)</f>
        <v>878999.51261785184</v>
      </c>
      <c r="R12" s="377">
        <f t="shared" si="31"/>
        <v>882016.84299999999</v>
      </c>
      <c r="S12" s="1303">
        <f>SUM(S6:S11)</f>
        <v>231500.14135532087</v>
      </c>
      <c r="T12" s="1302">
        <f>SUM(T6:T11)</f>
        <v>246318.73</v>
      </c>
      <c r="U12" s="429">
        <f t="shared" ref="U12:V12" si="32">SUM(U6:U11)</f>
        <v>1110499.6539731729</v>
      </c>
      <c r="V12" s="377">
        <f t="shared" si="32"/>
        <v>1128335.5729999999</v>
      </c>
      <c r="W12" s="1303">
        <f>SUM(W6:W11)</f>
        <v>121299.68143151992</v>
      </c>
      <c r="X12" s="1302">
        <f>SUM(X6:X11)</f>
        <v>207265.61000000002</v>
      </c>
      <c r="Y12" s="429">
        <f t="shared" ref="Y12:Z12" si="33">SUM(Y6:Y11)</f>
        <v>584299.96414216165</v>
      </c>
      <c r="Z12" s="377">
        <f t="shared" si="33"/>
        <v>697208.16999999993</v>
      </c>
      <c r="AA12" s="429">
        <f t="shared" ref="AA12:AB12" si="34">SUM(AA6:AA11)</f>
        <v>1231799.3354046927</v>
      </c>
      <c r="AB12" s="377">
        <f t="shared" si="34"/>
        <v>1335601.183</v>
      </c>
      <c r="AC12" s="1303">
        <f>SUM(AC6:AC11)</f>
        <v>236499.52815975636</v>
      </c>
      <c r="AD12" s="1302">
        <f>SUM(AD6:AD11)</f>
        <v>173557.69</v>
      </c>
      <c r="AE12" s="429">
        <f t="shared" ref="AE12:AF12" si="35">SUM(AE6:AE11)</f>
        <v>1468298.8635644491</v>
      </c>
      <c r="AF12" s="377">
        <f t="shared" si="35"/>
        <v>1509158.8729999999</v>
      </c>
      <c r="AG12" s="1303">
        <f>SUM(AG6:AG11)</f>
        <v>228999.58845567465</v>
      </c>
      <c r="AH12" s="1302">
        <f>SUM(AH6:AH11)</f>
        <v>220913.685</v>
      </c>
      <c r="AI12" s="429">
        <f t="shared" ref="AI12:AN12" si="36">SUM(AI6:AI11)</f>
        <v>1697298.4520201238</v>
      </c>
      <c r="AJ12" s="377">
        <f t="shared" si="36"/>
        <v>1730072.5579999997</v>
      </c>
      <c r="AK12" s="1303">
        <f>SUM(AK6:AK11)</f>
        <v>236500.0542408831</v>
      </c>
      <c r="AL12" s="1302">
        <f>SUM(AL6:AL11)</f>
        <v>230715.48100000003</v>
      </c>
      <c r="AM12" s="429">
        <f t="shared" si="36"/>
        <v>701999.17085631413</v>
      </c>
      <c r="AN12" s="377">
        <f t="shared" si="36"/>
        <v>625186.85600000003</v>
      </c>
      <c r="AO12" s="429">
        <f t="shared" ref="AO12:AP12" si="37">SUM(AO6:AO11)</f>
        <v>1933798.5062610069</v>
      </c>
      <c r="AP12" s="377">
        <f t="shared" si="37"/>
        <v>1960788.0389999996</v>
      </c>
      <c r="AQ12" s="1303">
        <f>SUM(AQ6:AQ11)</f>
        <v>239999.66467513063</v>
      </c>
      <c r="AR12" s="1302">
        <f>SUM(AR6:AR11)</f>
        <v>216690.611</v>
      </c>
      <c r="AS12" s="429">
        <f t="shared" ref="AS12:AT12" si="38">SUM(AS6:AS11)</f>
        <v>2173798.1709361374</v>
      </c>
      <c r="AT12" s="377">
        <f t="shared" si="38"/>
        <v>2177478.6499999994</v>
      </c>
      <c r="AU12" s="1303">
        <f>SUM(AU6:AU11)</f>
        <v>214000.01042587042</v>
      </c>
      <c r="AV12" s="1302">
        <f>SUM(AV6:AV11)</f>
        <v>191459.28</v>
      </c>
      <c r="AW12" s="429">
        <f t="shared" ref="AW12:AX12" si="39">SUM(AW6:AW11)</f>
        <v>2387798.1813620077</v>
      </c>
      <c r="AX12" s="377">
        <f t="shared" si="39"/>
        <v>2368937.9299999997</v>
      </c>
      <c r="AY12" s="1303">
        <f>SUM(AY6:AY11)</f>
        <v>239999.99999666668</v>
      </c>
      <c r="AZ12" s="1302">
        <f>SUM(AZ6:AZ11)</f>
        <v>231379.60199999998</v>
      </c>
      <c r="BA12" s="429">
        <f t="shared" ref="BA12:BD12" si="40">SUM(BA6:BA11)</f>
        <v>693999.67509766773</v>
      </c>
      <c r="BB12" s="377">
        <f t="shared" si="40"/>
        <v>639529.49300000002</v>
      </c>
      <c r="BC12" s="429">
        <f t="shared" si="40"/>
        <v>1395998.8459539819</v>
      </c>
      <c r="BD12" s="377">
        <f t="shared" si="40"/>
        <v>1264716.3489999999</v>
      </c>
      <c r="BE12" s="429">
        <f t="shared" ref="BE12:BF12" si="41">SUM(BE6:BE11)</f>
        <v>2627798.1813586745</v>
      </c>
      <c r="BF12" s="377">
        <f t="shared" si="41"/>
        <v>2600317.5319999997</v>
      </c>
      <c r="BG12" s="429">
        <v>2409999.5406616796</v>
      </c>
      <c r="BH12" s="1303">
        <v>2350743.34</v>
      </c>
      <c r="BI12" s="429">
        <v>2525000.0144466418</v>
      </c>
      <c r="BJ12" s="1303">
        <v>2364891.46</v>
      </c>
      <c r="BK12" s="429">
        <v>2410000.013871755</v>
      </c>
      <c r="BL12" s="1303">
        <v>2298056.7800000003</v>
      </c>
      <c r="BM12" s="429">
        <v>2369500.1509075612</v>
      </c>
      <c r="BN12" s="377">
        <v>2178255.52</v>
      </c>
      <c r="BO12" s="429">
        <v>2234474.8024697341</v>
      </c>
      <c r="BP12" s="377">
        <v>1877654.8489999999</v>
      </c>
      <c r="BQ12" s="429">
        <v>2406999.7409326425</v>
      </c>
      <c r="BR12" s="377">
        <v>2049932.7499999995</v>
      </c>
      <c r="BS12" s="4396"/>
      <c r="BT12" s="4396"/>
      <c r="BU12" s="4396"/>
      <c r="BV12" s="4396"/>
      <c r="BW12" s="3604"/>
    </row>
    <row r="13" spans="1:75" ht="96.75" hidden="1" customHeight="1" thickBot="1" x14ac:dyDescent="0.3">
      <c r="A13" s="1192"/>
      <c r="B13" s="5487" t="s">
        <v>1075</v>
      </c>
      <c r="C13" s="5488"/>
      <c r="D13" s="5489" t="s">
        <v>1136</v>
      </c>
      <c r="E13" s="5489" t="s">
        <v>1137</v>
      </c>
      <c r="F13" s="5506"/>
      <c r="G13" s="5489" t="s">
        <v>1137</v>
      </c>
      <c r="H13" s="5506"/>
      <c r="I13" s="496"/>
      <c r="J13" s="496"/>
      <c r="K13" s="5489" t="s">
        <v>1137</v>
      </c>
      <c r="L13" s="5506"/>
      <c r="M13" s="496"/>
      <c r="N13" s="496"/>
      <c r="O13" s="5489" t="s">
        <v>1137</v>
      </c>
      <c r="P13" s="5506"/>
      <c r="Q13" s="496"/>
      <c r="R13" s="496"/>
      <c r="S13" s="5489" t="s">
        <v>1137</v>
      </c>
      <c r="T13" s="5506"/>
      <c r="U13" s="496"/>
      <c r="V13" s="496"/>
      <c r="W13" s="5489" t="s">
        <v>1137</v>
      </c>
      <c r="X13" s="5506"/>
      <c r="Y13" s="496"/>
      <c r="Z13" s="496"/>
      <c r="AA13" s="496"/>
      <c r="AB13" s="666"/>
      <c r="AC13" s="5489" t="s">
        <v>1137</v>
      </c>
      <c r="AD13" s="5506"/>
      <c r="AE13" s="496"/>
      <c r="AF13" s="496"/>
      <c r="AG13" s="5489" t="s">
        <v>1137</v>
      </c>
      <c r="AH13" s="5506"/>
      <c r="AI13" s="496"/>
      <c r="AJ13" s="496"/>
      <c r="AK13" s="5489" t="s">
        <v>1137</v>
      </c>
      <c r="AL13" s="5506"/>
      <c r="AM13" s="496"/>
      <c r="AN13" s="496"/>
      <c r="AO13" s="496"/>
      <c r="AP13" s="496"/>
      <c r="AQ13" s="5489" t="s">
        <v>1137</v>
      </c>
      <c r="AR13" s="5506"/>
      <c r="AS13" s="496"/>
      <c r="AT13" s="496"/>
      <c r="AU13" s="5489" t="s">
        <v>1137</v>
      </c>
      <c r="AV13" s="5506"/>
      <c r="AW13" s="496"/>
      <c r="AX13" s="496"/>
      <c r="AY13" s="5489" t="s">
        <v>1137</v>
      </c>
      <c r="AZ13" s="5506"/>
      <c r="BA13" s="496"/>
      <c r="BB13" s="496"/>
      <c r="BC13" s="496"/>
      <c r="BD13" s="666"/>
      <c r="BE13" s="496"/>
      <c r="BF13" s="496"/>
      <c r="BG13" s="496"/>
      <c r="BH13" s="496"/>
      <c r="BI13" s="496"/>
      <c r="BJ13" s="496"/>
      <c r="BK13" s="496"/>
      <c r="BL13" s="496"/>
      <c r="BM13" s="496"/>
      <c r="BN13" s="496"/>
      <c r="BO13" s="496"/>
      <c r="BP13" s="496"/>
      <c r="BQ13" s="496"/>
      <c r="BR13" s="496"/>
      <c r="BS13" s="4396"/>
      <c r="BT13" s="4396"/>
      <c r="BU13" s="4396"/>
      <c r="BV13" s="4396"/>
      <c r="BW13" s="3604"/>
    </row>
    <row r="14" spans="1:75" ht="15" customHeight="1" thickBot="1" x14ac:dyDescent="0.3">
      <c r="A14" s="1192"/>
      <c r="B14" s="1846" t="s">
        <v>349</v>
      </c>
      <c r="C14" s="1836"/>
      <c r="D14" s="176"/>
      <c r="E14" s="177"/>
      <c r="F14" s="1974"/>
      <c r="G14" s="177"/>
      <c r="H14" s="1974"/>
      <c r="I14" s="177"/>
      <c r="J14" s="177"/>
      <c r="K14" s="177"/>
      <c r="L14" s="1974"/>
      <c r="M14" s="177"/>
      <c r="N14" s="177"/>
      <c r="O14" s="177"/>
      <c r="P14" s="1974"/>
      <c r="Q14" s="177"/>
      <c r="R14" s="177"/>
      <c r="S14" s="177"/>
      <c r="T14" s="1974"/>
      <c r="U14" s="177"/>
      <c r="V14" s="177"/>
      <c r="W14" s="177"/>
      <c r="X14" s="1974"/>
      <c r="Y14" s="177"/>
      <c r="Z14" s="177"/>
      <c r="AA14" s="177"/>
      <c r="AB14" s="177"/>
      <c r="AC14" s="177"/>
      <c r="AD14" s="1974"/>
      <c r="AE14" s="177"/>
      <c r="AF14" s="177"/>
      <c r="AG14" s="177"/>
      <c r="AH14" s="1974"/>
      <c r="AI14" s="177"/>
      <c r="AJ14" s="177"/>
      <c r="AK14" s="177"/>
      <c r="AL14" s="1974"/>
      <c r="AM14" s="177"/>
      <c r="AN14" s="177"/>
      <c r="AO14" s="177"/>
      <c r="AP14" s="177"/>
      <c r="AQ14" s="177"/>
      <c r="AR14" s="1974"/>
      <c r="AS14" s="177"/>
      <c r="AT14" s="177"/>
      <c r="AU14" s="177"/>
      <c r="AV14" s="1974"/>
      <c r="AW14" s="177"/>
      <c r="AX14" s="177"/>
      <c r="AY14" s="177"/>
      <c r="AZ14" s="1974"/>
      <c r="BA14" s="177"/>
      <c r="BB14" s="177"/>
      <c r="BC14" s="177"/>
      <c r="BD14" s="177"/>
      <c r="BE14" s="177"/>
      <c r="BF14" s="1554"/>
      <c r="BG14" s="177"/>
      <c r="BH14" s="177"/>
      <c r="BI14" s="177"/>
      <c r="BJ14" s="177"/>
      <c r="BK14" s="177"/>
      <c r="BL14" s="177"/>
      <c r="BM14" s="1554"/>
      <c r="BN14" s="177"/>
      <c r="BO14" s="177"/>
      <c r="BP14" s="177"/>
      <c r="BQ14" s="177"/>
      <c r="BR14" s="177"/>
      <c r="BS14" s="4396"/>
      <c r="BT14" s="4396"/>
      <c r="BU14" s="4396"/>
      <c r="BV14" s="4396"/>
      <c r="BW14" s="3604"/>
    </row>
    <row r="15" spans="1:75" ht="15" customHeight="1" thickBot="1" x14ac:dyDescent="0.3">
      <c r="B15" s="1847" t="s">
        <v>77</v>
      </c>
      <c r="C15" s="710" t="s">
        <v>352</v>
      </c>
      <c r="D15" s="7751">
        <f>+D12</f>
        <v>2709999.9885122348</v>
      </c>
      <c r="E15" s="7746">
        <f>+E12</f>
        <v>181999.6837077587</v>
      </c>
      <c r="F15" s="5507">
        <f>+F7</f>
        <v>0</v>
      </c>
      <c r="G15" s="7746">
        <f>+G12</f>
        <v>236499.57667165704</v>
      </c>
      <c r="H15" s="5507">
        <f>+H7</f>
        <v>0</v>
      </c>
      <c r="I15" s="7748">
        <f>+E15+G15</f>
        <v>418499.2603794157</v>
      </c>
      <c r="J15" s="1837">
        <f>+F15+H15</f>
        <v>0</v>
      </c>
      <c r="K15" s="7746">
        <f>+K12</f>
        <v>229000.11088311527</v>
      </c>
      <c r="L15" s="5507">
        <f>+L7</f>
        <v>0</v>
      </c>
      <c r="M15" s="7763">
        <f>+E15+G15+K15</f>
        <v>647499.37126253103</v>
      </c>
      <c r="N15" s="1838">
        <f>+F15+H15+L15</f>
        <v>0</v>
      </c>
      <c r="O15" s="7746">
        <f>+O12</f>
        <v>231500.14135532087</v>
      </c>
      <c r="P15" s="5507">
        <f>+P7</f>
        <v>64.099999999999994</v>
      </c>
      <c r="Q15" s="7748">
        <f>+M15+O15</f>
        <v>878999.51261785184</v>
      </c>
      <c r="R15" s="1837">
        <f>+N15+P15</f>
        <v>64.099999999999994</v>
      </c>
      <c r="S15" s="7746">
        <f>+S12</f>
        <v>231500.14135532087</v>
      </c>
      <c r="T15" s="5507">
        <f>+T7</f>
        <v>1485.1599999999999</v>
      </c>
      <c r="U15" s="7748">
        <f>+Q15+S15</f>
        <v>1110499.6539731727</v>
      </c>
      <c r="V15" s="1837">
        <f>+R15+T15</f>
        <v>1549.2599999999998</v>
      </c>
      <c r="W15" s="7746">
        <f>+W12</f>
        <v>121299.68143151992</v>
      </c>
      <c r="X15" s="5507">
        <f>+X7</f>
        <v>694</v>
      </c>
      <c r="Y15" s="7757">
        <f>+O15+S15+W15</f>
        <v>584299.96414216165</v>
      </c>
      <c r="Z15" s="71">
        <f>+P15+T15+X15</f>
        <v>2243.2599999999998</v>
      </c>
      <c r="AA15" s="7760">
        <f>+M15+Y15</f>
        <v>1231799.3354046927</v>
      </c>
      <c r="AB15" s="671">
        <f>+N15+Z15</f>
        <v>2243.2599999999998</v>
      </c>
      <c r="AC15" s="7746">
        <f>+AC12</f>
        <v>236499.52815975636</v>
      </c>
      <c r="AD15" s="5507">
        <f>+AD7</f>
        <v>747.82</v>
      </c>
      <c r="AE15" s="7748">
        <f>+AA15+AC15</f>
        <v>1468298.8635644491</v>
      </c>
      <c r="AF15" s="1837">
        <f>+AB15+AD15</f>
        <v>2991.08</v>
      </c>
      <c r="AG15" s="7746">
        <f>+AG12</f>
        <v>228999.58845567465</v>
      </c>
      <c r="AH15" s="5507">
        <f>+AH7</f>
        <v>0</v>
      </c>
      <c r="AI15" s="7748">
        <f>+AE15+AG15</f>
        <v>1697298.4520201238</v>
      </c>
      <c r="AJ15" s="1837">
        <f>+AF15+AH15</f>
        <v>2991.08</v>
      </c>
      <c r="AK15" s="7746">
        <f>+AK12</f>
        <v>236500.0542408831</v>
      </c>
      <c r="AL15" s="5507">
        <f>+AL7</f>
        <v>244.1</v>
      </c>
      <c r="AM15" s="7757">
        <f>+AC15+AG15+AK15</f>
        <v>701999.17085631413</v>
      </c>
      <c r="AN15" s="71">
        <f>+AD15+AH15+AL15</f>
        <v>991.92000000000007</v>
      </c>
      <c r="AO15" s="7748">
        <f>AI15+AK15</f>
        <v>1933798.5062610069</v>
      </c>
      <c r="AP15" s="411">
        <f t="shared" ref="AP15:AP19" si="42">AJ15+AL15</f>
        <v>3235.18</v>
      </c>
      <c r="AQ15" s="7746">
        <f>+AQ12</f>
        <v>239999.66467513063</v>
      </c>
      <c r="AR15" s="5507">
        <f>+AR7</f>
        <v>0</v>
      </c>
      <c r="AS15" s="7748">
        <f>+AO15+AQ15</f>
        <v>2173798.1709361374</v>
      </c>
      <c r="AT15" s="1837">
        <f>+AP15+AR15</f>
        <v>3235.18</v>
      </c>
      <c r="AU15" s="7746">
        <f>+AU12</f>
        <v>214000.01042587042</v>
      </c>
      <c r="AV15" s="5507">
        <f>+AV7</f>
        <v>2333.6400000000003</v>
      </c>
      <c r="AW15" s="7748">
        <f>+AS15+AU15</f>
        <v>2387798.1813620077</v>
      </c>
      <c r="AX15" s="1837">
        <f>+AT15+AV15</f>
        <v>5568.82</v>
      </c>
      <c r="AY15" s="7746">
        <f>+AY12</f>
        <v>239999.99999666668</v>
      </c>
      <c r="AZ15" s="5507">
        <f>+AZ7</f>
        <v>2066.9</v>
      </c>
      <c r="BA15" s="7757">
        <f>+AQ15+AU15+AY15</f>
        <v>693999.67509766773</v>
      </c>
      <c r="BB15" s="71">
        <f>+AR15+AV15+AZ15</f>
        <v>4400.5400000000009</v>
      </c>
      <c r="BC15" s="7760">
        <f>+AM15+BA15</f>
        <v>1395998.8459539819</v>
      </c>
      <c r="BD15" s="608">
        <f t="shared" ref="BD15:BD19" si="43">AN15+BB15</f>
        <v>5392.4600000000009</v>
      </c>
      <c r="BE15" s="7748">
        <f>+AW15+AY15</f>
        <v>2627798.1813586745</v>
      </c>
      <c r="BF15" s="1837">
        <f>+AX15+AZ15</f>
        <v>7635.7199999999993</v>
      </c>
      <c r="BG15" s="7784">
        <v>2409999.5406616796</v>
      </c>
      <c r="BH15" s="1826">
        <v>322.72000000000003</v>
      </c>
      <c r="BI15" s="7784">
        <v>2525000.0144466418</v>
      </c>
      <c r="BJ15" s="1826">
        <v>3076.2</v>
      </c>
      <c r="BK15" s="7784">
        <v>2410000.013871755</v>
      </c>
      <c r="BL15" s="1826">
        <v>42263.08</v>
      </c>
      <c r="BM15" s="7793">
        <v>2369500.1509075612</v>
      </c>
      <c r="BN15" s="1826">
        <v>71707.420000000013</v>
      </c>
      <c r="BO15" s="7787">
        <v>2234474.8024697341</v>
      </c>
      <c r="BP15" s="1826">
        <v>9758.5099999999966</v>
      </c>
      <c r="BQ15" s="7787">
        <f>+BQ12</f>
        <v>2406999.7409326425</v>
      </c>
      <c r="BR15" s="1826">
        <v>5928.2490000000007</v>
      </c>
      <c r="BS15" s="4396"/>
      <c r="BT15" s="4396"/>
      <c r="BU15" s="4396"/>
      <c r="BV15" s="4396"/>
      <c r="BW15" s="3604"/>
    </row>
    <row r="16" spans="1:75" ht="15" customHeight="1" thickBot="1" x14ac:dyDescent="0.3">
      <c r="B16" s="5481" t="s">
        <v>75</v>
      </c>
      <c r="C16" s="5490" t="s">
        <v>352</v>
      </c>
      <c r="D16" s="7752"/>
      <c r="E16" s="7747"/>
      <c r="F16" s="5504">
        <v>118626.72</v>
      </c>
      <c r="G16" s="7747"/>
      <c r="H16" s="5504">
        <v>138747.00999999995</v>
      </c>
      <c r="I16" s="7749"/>
      <c r="J16" s="497">
        <f>+F16+H16</f>
        <v>257373.72999999995</v>
      </c>
      <c r="K16" s="7747"/>
      <c r="L16" s="5504">
        <v>120386.73999999999</v>
      </c>
      <c r="M16" s="7764"/>
      <c r="N16" s="1834">
        <f>+F16+H16+L16</f>
        <v>377760.47</v>
      </c>
      <c r="O16" s="7747"/>
      <c r="P16" s="5504">
        <v>136780.81</v>
      </c>
      <c r="Q16" s="7749"/>
      <c r="R16" s="497">
        <f>+N16+P16</f>
        <v>514541.27999999997</v>
      </c>
      <c r="S16" s="7747"/>
      <c r="T16" s="5504">
        <v>149407.49</v>
      </c>
      <c r="U16" s="7749"/>
      <c r="V16" s="497">
        <f>+R16+T16</f>
        <v>663948.77</v>
      </c>
      <c r="W16" s="7747"/>
      <c r="X16" s="5504">
        <v>118171.66000000002</v>
      </c>
      <c r="Y16" s="7758"/>
      <c r="Z16" s="71">
        <f t="shared" ref="Z16:Z19" si="44">+P16+T16+X16</f>
        <v>404359.96</v>
      </c>
      <c r="AA16" s="7761"/>
      <c r="AB16" s="671">
        <f t="shared" ref="AB16:AB19" si="45">+N16+Z16</f>
        <v>782120.42999999993</v>
      </c>
      <c r="AC16" s="7747"/>
      <c r="AD16" s="5504">
        <v>102074.34</v>
      </c>
      <c r="AE16" s="7749"/>
      <c r="AF16" s="497">
        <f>+AB16+AD16</f>
        <v>884194.7699999999</v>
      </c>
      <c r="AG16" s="7747"/>
      <c r="AH16" s="5504">
        <v>144101.09</v>
      </c>
      <c r="AI16" s="7749"/>
      <c r="AJ16" s="497">
        <f>+AF16+AH16</f>
        <v>1028295.8599999999</v>
      </c>
      <c r="AK16" s="7747"/>
      <c r="AL16" s="5504">
        <v>155324.22999999998</v>
      </c>
      <c r="AM16" s="7758"/>
      <c r="AN16" s="71">
        <f t="shared" ref="AN16:AN19" si="46">+AD16+AH16+AL16</f>
        <v>401499.66</v>
      </c>
      <c r="AO16" s="7749"/>
      <c r="AP16" s="411">
        <f t="shared" si="42"/>
        <v>1183620.0899999999</v>
      </c>
      <c r="AQ16" s="7747"/>
      <c r="AR16" s="5504">
        <v>154023.1</v>
      </c>
      <c r="AS16" s="7749"/>
      <c r="AT16" s="497">
        <f>+AP16+AR16</f>
        <v>1337643.19</v>
      </c>
      <c r="AU16" s="7747"/>
      <c r="AV16" s="5504">
        <v>143472.91</v>
      </c>
      <c r="AW16" s="7749"/>
      <c r="AX16" s="497">
        <f>+AT16+AV16</f>
        <v>1481116.0999999999</v>
      </c>
      <c r="AY16" s="7747"/>
      <c r="AZ16" s="5504">
        <v>163014.04</v>
      </c>
      <c r="BA16" s="7758"/>
      <c r="BB16" s="71">
        <f t="shared" ref="BB16:BB19" si="47">+AR16+AV16+AZ16</f>
        <v>460510.05000000005</v>
      </c>
      <c r="BC16" s="7761"/>
      <c r="BD16" s="608">
        <f t="shared" si="43"/>
        <v>862009.71</v>
      </c>
      <c r="BE16" s="7749"/>
      <c r="BF16" s="497">
        <f>+AX16+AZ16</f>
        <v>1644130.14</v>
      </c>
      <c r="BG16" s="7785"/>
      <c r="BH16" s="1824">
        <v>1620104.8800000001</v>
      </c>
      <c r="BI16" s="7785"/>
      <c r="BJ16" s="1824">
        <v>1443296.0299999998</v>
      </c>
      <c r="BK16" s="7785"/>
      <c r="BL16" s="1824">
        <v>1325226.6500000001</v>
      </c>
      <c r="BM16" s="7794"/>
      <c r="BN16" s="1824">
        <v>1097093.1499999999</v>
      </c>
      <c r="BO16" s="7788"/>
      <c r="BP16" s="1824">
        <v>691326.51799999992</v>
      </c>
      <c r="BQ16" s="7788"/>
      <c r="BR16" s="1824">
        <v>569419.82700000005</v>
      </c>
      <c r="BS16" s="4396"/>
      <c r="BT16" s="4396"/>
      <c r="BU16" s="4396"/>
      <c r="BV16" s="4396"/>
      <c r="BW16" s="3604"/>
    </row>
    <row r="17" spans="2:75" ht="15" customHeight="1" thickBot="1" x14ac:dyDescent="0.3">
      <c r="B17" s="5481" t="s">
        <v>76</v>
      </c>
      <c r="C17" s="5490" t="s">
        <v>352</v>
      </c>
      <c r="D17" s="7752"/>
      <c r="E17" s="7747"/>
      <c r="F17" s="5504">
        <v>74831.493000000002</v>
      </c>
      <c r="G17" s="7747"/>
      <c r="H17" s="5504">
        <v>73085.040000000008</v>
      </c>
      <c r="I17" s="7749"/>
      <c r="J17" s="497">
        <f>+F17+H17</f>
        <v>147916.533</v>
      </c>
      <c r="K17" s="7747"/>
      <c r="L17" s="5504">
        <v>91277.939999999973</v>
      </c>
      <c r="M17" s="7764"/>
      <c r="N17" s="1834">
        <f>+F17+H17+L17</f>
        <v>239194.47299999997</v>
      </c>
      <c r="O17" s="7747"/>
      <c r="P17" s="5504">
        <v>102874.62000000002</v>
      </c>
      <c r="Q17" s="7749"/>
      <c r="R17" s="497">
        <f>+N17+P17</f>
        <v>342069.09299999999</v>
      </c>
      <c r="S17" s="7747"/>
      <c r="T17" s="5504">
        <v>89009.359999999986</v>
      </c>
      <c r="U17" s="7749"/>
      <c r="V17" s="497">
        <f>+R17+T17</f>
        <v>431078.45299999998</v>
      </c>
      <c r="W17" s="7747"/>
      <c r="X17" s="5504">
        <v>83127.569999999992</v>
      </c>
      <c r="Y17" s="7758"/>
      <c r="Z17" s="71">
        <f t="shared" si="44"/>
        <v>275011.55</v>
      </c>
      <c r="AA17" s="7761"/>
      <c r="AB17" s="671">
        <f t="shared" si="45"/>
        <v>514206.02299999993</v>
      </c>
      <c r="AC17" s="7747"/>
      <c r="AD17" s="5504">
        <v>62676.91</v>
      </c>
      <c r="AE17" s="7749"/>
      <c r="AF17" s="497">
        <f>+AB17+AD17</f>
        <v>576882.93299999996</v>
      </c>
      <c r="AG17" s="7747"/>
      <c r="AH17" s="5504">
        <v>73868.744999999995</v>
      </c>
      <c r="AI17" s="7749"/>
      <c r="AJ17" s="497">
        <f>+AF17+AH17</f>
        <v>650751.67799999996</v>
      </c>
      <c r="AK17" s="7747"/>
      <c r="AL17" s="5504">
        <v>69474.281000000017</v>
      </c>
      <c r="AM17" s="7758"/>
      <c r="AN17" s="71">
        <f t="shared" si="46"/>
        <v>206019.93600000002</v>
      </c>
      <c r="AO17" s="7749"/>
      <c r="AP17" s="411">
        <f t="shared" si="42"/>
        <v>720225.95900000003</v>
      </c>
      <c r="AQ17" s="7747"/>
      <c r="AR17" s="5504">
        <v>53620.361000000012</v>
      </c>
      <c r="AS17" s="7749"/>
      <c r="AT17" s="497">
        <f>+AP17+AR17</f>
        <v>773846.32000000007</v>
      </c>
      <c r="AU17" s="7747"/>
      <c r="AV17" s="5504">
        <v>41740.58</v>
      </c>
      <c r="AW17" s="7749"/>
      <c r="AX17" s="497">
        <f>+AT17+AV17</f>
        <v>815586.9</v>
      </c>
      <c r="AY17" s="7747"/>
      <c r="AZ17" s="5504">
        <v>59773.861999999994</v>
      </c>
      <c r="BA17" s="7758"/>
      <c r="BB17" s="71">
        <f t="shared" si="47"/>
        <v>155134.80300000001</v>
      </c>
      <c r="BC17" s="7761"/>
      <c r="BD17" s="608">
        <f t="shared" si="43"/>
        <v>361154.73900000006</v>
      </c>
      <c r="BE17" s="7749"/>
      <c r="BF17" s="497">
        <f>+AX17+AZ17</f>
        <v>875360.76199999999</v>
      </c>
      <c r="BG17" s="7785"/>
      <c r="BH17" s="1824">
        <v>662107.03</v>
      </c>
      <c r="BI17" s="7785"/>
      <c r="BJ17" s="1824">
        <v>829404.40000000014</v>
      </c>
      <c r="BK17" s="7785"/>
      <c r="BL17" s="1824">
        <v>809005.30999999994</v>
      </c>
      <c r="BM17" s="7794"/>
      <c r="BN17" s="1824">
        <v>567271.22</v>
      </c>
      <c r="BO17" s="7788"/>
      <c r="BP17" s="1824">
        <v>479205.15300000005</v>
      </c>
      <c r="BQ17" s="7788"/>
      <c r="BR17" s="1824">
        <v>909567.00199999986</v>
      </c>
      <c r="BS17" s="4396"/>
      <c r="BT17" s="4396"/>
      <c r="BU17" s="4396"/>
      <c r="BV17" s="4396"/>
      <c r="BW17" s="3604"/>
    </row>
    <row r="18" spans="2:75" ht="15" customHeight="1" thickBot="1" x14ac:dyDescent="0.3">
      <c r="B18" s="5484" t="s">
        <v>1713</v>
      </c>
      <c r="C18" s="5490" t="s">
        <v>352</v>
      </c>
      <c r="D18" s="7752"/>
      <c r="E18" s="7747"/>
      <c r="F18" s="5504">
        <f>+F6</f>
        <v>5965.35</v>
      </c>
      <c r="G18" s="7747"/>
      <c r="H18" s="5504">
        <f>+H6</f>
        <v>2704.95</v>
      </c>
      <c r="I18" s="7749"/>
      <c r="J18" s="497">
        <f>+F18+H18</f>
        <v>8670.2999999999993</v>
      </c>
      <c r="K18" s="7747"/>
      <c r="L18" s="5504">
        <f>+L6</f>
        <v>6803.8099999999995</v>
      </c>
      <c r="M18" s="7764"/>
      <c r="N18" s="1834">
        <f>+F18+H18+L18</f>
        <v>15474.109999999999</v>
      </c>
      <c r="O18" s="7747"/>
      <c r="P18" s="5504">
        <f>+P6</f>
        <v>3865.3599999999997</v>
      </c>
      <c r="Q18" s="7749"/>
      <c r="R18" s="497">
        <f>+N18+P18</f>
        <v>19339.469999999998</v>
      </c>
      <c r="S18" s="7747"/>
      <c r="T18" s="5504">
        <f>+T6</f>
        <v>6257.93</v>
      </c>
      <c r="U18" s="7749"/>
      <c r="V18" s="497">
        <f>+R18+T18</f>
        <v>25597.399999999998</v>
      </c>
      <c r="W18" s="7747"/>
      <c r="X18" s="5504">
        <f>+X6</f>
        <v>5182.59</v>
      </c>
      <c r="Y18" s="7758"/>
      <c r="Z18" s="71">
        <f t="shared" si="44"/>
        <v>15305.880000000001</v>
      </c>
      <c r="AA18" s="7761"/>
      <c r="AB18" s="671">
        <f t="shared" si="45"/>
        <v>30779.989999999998</v>
      </c>
      <c r="AC18" s="7747"/>
      <c r="AD18" s="5504">
        <f>+AD6</f>
        <v>5221.92</v>
      </c>
      <c r="AE18" s="7749"/>
      <c r="AF18" s="497">
        <f>+AB18+AD18</f>
        <v>36001.909999999996</v>
      </c>
      <c r="AG18" s="7747"/>
      <c r="AH18" s="5504">
        <f>+AH6</f>
        <v>0</v>
      </c>
      <c r="AI18" s="7749"/>
      <c r="AJ18" s="497">
        <f>+AF18+AH18</f>
        <v>36001.909999999996</v>
      </c>
      <c r="AK18" s="7747"/>
      <c r="AL18" s="5504">
        <f>+AL6</f>
        <v>2960.7299999999996</v>
      </c>
      <c r="AM18" s="7758"/>
      <c r="AN18" s="71">
        <f t="shared" si="46"/>
        <v>8182.65</v>
      </c>
      <c r="AO18" s="7749"/>
      <c r="AP18" s="411">
        <f t="shared" si="42"/>
        <v>38962.639999999999</v>
      </c>
      <c r="AQ18" s="7747"/>
      <c r="AR18" s="5504">
        <f>+AR6</f>
        <v>6204.6100000000015</v>
      </c>
      <c r="AS18" s="7749"/>
      <c r="AT18" s="497">
        <f>+AP18+AR18</f>
        <v>45167.25</v>
      </c>
      <c r="AU18" s="7747"/>
      <c r="AV18" s="5504">
        <f>+AV6</f>
        <v>3912.1499999999996</v>
      </c>
      <c r="AW18" s="7749"/>
      <c r="AX18" s="497">
        <f>+AT18+AV18</f>
        <v>49079.4</v>
      </c>
      <c r="AY18" s="7747"/>
      <c r="AZ18" s="5504">
        <f>+AZ6</f>
        <v>3740.4</v>
      </c>
      <c r="BA18" s="7758"/>
      <c r="BB18" s="71">
        <f t="shared" si="47"/>
        <v>13857.160000000002</v>
      </c>
      <c r="BC18" s="7761"/>
      <c r="BD18" s="608">
        <f t="shared" si="43"/>
        <v>22039.81</v>
      </c>
      <c r="BE18" s="7749"/>
      <c r="BF18" s="497">
        <f>+AX18+AZ18</f>
        <v>52819.8</v>
      </c>
      <c r="BG18" s="7785"/>
      <c r="BH18" s="1824">
        <v>53987.54</v>
      </c>
      <c r="BI18" s="7785"/>
      <c r="BJ18" s="1824">
        <v>30649.839999999997</v>
      </c>
      <c r="BK18" s="7785"/>
      <c r="BL18" s="1824">
        <v>34807.22</v>
      </c>
      <c r="BM18" s="7794"/>
      <c r="BN18" s="1824">
        <v>33201.15</v>
      </c>
      <c r="BO18" s="7788"/>
      <c r="BP18" s="1824">
        <v>35268.25</v>
      </c>
      <c r="BQ18" s="7788"/>
      <c r="BR18" s="1824">
        <v>28405.85</v>
      </c>
      <c r="BS18" s="4396"/>
      <c r="BT18" s="4396"/>
      <c r="BU18" s="4396"/>
      <c r="BV18" s="4396"/>
      <c r="BW18" s="3604"/>
    </row>
    <row r="19" spans="2:75" ht="15" customHeight="1" thickBot="1" x14ac:dyDescent="0.3">
      <c r="B19" s="5484" t="s">
        <v>1138</v>
      </c>
      <c r="C19" s="5491" t="s">
        <v>352</v>
      </c>
      <c r="D19" s="7753"/>
      <c r="E19" s="7754"/>
      <c r="F19" s="5504">
        <v>2999.0299999999993</v>
      </c>
      <c r="G19" s="7754"/>
      <c r="H19" s="5504">
        <v>2929.0299999999993</v>
      </c>
      <c r="I19" s="7749"/>
      <c r="J19" s="497">
        <f>+F19+H19</f>
        <v>5928.0599999999986</v>
      </c>
      <c r="K19" s="7754"/>
      <c r="L19" s="5504">
        <v>35.9</v>
      </c>
      <c r="M19" s="7765"/>
      <c r="N19" s="1834">
        <f>+F19+H19+L19</f>
        <v>5963.9599999999982</v>
      </c>
      <c r="O19" s="7754"/>
      <c r="P19" s="5504">
        <v>38.94</v>
      </c>
      <c r="Q19" s="7749"/>
      <c r="R19" s="497">
        <f>+N19+P19</f>
        <v>6002.8999999999978</v>
      </c>
      <c r="S19" s="7754"/>
      <c r="T19" s="5504">
        <v>158.79</v>
      </c>
      <c r="U19" s="7749"/>
      <c r="V19" s="497">
        <f>+R19+T19</f>
        <v>6161.6899999999978</v>
      </c>
      <c r="W19" s="7754"/>
      <c r="X19" s="5504">
        <v>89.79</v>
      </c>
      <c r="Y19" s="7758"/>
      <c r="Z19" s="71">
        <f t="shared" si="44"/>
        <v>287.52</v>
      </c>
      <c r="AA19" s="7761"/>
      <c r="AB19" s="671">
        <f t="shared" si="45"/>
        <v>6251.4799999999977</v>
      </c>
      <c r="AC19" s="7754"/>
      <c r="AD19" s="5504">
        <v>2836.7</v>
      </c>
      <c r="AE19" s="7749"/>
      <c r="AF19" s="497">
        <f>+AB19+AD19</f>
        <v>9088.1799999999967</v>
      </c>
      <c r="AG19" s="7754"/>
      <c r="AH19" s="5504">
        <v>2943.85</v>
      </c>
      <c r="AI19" s="7749"/>
      <c r="AJ19" s="497">
        <f>+AF19+AH19</f>
        <v>12032.029999999997</v>
      </c>
      <c r="AK19" s="7754"/>
      <c r="AL19" s="5504">
        <v>2712.14</v>
      </c>
      <c r="AM19" s="7758"/>
      <c r="AN19" s="71">
        <f t="shared" si="46"/>
        <v>8492.6899999999987</v>
      </c>
      <c r="AO19" s="7749"/>
      <c r="AP19" s="411">
        <f t="shared" si="42"/>
        <v>14744.169999999996</v>
      </c>
      <c r="AQ19" s="7754"/>
      <c r="AR19" s="5504">
        <v>2842.54</v>
      </c>
      <c r="AS19" s="7749"/>
      <c r="AT19" s="497">
        <f>+AP19+AR19</f>
        <v>17586.709999999995</v>
      </c>
      <c r="AU19" s="7754"/>
      <c r="AV19" s="5504">
        <v>0</v>
      </c>
      <c r="AW19" s="7749"/>
      <c r="AX19" s="497">
        <f>+AT19+AV19</f>
        <v>17586.709999999995</v>
      </c>
      <c r="AY19" s="7754"/>
      <c r="AZ19" s="5504">
        <v>2784.3999999999996</v>
      </c>
      <c r="BA19" s="7758"/>
      <c r="BB19" s="71">
        <f t="shared" si="47"/>
        <v>5626.94</v>
      </c>
      <c r="BC19" s="7761"/>
      <c r="BD19" s="608">
        <f t="shared" si="43"/>
        <v>14119.629999999997</v>
      </c>
      <c r="BE19" s="7749"/>
      <c r="BF19" s="497">
        <f>+AX19+AZ19</f>
        <v>20371.109999999993</v>
      </c>
      <c r="BG19" s="7786"/>
      <c r="BH19" s="1824">
        <v>14221</v>
      </c>
      <c r="BI19" s="7786"/>
      <c r="BJ19" s="1824">
        <v>58464.989999999991</v>
      </c>
      <c r="BK19" s="7786"/>
      <c r="BL19" s="1824">
        <v>86754.520000000019</v>
      </c>
      <c r="BM19" s="7794"/>
      <c r="BN19" s="1824">
        <v>408982.57999999996</v>
      </c>
      <c r="BO19" s="7788"/>
      <c r="BP19" s="1824">
        <v>662096.97799999977</v>
      </c>
      <c r="BQ19" s="7788"/>
      <c r="BR19" s="1824">
        <v>536611.97599999979</v>
      </c>
      <c r="BS19" s="4396"/>
      <c r="BT19" s="4396"/>
      <c r="BU19" s="4396"/>
      <c r="BW19" s="3604"/>
    </row>
    <row r="20" spans="2:75" ht="15" customHeight="1" thickBot="1" x14ac:dyDescent="0.3">
      <c r="B20" s="257" t="s">
        <v>1376</v>
      </c>
      <c r="C20" s="100" t="s">
        <v>49</v>
      </c>
      <c r="D20" s="1832"/>
      <c r="E20" s="5497"/>
      <c r="F20" s="5508">
        <f>+((F16+F18+F15+F19)/F12)*100</f>
        <v>63.032045044497586</v>
      </c>
      <c r="G20" s="5497"/>
      <c r="H20" s="5508">
        <f>+((H16+H18+H15+H19)/H12)*100</f>
        <v>66.392433797591266</v>
      </c>
      <c r="I20" s="7750"/>
      <c r="J20" s="1835">
        <f>+((+J15+J16+J18+J19)/J12)*100</f>
        <v>64.772436094321122</v>
      </c>
      <c r="K20" s="5497"/>
      <c r="L20" s="5508">
        <f>+((L16+L18+L15+L19)/L12)*100</f>
        <v>58.226038387604021</v>
      </c>
      <c r="M20" s="1840"/>
      <c r="N20" s="69">
        <f>+((+N15+N16+N18+N19)/N12)*100</f>
        <v>62.531784006226275</v>
      </c>
      <c r="O20" s="5497"/>
      <c r="P20" s="5508">
        <f>+((P16+P18+P15+P19)/P12)*100</f>
        <v>57.773170219021665</v>
      </c>
      <c r="Q20" s="7750"/>
      <c r="R20" s="1835">
        <f>+((+R15+R16+R18+R19)/R12)*100</f>
        <v>61.217396729463594</v>
      </c>
      <c r="S20" s="5497"/>
      <c r="T20" s="5508">
        <f>+((T16+T18+T15+T19)/T12)*100</f>
        <v>63.864152758501149</v>
      </c>
      <c r="U20" s="7750"/>
      <c r="V20" s="1835">
        <f>+((+V15+V16+V18+V19)/V12)*100</f>
        <v>61.795190782308175</v>
      </c>
      <c r="W20" s="5497"/>
      <c r="X20" s="5508">
        <f>+((X16+X18+X15+X19)/X12)*100</f>
        <v>59.893216245570116</v>
      </c>
      <c r="Y20" s="7759"/>
      <c r="Z20" s="1503">
        <f>+((Z16+Z18+Z15+Z19)/Z12)*100</f>
        <v>60.555317359519769</v>
      </c>
      <c r="AA20" s="7762"/>
      <c r="AB20" s="1504">
        <f>+((AB16+AB18+AB15+AB19)/AB12)*100</f>
        <v>61.500032379051881</v>
      </c>
      <c r="AC20" s="5497"/>
      <c r="AD20" s="5508">
        <f>+((AD16+AD18+AD15+AD19)/AD12)*100</f>
        <v>63.886987663871295</v>
      </c>
      <c r="AE20" s="7750"/>
      <c r="AF20" s="1835">
        <f>+((+AF15+AF16+AF18+AF19)/AF12)*100</f>
        <v>61.774539227057247</v>
      </c>
      <c r="AG20" s="5497"/>
      <c r="AH20" s="5508">
        <f>+((AH16+AH18+AH15+AH19)/AH12)*100</f>
        <v>66.562168839834442</v>
      </c>
      <c r="AI20" s="7750"/>
      <c r="AJ20" s="1835">
        <f>+((+AJ15+AJ16+AJ18+AJ19)/AJ12)*100</f>
        <v>62.385873644959574</v>
      </c>
      <c r="AK20" s="5497"/>
      <c r="AL20" s="5508">
        <f>+((AL16+AL18+AL15+AL19)/AL12)*100</f>
        <v>69.887464552064444</v>
      </c>
      <c r="AM20" s="7759"/>
      <c r="AN20" s="1503">
        <f>+((AN16+AN18+AN15+AN19)/AN12)*100</f>
        <v>67.046662286194959</v>
      </c>
      <c r="AO20" s="7750"/>
      <c r="AP20" s="1835">
        <f>+((+AP15+AP16+AP18+AP19)/AP12)*100</f>
        <v>63.268545876722371</v>
      </c>
      <c r="AQ20" s="5497"/>
      <c r="AR20" s="5508">
        <f>+((AR16+AR18+AR15+AR19)/AR12)*100</f>
        <v>75.254875717711656</v>
      </c>
      <c r="AS20" s="7750"/>
      <c r="AT20" s="1835">
        <f>+((+AT15+AT16+AT18+AT19)/AT12)*100</f>
        <v>64.461359012636024</v>
      </c>
      <c r="AU20" s="5497"/>
      <c r="AV20" s="5508">
        <f>+((AV16+AV18+AV15+AV19)/AV12)*100</f>
        <v>78.198716719294055</v>
      </c>
      <c r="AW20" s="7750"/>
      <c r="AX20" s="1835">
        <f>+((+AX15+AX16+AX18+AX19)/AX12)*100</f>
        <v>65.571622216374408</v>
      </c>
      <c r="AY20" s="5497"/>
      <c r="AZ20" s="5508">
        <f>+((AZ16+AZ18+AZ15+AZ19)/AZ12)*100</f>
        <v>74.166321714046347</v>
      </c>
      <c r="BA20" s="7759"/>
      <c r="BB20" s="1503">
        <f>+((BB16+BB18+BB15+BB19)/BB12)*100</f>
        <v>75.742353605574834</v>
      </c>
      <c r="BC20" s="7762"/>
      <c r="BD20" s="1504">
        <f>+((BD16+BD18+BD15+BD19)/BD12)*100</f>
        <v>71.44381510640217</v>
      </c>
      <c r="BE20" s="7750"/>
      <c r="BF20" s="1835">
        <f>+((+BF15+BF16+BF18+BF19)/BF12)*100</f>
        <v>66.336389643662969</v>
      </c>
      <c r="BG20" s="1833"/>
      <c r="BH20" s="1831">
        <v>71.834134814564663</v>
      </c>
      <c r="BI20" s="1833"/>
      <c r="BJ20" s="1831">
        <v>64.928436927079929</v>
      </c>
      <c r="BK20" s="1833"/>
      <c r="BL20" s="1831">
        <v>64.796113088206639</v>
      </c>
      <c r="BM20" s="7789"/>
      <c r="BN20" s="1825">
        <v>70.665579215426476</v>
      </c>
      <c r="BO20" s="7789"/>
      <c r="BP20" s="1825">
        <f>+((BP16+BP18+BP15+BP19)/BP12)*100</f>
        <v>74.478558013193179</v>
      </c>
      <c r="BQ20" s="7789"/>
      <c r="BR20" s="1839">
        <f>+((BR16+BR18+BR15+BR19)/BR12)*100</f>
        <v>55.629429892273293</v>
      </c>
      <c r="BS20" s="4396"/>
      <c r="BT20" s="4396"/>
      <c r="BU20" s="4396"/>
      <c r="BV20" s="4396"/>
      <c r="BW20" s="3604"/>
    </row>
    <row r="21" spans="2:75" ht="15" customHeight="1" thickBot="1" x14ac:dyDescent="0.3">
      <c r="B21" s="1846" t="s">
        <v>141</v>
      </c>
      <c r="C21" s="1836"/>
      <c r="D21" s="176"/>
      <c r="E21" s="177"/>
      <c r="F21" s="5509"/>
      <c r="G21" s="177"/>
      <c r="H21" s="5509"/>
      <c r="I21" s="1858"/>
      <c r="J21" s="1858"/>
      <c r="K21" s="177"/>
      <c r="L21" s="5509"/>
      <c r="M21" s="1858"/>
      <c r="N21" s="1858"/>
      <c r="O21" s="177"/>
      <c r="P21" s="5509"/>
      <c r="Q21" s="1858"/>
      <c r="R21" s="1858"/>
      <c r="S21" s="177"/>
      <c r="T21" s="5509"/>
      <c r="U21" s="1858"/>
      <c r="V21" s="1858"/>
      <c r="W21" s="177"/>
      <c r="X21" s="5509"/>
      <c r="Y21" s="1858"/>
      <c r="Z21" s="1858"/>
      <c r="AA21" s="1858"/>
      <c r="AB21" s="1858"/>
      <c r="AC21" s="177"/>
      <c r="AD21" s="5509"/>
      <c r="AE21" s="1858"/>
      <c r="AF21" s="1858"/>
      <c r="AG21" s="177"/>
      <c r="AH21" s="5509"/>
      <c r="AI21" s="1858"/>
      <c r="AJ21" s="1858"/>
      <c r="AK21" s="177"/>
      <c r="AL21" s="5509"/>
      <c r="AM21" s="1858"/>
      <c r="AN21" s="1858"/>
      <c r="AO21" s="1858"/>
      <c r="AP21" s="1858"/>
      <c r="AQ21" s="177"/>
      <c r="AR21" s="5509"/>
      <c r="AS21" s="1858"/>
      <c r="AT21" s="1858"/>
      <c r="AU21" s="177"/>
      <c r="AV21" s="5509"/>
      <c r="AW21" s="1858"/>
      <c r="AX21" s="1858"/>
      <c r="AY21" s="177"/>
      <c r="AZ21" s="5509"/>
      <c r="BA21" s="1858"/>
      <c r="BB21" s="1858"/>
      <c r="BC21" s="1858"/>
      <c r="BD21" s="1858"/>
      <c r="BE21" s="1858"/>
      <c r="BF21" s="1858"/>
      <c r="BG21" s="228"/>
      <c r="BH21" s="228"/>
      <c r="BI21" s="228"/>
      <c r="BJ21" s="228"/>
      <c r="BK21" s="228"/>
      <c r="BL21" s="228"/>
      <c r="BM21" s="176"/>
      <c r="BN21" s="177"/>
      <c r="BO21" s="176"/>
      <c r="BP21" s="177"/>
      <c r="BQ21" s="176"/>
      <c r="BR21" s="177"/>
      <c r="BS21" s="4396"/>
      <c r="BT21" s="4396"/>
      <c r="BU21" s="4396"/>
      <c r="BV21" s="4396"/>
      <c r="BW21" s="3604"/>
    </row>
    <row r="22" spans="2:75" ht="15" customHeight="1" x14ac:dyDescent="0.25">
      <c r="B22" s="1861" t="s">
        <v>22</v>
      </c>
      <c r="C22" s="710" t="s">
        <v>352</v>
      </c>
      <c r="D22" s="7744">
        <f>+D12</f>
        <v>2709999.9885122348</v>
      </c>
      <c r="E22" s="7746">
        <f>+E12</f>
        <v>181999.6837077587</v>
      </c>
      <c r="F22" s="5507">
        <v>164894.72300000003</v>
      </c>
      <c r="G22" s="7746">
        <f>+G12</f>
        <v>236499.57667165704</v>
      </c>
      <c r="H22" s="5507">
        <v>175451.51999999999</v>
      </c>
      <c r="I22" s="7755">
        <f>+I12</f>
        <v>418499.26037941576</v>
      </c>
      <c r="J22" s="41">
        <f>+F22+H22</f>
        <v>340346.24300000002</v>
      </c>
      <c r="K22" s="7746">
        <f>+K12</f>
        <v>229000.11088311527</v>
      </c>
      <c r="L22" s="5507">
        <v>185082.04</v>
      </c>
      <c r="M22" s="7763">
        <f>+M12</f>
        <v>647499.37126253103</v>
      </c>
      <c r="N22" s="673">
        <f>+F22+H22+L22</f>
        <v>525428.28300000005</v>
      </c>
      <c r="O22" s="7746">
        <f>+O12</f>
        <v>231500.14135532087</v>
      </c>
      <c r="P22" s="5507">
        <v>192470.12000000002</v>
      </c>
      <c r="Q22" s="7755">
        <f>+Q12</f>
        <v>878999.51261785184</v>
      </c>
      <c r="R22" s="41">
        <f>+N22+P22</f>
        <v>717898.40300000005</v>
      </c>
      <c r="S22" s="7746">
        <f>+S12</f>
        <v>231500.14135532087</v>
      </c>
      <c r="T22" s="5507">
        <v>199128.92</v>
      </c>
      <c r="U22" s="7755">
        <f>+U12</f>
        <v>1110499.6539731729</v>
      </c>
      <c r="V22" s="41">
        <f>+R22+T22</f>
        <v>917027.32300000009</v>
      </c>
      <c r="W22" s="7746">
        <f>+W12</f>
        <v>121299.68143151992</v>
      </c>
      <c r="X22" s="5507">
        <v>164143.06000000003</v>
      </c>
      <c r="Y22" s="7757">
        <f>+Y12</f>
        <v>584299.96414216165</v>
      </c>
      <c r="Z22" s="71">
        <f>+P22+T22+X22</f>
        <v>555742.10000000009</v>
      </c>
      <c r="AA22" s="7760">
        <f>+AA12</f>
        <v>1231799.3354046927</v>
      </c>
      <c r="AB22" s="608">
        <f>+N22+Z22</f>
        <v>1081170.3830000001</v>
      </c>
      <c r="AC22" s="7746">
        <f>+AC12</f>
        <v>236499.52815975636</v>
      </c>
      <c r="AD22" s="5507">
        <v>145794.66000000003</v>
      </c>
      <c r="AE22" s="7755">
        <f>+AE12</f>
        <v>1468298.8635644491</v>
      </c>
      <c r="AF22" s="41">
        <f>+AB22+AD22</f>
        <v>1226965.0430000001</v>
      </c>
      <c r="AG22" s="7746">
        <f>+AG12</f>
        <v>228999.58845567465</v>
      </c>
      <c r="AH22" s="5507">
        <v>168162.38500000001</v>
      </c>
      <c r="AI22" s="7755">
        <f>+AI12</f>
        <v>1697298.4520201238</v>
      </c>
      <c r="AJ22" s="41">
        <f>+AF22+AH22</f>
        <v>1395127.4280000001</v>
      </c>
      <c r="AK22" s="7746">
        <f>+AK12</f>
        <v>236500.0542408831</v>
      </c>
      <c r="AL22" s="5507">
        <v>173711.40100000001</v>
      </c>
      <c r="AM22" s="7757">
        <f>+AM12</f>
        <v>701999.17085631413</v>
      </c>
      <c r="AN22" s="71">
        <f>+AD22+AH22+AL22</f>
        <v>487668.44600000005</v>
      </c>
      <c r="AO22" s="7755">
        <f>AI22+AK22</f>
        <v>1933798.5062610069</v>
      </c>
      <c r="AP22" s="411">
        <f t="shared" ref="AP22:AP23" si="48">AJ22+AL22</f>
        <v>1568838.8290000001</v>
      </c>
      <c r="AQ22" s="7746">
        <f>+AQ12</f>
        <v>239999.66467513063</v>
      </c>
      <c r="AR22" s="5507">
        <v>175869.74100000004</v>
      </c>
      <c r="AS22" s="7755">
        <f>+AS12</f>
        <v>2173798.1709361374</v>
      </c>
      <c r="AT22" s="41">
        <f>+AP22+AR22</f>
        <v>1744708.5700000003</v>
      </c>
      <c r="AU22" s="7746">
        <f>+AU12</f>
        <v>214000.01042587042</v>
      </c>
      <c r="AV22" s="5507">
        <v>153661.51999999999</v>
      </c>
      <c r="AW22" s="7755">
        <f>+AW12</f>
        <v>2387798.1813620077</v>
      </c>
      <c r="AX22" s="41">
        <f>+AT22+AV22</f>
        <v>1898370.0900000003</v>
      </c>
      <c r="AY22" s="7746">
        <f>+AY12</f>
        <v>239999.99999666668</v>
      </c>
      <c r="AZ22" s="5507">
        <v>193134.932</v>
      </c>
      <c r="BA22" s="7757">
        <f>+BA12</f>
        <v>693999.67509766773</v>
      </c>
      <c r="BB22" s="71">
        <f>+AR22+AV22+AZ22</f>
        <v>522666.19300000009</v>
      </c>
      <c r="BC22" s="7760">
        <f>+BC12</f>
        <v>1395998.8459539819</v>
      </c>
      <c r="BD22" s="608">
        <f t="shared" ref="BD22:BD23" si="49">AN22+BB22</f>
        <v>1010334.6390000002</v>
      </c>
      <c r="BE22" s="7755">
        <f>+BE12</f>
        <v>2627798.1813586745</v>
      </c>
      <c r="BF22" s="41">
        <f>+AX22+AZ22</f>
        <v>2091505.0220000003</v>
      </c>
      <c r="BG22" s="7784">
        <v>2409999.5406616796</v>
      </c>
      <c r="BH22" s="1862">
        <v>1898390.98</v>
      </c>
      <c r="BI22" s="7784">
        <v>2525000.0144466418</v>
      </c>
      <c r="BJ22" s="1862">
        <v>1848504.2699999998</v>
      </c>
      <c r="BK22" s="7784">
        <v>2410000.013871755</v>
      </c>
      <c r="BL22" s="1862">
        <v>1959110.71</v>
      </c>
      <c r="BM22" s="7787">
        <v>2369500.1509075612</v>
      </c>
      <c r="BN22" s="1826">
        <v>1882591.37</v>
      </c>
      <c r="BO22" s="7790">
        <v>2234474.8024697341</v>
      </c>
      <c r="BP22" s="1826">
        <v>1557181.9489999996</v>
      </c>
      <c r="BQ22" s="7790">
        <f>+BQ12</f>
        <v>2406999.7409326425</v>
      </c>
      <c r="BR22" s="1826">
        <v>1655527.3639999998</v>
      </c>
      <c r="BS22" s="4396"/>
      <c r="BT22" s="4396"/>
      <c r="BU22" s="4396"/>
      <c r="BV22" s="4396"/>
      <c r="BW22" s="3604"/>
    </row>
    <row r="23" spans="2:75" ht="15" customHeight="1" thickBot="1" x14ac:dyDescent="0.3">
      <c r="B23" s="5492" t="s">
        <v>23</v>
      </c>
      <c r="C23" s="5491" t="s">
        <v>352</v>
      </c>
      <c r="D23" s="7745"/>
      <c r="E23" s="7747"/>
      <c r="F23" s="5502">
        <v>37527.87000000001</v>
      </c>
      <c r="G23" s="7747"/>
      <c r="H23" s="5502">
        <v>42014.51</v>
      </c>
      <c r="I23" s="7756"/>
      <c r="J23" s="37">
        <f>+F23+H23</f>
        <v>79542.38</v>
      </c>
      <c r="K23" s="7747"/>
      <c r="L23" s="5502">
        <v>33422.350000000006</v>
      </c>
      <c r="M23" s="7764"/>
      <c r="N23" s="66">
        <f>+F23+H23+L23</f>
        <v>112964.73000000001</v>
      </c>
      <c r="O23" s="7747"/>
      <c r="P23" s="5502">
        <v>51153.710000000021</v>
      </c>
      <c r="Q23" s="7756"/>
      <c r="R23" s="37">
        <f>+N23+P23</f>
        <v>164118.44000000003</v>
      </c>
      <c r="S23" s="7747"/>
      <c r="T23" s="5502">
        <v>47189.729999999996</v>
      </c>
      <c r="U23" s="7756"/>
      <c r="V23" s="37">
        <f>+R23+T23</f>
        <v>211308.17000000004</v>
      </c>
      <c r="W23" s="7747"/>
      <c r="X23" s="5502">
        <v>43122.55000000001</v>
      </c>
      <c r="Y23" s="7758"/>
      <c r="Z23" s="67">
        <f>+P23+T23+X23</f>
        <v>141465.99000000002</v>
      </c>
      <c r="AA23" s="7761"/>
      <c r="AB23" s="608">
        <f>+N23+Z23</f>
        <v>254430.72000000003</v>
      </c>
      <c r="AC23" s="7747"/>
      <c r="AD23" s="5502">
        <v>27763.029999999992</v>
      </c>
      <c r="AE23" s="7756"/>
      <c r="AF23" s="37">
        <f>+AB23+AD23</f>
        <v>282193.75</v>
      </c>
      <c r="AG23" s="7747"/>
      <c r="AH23" s="5502">
        <v>52751.30000000001</v>
      </c>
      <c r="AI23" s="7756"/>
      <c r="AJ23" s="37">
        <f>+AF23+AH23</f>
        <v>334945.05</v>
      </c>
      <c r="AK23" s="7747"/>
      <c r="AL23" s="5502">
        <v>57004.079999999987</v>
      </c>
      <c r="AM23" s="7758"/>
      <c r="AN23" s="67">
        <f>+AD23+AH23+AL23</f>
        <v>137518.40999999997</v>
      </c>
      <c r="AO23" s="7756"/>
      <c r="AP23" s="411">
        <f t="shared" si="48"/>
        <v>391949.13</v>
      </c>
      <c r="AQ23" s="7747"/>
      <c r="AR23" s="5502">
        <v>40820.869999999988</v>
      </c>
      <c r="AS23" s="7756"/>
      <c r="AT23" s="37">
        <f>+AP23+AR23</f>
        <v>432770</v>
      </c>
      <c r="AU23" s="7747"/>
      <c r="AV23" s="5502">
        <v>37797.760000000017</v>
      </c>
      <c r="AW23" s="7756"/>
      <c r="AX23" s="37">
        <f>+AT23+AV23</f>
        <v>470567.76</v>
      </c>
      <c r="AY23" s="7747"/>
      <c r="AZ23" s="5502">
        <v>38244.770000000004</v>
      </c>
      <c r="BA23" s="7758"/>
      <c r="BB23" s="67">
        <f>+AR23+AV23+AZ23</f>
        <v>116863.40000000001</v>
      </c>
      <c r="BC23" s="7761"/>
      <c r="BD23" s="608">
        <f t="shared" si="49"/>
        <v>254381.81</v>
      </c>
      <c r="BE23" s="7756"/>
      <c r="BF23" s="37">
        <f>+AX23+AZ23</f>
        <v>508812.53</v>
      </c>
      <c r="BG23" s="7785"/>
      <c r="BH23" s="1823">
        <v>452352.24000000011</v>
      </c>
      <c r="BI23" s="7785"/>
      <c r="BJ23" s="1823">
        <v>516386.89</v>
      </c>
      <c r="BK23" s="7785"/>
      <c r="BL23" s="1823">
        <v>338946.25000000006</v>
      </c>
      <c r="BM23" s="7788"/>
      <c r="BN23" s="1827">
        <v>295664.13</v>
      </c>
      <c r="BO23" s="7791"/>
      <c r="BP23" s="1827">
        <v>320472.90000000002</v>
      </c>
      <c r="BQ23" s="7791"/>
      <c r="BR23" s="1827">
        <v>394405.53999999992</v>
      </c>
      <c r="BS23" s="4396"/>
      <c r="BT23" s="4396"/>
      <c r="BU23" s="4396"/>
      <c r="BV23" s="4396"/>
      <c r="BW23" s="3604"/>
    </row>
    <row r="24" spans="2:75" ht="15" customHeight="1" thickBot="1" x14ac:dyDescent="0.3">
      <c r="B24" s="1844" t="s">
        <v>2</v>
      </c>
      <c r="C24" s="469" t="s">
        <v>352</v>
      </c>
      <c r="D24" s="7745"/>
      <c r="E24" s="7747"/>
      <c r="F24" s="726">
        <f>SUM(F22:F23)</f>
        <v>202422.59300000005</v>
      </c>
      <c r="G24" s="7747"/>
      <c r="H24" s="726">
        <f>SUM(H22:H23)</f>
        <v>217466.03</v>
      </c>
      <c r="I24" s="7756"/>
      <c r="J24" s="39">
        <f>SUM(J22:J23)</f>
        <v>419888.62300000002</v>
      </c>
      <c r="K24" s="7747"/>
      <c r="L24" s="726">
        <f>SUM(L22:L23)</f>
        <v>218504.39</v>
      </c>
      <c r="M24" s="7765"/>
      <c r="N24" s="1403">
        <f>SUM(N22:N23)</f>
        <v>638393.01300000004</v>
      </c>
      <c r="O24" s="7747"/>
      <c r="P24" s="726">
        <f>SUM(P22:P23)</f>
        <v>243623.83000000005</v>
      </c>
      <c r="Q24" s="7756"/>
      <c r="R24" s="39">
        <f>SUM(R22:R23)</f>
        <v>882016.84300000011</v>
      </c>
      <c r="S24" s="7747"/>
      <c r="T24" s="726">
        <f>SUM(T22:T23)</f>
        <v>246318.65000000002</v>
      </c>
      <c r="U24" s="7756"/>
      <c r="V24" s="39">
        <f>SUM(V22:V23)</f>
        <v>1128335.4930000002</v>
      </c>
      <c r="W24" s="7747"/>
      <c r="X24" s="726">
        <f>SUM(X22:X23)</f>
        <v>207265.61000000004</v>
      </c>
      <c r="Y24" s="7758"/>
      <c r="Z24" s="65">
        <f>SUM(Z22:Z23)</f>
        <v>697208.09000000008</v>
      </c>
      <c r="AA24" s="7761"/>
      <c r="AB24" s="434">
        <f>SUM(AB22:AB23)</f>
        <v>1335601.1030000001</v>
      </c>
      <c r="AC24" s="7747"/>
      <c r="AD24" s="726">
        <f>SUM(AD22:AD23)</f>
        <v>173557.69000000003</v>
      </c>
      <c r="AE24" s="7756"/>
      <c r="AF24" s="39">
        <f>SUM(AF22:AF23)</f>
        <v>1509158.7930000001</v>
      </c>
      <c r="AG24" s="7747"/>
      <c r="AH24" s="726">
        <f>SUM(AH22:AH23)</f>
        <v>220913.68500000003</v>
      </c>
      <c r="AI24" s="7756"/>
      <c r="AJ24" s="39">
        <f>SUM(AJ22:AJ23)</f>
        <v>1730072.4780000001</v>
      </c>
      <c r="AK24" s="7747"/>
      <c r="AL24" s="726">
        <f>SUM(AL22:AL23)</f>
        <v>230715.481</v>
      </c>
      <c r="AM24" s="7758"/>
      <c r="AN24" s="65">
        <f>SUM(AN22:AN23)</f>
        <v>625186.85600000003</v>
      </c>
      <c r="AO24" s="7756"/>
      <c r="AP24" s="39">
        <f>SUM(AP22:AP23)</f>
        <v>1960787.9590000003</v>
      </c>
      <c r="AQ24" s="7747"/>
      <c r="AR24" s="726">
        <f>SUM(AR22:AR23)</f>
        <v>216690.61100000003</v>
      </c>
      <c r="AS24" s="7756"/>
      <c r="AT24" s="39">
        <f>SUM(AT22:AT23)</f>
        <v>2177478.5700000003</v>
      </c>
      <c r="AU24" s="7747"/>
      <c r="AV24" s="726">
        <f>SUM(AV22:AV23)</f>
        <v>191459.28</v>
      </c>
      <c r="AW24" s="7756"/>
      <c r="AX24" s="39">
        <f>SUM(AX22:AX23)</f>
        <v>2368937.8500000006</v>
      </c>
      <c r="AY24" s="7747"/>
      <c r="AZ24" s="726">
        <f>SUM(AZ22:AZ23)</f>
        <v>231379.70199999999</v>
      </c>
      <c r="BA24" s="7758"/>
      <c r="BB24" s="65">
        <f>SUM(BB22:BB23)</f>
        <v>639529.59300000011</v>
      </c>
      <c r="BC24" s="7761"/>
      <c r="BD24" s="434">
        <f>SUM(BD22:BD23)</f>
        <v>1264716.4490000003</v>
      </c>
      <c r="BE24" s="7756"/>
      <c r="BF24" s="39">
        <f>SUM(BF22:BF23)</f>
        <v>2600317.5520000001</v>
      </c>
      <c r="BG24" s="7786"/>
      <c r="BH24" s="1859">
        <v>2350743.2200000002</v>
      </c>
      <c r="BI24" s="7786"/>
      <c r="BJ24" s="1859">
        <v>2364891.1599999997</v>
      </c>
      <c r="BK24" s="7786"/>
      <c r="BL24" s="1859">
        <v>2298056.96</v>
      </c>
      <c r="BM24" s="7791"/>
      <c r="BN24" s="1828">
        <f>SUM(BN22:BN23)</f>
        <v>2178255.5</v>
      </c>
      <c r="BO24" s="7791"/>
      <c r="BP24" s="1828">
        <v>1877654.8489999995</v>
      </c>
      <c r="BQ24" s="7791"/>
      <c r="BR24" s="1828">
        <f>SUM(BR22:BR23)</f>
        <v>2049932.9039999996</v>
      </c>
      <c r="BS24" s="4396"/>
      <c r="BT24" s="4396"/>
      <c r="BU24" s="4396"/>
      <c r="BV24" s="4396"/>
      <c r="BW24" s="3604"/>
    </row>
    <row r="25" spans="2:75" ht="15" customHeight="1" thickBot="1" x14ac:dyDescent="0.3">
      <c r="B25" s="1843" t="s">
        <v>625</v>
      </c>
      <c r="C25" s="469" t="s">
        <v>49</v>
      </c>
      <c r="D25" s="1852"/>
      <c r="E25" s="1852"/>
      <c r="F25" s="5510">
        <f>+F23/F24*100</f>
        <v>18.539368280891452</v>
      </c>
      <c r="G25" s="1852"/>
      <c r="H25" s="5510">
        <f>+H23/H24*100</f>
        <v>19.320033570300613</v>
      </c>
      <c r="I25" s="7750"/>
      <c r="J25" s="1835">
        <f>+J23/J24*100</f>
        <v>18.943685454416325</v>
      </c>
      <c r="K25" s="1852"/>
      <c r="L25" s="5510">
        <f>+L23/L24*100</f>
        <v>15.295962703541107</v>
      </c>
      <c r="M25" s="1857"/>
      <c r="N25" s="1853">
        <f>+N23/N24*100</f>
        <v>17.695170169414119</v>
      </c>
      <c r="O25" s="1852"/>
      <c r="P25" s="5510">
        <f>+P23/P24*100</f>
        <v>20.997005916867824</v>
      </c>
      <c r="Q25" s="7750"/>
      <c r="R25" s="1835">
        <f>+R23/R24*100</f>
        <v>18.607177550236422</v>
      </c>
      <c r="S25" s="1852"/>
      <c r="T25" s="5510">
        <f>+T23/T24*100</f>
        <v>19.158001231331852</v>
      </c>
      <c r="U25" s="7750"/>
      <c r="V25" s="1835">
        <f>+V23/V24*100</f>
        <v>18.727423830139145</v>
      </c>
      <c r="W25" s="1852"/>
      <c r="X25" s="5510">
        <f>+X23/X24*100</f>
        <v>20.805453446908054</v>
      </c>
      <c r="Y25" s="7759"/>
      <c r="Z25" s="69">
        <f>+Z23/Z24*100</f>
        <v>20.290354060578959</v>
      </c>
      <c r="AA25" s="7762"/>
      <c r="AB25" s="435">
        <f>+AB23/AB24*100</f>
        <v>19.049903405178608</v>
      </c>
      <c r="AC25" s="1852"/>
      <c r="AD25" s="5510">
        <f>+AD23/AD24*100</f>
        <v>15.996427470312602</v>
      </c>
      <c r="AE25" s="7750"/>
      <c r="AF25" s="1835">
        <f>+AF23/AF24*100</f>
        <v>18.698744711882682</v>
      </c>
      <c r="AG25" s="1852"/>
      <c r="AH25" s="5510">
        <f>+AH23/AH24*100</f>
        <v>23.878692712042717</v>
      </c>
      <c r="AI25" s="7750"/>
      <c r="AJ25" s="1835">
        <f>+AJ23/AJ24*100</f>
        <v>19.360174458540804</v>
      </c>
      <c r="AK25" s="1852"/>
      <c r="AL25" s="5510">
        <f>+AL23/AL24*100</f>
        <v>24.707522769137448</v>
      </c>
      <c r="AM25" s="7759"/>
      <c r="AN25" s="69">
        <f>+AN23/AN24*100</f>
        <v>21.9963693542527</v>
      </c>
      <c r="AO25" s="7750"/>
      <c r="AP25" s="1835">
        <f>+AP23/AP24*100</f>
        <v>19.989368467964972</v>
      </c>
      <c r="AQ25" s="1852"/>
      <c r="AR25" s="5510">
        <f>+AR23/AR24*100</f>
        <v>18.8383196722815</v>
      </c>
      <c r="AS25" s="7750"/>
      <c r="AT25" s="1835">
        <f>+AT23/AT24*100</f>
        <v>19.874822464957713</v>
      </c>
      <c r="AU25" s="1852"/>
      <c r="AV25" s="5510">
        <f>+AV23/AV24*100</f>
        <v>19.741931548055554</v>
      </c>
      <c r="AW25" s="7750"/>
      <c r="AX25" s="1835">
        <f>+AX23/AX24*100</f>
        <v>19.864082124400177</v>
      </c>
      <c r="AY25" s="1852"/>
      <c r="AZ25" s="5510">
        <f>+AZ23/AZ24*100</f>
        <v>16.529008235994706</v>
      </c>
      <c r="BA25" s="7759"/>
      <c r="BB25" s="69">
        <f>+BB23/BB24*100</f>
        <v>18.273337352818945</v>
      </c>
      <c r="BC25" s="7762"/>
      <c r="BD25" s="435">
        <f>+BD23/BD24*100</f>
        <v>20.11374250735312</v>
      </c>
      <c r="BE25" s="7750"/>
      <c r="BF25" s="1835">
        <f>+BF23/BF24*100</f>
        <v>19.567322829807981</v>
      </c>
      <c r="BG25" s="1854"/>
      <c r="BH25" s="1856">
        <v>19.24294564167668</v>
      </c>
      <c r="BI25" s="1854"/>
      <c r="BJ25" s="1856">
        <v>21.835545700124317</v>
      </c>
      <c r="BK25" s="1854"/>
      <c r="BL25" s="1856">
        <v>14.749253647742485</v>
      </c>
      <c r="BM25" s="7789"/>
      <c r="BN25" s="1829">
        <v>13.573437879389068</v>
      </c>
      <c r="BO25" s="7792"/>
      <c r="BP25" s="1855">
        <f>+BP23/BP24*100</f>
        <v>17.06772148090355</v>
      </c>
      <c r="BQ25" s="7792"/>
      <c r="BR25" s="1855">
        <f>+BR23/BR24*100</f>
        <v>19.239924352177724</v>
      </c>
      <c r="BS25" s="4396"/>
      <c r="BT25" s="4396"/>
      <c r="BU25" s="4396"/>
      <c r="BV25" s="4396"/>
      <c r="BW25" s="3604"/>
    </row>
    <row r="26" spans="2:75" x14ac:dyDescent="0.25">
      <c r="B26" s="1635" t="s">
        <v>605</v>
      </c>
      <c r="C26" s="15" t="s">
        <v>352</v>
      </c>
      <c r="D26" s="1849"/>
      <c r="E26" s="5498">
        <f>+'Maj Production Summ'!E26</f>
        <v>1945</v>
      </c>
      <c r="F26" s="5502">
        <f>'Direct sales IPT details'!E97</f>
        <v>296.7</v>
      </c>
      <c r="G26" s="5498">
        <f>+'Maj Production Summ'!G26</f>
        <v>810</v>
      </c>
      <c r="H26" s="5502">
        <v>2497.5899999999997</v>
      </c>
      <c r="I26" s="675">
        <f t="shared" ref="I26:J27" si="50">+E26+G26</f>
        <v>2755</v>
      </c>
      <c r="J26" s="60">
        <f t="shared" si="50"/>
        <v>2794.2899999999995</v>
      </c>
      <c r="K26" s="5498">
        <f>+'Maj Production Summ'!K26</f>
        <v>810</v>
      </c>
      <c r="L26" s="5502">
        <v>996.79</v>
      </c>
      <c r="M26" s="430">
        <f t="shared" ref="M26:N27" si="51">+E26+G26+K26</f>
        <v>3565</v>
      </c>
      <c r="N26" s="430">
        <f t="shared" si="51"/>
        <v>3791.0799999999995</v>
      </c>
      <c r="O26" s="5498">
        <f>+'Maj Production Summ'!O26</f>
        <v>810</v>
      </c>
      <c r="P26" s="5502">
        <v>900.29000000000019</v>
      </c>
      <c r="Q26" s="4276">
        <f t="shared" ref="Q26:Q27" si="52">+M26+O26</f>
        <v>4375</v>
      </c>
      <c r="R26" s="60">
        <f t="shared" ref="R26:R27" si="53">+N26+P26</f>
        <v>4691.37</v>
      </c>
      <c r="S26" s="5498">
        <f>+'Maj Production Summ'!S26</f>
        <v>810</v>
      </c>
      <c r="T26" s="5502">
        <v>98.82</v>
      </c>
      <c r="U26" s="4319">
        <f t="shared" ref="U26:U27" si="54">+Q26+S26</f>
        <v>5185</v>
      </c>
      <c r="V26" s="60">
        <f t="shared" ref="V26:V27" si="55">+R26+T26</f>
        <v>4790.1899999999996</v>
      </c>
      <c r="W26" s="5498">
        <f>+'Maj Production Summ'!W26</f>
        <v>5360</v>
      </c>
      <c r="X26" s="5502">
        <v>199.97</v>
      </c>
      <c r="Y26" s="3784">
        <f t="shared" ref="Y26:Z27" si="56">+O26+S26+W26</f>
        <v>6980</v>
      </c>
      <c r="Z26" s="81">
        <f t="shared" si="56"/>
        <v>1199.0800000000002</v>
      </c>
      <c r="AA26" s="746">
        <f t="shared" ref="AA26:AB27" si="57">+M26+Y26</f>
        <v>10545</v>
      </c>
      <c r="AB26" s="746">
        <f t="shared" si="57"/>
        <v>4990.16</v>
      </c>
      <c r="AC26" s="5498">
        <f>+'Maj Production Summ'!AC26</f>
        <v>810</v>
      </c>
      <c r="AD26" s="5502">
        <v>696.92</v>
      </c>
      <c r="AE26" s="675">
        <f t="shared" ref="AE26:AE27" si="58">+AA26+AC26</f>
        <v>11355</v>
      </c>
      <c r="AF26" s="60">
        <f t="shared" ref="AF26:AF27" si="59">+AB26+AD26</f>
        <v>5687.08</v>
      </c>
      <c r="AG26" s="5498">
        <f>+'Maj Production Summ'!AG26</f>
        <v>810</v>
      </c>
      <c r="AH26" s="5502">
        <v>1596.1</v>
      </c>
      <c r="AI26" s="675">
        <f t="shared" ref="AI26:AI27" si="60">+AE26+AG26</f>
        <v>12165</v>
      </c>
      <c r="AJ26" s="60">
        <f t="shared" ref="AJ26:AJ27" si="61">+AF26+AH26</f>
        <v>7283.18</v>
      </c>
      <c r="AK26" s="5498">
        <f>+'Maj Production Summ'!AK26</f>
        <v>810</v>
      </c>
      <c r="AL26" s="5502">
        <v>298.72000000000003</v>
      </c>
      <c r="AM26" s="3784">
        <f t="shared" ref="AM26:AM27" si="62">+AC26+AG26+AK26</f>
        <v>2430</v>
      </c>
      <c r="AN26" s="81">
        <f t="shared" ref="AN26:AN27" si="63">+AD26+AH26+AL26</f>
        <v>2591.7399999999998</v>
      </c>
      <c r="AO26" s="411">
        <f t="shared" ref="AO26:AO27" si="64">AI26+AK26</f>
        <v>12975</v>
      </c>
      <c r="AP26" s="411">
        <f t="shared" ref="AP26:AP28" si="65">AJ26+AL26</f>
        <v>7581.9000000000005</v>
      </c>
      <c r="AQ26" s="5498">
        <f>+'Maj Production Summ'!AQ26</f>
        <v>810</v>
      </c>
      <c r="AR26" s="5502">
        <v>99.25</v>
      </c>
      <c r="AS26" s="675">
        <f t="shared" ref="AS26:AS27" si="66">+AO26+AQ26</f>
        <v>13785</v>
      </c>
      <c r="AT26" s="60">
        <f t="shared" ref="AT26:AT27" si="67">+AP26+AR26</f>
        <v>7681.1500000000005</v>
      </c>
      <c r="AU26" s="5498">
        <f>+'Maj Production Summ'!AU26</f>
        <v>810</v>
      </c>
      <c r="AV26" s="5502">
        <v>647.95000000000016</v>
      </c>
      <c r="AW26" s="675">
        <f t="shared" ref="AW26:AW27" si="68">+AS26+AU26</f>
        <v>14595</v>
      </c>
      <c r="AX26" s="60">
        <f t="shared" ref="AX26:AX27" si="69">+AT26+AV26</f>
        <v>8329.1</v>
      </c>
      <c r="AY26" s="5498">
        <f>+'Maj Production Summ'!AY26</f>
        <v>810</v>
      </c>
      <c r="AZ26" s="5502">
        <v>99.5</v>
      </c>
      <c r="BA26" s="3784">
        <f t="shared" ref="BA26:BA27" si="70">+AQ26+AU26+AY26</f>
        <v>2430</v>
      </c>
      <c r="BB26" s="81">
        <f t="shared" ref="BB26:BB27" si="71">+AR26+AV26+AZ26</f>
        <v>846.70000000000016</v>
      </c>
      <c r="BC26" s="608">
        <f t="shared" ref="BC26:BD28" si="72">AM26+BA26</f>
        <v>4860</v>
      </c>
      <c r="BD26" s="608">
        <f t="shared" ref="BD26:BD27" si="73">AN26+BB26</f>
        <v>3438.44</v>
      </c>
      <c r="BE26" s="675">
        <f t="shared" ref="BE26:BE27" si="74">+AW26+AY26</f>
        <v>15405</v>
      </c>
      <c r="BF26" s="60">
        <f t="shared" ref="BF26:BF27" si="75">+AX26+AZ26</f>
        <v>8428.6</v>
      </c>
      <c r="BG26" s="1114">
        <v>9365</v>
      </c>
      <c r="BH26" s="1830">
        <v>8679.7900000000009</v>
      </c>
      <c r="BI26" s="1114">
        <v>20742.20366598777</v>
      </c>
      <c r="BJ26" s="1830">
        <v>7537.0999999999985</v>
      </c>
      <c r="BK26" s="1114">
        <v>16929.735234215885</v>
      </c>
      <c r="BL26" s="1830">
        <v>8801.7400000000016</v>
      </c>
      <c r="BM26" s="1860">
        <v>19251.63543788188</v>
      </c>
      <c r="BN26" s="1827">
        <v>20488.86</v>
      </c>
      <c r="BO26" s="1860">
        <v>20754.644854293481</v>
      </c>
      <c r="BP26" s="1827">
        <v>80002.179999999993</v>
      </c>
      <c r="BQ26" s="1860">
        <v>29958.27154308611</v>
      </c>
      <c r="BR26" s="1827">
        <v>124050.80000000006</v>
      </c>
      <c r="BS26" s="4396"/>
      <c r="BT26" s="4396"/>
      <c r="BU26" s="4396"/>
      <c r="BV26" s="4396"/>
      <c r="BW26" s="3604"/>
    </row>
    <row r="27" spans="2:75" ht="15" customHeight="1" thickBot="1" x14ac:dyDescent="0.3">
      <c r="B27" s="5493" t="s">
        <v>1296</v>
      </c>
      <c r="C27" s="5482" t="s">
        <v>352</v>
      </c>
      <c r="D27" s="5483">
        <f>+'Maj Production Summ'!D27</f>
        <v>5103</v>
      </c>
      <c r="E27" s="5499">
        <f>+'Maj Production Summ'!E27</f>
        <v>644.51199999999994</v>
      </c>
      <c r="F27" s="5502">
        <f>'Direct sales IPT details'!E45</f>
        <v>499.25</v>
      </c>
      <c r="G27" s="5499">
        <f>+'Maj Production Summ'!G27</f>
        <v>279.98</v>
      </c>
      <c r="H27" s="5502">
        <v>0</v>
      </c>
      <c r="I27" s="3771">
        <f t="shared" si="50"/>
        <v>924.49199999999996</v>
      </c>
      <c r="J27" s="37">
        <f t="shared" si="50"/>
        <v>499.25</v>
      </c>
      <c r="K27" s="5499">
        <f>+'Maj Production Summ'!K27</f>
        <v>273.99599999999998</v>
      </c>
      <c r="L27" s="5502">
        <v>0</v>
      </c>
      <c r="M27" s="66">
        <f t="shared" si="51"/>
        <v>1198.4879999999998</v>
      </c>
      <c r="N27" s="66">
        <f t="shared" si="51"/>
        <v>499.25</v>
      </c>
      <c r="O27" s="5499">
        <f>+'Maj Production Summ'!O27</f>
        <v>276.24</v>
      </c>
      <c r="P27" s="5502">
        <v>996.4</v>
      </c>
      <c r="Q27" s="4273">
        <f t="shared" si="52"/>
        <v>1474.7279999999998</v>
      </c>
      <c r="R27" s="37">
        <f t="shared" si="53"/>
        <v>1495.65</v>
      </c>
      <c r="S27" s="5499">
        <f>+'Maj Production Summ'!S27</f>
        <v>276.24</v>
      </c>
      <c r="T27" s="5502">
        <v>496.32</v>
      </c>
      <c r="U27" s="4317">
        <f t="shared" si="54"/>
        <v>1750.9679999999998</v>
      </c>
      <c r="V27" s="37">
        <f t="shared" si="55"/>
        <v>1991.97</v>
      </c>
      <c r="W27" s="5499">
        <f>+'Maj Production Summ'!W27</f>
        <v>498.97</v>
      </c>
      <c r="X27" s="5502">
        <v>335.17</v>
      </c>
      <c r="Y27" s="3772">
        <f t="shared" si="56"/>
        <v>1051.45</v>
      </c>
      <c r="Z27" s="67">
        <f t="shared" si="56"/>
        <v>1827.89</v>
      </c>
      <c r="AA27" s="608">
        <f t="shared" si="57"/>
        <v>2249.9380000000001</v>
      </c>
      <c r="AB27" s="608">
        <f t="shared" si="57"/>
        <v>2327.1400000000003</v>
      </c>
      <c r="AC27" s="5499">
        <f>+'Maj Production Summ'!AC27</f>
        <v>279.98</v>
      </c>
      <c r="AD27" s="5502">
        <v>162.11000000000001</v>
      </c>
      <c r="AE27" s="3771">
        <f t="shared" si="58"/>
        <v>2529.9180000000001</v>
      </c>
      <c r="AF27" s="37">
        <f t="shared" si="59"/>
        <v>2489.2500000000005</v>
      </c>
      <c r="AG27" s="5499">
        <f>+'Maj Production Summ'!AG27</f>
        <v>273.99599999999998</v>
      </c>
      <c r="AH27" s="5502">
        <v>498.65</v>
      </c>
      <c r="AI27" s="3771">
        <f t="shared" si="60"/>
        <v>2803.9140000000002</v>
      </c>
      <c r="AJ27" s="37">
        <f t="shared" si="61"/>
        <v>2987.9000000000005</v>
      </c>
      <c r="AK27" s="5499">
        <f>+'Maj Production Summ'!AK27</f>
        <v>279.98</v>
      </c>
      <c r="AL27" s="5502">
        <v>1493.55</v>
      </c>
      <c r="AM27" s="3772">
        <f t="shared" si="62"/>
        <v>833.95600000000002</v>
      </c>
      <c r="AN27" s="67">
        <f t="shared" si="63"/>
        <v>2154.31</v>
      </c>
      <c r="AO27" s="411">
        <f t="shared" si="64"/>
        <v>3083.8940000000002</v>
      </c>
      <c r="AP27" s="411">
        <f t="shared" si="65"/>
        <v>4481.4500000000007</v>
      </c>
      <c r="AQ27" s="5499">
        <f>+'Maj Production Summ'!AQ27</f>
        <v>282.97199999999998</v>
      </c>
      <c r="AR27" s="5502">
        <v>1497.07</v>
      </c>
      <c r="AS27" s="3771">
        <f t="shared" si="66"/>
        <v>3366.866</v>
      </c>
      <c r="AT27" s="37">
        <f t="shared" si="67"/>
        <v>5978.52</v>
      </c>
      <c r="AU27" s="5499">
        <f>+'Maj Production Summ'!AU27</f>
        <v>262.02800000000002</v>
      </c>
      <c r="AV27" s="5502">
        <v>499.07000000000005</v>
      </c>
      <c r="AW27" s="3771">
        <f t="shared" si="68"/>
        <v>3628.8940000000002</v>
      </c>
      <c r="AX27" s="37">
        <f t="shared" si="69"/>
        <v>6477.59</v>
      </c>
      <c r="AY27" s="5499">
        <f>+'Maj Production Summ'!AY27</f>
        <v>282.97199999999998</v>
      </c>
      <c r="AZ27" s="5502">
        <v>499.56</v>
      </c>
      <c r="BA27" s="3772">
        <f t="shared" si="70"/>
        <v>827.97199999999998</v>
      </c>
      <c r="BB27" s="67">
        <f t="shared" si="71"/>
        <v>2495.6999999999998</v>
      </c>
      <c r="BC27" s="608">
        <f t="shared" si="72"/>
        <v>1661.9279999999999</v>
      </c>
      <c r="BD27" s="608">
        <f t="shared" si="73"/>
        <v>4650.01</v>
      </c>
      <c r="BE27" s="3771">
        <f t="shared" si="74"/>
        <v>3911.866</v>
      </c>
      <c r="BF27" s="37">
        <f t="shared" si="75"/>
        <v>6977.1500000000005</v>
      </c>
      <c r="BG27" s="1020">
        <v>2831.4999999999995</v>
      </c>
      <c r="BH27" s="1018">
        <v>5762.5199999999995</v>
      </c>
      <c r="BI27" s="1020">
        <v>2236.7519999999995</v>
      </c>
      <c r="BJ27" s="1018">
        <v>5991.8400000000011</v>
      </c>
      <c r="BK27" s="1020">
        <v>2057.5999999999995</v>
      </c>
      <c r="BL27" s="1018">
        <v>5429.83</v>
      </c>
      <c r="BM27" s="1020">
        <v>2163.56</v>
      </c>
      <c r="BN27" s="1019">
        <v>17862.580000000002</v>
      </c>
      <c r="BO27" s="1020">
        <v>6973.7102305913804</v>
      </c>
      <c r="BP27" s="1019">
        <v>29483.779999999995</v>
      </c>
      <c r="BQ27" s="1020">
        <v>8472.5250501001919</v>
      </c>
      <c r="BR27" s="1019">
        <v>59555.1</v>
      </c>
      <c r="BS27" s="4396"/>
      <c r="BT27" s="4396"/>
      <c r="BU27" s="4396"/>
      <c r="BV27" s="4396"/>
      <c r="BW27" s="3604"/>
    </row>
    <row r="28" spans="2:75" ht="15" customHeight="1" thickBot="1" x14ac:dyDescent="0.3">
      <c r="B28" s="1841" t="s">
        <v>350</v>
      </c>
      <c r="C28" s="14" t="s">
        <v>352</v>
      </c>
      <c r="D28" s="506">
        <f t="shared" ref="D28:AB28" si="76">SUM(D26:D27)</f>
        <v>5103</v>
      </c>
      <c r="E28" s="5500">
        <f t="shared" si="76"/>
        <v>2589.5119999999997</v>
      </c>
      <c r="F28" s="726">
        <f t="shared" si="76"/>
        <v>795.95</v>
      </c>
      <c r="G28" s="5500">
        <f t="shared" ref="G28:H28" si="77">SUM(G26:G27)</f>
        <v>1089.98</v>
      </c>
      <c r="H28" s="726">
        <f t="shared" si="77"/>
        <v>2497.5899999999997</v>
      </c>
      <c r="I28" s="682">
        <f t="shared" si="76"/>
        <v>3679.4920000000002</v>
      </c>
      <c r="J28" s="39">
        <f t="shared" si="76"/>
        <v>3293.5399999999995</v>
      </c>
      <c r="K28" s="5500">
        <f t="shared" ref="K28:L28" si="78">SUM(K26:K27)</f>
        <v>1083.9960000000001</v>
      </c>
      <c r="L28" s="726">
        <f t="shared" si="78"/>
        <v>996.79</v>
      </c>
      <c r="M28" s="683">
        <f t="shared" si="76"/>
        <v>4763.4879999999994</v>
      </c>
      <c r="N28" s="65">
        <f t="shared" si="76"/>
        <v>4290.33</v>
      </c>
      <c r="O28" s="5500">
        <f t="shared" ref="O28:P28" si="79">SUM(O26:O27)</f>
        <v>1086.24</v>
      </c>
      <c r="P28" s="726">
        <f t="shared" si="79"/>
        <v>1896.69</v>
      </c>
      <c r="Q28" s="682">
        <f t="shared" ref="Q28:T28" si="80">SUM(Q26:Q27)</f>
        <v>5849.7280000000001</v>
      </c>
      <c r="R28" s="39">
        <f t="shared" si="80"/>
        <v>6187.02</v>
      </c>
      <c r="S28" s="5500">
        <f t="shared" si="80"/>
        <v>1086.24</v>
      </c>
      <c r="T28" s="726">
        <f t="shared" si="80"/>
        <v>595.14</v>
      </c>
      <c r="U28" s="682">
        <f t="shared" ref="U28:X28" si="81">SUM(U26:U27)</f>
        <v>6935.9679999999998</v>
      </c>
      <c r="V28" s="39">
        <f t="shared" si="81"/>
        <v>6782.16</v>
      </c>
      <c r="W28" s="5500">
        <f t="shared" si="81"/>
        <v>5858.97</v>
      </c>
      <c r="X28" s="726">
        <f t="shared" si="81"/>
        <v>535.14</v>
      </c>
      <c r="Y28" s="331">
        <f t="shared" si="76"/>
        <v>8031.45</v>
      </c>
      <c r="Z28" s="65">
        <f t="shared" si="76"/>
        <v>3026.9700000000003</v>
      </c>
      <c r="AA28" s="684">
        <f t="shared" si="76"/>
        <v>12794.938</v>
      </c>
      <c r="AB28" s="434">
        <f t="shared" si="76"/>
        <v>7317.3</v>
      </c>
      <c r="AC28" s="5500">
        <f t="shared" ref="AC28:AD28" si="82">SUM(AC26:AC27)</f>
        <v>1089.98</v>
      </c>
      <c r="AD28" s="726">
        <f t="shared" si="82"/>
        <v>859.03</v>
      </c>
      <c r="AE28" s="682">
        <f t="shared" ref="AE28:AH28" si="83">SUM(AE26:AE27)</f>
        <v>13884.918</v>
      </c>
      <c r="AF28" s="39">
        <f t="shared" si="83"/>
        <v>8176.33</v>
      </c>
      <c r="AG28" s="5500">
        <f t="shared" si="83"/>
        <v>1083.9960000000001</v>
      </c>
      <c r="AH28" s="726">
        <f t="shared" si="83"/>
        <v>2094.75</v>
      </c>
      <c r="AI28" s="682">
        <f t="shared" ref="AI28:AL28" si="84">SUM(AI26:AI27)</f>
        <v>14968.914000000001</v>
      </c>
      <c r="AJ28" s="39">
        <f t="shared" si="84"/>
        <v>10271.080000000002</v>
      </c>
      <c r="AK28" s="5500">
        <f t="shared" si="84"/>
        <v>1089.98</v>
      </c>
      <c r="AL28" s="726">
        <f t="shared" si="84"/>
        <v>1792.27</v>
      </c>
      <c r="AM28" s="331">
        <f t="shared" ref="AM28:AN28" si="85">SUM(AM26:AM27)</f>
        <v>3263.9560000000001</v>
      </c>
      <c r="AN28" s="65">
        <f t="shared" si="85"/>
        <v>4746.0499999999993</v>
      </c>
      <c r="AO28" s="682">
        <f t="shared" ref="AO28" si="86">SUM(AO26:AO27)</f>
        <v>16058.894</v>
      </c>
      <c r="AP28" s="39">
        <f t="shared" si="65"/>
        <v>12063.350000000002</v>
      </c>
      <c r="AQ28" s="5500">
        <f t="shared" ref="AQ28:AR28" si="87">SUM(AQ26:AQ27)</f>
        <v>1092.972</v>
      </c>
      <c r="AR28" s="726">
        <f t="shared" si="87"/>
        <v>1596.32</v>
      </c>
      <c r="AS28" s="682">
        <f t="shared" ref="AS28:AV28" si="88">SUM(AS26:AS27)</f>
        <v>17151.866000000002</v>
      </c>
      <c r="AT28" s="39">
        <f t="shared" si="88"/>
        <v>13659.670000000002</v>
      </c>
      <c r="AU28" s="5500">
        <f t="shared" si="88"/>
        <v>1072.028</v>
      </c>
      <c r="AV28" s="726">
        <f t="shared" si="88"/>
        <v>1147.0200000000002</v>
      </c>
      <c r="AW28" s="682">
        <f t="shared" ref="AW28:AZ28" si="89">SUM(AW26:AW27)</f>
        <v>18223.894</v>
      </c>
      <c r="AX28" s="39">
        <f t="shared" si="89"/>
        <v>14806.69</v>
      </c>
      <c r="AY28" s="5500">
        <f t="shared" si="89"/>
        <v>1092.972</v>
      </c>
      <c r="AZ28" s="726">
        <f t="shared" si="89"/>
        <v>599.05999999999995</v>
      </c>
      <c r="BA28" s="331">
        <f t="shared" ref="BA28:BB28" si="90">SUM(BA26:BA27)</f>
        <v>3257.9719999999998</v>
      </c>
      <c r="BB28" s="65">
        <f t="shared" si="90"/>
        <v>3342.4</v>
      </c>
      <c r="BC28" s="608">
        <f t="shared" si="72"/>
        <v>6521.9279999999999</v>
      </c>
      <c r="BD28" s="608">
        <f t="shared" si="72"/>
        <v>8088.4499999999989</v>
      </c>
      <c r="BE28" s="682">
        <f t="shared" ref="BE28:BF28" si="91">SUM(BE26:BE27)</f>
        <v>19316.866000000002</v>
      </c>
      <c r="BF28" s="39">
        <f t="shared" si="91"/>
        <v>15405.75</v>
      </c>
      <c r="BG28" s="1016">
        <v>12196.5</v>
      </c>
      <c r="BH28" s="2392">
        <v>14442.310000000001</v>
      </c>
      <c r="BI28" s="1016">
        <v>22978.955665987771</v>
      </c>
      <c r="BJ28" s="2392">
        <v>13528.939999999999</v>
      </c>
      <c r="BK28" s="1016">
        <v>18987.335234215883</v>
      </c>
      <c r="BL28" s="2392">
        <v>14231.570000000002</v>
      </c>
      <c r="BM28" s="1016">
        <v>21415.195437881881</v>
      </c>
      <c r="BN28" s="1017">
        <v>38351.440000000002</v>
      </c>
      <c r="BO28" s="1016">
        <v>27728.355084884861</v>
      </c>
      <c r="BP28" s="1017">
        <v>109485.95999999999</v>
      </c>
      <c r="BQ28" s="1016">
        <f>SUM(BQ26:BQ27)</f>
        <v>38430.7965931863</v>
      </c>
      <c r="BR28" s="1017">
        <f>SUM(BR26:BR27)</f>
        <v>183605.90000000005</v>
      </c>
      <c r="BS28" s="4396"/>
      <c r="BT28" s="4396"/>
      <c r="BU28" s="4396"/>
      <c r="BV28" s="4396"/>
      <c r="BW28" s="3604"/>
    </row>
    <row r="29" spans="2:75" ht="15" customHeight="1" x14ac:dyDescent="0.25">
      <c r="B29" s="3956"/>
      <c r="D29" s="3607"/>
      <c r="I29" s="107"/>
      <c r="J29" s="43"/>
      <c r="O29" s="1192"/>
      <c r="BS29" s="3604"/>
      <c r="BT29" s="3604"/>
      <c r="BU29" s="3604"/>
      <c r="BV29" s="3604"/>
    </row>
    <row r="30" spans="2:75" ht="15" customHeight="1" x14ac:dyDescent="0.25">
      <c r="E30" s="3957"/>
      <c r="F30" s="3957"/>
      <c r="G30" s="3957"/>
      <c r="H30" s="3957"/>
      <c r="I30" s="3957"/>
      <c r="J30" s="3957"/>
      <c r="K30" s="3957"/>
      <c r="L30" s="3957"/>
      <c r="M30" s="3957"/>
      <c r="N30" s="3957"/>
      <c r="O30" s="3957"/>
      <c r="P30" s="3957"/>
      <c r="Q30" s="3957"/>
      <c r="R30" s="3957"/>
      <c r="S30" s="3957"/>
      <c r="T30" s="3957"/>
      <c r="U30" s="3604"/>
      <c r="V30" s="3957"/>
      <c r="W30" s="3957"/>
      <c r="X30" s="3957"/>
      <c r="Y30" s="3957"/>
      <c r="Z30" s="3957"/>
      <c r="AA30" s="3957"/>
      <c r="AB30" s="3957"/>
      <c r="AC30" s="3957"/>
      <c r="AD30" s="3957"/>
      <c r="AE30" s="3957"/>
      <c r="AF30" s="3957"/>
      <c r="AG30" s="3957"/>
      <c r="AH30" s="3957"/>
      <c r="AI30" s="3957"/>
      <c r="AJ30" s="3957"/>
      <c r="AK30" s="3957"/>
      <c r="AL30" s="3957"/>
      <c r="AM30" s="3957"/>
      <c r="AN30" s="3957"/>
      <c r="AO30" s="3957"/>
      <c r="AP30" s="3957"/>
      <c r="AQ30" s="3957"/>
      <c r="AR30" s="3957"/>
      <c r="AS30" s="3957"/>
      <c r="AT30" s="3957"/>
      <c r="AU30" s="3957"/>
      <c r="AV30" s="3957"/>
      <c r="BS30" s="3604"/>
      <c r="BT30" s="3604"/>
      <c r="BU30" s="3604"/>
      <c r="BV30" s="3604"/>
    </row>
    <row r="31" spans="2:75" ht="15" customHeight="1" x14ac:dyDescent="0.25">
      <c r="BS31" s="3604"/>
      <c r="BT31" s="3604"/>
      <c r="BU31" s="3604"/>
      <c r="BV31" s="3604"/>
    </row>
    <row r="32" spans="2:75" ht="15" customHeight="1" x14ac:dyDescent="0.25">
      <c r="BF32" s="3604"/>
      <c r="BG32" s="3604"/>
      <c r="BH32" s="3604"/>
      <c r="BI32" s="3604"/>
      <c r="BJ32" s="3604"/>
      <c r="BS32" s="3604"/>
      <c r="BT32" s="3604"/>
      <c r="BU32" s="3604"/>
      <c r="BV32" s="3604"/>
    </row>
    <row r="33" spans="36:36" ht="15" customHeight="1" x14ac:dyDescent="0.25">
      <c r="AJ33" s="3604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S84"/>
  <sheetViews>
    <sheetView zoomScaleNormal="100" workbookViewId="0">
      <pane xSplit="4" topLeftCell="E1" activePane="topRight" state="frozen"/>
      <selection pane="topRight" activeCell="BU16" sqref="BU16"/>
    </sheetView>
  </sheetViews>
  <sheetFormatPr defaultRowHeight="15" x14ac:dyDescent="0.25"/>
  <cols>
    <col min="1" max="1" width="3.85546875" customWidth="1"/>
    <col min="2" max="2" width="39.2851562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hidden="1" customWidth="1"/>
    <col min="8" max="8" width="8.42578125" hidden="1" customWidth="1"/>
    <col min="9" max="11" width="8.28515625" hidden="1" customWidth="1"/>
    <col min="12" max="12" width="8.42578125" hidden="1" customWidth="1"/>
    <col min="13" max="15" width="8.28515625" hidden="1" customWidth="1"/>
    <col min="16" max="16" width="8.42578125" hidden="1" customWidth="1"/>
    <col min="17" max="17" width="7.140625" hidden="1" customWidth="1"/>
    <col min="18" max="18" width="8.28515625" hidden="1" customWidth="1"/>
    <col min="19" max="19" width="7.140625" hidden="1" customWidth="1"/>
    <col min="20" max="20" width="8.42578125" hidden="1" customWidth="1"/>
    <col min="21" max="21" width="7.140625" hidden="1" customWidth="1"/>
    <col min="22" max="22" width="8.28515625" hidden="1" customWidth="1"/>
    <col min="23" max="23" width="6.7109375" hidden="1" customWidth="1"/>
    <col min="24" max="24" width="8.42578125" hidden="1" customWidth="1"/>
    <col min="25" max="25" width="8.28515625" hidden="1" customWidth="1"/>
    <col min="26" max="26" width="7.140625" hidden="1" customWidth="1"/>
    <col min="27" max="27" width="8" hidden="1" customWidth="1"/>
    <col min="28" max="29" width="8.28515625" hidden="1" customWidth="1"/>
    <col min="30" max="30" width="8.425781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8.42578125" hidden="1" customWidth="1"/>
    <col min="35" max="35" width="8.140625" hidden="1" customWidth="1"/>
    <col min="36" max="37" width="8.28515625" hidden="1" customWidth="1"/>
    <col min="38" max="38" width="8.42578125" hidden="1" customWidth="1"/>
    <col min="39" max="40" width="7.140625" hidden="1" customWidth="1"/>
    <col min="41" max="41" width="8.140625" hidden="1" customWidth="1"/>
    <col min="42" max="42" width="8.28515625" hidden="1" customWidth="1"/>
    <col min="43" max="43" width="8.7109375" hidden="1" customWidth="1"/>
    <col min="44" max="44" width="7.140625" hidden="1" customWidth="1"/>
    <col min="45" max="45" width="8.140625" hidden="1" customWidth="1"/>
    <col min="46" max="46" width="8.28515625" hidden="1" customWidth="1"/>
    <col min="47" max="47" width="7.140625" hidden="1" customWidth="1"/>
    <col min="48" max="48" width="8.42578125" hidden="1" customWidth="1"/>
    <col min="49" max="50" width="8.28515625" hidden="1" customWidth="1"/>
    <col min="51" max="51" width="7" hidden="1" customWidth="1"/>
    <col min="52" max="52" width="8.42578125" hidden="1" customWidth="1"/>
    <col min="53" max="54" width="7.140625" hidden="1" customWidth="1"/>
    <col min="55" max="57" width="8.140625" hidden="1" customWidth="1"/>
    <col min="58" max="58" width="8.28515625" hidden="1" customWidth="1"/>
    <col min="59" max="59" width="8.28515625" style="4487" hidden="1" customWidth="1"/>
    <col min="60" max="60" width="10.140625" style="4487" hidden="1" customWidth="1"/>
    <col min="61" max="61" width="8.140625" hidden="1" customWidth="1"/>
    <col min="62" max="62" width="11.28515625" hidden="1" customWidth="1"/>
    <col min="63" max="63" width="8.140625" hidden="1" customWidth="1"/>
    <col min="64" max="64" width="10.85546875" hidden="1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9.140625" customWidth="1"/>
  </cols>
  <sheetData>
    <row r="1" spans="1:71" ht="22.5" x14ac:dyDescent="0.25">
      <c r="A1" s="90"/>
      <c r="B1" s="7805" t="s">
        <v>1920</v>
      </c>
      <c r="C1" s="7805"/>
      <c r="D1" s="7805"/>
      <c r="E1" s="7805"/>
      <c r="F1" s="7805"/>
      <c r="G1" s="7805"/>
      <c r="H1" s="7805"/>
      <c r="I1" s="7805"/>
      <c r="J1" s="7805"/>
      <c r="K1" s="7805"/>
      <c r="L1" s="7805"/>
      <c r="M1" s="7805"/>
      <c r="N1" s="7805"/>
      <c r="O1" s="7805"/>
      <c r="P1" s="7805"/>
      <c r="Q1" s="7805"/>
      <c r="R1" s="7805"/>
      <c r="S1" s="7805"/>
      <c r="T1" s="7805"/>
      <c r="U1" s="7805"/>
      <c r="V1" s="7805"/>
      <c r="W1" s="7805"/>
      <c r="X1" s="7805"/>
      <c r="Y1" s="7805"/>
      <c r="Z1" s="7805"/>
      <c r="AA1" s="7805"/>
      <c r="AB1" s="7805"/>
      <c r="AC1" s="7805"/>
      <c r="AD1" s="7805"/>
      <c r="AE1" s="7805"/>
      <c r="AF1" s="7805"/>
      <c r="AG1" s="7805"/>
      <c r="AH1" s="7805"/>
      <c r="AI1" s="7805"/>
      <c r="AJ1" s="7805"/>
      <c r="AK1" s="7805"/>
      <c r="AL1" s="7805"/>
      <c r="AM1" s="7805"/>
      <c r="AN1" s="7805"/>
      <c r="AO1" s="7805"/>
      <c r="AP1" s="7805"/>
      <c r="AQ1" s="7805"/>
      <c r="AR1" s="7805"/>
      <c r="AS1" s="7805"/>
      <c r="AT1" s="7805"/>
      <c r="AU1" s="7805"/>
      <c r="AV1" s="7805"/>
      <c r="AW1" s="7805"/>
      <c r="AX1" s="7805"/>
      <c r="AY1" s="7805"/>
      <c r="AZ1" s="7805"/>
      <c r="BA1" s="7805"/>
      <c r="BB1" s="7805"/>
      <c r="BC1" s="7805"/>
      <c r="BD1" s="7805"/>
      <c r="BE1" s="7805"/>
      <c r="BF1" s="7805"/>
      <c r="BG1" s="7805"/>
      <c r="BH1" s="7805"/>
      <c r="BI1" s="7805"/>
      <c r="BJ1" s="7805"/>
      <c r="BK1" s="7805"/>
      <c r="BL1" s="7805"/>
      <c r="BM1" s="7805"/>
      <c r="BN1" s="7805"/>
      <c r="BO1" s="7805"/>
      <c r="BP1" s="7805"/>
      <c r="BQ1" s="7805"/>
      <c r="BR1" s="7805"/>
      <c r="BS1" s="7805"/>
    </row>
    <row r="2" spans="1:71" ht="19.5" thickBot="1" x14ac:dyDescent="0.35">
      <c r="A2" s="90"/>
      <c r="B2" s="2177"/>
      <c r="C2" s="2752"/>
      <c r="D2" s="2717">
        <v>365</v>
      </c>
      <c r="E2" s="2717">
        <v>30</v>
      </c>
      <c r="F2" s="2717">
        <v>30</v>
      </c>
      <c r="G2" s="2717">
        <v>31</v>
      </c>
      <c r="H2" s="2717">
        <v>31</v>
      </c>
      <c r="I2" s="2717">
        <f>+E2+G2</f>
        <v>61</v>
      </c>
      <c r="J2" s="2717">
        <f>+F2+H2</f>
        <v>61</v>
      </c>
      <c r="K2" s="2718">
        <v>30</v>
      </c>
      <c r="L2" s="2718">
        <v>30</v>
      </c>
      <c r="M2" s="2719">
        <f>+I2+K2</f>
        <v>91</v>
      </c>
      <c r="N2" s="2719">
        <f>+J2+L2</f>
        <v>91</v>
      </c>
      <c r="O2" s="2718">
        <v>31</v>
      </c>
      <c r="P2" s="2717">
        <v>31</v>
      </c>
      <c r="Q2" s="2720">
        <f>+M2+O2</f>
        <v>122</v>
      </c>
      <c r="R2" s="2720">
        <f>+N2+P2</f>
        <v>122</v>
      </c>
      <c r="S2" s="2720">
        <v>31</v>
      </c>
      <c r="T2" s="2720">
        <v>31</v>
      </c>
      <c r="U2" s="2720">
        <f>+Q2+S2</f>
        <v>153</v>
      </c>
      <c r="V2" s="2720">
        <f>+R2+T2</f>
        <v>153</v>
      </c>
      <c r="W2" s="2720">
        <v>30</v>
      </c>
      <c r="X2" s="2720">
        <v>30</v>
      </c>
      <c r="Y2" s="2720">
        <f>+O2+S2+W2</f>
        <v>92</v>
      </c>
      <c r="Z2" s="2720">
        <f>+P2+T2+X2</f>
        <v>92</v>
      </c>
      <c r="AA2" s="2720">
        <f>+U2+W2</f>
        <v>183</v>
      </c>
      <c r="AB2" s="2720">
        <f>+V2+X2</f>
        <v>183</v>
      </c>
      <c r="AC2" s="2720">
        <v>31</v>
      </c>
      <c r="AD2" s="2720">
        <v>31</v>
      </c>
      <c r="AE2" s="2720">
        <f>+AA2+AC2</f>
        <v>214</v>
      </c>
      <c r="AF2" s="2720">
        <f>+AB2+AD2</f>
        <v>214</v>
      </c>
      <c r="AG2" s="2720">
        <v>30</v>
      </c>
      <c r="AH2" s="2720">
        <v>30</v>
      </c>
      <c r="AI2" s="2720">
        <f>+AE2+AG2</f>
        <v>244</v>
      </c>
      <c r="AJ2" s="2720">
        <f>+AF2+AH2</f>
        <v>244</v>
      </c>
      <c r="AK2" s="2720">
        <v>31</v>
      </c>
      <c r="AL2" s="2720">
        <v>31</v>
      </c>
      <c r="AM2" s="2720">
        <f>+AC2+AG2+AK2</f>
        <v>92</v>
      </c>
      <c r="AN2" s="2720">
        <f>+AD2+AH2+AL2</f>
        <v>92</v>
      </c>
      <c r="AO2" s="2720">
        <f>+AI2+AK2</f>
        <v>275</v>
      </c>
      <c r="AP2" s="2720">
        <f>+AJ2+AL2</f>
        <v>275</v>
      </c>
      <c r="AQ2" s="2720">
        <v>31</v>
      </c>
      <c r="AR2" s="2720">
        <v>31</v>
      </c>
      <c r="AS2" s="2720">
        <f>+AO2+AQ2</f>
        <v>306</v>
      </c>
      <c r="AT2" s="2720">
        <f>+AP2+AR2</f>
        <v>306</v>
      </c>
      <c r="AU2" s="2720">
        <v>28</v>
      </c>
      <c r="AV2" s="2720">
        <v>28</v>
      </c>
      <c r="AW2" s="2720">
        <f>+AS2+AU2</f>
        <v>334</v>
      </c>
      <c r="AX2" s="2720">
        <f>+AT2+AV2</f>
        <v>334</v>
      </c>
      <c r="AY2" s="2720">
        <v>31</v>
      </c>
      <c r="AZ2" s="2720">
        <v>31</v>
      </c>
      <c r="BA2" s="2720">
        <f>+AQ2+AU2+AY2</f>
        <v>90</v>
      </c>
      <c r="BB2" s="2720">
        <f>+AR2+AV2+AZ2</f>
        <v>90</v>
      </c>
      <c r="BC2" s="2720">
        <f>+AM2+BA2</f>
        <v>182</v>
      </c>
      <c r="BD2" s="2720">
        <f>+AN2+BB2</f>
        <v>182</v>
      </c>
      <c r="BE2" s="2720">
        <f>+AW2+AY2</f>
        <v>365</v>
      </c>
      <c r="BF2" s="2720">
        <f>+AX2+AZ2</f>
        <v>365</v>
      </c>
      <c r="BG2" s="2720"/>
      <c r="BH2" s="2720"/>
      <c r="BI2" s="2720"/>
      <c r="BJ2" s="2720"/>
      <c r="BK2" s="2720"/>
      <c r="BL2" s="2720"/>
      <c r="BM2" s="2720"/>
      <c r="BN2" s="2720"/>
      <c r="BO2" s="2720">
        <v>365</v>
      </c>
      <c r="BP2" s="2721">
        <v>365</v>
      </c>
      <c r="BQ2" s="138">
        <v>366</v>
      </c>
      <c r="BR2" s="138">
        <v>366</v>
      </c>
      <c r="BS2" s="138">
        <v>365</v>
      </c>
    </row>
    <row r="3" spans="1:71" ht="19.5" thickBot="1" x14ac:dyDescent="0.3">
      <c r="A3" s="90"/>
      <c r="B3" s="7804" t="s">
        <v>171</v>
      </c>
      <c r="C3" s="7804" t="s">
        <v>172</v>
      </c>
      <c r="D3" s="7810" t="s">
        <v>2321</v>
      </c>
      <c r="E3" s="7800" t="s">
        <v>2319</v>
      </c>
      <c r="F3" s="7800"/>
      <c r="G3" s="7800" t="s">
        <v>1956</v>
      </c>
      <c r="H3" s="7800"/>
      <c r="I3" s="7799" t="s">
        <v>14</v>
      </c>
      <c r="J3" s="7799"/>
      <c r="K3" s="7806" t="s">
        <v>1986</v>
      </c>
      <c r="L3" s="7806"/>
      <c r="M3" s="7802" t="s">
        <v>607</v>
      </c>
      <c r="N3" s="7802"/>
      <c r="O3" s="7800" t="s">
        <v>2008</v>
      </c>
      <c r="P3" s="7800"/>
      <c r="Q3" s="7799" t="s">
        <v>17</v>
      </c>
      <c r="R3" s="7799"/>
      <c r="S3" s="7800" t="s">
        <v>2011</v>
      </c>
      <c r="T3" s="7800"/>
      <c r="U3" s="7799" t="s">
        <v>18</v>
      </c>
      <c r="V3" s="7799"/>
      <c r="W3" s="7800" t="s">
        <v>2042</v>
      </c>
      <c r="X3" s="7800"/>
      <c r="Y3" s="7802" t="s">
        <v>629</v>
      </c>
      <c r="Z3" s="7802"/>
      <c r="AA3" s="7801" t="s">
        <v>626</v>
      </c>
      <c r="AB3" s="7801"/>
      <c r="AC3" s="7800" t="s">
        <v>2067</v>
      </c>
      <c r="AD3" s="7800"/>
      <c r="AE3" s="7799" t="s">
        <v>24</v>
      </c>
      <c r="AF3" s="7799"/>
      <c r="AG3" s="7800" t="s">
        <v>2170</v>
      </c>
      <c r="AH3" s="7800"/>
      <c r="AI3" s="7799" t="s">
        <v>27</v>
      </c>
      <c r="AJ3" s="7799"/>
      <c r="AK3" s="7800" t="s">
        <v>2194</v>
      </c>
      <c r="AL3" s="7800"/>
      <c r="AM3" s="7802" t="s">
        <v>631</v>
      </c>
      <c r="AN3" s="7802"/>
      <c r="AO3" s="7799" t="s">
        <v>876</v>
      </c>
      <c r="AP3" s="7799"/>
      <c r="AQ3" s="7800" t="s">
        <v>2206</v>
      </c>
      <c r="AR3" s="7800"/>
      <c r="AS3" s="7799" t="s">
        <v>28</v>
      </c>
      <c r="AT3" s="7799"/>
      <c r="AU3" s="7800" t="s">
        <v>2243</v>
      </c>
      <c r="AV3" s="7800"/>
      <c r="AW3" s="7799" t="s">
        <v>30</v>
      </c>
      <c r="AX3" s="7799"/>
      <c r="AY3" s="7800" t="s">
        <v>2261</v>
      </c>
      <c r="AZ3" s="7800"/>
      <c r="BA3" s="7802" t="s">
        <v>632</v>
      </c>
      <c r="BB3" s="7802"/>
      <c r="BC3" s="7801" t="s">
        <v>638</v>
      </c>
      <c r="BD3" s="7801"/>
      <c r="BE3" s="7799" t="s">
        <v>1984</v>
      </c>
      <c r="BF3" s="7799"/>
      <c r="BG3" s="7795" t="s">
        <v>1632</v>
      </c>
      <c r="BH3" s="7795"/>
      <c r="BI3" s="7795" t="s">
        <v>1338</v>
      </c>
      <c r="BJ3" s="7795"/>
      <c r="BK3" s="7795" t="s">
        <v>1205</v>
      </c>
      <c r="BL3" s="7795"/>
      <c r="BM3" s="7809" t="s">
        <v>904</v>
      </c>
      <c r="BN3" s="7808"/>
      <c r="BO3" s="7807" t="s">
        <v>646</v>
      </c>
      <c r="BP3" s="7808"/>
      <c r="BQ3" s="7782" t="s">
        <v>636</v>
      </c>
      <c r="BR3" s="7783"/>
      <c r="BS3" s="1110" t="s">
        <v>598</v>
      </c>
    </row>
    <row r="4" spans="1:71" ht="19.5" thickBot="1" x14ac:dyDescent="0.3">
      <c r="A4" s="90"/>
      <c r="B4" s="7804"/>
      <c r="C4" s="7804"/>
      <c r="D4" s="7810"/>
      <c r="E4" s="6468" t="s">
        <v>173</v>
      </c>
      <c r="F4" s="6468" t="s">
        <v>174</v>
      </c>
      <c r="G4" s="6468" t="s">
        <v>173</v>
      </c>
      <c r="H4" s="6468" t="s">
        <v>174</v>
      </c>
      <c r="I4" s="6469" t="s">
        <v>173</v>
      </c>
      <c r="J4" s="6469" t="s">
        <v>174</v>
      </c>
      <c r="K4" s="6470" t="s">
        <v>173</v>
      </c>
      <c r="L4" s="6470" t="s">
        <v>174</v>
      </c>
      <c r="M4" s="6471" t="s">
        <v>173</v>
      </c>
      <c r="N4" s="6471" t="s">
        <v>174</v>
      </c>
      <c r="O4" s="6470" t="s">
        <v>173</v>
      </c>
      <c r="P4" s="6468" t="s">
        <v>174</v>
      </c>
      <c r="Q4" s="6469" t="s">
        <v>173</v>
      </c>
      <c r="R4" s="6469" t="s">
        <v>174</v>
      </c>
      <c r="S4" s="6468" t="s">
        <v>173</v>
      </c>
      <c r="T4" s="6468" t="s">
        <v>174</v>
      </c>
      <c r="U4" s="6469" t="s">
        <v>173</v>
      </c>
      <c r="V4" s="6469" t="s">
        <v>174</v>
      </c>
      <c r="W4" s="6468" t="s">
        <v>173</v>
      </c>
      <c r="X4" s="6468" t="s">
        <v>174</v>
      </c>
      <c r="Y4" s="6471" t="s">
        <v>173</v>
      </c>
      <c r="Z4" s="6471" t="s">
        <v>174</v>
      </c>
      <c r="AA4" s="6472" t="s">
        <v>173</v>
      </c>
      <c r="AB4" s="6472" t="s">
        <v>174</v>
      </c>
      <c r="AC4" s="6468" t="s">
        <v>173</v>
      </c>
      <c r="AD4" s="6468" t="s">
        <v>174</v>
      </c>
      <c r="AE4" s="6469" t="s">
        <v>173</v>
      </c>
      <c r="AF4" s="6469" t="s">
        <v>174</v>
      </c>
      <c r="AG4" s="6468" t="s">
        <v>173</v>
      </c>
      <c r="AH4" s="6468" t="s">
        <v>174</v>
      </c>
      <c r="AI4" s="6469" t="s">
        <v>173</v>
      </c>
      <c r="AJ4" s="6469" t="s">
        <v>174</v>
      </c>
      <c r="AK4" s="6468" t="s">
        <v>173</v>
      </c>
      <c r="AL4" s="6468" t="s">
        <v>174</v>
      </c>
      <c r="AM4" s="6471" t="s">
        <v>173</v>
      </c>
      <c r="AN4" s="6471" t="s">
        <v>174</v>
      </c>
      <c r="AO4" s="6469" t="s">
        <v>173</v>
      </c>
      <c r="AP4" s="6469" t="s">
        <v>174</v>
      </c>
      <c r="AQ4" s="6468" t="s">
        <v>173</v>
      </c>
      <c r="AR4" s="6468" t="s">
        <v>174</v>
      </c>
      <c r="AS4" s="6469" t="s">
        <v>173</v>
      </c>
      <c r="AT4" s="6469" t="s">
        <v>174</v>
      </c>
      <c r="AU4" s="6468" t="s">
        <v>173</v>
      </c>
      <c r="AV4" s="6468" t="s">
        <v>174</v>
      </c>
      <c r="AW4" s="6469" t="s">
        <v>173</v>
      </c>
      <c r="AX4" s="6469" t="s">
        <v>174</v>
      </c>
      <c r="AY4" s="6468" t="s">
        <v>173</v>
      </c>
      <c r="AZ4" s="6468" t="s">
        <v>174</v>
      </c>
      <c r="BA4" s="6471" t="s">
        <v>173</v>
      </c>
      <c r="BB4" s="6471" t="s">
        <v>174</v>
      </c>
      <c r="BC4" s="6472" t="s">
        <v>173</v>
      </c>
      <c r="BD4" s="6472" t="s">
        <v>174</v>
      </c>
      <c r="BE4" s="6469" t="s">
        <v>173</v>
      </c>
      <c r="BF4" s="6469" t="s">
        <v>174</v>
      </c>
      <c r="BG4" s="6473" t="s">
        <v>173</v>
      </c>
      <c r="BH4" s="6473" t="s">
        <v>174</v>
      </c>
      <c r="BI4" s="6473" t="s">
        <v>173</v>
      </c>
      <c r="BJ4" s="6473" t="s">
        <v>174</v>
      </c>
      <c r="BK4" s="6473" t="s">
        <v>173</v>
      </c>
      <c r="BL4" s="6473" t="s">
        <v>174</v>
      </c>
      <c r="BM4" s="2723" t="s">
        <v>173</v>
      </c>
      <c r="BN4" s="2722" t="s">
        <v>174</v>
      </c>
      <c r="BO4" s="2723" t="s">
        <v>173</v>
      </c>
      <c r="BP4" s="2722" t="s">
        <v>174</v>
      </c>
      <c r="BQ4" s="1013" t="s">
        <v>173</v>
      </c>
      <c r="BR4" s="1014" t="s">
        <v>174</v>
      </c>
      <c r="BS4" s="1014" t="s">
        <v>174</v>
      </c>
    </row>
    <row r="5" spans="1:71" ht="18.75" x14ac:dyDescent="0.25">
      <c r="A5" s="90"/>
      <c r="B5" s="6474" t="s">
        <v>359</v>
      </c>
      <c r="C5" s="6475" t="s">
        <v>49</v>
      </c>
      <c r="D5" s="5157">
        <v>69.500000000000014</v>
      </c>
      <c r="E5" s="6476">
        <f>+$D$5</f>
        <v>69.500000000000014</v>
      </c>
      <c r="F5" s="6477">
        <f>('Maj Production Summ'!F14*100)/('Maj Production Summ'!F10*31.55)</f>
        <v>69.499999999999986</v>
      </c>
      <c r="G5" s="6476">
        <f>+$D$5</f>
        <v>69.500000000000014</v>
      </c>
      <c r="H5" s="6477">
        <f>('Maj Production Summ'!H14*100)/('Maj Production Summ'!H10*31.55)</f>
        <v>70</v>
      </c>
      <c r="I5" s="6478">
        <f>+$D$5</f>
        <v>69.500000000000014</v>
      </c>
      <c r="J5" s="6478">
        <f>('Maj Production Summ'!J14*100)/('Maj Production Summ'!J10*31.55)</f>
        <v>69.752887029288701</v>
      </c>
      <c r="K5" s="6476">
        <f>+$D$5</f>
        <v>69.500000000000014</v>
      </c>
      <c r="L5" s="6477">
        <f>('Maj Production Summ'!L14*100)/('Maj Production Summ'!L10*31.55)</f>
        <v>70</v>
      </c>
      <c r="M5" s="6479">
        <f>+$D$5</f>
        <v>69.500000000000014</v>
      </c>
      <c r="N5" s="6479">
        <f>('Maj Production Summ'!N14*100)/('Maj Production Summ'!N10*31.55)</f>
        <v>69.834639937283015</v>
      </c>
      <c r="O5" s="6476">
        <f>+$D$5</f>
        <v>69.500000000000014</v>
      </c>
      <c r="P5" s="6477">
        <f>('Maj Production Summ'!P14*100)/('Maj Production Summ'!P10*31.55)</f>
        <v>69.999999999999986</v>
      </c>
      <c r="Q5" s="6478">
        <f>+$D$5</f>
        <v>69.500000000000014</v>
      </c>
      <c r="R5" s="6478">
        <f>('Maj Production Summ'!R14*100)/('Maj Production Summ'!R10*31.55)</f>
        <v>69.87693782297049</v>
      </c>
      <c r="S5" s="6476">
        <f>+$D$5</f>
        <v>69.500000000000014</v>
      </c>
      <c r="T5" s="6477">
        <f>('Maj Production Summ'!T14*100)/('Maj Production Summ'!T10*31.55)</f>
        <v>70</v>
      </c>
      <c r="U5" s="6478">
        <f>+$D$5</f>
        <v>69.500000000000014</v>
      </c>
      <c r="V5" s="6478">
        <f>('Maj Production Summ'!V14*100)/('Maj Production Summ'!V10*31.55)</f>
        <v>69.901906723359005</v>
      </c>
      <c r="W5" s="6476">
        <f>+$D$5</f>
        <v>69.500000000000014</v>
      </c>
      <c r="X5" s="6477">
        <f>('Maj Production Summ'!X14*100)/('Maj Production Summ'!X10*31.55)</f>
        <v>69.49295404013472</v>
      </c>
      <c r="Y5" s="6479">
        <f>+$D$5</f>
        <v>69.500000000000014</v>
      </c>
      <c r="Z5" s="6479">
        <f>('Maj Production Summ'!Z14*100)/('Maj Production Summ'!Z10*31.55)</f>
        <v>69.834649220880394</v>
      </c>
      <c r="AA5" s="6480">
        <f>+$D$5</f>
        <v>69.500000000000014</v>
      </c>
      <c r="AB5" s="6480">
        <f>('Maj Production Summ'!AB14*100)/('Maj Production Summ'!AB10*31.55)</f>
        <v>69.834644619534785</v>
      </c>
      <c r="AC5" s="6476">
        <f>+$D$5</f>
        <v>69.500000000000014</v>
      </c>
      <c r="AD5" s="6477">
        <f>('Maj Production Summ'!AD14*100)/('Maj Production Summ'!AD10*31.55)</f>
        <v>69.7</v>
      </c>
      <c r="AE5" s="6478">
        <f>+$D$5</f>
        <v>69.500000000000014</v>
      </c>
      <c r="AF5" s="6478">
        <f>('Maj Production Summ'!AF14*100)/('Maj Production Summ'!AF10*31.55)</f>
        <v>69.815352045887352</v>
      </c>
      <c r="AG5" s="6476">
        <f>+$D$5</f>
        <v>69.500000000000014</v>
      </c>
      <c r="AH5" s="6477">
        <f>('Maj Production Summ'!AH14*100)/('Maj Production Summ'!AH10*31.55)</f>
        <v>69.5</v>
      </c>
      <c r="AI5" s="6478">
        <f>+$D$5</f>
        <v>69.500000000000014</v>
      </c>
      <c r="AJ5" s="6478">
        <f>('Maj Production Summ'!AJ14*100)/('Maj Production Summ'!AJ10*31.55)</f>
        <v>69.776439170456854</v>
      </c>
      <c r="AK5" s="6476">
        <f>+$D$5</f>
        <v>69.500000000000014</v>
      </c>
      <c r="AL5" s="6477">
        <f>('Maj Production Summ'!AL14*100)/('Maj Production Summ'!AL10*31.55)</f>
        <v>69.5</v>
      </c>
      <c r="AM5" s="6479">
        <f>+$D$5</f>
        <v>69.500000000000014</v>
      </c>
      <c r="AN5" s="6479">
        <f>('Maj Production Summ'!AN14*100)/('Maj Production Summ'!AN10*31.55)</f>
        <v>69.56670356431259</v>
      </c>
      <c r="AO5" s="6478">
        <f>+$D$5</f>
        <v>69.500000000000014</v>
      </c>
      <c r="AP5" s="6498">
        <f>('Maj Production Summ'!AP14*100)/('Maj Production Summ'!AP10*31.55)</f>
        <v>69.745155932600781</v>
      </c>
      <c r="AQ5" s="6476">
        <f>+$D$5</f>
        <v>69.500000000000014</v>
      </c>
      <c r="AR5" s="6477">
        <f>('Maj Production Summ'!AR14*100)/('Maj Production Summ'!AR10*31.55)</f>
        <v>69.5</v>
      </c>
      <c r="AS5" s="6478">
        <f>+$D$5</f>
        <v>69.500000000000014</v>
      </c>
      <c r="AT5" s="6478">
        <f>('Maj Production Summ'!AT14*100)/('Maj Production Summ'!AT10*31.55)</f>
        <v>69.720430901868795</v>
      </c>
      <c r="AU5" s="6476">
        <f>+$D$5</f>
        <v>69.500000000000014</v>
      </c>
      <c r="AV5" s="6477">
        <f>('Maj Production Summ'!AV14*100)/('Maj Production Summ'!AV10*31.55)</f>
        <v>69.5</v>
      </c>
      <c r="AW5" s="6478">
        <f>+$D$5</f>
        <v>69.500000000000014</v>
      </c>
      <c r="AX5" s="6498">
        <f>('Maj Production Summ'!AX14*100)/('Maj Production Summ'!AX10*31.55)</f>
        <v>69.701998989305437</v>
      </c>
      <c r="AY5" s="6476">
        <f>+$D$5</f>
        <v>69.500000000000014</v>
      </c>
      <c r="AZ5" s="6477">
        <f>('Maj Production Summ'!AZ14*100)/('Maj Production Summ'!AZ10*31.55)</f>
        <v>69.499999999999986</v>
      </c>
      <c r="BA5" s="6479">
        <f>+$D$5</f>
        <v>69.500000000000014</v>
      </c>
      <c r="BB5" s="6479">
        <f>('Maj Production Summ'!BB14*100)/('Maj Production Summ'!BB10*31.55)</f>
        <v>69.5</v>
      </c>
      <c r="BC5" s="6480">
        <f>+$D$5</f>
        <v>69.500000000000014</v>
      </c>
      <c r="BD5" s="6480">
        <f>('Maj Production Summ'!BD14*100)/('Maj Production Summ'!BD10*31.55)</f>
        <v>69.53371754700089</v>
      </c>
      <c r="BE5" s="6478">
        <f>+$D$5</f>
        <v>69.500000000000014</v>
      </c>
      <c r="BF5" s="6478">
        <f>('Maj Production Summ'!BF14*100)/('Maj Production Summ'!BF10*31.55)</f>
        <v>69.684780639811592</v>
      </c>
      <c r="BG5" s="6481">
        <v>70</v>
      </c>
      <c r="BH5" s="6481">
        <v>70.341275484250673</v>
      </c>
      <c r="BI5" s="6481">
        <v>69.500000000000028</v>
      </c>
      <c r="BJ5" s="6481">
        <v>69.398028518298972</v>
      </c>
      <c r="BK5" s="6481">
        <v>69.5</v>
      </c>
      <c r="BL5" s="6481">
        <v>69.459875135267765</v>
      </c>
      <c r="BM5" s="6457">
        <v>70.500002850729032</v>
      </c>
      <c r="BN5" s="1112">
        <v>69.798394297532738</v>
      </c>
      <c r="BO5" s="2724">
        <v>70.99978732308368</v>
      </c>
      <c r="BP5" s="2725">
        <v>72.813877092165015</v>
      </c>
      <c r="BQ5" s="1111">
        <v>66.5</v>
      </c>
      <c r="BR5" s="1112">
        <v>67.485669750420143</v>
      </c>
      <c r="BS5" s="1112">
        <v>67.015011462089603</v>
      </c>
    </row>
    <row r="6" spans="1:71" ht="15" customHeight="1" x14ac:dyDescent="0.25">
      <c r="A6" s="144"/>
      <c r="B6" s="6482" t="s">
        <v>357</v>
      </c>
      <c r="C6" s="6483"/>
      <c r="D6" s="5157"/>
      <c r="E6" s="6484"/>
      <c r="F6" s="6484"/>
      <c r="G6" s="6484"/>
      <c r="H6" s="6484"/>
      <c r="I6" s="6484"/>
      <c r="J6" s="6484"/>
      <c r="K6" s="6484"/>
      <c r="L6" s="6484"/>
      <c r="M6" s="6453"/>
      <c r="N6" s="5121"/>
      <c r="O6" s="6484"/>
      <c r="P6" s="6484"/>
      <c r="Q6" s="6484"/>
      <c r="R6" s="5157"/>
      <c r="S6" s="6484"/>
      <c r="T6" s="6484"/>
      <c r="U6" s="6484"/>
      <c r="V6" s="5157"/>
      <c r="W6" s="6484"/>
      <c r="X6" s="6484"/>
      <c r="Y6" s="6453"/>
      <c r="Z6" s="5121"/>
      <c r="AA6" s="6510"/>
      <c r="AB6" s="6486"/>
      <c r="AC6" s="6484"/>
      <c r="AD6" s="6484"/>
      <c r="AE6" s="6484"/>
      <c r="AF6" s="5157"/>
      <c r="AG6" s="6484"/>
      <c r="AH6" s="6484"/>
      <c r="AI6" s="6454"/>
      <c r="AJ6" s="5119"/>
      <c r="AK6" s="6484"/>
      <c r="AL6" s="6484"/>
      <c r="AM6" s="6484"/>
      <c r="AN6" s="5157"/>
      <c r="AO6" s="6484"/>
      <c r="AP6" s="5157"/>
      <c r="AQ6" s="6484"/>
      <c r="AR6" s="6484"/>
      <c r="AS6" s="6484"/>
      <c r="AT6" s="5157"/>
      <c r="AU6" s="6484"/>
      <c r="AV6" s="6484"/>
      <c r="AW6" s="6484"/>
      <c r="AX6" s="5157"/>
      <c r="AY6" s="6484"/>
      <c r="AZ6" s="6484"/>
      <c r="BA6" s="6484"/>
      <c r="BB6" s="5157"/>
      <c r="BC6" s="6484"/>
      <c r="BD6" s="5157"/>
      <c r="BE6" s="6484"/>
      <c r="BF6" s="6484"/>
      <c r="BG6" s="6484"/>
      <c r="BH6" s="6484"/>
      <c r="BI6" s="6484"/>
      <c r="BJ6" s="6484"/>
      <c r="BK6" s="6484"/>
      <c r="BL6" s="6484"/>
      <c r="BM6" s="4519"/>
      <c r="BN6" s="4519"/>
      <c r="BO6" s="4213"/>
      <c r="BP6" s="4213"/>
      <c r="BQ6" s="4214"/>
      <c r="BR6" s="4214"/>
      <c r="BS6" s="4215"/>
    </row>
    <row r="7" spans="1:71" ht="18.75" x14ac:dyDescent="0.25">
      <c r="A7" s="90"/>
      <c r="B7" s="6474" t="s">
        <v>347</v>
      </c>
      <c r="C7" s="6475" t="s">
        <v>49</v>
      </c>
      <c r="D7" s="6476">
        <v>89</v>
      </c>
      <c r="E7" s="6476">
        <f>+$D$7</f>
        <v>89</v>
      </c>
      <c r="F7" s="6477">
        <f>'COKE OVENS'!F145</f>
        <v>89</v>
      </c>
      <c r="G7" s="6476">
        <f>+$D$7</f>
        <v>89</v>
      </c>
      <c r="H7" s="6477" t="e">
        <f>'COKE OVENS'!H145</f>
        <v>#REF!</v>
      </c>
      <c r="I7" s="6478">
        <f>+$D$7</f>
        <v>89</v>
      </c>
      <c r="J7" s="6478" t="e">
        <f>'COKE OVENS'!J145</f>
        <v>#REF!</v>
      </c>
      <c r="K7" s="6476">
        <f>+$D$7</f>
        <v>89</v>
      </c>
      <c r="L7" s="6477" t="e">
        <f>'COKE OVENS'!L145</f>
        <v>#REF!</v>
      </c>
      <c r="M7" s="6479">
        <f>+$D$7</f>
        <v>89</v>
      </c>
      <c r="N7" s="6479" t="e">
        <f>'COKE OVENS'!N145</f>
        <v>#REF!</v>
      </c>
      <c r="O7" s="6476">
        <f>+$D$7</f>
        <v>89</v>
      </c>
      <c r="P7" s="6477" t="e">
        <f>'COKE OVENS'!P145</f>
        <v>#REF!</v>
      </c>
      <c r="Q7" s="6478">
        <f>+$D$7</f>
        <v>89</v>
      </c>
      <c r="R7" s="6478" t="e">
        <f>'COKE OVENS'!R145</f>
        <v>#REF!</v>
      </c>
      <c r="S7" s="6476">
        <f>+$D$7</f>
        <v>89</v>
      </c>
      <c r="T7" s="6477" t="e">
        <f>'COKE OVENS'!T145</f>
        <v>#REF!</v>
      </c>
      <c r="U7" s="6478">
        <f>+$D$7</f>
        <v>89</v>
      </c>
      <c r="V7" s="6478" t="e">
        <f>'COKE OVENS'!V145</f>
        <v>#REF!</v>
      </c>
      <c r="W7" s="6476">
        <f>+$D$7</f>
        <v>89</v>
      </c>
      <c r="X7" s="6477" t="e">
        <f>'COKE OVENS'!X145</f>
        <v>#REF!</v>
      </c>
      <c r="Y7" s="6479">
        <f>+$D$7</f>
        <v>89</v>
      </c>
      <c r="Z7" s="6479" t="e">
        <f>'COKE OVENS'!Z145</f>
        <v>#REF!</v>
      </c>
      <c r="AA7" s="6480">
        <f>+$D$7</f>
        <v>89</v>
      </c>
      <c r="AB7" s="6480" t="e">
        <f>'COKE OVENS'!AB145</f>
        <v>#REF!</v>
      </c>
      <c r="AC7" s="6476">
        <f>+$D$7</f>
        <v>89</v>
      </c>
      <c r="AD7" s="6477" t="e">
        <f>'COKE OVENS'!AD145</f>
        <v>#REF!</v>
      </c>
      <c r="AE7" s="6478">
        <f>+$D$7</f>
        <v>89</v>
      </c>
      <c r="AF7" s="6478" t="e">
        <f>'COKE OVENS'!AF145</f>
        <v>#REF!</v>
      </c>
      <c r="AG7" s="6476">
        <f>+$D$7</f>
        <v>89</v>
      </c>
      <c r="AH7" s="6477" t="e">
        <f>'COKE OVENS'!AH145</f>
        <v>#REF!</v>
      </c>
      <c r="AI7" s="6478">
        <f>+$D$7</f>
        <v>89</v>
      </c>
      <c r="AJ7" s="6478" t="e">
        <f>'COKE OVENS'!AJ145</f>
        <v>#REF!</v>
      </c>
      <c r="AK7" s="6476">
        <f>+$D$7</f>
        <v>89</v>
      </c>
      <c r="AL7" s="6477" t="e">
        <f>'COKE OVENS'!AL145</f>
        <v>#REF!</v>
      </c>
      <c r="AM7" s="6479">
        <f>+$D$7</f>
        <v>89</v>
      </c>
      <c r="AN7" s="6479" t="e">
        <f>'COKE OVENS'!AN145</f>
        <v>#REF!</v>
      </c>
      <c r="AO7" s="6478">
        <f>+$D$7</f>
        <v>89</v>
      </c>
      <c r="AP7" s="6478" t="e">
        <f>'COKE OVENS'!AP145</f>
        <v>#REF!</v>
      </c>
      <c r="AQ7" s="6476">
        <f>+$D$7</f>
        <v>89</v>
      </c>
      <c r="AR7" s="6477" t="e">
        <f>'COKE OVENS'!AR145</f>
        <v>#REF!</v>
      </c>
      <c r="AS7" s="6478">
        <f>+$D$7</f>
        <v>89</v>
      </c>
      <c r="AT7" s="6498" t="e">
        <f>'COKE OVENS'!AT145</f>
        <v>#REF!</v>
      </c>
      <c r="AU7" s="6476">
        <f>+$D$7</f>
        <v>89</v>
      </c>
      <c r="AV7" s="6477" t="e">
        <f>'COKE OVENS'!AV145</f>
        <v>#REF!</v>
      </c>
      <c r="AW7" s="6478">
        <f>+$D$7</f>
        <v>89</v>
      </c>
      <c r="AX7" s="6478" t="e">
        <f>'COKE OVENS'!AX145</f>
        <v>#REF!</v>
      </c>
      <c r="AY7" s="6476">
        <f>+$D$7</f>
        <v>89</v>
      </c>
      <c r="AZ7" s="6477" t="e">
        <f>'COKE OVENS'!AZ145</f>
        <v>#REF!</v>
      </c>
      <c r="BA7" s="6479">
        <f>+$D$7</f>
        <v>89</v>
      </c>
      <c r="BB7" s="6479" t="e">
        <f>'COKE OVENS'!BB145</f>
        <v>#REF!</v>
      </c>
      <c r="BC7" s="6480">
        <f>+$D$7</f>
        <v>89</v>
      </c>
      <c r="BD7" s="6480" t="e">
        <f>'COKE OVENS'!BD145</f>
        <v>#REF!</v>
      </c>
      <c r="BE7" s="6478">
        <f>+$D$7</f>
        <v>89</v>
      </c>
      <c r="BF7" s="6478" t="e">
        <f>'COKE OVENS'!BF145</f>
        <v>#REF!</v>
      </c>
      <c r="BG7" s="6485">
        <v>95</v>
      </c>
      <c r="BH7" s="6481">
        <v>92.468483882270078</v>
      </c>
      <c r="BI7" s="6485">
        <v>92</v>
      </c>
      <c r="BJ7" s="6481">
        <v>90.939873157833944</v>
      </c>
      <c r="BK7" s="6485">
        <v>92</v>
      </c>
      <c r="BL7" s="6481">
        <v>89.651305773130588</v>
      </c>
      <c r="BM7" s="6458">
        <v>95</v>
      </c>
      <c r="BN7" s="1113">
        <v>93.865971705137753</v>
      </c>
      <c r="BO7" s="2728">
        <v>94.377234802612818</v>
      </c>
      <c r="BP7" s="2729">
        <v>94.023330283623039</v>
      </c>
      <c r="BQ7" s="1020">
        <v>90</v>
      </c>
      <c r="BR7" s="1113">
        <v>91.425994537590384</v>
      </c>
      <c r="BS7" s="1113">
        <v>91.808305695910761</v>
      </c>
    </row>
    <row r="8" spans="1:71" ht="19.5" thickBot="1" x14ac:dyDescent="0.3">
      <c r="A8" s="90"/>
      <c r="B8" s="6474" t="s">
        <v>358</v>
      </c>
      <c r="C8" s="6475" t="s">
        <v>49</v>
      </c>
      <c r="D8" s="6476">
        <v>95</v>
      </c>
      <c r="E8" s="6476">
        <f>+$D$8</f>
        <v>95</v>
      </c>
      <c r="F8" s="6477">
        <f>'COKE OVENS'!F170</f>
        <v>94.999999609300659</v>
      </c>
      <c r="G8" s="6476">
        <f>+$D$8</f>
        <v>95</v>
      </c>
      <c r="H8" s="6477">
        <f>'COKE OVENS'!H170</f>
        <v>94.99999761388338</v>
      </c>
      <c r="I8" s="6478">
        <f>+$D$8</f>
        <v>95</v>
      </c>
      <c r="J8" s="6478">
        <f>'COKE OVENS'!J170</f>
        <v>94.999998600070327</v>
      </c>
      <c r="K8" s="6476">
        <f>+$D$8</f>
        <v>95</v>
      </c>
      <c r="L8" s="6477">
        <f>'COKE OVENS'!L170</f>
        <v>94.999999511791174</v>
      </c>
      <c r="M8" s="6479">
        <f>+$D$8</f>
        <v>95</v>
      </c>
      <c r="N8" s="6479">
        <f>'COKE OVENS'!N170</f>
        <v>94.99999890169687</v>
      </c>
      <c r="O8" s="6476">
        <f>+$D$8</f>
        <v>95</v>
      </c>
      <c r="P8" s="6477">
        <f>'COKE OVENS'!P170</f>
        <v>95.000001409744897</v>
      </c>
      <c r="Q8" s="6478">
        <f>+$D$8</f>
        <v>95</v>
      </c>
      <c r="R8" s="6478">
        <f>'COKE OVENS'!R170</f>
        <v>94.999999543237038</v>
      </c>
      <c r="S8" s="6476">
        <f>+$D$8</f>
        <v>95</v>
      </c>
      <c r="T8" s="6477">
        <f>'COKE OVENS'!T170</f>
        <v>95</v>
      </c>
      <c r="U8" s="6478">
        <f>+$D$8</f>
        <v>95</v>
      </c>
      <c r="V8" s="6478">
        <f>'COKE OVENS'!V170</f>
        <v>94.999999635912701</v>
      </c>
      <c r="W8" s="6476">
        <f>+$D$8</f>
        <v>95</v>
      </c>
      <c r="X8" s="6477">
        <f>'COKE OVENS'!X170</f>
        <v>94.999999513274034</v>
      </c>
      <c r="Y8" s="6479">
        <f>+$D$8</f>
        <v>95</v>
      </c>
      <c r="Z8" s="6479">
        <f>'COKE OVENS'!Z170</f>
        <v>95.000000317448595</v>
      </c>
      <c r="AA8" s="6480">
        <f>+$D$8</f>
        <v>95</v>
      </c>
      <c r="AB8" s="6480">
        <f>'COKE OVENS'!AB170</f>
        <v>94.999999615741814</v>
      </c>
      <c r="AC8" s="6476">
        <f>+$D$8</f>
        <v>95</v>
      </c>
      <c r="AD8" s="6477">
        <f>'COKE OVENS'!AD170</f>
        <v>94.999999521351143</v>
      </c>
      <c r="AE8" s="6478">
        <f>+$D$8</f>
        <v>95</v>
      </c>
      <c r="AF8" s="6478">
        <f>'COKE OVENS'!AF170</f>
        <v>94.999999602217059</v>
      </c>
      <c r="AG8" s="6476">
        <f>+$D$8</f>
        <v>95</v>
      </c>
      <c r="AH8" s="6477">
        <f>'COKE OVENS'!AH170</f>
        <v>95</v>
      </c>
      <c r="AI8" s="6478">
        <f>+$D$8</f>
        <v>95</v>
      </c>
      <c r="AJ8" s="6478">
        <f>'COKE OVENS'!AJ170</f>
        <v>94.999999651301465</v>
      </c>
      <c r="AK8" s="6476">
        <f>+$D$8</f>
        <v>95</v>
      </c>
      <c r="AL8" s="6477">
        <f>'COKE OVENS'!AL170</f>
        <v>95</v>
      </c>
      <c r="AM8" s="6479">
        <f>+$D$8</f>
        <v>95</v>
      </c>
      <c r="AN8" s="6479">
        <f>'COKE OVENS'!AN170</f>
        <v>94.999999840362591</v>
      </c>
      <c r="AO8" s="6478">
        <f>+$D$8</f>
        <v>95</v>
      </c>
      <c r="AP8" s="6478">
        <f>'COKE OVENS'!AP170</f>
        <v>94.999999690762294</v>
      </c>
      <c r="AQ8" s="6476">
        <f>+$D$8</f>
        <v>95</v>
      </c>
      <c r="AR8" s="6477">
        <f>'COKE OVENS'!AR170</f>
        <v>95.000000047533575</v>
      </c>
      <c r="AS8" s="6478">
        <f>+$D$8</f>
        <v>95</v>
      </c>
      <c r="AT8" s="6498">
        <f>'COKE OVENS'!AT170</f>
        <v>94.999999726744164</v>
      </c>
      <c r="AU8" s="6476">
        <f>+$D$8</f>
        <v>95</v>
      </c>
      <c r="AV8" s="6477">
        <f>'COKE OVENS'!AV170</f>
        <v>94.999999527157698</v>
      </c>
      <c r="AW8" s="6478">
        <f>+$D$8</f>
        <v>95</v>
      </c>
      <c r="AX8" s="6478">
        <f>'COKE OVENS'!AX170</f>
        <v>94.999999710055235</v>
      </c>
      <c r="AY8" s="6476">
        <f>+$D$8</f>
        <v>95</v>
      </c>
      <c r="AZ8" s="6477">
        <f>'COKE OVENS'!AZ170</f>
        <v>94.999999528548869</v>
      </c>
      <c r="BA8" s="6479">
        <f>+$D$8</f>
        <v>95</v>
      </c>
      <c r="BB8" s="6479">
        <f>'COKE OVENS'!BB170</f>
        <v>94.999999706279226</v>
      </c>
      <c r="BC8" s="6480">
        <f>+$D$8</f>
        <v>95</v>
      </c>
      <c r="BD8" s="6480">
        <f>'COKE OVENS'!BD170</f>
        <v>94.999999774056249</v>
      </c>
      <c r="BE8" s="6478">
        <f>+$D$8</f>
        <v>95</v>
      </c>
      <c r="BF8" s="6478">
        <f>'COKE OVENS'!BF170</f>
        <v>94.999999694583664</v>
      </c>
      <c r="BG8" s="6485">
        <v>100</v>
      </c>
      <c r="BH8" s="6481">
        <v>97.818139447003276</v>
      </c>
      <c r="BI8" s="6485">
        <v>94</v>
      </c>
      <c r="BJ8" s="6481">
        <v>93.889003787888356</v>
      </c>
      <c r="BK8" s="6485">
        <v>94</v>
      </c>
      <c r="BL8" s="6481">
        <v>92.198587038217795</v>
      </c>
      <c r="BM8" s="6444">
        <v>95</v>
      </c>
      <c r="BN8" s="1123">
        <v>94.753433109833978</v>
      </c>
      <c r="BO8" s="2730">
        <v>94.836589147670892</v>
      </c>
      <c r="BP8" s="2731">
        <v>95.080612657941344</v>
      </c>
      <c r="BQ8" s="1568">
        <v>90</v>
      </c>
      <c r="BR8" s="1123">
        <v>96.370934540963361</v>
      </c>
      <c r="BS8" s="1123">
        <v>94.117212910536992</v>
      </c>
    </row>
    <row r="9" spans="1:71" ht="19.5" thickBot="1" x14ac:dyDescent="0.3">
      <c r="A9" s="90"/>
      <c r="B9" s="6474" t="s">
        <v>356</v>
      </c>
      <c r="C9" s="6475" t="s">
        <v>49</v>
      </c>
      <c r="D9" s="6477">
        <v>92.972626196286924</v>
      </c>
      <c r="E9" s="6477">
        <f>+$D$9</f>
        <v>92.972626196286924</v>
      </c>
      <c r="F9" s="6477">
        <f>'COKE OVENS'!F212</f>
        <v>92.88918390296584</v>
      </c>
      <c r="G9" s="6477">
        <f>+$D$9</f>
        <v>92.972626196286924</v>
      </c>
      <c r="H9" s="6477">
        <f>'COKE OVENS'!H212</f>
        <v>93.667281514284795</v>
      </c>
      <c r="I9" s="6478">
        <f>+$D$9</f>
        <v>92.972626196286924</v>
      </c>
      <c r="J9" s="6478">
        <f>'COKE OVENS'!J212</f>
        <v>92.876873098256624</v>
      </c>
      <c r="K9" s="6477">
        <f>+$D$9</f>
        <v>92.972626196286924</v>
      </c>
      <c r="L9" s="6477">
        <f>'COKE OVENS'!L212</f>
        <v>93.437618856972875</v>
      </c>
      <c r="M9" s="6479">
        <f>+$D$9</f>
        <v>92.972626196286924</v>
      </c>
      <c r="N9" s="6479">
        <f>'COKE OVENS'!N212</f>
        <v>93.068722346632939</v>
      </c>
      <c r="O9" s="6477">
        <f>+$D$9</f>
        <v>92.972626196286924</v>
      </c>
      <c r="P9" s="6477">
        <f>'COKE OVENS'!P212</f>
        <v>93.966668191590372</v>
      </c>
      <c r="Q9" s="6478">
        <f>+$D$9</f>
        <v>92.972626196286924</v>
      </c>
      <c r="R9" s="6478">
        <f>'COKE OVENS'!R212</f>
        <v>93.303468345202589</v>
      </c>
      <c r="S9" s="6477">
        <f>+$D$9</f>
        <v>92.972626196286924</v>
      </c>
      <c r="T9" s="6477">
        <f>'COKE OVENS'!T212</f>
        <v>93.241945303495299</v>
      </c>
      <c r="U9" s="6478">
        <f>+$D$9</f>
        <v>92.972626196286924</v>
      </c>
      <c r="V9" s="6478">
        <f>'COKE OVENS'!V212</f>
        <v>93.290656236248992</v>
      </c>
      <c r="W9" s="6477">
        <f>+$D$9</f>
        <v>92.972626196286924</v>
      </c>
      <c r="X9" s="6477">
        <f>'COKE OVENS'!X212</f>
        <v>93.2448303447526</v>
      </c>
      <c r="Y9" s="6479">
        <f>+$D$9</f>
        <v>92.972626196286924</v>
      </c>
      <c r="Z9" s="6479">
        <f>'COKE OVENS'!Z212</f>
        <v>93.485972730981359</v>
      </c>
      <c r="AA9" s="6480">
        <f>+$D$9</f>
        <v>92.972626196286924</v>
      </c>
      <c r="AB9" s="6480">
        <f>'COKE OVENS'!AB212</f>
        <v>93.282959383062092</v>
      </c>
      <c r="AC9" s="6477">
        <f>+$D$9</f>
        <v>92.972626196286924</v>
      </c>
      <c r="AD9" s="6477">
        <f>'COKE OVENS'!AD212</f>
        <v>93.243541106226871</v>
      </c>
      <c r="AE9" s="6478">
        <f>+$D$9</f>
        <v>92.972626196286924</v>
      </c>
      <c r="AF9" s="6478">
        <f>'COKE OVENS'!AF212</f>
        <v>93.277207170582173</v>
      </c>
      <c r="AG9" s="6477">
        <f>+$D$9</f>
        <v>92.972626196286924</v>
      </c>
      <c r="AH9" s="6477">
        <f>'COKE OVENS'!AH212</f>
        <v>93.288077486246692</v>
      </c>
      <c r="AI9" s="6478">
        <f>+$D$9</f>
        <v>92.972626196286924</v>
      </c>
      <c r="AJ9" s="6478">
        <f>'COKE OVENS'!AJ212</f>
        <v>93.278553978674495</v>
      </c>
      <c r="AK9" s="6477">
        <f>+$D$9</f>
        <v>92.972626196286924</v>
      </c>
      <c r="AL9" s="6477">
        <f>'COKE OVENS'!AL212</f>
        <v>92.364182227254133</v>
      </c>
      <c r="AM9" s="6479">
        <f>+$D$9</f>
        <v>92.972626196286924</v>
      </c>
      <c r="AN9" s="6479">
        <f>'COKE OVENS'!AN212</f>
        <v>92.961622005761853</v>
      </c>
      <c r="AO9" s="6478">
        <f>+$D$9</f>
        <v>92.972626196286924</v>
      </c>
      <c r="AP9" s="6478">
        <f>'COKE OVENS'!AP212</f>
        <v>93.174774482871769</v>
      </c>
      <c r="AQ9" s="6477">
        <f>+$D$9</f>
        <v>92.972626196286924</v>
      </c>
      <c r="AR9" s="6477">
        <f>'COKE OVENS'!AR212</f>
        <v>92.234744794308796</v>
      </c>
      <c r="AS9" s="6478">
        <f>+$D$9</f>
        <v>92.972626196286924</v>
      </c>
      <c r="AT9" s="6498">
        <f>'COKE OVENS'!AT212</f>
        <v>93.079226041794072</v>
      </c>
      <c r="AU9" s="6477">
        <f>+$D$9</f>
        <v>92.972626196286924</v>
      </c>
      <c r="AV9" s="6477">
        <f>'COKE OVENS'!AV212</f>
        <v>93.244082359750223</v>
      </c>
      <c r="AW9" s="6478">
        <f>+$D$9</f>
        <v>92.972626196286924</v>
      </c>
      <c r="AX9" s="6478">
        <f>'COKE OVENS'!AX212</f>
        <v>93.093083429679751</v>
      </c>
      <c r="AY9" s="6477">
        <f>+$D$9</f>
        <v>92.972626196286924</v>
      </c>
      <c r="AZ9" s="6477">
        <f>'COKE OVENS'!AZ212</f>
        <v>93.243821499637903</v>
      </c>
      <c r="BA9" s="6479">
        <f>+$D$9</f>
        <v>92.972626196286924</v>
      </c>
      <c r="BB9" s="6479">
        <f>'COKE OVENS'!BB212</f>
        <v>92.898302403108801</v>
      </c>
      <c r="BC9" s="6480">
        <f>+$D$9</f>
        <v>92.972626196286924</v>
      </c>
      <c r="BD9" s="6480">
        <f>'COKE OVENS'!BD212</f>
        <v>92.930261850652187</v>
      </c>
      <c r="BE9" s="6478">
        <f>+$D$9</f>
        <v>92.972626196286924</v>
      </c>
      <c r="BF9" s="6478">
        <f>'COKE OVENS'!BF212</f>
        <v>93.106120266059278</v>
      </c>
      <c r="BG9" s="6485">
        <v>98.275343312827886</v>
      </c>
      <c r="BH9" s="6481">
        <v>95.930697723131729</v>
      </c>
      <c r="BI9" s="6485">
        <v>93.289715727782763</v>
      </c>
      <c r="BJ9" s="6481">
        <v>92.833390112642292</v>
      </c>
      <c r="BK9" s="6485">
        <v>93.294358974358971</v>
      </c>
      <c r="BL9" s="6481">
        <v>91.262623548364061</v>
      </c>
      <c r="BM9" s="6459">
        <v>95</v>
      </c>
      <c r="BN9" s="4520">
        <v>94.439236826010074</v>
      </c>
      <c r="BO9" s="4216">
        <v>94.673168200952773</v>
      </c>
      <c r="BP9" s="4217">
        <v>94.712020160218685</v>
      </c>
      <c r="BQ9" s="4218">
        <v>90</v>
      </c>
      <c r="BR9" s="4219">
        <v>94.617132782598674</v>
      </c>
      <c r="BS9" s="4219">
        <v>93.297277602628242</v>
      </c>
    </row>
    <row r="10" spans="1:71" ht="18.75" x14ac:dyDescent="0.25">
      <c r="A10" s="90"/>
      <c r="B10" s="6474" t="s">
        <v>353</v>
      </c>
      <c r="C10" s="6475" t="s">
        <v>361</v>
      </c>
      <c r="D10" s="5118">
        <v>348.37400000000002</v>
      </c>
      <c r="E10" s="5118">
        <v>375</v>
      </c>
      <c r="F10" s="5157">
        <f>+('B-FCE'!F23/'Maj Production Summ'!F$17)*1000</f>
        <v>383.57168411248995</v>
      </c>
      <c r="G10" s="5118">
        <v>356</v>
      </c>
      <c r="H10" s="5157">
        <f>+('B-FCE'!H23/'Maj Production Summ'!H$17)*1000</f>
        <v>345.97012054468189</v>
      </c>
      <c r="I10" s="5119">
        <f>+('B-FCE'!I23/'Maj Production Summ'!I$17)*1000</f>
        <v>364.44444444444446</v>
      </c>
      <c r="J10" s="5119">
        <f>+('B-FCE'!J23/'Maj Production Summ'!J$17)*1000</f>
        <v>364.0592420532389</v>
      </c>
      <c r="K10" s="5118">
        <v>356</v>
      </c>
      <c r="L10" s="5157">
        <f>+('B-FCE'!L23/'Maj Production Summ'!L$17)*1000</f>
        <v>348.40698971547278</v>
      </c>
      <c r="M10" s="5121">
        <f>+('B-FCE'!M23/'Maj Production Summ'!M$17)*1000</f>
        <v>361.48888888888894</v>
      </c>
      <c r="N10" s="5121">
        <f>+('B-FCE'!N23/'Maj Production Summ'!N$17)*1000</f>
        <v>358.6331265537633</v>
      </c>
      <c r="O10" s="5118">
        <v>356</v>
      </c>
      <c r="P10" s="5157">
        <f>+('B-FCE'!P23/'Maj Production Summ'!P$17)*1000</f>
        <v>362.56961546164109</v>
      </c>
      <c r="Q10" s="5119">
        <f>+('B-FCE'!Q23/'Maj Production Summ'!Q$17)*1000</f>
        <v>360.05333333333334</v>
      </c>
      <c r="R10" s="5119">
        <f>+('B-FCE'!R23/'Maj Production Summ'!R$17)*1000</f>
        <v>359.66549940001357</v>
      </c>
      <c r="S10" s="5118">
        <v>356</v>
      </c>
      <c r="T10" s="5157">
        <f>+('B-FCE'!T23/'Maj Production Summ'!T$17)*1000</f>
        <v>365.93798366603016</v>
      </c>
      <c r="U10" s="5119">
        <f>+('B-FCE'!U23/'Maj Production Summ'!U$17)*1000</f>
        <v>359.21300813008128</v>
      </c>
      <c r="V10" s="5119">
        <f>+('B-FCE'!V23/'Maj Production Summ'!V$17)*1000</f>
        <v>360.91076677300003</v>
      </c>
      <c r="W10" s="5118">
        <v>383</v>
      </c>
      <c r="X10" s="5157">
        <f>+('B-FCE'!X23/'Maj Production Summ'!X$17)*1000</f>
        <v>390.38903144875366</v>
      </c>
      <c r="Y10" s="5121">
        <f>+('B-FCE'!Y23/'Maj Production Summ'!Y$17)*1000</f>
        <v>361.81538461538457</v>
      </c>
      <c r="Z10" s="5121">
        <f>+('B-FCE'!Z23/'Maj Production Summ'!Z$17)*1000</f>
        <v>372.53619548915242</v>
      </c>
      <c r="AA10" s="6486">
        <f>+('B-FCE'!AA23/'Maj Production Summ'!AA$17)*1000</f>
        <v>361.64379562043797</v>
      </c>
      <c r="AB10" s="6486">
        <f>+('B-FCE'!AB23/'Maj Production Summ'!AB$17)*1000</f>
        <v>365.63228152136048</v>
      </c>
      <c r="AC10" s="5118">
        <v>354</v>
      </c>
      <c r="AD10" s="5157">
        <f>+('B-FCE'!AD23/'Maj Production Summ'!AD$17)*1000</f>
        <v>407.03377172388349</v>
      </c>
      <c r="AE10" s="5119">
        <f>+('B-FCE'!AE23/'Maj Production Summ'!AE$17)*1000</f>
        <v>360.42453987730062</v>
      </c>
      <c r="AF10" s="5119">
        <f>+('B-FCE'!AF23/'Maj Production Summ'!AF$17)*1000</f>
        <v>370.51213863480228</v>
      </c>
      <c r="AG10" s="5118">
        <v>354</v>
      </c>
      <c r="AH10" s="5157">
        <f>+('B-FCE'!AH23/'Maj Production Summ'!AH$17)*1000</f>
        <v>366.29801079835937</v>
      </c>
      <c r="AI10" s="5119">
        <f>+('B-FCE'!AI23/'Maj Production Summ'!AI$17)*1000</f>
        <v>359.56429330499469</v>
      </c>
      <c r="AJ10" s="5119">
        <f>+('B-FCE'!AJ23/'Maj Production Summ'!AJ$17)*1000</f>
        <v>369.98883571793908</v>
      </c>
      <c r="AK10" s="5118">
        <v>354</v>
      </c>
      <c r="AL10" s="5157">
        <f>+('B-FCE'!AL23/'Maj Production Summ'!AL$17)*1000</f>
        <v>379.38954607431214</v>
      </c>
      <c r="AM10" s="5121">
        <f>+('B-FCE'!AM23/'Maj Production Summ'!AM$17)*1000</f>
        <v>354</v>
      </c>
      <c r="AN10" s="5121">
        <f>+('B-FCE'!AN23/'Maj Production Summ'!AN$17)*1000</f>
        <v>382.84532752383001</v>
      </c>
      <c r="AO10" s="5119">
        <f>+('B-FCE'!AO23/'Maj Production Summ'!AO$17)*1000</f>
        <v>358.88888888888886</v>
      </c>
      <c r="AP10" s="6478">
        <f>+('B-FCE'!AP23/'Maj Production Summ'!AP$17)*1000</f>
        <v>371.05520255879122</v>
      </c>
      <c r="AQ10" s="5118">
        <v>354</v>
      </c>
      <c r="AR10" s="5157">
        <f>+('B-FCE'!AR23/'Maj Production Summ'!AR$17)*1000</f>
        <v>385.39816586713408</v>
      </c>
      <c r="AS10" s="5119">
        <f>+('B-FCE'!AS23/'Maj Production Summ'!AS$17)*1000</f>
        <v>358.35245220282627</v>
      </c>
      <c r="AT10" s="6498">
        <f>+('B-FCE'!AT23/'Maj Production Summ'!AT$17)*1000</f>
        <v>372.4813390011775</v>
      </c>
      <c r="AU10" s="5118">
        <v>354</v>
      </c>
      <c r="AV10" s="5157">
        <f>+('B-FCE'!AV23/'Maj Production Summ'!AV$17)*1000</f>
        <v>429.82864200130945</v>
      </c>
      <c r="AW10" s="5119">
        <f>+('B-FCE'!AW23/'Maj Production Summ'!AW$17)*1000</f>
        <v>357.96366389099165</v>
      </c>
      <c r="AX10" s="5119">
        <f>+('B-FCE'!AX23/'Maj Production Summ'!AX$17)*1000</f>
        <v>376.72076886647579</v>
      </c>
      <c r="AY10" s="5118">
        <v>354</v>
      </c>
      <c r="AZ10" s="5157">
        <f>+('B-FCE'!AZ23/'Maj Production Summ'!AZ$17)*1000</f>
        <v>367.13628962682185</v>
      </c>
      <c r="BA10" s="5121">
        <f>+('B-FCE'!BA23/'Maj Production Summ'!BA$17)*1000</f>
        <v>354</v>
      </c>
      <c r="BB10" s="5121">
        <f>+('B-FCE'!BB23/'Maj Production Summ'!BB$17)*1000</f>
        <v>391.36137645781383</v>
      </c>
      <c r="BC10" s="6486">
        <f>+('B-FCE'!BC23/'Maj Production Summ'!BC$17)*1000</f>
        <v>354</v>
      </c>
      <c r="BD10" s="6486">
        <f>+('B-FCE'!BD23/'Maj Production Summ'!BD$17)*1000</f>
        <v>387.08691633158401</v>
      </c>
      <c r="BE10" s="5119">
        <f>+('B-FCE'!BE23/'Maj Production Summ'!BE$17)*1000</f>
        <v>357.60357880247761</v>
      </c>
      <c r="BF10" s="5119">
        <f>+('B-FCE'!BF23/'Maj Production Summ'!BF$17)*1000</f>
        <v>375.89147190287667</v>
      </c>
      <c r="BG10" s="6485">
        <v>360.04562264150945</v>
      </c>
      <c r="BH10" s="6485">
        <v>371.74357132695411</v>
      </c>
      <c r="BI10" s="6485">
        <v>380.41999999999996</v>
      </c>
      <c r="BJ10" s="6485">
        <v>390.51223594984998</v>
      </c>
      <c r="BK10" s="6485">
        <v>389.92559291044773</v>
      </c>
      <c r="BL10" s="6485">
        <v>400.04040555458937</v>
      </c>
      <c r="BM10" s="6460">
        <v>377.88521420805364</v>
      </c>
      <c r="BN10" s="4506">
        <v>396.71458967036409</v>
      </c>
      <c r="BO10" s="2732">
        <v>373.8786504081541</v>
      </c>
      <c r="BP10" s="2733">
        <v>423.66105089932233</v>
      </c>
      <c r="BQ10" s="1114">
        <v>370.47898148148147</v>
      </c>
      <c r="BR10" s="4199">
        <v>381.58770716890342</v>
      </c>
      <c r="BS10" s="4199">
        <v>388.39310872643784</v>
      </c>
    </row>
    <row r="11" spans="1:71" ht="18.75" x14ac:dyDescent="0.25">
      <c r="A11" s="90"/>
      <c r="B11" s="6474" t="s">
        <v>354</v>
      </c>
      <c r="C11" s="6475" t="s">
        <v>361</v>
      </c>
      <c r="D11" s="5118">
        <v>27.055333333333333</v>
      </c>
      <c r="E11" s="5118">
        <v>26</v>
      </c>
      <c r="F11" s="5157">
        <f>+('B-FCE'!F24/'Maj Production Summ'!F$17)*1000</f>
        <v>31.725019192093036</v>
      </c>
      <c r="G11" s="5118">
        <v>29</v>
      </c>
      <c r="H11" s="5157">
        <f>+('B-FCE'!H24/'Maj Production Summ'!H$17)*1000</f>
        <v>29.24639142160763</v>
      </c>
      <c r="I11" s="5119">
        <f>+('B-FCE'!I24/'Maj Production Summ'!I$17)*1000</f>
        <v>27.666666666666664</v>
      </c>
      <c r="J11" s="5119">
        <f>+('B-FCE'!J24/'Maj Production Summ'!J$17)*1000</f>
        <v>30.438793935240867</v>
      </c>
      <c r="K11" s="5118">
        <v>29</v>
      </c>
      <c r="L11" s="5157">
        <f>+('B-FCE'!L24/'Maj Production Summ'!L$17)*1000</f>
        <v>31.876010889904354</v>
      </c>
      <c r="M11" s="5121">
        <f>+('B-FCE'!M24/'Maj Production Summ'!M$17)*1000</f>
        <v>28.133333333333333</v>
      </c>
      <c r="N11" s="5121">
        <f>+('B-FCE'!N24/'Maj Production Summ'!N$17)*1000</f>
        <v>30.937029270675126</v>
      </c>
      <c r="O11" s="5118">
        <v>29</v>
      </c>
      <c r="P11" s="5157">
        <f>+('B-FCE'!P24/'Maj Production Summ'!P$17)*1000</f>
        <v>40.769372829277593</v>
      </c>
      <c r="Q11" s="5119">
        <f>+('B-FCE'!Q24/'Maj Production Summ'!Q$17)*1000</f>
        <v>28.36</v>
      </c>
      <c r="R11" s="5119">
        <f>+('B-FCE'!R24/'Maj Production Summ'!R$17)*1000</f>
        <v>33.515632879741879</v>
      </c>
      <c r="S11" s="5118">
        <v>29</v>
      </c>
      <c r="T11" s="5157">
        <f>+('B-FCE'!T24/'Maj Production Summ'!T$17)*1000</f>
        <v>37.253344065234799</v>
      </c>
      <c r="U11" s="5119">
        <f>+('B-FCE'!U24/'Maj Production Summ'!U$17)*1000</f>
        <v>28.492682926829268</v>
      </c>
      <c r="V11" s="5119">
        <f>+('B-FCE'!V24/'Maj Production Summ'!V$17)*1000</f>
        <v>34.257675361085077</v>
      </c>
      <c r="W11" s="5118">
        <v>28</v>
      </c>
      <c r="X11" s="5157">
        <f>+('B-FCE'!X24/'Maj Production Summ'!X$17)*1000</f>
        <v>36.733820007940906</v>
      </c>
      <c r="Y11" s="5121">
        <f>+('B-FCE'!Y24/'Maj Production Summ'!Y$17)*1000</f>
        <v>28.784615384615385</v>
      </c>
      <c r="Z11" s="5121">
        <f>+('B-FCE'!Z24/'Maj Production Summ'!Z$17)*1000</f>
        <v>38.320943992264716</v>
      </c>
      <c r="AA11" s="6486">
        <f>+('B-FCE'!AA24/'Maj Production Summ'!AA$17)*1000</f>
        <v>28.442335766423358</v>
      </c>
      <c r="AB11" s="6486">
        <f>+('B-FCE'!AB24/'Maj Production Summ'!AB$17)*1000</f>
        <v>34.654277861191524</v>
      </c>
      <c r="AC11" s="5118">
        <v>29</v>
      </c>
      <c r="AD11" s="5157">
        <f>+('B-FCE'!AD24/'Maj Production Summ'!AD$17)*1000</f>
        <v>30.284127923390631</v>
      </c>
      <c r="AE11" s="5119">
        <f>+('B-FCE'!AE24/'Maj Production Summ'!AE$17)*1000</f>
        <v>28.53128834355828</v>
      </c>
      <c r="AF11" s="5119">
        <f>+('B-FCE'!AF24/'Maj Production Summ'!AF$17)*1000</f>
        <v>34.139182700209012</v>
      </c>
      <c r="AG11" s="5118">
        <v>29</v>
      </c>
      <c r="AH11" s="5157">
        <f>+('B-FCE'!AH24/'Maj Production Summ'!AH$17)*1000</f>
        <v>37.743468925840951</v>
      </c>
      <c r="AI11" s="5119">
        <f>+('B-FCE'!AI24/'Maj Production Summ'!AI$17)*1000</f>
        <v>28.594048884165783</v>
      </c>
      <c r="AJ11" s="5119">
        <f>+('B-FCE'!AJ24/'Maj Production Summ'!AJ$17)*1000</f>
        <v>34.586756567990662</v>
      </c>
      <c r="AK11" s="5118">
        <v>29</v>
      </c>
      <c r="AL11" s="5157">
        <f>+('B-FCE'!AL24/'Maj Production Summ'!AL$17)*1000</f>
        <v>35.629725195876944</v>
      </c>
      <c r="AM11" s="5121">
        <f>+('B-FCE'!AM24/'Maj Production Summ'!AM$17)*1000</f>
        <v>29</v>
      </c>
      <c r="AN11" s="5121">
        <f>+('B-FCE'!AN24/'Maj Production Summ'!AN$17)*1000</f>
        <v>34.815484048078119</v>
      </c>
      <c r="AO11" s="5119">
        <f>+('B-FCE'!AO24/'Maj Production Summ'!AO$17)*1000</f>
        <v>28.643323996265174</v>
      </c>
      <c r="AP11" s="6478">
        <f>+('B-FCE'!AP24/'Maj Production Summ'!AP$17)*1000</f>
        <v>34.705065410478618</v>
      </c>
      <c r="AQ11" s="5118">
        <v>29</v>
      </c>
      <c r="AR11" s="5157">
        <f>+('B-FCE'!AR24/'Maj Production Summ'!AR$17)*1000</f>
        <v>31.827294285431901</v>
      </c>
      <c r="AS11" s="5119">
        <f>+('B-FCE'!AS24/'Maj Production Summ'!AS$17)*1000</f>
        <v>28.682460515378224</v>
      </c>
      <c r="AT11" s="6498">
        <f>+('B-FCE'!AT24/'Maj Production Summ'!AT$17)*1000</f>
        <v>34.418925497404381</v>
      </c>
      <c r="AU11" s="5118">
        <v>29</v>
      </c>
      <c r="AV11" s="5157">
        <f>+('B-FCE'!AV24/'Maj Production Summ'!AV$17)*1000</f>
        <v>29.819621590301526</v>
      </c>
      <c r="AW11" s="5119">
        <f>+('B-FCE'!AW24/'Maj Production Summ'!AW$17)*1000</f>
        <v>28.710825132475396</v>
      </c>
      <c r="AX11" s="5119">
        <f>+('B-FCE'!AX24/'Maj Production Summ'!AX$17)*1000</f>
        <v>34.07891951066582</v>
      </c>
      <c r="AY11" s="5118">
        <v>29</v>
      </c>
      <c r="AZ11" s="5157">
        <f>+('B-FCE'!AZ24/'Maj Production Summ'!AZ$17)*1000</f>
        <v>32.889139192692141</v>
      </c>
      <c r="BA11" s="5121">
        <f>+('B-FCE'!BA24/'Maj Production Summ'!BA$17)*1000</f>
        <v>29</v>
      </c>
      <c r="BB11" s="5121">
        <f>+('B-FCE'!BB24/'Maj Production Summ'!BB$17)*1000</f>
        <v>31.643808818828944</v>
      </c>
      <c r="BC11" s="6486">
        <f>+('B-FCE'!BC24/'Maj Production Summ'!BC$17)*1000</f>
        <v>29</v>
      </c>
      <c r="BD11" s="6486">
        <f>+('B-FCE'!BD24/'Maj Production Summ'!BD$17)*1000</f>
        <v>33.235767649252715</v>
      </c>
      <c r="BE11" s="5119">
        <f>+('B-FCE'!BE24/'Maj Production Summ'!BE$17)*1000</f>
        <v>28.737095664143151</v>
      </c>
      <c r="BF11" s="5119">
        <f>+('B-FCE'!BF24/'Maj Production Summ'!BF$17)*1000</f>
        <v>33.975973781390991</v>
      </c>
      <c r="BG11" s="6485">
        <v>38.916226415094336</v>
      </c>
      <c r="BH11" s="6485">
        <v>40.499375813748237</v>
      </c>
      <c r="BI11" s="6485">
        <v>32.20428571428571</v>
      </c>
      <c r="BJ11" s="6485">
        <v>47.260948860569819</v>
      </c>
      <c r="BK11" s="6485">
        <v>30</v>
      </c>
      <c r="BL11" s="6485">
        <v>36.610035455154154</v>
      </c>
      <c r="BM11" s="6458">
        <v>23.75142504193121</v>
      </c>
      <c r="BN11" s="4506">
        <v>37.043769455668603</v>
      </c>
      <c r="BO11" s="2728">
        <v>34.857516027392144</v>
      </c>
      <c r="BP11" s="2733">
        <v>41.208946109466851</v>
      </c>
      <c r="BQ11" s="1020">
        <v>25</v>
      </c>
      <c r="BR11" s="4199">
        <v>44.993877243288374</v>
      </c>
      <c r="BS11" s="4199">
        <v>29.180384193772984</v>
      </c>
    </row>
    <row r="12" spans="1:71" ht="19.5" thickBot="1" x14ac:dyDescent="0.3">
      <c r="A12" s="90"/>
      <c r="B12" s="6474" t="s">
        <v>355</v>
      </c>
      <c r="C12" s="6475" t="s">
        <v>361</v>
      </c>
      <c r="D12" s="5118">
        <v>149.57066666666665</v>
      </c>
      <c r="E12" s="5118">
        <v>124</v>
      </c>
      <c r="F12" s="5157">
        <f>+('B-FCE'!F25/'Maj Production Summ'!F$17)*1000</f>
        <v>125.12614330039881</v>
      </c>
      <c r="G12" s="5118">
        <v>150</v>
      </c>
      <c r="H12" s="5157">
        <f>+('B-FCE'!H25/'Maj Production Summ'!H$17)*1000</f>
        <v>155.9320942443795</v>
      </c>
      <c r="I12" s="5119">
        <f>+('B-FCE'!I25/'Maj Production Summ'!I$17)*1000</f>
        <v>138.44444444444446</v>
      </c>
      <c r="J12" s="5119">
        <f>+('B-FCE'!J25/'Maj Production Summ'!J$17)*1000</f>
        <v>141.1121629187206</v>
      </c>
      <c r="K12" s="5118">
        <v>150</v>
      </c>
      <c r="L12" s="5157">
        <f>+('B-FCE'!L25/'Maj Production Summ'!L$17)*1000</f>
        <v>155.24561139837525</v>
      </c>
      <c r="M12" s="5121">
        <f>+('B-FCE'!M25/'Maj Production Summ'!M$17)*1000</f>
        <v>142.48888888888888</v>
      </c>
      <c r="N12" s="5121">
        <f>+('B-FCE'!N25/'Maj Production Summ'!N$17)*1000</f>
        <v>146.01175961583328</v>
      </c>
      <c r="O12" s="5118">
        <v>150</v>
      </c>
      <c r="P12" s="5157">
        <f>+('B-FCE'!P25/'Maj Production Summ'!P$17)*1000</f>
        <v>142.77673720259727</v>
      </c>
      <c r="Q12" s="5119">
        <f>+('B-FCE'!Q25/'Maj Production Summ'!Q$17)*1000</f>
        <v>144.45333333333332</v>
      </c>
      <c r="R12" s="5119">
        <f>+('B-FCE'!R25/'Maj Production Summ'!R$17)*1000</f>
        <v>145.16335145958209</v>
      </c>
      <c r="S12" s="5118">
        <v>150</v>
      </c>
      <c r="T12" s="5157">
        <f>+('B-FCE'!T25/'Maj Production Summ'!T$17)*1000</f>
        <v>141.84996849132682</v>
      </c>
      <c r="U12" s="5119">
        <f>+('B-FCE'!U25/'Maj Production Summ'!U$17)*1000</f>
        <v>145.60325203252034</v>
      </c>
      <c r="V12" s="5119">
        <f>+('B-FCE'!V25/'Maj Production Summ'!V$17)*1000</f>
        <v>144.50555025521209</v>
      </c>
      <c r="W12" s="5118">
        <v>121</v>
      </c>
      <c r="X12" s="5157">
        <f>+('B-FCE'!X25/'Maj Production Summ'!X$17)*1000</f>
        <v>128.55199052682025</v>
      </c>
      <c r="Y12" s="5121">
        <f>+('B-FCE'!Y25/'Maj Production Summ'!Y$17)*1000</f>
        <v>143.75384615384615</v>
      </c>
      <c r="Z12" s="5121">
        <f>+('B-FCE'!Z25/'Maj Production Summ'!Z$17)*1000</f>
        <v>137.94406463264903</v>
      </c>
      <c r="AA12" s="6486">
        <f>+('B-FCE'!AA25/'Maj Production Summ'!AA$17)*1000</f>
        <v>143.08905109489049</v>
      </c>
      <c r="AB12" s="6486">
        <f>+('B-FCE'!AB25/'Maj Production Summ'!AB$17)*1000</f>
        <v>141.95027882471959</v>
      </c>
      <c r="AC12" s="5118">
        <v>152</v>
      </c>
      <c r="AD12" s="5157">
        <f>+('B-FCE'!AD25/'Maj Production Summ'!AD$17)*1000</f>
        <v>125.46642057802912</v>
      </c>
      <c r="AE12" s="5119">
        <f>+('B-FCE'!AE25/'Maj Production Summ'!AE$17)*1000</f>
        <v>144.51042944785274</v>
      </c>
      <c r="AF12" s="5119">
        <f>+('B-FCE'!AF25/'Maj Production Summ'!AF$17)*1000</f>
        <v>140.00738081480262</v>
      </c>
      <c r="AG12" s="5118">
        <v>152</v>
      </c>
      <c r="AH12" s="5157">
        <f>+('B-FCE'!AH25/'Maj Production Summ'!AH$17)*1000</f>
        <v>136.65060811425192</v>
      </c>
      <c r="AI12" s="5119">
        <f>+('B-FCE'!AI25/'Maj Production Summ'!AI$17)*1000</f>
        <v>145.51328374070138</v>
      </c>
      <c r="AJ12" s="5119">
        <f>+('B-FCE'!AJ25/'Maj Production Summ'!AJ$17)*1000</f>
        <v>139.5905427373589</v>
      </c>
      <c r="AK12" s="5118">
        <v>152</v>
      </c>
      <c r="AL12" s="5157">
        <f>+('B-FCE'!AL25/'Maj Production Summ'!AL$17)*1000</f>
        <v>130.86443009846519</v>
      </c>
      <c r="AM12" s="5121">
        <f>+('B-FCE'!AM25/'Maj Production Summ'!AM$17)*1000</f>
        <v>152</v>
      </c>
      <c r="AN12" s="5121">
        <f>+('B-FCE'!AN25/'Maj Production Summ'!AN$17)*1000</f>
        <v>131.31828243123769</v>
      </c>
      <c r="AO12" s="5119">
        <f>+('B-FCE'!AO25/'Maj Production Summ'!AO$17)*1000</f>
        <v>146.30065359477123</v>
      </c>
      <c r="AP12" s="6478">
        <f>+('B-FCE'!AP25/'Maj Production Summ'!AP$17)*1000</f>
        <v>138.60069869207902</v>
      </c>
      <c r="AQ12" s="5118">
        <v>152</v>
      </c>
      <c r="AR12" s="5157">
        <f>+('B-FCE'!AR25/'Maj Production Summ'!AR$17)*1000</f>
        <v>129.82365728764466</v>
      </c>
      <c r="AS12" s="5119">
        <f>+('B-FCE'!AS25/'Maj Production Summ'!AS$17)*1000</f>
        <v>146.92601828761428</v>
      </c>
      <c r="AT12" s="6498">
        <f>+('B-FCE'!AT25/'Maj Production Summ'!AT$17)*1000</f>
        <v>137.72798791857264</v>
      </c>
      <c r="AU12" s="5118">
        <v>152</v>
      </c>
      <c r="AV12" s="5157">
        <f>+('B-FCE'!AV25/'Maj Production Summ'!AV$17)*1000</f>
        <v>89.192169107715984</v>
      </c>
      <c r="AW12" s="5119">
        <f>+('B-FCE'!AW25/'Maj Production Summ'!AW$17)*1000</f>
        <v>147.37925813777443</v>
      </c>
      <c r="AX12" s="5119">
        <f>+('B-FCE'!AX25/'Maj Production Summ'!AX$17)*1000</f>
        <v>134.13995170694852</v>
      </c>
      <c r="AY12" s="5118">
        <v>152</v>
      </c>
      <c r="AZ12" s="5157">
        <f>+('B-FCE'!AZ25/'Maj Production Summ'!AZ$17)*1000</f>
        <v>135.4212517722317</v>
      </c>
      <c r="BA12" s="5121">
        <f>+('B-FCE'!BA25/'Maj Production Summ'!BA$17)*1000</f>
        <v>152</v>
      </c>
      <c r="BB12" s="5121">
        <f>+('B-FCE'!BB25/'Maj Production Summ'!BB$17)*1000</f>
        <v>120.33673024487004</v>
      </c>
      <c r="BC12" s="6486">
        <f>+('B-FCE'!BC25/'Maj Production Summ'!BC$17)*1000</f>
        <v>152</v>
      </c>
      <c r="BD12" s="6486">
        <f>+('B-FCE'!BD25/'Maj Production Summ'!BD$17)*1000</f>
        <v>125.84870032731315</v>
      </c>
      <c r="BE12" s="5119">
        <f>+('B-FCE'!BE25/'Maj Production Summ'!BE$17)*1000</f>
        <v>147.79903647625602</v>
      </c>
      <c r="BF12" s="5119">
        <f>+('B-FCE'!BF25/'Maj Production Summ'!BF$17)*1000</f>
        <v>134.25081618137949</v>
      </c>
      <c r="BG12" s="6485">
        <v>140.90981132075473</v>
      </c>
      <c r="BH12" s="6485">
        <v>134.06433821400003</v>
      </c>
      <c r="BI12" s="6485">
        <v>139.64750000000001</v>
      </c>
      <c r="BJ12" s="6485">
        <v>125.94309352319971</v>
      </c>
      <c r="BK12" s="6485">
        <v>129.6457817164179</v>
      </c>
      <c r="BL12" s="6485">
        <v>122.58808331992087</v>
      </c>
      <c r="BM12" s="6461">
        <v>133.64291547787624</v>
      </c>
      <c r="BN12" s="4505">
        <v>118.07599367903838</v>
      </c>
      <c r="BO12" s="2734">
        <v>128.5773179329438</v>
      </c>
      <c r="BP12" s="2735">
        <v>89.175352805191892</v>
      </c>
      <c r="BQ12" s="1569">
        <v>139.85351851851851</v>
      </c>
      <c r="BR12" s="4198">
        <v>118.98027062075417</v>
      </c>
      <c r="BS12" s="4198">
        <v>123.03826485628637</v>
      </c>
    </row>
    <row r="13" spans="1:71" ht="19.5" thickBot="1" x14ac:dyDescent="0.3">
      <c r="A13" s="90"/>
      <c r="B13" s="6474" t="s">
        <v>238</v>
      </c>
      <c r="C13" s="6475" t="s">
        <v>361</v>
      </c>
      <c r="D13" s="5118">
        <f t="shared" ref="D13:R13" si="0">SUM(D10:D12)</f>
        <v>525</v>
      </c>
      <c r="E13" s="5118">
        <f t="shared" si="0"/>
        <v>525</v>
      </c>
      <c r="F13" s="5118">
        <f t="shared" si="0"/>
        <v>540.42284660498183</v>
      </c>
      <c r="G13" s="5118">
        <f t="shared" ref="G13:H13" si="1">SUM(G10:G12)</f>
        <v>535</v>
      </c>
      <c r="H13" s="5118">
        <f t="shared" si="1"/>
        <v>531.14860621066907</v>
      </c>
      <c r="I13" s="5119">
        <f t="shared" si="0"/>
        <v>530.55555555555566</v>
      </c>
      <c r="J13" s="5119">
        <f t="shared" si="0"/>
        <v>535.61019890720036</v>
      </c>
      <c r="K13" s="5118">
        <f t="shared" ref="K13:L13" si="2">SUM(K10:K12)</f>
        <v>535</v>
      </c>
      <c r="L13" s="5118">
        <f t="shared" si="2"/>
        <v>535.52861200375241</v>
      </c>
      <c r="M13" s="5121">
        <f t="shared" si="0"/>
        <v>532.11111111111109</v>
      </c>
      <c r="N13" s="5121">
        <f t="shared" si="0"/>
        <v>535.5819154402717</v>
      </c>
      <c r="O13" s="5118">
        <f t="shared" ref="O13:P13" si="3">SUM(O10:O12)</f>
        <v>535</v>
      </c>
      <c r="P13" s="5118">
        <f t="shared" si="3"/>
        <v>546.11572549351592</v>
      </c>
      <c r="Q13" s="5119">
        <f t="shared" si="0"/>
        <v>532.86666666666667</v>
      </c>
      <c r="R13" s="5119">
        <f t="shared" si="0"/>
        <v>538.34448373933753</v>
      </c>
      <c r="S13" s="5118">
        <f t="shared" ref="S13:T13" si="4">SUM(S10:S12)</f>
        <v>535</v>
      </c>
      <c r="T13" s="5118">
        <f t="shared" si="4"/>
        <v>545.04129622259177</v>
      </c>
      <c r="U13" s="5119">
        <f t="shared" ref="U13:X13" si="5">SUM(U10:U12)</f>
        <v>533.30894308943084</v>
      </c>
      <c r="V13" s="5119">
        <f t="shared" si="5"/>
        <v>539.67399238929715</v>
      </c>
      <c r="W13" s="5118">
        <f t="shared" si="5"/>
        <v>532</v>
      </c>
      <c r="X13" s="5118">
        <f t="shared" si="5"/>
        <v>555.67484198351485</v>
      </c>
      <c r="Y13" s="5121">
        <f t="shared" ref="Y13:Z13" si="6">SUM(Y10:Y12)</f>
        <v>534.35384615384612</v>
      </c>
      <c r="Z13" s="5121">
        <f t="shared" si="6"/>
        <v>548.80120411406619</v>
      </c>
      <c r="AA13" s="6486">
        <f t="shared" ref="AA13:AF13" si="7">SUM(AA10:AA12)</f>
        <v>533.17518248175179</v>
      </c>
      <c r="AB13" s="6486">
        <f t="shared" si="7"/>
        <v>542.2368382072716</v>
      </c>
      <c r="AC13" s="5118">
        <f t="shared" si="7"/>
        <v>535</v>
      </c>
      <c r="AD13" s="5118">
        <f t="shared" si="7"/>
        <v>562.7843202253033</v>
      </c>
      <c r="AE13" s="5119">
        <f t="shared" si="7"/>
        <v>533.46625766871171</v>
      </c>
      <c r="AF13" s="5119">
        <f t="shared" si="7"/>
        <v>544.65870214981396</v>
      </c>
      <c r="AG13" s="5118">
        <f t="shared" ref="AG13:AH13" si="8">SUM(AG10:AG12)</f>
        <v>535</v>
      </c>
      <c r="AH13" s="5118">
        <f t="shared" si="8"/>
        <v>540.69208783845227</v>
      </c>
      <c r="AI13" s="5119">
        <f t="shared" ref="AI13:AL13" si="9">SUM(AI10:AI12)</f>
        <v>533.67162592986188</v>
      </c>
      <c r="AJ13" s="5119">
        <f t="shared" si="9"/>
        <v>544.16613502328869</v>
      </c>
      <c r="AK13" s="5118">
        <f t="shared" si="9"/>
        <v>535</v>
      </c>
      <c r="AL13" s="5118">
        <f t="shared" si="9"/>
        <v>545.88370136865422</v>
      </c>
      <c r="AM13" s="5121">
        <f t="shared" ref="AM13:AT13" si="10">SUM(AM10:AM12)</f>
        <v>535</v>
      </c>
      <c r="AN13" s="5121">
        <f t="shared" si="10"/>
        <v>548.97909400314586</v>
      </c>
      <c r="AO13" s="5119">
        <f t="shared" si="10"/>
        <v>533.83286647992531</v>
      </c>
      <c r="AP13" s="6478">
        <f t="shared" si="10"/>
        <v>544.36096666134881</v>
      </c>
      <c r="AQ13" s="5118">
        <f t="shared" si="10"/>
        <v>535</v>
      </c>
      <c r="AR13" s="5118">
        <f t="shared" si="10"/>
        <v>547.04911744021069</v>
      </c>
      <c r="AS13" s="5119">
        <f t="shared" si="10"/>
        <v>533.96093100581879</v>
      </c>
      <c r="AT13" s="6478">
        <f t="shared" si="10"/>
        <v>544.6282524171545</v>
      </c>
      <c r="AU13" s="5118">
        <f t="shared" ref="AU13:AV13" si="11">SUM(AU10:AU12)</f>
        <v>535</v>
      </c>
      <c r="AV13" s="5118">
        <f t="shared" si="11"/>
        <v>548.84043269932704</v>
      </c>
      <c r="AW13" s="5119">
        <f t="shared" ref="AW13:AZ13" si="12">SUM(AW10:AW12)</f>
        <v>534.05374716124152</v>
      </c>
      <c r="AX13" s="5119">
        <f t="shared" si="12"/>
        <v>544.93964008409012</v>
      </c>
      <c r="AY13" s="5118">
        <f t="shared" si="12"/>
        <v>535</v>
      </c>
      <c r="AZ13" s="5118">
        <f t="shared" si="12"/>
        <v>535.44668059174569</v>
      </c>
      <c r="BA13" s="5121">
        <f t="shared" ref="BA13:BD13" si="13">SUM(BA10:BA12)</f>
        <v>535</v>
      </c>
      <c r="BB13" s="5121">
        <f t="shared" si="13"/>
        <v>543.34191552151287</v>
      </c>
      <c r="BC13" s="6486">
        <f t="shared" si="13"/>
        <v>535</v>
      </c>
      <c r="BD13" s="6486">
        <f t="shared" si="13"/>
        <v>546.17138430814987</v>
      </c>
      <c r="BE13" s="5119">
        <f t="shared" ref="BE13:BF13" si="14">SUM(BE10:BE12)</f>
        <v>534.13971094287683</v>
      </c>
      <c r="BF13" s="5119">
        <f t="shared" si="14"/>
        <v>544.11826186564713</v>
      </c>
      <c r="BG13" s="6485">
        <v>539.87166037735847</v>
      </c>
      <c r="BH13" s="6485">
        <v>546.30728535470234</v>
      </c>
      <c r="BI13" s="6485">
        <v>552.27178571428567</v>
      </c>
      <c r="BJ13" s="6485">
        <v>563.71627833361958</v>
      </c>
      <c r="BK13" s="6485">
        <v>549.57137462686569</v>
      </c>
      <c r="BL13" s="6485">
        <v>559.23852432966441</v>
      </c>
      <c r="BM13" s="6459">
        <v>535.27955472786107</v>
      </c>
      <c r="BN13" s="4521">
        <v>551.83435280507103</v>
      </c>
      <c r="BO13" s="4216">
        <v>537.31348436848998</v>
      </c>
      <c r="BP13" s="4220">
        <v>554.04534981398115</v>
      </c>
      <c r="BQ13" s="4218">
        <v>535.33249999999998</v>
      </c>
      <c r="BR13" s="4221">
        <v>545.56185503294591</v>
      </c>
      <c r="BS13" s="4221">
        <v>540.61175777649714</v>
      </c>
    </row>
    <row r="14" spans="1:71" ht="19.5" thickBot="1" x14ac:dyDescent="0.3">
      <c r="A14" s="90"/>
      <c r="B14" s="6474" t="s">
        <v>1757</v>
      </c>
      <c r="C14" s="6475" t="s">
        <v>368</v>
      </c>
      <c r="D14" s="6487">
        <v>2.4702702969758947</v>
      </c>
      <c r="E14" s="6487">
        <v>2.2528865108420164</v>
      </c>
      <c r="F14" s="6487">
        <v>2.2602393900469333</v>
      </c>
      <c r="G14" s="6487">
        <v>2.4406270534121841</v>
      </c>
      <c r="H14" s="6487">
        <v>2.4173399790859662</v>
      </c>
      <c r="I14" s="6488">
        <f>+('Maj Production Summ'!I17/3551)/('B-FCE'!E50+'B-FCE'!G50)</f>
        <v>2.3534618015046065</v>
      </c>
      <c r="J14" s="6488">
        <f>+('Maj Production Summ'!J17/3551)/('B-FCE'!F50+'B-FCE'!H50)</f>
        <v>2.3391197955694407</v>
      </c>
      <c r="K14" s="6487">
        <v>2.4471008652249489</v>
      </c>
      <c r="L14" s="6487">
        <v>2.4868497260238507</v>
      </c>
      <c r="M14" s="6489">
        <f>+('Maj Production Summ'!M17/3551)/('B-FCE'!E50+'B-FCE'!G50+'B-FCE'!K50)</f>
        <v>2.3854092467738996</v>
      </c>
      <c r="N14" s="6489">
        <f>+('Maj Production Summ'!N17/3551)/('B-FCE'!F50+'B-FCE'!H50+'B-FCE'!L50)</f>
        <v>2.38830343326492</v>
      </c>
      <c r="O14" s="6487">
        <v>2.3936919177696425</v>
      </c>
      <c r="P14" s="6487">
        <v>2.4358635913554569</v>
      </c>
      <c r="Q14" s="6488">
        <f>+('Maj Production Summ'!Q17/3551)/('B-FCE'!M50+'B-FCE'!O50)</f>
        <v>2.3875699435553979</v>
      </c>
      <c r="R14" s="6488">
        <f>+('Maj Production Summ'!R17/3551)/('B-FCE'!N50+'B-FCE'!P50)</f>
        <v>2.4005958398230085</v>
      </c>
      <c r="S14" s="6487">
        <v>2.3936919177696425</v>
      </c>
      <c r="T14" s="6487">
        <v>2.3754677151130301</v>
      </c>
      <c r="U14" s="6488">
        <f>+('Maj Production Summ'!U17/3551)/('B-FCE'!Q50+'B-FCE'!S50)</f>
        <v>2.3888365589100689</v>
      </c>
      <c r="V14" s="6488">
        <f>+('Maj Production Summ'!V17/3551)/('B-FCE'!R50+'B-FCE'!T50)</f>
        <v>2.395564983302219</v>
      </c>
      <c r="W14" s="6487">
        <v>2.3168490916157101</v>
      </c>
      <c r="X14" s="6487">
        <v>2.3089599228862205</v>
      </c>
      <c r="Y14" s="6489">
        <f>+('Maj Production Summ'!Y17/3551)/('B-FCE'!P50+'B-FCE'!T50+'B-FCE'!X50)</f>
        <v>2.018205442123318</v>
      </c>
      <c r="Z14" s="6489">
        <f>+('Maj Production Summ'!Z17/3551)/('B-FCE'!P50+'B-FCE'!T50+'B-FCE'!X50)</f>
        <v>2.3743513256456312</v>
      </c>
      <c r="AA14" s="6490">
        <f>+('Maj Production Summ'!AA17/3551)/('B-FCE'!M50+'B-FCE'!Y50)</f>
        <v>2.3812756104139621</v>
      </c>
      <c r="AB14" s="6490">
        <f>+('Maj Production Summ'!AB17/3551)/('B-FCE'!N50+'B-FCE'!Z50)</f>
        <v>2.3812591561396621</v>
      </c>
      <c r="AC14" s="6487">
        <v>2.4406270534121841</v>
      </c>
      <c r="AD14" s="6487">
        <v>2.1223595645794298</v>
      </c>
      <c r="AE14" s="6488">
        <f>+('Maj Production Summ'!AE17/3551)/('B-FCE'!AA50+'B-FCE'!AC50)</f>
        <v>2.3905484587496737</v>
      </c>
      <c r="AF14" s="6488">
        <f>+('Maj Production Summ'!AF17/3551)/('B-FCE'!AB50+'B-FCE'!AD50)</f>
        <v>2.3475063174045778</v>
      </c>
      <c r="AG14" s="6487">
        <v>2.4471008652249489</v>
      </c>
      <c r="AH14" s="6487">
        <v>2.3620869272753087</v>
      </c>
      <c r="AI14" s="6488">
        <f>+('Maj Production Summ'!AI17/3551)/('B-FCE'!AE50+'B-FCE'!AG50)</f>
        <v>2.3979687964214418</v>
      </c>
      <c r="AJ14" s="6488">
        <f>+('Maj Production Summ'!AJ17/3551)/('B-FCE'!AF50+'B-FCE'!AH50)</f>
        <v>2.3493071156442009</v>
      </c>
      <c r="AK14" s="6487">
        <v>2.4406270534121841</v>
      </c>
      <c r="AL14" s="6487">
        <v>2.307723312740801</v>
      </c>
      <c r="AM14" s="6489">
        <f>+('Maj Production Summ'!AM17/3551)/('B-FCE'!AC50+'B-FCE'!AG50+'B-FCE'!AK50)</f>
        <v>2.4427364977107255</v>
      </c>
      <c r="AN14" s="6489">
        <f>+('Maj Production Summ'!AN17/3551)/('B-FCE'!AD50+'B-FCE'!AH50+'B-FCE'!AL50)</f>
        <v>2.2684138231452518</v>
      </c>
      <c r="AO14" s="6488">
        <f>+('Maj Production Summ'!AO17/3551)/('B-FCE'!AK50+'B-FCE'!AI50)</f>
        <v>2.4030670502663787</v>
      </c>
      <c r="AP14" s="6478">
        <f>+('Maj Production Summ'!AP17/3551)/('B-FCE'!AL50+'B-FCE'!AJ50)</f>
        <v>2.3445148661815201</v>
      </c>
      <c r="AQ14" s="6487">
        <v>2.478175161926218</v>
      </c>
      <c r="AR14" s="6487">
        <v>2.2672002493376202</v>
      </c>
      <c r="AS14" s="6488">
        <f>+('Maj Production Summ'!AS17/3551)/('B-FCE'!AO50+'B-FCE'!AQ50)</f>
        <v>2.4110852285703435</v>
      </c>
      <c r="AT14" s="6488">
        <f>+('Maj Production Summ'!AT17/3551)/('B-FCE'!AP50+'B-FCE'!AR50)</f>
        <v>2.3365921003198635</v>
      </c>
      <c r="AU14" s="6487">
        <v>2.4614871136977587</v>
      </c>
      <c r="AV14" s="6487">
        <v>2.0074321710463376</v>
      </c>
      <c r="AW14" s="6488">
        <f>+('Maj Production Summ'!AW17/3551)/('B-FCE'!AS50+'B-FCE'!AU50)</f>
        <v>2.4155033336878282</v>
      </c>
      <c r="AX14" s="6488">
        <f>+('Maj Production Summ'!AX17/3551)/('B-FCE'!AT50+'B-FCE'!AV50)</f>
        <v>2.3086080391861521</v>
      </c>
      <c r="AY14" s="6487">
        <v>2.478175161926218</v>
      </c>
      <c r="AZ14" s="6487">
        <v>2.3665177008969525</v>
      </c>
      <c r="BA14" s="6489">
        <f>+('Maj Production Summ'!BA17/3551)/('B-FCE'!AQ50+'B-FCE'!AU50+'B-FCE'!AY50)</f>
        <v>2.4729961124760065</v>
      </c>
      <c r="BB14" s="6489">
        <f>+('Maj Production Summ'!BB17/3551)/('B-FCE'!AR50+'B-FCE'!AV50+'B-FCE'!AZ50)</f>
        <v>2.2196034453298354</v>
      </c>
      <c r="BC14" s="6490">
        <f>+('Maj Production Summ'!BC17/3551)/('B-FCE'!AM50+'B-FCE'!BA50)</f>
        <v>2.4576943754640177</v>
      </c>
      <c r="BD14" s="6490">
        <f>+('Maj Production Summ'!BD17/3551)/('B-FCE'!AN50+'B-FCE'!BB50)</f>
        <v>2.2438374054957788</v>
      </c>
      <c r="BE14" s="6488">
        <f>+('Maj Production Summ'!BE17/3551)/('B-FCE'!AW50+'B-FCE'!AY50)</f>
        <v>2.4210656444128076</v>
      </c>
      <c r="BF14" s="6488">
        <f>+('Maj Production Summ'!BF17/3551)/('B-FCE'!AX50+'B-FCE'!AZ50)</f>
        <v>2.313506431173844</v>
      </c>
      <c r="BG14" s="6492">
        <v>2.3140113386555594</v>
      </c>
      <c r="BH14" s="6492">
        <v>2.2734567413998459</v>
      </c>
      <c r="BI14" s="6492">
        <v>2.2723639158348869</v>
      </c>
      <c r="BJ14" s="6492">
        <v>2.1810141580001829</v>
      </c>
      <c r="BK14" s="6492">
        <v>2.2132462789796934</v>
      </c>
      <c r="BL14" s="6492">
        <v>2.086254508453981</v>
      </c>
      <c r="BM14" s="6462">
        <v>2.2066158005423167</v>
      </c>
      <c r="BN14" s="4522">
        <v>2.0192262714625757</v>
      </c>
      <c r="BO14" s="2738">
        <v>2.0565754006373806</v>
      </c>
      <c r="BP14" s="4222">
        <v>1.7450412546954082</v>
      </c>
      <c r="BQ14" s="1125">
        <v>2.1585498861864605</v>
      </c>
      <c r="BR14" s="4223">
        <v>2.0057992136444116</v>
      </c>
      <c r="BS14" s="4223">
        <v>1.7419241961288634</v>
      </c>
    </row>
    <row r="15" spans="1:71" ht="18.75" x14ac:dyDescent="0.25">
      <c r="A15" s="90"/>
      <c r="B15" s="6474" t="s">
        <v>360</v>
      </c>
      <c r="C15" s="6475" t="s">
        <v>361</v>
      </c>
      <c r="D15" s="5118">
        <v>859.24201903906965</v>
      </c>
      <c r="E15" s="5118">
        <v>871.21390493777415</v>
      </c>
      <c r="F15" s="5157">
        <f>+'Coal to Hot Metal'!F20</f>
        <v>881.94094102597955</v>
      </c>
      <c r="G15" s="5118">
        <v>866.91251568708628</v>
      </c>
      <c r="H15" s="5157" t="e">
        <f>+'Coal to Hot Metal'!H20</f>
        <v>#REF!</v>
      </c>
      <c r="I15" s="5119">
        <f>+'Coal to Hot Metal'!I20</f>
        <v>871.48254628259724</v>
      </c>
      <c r="J15" s="5119" t="e">
        <f>+'Coal to Hot Metal'!J20</f>
        <v>#REF!</v>
      </c>
      <c r="K15" s="5118">
        <v>866.91251568708628</v>
      </c>
      <c r="L15" s="5157" t="e">
        <f>+'Coal to Hot Metal'!L20</f>
        <v>#REF!</v>
      </c>
      <c r="M15" s="5121">
        <f>+'Coal to Hot Metal'!M20</f>
        <v>871.55702448435511</v>
      </c>
      <c r="N15" s="5121" t="e">
        <f>+'Coal to Hot Metal'!N20</f>
        <v>#REF!</v>
      </c>
      <c r="O15" s="5118">
        <v>866.91251568708628</v>
      </c>
      <c r="P15" s="5157" t="e">
        <f>+'Coal to Hot Metal'!P20</f>
        <v>#REF!</v>
      </c>
      <c r="Q15" s="5119">
        <f>+((M15*'Maj Production Summ'!M$17)+('Maj Production Summ'!O$17*O15))/('Maj Production Summ'!Q$17)</f>
        <v>870.34230679891562</v>
      </c>
      <c r="R15" s="5119" t="e">
        <f>+'Coal to Hot Metal'!R20</f>
        <v>#REF!</v>
      </c>
      <c r="S15" s="5118">
        <v>866.91251568708628</v>
      </c>
      <c r="T15" s="5157" t="e">
        <f>+'Coal to Hot Metal'!T20</f>
        <v>#REF!</v>
      </c>
      <c r="U15" s="5119">
        <f>+((Q15*'Maj Production Summ'!Q$17)+('Maj Production Summ'!S$17*S15))/('Maj Production Summ'!U$17)</f>
        <v>869.63125254402416</v>
      </c>
      <c r="V15" s="5119" t="e">
        <f>+'Coal to Hot Metal'!V20</f>
        <v>#REF!</v>
      </c>
      <c r="W15" s="5118">
        <v>973.86831544015627</v>
      </c>
      <c r="X15" s="5157" t="e">
        <f>+'Coal to Hot Metal'!X20</f>
        <v>#REF!</v>
      </c>
      <c r="Y15" s="5121">
        <f>+'Coal to Hot Metal'!Y20</f>
        <v>894.94289353723502</v>
      </c>
      <c r="Z15" s="5121" t="e">
        <f>+'Coal to Hot Metal'!Z20</f>
        <v>#REF!</v>
      </c>
      <c r="AA15" s="6486">
        <f>+((M15*'Maj Production Summ'!M$17)+('Maj Production Summ'!Y$17*Y15))/('Maj Production Summ'!AA$17)</f>
        <v>882.65250980141491</v>
      </c>
      <c r="AB15" s="6486" t="e">
        <f>+'Coal to Hot Metal'!AB20</f>
        <v>#REF!</v>
      </c>
      <c r="AC15" s="5118">
        <v>865.57463192982163</v>
      </c>
      <c r="AD15" s="5157" t="e">
        <f>+'Coal to Hot Metal'!AD20</f>
        <v>#REF!</v>
      </c>
      <c r="AE15" s="5119">
        <f>+((AA15*'Maj Production Summ'!AA$17)+('Maj Production Summ'!AC$17*AC15))/('Maj Production Summ'!AE$17)</f>
        <v>879.92843112251046</v>
      </c>
      <c r="AF15" s="5119" t="e">
        <f>+'Coal to Hot Metal'!AF20</f>
        <v>#REF!</v>
      </c>
      <c r="AG15" s="5118">
        <v>865.57463192982152</v>
      </c>
      <c r="AH15" s="5157" t="e">
        <f>+'Coal to Hot Metal'!AH20</f>
        <v>#REF!</v>
      </c>
      <c r="AI15" s="5119">
        <f>+((AE15*'Maj Production Summ'!AE$17)+('Maj Production Summ'!AG$17*AG15))/('Maj Production Summ'!AI$17)</f>
        <v>878.00645588523219</v>
      </c>
      <c r="AJ15" s="5119" t="e">
        <f>+'Coal to Hot Metal'!AJ20</f>
        <v>#REF!</v>
      </c>
      <c r="AK15" s="5118">
        <v>865.57463192982163</v>
      </c>
      <c r="AL15" s="5157" t="e">
        <f>+'Coal to Hot Metal'!AL20</f>
        <v>#REF!</v>
      </c>
      <c r="AM15" s="5121">
        <f>+'Coal to Hot Metal'!AM20</f>
        <v>870.33179535973113</v>
      </c>
      <c r="AN15" s="5121" t="e">
        <f>+'Coal to Hot Metal'!AN20</f>
        <v>#REF!</v>
      </c>
      <c r="AO15" s="5119">
        <f>+'Coal to Hot Metal'!AO20</f>
        <v>878.21199087098535</v>
      </c>
      <c r="AP15" s="6478" t="e">
        <f>+'Coal to Hot Metal'!AP20</f>
        <v>#REF!</v>
      </c>
      <c r="AQ15" s="5118">
        <v>865.57463192982141</v>
      </c>
      <c r="AR15" s="5157" t="e">
        <f>+'Coal to Hot Metal'!AR20</f>
        <v>#REF!</v>
      </c>
      <c r="AS15" s="5119">
        <f>+((AO15*'Maj Production Summ'!AO$17)+('Maj Production Summ'!AQ$17*AQ15))/('Maj Production Summ'!AS$17)</f>
        <v>876.82534799464815</v>
      </c>
      <c r="AT15" s="5119" t="e">
        <f>+'Coal to Hot Metal'!AT20</f>
        <v>#REF!</v>
      </c>
      <c r="AU15" s="5118">
        <v>865.57463192982152</v>
      </c>
      <c r="AV15" s="5157" t="e">
        <f>+'Coal to Hot Metal'!AV20</f>
        <v>#REF!</v>
      </c>
      <c r="AW15" s="5119">
        <f>+((AS15*'Maj Production Summ'!AS$17)+('Maj Production Summ'!AU$17*AU15))/('Maj Production Summ'!AW$17)</f>
        <v>875.82036351648787</v>
      </c>
      <c r="AX15" s="5119" t="e">
        <f>+'Coal to Hot Metal'!AX20</f>
        <v>#REF!</v>
      </c>
      <c r="AY15" s="5118">
        <v>865.57463192982141</v>
      </c>
      <c r="AZ15" s="5157" t="e">
        <f>+'Coal to Hot Metal'!AZ20</f>
        <v>#REF!</v>
      </c>
      <c r="BA15" s="5121">
        <f>+'Coal to Hot Metal'!BA20</f>
        <v>870.33179535973125</v>
      </c>
      <c r="BB15" s="5121" t="e">
        <f>+'Coal to Hot Metal'!BB20</f>
        <v>#REF!</v>
      </c>
      <c r="BC15" s="6486">
        <f>+'Coal to Hot Metal'!BC20</f>
        <v>870.33179535973113</v>
      </c>
      <c r="BD15" s="6486" t="e">
        <f>+'Coal to Hot Metal'!BD20</f>
        <v>#REF!</v>
      </c>
      <c r="BE15" s="5119">
        <f>+'Coal to Hot Metal'!BE20</f>
        <v>876.14025330367679</v>
      </c>
      <c r="BF15" s="5119" t="e">
        <f>+'Coal to Hot Metal'!BF20</f>
        <v>#REF!</v>
      </c>
      <c r="BG15" s="6485">
        <v>879.8743565218308</v>
      </c>
      <c r="BH15" s="6485">
        <v>887.52975181303168</v>
      </c>
      <c r="BI15" s="6485">
        <v>900.75553765627933</v>
      </c>
      <c r="BJ15" s="6485">
        <v>932.0378517640504</v>
      </c>
      <c r="BK15" s="6485">
        <v>910.43802076736529</v>
      </c>
      <c r="BL15" s="6485">
        <v>930.8611107215944</v>
      </c>
      <c r="BM15" s="6460">
        <v>908.37669886703623</v>
      </c>
      <c r="BN15" s="4506">
        <v>935.21205199417307</v>
      </c>
      <c r="BO15" s="2732">
        <v>907.5085368428455</v>
      </c>
      <c r="BP15" s="2733">
        <v>991.44637124749988</v>
      </c>
      <c r="BQ15" s="1114">
        <v>886.42711546488033</v>
      </c>
      <c r="BR15" s="4199">
        <v>931.68362998699263</v>
      </c>
      <c r="BS15" s="4199">
        <v>905.60969999999998</v>
      </c>
    </row>
    <row r="16" spans="1:71" ht="18.75" x14ac:dyDescent="0.25">
      <c r="A16" s="90"/>
      <c r="B16" s="6474" t="s">
        <v>362</v>
      </c>
      <c r="C16" s="6475" t="s">
        <v>269</v>
      </c>
      <c r="D16" s="5118">
        <v>1062</v>
      </c>
      <c r="E16" s="5118">
        <f>+$D$16</f>
        <v>1062</v>
      </c>
      <c r="F16" s="5118">
        <f>+(F56/'Maj Production Summ'!F18)*1000</f>
        <v>1055.9173214589698</v>
      </c>
      <c r="G16" s="5118">
        <f>+$D$16</f>
        <v>1062</v>
      </c>
      <c r="H16" s="5118">
        <f>+(H56/'Maj Production Summ'!H18)*1000</f>
        <v>1067.8204683947631</v>
      </c>
      <c r="I16" s="5119">
        <f>+$D$16</f>
        <v>1062</v>
      </c>
      <c r="J16" s="5119">
        <f>+(J56/'Maj Production Summ'!J18)*1000</f>
        <v>1062.0424734269263</v>
      </c>
      <c r="K16" s="5118">
        <f>+$D$16</f>
        <v>1062</v>
      </c>
      <c r="L16" s="5118">
        <f>+(L56/'Maj Production Summ'!L18)*1000</f>
        <v>1061.9196518424501</v>
      </c>
      <c r="M16" s="5121">
        <f>+$D$16</f>
        <v>1062</v>
      </c>
      <c r="N16" s="5121">
        <f>+(N56/'Maj Production Summ'!N18)*1000</f>
        <v>1061.9999587668149</v>
      </c>
      <c r="O16" s="5118">
        <f>+$D$16</f>
        <v>1062</v>
      </c>
      <c r="P16" s="5118">
        <f>+(P56/'Maj Production Summ'!P18)*1000</f>
        <v>1051.7068973673629</v>
      </c>
      <c r="Q16" s="5119">
        <f>+$D$16</f>
        <v>1062</v>
      </c>
      <c r="R16" s="5119">
        <f>+(R56/'Maj Production Summ'!R18)*1000</f>
        <v>1059.2716245602046</v>
      </c>
      <c r="S16" s="5118">
        <f>+$D$16</f>
        <v>1062</v>
      </c>
      <c r="T16" s="5118">
        <f>+(T56/'Maj Production Summ'!T18)*1000</f>
        <v>1060.1658095630878</v>
      </c>
      <c r="U16" s="5119">
        <f>+$D$16</f>
        <v>1062</v>
      </c>
      <c r="V16" s="5119">
        <f>+(V56/'Maj Production Summ'!V18)*1000</f>
        <v>1059.4494898296584</v>
      </c>
      <c r="W16" s="5118">
        <f>+$D$16</f>
        <v>1062</v>
      </c>
      <c r="X16" s="5118">
        <f>+(X56/'Maj Production Summ'!X18)*1000</f>
        <v>1063.8152587426769</v>
      </c>
      <c r="Y16" s="5121">
        <f>+$D$16</f>
        <v>1062</v>
      </c>
      <c r="Z16" s="5121">
        <f>+(Z56/'Maj Production Summ'!Z18)*1000</f>
        <v>1058.3307154265726</v>
      </c>
      <c r="AA16" s="6486">
        <f>+$D$16</f>
        <v>1062</v>
      </c>
      <c r="AB16" s="6486">
        <f>+(AB56/'Maj Production Summ'!AB18)*1000</f>
        <v>1060.1462170969321</v>
      </c>
      <c r="AC16" s="5118">
        <f>+$D$16</f>
        <v>1062</v>
      </c>
      <c r="AD16" s="5118">
        <f>+(AD56/'Maj Production Summ'!AD18)*1000</f>
        <v>1064.5745280439282</v>
      </c>
      <c r="AE16" s="5119">
        <f>+$D$16</f>
        <v>1062</v>
      </c>
      <c r="AF16" s="5119">
        <f>+(AF56/'Maj Production Summ'!AF18)*1000</f>
        <v>1060.6419895929712</v>
      </c>
      <c r="AG16" s="5118">
        <f>+$D$16</f>
        <v>1062</v>
      </c>
      <c r="AH16" s="5118">
        <f>+(AH56/'Maj Production Summ'!AH18)*1000</f>
        <v>1059.8754259222144</v>
      </c>
      <c r="AI16" s="5119">
        <f>+$D$16</f>
        <v>1062</v>
      </c>
      <c r="AJ16" s="5119">
        <f>+(AJ56/'Maj Production Summ'!AJ18)*1000</f>
        <v>1060.545862062748</v>
      </c>
      <c r="AK16" s="5118">
        <f>+$D$16</f>
        <v>1062</v>
      </c>
      <c r="AL16" s="5118">
        <f>+(AL56/'Maj Production Summ'!AL18)*1000</f>
        <v>1068.1895334200926</v>
      </c>
      <c r="AM16" s="5121">
        <f>+$D$16</f>
        <v>1062</v>
      </c>
      <c r="AN16" s="5121">
        <f>+(AN56/'Maj Production Summ'!AN18)*1000</f>
        <v>1064.2149663799164</v>
      </c>
      <c r="AO16" s="5119">
        <f>+$D$16</f>
        <v>1062</v>
      </c>
      <c r="AP16" s="6478">
        <f>+(AP56/'Maj Production Summ'!AP18)*1000</f>
        <v>1061.4135758695986</v>
      </c>
      <c r="AQ16" s="5118">
        <f>+$D$16</f>
        <v>1062</v>
      </c>
      <c r="AR16" s="5118">
        <f>+(AR56/'Maj Production Summ'!AR18)*1000</f>
        <v>1062.1673163865344</v>
      </c>
      <c r="AS16" s="5119">
        <f>+$D$16</f>
        <v>1062</v>
      </c>
      <c r="AT16" s="5119">
        <f>+(AT56/'Maj Production Summ'!AT18)*1000</f>
        <v>1061.4885523320406</v>
      </c>
      <c r="AU16" s="5118">
        <f>+$D$16</f>
        <v>1062</v>
      </c>
      <c r="AV16" s="5118">
        <f>+(AV56/'Maj Production Summ'!AV18)*1000</f>
        <v>1052.23913066978</v>
      </c>
      <c r="AW16" s="5119">
        <f>+$D$16</f>
        <v>1062</v>
      </c>
      <c r="AX16" s="5119">
        <f>+(AX56/'Maj Production Summ'!AX18)*1000</f>
        <v>1060.7978413604571</v>
      </c>
      <c r="AY16" s="5118">
        <f>+$D$16</f>
        <v>1062</v>
      </c>
      <c r="AZ16" s="5118">
        <f>+(AZ56/'Maj Production Summ'!AZ18)*1000</f>
        <v>1038.4428162825402</v>
      </c>
      <c r="BA16" s="5121">
        <f>+$D$16</f>
        <v>1062</v>
      </c>
      <c r="BB16" s="5121">
        <f>+(BB56/'Maj Production Summ'!BB18)*1000</f>
        <v>1050.6127742040003</v>
      </c>
      <c r="BC16" s="6486">
        <f>+$D$16</f>
        <v>1062</v>
      </c>
      <c r="BD16" s="6486">
        <f>+(BD56/'Maj Production Summ'!BD18)*1000</f>
        <v>1057.3549740205385</v>
      </c>
      <c r="BE16" s="5119">
        <f>+$D$16</f>
        <v>1062</v>
      </c>
      <c r="BF16" s="5119">
        <f>+(BF56/'Maj Production Summ'!BF18)*1000</f>
        <v>1058.8142866443113</v>
      </c>
      <c r="BG16" s="6485">
        <v>1060</v>
      </c>
      <c r="BH16" s="6485">
        <v>1059.5459918693748</v>
      </c>
      <c r="BI16" s="6485">
        <v>1060</v>
      </c>
      <c r="BJ16" s="6485">
        <v>1066.0113803295867</v>
      </c>
      <c r="BK16" s="6485">
        <v>1061.9999999999998</v>
      </c>
      <c r="BL16" s="6485">
        <v>1062.9741019163143</v>
      </c>
      <c r="BM16" s="6458">
        <v>1064.9999163858361</v>
      </c>
      <c r="BN16" s="1115">
        <v>1062.0576596902831</v>
      </c>
      <c r="BO16" s="2728">
        <v>1077.0434194075694</v>
      </c>
      <c r="BP16" s="2739">
        <v>1071.1760588881978</v>
      </c>
      <c r="BQ16" s="1020">
        <v>1065</v>
      </c>
      <c r="BR16" s="1115">
        <v>1093.6626453647993</v>
      </c>
      <c r="BS16" s="1115">
        <v>1078.3300007201833</v>
      </c>
    </row>
    <row r="17" spans="1:71" ht="19.5" thickBot="1" x14ac:dyDescent="0.3">
      <c r="A17" s="90"/>
      <c r="B17" s="6474" t="s">
        <v>1758</v>
      </c>
      <c r="C17" s="6475" t="s">
        <v>269</v>
      </c>
      <c r="D17" s="5118">
        <v>34</v>
      </c>
      <c r="E17" s="5118">
        <f>+$D$17</f>
        <v>34</v>
      </c>
      <c r="F17" s="5118">
        <f>+(F57/'Maj Production Summ'!F18)*1000</f>
        <v>40.079112648168227</v>
      </c>
      <c r="G17" s="5118">
        <f>+$D$17</f>
        <v>34</v>
      </c>
      <c r="H17" s="5118">
        <f>+(H57/'Maj Production Summ'!H18)*1000</f>
        <v>28.189893423710473</v>
      </c>
      <c r="I17" s="5119">
        <f>+$D$17</f>
        <v>34</v>
      </c>
      <c r="J17" s="5119">
        <f>+(J57/'Maj Production Summ'!J18)*1000</f>
        <v>33.961127637736368</v>
      </c>
      <c r="K17" s="5118">
        <f>+$D$17</f>
        <v>34</v>
      </c>
      <c r="L17" s="5118">
        <f>+(L57/'Maj Production Summ'!L18)*1000</f>
        <v>34.520831536271892</v>
      </c>
      <c r="M17" s="5121">
        <f>+$D$17</f>
        <v>34</v>
      </c>
      <c r="N17" s="5121">
        <f>+(N57/'Maj Production Summ'!N18)*1000</f>
        <v>34.154868999327476</v>
      </c>
      <c r="O17" s="5118">
        <f>+$D$17</f>
        <v>34</v>
      </c>
      <c r="P17" s="5118">
        <f>+(P57/'Maj Production Summ'!P18)*1000</f>
        <v>44.526180507919989</v>
      </c>
      <c r="Q17" s="5119">
        <f>+$D$17</f>
        <v>34</v>
      </c>
      <c r="R17" s="5119">
        <f>+(R57/'Maj Production Summ'!R18)*1000</f>
        <v>36.90394460066522</v>
      </c>
      <c r="S17" s="5118">
        <f>+$D$17</f>
        <v>34</v>
      </c>
      <c r="T17" s="5118">
        <f>+(T57/'Maj Production Summ'!T18)*1000</f>
        <v>36.183939197549044</v>
      </c>
      <c r="U17" s="5119">
        <f>+$D$17</f>
        <v>34</v>
      </c>
      <c r="V17" s="5119">
        <f>+(V57/'Maj Production Summ'!V18)*1000</f>
        <v>36.760725966243122</v>
      </c>
      <c r="W17" s="5118">
        <f>+$D$17</f>
        <v>34</v>
      </c>
      <c r="X17" s="5118">
        <f>+(X57/'Maj Production Summ'!X18)*1000</f>
        <v>34.040564785957052</v>
      </c>
      <c r="Y17" s="5121">
        <f>+$D$17</f>
        <v>34</v>
      </c>
      <c r="Z17" s="5121">
        <f>+(Z57/'Maj Production Summ'!Z18)*1000</f>
        <v>38.453569056342083</v>
      </c>
      <c r="AA17" s="6486">
        <f>+$D$17</f>
        <v>34</v>
      </c>
      <c r="AB17" s="6486">
        <f>+(AB57/'Maj Production Summ'!AB18)*1000</f>
        <v>36.326619053247107</v>
      </c>
      <c r="AC17" s="5118">
        <f>+$D$17</f>
        <v>34</v>
      </c>
      <c r="AD17" s="5118">
        <f>+(AD57/'Maj Production Summ'!AD18)*1000</f>
        <v>30.862550990228854</v>
      </c>
      <c r="AE17" s="5119">
        <f>+$D$17</f>
        <v>34</v>
      </c>
      <c r="AF17" s="5119">
        <f>+(AF57/'Maj Production Summ'!AF18)*1000</f>
        <v>35.714888148494765</v>
      </c>
      <c r="AG17" s="5118">
        <f>+$D$17</f>
        <v>34</v>
      </c>
      <c r="AH17" s="5118">
        <f>+(AH57/'Maj Production Summ'!AH18)*1000</f>
        <v>36.4868280014989</v>
      </c>
      <c r="AI17" s="5119">
        <f>+$D$17</f>
        <v>34</v>
      </c>
      <c r="AJ17" s="5119">
        <f>+(AJ57/'Maj Production Summ'!AJ18)*1000</f>
        <v>35.811689855099381</v>
      </c>
      <c r="AK17" s="5118">
        <f>+$D$17</f>
        <v>34</v>
      </c>
      <c r="AL17" s="5118">
        <f>+(AL57/'Maj Production Summ'!AL18)*1000</f>
        <v>27.934205192754888</v>
      </c>
      <c r="AM17" s="5121">
        <f>+$D$17</f>
        <v>34</v>
      </c>
      <c r="AN17" s="5121">
        <f>+(AN57/'Maj Production Summ'!AN18)*1000</f>
        <v>31.802546542511827</v>
      </c>
      <c r="AO17" s="5119">
        <f>+$D$17</f>
        <v>34</v>
      </c>
      <c r="AP17" s="6478">
        <f>+(AP57/'Maj Production Summ'!AP18)*1000</f>
        <v>34.917433432339585</v>
      </c>
      <c r="AQ17" s="5118">
        <f>+$D$17</f>
        <v>34</v>
      </c>
      <c r="AR17" s="5118">
        <f>+(AR57/'Maj Production Summ'!AR18)*1000</f>
        <v>33.23306160572163</v>
      </c>
      <c r="AS17" s="5119">
        <f>+$D$17</f>
        <v>34</v>
      </c>
      <c r="AT17" s="5119">
        <f>+(AT57/'Maj Production Summ'!AT18)*1000</f>
        <v>34.749884735991984</v>
      </c>
      <c r="AU17" s="5118">
        <f>+$D$17</f>
        <v>34</v>
      </c>
      <c r="AV17" s="5118">
        <f>+(AV57/'Maj Production Summ'!AV18)*1000</f>
        <v>43.482725818307607</v>
      </c>
      <c r="AW17" s="5119">
        <f>+$D$17</f>
        <v>34</v>
      </c>
      <c r="AX17" s="5119">
        <f>+(AX57/'Maj Production Summ'!AX18)*1000</f>
        <v>35.402019471427543</v>
      </c>
      <c r="AY17" s="5118">
        <f>+$D$17</f>
        <v>34</v>
      </c>
      <c r="AZ17" s="5118">
        <f>+(AZ57/'Maj Production Summ'!AZ18)*1000</f>
        <v>54.990465926048749</v>
      </c>
      <c r="BA17" s="5121">
        <f>+(BA57/'Maj Production Summ'!BA18)*1000</f>
        <v>34</v>
      </c>
      <c r="BB17" s="5121">
        <f>+(BB57/'Maj Production Summ'!BB18)*1000</f>
        <v>44.153243986348834</v>
      </c>
      <c r="BC17" s="6486">
        <f>+(BC57/'Maj Production Summ'!BC18)*1000</f>
        <v>34</v>
      </c>
      <c r="BD17" s="6486">
        <f>+(BD57/'Maj Production Summ'!BD18)*1000</f>
        <v>38.031372675973174</v>
      </c>
      <c r="BE17" s="5119">
        <f>+(BE57/'Maj Production Summ'!BE18)*1000</f>
        <v>33.999999999999993</v>
      </c>
      <c r="BF17" s="5119">
        <f>+(BF57/'Maj Production Summ'!BF18)*1000</f>
        <v>37.140096490424696</v>
      </c>
      <c r="BG17" s="6485">
        <v>40</v>
      </c>
      <c r="BH17" s="6485">
        <v>37.680157934540539</v>
      </c>
      <c r="BI17" s="6485">
        <v>40</v>
      </c>
      <c r="BJ17" s="6485">
        <v>34.431040857281253</v>
      </c>
      <c r="BK17" s="6485">
        <v>46</v>
      </c>
      <c r="BL17" s="6485">
        <v>38.506404738512508</v>
      </c>
      <c r="BM17" s="6444">
        <v>49.999999999999993</v>
      </c>
      <c r="BN17" s="1126">
        <v>45.611232627441403</v>
      </c>
      <c r="BO17" s="2730">
        <v>40.465027848474861</v>
      </c>
      <c r="BP17" s="2740">
        <v>41.122433127480129</v>
      </c>
      <c r="BQ17" s="1568">
        <v>50</v>
      </c>
      <c r="BR17" s="1126">
        <v>25.53216575879436</v>
      </c>
      <c r="BS17" s="1126">
        <v>41.130412495604766</v>
      </c>
    </row>
    <row r="18" spans="1:71" ht="19.5" thickBot="1" x14ac:dyDescent="0.3">
      <c r="A18" s="90"/>
      <c r="B18" s="6474" t="s">
        <v>286</v>
      </c>
      <c r="C18" s="6475" t="s">
        <v>269</v>
      </c>
      <c r="D18" s="5118">
        <f>SUM(D16:D17)</f>
        <v>1096</v>
      </c>
      <c r="E18" s="5118">
        <f>+$D$18</f>
        <v>1096</v>
      </c>
      <c r="F18" s="5118">
        <f>SUM(F16:F17)</f>
        <v>1095.9964341071379</v>
      </c>
      <c r="G18" s="5118">
        <f>+$D$18</f>
        <v>1096</v>
      </c>
      <c r="H18" s="5118">
        <f>SUM(H16:H17)</f>
        <v>1096.0103618184735</v>
      </c>
      <c r="I18" s="5119">
        <f>+$D$18</f>
        <v>1096</v>
      </c>
      <c r="J18" s="5119">
        <f>SUM(J16:J17)</f>
        <v>1096.0036010646627</v>
      </c>
      <c r="K18" s="5118">
        <f>+$D$18</f>
        <v>1096</v>
      </c>
      <c r="L18" s="5118">
        <f>SUM(L16:L17)</f>
        <v>1096.4404833787221</v>
      </c>
      <c r="M18" s="5121">
        <f>+$D$18</f>
        <v>1096</v>
      </c>
      <c r="N18" s="5121">
        <f>SUM(N16:N17)</f>
        <v>1096.1548277661423</v>
      </c>
      <c r="O18" s="5118">
        <f>+$D$18</f>
        <v>1096</v>
      </c>
      <c r="P18" s="5118">
        <f>SUM(P16:P17)</f>
        <v>1096.2330778752828</v>
      </c>
      <c r="Q18" s="5119">
        <f>+$D$18</f>
        <v>1096</v>
      </c>
      <c r="R18" s="5119">
        <f>SUM(R16:R17)</f>
        <v>1096.1755691608698</v>
      </c>
      <c r="S18" s="5118">
        <f>+$D$18</f>
        <v>1096</v>
      </c>
      <c r="T18" s="5118">
        <f>SUM(T16:T17)</f>
        <v>1096.3497487606369</v>
      </c>
      <c r="U18" s="5119">
        <f>+$D$18</f>
        <v>1096</v>
      </c>
      <c r="V18" s="5119">
        <f>SUM(V16:V17)</f>
        <v>1096.2102157959016</v>
      </c>
      <c r="W18" s="5118">
        <f>+$D$18</f>
        <v>1096</v>
      </c>
      <c r="X18" s="5118">
        <f>SUM(X16:X17)</f>
        <v>1097.8558235286339</v>
      </c>
      <c r="Y18" s="5121">
        <f>+$D$18</f>
        <v>1096</v>
      </c>
      <c r="Z18" s="5121">
        <f>SUM(Z16:Z17)</f>
        <v>1096.7842844829147</v>
      </c>
      <c r="AA18" s="6486">
        <f>+$D$18</f>
        <v>1096</v>
      </c>
      <c r="AB18" s="6486">
        <f>SUM(AB16:AB17)</f>
        <v>1096.4728361501793</v>
      </c>
      <c r="AC18" s="5118">
        <f>+$D$18</f>
        <v>1096</v>
      </c>
      <c r="AD18" s="5118">
        <f>SUM(AD16:AD17)</f>
        <v>1095.437079034157</v>
      </c>
      <c r="AE18" s="5119">
        <f>+$D$18</f>
        <v>1096</v>
      </c>
      <c r="AF18" s="5119">
        <f>SUM(AF16:AF17)</f>
        <v>1096.356877741466</v>
      </c>
      <c r="AG18" s="5118">
        <f>+$D$18</f>
        <v>1096</v>
      </c>
      <c r="AH18" s="5118">
        <f>SUM(AH16:AH17)</f>
        <v>1096.3622539237133</v>
      </c>
      <c r="AI18" s="5119">
        <f>+$D$18</f>
        <v>1096</v>
      </c>
      <c r="AJ18" s="5119">
        <f>SUM(AJ16:AJ17)</f>
        <v>1096.3575519178473</v>
      </c>
      <c r="AK18" s="5118">
        <f>+$D$18</f>
        <v>1096</v>
      </c>
      <c r="AL18" s="5118">
        <f>SUM(AL16:AL17)</f>
        <v>1096.1237386128475</v>
      </c>
      <c r="AM18" s="5121">
        <f>+$D$18</f>
        <v>1096</v>
      </c>
      <c r="AN18" s="5121">
        <f>SUM(AN16:AN17)</f>
        <v>1096.0175129224283</v>
      </c>
      <c r="AO18" s="5119">
        <f>+$D$18</f>
        <v>1096</v>
      </c>
      <c r="AP18" s="6478">
        <f>SUM(AP16:AP17)</f>
        <v>1096.3310093019381</v>
      </c>
      <c r="AQ18" s="5118">
        <f>+$D$18</f>
        <v>1096</v>
      </c>
      <c r="AR18" s="5118">
        <f>SUM(AR16:AR17)</f>
        <v>1095.4003779922559</v>
      </c>
      <c r="AS18" s="5119">
        <f>+$D$18</f>
        <v>1096</v>
      </c>
      <c r="AT18" s="5119">
        <f>SUM(AT16:AT17)</f>
        <v>1096.2384370680327</v>
      </c>
      <c r="AU18" s="5118">
        <f>+$D$18</f>
        <v>1096</v>
      </c>
      <c r="AV18" s="5118">
        <f>SUM(AV16:AV17)</f>
        <v>1095.7218564880877</v>
      </c>
      <c r="AW18" s="5119">
        <f>+$D$18</f>
        <v>1096</v>
      </c>
      <c r="AX18" s="5119">
        <f>SUM(AX16:AX17)</f>
        <v>1096.1998608318847</v>
      </c>
      <c r="AY18" s="5118">
        <f>+$D$18</f>
        <v>1096</v>
      </c>
      <c r="AZ18" s="5118">
        <f>SUM(AZ16:AZ17)</f>
        <v>1093.4332822085889</v>
      </c>
      <c r="BA18" s="5121">
        <f>+$D$18</f>
        <v>1096</v>
      </c>
      <c r="BB18" s="5121">
        <f>SUM(BB16:BB17)</f>
        <v>1094.7660181903491</v>
      </c>
      <c r="BC18" s="6486">
        <f>+$D$18</f>
        <v>1096</v>
      </c>
      <c r="BD18" s="6486">
        <f>SUM(BD16:BD17)</f>
        <v>1095.3863466965117</v>
      </c>
      <c r="BE18" s="5119">
        <f>+$D$18</f>
        <v>1096</v>
      </c>
      <c r="BF18" s="5119">
        <f t="shared" ref="BF18" si="15">SUM(BF16:BF17)</f>
        <v>1095.954383134736</v>
      </c>
      <c r="BG18" s="6485">
        <v>1100</v>
      </c>
      <c r="BH18" s="6485">
        <v>1097.2261498039154</v>
      </c>
      <c r="BI18" s="6485">
        <v>1100</v>
      </c>
      <c r="BJ18" s="6485">
        <v>1100.4424211868679</v>
      </c>
      <c r="BK18" s="6485">
        <v>1107.9999999999998</v>
      </c>
      <c r="BL18" s="6485">
        <v>1101.4805066548267</v>
      </c>
      <c r="BM18" s="6459">
        <v>1114.9999163858361</v>
      </c>
      <c r="BN18" s="4523">
        <v>1107.6688923177246</v>
      </c>
      <c r="BO18" s="4216">
        <v>1117.5084472560443</v>
      </c>
      <c r="BP18" s="4224">
        <v>1112.298492015678</v>
      </c>
      <c r="BQ18" s="4225">
        <v>1115</v>
      </c>
      <c r="BR18" s="4226">
        <v>1119.1948111235938</v>
      </c>
      <c r="BS18" s="4226">
        <v>1119.4604132157881</v>
      </c>
    </row>
    <row r="19" spans="1:71" ht="19.5" thickBot="1" x14ac:dyDescent="0.3">
      <c r="A19" s="144"/>
      <c r="B19" s="6482" t="s">
        <v>1759</v>
      </c>
      <c r="C19" s="6483" t="s">
        <v>269</v>
      </c>
      <c r="D19" s="5157">
        <f>+D68+D69+D72</f>
        <v>18.044117849203303</v>
      </c>
      <c r="E19" s="6476">
        <f>+$D$19</f>
        <v>18.044117849203303</v>
      </c>
      <c r="F19" s="6476">
        <f>F68+F71+F72</f>
        <v>17.484522412263804</v>
      </c>
      <c r="G19" s="6476">
        <f>+$D$19</f>
        <v>18.044117849203303</v>
      </c>
      <c r="H19" s="6476">
        <f>H68+H71+H72</f>
        <v>19.422070842383725</v>
      </c>
      <c r="I19" s="6478">
        <f>+$D$19</f>
        <v>18.044117849203303</v>
      </c>
      <c r="J19" s="6478">
        <f>J68+J71+J72</f>
        <v>18.481551067272065</v>
      </c>
      <c r="K19" s="6476">
        <f>+$D$19</f>
        <v>18.044117849203303</v>
      </c>
      <c r="L19" s="6476">
        <f>L68+L71+L72</f>
        <v>19.733624149219764</v>
      </c>
      <c r="M19" s="6479">
        <f>+$D$19</f>
        <v>18.044117849203303</v>
      </c>
      <c r="N19" s="6479">
        <f>N68+N71+N72</f>
        <v>18.91495584494616</v>
      </c>
      <c r="O19" s="6476">
        <f>+$D$19</f>
        <v>18.044117849203303</v>
      </c>
      <c r="P19" s="6476">
        <f>P68+P71+P72</f>
        <v>20.120845849989355</v>
      </c>
      <c r="Q19" s="6478">
        <f>+$D$19</f>
        <v>18.044117849203303</v>
      </c>
      <c r="R19" s="6478">
        <f>R68+R71+R72</f>
        <v>19.234595534489262</v>
      </c>
      <c r="S19" s="6476">
        <f>+$D$19</f>
        <v>18.044117849203303</v>
      </c>
      <c r="T19" s="6476">
        <f>T68+T71+T72</f>
        <v>19.080809016000202</v>
      </c>
      <c r="U19" s="5119">
        <f>+$D$19</f>
        <v>18.044117849203303</v>
      </c>
      <c r="V19" s="6478">
        <f>V68+V71+V72</f>
        <v>19.204005354088942</v>
      </c>
      <c r="W19" s="6476">
        <f>+$D$19</f>
        <v>18.044117849203303</v>
      </c>
      <c r="X19" s="6476">
        <f>X68+X71+X72</f>
        <v>17.254404951354879</v>
      </c>
      <c r="Y19" s="5121">
        <f>+$D$19</f>
        <v>18.044117849203303</v>
      </c>
      <c r="Z19" s="5121">
        <f>Z68+Z71+Z72</f>
        <v>18.871242154982866</v>
      </c>
      <c r="AA19" s="6480">
        <f>+$D$19</f>
        <v>18.044117849203303</v>
      </c>
      <c r="AB19" s="6480">
        <f>AB68+AB71+AB72</f>
        <v>18.892871213016587</v>
      </c>
      <c r="AC19" s="6476">
        <f>+$D$19</f>
        <v>18.044117849203303</v>
      </c>
      <c r="AD19" s="6476">
        <f>AD68+AD71+AD72</f>
        <v>17.868203860469528</v>
      </c>
      <c r="AE19" s="6478">
        <f>+$D$19</f>
        <v>18.044117849203303</v>
      </c>
      <c r="AF19" s="6478">
        <f>AF68+AF71+AF72</f>
        <v>18.778154361137261</v>
      </c>
      <c r="AG19" s="6476">
        <f>+$D$19</f>
        <v>18.044117849203303</v>
      </c>
      <c r="AH19" s="6476">
        <f>AH68+AH71+AH72</f>
        <v>16.204651811313191</v>
      </c>
      <c r="AI19" s="6478">
        <f>+$D$19</f>
        <v>18.044117849203303</v>
      </c>
      <c r="AJ19" s="6478">
        <f>AJ68+AJ71+AJ72</f>
        <v>18.455435644381254</v>
      </c>
      <c r="AK19" s="6476">
        <f>+$D$19</f>
        <v>18.044117849203303</v>
      </c>
      <c r="AL19" s="6476">
        <f>AL68+AL71+AL72</f>
        <v>17.49634117722356</v>
      </c>
      <c r="AM19" s="5121">
        <f>+$D$19</f>
        <v>18.044117849203303</v>
      </c>
      <c r="AN19" s="5121">
        <f>AN68+AN71+AN72</f>
        <v>17.138980636573425</v>
      </c>
      <c r="AO19" s="5119">
        <f>+$D$19</f>
        <v>18.044117849203303</v>
      </c>
      <c r="AP19" s="6478">
        <f>AP68+AP71+AP72</f>
        <v>18.346558709159918</v>
      </c>
      <c r="AQ19" s="6476">
        <f>+$D$19</f>
        <v>18.044117849203303</v>
      </c>
      <c r="AR19" s="6476">
        <f>AR68+AR71+AR72</f>
        <v>17.201717189877527</v>
      </c>
      <c r="AS19" s="5119">
        <f>+$D$19</f>
        <v>18.044117849203303</v>
      </c>
      <c r="AT19" s="6498">
        <f>AT68+AT71+AT72</f>
        <v>18.232678447658799</v>
      </c>
      <c r="AU19" s="6476">
        <f>+$D$19</f>
        <v>18.044117849203303</v>
      </c>
      <c r="AV19" s="6476">
        <f>AV68+AV71+AV72</f>
        <v>16.786191464521988</v>
      </c>
      <c r="AW19" s="5119">
        <f>+$D$19</f>
        <v>18.044117849203303</v>
      </c>
      <c r="AX19" s="6478">
        <f>AX68+AX71+AX72</f>
        <v>18.124660404370555</v>
      </c>
      <c r="AY19" s="6476">
        <f>+$D$19</f>
        <v>18.044117849203303</v>
      </c>
      <c r="AZ19" s="6476">
        <f>AZ68+AZ71+AZ72</f>
        <v>17.903332780633395</v>
      </c>
      <c r="BA19" s="5121">
        <f>+$D$19</f>
        <v>18.044117849203303</v>
      </c>
      <c r="BB19" s="5121">
        <f>BB68+BB71+BB72</f>
        <v>17.342903822846601</v>
      </c>
      <c r="BC19" s="6486">
        <f>+$D$19</f>
        <v>18.044117849203303</v>
      </c>
      <c r="BD19" s="6486">
        <f>BD68+BD71+BD72</f>
        <v>17.241825198805891</v>
      </c>
      <c r="BE19" s="6478">
        <f>+$D$19</f>
        <v>18.044117849203303</v>
      </c>
      <c r="BF19" s="6478">
        <f>BF68+BF71+BF72</f>
        <v>18.10502207024447</v>
      </c>
      <c r="BG19" s="6485">
        <v>22.999999999999996</v>
      </c>
      <c r="BH19" s="6485">
        <v>20.403234933373927</v>
      </c>
      <c r="BI19" s="6485">
        <v>21.173676902697167</v>
      </c>
      <c r="BJ19" s="6485">
        <v>22.701786332137168</v>
      </c>
      <c r="BK19" s="6485">
        <v>20.999999999999996</v>
      </c>
      <c r="BL19" s="6485">
        <v>22.930617482833931</v>
      </c>
      <c r="BM19" s="6463">
        <v>21.957789999999999</v>
      </c>
      <c r="BN19" s="4524">
        <v>20.936321602680948</v>
      </c>
      <c r="BO19" s="4227">
        <v>20.938577554449214</v>
      </c>
      <c r="BP19" s="4228">
        <v>20.212673477197818</v>
      </c>
      <c r="BQ19" s="4229">
        <v>21</v>
      </c>
      <c r="BR19" s="4230">
        <v>21.832464031742681</v>
      </c>
      <c r="BS19" s="4230">
        <v>23.120676252165847</v>
      </c>
    </row>
    <row r="20" spans="1:71" ht="19.5" thickBot="1" x14ac:dyDescent="0.3">
      <c r="A20" s="139"/>
      <c r="B20" s="6493" t="s">
        <v>364</v>
      </c>
      <c r="C20" s="6494"/>
      <c r="D20" s="6495"/>
      <c r="E20" s="6496"/>
      <c r="F20" s="6496"/>
      <c r="G20" s="6496"/>
      <c r="H20" s="6496"/>
      <c r="I20" s="6496"/>
      <c r="J20" s="6496"/>
      <c r="K20" s="6496"/>
      <c r="L20" s="6496"/>
      <c r="M20" s="6506"/>
      <c r="N20" s="6506"/>
      <c r="O20" s="6496"/>
      <c r="P20" s="6496"/>
      <c r="Q20" s="6496"/>
      <c r="R20" s="6496"/>
      <c r="S20" s="6496"/>
      <c r="T20" s="6496"/>
      <c r="U20" s="6496"/>
      <c r="V20" s="6496"/>
      <c r="W20" s="6496"/>
      <c r="X20" s="6496"/>
      <c r="Y20" s="6506"/>
      <c r="Z20" s="6506"/>
      <c r="AA20" s="6511"/>
      <c r="AB20" s="6511"/>
      <c r="AC20" s="6496"/>
      <c r="AD20" s="6496"/>
      <c r="AE20" s="6496"/>
      <c r="AF20" s="6496"/>
      <c r="AG20" s="6496"/>
      <c r="AH20" s="6496"/>
      <c r="AI20" s="6513"/>
      <c r="AJ20" s="6513"/>
      <c r="AK20" s="6496"/>
      <c r="AL20" s="6496"/>
      <c r="AM20" s="6496"/>
      <c r="AN20" s="6496"/>
      <c r="AO20" s="6496"/>
      <c r="AP20" s="6496"/>
      <c r="AQ20" s="6496"/>
      <c r="AR20" s="6496"/>
      <c r="AS20" s="6496"/>
      <c r="AT20" s="6496"/>
      <c r="AU20" s="6496"/>
      <c r="AV20" s="6496"/>
      <c r="AW20" s="6496"/>
      <c r="AX20" s="6496"/>
      <c r="AY20" s="6496"/>
      <c r="AZ20" s="6496"/>
      <c r="BA20" s="6496"/>
      <c r="BB20" s="6496"/>
      <c r="BC20" s="6496"/>
      <c r="BD20" s="6496"/>
      <c r="BE20" s="6496"/>
      <c r="BF20" s="6496"/>
      <c r="BG20" s="6496"/>
      <c r="BH20" s="6496"/>
      <c r="BI20" s="6496"/>
      <c r="BJ20" s="6496"/>
      <c r="BK20" s="6496"/>
      <c r="BL20" s="6496"/>
      <c r="BM20" s="4526"/>
      <c r="BN20" s="4525"/>
      <c r="BO20" s="2755"/>
      <c r="BP20" s="2755"/>
      <c r="BQ20" s="4231"/>
      <c r="BR20" s="4232"/>
      <c r="BS20" s="4232"/>
    </row>
    <row r="21" spans="1:71" ht="18.75" x14ac:dyDescent="0.25">
      <c r="A21" s="90"/>
      <c r="B21" s="6474" t="s">
        <v>16</v>
      </c>
      <c r="C21" s="6475" t="s">
        <v>49</v>
      </c>
      <c r="D21" s="6497">
        <v>96</v>
      </c>
      <c r="E21" s="6497">
        <f>+$D$21</f>
        <v>96</v>
      </c>
      <c r="F21" s="6497">
        <f>+WRM!F161</f>
        <v>95.641659787281753</v>
      </c>
      <c r="G21" s="6497">
        <f>+$D$21</f>
        <v>96</v>
      </c>
      <c r="H21" s="6497">
        <f>+WRM!H161</f>
        <v>95.612744452503435</v>
      </c>
      <c r="I21" s="6478">
        <f>+$D$21</f>
        <v>96</v>
      </c>
      <c r="J21" s="6498">
        <f>+WRM!J161</f>
        <v>95.627589811919975</v>
      </c>
      <c r="K21" s="6497">
        <f>+$D$21</f>
        <v>96</v>
      </c>
      <c r="L21" s="6497">
        <f>+WRM!L161</f>
        <v>95.257540790258943</v>
      </c>
      <c r="M21" s="6499">
        <f>+$D$21</f>
        <v>96</v>
      </c>
      <c r="N21" s="6499">
        <f>+WRM!N161</f>
        <v>95.508379808754398</v>
      </c>
      <c r="O21" s="6497">
        <f>+$D$21</f>
        <v>96</v>
      </c>
      <c r="P21" s="6497">
        <f>+WRM!P161</f>
        <v>95.75055357177952</v>
      </c>
      <c r="Q21" s="6498">
        <f>+$D$21</f>
        <v>96</v>
      </c>
      <c r="R21" s="6498">
        <f>+WRM!R161</f>
        <v>95.576816753097674</v>
      </c>
      <c r="S21" s="6497">
        <f>+$D$21</f>
        <v>96</v>
      </c>
      <c r="T21" s="6497">
        <f>+WRM!T161</f>
        <v>95.876083003897975</v>
      </c>
      <c r="U21" s="6498">
        <f>+$D$21</f>
        <v>96</v>
      </c>
      <c r="V21" s="6498">
        <f>+WRM!V161</f>
        <v>95.633207429136348</v>
      </c>
      <c r="W21" s="6497">
        <f>+$D$21</f>
        <v>96</v>
      </c>
      <c r="X21" s="6497">
        <f>+WRM!X161</f>
        <v>95.610321120425965</v>
      </c>
      <c r="Y21" s="6479">
        <f>+$D$21</f>
        <v>96</v>
      </c>
      <c r="Z21" s="6499">
        <f>+WRM!Z161</f>
        <v>95.743417030300961</v>
      </c>
      <c r="AA21" s="6480">
        <f>+$D$21</f>
        <v>96</v>
      </c>
      <c r="AB21" s="6500">
        <f>+WRM!AB161</f>
        <v>95.629391161332009</v>
      </c>
      <c r="AC21" s="6497">
        <f>+$D$21</f>
        <v>96</v>
      </c>
      <c r="AD21" s="6497">
        <f>+WRM!AD161</f>
        <v>95.954340193087916</v>
      </c>
      <c r="AE21" s="6498">
        <f>+$D$21</f>
        <v>96</v>
      </c>
      <c r="AF21" s="6498">
        <f>+WRM!AF161</f>
        <v>95.664645742124662</v>
      </c>
      <c r="AG21" s="6497">
        <f>+$D$21</f>
        <v>96</v>
      </c>
      <c r="AH21" s="6497">
        <f>+WRM!AH161</f>
        <v>95.766381296125843</v>
      </c>
      <c r="AI21" s="6498">
        <f>+$D$21</f>
        <v>96</v>
      </c>
      <c r="AJ21" s="6498">
        <f>+WRM!AJ161</f>
        <v>95.675972284915588</v>
      </c>
      <c r="AK21" s="6497">
        <f>+$D$21</f>
        <v>96</v>
      </c>
      <c r="AL21" s="6497">
        <f>+WRM!AL161</f>
        <v>95.336201881591947</v>
      </c>
      <c r="AM21" s="6479">
        <f>+$D$21</f>
        <v>96</v>
      </c>
      <c r="AN21" s="6499">
        <f>+WRM!AN161</f>
        <v>95.643377799808036</v>
      </c>
      <c r="AO21" s="6498">
        <f>+$D$21</f>
        <v>96</v>
      </c>
      <c r="AP21" s="6498">
        <f>+WRM!AP161</f>
        <v>95.633676247156231</v>
      </c>
      <c r="AQ21" s="6497">
        <f>+$D$21</f>
        <v>96</v>
      </c>
      <c r="AR21" s="6497">
        <f>+WRM!AR161</f>
        <v>95.804245221551284</v>
      </c>
      <c r="AS21" s="6498">
        <f>+$D$21</f>
        <v>96</v>
      </c>
      <c r="AT21" s="6498">
        <f>+WRM!AT161</f>
        <v>95.652697710002158</v>
      </c>
      <c r="AU21" s="6497">
        <f>+$D$21</f>
        <v>96</v>
      </c>
      <c r="AV21" s="6497">
        <f>+WRM!AV161</f>
        <v>95.614821440744819</v>
      </c>
      <c r="AW21" s="6498">
        <f>+$D$21</f>
        <v>96</v>
      </c>
      <c r="AX21" s="6498">
        <f>+WRM!AX161</f>
        <v>95.649450414236071</v>
      </c>
      <c r="AY21" s="6497">
        <f>+$D$21</f>
        <v>96</v>
      </c>
      <c r="AZ21" s="6497">
        <f>+WRM!AZ161</f>
        <v>95.474822787338823</v>
      </c>
      <c r="BA21" s="6479">
        <f>+$D$21</f>
        <v>96</v>
      </c>
      <c r="BB21" s="6479">
        <f>+WRM!BB161</f>
        <v>95.629455026212497</v>
      </c>
      <c r="BC21" s="6480">
        <f>+$D$21</f>
        <v>96</v>
      </c>
      <c r="BD21" s="6480">
        <f>+WRM!BD161</f>
        <v>95.635827963269534</v>
      </c>
      <c r="BE21" s="6478">
        <f>+$D$21</f>
        <v>96</v>
      </c>
      <c r="BF21" s="6498">
        <f>+WRM!BF161</f>
        <v>95.632552152260729</v>
      </c>
      <c r="BG21" s="6481">
        <v>96</v>
      </c>
      <c r="BH21" s="6481">
        <v>95.818830917541447</v>
      </c>
      <c r="BI21" s="6481">
        <v>96</v>
      </c>
      <c r="BJ21" s="6481">
        <v>95.88178499213079</v>
      </c>
      <c r="BK21" s="6481">
        <v>96</v>
      </c>
      <c r="BL21" s="6481">
        <v>95.450038252944893</v>
      </c>
      <c r="BM21" s="6464">
        <v>95.999999938560009</v>
      </c>
      <c r="BN21" s="4527">
        <v>95.505335593423183</v>
      </c>
      <c r="BO21" s="3498">
        <v>96.222984019632065</v>
      </c>
      <c r="BP21" s="2741">
        <v>94.958654249153824</v>
      </c>
      <c r="BQ21" s="1128">
        <v>96.5</v>
      </c>
      <c r="BR21" s="1116">
        <v>96.195270984402612</v>
      </c>
      <c r="BS21" s="1116">
        <v>96.032658515622913</v>
      </c>
    </row>
    <row r="22" spans="1:71" ht="18.75" x14ac:dyDescent="0.25">
      <c r="A22" s="90"/>
      <c r="B22" s="6474" t="s">
        <v>91</v>
      </c>
      <c r="C22" s="6475" t="s">
        <v>49</v>
      </c>
      <c r="D22" s="6497">
        <v>96.5</v>
      </c>
      <c r="E22" s="6497">
        <f>+$D$22</f>
        <v>96.5</v>
      </c>
      <c r="F22" s="6497">
        <f>+BM!F58</f>
        <v>95.918610762252314</v>
      </c>
      <c r="G22" s="6497">
        <f>+$D$22</f>
        <v>96.5</v>
      </c>
      <c r="H22" s="6497">
        <f>+BM!H58</f>
        <v>96.517503903684087</v>
      </c>
      <c r="I22" s="6478">
        <f>+$D$22</f>
        <v>96.5</v>
      </c>
      <c r="J22" s="6498">
        <f>+BM!J58</f>
        <v>96.22013230062278</v>
      </c>
      <c r="K22" s="6497">
        <f>+$D$22</f>
        <v>96.5</v>
      </c>
      <c r="L22" s="6497">
        <f>+BM!L58</f>
        <v>96.419419676816304</v>
      </c>
      <c r="M22" s="6499">
        <f>+$D$22</f>
        <v>96.5</v>
      </c>
      <c r="N22" s="6499">
        <f>+BM!N58</f>
        <v>96.285420437651865</v>
      </c>
      <c r="O22" s="6497">
        <f>+$D$22</f>
        <v>96.5</v>
      </c>
      <c r="P22" s="6497">
        <f>+BM!P58</f>
        <v>96.454667703108399</v>
      </c>
      <c r="Q22" s="6498">
        <f>+$D$22</f>
        <v>96.5</v>
      </c>
      <c r="R22" s="6498">
        <f>+BM!R58</f>
        <v>96.333045261414412</v>
      </c>
      <c r="S22" s="6497">
        <f>+$D$22</f>
        <v>96.5</v>
      </c>
      <c r="T22" s="6497">
        <f>+BM!T58</f>
        <v>96.329019569725332</v>
      </c>
      <c r="U22" s="6498">
        <f>+$D$22</f>
        <v>96.5</v>
      </c>
      <c r="V22" s="6498">
        <f>+BM!V58</f>
        <v>96.332259007467059</v>
      </c>
      <c r="W22" s="6497">
        <f>+$D$22</f>
        <v>96.5</v>
      </c>
      <c r="X22" s="6497">
        <f>+BM!X58</f>
        <v>96.394637106483472</v>
      </c>
      <c r="Y22" s="6479">
        <f>+$D$22</f>
        <v>96.5</v>
      </c>
      <c r="Z22" s="6499">
        <f>+BM!Z58</f>
        <v>96.395894549603327</v>
      </c>
      <c r="AA22" s="6480">
        <f>+$D$22</f>
        <v>96.5</v>
      </c>
      <c r="AB22" s="6500">
        <f>+BM!AB58</f>
        <v>96.342497784859262</v>
      </c>
      <c r="AC22" s="6497">
        <f>+$D$22</f>
        <v>96.5</v>
      </c>
      <c r="AD22" s="6497">
        <f>+BM!AD58</f>
        <v>96.409969459870908</v>
      </c>
      <c r="AE22" s="6498">
        <f>+$D$22</f>
        <v>96.5</v>
      </c>
      <c r="AF22" s="6498">
        <f>+BM!AF58</f>
        <v>96.349160180393426</v>
      </c>
      <c r="AG22" s="6497">
        <f>+$D$22</f>
        <v>96.5</v>
      </c>
      <c r="AH22" s="6497">
        <f>+BM!AH58</f>
        <v>96.083717767346542</v>
      </c>
      <c r="AI22" s="6498">
        <f>+$D$22</f>
        <v>96.5</v>
      </c>
      <c r="AJ22" s="6498">
        <f>+BM!AJ58</f>
        <v>96.317468217796403</v>
      </c>
      <c r="AK22" s="6497">
        <f>+$D$22</f>
        <v>96.5</v>
      </c>
      <c r="AL22" s="6497">
        <f>+BM!AL58</f>
        <v>95.865818289064322</v>
      </c>
      <c r="AM22" s="6479">
        <f>+$D$22</f>
        <v>96.5</v>
      </c>
      <c r="AN22" s="6499">
        <f>+BM!AN58</f>
        <v>96.077497770373839</v>
      </c>
      <c r="AO22" s="6498">
        <f>+$D$22</f>
        <v>96.5</v>
      </c>
      <c r="AP22" s="6498">
        <f>+BM!AP58</f>
        <v>96.261973971628606</v>
      </c>
      <c r="AQ22" s="6497">
        <f>+$D$22</f>
        <v>96.5</v>
      </c>
      <c r="AR22" s="6497">
        <f>+BM!AR58</f>
        <v>95.990775355915758</v>
      </c>
      <c r="AS22" s="6498">
        <f>+$D$22</f>
        <v>96.5</v>
      </c>
      <c r="AT22" s="6498">
        <f>+BM!AT58</f>
        <v>96.230985330930267</v>
      </c>
      <c r="AU22" s="6497">
        <f>+$D$22</f>
        <v>96.5</v>
      </c>
      <c r="AV22" s="6497">
        <f>+BM!AV58</f>
        <v>95.9606442036267</v>
      </c>
      <c r="AW22" s="6498">
        <f>+$D$22</f>
        <v>96.5</v>
      </c>
      <c r="AX22" s="6498">
        <f>+BM!AX58</f>
        <v>96.206709960374354</v>
      </c>
      <c r="AY22" s="6497">
        <f>+$D$22</f>
        <v>96.5</v>
      </c>
      <c r="AZ22" s="6497">
        <f>+BM!AZ58</f>
        <v>93.352457710962938</v>
      </c>
      <c r="BA22" s="6479">
        <f>+$D$22</f>
        <v>96.5</v>
      </c>
      <c r="BB22" s="6479">
        <f>+BM!BB58</f>
        <v>95.076496488136257</v>
      </c>
      <c r="BC22" s="6480">
        <f>+$D$22</f>
        <v>96.5</v>
      </c>
      <c r="BD22" s="6480">
        <f>+BM!BD58</f>
        <v>95.530624031950111</v>
      </c>
      <c r="BE22" s="6478">
        <f>+$D$22</f>
        <v>96.5</v>
      </c>
      <c r="BF22" s="6498">
        <f>+BM!BF58</f>
        <v>95.944392395093587</v>
      </c>
      <c r="BG22" s="6481">
        <v>96.5</v>
      </c>
      <c r="BH22" s="6481">
        <v>96.28695091898561</v>
      </c>
      <c r="BI22" s="6481">
        <v>96.5</v>
      </c>
      <c r="BJ22" s="6481">
        <v>96.088707842896071</v>
      </c>
      <c r="BK22" s="6481">
        <v>96.5</v>
      </c>
      <c r="BL22" s="6481">
        <v>95.450022221864671</v>
      </c>
      <c r="BM22" s="6465">
        <v>96.499981924910045</v>
      </c>
      <c r="BN22" s="1116">
        <v>95.423965808878961</v>
      </c>
      <c r="BO22" s="3498">
        <v>96.209843463927712</v>
      </c>
      <c r="BP22" s="2741">
        <v>95.175924318366739</v>
      </c>
      <c r="BQ22" s="1128">
        <v>96.5</v>
      </c>
      <c r="BR22" s="1116">
        <v>96.065592581466589</v>
      </c>
      <c r="BS22" s="1116">
        <v>96.054939695674079</v>
      </c>
    </row>
    <row r="23" spans="1:71" ht="18.75" x14ac:dyDescent="0.25">
      <c r="A23" s="90"/>
      <c r="B23" s="6474" t="s">
        <v>109</v>
      </c>
      <c r="C23" s="6475" t="s">
        <v>49</v>
      </c>
      <c r="D23" s="6497">
        <v>94.75</v>
      </c>
      <c r="E23" s="6497">
        <f>+$D$23</f>
        <v>94.75</v>
      </c>
      <c r="F23" s="6497">
        <f>+USM!G124</f>
        <v>93.964285931551316</v>
      </c>
      <c r="G23" s="6497">
        <f>+$D$23</f>
        <v>94.75</v>
      </c>
      <c r="H23" s="6497">
        <f>+USM!I124</f>
        <v>93.848373432627127</v>
      </c>
      <c r="I23" s="6478">
        <f>+$D$23</f>
        <v>94.75</v>
      </c>
      <c r="J23" s="6498">
        <f>+USM!K124</f>
        <v>90.323328912373469</v>
      </c>
      <c r="K23" s="6497">
        <f>+$D$23</f>
        <v>94.75</v>
      </c>
      <c r="L23" s="6497">
        <f>+USM!M124</f>
        <v>94.300657609568276</v>
      </c>
      <c r="M23" s="6499">
        <f>+$D$23</f>
        <v>94.75</v>
      </c>
      <c r="N23" s="6499">
        <f>+USM!O124</f>
        <v>93.020053205592504</v>
      </c>
      <c r="O23" s="6497">
        <f>+$D$23</f>
        <v>94.75</v>
      </c>
      <c r="P23" s="6497">
        <f>+USM!Q124</f>
        <v>94.039736544191683</v>
      </c>
      <c r="Q23" s="6498">
        <f>+$D$23</f>
        <v>94.75</v>
      </c>
      <c r="R23" s="6498">
        <f>+USM!S124</f>
        <v>92.75482804367067</v>
      </c>
      <c r="S23" s="6497">
        <f>+$D$23</f>
        <v>94.75</v>
      </c>
      <c r="T23" s="6497">
        <f>+USM!U124</f>
        <v>93.446166495534285</v>
      </c>
      <c r="U23" s="6498">
        <f>+$D$23</f>
        <v>94.75</v>
      </c>
      <c r="V23" s="6498">
        <f>+USM!W124</f>
        <v>92.869074537464016</v>
      </c>
      <c r="W23" s="6497">
        <f>+$D$23</f>
        <v>94.75</v>
      </c>
      <c r="X23" s="6497">
        <f>+USM!Y124</f>
        <v>93.972449866117088</v>
      </c>
      <c r="Y23" s="6479">
        <f>+$D$23</f>
        <v>94.75</v>
      </c>
      <c r="Z23" s="6499">
        <f>+USM!AA124</f>
        <v>93.843139792150197</v>
      </c>
      <c r="AA23" s="6480">
        <f>+$D$23</f>
        <v>94.75</v>
      </c>
      <c r="AB23" s="6500">
        <f>+USM!AC124</f>
        <v>93.410588588029711</v>
      </c>
      <c r="AC23" s="6497">
        <f>+$D$23</f>
        <v>94.75</v>
      </c>
      <c r="AD23" s="6497">
        <f>+USM!AE124</f>
        <v>93.165855556550625</v>
      </c>
      <c r="AE23" s="6498">
        <f>+$D$23</f>
        <v>94.75</v>
      </c>
      <c r="AF23" s="6498">
        <f>+USM!AG124</f>
        <v>93.389678217964558</v>
      </c>
      <c r="AG23" s="6497">
        <f>+$D$23</f>
        <v>94.75</v>
      </c>
      <c r="AH23" s="6497">
        <f>+USM!AI124</f>
        <v>93.342593762703558</v>
      </c>
      <c r="AI23" s="6498">
        <f>+$D$23</f>
        <v>94.75</v>
      </c>
      <c r="AJ23" s="6498">
        <f>+USM!AK124</f>
        <v>93.383857543000758</v>
      </c>
      <c r="AK23" s="6497">
        <f>+$D$23</f>
        <v>94.75</v>
      </c>
      <c r="AL23" s="6497">
        <f>+USM!AM124</f>
        <v>93.351849425160552</v>
      </c>
      <c r="AM23" s="6479">
        <f>+$D$23</f>
        <v>94.75</v>
      </c>
      <c r="AN23" s="6499">
        <f>+USM!AO124</f>
        <v>93.306454828873257</v>
      </c>
      <c r="AO23" s="6498">
        <f>+$D$23</f>
        <v>94.75</v>
      </c>
      <c r="AP23" s="6498">
        <f>+USM!AQ124</f>
        <v>93.380087619538642</v>
      </c>
      <c r="AQ23" s="6497">
        <f>+$D$23</f>
        <v>94.75</v>
      </c>
      <c r="AR23" s="6497">
        <f>+USM!AS124</f>
        <v>93.24126088594636</v>
      </c>
      <c r="AS23" s="6498">
        <f>+$D$23</f>
        <v>94.75</v>
      </c>
      <c r="AT23" s="6498">
        <f>+USM!AU124</f>
        <v>93.364662091676124</v>
      </c>
      <c r="AU23" s="6497">
        <f>+$D$23</f>
        <v>94.75</v>
      </c>
      <c r="AV23" s="6497">
        <f>+USM!AW124</f>
        <v>94.33991758409546</v>
      </c>
      <c r="AW23" s="6498">
        <f>+$D$23</f>
        <v>94.75</v>
      </c>
      <c r="AX23" s="6498">
        <f>+USM!AY124</f>
        <v>93.458229639078297</v>
      </c>
      <c r="AY23" s="6497">
        <f>+$D$23</f>
        <v>94.75</v>
      </c>
      <c r="AZ23" s="6497">
        <f>+USM!BA124</f>
        <v>94.146464563073792</v>
      </c>
      <c r="BA23" s="6479">
        <f>+$D$23</f>
        <v>94.75</v>
      </c>
      <c r="BB23" s="6479">
        <f>+USM!BC124</f>
        <v>93.91164228167537</v>
      </c>
      <c r="BC23" s="6480">
        <f>+$D$23</f>
        <v>94.75</v>
      </c>
      <c r="BD23" s="6480">
        <f>+USM!BE124</f>
        <v>93.649582875146166</v>
      </c>
      <c r="BE23" s="6478">
        <f>+$D$23</f>
        <v>94.75</v>
      </c>
      <c r="BF23" s="6498">
        <f>+USM!BG124</f>
        <v>93.527435421723581</v>
      </c>
      <c r="BG23" s="6481">
        <v>94.75</v>
      </c>
      <c r="BH23" s="6481">
        <v>93.736035078776908</v>
      </c>
      <c r="BI23" s="6481">
        <v>94.5</v>
      </c>
      <c r="BJ23" s="6481">
        <v>94.168642194921944</v>
      </c>
      <c r="BK23" s="6481">
        <v>94.5</v>
      </c>
      <c r="BL23" s="6481">
        <v>93.371871065542948</v>
      </c>
      <c r="BM23" s="6465">
        <v>95.700065288711201</v>
      </c>
      <c r="BN23" s="1116">
        <v>93.445480895587224</v>
      </c>
      <c r="BO23" s="3498">
        <v>95.699819475340547</v>
      </c>
      <c r="BP23" s="2741">
        <v>95.266762287385887</v>
      </c>
      <c r="BQ23" s="1128">
        <v>95.7</v>
      </c>
      <c r="BR23" s="1116">
        <v>95.476013180662989</v>
      </c>
      <c r="BS23" s="1116">
        <v>95.486332877569964</v>
      </c>
    </row>
    <row r="24" spans="1:71" ht="18.75" x14ac:dyDescent="0.25">
      <c r="A24" s="90"/>
      <c r="B24" s="6474" t="s">
        <v>1639</v>
      </c>
      <c r="C24" s="6475" t="s">
        <v>322</v>
      </c>
      <c r="D24" s="6491">
        <v>5.8862780487827759</v>
      </c>
      <c r="E24" s="6487">
        <v>6.0987916828744853</v>
      </c>
      <c r="F24" s="6487">
        <f>EMD!E128</f>
        <v>6.1129633927110598</v>
      </c>
      <c r="G24" s="6487">
        <v>5.8950819349699</v>
      </c>
      <c r="H24" s="6487">
        <f>EMD!G128</f>
        <v>5.9791618358977949</v>
      </c>
      <c r="I24" s="6488">
        <f>EMD!H128</f>
        <v>5.9260302723648577</v>
      </c>
      <c r="J24" s="6488">
        <f>EMD!I128</f>
        <v>6.0300558618251694</v>
      </c>
      <c r="K24" s="6487">
        <v>5.8881874827843568</v>
      </c>
      <c r="L24" s="6487">
        <f>EMD!K128</f>
        <v>5.9510024504802947</v>
      </c>
      <c r="M24" s="6489">
        <f>EMD!L128</f>
        <v>5.9135485641504033</v>
      </c>
      <c r="N24" s="6489">
        <f>EMD!M128</f>
        <v>6.0018291327647386</v>
      </c>
      <c r="O24" s="6487">
        <v>5.9044904422712001</v>
      </c>
      <c r="P24" s="6487">
        <f>EMD!O128</f>
        <v>5.9231909835586922</v>
      </c>
      <c r="Q24" s="6488">
        <f>+EMD!P128</f>
        <v>5.9112818034949903</v>
      </c>
      <c r="R24" s="6488">
        <f>+EMD!Q128</f>
        <v>5.9807714639072804</v>
      </c>
      <c r="S24" s="6487">
        <v>5.9110636073860041</v>
      </c>
      <c r="T24" s="6487">
        <f>EMD!S128</f>
        <v>6.028154237488426</v>
      </c>
      <c r="U24" s="6488">
        <f>+EMD!T128</f>
        <v>5.9112381298980665</v>
      </c>
      <c r="V24" s="6488">
        <f>+EMD!U128</f>
        <v>5.990273829903412</v>
      </c>
      <c r="W24" s="6487">
        <v>6.4404862064644854</v>
      </c>
      <c r="X24" s="6487">
        <f>EMD!W128</f>
        <v>6.2161034181344306</v>
      </c>
      <c r="Y24" s="6489">
        <f>+EMD!X128</f>
        <v>6.0185038105368784</v>
      </c>
      <c r="Z24" s="6489">
        <f>+EMD!Y128</f>
        <v>6.0504489425821761</v>
      </c>
      <c r="AA24" s="6490">
        <f>+EMD!Z128</f>
        <v>5.9615465955288425</v>
      </c>
      <c r="AB24" s="6490">
        <f>+EMD!AA128</f>
        <v>6.0267096597919014</v>
      </c>
      <c r="AC24" s="6487">
        <v>5.8977730271407953</v>
      </c>
      <c r="AD24" s="6487">
        <f>EMD!AC128</f>
        <v>6.5564134070696864</v>
      </c>
      <c r="AE24" s="6488">
        <f>+EMD!AD128</f>
        <v>5.9515643417563009</v>
      </c>
      <c r="AF24" s="6488">
        <f>+EMD!AE128</f>
        <v>6.0869783861382887</v>
      </c>
      <c r="AG24" s="6487">
        <v>5.9674105355612586</v>
      </c>
      <c r="AH24" s="6487">
        <f>EMD!AG128</f>
        <v>6.0353483427745793</v>
      </c>
      <c r="AI24" s="6488">
        <f>+EMD!AH128</f>
        <v>5.9533717467066625</v>
      </c>
      <c r="AJ24" s="6488">
        <f>+EMD!AI128</f>
        <v>6.080153206462656</v>
      </c>
      <c r="AK24" s="6487">
        <v>5.9619079993755575</v>
      </c>
      <c r="AL24" s="6487">
        <f>EMD!AK128</f>
        <v>6.135536634867977</v>
      </c>
      <c r="AM24" s="6489">
        <f>+EMD!AL128</f>
        <v>5.9413395829166165</v>
      </c>
      <c r="AN24" s="6489">
        <f>+EMD!AM128</f>
        <v>6.2170647548230979</v>
      </c>
      <c r="AO24" s="6488">
        <f>+EMD!AN128</f>
        <v>5.9544119947504051</v>
      </c>
      <c r="AP24" s="6488">
        <f>+EMD!AO128</f>
        <v>6.0864403639359859</v>
      </c>
      <c r="AQ24" s="6487">
        <v>5.9566700099316927</v>
      </c>
      <c r="AR24" s="6487">
        <v>6.1463268879699946</v>
      </c>
      <c r="AS24" s="6488">
        <f>+EMD!AR128</f>
        <v>5.9546606414337466</v>
      </c>
      <c r="AT24" s="6488">
        <f>+EMD!AS128</f>
        <v>6.0923974269027976</v>
      </c>
      <c r="AU24" s="6487">
        <v>5.9639133095730053</v>
      </c>
      <c r="AV24" s="6487">
        <v>6.180550765571363</v>
      </c>
      <c r="AW24" s="6488">
        <f>+EMD!AV128</f>
        <v>5.9554895272879893</v>
      </c>
      <c r="AX24" s="6488">
        <f>+EMD!AW128</f>
        <v>6.0928466279873765</v>
      </c>
      <c r="AY24" s="6487">
        <v>5.8906678130989905</v>
      </c>
      <c r="AZ24" s="6487">
        <v>5.9116955600412062</v>
      </c>
      <c r="BA24" s="6489">
        <f>+EMD!AZ128</f>
        <v>5.9360969398660011</v>
      </c>
      <c r="BB24" s="6489">
        <f>+EMD!BA128</f>
        <v>6.0462702726947715</v>
      </c>
      <c r="BC24" s="6490">
        <f>+EMD!BB128</f>
        <v>5.9387319622747556</v>
      </c>
      <c r="BD24" s="6490">
        <f>+EMD!BC128</f>
        <v>6.1309279889789305</v>
      </c>
      <c r="BE24" s="6488">
        <f>+EMD!BD128</f>
        <v>5.9495831111716857</v>
      </c>
      <c r="BF24" s="6488">
        <f>+EMD!BE128</f>
        <v>6.0767731476890043</v>
      </c>
      <c r="BG24" s="6492">
        <v>5.9500019581826908</v>
      </c>
      <c r="BH24" s="6492">
        <v>6.1600133062678522</v>
      </c>
      <c r="BI24" s="6492">
        <v>5.9498028934774796</v>
      </c>
      <c r="BJ24" s="6492">
        <v>6.1924446176470314</v>
      </c>
      <c r="BK24" s="6492">
        <v>5.989203092506215</v>
      </c>
      <c r="BL24" s="6492">
        <v>6.2012037687729737</v>
      </c>
      <c r="BM24" s="6466">
        <v>5.9854778159958535</v>
      </c>
      <c r="BN24" s="1117">
        <v>6.3006370372485003</v>
      </c>
      <c r="BO24" s="3499">
        <v>6.1969869203763626</v>
      </c>
      <c r="BP24" s="2742">
        <v>6.4827565550935358</v>
      </c>
      <c r="BQ24" s="1129">
        <v>5.95</v>
      </c>
      <c r="BR24" s="1117">
        <v>6.1800190917369466</v>
      </c>
      <c r="BS24" s="1117">
        <v>6.3116941199196104</v>
      </c>
    </row>
    <row r="25" spans="1:71" ht="18.75" x14ac:dyDescent="0.25">
      <c r="A25" s="90"/>
      <c r="B25" s="7803" t="s">
        <v>306</v>
      </c>
      <c r="C25" s="6475" t="s">
        <v>365</v>
      </c>
      <c r="D25" s="5118">
        <v>458.20336960360322</v>
      </c>
      <c r="E25" s="5118">
        <v>494.08443338317159</v>
      </c>
      <c r="F25" s="6477">
        <f>+'POWER DISTRIBUTION'!J17/('Maj Production Summ'!F37+0.25*'Maj Production Summ'!F26)</f>
        <v>492.30285642977924</v>
      </c>
      <c r="G25" s="5118">
        <v>461.80049178666684</v>
      </c>
      <c r="H25" s="5118">
        <f>+'POWER DISTRIBUTION'!L17/('Maj Production Summ'!H37+0.25*'Maj Production Summ'!H26)</f>
        <v>454.11622509213748</v>
      </c>
      <c r="I25" s="5119">
        <f>+'POWER DISTRIBUTION'!M17/('Maj Production Summ'!I37+0.25*'Maj Production Summ'!I26)</f>
        <v>475.85473490469138</v>
      </c>
      <c r="J25" s="5119">
        <f>+'POWER DISTRIBUTION'!N17/('Maj Production Summ'!J37+0.25*'Maj Production Summ'!J26)</f>
        <v>472.32855471914752</v>
      </c>
      <c r="K25" s="5118">
        <v>461.30940171262648</v>
      </c>
      <c r="L25" s="5118">
        <f>+'POWER DISTRIBUTION'!P17/('Maj Production Summ'!L37+0.25*'Maj Production Summ'!L26)</f>
        <v>452.70788686245868</v>
      </c>
      <c r="M25" s="5121">
        <f>+'POWER DISTRIBUTION'!Q17/('Maj Production Summ'!M37+0.25*'Maj Production Summ'!M26)</f>
        <v>470.71303971553681</v>
      </c>
      <c r="N25" s="5121">
        <f>+'POWER DISTRIBUTION'!R17/('Maj Production Summ'!N37+0.25*'Maj Production Summ'!N26)</f>
        <v>465.60738309762405</v>
      </c>
      <c r="O25" s="5118">
        <v>467.7439435313612</v>
      </c>
      <c r="P25" s="5118">
        <f>+'POWER DISTRIBUTION'!T17/('Maj Production Summ'!P37+0.25*'Maj Production Summ'!P26)</f>
        <v>442.75384913193756</v>
      </c>
      <c r="Q25" s="5119">
        <f>+'POWER DISTRIBUTION'!U17/('Maj Production Summ'!Q37+0.25*'Maj Production Summ'!Q26)</f>
        <v>469.93136435927534</v>
      </c>
      <c r="R25" s="5119">
        <f>+'POWER DISTRIBUTION'!V17/('Maj Production Summ'!R37+0.25*'Maj Production Summ'!R26)</f>
        <v>459.4942723673841</v>
      </c>
      <c r="S25" s="5118">
        <v>467.7439435313612</v>
      </c>
      <c r="T25" s="5118">
        <f>+'POWER DISTRIBUTION'!X17/('Maj Production Summ'!T37+0.25*'Maj Production Summ'!T26)</f>
        <v>478.64470311607982</v>
      </c>
      <c r="U25" s="5119">
        <f>+'POWER DISTRIBUTION'!Y17/('Maj Production Summ'!U37+0.25*'Maj Production Summ'!U26)</f>
        <v>469.47549736323998</v>
      </c>
      <c r="V25" s="5119">
        <f>+'POWER DISTRIBUTION'!Z17/('Maj Production Summ'!V37+0.25*'Maj Production Summ'!V26)</f>
        <v>463.21242347187001</v>
      </c>
      <c r="W25" s="5118">
        <v>583.45256429103893</v>
      </c>
      <c r="X25" s="5118">
        <f>+'POWER DISTRIBUTION'!AB17/('Maj Production Summ'!X37+0.25*'Maj Production Summ'!X26)</f>
        <v>460.52954687490472</v>
      </c>
      <c r="Y25" s="5121">
        <f>+'POWER DISTRIBUTION'!AC17/('Maj Production Summ'!Y37+0.25*'Maj Production Summ'!Y26)</f>
        <v>491.95795398331109</v>
      </c>
      <c r="Z25" s="5121">
        <f>+'POWER DISTRIBUTION'!AD17/('Maj Production Summ'!Z37+0.25*'Maj Production Summ'!Z26)</f>
        <v>460.01161602494744</v>
      </c>
      <c r="AA25" s="6486">
        <f>+'POWER DISTRIBUTION'!AE17/('Maj Production Summ'!AA37+0.25*'Maj Production Summ'!AA26)</f>
        <v>480.79900623302785</v>
      </c>
      <c r="AB25" s="6486">
        <f>+'POWER DISTRIBUTION'!AF17/('Maj Production Summ'!AB37+0.25*'Maj Production Summ'!AB26)</f>
        <v>462.76987151949487</v>
      </c>
      <c r="AC25" s="5118">
        <v>460.88039496676566</v>
      </c>
      <c r="AD25" s="5118">
        <f>+'POWER DISTRIBUTION'!AH17/('Maj Production Summ'!AD37+0.25*'Maj Production Summ'!AD26)</f>
        <v>521.99079603557163</v>
      </c>
      <c r="AE25" s="5119">
        <f>+'POWER DISTRIBUTION'!AI17/('Maj Production Summ'!AE37+0.25*'Maj Production Summ'!AE26)</f>
        <v>477.59415734813467</v>
      </c>
      <c r="AF25" s="5119">
        <f>+'POWER DISTRIBUTION'!AJ17/('Maj Production Summ'!AF37+0.25*'Maj Production Summ'!AF26)</f>
        <v>469.68763180901209</v>
      </c>
      <c r="AG25" s="5118">
        <v>462.80371337713393</v>
      </c>
      <c r="AH25" s="5118">
        <f>+'POWER DISTRIBUTION'!AL17/('Maj Production Summ'!AH37+0.25*'Maj Production Summ'!AH26)</f>
        <v>473.49810583154363</v>
      </c>
      <c r="AI25" s="5119">
        <f>+'POWER DISTRIBUTION'!AM17/('Maj Production Summ'!AI37+0.25*'Maj Production Summ'!AI26)</f>
        <v>475.6004384261725</v>
      </c>
      <c r="AJ25" s="5119">
        <f>+'POWER DISTRIBUTION'!AN17/('Maj Production Summ'!AJ37+0.25*'Maj Production Summ'!AJ26)</f>
        <v>470.15621094213157</v>
      </c>
      <c r="AK25" s="5118">
        <v>463.03105379435601</v>
      </c>
      <c r="AL25" s="5118">
        <f>+'POWER DISTRIBUTION'!AP17/('Maj Production Summ'!AL37+0.25*'Maj Production Summ'!AL26)</f>
        <v>443.87203984592827</v>
      </c>
      <c r="AM25" s="5121">
        <f>+'POWER DISTRIBUTION'!AQ17/('Maj Production Summ'!AM37+0.25*'Maj Production Summ'!AM26)</f>
        <v>462.23235342889933</v>
      </c>
      <c r="AN25" s="5121">
        <f>+'POWER DISTRIBUTION'!AR17/('Maj Production Summ'!AN37+0.25*'Maj Production Summ'!AN26)</f>
        <v>476.38290609386956</v>
      </c>
      <c r="AO25" s="5119">
        <f>+'POWER DISTRIBUTION'!AS17/('Maj Production Summ'!AO37+0.25*'Maj Production Summ'!AO26)</f>
        <v>474.06448612255537</v>
      </c>
      <c r="AP25" s="5119">
        <f>+'POWER DISTRIBUTION'!AT17/('Maj Production Summ'!AP37+0.25*'Maj Production Summ'!AP26)</f>
        <v>467.07471511288566</v>
      </c>
      <c r="AQ25" s="5118">
        <v>459.24603448350217</v>
      </c>
      <c r="AR25" s="5118">
        <f>+'POWER DISTRIBUTION'!AV17/('Maj Production Summ'!AR37+0.25*'Maj Production Summ'!AR26)</f>
        <v>461.48646553886596</v>
      </c>
      <c r="AS25" s="5119">
        <f>+'POWER DISTRIBUTION'!AW17/('Maj Production Summ'!AS37+0.25*'Maj Production Summ'!AS26)</f>
        <v>472.42965673236938</v>
      </c>
      <c r="AT25" s="5119">
        <f>+'POWER DISTRIBUTION'!AX17/('Maj Production Summ'!AT37+0.25*'Maj Production Summ'!AT26)</f>
        <v>466.50358387761077</v>
      </c>
      <c r="AU25" s="5118">
        <v>463.10735494009629</v>
      </c>
      <c r="AV25" s="6477">
        <f>+'POWER DISTRIBUTION'!AZ17/('Maj Production Summ'!AV37+0.25*'Maj Production Summ'!AV26)</f>
        <v>502.65661012599321</v>
      </c>
      <c r="AW25" s="5119">
        <f>+'POWER DISTRIBUTION'!BA17/('Maj Production Summ'!AW37+0.25*'Maj Production Summ'!AW26)</f>
        <v>471.59465599952279</v>
      </c>
      <c r="AX25" s="5119">
        <f>+'POWER DISTRIBUTION'!BB17/('Maj Production Summ'!AX37+0.25*'Maj Production Summ'!AX26)</f>
        <v>469.29871745105851</v>
      </c>
      <c r="AY25" s="5118">
        <v>459.76937063497422</v>
      </c>
      <c r="AZ25" s="6477">
        <f>+'POWER DISTRIBUTION'!BD17/('Maj Production Summ'!AZ37+0.25*'Maj Production Summ'!AZ26)</f>
        <v>450.62512378028765</v>
      </c>
      <c r="BA25" s="5121">
        <f>+'POWER DISTRIBUTION'!BE17/('Maj Production Summ'!BA37+0.25*'Maj Production Summ'!BA26)</f>
        <v>460.61776153124572</v>
      </c>
      <c r="BB25" s="5121">
        <f>+'POWER DISTRIBUTION'!BF17/('Maj Production Summ'!BB37+0.25*'Maj Production Summ'!BB26)</f>
        <v>469.35440124772992</v>
      </c>
      <c r="BC25" s="6486">
        <f>+'POWER DISTRIBUTION'!BG17/('Maj Production Summ'!BC37+0.25*'Maj Production Summ'!BC26)</f>
        <v>461.4296796870504</v>
      </c>
      <c r="BD25" s="6486">
        <f>+'POWER DISTRIBUTION'!BH17/('Maj Production Summ'!BD37+0.25*'Maj Production Summ'!BD26)</f>
        <v>472.81898702018145</v>
      </c>
      <c r="BE25" s="5119">
        <f>+'POWER DISTRIBUTION'!BI17/('Maj Production Summ'!BE37+0.25*'Maj Production Summ'!BE26)</f>
        <v>470.51531043928321</v>
      </c>
      <c r="BF25" s="5119">
        <f>+'POWER DISTRIBUTION'!BJ17/('Maj Production Summ'!BF37+0.25*'Maj Production Summ'!BF26)</f>
        <v>467.63426789799831</v>
      </c>
      <c r="BG25" s="6485">
        <v>498.86963107144817</v>
      </c>
      <c r="BH25" s="6485">
        <v>491.52958024478414</v>
      </c>
      <c r="BI25" s="6485">
        <v>491.86597886404491</v>
      </c>
      <c r="BJ25" s="6485">
        <v>499.12040640635269</v>
      </c>
      <c r="BK25" s="6485">
        <v>499.14522665560133</v>
      </c>
      <c r="BL25" s="6485">
        <v>516.74946439793155</v>
      </c>
      <c r="BM25" s="6458">
        <v>501.08847615207304</v>
      </c>
      <c r="BN25" s="1019">
        <v>528.34198170405227</v>
      </c>
      <c r="BO25" s="3500">
        <v>500.04339220311806</v>
      </c>
      <c r="BP25" s="2741">
        <v>579.80533013641912</v>
      </c>
      <c r="BQ25" s="1130">
        <v>483.42299975438647</v>
      </c>
      <c r="BR25" s="1116">
        <v>525.26172798809614</v>
      </c>
      <c r="BS25" s="1019">
        <v>552.0369062994705</v>
      </c>
    </row>
    <row r="26" spans="1:71" ht="18.75" x14ac:dyDescent="0.25">
      <c r="A26" s="90"/>
      <c r="B26" s="7803"/>
      <c r="C26" s="6475" t="s">
        <v>272</v>
      </c>
      <c r="D26" s="5118">
        <v>440.96350704440579</v>
      </c>
      <c r="E26" s="5118">
        <v>465.50188178286226</v>
      </c>
      <c r="F26" s="5118">
        <f>+'POWER DISTRIBUTION'!J17/'Maj Production Summ'!F18</f>
        <v>460.56723586559497</v>
      </c>
      <c r="G26" s="5118">
        <v>446.77103204676359</v>
      </c>
      <c r="H26" s="5118">
        <f>+'POWER DISTRIBUTION'!L17/'Maj Production Summ'!H18</f>
        <v>439.53564177111588</v>
      </c>
      <c r="I26" s="5119">
        <f>+'POWER DISTRIBUTION'!M17/'Maj Production Summ'!I18</f>
        <v>455.04741108160789</v>
      </c>
      <c r="J26" s="5119">
        <f>+'POWER DISTRIBUTION'!N17/'Maj Production Summ'!J18</f>
        <v>449.74474407817667</v>
      </c>
      <c r="K26" s="5118">
        <v>445.92427373959413</v>
      </c>
      <c r="L26" s="5118">
        <f>+'POWER DISTRIBUTION'!P17/'Maj Production Summ'!L18</f>
        <v>424.25451464279837</v>
      </c>
      <c r="M26" s="5121">
        <f>+'POWER DISTRIBUTION'!Q17/'Maj Production Summ'!M18</f>
        <v>451.84489580969068</v>
      </c>
      <c r="N26" s="5121">
        <f>+'POWER DISTRIBUTION'!R17/'Maj Production Summ'!N18</f>
        <v>440.92130766652849</v>
      </c>
      <c r="O26" s="5118">
        <v>451.67957543733371</v>
      </c>
      <c r="P26" s="5118">
        <f>+'POWER DISTRIBUTION'!T17/'Maj Production Summ'!P18</f>
        <v>424.51701842872308</v>
      </c>
      <c r="Q26" s="5119">
        <f>+'POWER DISTRIBUTION'!U17/'Maj Production Summ'!Q18</f>
        <v>451.80156273101306</v>
      </c>
      <c r="R26" s="5119">
        <f>+'POWER DISTRIBUTION'!V17/'Maj Production Summ'!R18</f>
        <v>436.57309854528324</v>
      </c>
      <c r="S26" s="5118">
        <v>451.67957543733371</v>
      </c>
      <c r="T26" s="5118">
        <f>+'POWER DISTRIBUTION'!X17/'Maj Production Summ'!T18</f>
        <v>441.2684100265684</v>
      </c>
      <c r="U26" s="5119">
        <f>+'POWER DISTRIBUTION'!Y17/'Maj Production Summ'!U18</f>
        <v>451.77622845080606</v>
      </c>
      <c r="V26" s="5119">
        <f>+'POWER DISTRIBUTION'!Z17/'Maj Production Summ'!V18</f>
        <v>437.50705834006487</v>
      </c>
      <c r="W26" s="5118">
        <v>568.25162605249295</v>
      </c>
      <c r="X26" s="5118">
        <f>+'POWER DISTRIBUTION'!AB17/'Maj Production Summ'!X18</f>
        <v>452.48637104156836</v>
      </c>
      <c r="Y26" s="5121">
        <f>+'POWER DISTRIBUTION'!AC17/'Maj Production Summ'!Y18</f>
        <v>475.90977253737464</v>
      </c>
      <c r="Z26" s="5121">
        <f>+'POWER DISTRIBUTION'!AD17/'Maj Production Summ'!Z18</f>
        <v>438.89498415702241</v>
      </c>
      <c r="AA26" s="6486">
        <f>+'POWER DISTRIBUTION'!AE17/'Maj Production Summ'!AA18</f>
        <v>463.22316629883727</v>
      </c>
      <c r="AB26" s="6486">
        <f>+'POWER DISTRIBUTION'!AF17/'Maj Production Summ'!AB18</f>
        <v>439.89758697593334</v>
      </c>
      <c r="AC26" s="5118">
        <v>445.88078871917207</v>
      </c>
      <c r="AD26" s="5118">
        <f>+'POWER DISTRIBUTION'!AH17/'Maj Production Summ'!AD18</f>
        <v>520.56796880411787</v>
      </c>
      <c r="AE26" s="5119">
        <f>+'POWER DISTRIBUTION'!AI17/'Maj Production Summ'!AE18</f>
        <v>460.44253731702008</v>
      </c>
      <c r="AF26" s="5119">
        <f>+'POWER DISTRIBUTION'!AJ17/'Maj Production Summ'!AF18</f>
        <v>448.92905676974357</v>
      </c>
      <c r="AG26" s="5118">
        <v>447.36772892271716</v>
      </c>
      <c r="AH26" s="5118">
        <f>+'POWER DISTRIBUTION'!AL17/'Maj Production Summ'!AH18</f>
        <v>442.57474643939258</v>
      </c>
      <c r="AI26" s="5119">
        <f>+'POWER DISTRIBUTION'!AM17/'Maj Production Summ'!AI18</f>
        <v>458.68412104158591</v>
      </c>
      <c r="AJ26" s="5119">
        <f>+'POWER DISTRIBUTION'!AN17/'Maj Production Summ'!AJ18</f>
        <v>448.13222255801116</v>
      </c>
      <c r="AK26" s="5118">
        <v>447.96244879212134</v>
      </c>
      <c r="AL26" s="5118">
        <f>+'POWER DISTRIBUTION'!AP17/'Maj Production Summ'!AL18</f>
        <v>438.77257537174847</v>
      </c>
      <c r="AM26" s="5121">
        <f>+'POWER DISTRIBUTION'!AQ17/'Maj Production Summ'!AM18</f>
        <v>447.06722939252654</v>
      </c>
      <c r="AN26" s="5121">
        <f>+'POWER DISTRIBUTION'!AR17/'Maj Production Summ'!AN18</f>
        <v>462.92308847897897</v>
      </c>
      <c r="AO26" s="5119">
        <f>+'POWER DISTRIBUTION'!AS17/'Maj Production Summ'!AO18</f>
        <v>457.37755257228793</v>
      </c>
      <c r="AP26" s="5119">
        <f>+'POWER DISTRIBUTION'!AT17/'Maj Production Summ'!AP18</f>
        <v>447.06971022446254</v>
      </c>
      <c r="AQ26" s="5118">
        <v>444.01479744397955</v>
      </c>
      <c r="AR26" s="5118">
        <f>+'POWER DISTRIBUTION'!AV17/'Maj Production Summ'!AR18</f>
        <v>455.22207583085952</v>
      </c>
      <c r="AS26" s="5119">
        <f>+'POWER DISTRIBUTION'!AW17/'Maj Production Summ'!AS18</f>
        <v>455.90608117985278</v>
      </c>
      <c r="AT26" s="5119">
        <f>+'POWER DISTRIBUTION'!AX17/'Maj Production Summ'!AT18</f>
        <v>447.88064650819479</v>
      </c>
      <c r="AU26" s="5118">
        <v>446.83745108445066</v>
      </c>
      <c r="AV26" s="5118">
        <f>+'POWER DISTRIBUTION'!AZ17/'Maj Production Summ'!AV18</f>
        <v>501.06568467591995</v>
      </c>
      <c r="AW26" s="5119">
        <f>+'POWER DISTRIBUTION'!BA17/'Maj Production Summ'!AW18</f>
        <v>455.09368208692922</v>
      </c>
      <c r="AX26" s="5119">
        <f>+'POWER DISTRIBUTION'!BB17/'Maj Production Summ'!AX18</f>
        <v>451.85229908582795</v>
      </c>
      <c r="AY26" s="5118">
        <v>444.52082503410134</v>
      </c>
      <c r="AZ26" s="5118">
        <f>+'POWER DISTRIBUTION'!BD17/'Maj Production Summ'!AZ18</f>
        <v>436.04257719836403</v>
      </c>
      <c r="BA26" s="5121">
        <f>+'POWER DISTRIBUTION'!BE17/'Maj Production Summ'!BA18</f>
        <v>445.06135166680338</v>
      </c>
      <c r="BB26" s="5121">
        <f>+'POWER DISTRIBUTION'!BF17/'Maj Production Summ'!BB18</f>
        <v>461.1137481661147</v>
      </c>
      <c r="BC26" s="6486">
        <f>+'POWER DISTRIBUTION'!BG17/'Maj Production Summ'!BC18</f>
        <v>446.06953259872472</v>
      </c>
      <c r="BD26" s="6486">
        <f>+'POWER DISTRIBUTION'!BH17/'Maj Production Summ'!BD18</f>
        <v>462.01058404136779</v>
      </c>
      <c r="BE26" s="5119">
        <f>+'POWER DISTRIBUTION'!BI17/'Maj Production Summ'!BE18</f>
        <v>454.13030593939112</v>
      </c>
      <c r="BF26" s="5119">
        <f>+'POWER DISTRIBUTION'!BJ17/'Maj Production Summ'!BF18</f>
        <v>450.44950717208457</v>
      </c>
      <c r="BG26" s="6485">
        <v>483.40224419045359</v>
      </c>
      <c r="BH26" s="6485">
        <v>471.6278698390359</v>
      </c>
      <c r="BI26" s="6485">
        <v>475.02938820908332</v>
      </c>
      <c r="BJ26" s="6485">
        <v>476.2494644347301</v>
      </c>
      <c r="BK26" s="6485">
        <v>482.32052805467174</v>
      </c>
      <c r="BL26" s="6485">
        <v>494.76973868424994</v>
      </c>
      <c r="BM26" s="6458">
        <v>486.14726114397098</v>
      </c>
      <c r="BN26" s="1019">
        <v>514.38475747997404</v>
      </c>
      <c r="BO26" s="3500">
        <v>487.7465843305942</v>
      </c>
      <c r="BP26" s="2741">
        <v>580.20285834899937</v>
      </c>
      <c r="BQ26" s="1130">
        <v>448.29125296551734</v>
      </c>
      <c r="BR26" s="1116">
        <v>538.52023832812074</v>
      </c>
      <c r="BS26" s="1019">
        <v>565.51993685574621</v>
      </c>
    </row>
    <row r="27" spans="1:71" ht="18.75" x14ac:dyDescent="0.25">
      <c r="A27" s="90"/>
      <c r="B27" s="6474" t="s">
        <v>1340</v>
      </c>
      <c r="C27" s="6475" t="s">
        <v>29</v>
      </c>
      <c r="D27" s="6501">
        <v>2.8000000000000003</v>
      </c>
      <c r="E27" s="6501">
        <f>+$D$27</f>
        <v>2.8000000000000003</v>
      </c>
      <c r="F27" s="6501">
        <v>2.82</v>
      </c>
      <c r="G27" s="6501">
        <f>+$D$27</f>
        <v>2.8000000000000003</v>
      </c>
      <c r="H27" s="6501">
        <v>2.97</v>
      </c>
      <c r="I27" s="6498">
        <f>+$D$27</f>
        <v>2.8000000000000003</v>
      </c>
      <c r="J27" s="6498">
        <f>+((F27*F33)+(H27*H33))/J33</f>
        <v>2.8971873858358128</v>
      </c>
      <c r="K27" s="6501">
        <f>+$D$27</f>
        <v>2.8000000000000003</v>
      </c>
      <c r="L27" s="6501">
        <v>2.96</v>
      </c>
      <c r="M27" s="6499">
        <f>+$D$27</f>
        <v>2.8000000000000003</v>
      </c>
      <c r="N27" s="6499">
        <f>+((F33*F27)+(H33*H27)+(L33*L27))/N33</f>
        <v>2.9189299561932955</v>
      </c>
      <c r="O27" s="6501">
        <f>+$D$27</f>
        <v>2.8000000000000003</v>
      </c>
      <c r="P27" s="6501">
        <v>2.9</v>
      </c>
      <c r="Q27" s="6498">
        <f>+$D$27</f>
        <v>2.8000000000000003</v>
      </c>
      <c r="R27" s="6498">
        <f>+(((N27*N33)+(P27*P33))/R33)</f>
        <v>2.9139122802067754</v>
      </c>
      <c r="S27" s="6501">
        <f>+$D$27</f>
        <v>2.8000000000000003</v>
      </c>
      <c r="T27" s="6501">
        <v>2.9</v>
      </c>
      <c r="U27" s="6498">
        <f>+$D$27</f>
        <v>2.8000000000000003</v>
      </c>
      <c r="V27" s="6498">
        <f>+(((R27*R33)+(T27*T33))/V33)</f>
        <v>2.9111449429558487</v>
      </c>
      <c r="W27" s="6501">
        <f>+$D$27</f>
        <v>2.8000000000000003</v>
      </c>
      <c r="X27" s="6501">
        <v>2.9049999999999998</v>
      </c>
      <c r="Y27" s="6499">
        <f>+$D$27</f>
        <v>2.8000000000000003</v>
      </c>
      <c r="Z27" s="6499">
        <f>+((P33*P27)+(T33*T27)+(X33*X27))/Z33</f>
        <v>2.9015794263163683</v>
      </c>
      <c r="AA27" s="6500">
        <f>+$D$27</f>
        <v>2.8000000000000003</v>
      </c>
      <c r="AB27" s="6500">
        <f>+((N27*N33)+(Z27*Z33))/AB33</f>
        <v>2.9101642796641172</v>
      </c>
      <c r="AC27" s="6501">
        <f>+$D$27</f>
        <v>2.8000000000000003</v>
      </c>
      <c r="AD27" s="6497">
        <v>2.94</v>
      </c>
      <c r="AE27" s="6498">
        <f>+$D$27</f>
        <v>2.8000000000000003</v>
      </c>
      <c r="AF27" s="6498">
        <f>+(((AB27*AB33)+(AD27*AD33))/AF33)</f>
        <v>2.9135045440943017</v>
      </c>
      <c r="AG27" s="6501">
        <f>+$D$27</f>
        <v>2.8000000000000003</v>
      </c>
      <c r="AH27" s="6497">
        <v>2.86</v>
      </c>
      <c r="AI27" s="6498">
        <f>+$D$27</f>
        <v>2.8000000000000003</v>
      </c>
      <c r="AJ27" s="6498">
        <f>+(((AF27*AF33)+(AH27*AH33))/AJ33)</f>
        <v>2.9067950431412486</v>
      </c>
      <c r="AK27" s="6501">
        <f>+$D$27</f>
        <v>2.8000000000000003</v>
      </c>
      <c r="AL27" s="6497">
        <v>2.87</v>
      </c>
      <c r="AM27" s="6479">
        <f>+$D$27</f>
        <v>2.8000000000000003</v>
      </c>
      <c r="AN27" s="6499">
        <f>+((AD33*AD27)+(AH33*AH27)+(AL33*AL27))/AN33</f>
        <v>2.8859377390882455</v>
      </c>
      <c r="AO27" s="6498">
        <f>+$D$27</f>
        <v>2.8000000000000003</v>
      </c>
      <c r="AP27" s="6498">
        <f>+(((AL27*AL33)+(AJ27*AJ33))/AP33)</f>
        <v>2.9026180494605027</v>
      </c>
      <c r="AQ27" s="6501">
        <v>2.85</v>
      </c>
      <c r="AR27" s="6497">
        <v>2.88</v>
      </c>
      <c r="AS27" s="6498">
        <f>+$D$27</f>
        <v>2.8000000000000003</v>
      </c>
      <c r="AT27" s="6498">
        <f>+(((AP27*AP33)+(AR27*AR33))/AT33)</f>
        <v>2.900368175269338</v>
      </c>
      <c r="AU27" s="6501">
        <v>2.85</v>
      </c>
      <c r="AV27" s="6497">
        <v>2.86</v>
      </c>
      <c r="AW27" s="6498">
        <f>+$D$27</f>
        <v>2.8000000000000003</v>
      </c>
      <c r="AX27" s="6498">
        <f>+(((AT27*AT33)+(AV27*AV33))/AX33)</f>
        <v>2.8973536363522614</v>
      </c>
      <c r="AY27" s="6501">
        <v>2.85</v>
      </c>
      <c r="AZ27" s="6497">
        <v>2.87</v>
      </c>
      <c r="BA27" s="6499">
        <f>+$D$27</f>
        <v>2.8000000000000003</v>
      </c>
      <c r="BB27" s="6499">
        <f>+((AR27*AR33)+(AV27*AV33)+(AZ27*AZ33))/BB33</f>
        <v>2.8706576616643975</v>
      </c>
      <c r="BC27" s="6500">
        <f>+$D$27</f>
        <v>2.8000000000000003</v>
      </c>
      <c r="BD27" s="6500">
        <f>+((AN27*AN33)+(BB27*BB33))/BD33</f>
        <v>2.8782315390123565</v>
      </c>
      <c r="BE27" s="6498">
        <f>+$D$27</f>
        <v>2.8000000000000003</v>
      </c>
      <c r="BF27" s="6498">
        <f>+((AX27*AX33)+(AZ27*AZ33))/BF33</f>
        <v>2.8949265563467077</v>
      </c>
      <c r="BG27" s="6502">
        <v>2.85</v>
      </c>
      <c r="BH27" s="6502">
        <v>2.991974559276541</v>
      </c>
      <c r="BI27" s="6502">
        <v>2.85</v>
      </c>
      <c r="BJ27" s="6502">
        <v>3.0828892276362487</v>
      </c>
      <c r="BK27" s="6502">
        <v>3.3</v>
      </c>
      <c r="BL27" s="6502">
        <v>3.0186531588909742</v>
      </c>
      <c r="BM27" s="6467">
        <v>4.2999999999999989</v>
      </c>
      <c r="BN27" s="1117">
        <v>3.3197103856374044</v>
      </c>
      <c r="BO27" s="3500">
        <v>4.3000000000000007</v>
      </c>
      <c r="BP27" s="2742">
        <v>5.0407393881131286</v>
      </c>
      <c r="BQ27" s="1130">
        <v>4.5999999999999988</v>
      </c>
      <c r="BR27" s="1117">
        <v>5.0056729201905341</v>
      </c>
      <c r="BS27" s="1117">
        <v>5.0192042238753487</v>
      </c>
    </row>
    <row r="28" spans="1:71" ht="18.75" x14ac:dyDescent="0.25">
      <c r="A28" s="90"/>
      <c r="B28" s="6474" t="s">
        <v>366</v>
      </c>
      <c r="C28" s="6475" t="s">
        <v>1118</v>
      </c>
      <c r="D28" s="6501">
        <v>2.5099999999999998</v>
      </c>
      <c r="E28" s="6501">
        <f>+$D$28</f>
        <v>2.5099999999999998</v>
      </c>
      <c r="F28" s="6501">
        <v>2.68</v>
      </c>
      <c r="G28" s="6501">
        <f>+$D$28</f>
        <v>2.5099999999999998</v>
      </c>
      <c r="H28" s="6501">
        <v>2.3199999999999998</v>
      </c>
      <c r="I28" s="6498">
        <f>+$D$28</f>
        <v>2.5099999999999998</v>
      </c>
      <c r="J28" s="6498">
        <f>+((F28*F33)+(H28*H33))/J33</f>
        <v>2.4947502739940499</v>
      </c>
      <c r="K28" s="6501">
        <f>+$D$28</f>
        <v>2.5099999999999998</v>
      </c>
      <c r="L28" s="6501">
        <v>2.34</v>
      </c>
      <c r="M28" s="6499">
        <f>+$D$28</f>
        <v>2.5099999999999998</v>
      </c>
      <c r="N28" s="6499">
        <f>+((F33*F28)+(H33*H28)+(L33*L28))/N33</f>
        <v>2.4411835061572518</v>
      </c>
      <c r="O28" s="6501">
        <f>+$D$28</f>
        <v>2.5099999999999998</v>
      </c>
      <c r="P28" s="6501">
        <v>2.35</v>
      </c>
      <c r="Q28" s="6498">
        <f>+$D$28</f>
        <v>2.5099999999999998</v>
      </c>
      <c r="R28" s="6498">
        <f>+((N28*N33)+(P28*P33))/R33</f>
        <v>2.4170139156658612</v>
      </c>
      <c r="S28" s="6501">
        <f>+$D$28</f>
        <v>2.5099999999999998</v>
      </c>
      <c r="T28" s="6501">
        <v>2.4</v>
      </c>
      <c r="U28" s="6498">
        <f>+$D$28</f>
        <v>2.5099999999999998</v>
      </c>
      <c r="V28" s="6498">
        <f>+((R28*R33)+(T28*T33))/V33</f>
        <v>2.4136296219407147</v>
      </c>
      <c r="W28" s="6501">
        <f>+$D$28</f>
        <v>2.5099999999999998</v>
      </c>
      <c r="X28" s="6501">
        <v>2.4500000000000002</v>
      </c>
      <c r="Y28" s="6499">
        <f>+$D$28</f>
        <v>2.5099999999999998</v>
      </c>
      <c r="Z28" s="6499">
        <f>+((P33*P28)+(T33*T28)+(X33*X28))/Z33</f>
        <v>2.3981330008034742</v>
      </c>
      <c r="AA28" s="6500">
        <f>+$D$28</f>
        <v>2.5099999999999998</v>
      </c>
      <c r="AB28" s="6500">
        <f>+((N28*N33)+(Z28*Z33))/AB33+0.01</f>
        <v>2.4294339223102073</v>
      </c>
      <c r="AC28" s="6501">
        <f>+$D$28</f>
        <v>2.5099999999999998</v>
      </c>
      <c r="AD28" s="6497">
        <v>2.78</v>
      </c>
      <c r="AE28" s="6498">
        <f>+$D$28</f>
        <v>2.5099999999999998</v>
      </c>
      <c r="AF28" s="6498">
        <f>+((AB28*AB33)+(AD28*AD33))/AF33</f>
        <v>2.4686816222669674</v>
      </c>
      <c r="AG28" s="6501">
        <f>+$D$28</f>
        <v>2.5099999999999998</v>
      </c>
      <c r="AH28" s="6497">
        <v>2.41</v>
      </c>
      <c r="AI28" s="6498">
        <f>+$D$28</f>
        <v>2.5099999999999998</v>
      </c>
      <c r="AJ28" s="6498">
        <f>+(((AF28*AF33)+(AH28*AH33))/AJ33)-0.01</f>
        <v>2.451322912699553</v>
      </c>
      <c r="AK28" s="6501">
        <f>+$D$28</f>
        <v>2.5099999999999998</v>
      </c>
      <c r="AL28" s="6497">
        <v>2.4</v>
      </c>
      <c r="AM28" s="6499">
        <f>+$D$28</f>
        <v>2.5099999999999998</v>
      </c>
      <c r="AN28" s="6499">
        <f>+((AD33*AD28)+(AH33*AH28)+(AL33*AL28))/AN33</f>
        <v>2.5094618298531417</v>
      </c>
      <c r="AO28" s="6498">
        <f>+$D$28</f>
        <v>2.5099999999999998</v>
      </c>
      <c r="AP28" s="6498">
        <f>+((AL28*AL33)+(AJ28*AJ33))/AP33</f>
        <v>2.4454967072185441</v>
      </c>
      <c r="AQ28" s="6501">
        <f>+$D$28</f>
        <v>2.5099999999999998</v>
      </c>
      <c r="AR28" s="6497">
        <v>2.4</v>
      </c>
      <c r="AS28" s="6498">
        <f>+$D$28</f>
        <v>2.5099999999999998</v>
      </c>
      <c r="AT28" s="6498">
        <f>+((AP28*AP33)+(AR28*AR33))/AT33</f>
        <v>2.4409710354742704</v>
      </c>
      <c r="AU28" s="6501">
        <f>+$D$28</f>
        <v>2.5099999999999998</v>
      </c>
      <c r="AV28" s="6497">
        <v>2.48</v>
      </c>
      <c r="AW28" s="6498">
        <f>+$D$28</f>
        <v>2.5099999999999998</v>
      </c>
      <c r="AX28" s="6498">
        <f>+((AT28*AT33)+(AV28*AV33))/AX33</f>
        <v>2.4438855673219702</v>
      </c>
      <c r="AY28" s="6501">
        <f>+$D$28</f>
        <v>2.5099999999999998</v>
      </c>
      <c r="AZ28" s="6497">
        <v>2.37</v>
      </c>
      <c r="BA28" s="6499">
        <f>+$D$28</f>
        <v>2.5099999999999998</v>
      </c>
      <c r="BB28" s="6499">
        <f>+((AR28*AR33)+(AV28*AV33)+(AZ28*AZ33))/BB33</f>
        <v>2.4115605155409652</v>
      </c>
      <c r="BC28" s="6500">
        <f>+$D$28</f>
        <v>2.5099999999999998</v>
      </c>
      <c r="BD28" s="6500">
        <f>+((AN28*AN33)+(BB28*BB33))/BD33</f>
        <v>2.4600872687920416</v>
      </c>
      <c r="BE28" s="6498">
        <f>+$D$28</f>
        <v>2.5099999999999998</v>
      </c>
      <c r="BF28" s="6498">
        <f>+((AX28*AX33)+(AZ28*AZ33))/BF33</f>
        <v>2.4373297229422035</v>
      </c>
      <c r="BG28" s="6502">
        <v>2.3199999999999998</v>
      </c>
      <c r="BH28" s="6502">
        <v>2.3695074279050243</v>
      </c>
      <c r="BI28" s="6502">
        <v>2.375</v>
      </c>
      <c r="BJ28" s="6502">
        <v>2.4275691559637163</v>
      </c>
      <c r="BK28" s="6492">
        <v>2.35</v>
      </c>
      <c r="BL28" s="6492">
        <v>2.4470555125122435</v>
      </c>
      <c r="BM28" s="6466">
        <v>2.4499999999999997</v>
      </c>
      <c r="BN28" s="4529">
        <v>2.4734991631008487</v>
      </c>
      <c r="BO28" s="3499">
        <v>2.4499999999999997</v>
      </c>
      <c r="BP28" s="2743">
        <v>2.6211067789738518</v>
      </c>
      <c r="BQ28" s="1129">
        <v>2.456658</v>
      </c>
      <c r="BR28" s="1117">
        <v>2.4355941599645199</v>
      </c>
      <c r="BS28" s="1117">
        <v>2.6099530027409332</v>
      </c>
    </row>
    <row r="29" spans="1:71" ht="18.75" x14ac:dyDescent="0.25">
      <c r="A29" s="90"/>
      <c r="B29" s="6474" t="s">
        <v>367</v>
      </c>
      <c r="C29" s="6475" t="s">
        <v>406</v>
      </c>
      <c r="D29" s="6501">
        <v>0.5</v>
      </c>
      <c r="E29" s="6501">
        <f>+$D$29</f>
        <v>0.5</v>
      </c>
      <c r="F29" s="6501">
        <v>0.52</v>
      </c>
      <c r="G29" s="6501">
        <f>+$D$29</f>
        <v>0.5</v>
      </c>
      <c r="H29" s="6501">
        <v>0.49199999999999999</v>
      </c>
      <c r="I29" s="6498">
        <f>+$D$29</f>
        <v>0.5</v>
      </c>
      <c r="J29" s="6498">
        <f>+((F29*F33)+(H29*H33))/J33</f>
        <v>0.50559168797731502</v>
      </c>
      <c r="K29" s="6501">
        <f>+$D$29</f>
        <v>0.5</v>
      </c>
      <c r="L29" s="6501">
        <v>0.5</v>
      </c>
      <c r="M29" s="6499">
        <f>+$D$29</f>
        <v>0.5</v>
      </c>
      <c r="N29" s="6499">
        <f>+((F33*F29)+(H33*H29)+(L33*L29))/N33</f>
        <v>0.50365612661147108</v>
      </c>
      <c r="O29" s="6501">
        <f>+$D$29</f>
        <v>0.5</v>
      </c>
      <c r="P29" s="6501">
        <v>0.5</v>
      </c>
      <c r="Q29" s="6498">
        <f>+$D$29</f>
        <v>0.5</v>
      </c>
      <c r="R29" s="6498">
        <f>+((N29*N33)+(P29*P33))/R33</f>
        <v>0.50268701403061089</v>
      </c>
      <c r="S29" s="6501">
        <f>+$D$29</f>
        <v>0.5</v>
      </c>
      <c r="T29" s="6501">
        <v>0.5</v>
      </c>
      <c r="U29" s="6498">
        <f>+$D$29</f>
        <v>0.5</v>
      </c>
      <c r="V29" s="6498">
        <f>+((R29*R33)+(T29*T33))/V33</f>
        <v>0.50215253126357673</v>
      </c>
      <c r="W29" s="6501">
        <f>+$D$29</f>
        <v>0.5</v>
      </c>
      <c r="X29" s="6501">
        <v>0.5</v>
      </c>
      <c r="Y29" s="6499">
        <f>+$D$29</f>
        <v>0.5</v>
      </c>
      <c r="Z29" s="6499">
        <f>+((P33*P29)+(T33*T29)+(X33*X29))/Z33</f>
        <v>0.5</v>
      </c>
      <c r="AA29" s="6500">
        <f>+$D$29</f>
        <v>0.5</v>
      </c>
      <c r="AB29" s="6500">
        <f>+((N29*N33)+(Z29*Z33))/AB33</f>
        <v>0.50180901165572001</v>
      </c>
      <c r="AC29" s="6501">
        <f>+$D$29</f>
        <v>0.5</v>
      </c>
      <c r="AD29" s="6497">
        <v>0.5</v>
      </c>
      <c r="AE29" s="6498">
        <f>+$D$29</f>
        <v>0.5</v>
      </c>
      <c r="AF29" s="6498">
        <f>+((AB29*AB33)+(AD29*AD33))/AF33</f>
        <v>0.50160648337018288</v>
      </c>
      <c r="AG29" s="6501">
        <f>+$D$29</f>
        <v>0.5</v>
      </c>
      <c r="AH29" s="6497">
        <v>0.46</v>
      </c>
      <c r="AI29" s="6498">
        <f>+$D$29</f>
        <v>0.5</v>
      </c>
      <c r="AJ29" s="6498">
        <f>+((AF29*AF33)+(AH29*AH33))/AJ33</f>
        <v>0.49638900615304415</v>
      </c>
      <c r="AK29" s="6501">
        <f>+$D$29</f>
        <v>0.5</v>
      </c>
      <c r="AL29" s="6497">
        <v>0.49</v>
      </c>
      <c r="AM29" s="6499">
        <f>+$D$29</f>
        <v>0.5</v>
      </c>
      <c r="AN29" s="6499">
        <f>+((AD33*AD29)+(AH33*AH29)+(AL33*AL29))/AN33</f>
        <v>0.48208007551300947</v>
      </c>
      <c r="AO29" s="6498">
        <f>+$D$29</f>
        <v>0.5</v>
      </c>
      <c r="AP29" s="6498">
        <f>+((AL29*AL33)+(AJ29*AJ33))/AP33</f>
        <v>0.49566372263523262</v>
      </c>
      <c r="AQ29" s="6501">
        <f>+$D$29</f>
        <v>0.5</v>
      </c>
      <c r="AR29" s="6497">
        <v>0.5</v>
      </c>
      <c r="AS29" s="6498">
        <f>+$D$29</f>
        <v>0.5</v>
      </c>
      <c r="AT29" s="6498">
        <f>+((AP29*AP33)+(AR29*AR33))/AT33</f>
        <v>0.49609506303643552</v>
      </c>
      <c r="AU29" s="6501">
        <f>+$D$29</f>
        <v>0.5</v>
      </c>
      <c r="AV29" s="6497">
        <v>0.52</v>
      </c>
      <c r="AW29" s="6498">
        <f>+$D$29</f>
        <v>0.5</v>
      </c>
      <c r="AX29" s="6498">
        <f>+((AT29*AT33)+(AV29*AV33))/AX33</f>
        <v>0.49788019110591419</v>
      </c>
      <c r="AY29" s="6501">
        <f>+$D$29</f>
        <v>0.5</v>
      </c>
      <c r="AZ29" s="6497">
        <v>0.5</v>
      </c>
      <c r="BA29" s="6499">
        <f>+$D$29</f>
        <v>0.5</v>
      </c>
      <c r="BB29" s="6499">
        <f>+((AR29*AR33)+(AV29*AV33)+(AZ29*AZ33))/BB33</f>
        <v>0.50565536150682489</v>
      </c>
      <c r="BC29" s="6500">
        <f>+$D$29</f>
        <v>0.5</v>
      </c>
      <c r="BD29" s="6500">
        <f>+((AN29*AN33)+(BB29*BB33))/BD33</f>
        <v>0.49396979738255292</v>
      </c>
      <c r="BE29" s="6498">
        <f>+$D$29</f>
        <v>0.5</v>
      </c>
      <c r="BF29" s="6498">
        <f>+((AX29*AX33)+(AZ29*AZ33))/BF33</f>
        <v>0.49806828111764695</v>
      </c>
      <c r="BG29" s="6502">
        <v>0.5</v>
      </c>
      <c r="BH29" s="6502">
        <v>0.49588308625627264</v>
      </c>
      <c r="BI29" s="6502">
        <v>0.53</v>
      </c>
      <c r="BJ29" s="6502">
        <v>0.53450494973160534</v>
      </c>
      <c r="BK29" s="6502">
        <v>0.53</v>
      </c>
      <c r="BL29" s="6502">
        <v>0.52806819520607939</v>
      </c>
      <c r="BM29" s="6467">
        <v>0.55000000000000004</v>
      </c>
      <c r="BN29" s="1117">
        <v>0.5391608296186442</v>
      </c>
      <c r="BO29" s="3501">
        <v>0.55000000000000004</v>
      </c>
      <c r="BP29" s="2742">
        <v>0.6232821487978184</v>
      </c>
      <c r="BQ29" s="1131">
        <v>0.55112399999999995</v>
      </c>
      <c r="BR29" s="1117">
        <v>0.57147495070586141</v>
      </c>
      <c r="BS29" s="1117">
        <v>0.55061804440565798</v>
      </c>
    </row>
    <row r="30" spans="1:71" ht="18.75" x14ac:dyDescent="0.25">
      <c r="A30" s="90"/>
      <c r="B30" s="6474" t="s">
        <v>2188</v>
      </c>
      <c r="C30" s="6475" t="s">
        <v>522</v>
      </c>
      <c r="D30" s="5118">
        <v>832.79094265846709</v>
      </c>
      <c r="E30" s="5118">
        <f t="shared" ref="E30:AF30" si="16">+E38</f>
        <v>694.95531888890366</v>
      </c>
      <c r="F30" s="5157">
        <f t="shared" si="16"/>
        <v>802.23728490316716</v>
      </c>
      <c r="G30" s="5118">
        <f t="shared" ref="G30:H30" si="17">+G38</f>
        <v>814.8825190968206</v>
      </c>
      <c r="H30" s="5157">
        <f t="shared" si="17"/>
        <v>799.42672946489506</v>
      </c>
      <c r="I30" s="5119">
        <f t="shared" si="16"/>
        <v>757.28646323437783</v>
      </c>
      <c r="J30" s="5119">
        <f t="shared" si="16"/>
        <v>801.00956840430183</v>
      </c>
      <c r="K30" s="5118">
        <f t="shared" si="16"/>
        <v>817.70562892885039</v>
      </c>
      <c r="L30" s="5157">
        <f t="shared" si="16"/>
        <v>850.75383150272273</v>
      </c>
      <c r="M30" s="5121">
        <f t="shared" si="16"/>
        <v>777.38374401888359</v>
      </c>
      <c r="N30" s="5121">
        <f t="shared" si="16"/>
        <v>817.50351271666125</v>
      </c>
      <c r="O30" s="5118">
        <f t="shared" ref="O30:P30" si="18">+O38</f>
        <v>802.355516552626</v>
      </c>
      <c r="P30" s="5157">
        <f t="shared" si="18"/>
        <v>858.73073141775944</v>
      </c>
      <c r="Q30" s="5119">
        <f t="shared" si="16"/>
        <v>783.80313054920907</v>
      </c>
      <c r="R30" s="5119">
        <f t="shared" si="16"/>
        <v>828.03209876207802</v>
      </c>
      <c r="S30" s="5118">
        <f t="shared" si="16"/>
        <v>803.0385660843109</v>
      </c>
      <c r="T30" s="5157">
        <f t="shared" si="16"/>
        <v>807.72736148331228</v>
      </c>
      <c r="U30" s="5119">
        <f t="shared" ref="U30:X30" si="19">+U38</f>
        <v>787.73218533524084</v>
      </c>
      <c r="V30" s="5119">
        <f t="shared" si="19"/>
        <v>823.91831080087229</v>
      </c>
      <c r="W30" s="5118">
        <f t="shared" si="19"/>
        <v>444.87961481035342</v>
      </c>
      <c r="X30" s="5157">
        <f t="shared" si="19"/>
        <v>800.50814464028986</v>
      </c>
      <c r="Y30" s="5121">
        <f t="shared" si="16"/>
        <v>687.8136489984638</v>
      </c>
      <c r="Z30" s="5121">
        <f t="shared" si="16"/>
        <v>822.67304970318651</v>
      </c>
      <c r="AA30" s="6486">
        <f t="shared" si="16"/>
        <v>731.38442077247942</v>
      </c>
      <c r="AB30" s="6486">
        <f t="shared" si="16"/>
        <v>820.10512624596629</v>
      </c>
      <c r="AC30" s="5118">
        <f t="shared" si="16"/>
        <v>821.61133260872475</v>
      </c>
      <c r="AD30" s="5157">
        <f t="shared" si="16"/>
        <v>627.19218779449864</v>
      </c>
      <c r="AE30" s="5119">
        <f t="shared" si="16"/>
        <v>744.46730966175335</v>
      </c>
      <c r="AF30" s="5119">
        <f t="shared" si="16"/>
        <v>792.25004263465803</v>
      </c>
      <c r="AG30" s="5118">
        <f t="shared" ref="AG30:AJ30" si="20">+AG38</f>
        <v>825.17752502414544</v>
      </c>
      <c r="AH30" s="5157">
        <f t="shared" si="20"/>
        <v>812.21648212896196</v>
      </c>
      <c r="AI30" s="5119">
        <f t="shared" si="20"/>
        <v>754.37641511841468</v>
      </c>
      <c r="AJ30" s="5119">
        <f t="shared" si="20"/>
        <v>794.70159566014627</v>
      </c>
      <c r="AK30" s="5118">
        <f t="shared" ref="AK30:AL30" si="21">+AK38</f>
        <v>824.42828574909777</v>
      </c>
      <c r="AL30" s="5157">
        <f t="shared" si="21"/>
        <v>805.04627302386416</v>
      </c>
      <c r="AM30" s="5121">
        <f t="shared" ref="AM30:BF30" si="22">+AM38</f>
        <v>823.72805861312543</v>
      </c>
      <c r="AN30" s="5121">
        <f t="shared" si="22"/>
        <v>747.27457978871462</v>
      </c>
      <c r="AO30" s="5119">
        <f t="shared" si="22"/>
        <v>762.2540856611472</v>
      </c>
      <c r="AP30" s="5119">
        <f t="shared" si="22"/>
        <v>795.84740159449348</v>
      </c>
      <c r="AQ30" s="5118">
        <f t="shared" si="22"/>
        <v>838.81244623945884</v>
      </c>
      <c r="AR30" s="5157">
        <f t="shared" si="22"/>
        <v>789.63550917454529</v>
      </c>
      <c r="AS30" s="5119">
        <f t="shared" si="22"/>
        <v>769.97763824618448</v>
      </c>
      <c r="AT30" s="5119">
        <f t="shared" si="22"/>
        <v>795.21220137985392</v>
      </c>
      <c r="AU30" s="5118">
        <f t="shared" ref="AU30:AV30" si="23">+AU38</f>
        <v>830.48772690547321</v>
      </c>
      <c r="AV30" s="5157">
        <f t="shared" si="23"/>
        <v>707.99769922610335</v>
      </c>
      <c r="AW30" s="5119">
        <f t="shared" si="22"/>
        <v>775.0538767782889</v>
      </c>
      <c r="AX30" s="5119">
        <f t="shared" si="22"/>
        <v>788.02755883178929</v>
      </c>
      <c r="AY30" s="5118">
        <f t="shared" si="22"/>
        <v>839.77411141141556</v>
      </c>
      <c r="AZ30" s="5157">
        <f t="shared" si="22"/>
        <v>837.34047478274499</v>
      </c>
      <c r="BA30" s="6479">
        <f t="shared" si="22"/>
        <v>836.55358401556646</v>
      </c>
      <c r="BB30" s="5121">
        <f t="shared" si="22"/>
        <v>780.49294118867783</v>
      </c>
      <c r="BC30" s="6486">
        <f t="shared" si="22"/>
        <v>830.07564496772477</v>
      </c>
      <c r="BD30" s="6486">
        <f t="shared" si="22"/>
        <v>763.66364360461557</v>
      </c>
      <c r="BE30" s="5119">
        <f t="shared" si="22"/>
        <v>780.52297053068867</v>
      </c>
      <c r="BF30" s="5119">
        <f t="shared" si="22"/>
        <v>792.13823578942788</v>
      </c>
      <c r="BG30" s="6485">
        <v>712.17383164731029</v>
      </c>
      <c r="BH30" s="6485">
        <v>691.16367009719045</v>
      </c>
      <c r="BI30" s="6485">
        <v>729.20663969961981</v>
      </c>
      <c r="BJ30" s="6485">
        <v>695.16314963675404</v>
      </c>
      <c r="BK30" s="6485">
        <v>656.40621199671705</v>
      </c>
      <c r="BL30" s="6485">
        <v>639.11266207165545</v>
      </c>
      <c r="BM30" s="6458">
        <v>615.77607331821741</v>
      </c>
      <c r="BN30" s="1019">
        <v>561.88093987319337</v>
      </c>
      <c r="BO30" s="3502">
        <v>549.90657676580804</v>
      </c>
      <c r="BP30" s="2744">
        <v>459.24950351799106</v>
      </c>
      <c r="BQ30" s="4201">
        <v>562.64319308862753</v>
      </c>
      <c r="BR30" s="1019">
        <v>490.34382042747291</v>
      </c>
      <c r="BS30" s="1019">
        <v>421.02863329539394</v>
      </c>
    </row>
    <row r="31" spans="1:71" s="4487" customFormat="1" ht="18.75" x14ac:dyDescent="0.25">
      <c r="A31" s="90"/>
      <c r="B31" s="6482" t="s">
        <v>2187</v>
      </c>
      <c r="C31" s="6483" t="s">
        <v>522</v>
      </c>
      <c r="D31" s="5157">
        <f>D43</f>
        <v>308.34707046999944</v>
      </c>
      <c r="E31" s="5157">
        <f>E43</f>
        <v>258.69359962033656</v>
      </c>
      <c r="F31" s="5157">
        <f>F43</f>
        <v>296.57273441651228</v>
      </c>
      <c r="G31" s="5157"/>
      <c r="H31" s="5157"/>
      <c r="I31" s="5157"/>
      <c r="J31" s="5157"/>
      <c r="K31" s="5157"/>
      <c r="L31" s="5157"/>
      <c r="M31" s="5121"/>
      <c r="N31" s="5121"/>
      <c r="O31" s="5157"/>
      <c r="P31" s="5157"/>
      <c r="Q31" s="5157"/>
      <c r="R31" s="5157"/>
      <c r="S31" s="5157"/>
      <c r="T31" s="5157"/>
      <c r="U31" s="5157"/>
      <c r="V31" s="5157"/>
      <c r="W31" s="5157"/>
      <c r="X31" s="5157"/>
      <c r="Y31" s="5121"/>
      <c r="Z31" s="5121"/>
      <c r="AA31" s="6486"/>
      <c r="AB31" s="6486"/>
      <c r="AC31" s="5157"/>
      <c r="AD31" s="5157">
        <f>+AD43</f>
        <v>210.92733663322568</v>
      </c>
      <c r="AE31" s="5157"/>
      <c r="AF31" s="5157"/>
      <c r="AG31" s="5157"/>
      <c r="AH31" s="5157">
        <f>+AH43</f>
        <v>268.17838859292317</v>
      </c>
      <c r="AI31" s="5119"/>
      <c r="AJ31" s="5119"/>
      <c r="AK31" s="5157"/>
      <c r="AL31" s="5157">
        <f>+AL43</f>
        <v>268.16346452427814</v>
      </c>
      <c r="AM31" s="5157"/>
      <c r="AN31" s="5157"/>
      <c r="AO31" s="5157"/>
      <c r="AP31" s="5157"/>
      <c r="AQ31" s="5157"/>
      <c r="AR31" s="5157">
        <f>+AR43</f>
        <v>274.37361194337399</v>
      </c>
      <c r="AS31" s="5157"/>
      <c r="AT31" s="5157"/>
      <c r="AU31" s="5157"/>
      <c r="AV31" s="5157">
        <f>+AV43</f>
        <v>256.6506322986628</v>
      </c>
      <c r="AW31" s="5157"/>
      <c r="AX31" s="5157"/>
      <c r="AY31" s="5157"/>
      <c r="AZ31" s="5157">
        <f>+AZ43</f>
        <v>308.14852942293248</v>
      </c>
      <c r="BA31" s="6476"/>
      <c r="BB31" s="5157"/>
      <c r="BC31" s="5157"/>
      <c r="BD31" s="5157"/>
      <c r="BE31" s="5157"/>
      <c r="BF31" s="5157"/>
      <c r="BG31" s="5157"/>
      <c r="BH31" s="5157"/>
      <c r="BI31" s="5157"/>
      <c r="BJ31" s="5157"/>
      <c r="BK31" s="5157"/>
      <c r="BL31" s="5157"/>
      <c r="BM31" s="6444"/>
      <c r="BN31" s="6446"/>
      <c r="BO31" s="6447"/>
      <c r="BP31" s="6448"/>
      <c r="BQ31" s="6445"/>
      <c r="BR31" s="6446"/>
      <c r="BS31" s="6446"/>
    </row>
    <row r="32" spans="1:71" s="4487" customFormat="1" x14ac:dyDescent="0.25"/>
    <row r="33" spans="1:71" ht="15" hidden="1" customHeight="1" x14ac:dyDescent="0.25">
      <c r="A33" s="144"/>
      <c r="B33" s="7796" t="s">
        <v>2189</v>
      </c>
      <c r="C33" s="6521" t="s">
        <v>561</v>
      </c>
      <c r="D33" s="254">
        <f>'Maj Production Summ'!D18</f>
        <v>2817514.1242937851</v>
      </c>
      <c r="E33" s="254">
        <f>'Maj Production Summ'!E18</f>
        <v>193691.14877589454</v>
      </c>
      <c r="F33" s="254">
        <f>'Maj Production Summ'!F18</f>
        <v>223226</v>
      </c>
      <c r="G33" s="254">
        <f>'Maj Production Summ'!G18</f>
        <v>244664.77809253999</v>
      </c>
      <c r="H33" s="254">
        <f>'Maj Production Summ'!H18</f>
        <v>236638</v>
      </c>
      <c r="I33" s="349">
        <f t="shared" ref="I33:J36" si="24">+E33+G33</f>
        <v>438355.92686843453</v>
      </c>
      <c r="J33" s="349">
        <f t="shared" si="24"/>
        <v>459864</v>
      </c>
      <c r="K33" s="254">
        <f>'Maj Production Summ'!K18</f>
        <v>237110.48158640199</v>
      </c>
      <c r="L33" s="254">
        <f>'Maj Production Summ'!L18</f>
        <v>243453</v>
      </c>
      <c r="M33" s="586">
        <f t="shared" ref="M33:N36" si="25">+E33+G33+K33</f>
        <v>675466.40845483658</v>
      </c>
      <c r="N33" s="586">
        <f t="shared" si="25"/>
        <v>703317</v>
      </c>
      <c r="O33" s="254">
        <f>'Maj Production Summ'!O18</f>
        <v>239943.34277620399</v>
      </c>
      <c r="P33" s="254">
        <f>'Maj Production Summ'!P18</f>
        <v>253662</v>
      </c>
      <c r="Q33" s="254">
        <f t="shared" ref="Q33:R36" si="26">+M33+O33</f>
        <v>915409.75123104057</v>
      </c>
      <c r="R33" s="254">
        <f t="shared" si="26"/>
        <v>956979</v>
      </c>
      <c r="S33" s="254">
        <f>'Maj Production Summ'!S18</f>
        <v>239943.34277620399</v>
      </c>
      <c r="T33" s="254">
        <f>'Maj Production Summ'!T18</f>
        <v>237622</v>
      </c>
      <c r="U33" s="254">
        <f t="shared" ref="U33:U36" si="27">+Q33+S33</f>
        <v>1155353.0940072446</v>
      </c>
      <c r="V33" s="254">
        <f t="shared" ref="V33:V36" si="28">+R33+T33</f>
        <v>1194601</v>
      </c>
      <c r="W33" s="254">
        <f>'Maj Production Summ'!W18</f>
        <v>125920.679886686</v>
      </c>
      <c r="X33" s="254">
        <f>'Maj Production Summ'!X18</f>
        <v>226847</v>
      </c>
      <c r="Y33" s="586">
        <f t="shared" ref="Y33:Z36" si="29">+O33+S33+W33</f>
        <v>605807.36543909402</v>
      </c>
      <c r="Z33" s="586">
        <f t="shared" si="29"/>
        <v>718131</v>
      </c>
      <c r="AA33" s="975">
        <f>+M33+Y33</f>
        <v>1281273.7738939305</v>
      </c>
      <c r="AB33" s="975">
        <f>+N33+Z33</f>
        <v>1421448</v>
      </c>
      <c r="AC33" s="254">
        <f>'Maj Production Summ'!AC18</f>
        <v>244664.77809253999</v>
      </c>
      <c r="AD33" s="254">
        <f>'Maj Production Summ'!AD18</f>
        <v>179201</v>
      </c>
      <c r="AE33" s="254">
        <f t="shared" ref="AE33:AE36" si="30">+AA33+AC33</f>
        <v>1525938.5519864704</v>
      </c>
      <c r="AF33" s="254">
        <f t="shared" ref="AF33:AF36" si="31">+AB33+AD33</f>
        <v>1600649</v>
      </c>
      <c r="AG33" s="254">
        <f>'Maj Production Summ'!AG18</f>
        <v>237110.48158640199</v>
      </c>
      <c r="AH33" s="254">
        <f>'Maj Production Summ'!AH18</f>
        <v>229502</v>
      </c>
      <c r="AI33" s="349">
        <f t="shared" ref="AI33:AI36" si="32">+AE33+AG33</f>
        <v>1763049.0335728724</v>
      </c>
      <c r="AJ33" s="349">
        <f t="shared" ref="AJ33:AJ36" si="33">+AF33+AH33</f>
        <v>1830151</v>
      </c>
      <c r="AK33" s="254">
        <f>'Maj Production Summ'!AK18</f>
        <v>244664.77809253999</v>
      </c>
      <c r="AL33" s="254">
        <f>'Maj Production Summ'!AL18</f>
        <v>234365</v>
      </c>
      <c r="AM33" s="254">
        <f t="shared" ref="AM33:AM36" si="34">+AC33+AG33+AK33</f>
        <v>726440.03777148202</v>
      </c>
      <c r="AN33" s="254">
        <f t="shared" ref="AN33:AN36" si="35">+AD33+AH33+AL33</f>
        <v>643068</v>
      </c>
      <c r="AO33" s="254">
        <f>AI33+AK33</f>
        <v>2007713.8116654125</v>
      </c>
      <c r="AP33" s="254">
        <f>AJ33+AL33</f>
        <v>2064516</v>
      </c>
      <c r="AQ33" s="254">
        <f>'Maj Production Summ'!AQ18</f>
        <v>248441.92634560907</v>
      </c>
      <c r="AR33" s="254">
        <f>'Maj Production Summ'!AR18</f>
        <v>228047</v>
      </c>
      <c r="AS33" s="254">
        <f t="shared" ref="AS33:AS36" si="36">+AO33+AQ33</f>
        <v>2256155.7380110216</v>
      </c>
      <c r="AT33" s="254">
        <f t="shared" ref="AT33:AT36" si="37">+AP33+AR33</f>
        <v>2292563</v>
      </c>
      <c r="AU33" s="254">
        <f>'Maj Production Summ'!AU18</f>
        <v>222001.88857412653</v>
      </c>
      <c r="AV33" s="254">
        <f>'Maj Production Summ'!AV18</f>
        <v>185016</v>
      </c>
      <c r="AW33" s="254">
        <f t="shared" ref="AW33:AW36" si="38">+AS33+AU33</f>
        <v>2478157.6265851483</v>
      </c>
      <c r="AX33" s="254">
        <f t="shared" ref="AX33:AX36" si="39">+AT33+AV33</f>
        <v>2477579</v>
      </c>
      <c r="AY33" s="254">
        <f>'Maj Production Summ'!AY18</f>
        <v>248441.92634560907</v>
      </c>
      <c r="AZ33" s="254">
        <f>'Maj Production Summ'!AZ18</f>
        <v>241240</v>
      </c>
      <c r="BA33" s="254">
        <f t="shared" ref="BA33:BA36" si="40">+AQ33+AU33+AY33</f>
        <v>718885.74126534467</v>
      </c>
      <c r="BB33" s="254">
        <f t="shared" ref="BB33:BB36" si="41">+AR33+AV33+AZ33</f>
        <v>654303</v>
      </c>
      <c r="BC33" s="254">
        <f>+AM33+BA33</f>
        <v>1445325.7790368267</v>
      </c>
      <c r="BD33" s="254">
        <f>+AN33+BB33</f>
        <v>1297371</v>
      </c>
      <c r="BE33" s="254">
        <f t="shared" ref="BE33:BF36" si="42">+AW33+AY33</f>
        <v>2726599.5529307574</v>
      </c>
      <c r="BF33" s="254">
        <f t="shared" si="42"/>
        <v>2718819</v>
      </c>
      <c r="BG33" s="254">
        <v>2489528.3018867923</v>
      </c>
      <c r="BH33" s="254">
        <v>2436959</v>
      </c>
      <c r="BI33" s="254">
        <v>2620075.4716981109</v>
      </c>
      <c r="BJ33" s="254">
        <v>2528925</v>
      </c>
      <c r="BK33" s="254">
        <v>2499999.9999999981</v>
      </c>
      <c r="BL33" s="256">
        <v>2422324.3024999998</v>
      </c>
      <c r="BM33" s="6517">
        <v>2573000.7983342619</v>
      </c>
      <c r="BN33" s="4530">
        <v>2322716</v>
      </c>
      <c r="BO33" s="3503"/>
      <c r="BP33" s="2756"/>
      <c r="BQ33" s="144"/>
      <c r="BR33" s="144"/>
      <c r="BS33" s="139"/>
    </row>
    <row r="34" spans="1:71" ht="15" hidden="1" customHeight="1" x14ac:dyDescent="0.25">
      <c r="A34" s="144"/>
      <c r="B34" s="7797"/>
      <c r="C34" s="6482" t="s">
        <v>564</v>
      </c>
      <c r="D34" s="5157">
        <f>'Maj Production Summ'!D26</f>
        <v>6020</v>
      </c>
      <c r="E34" s="5157">
        <f>'Maj Production Summ'!E26</f>
        <v>1945</v>
      </c>
      <c r="F34" s="5157">
        <f>'Maj Production Summ'!F26</f>
        <v>471.09455400000002</v>
      </c>
      <c r="G34" s="5157">
        <f>'Maj Production Summ'!G26</f>
        <v>810</v>
      </c>
      <c r="H34" s="5157">
        <f>'Maj Production Summ'!H26</f>
        <v>2950.1684780000001</v>
      </c>
      <c r="I34" s="5119">
        <f t="shared" si="24"/>
        <v>2755</v>
      </c>
      <c r="J34" s="5119">
        <f t="shared" si="24"/>
        <v>3421.2630319999998</v>
      </c>
      <c r="K34" s="5157">
        <f>'Maj Production Summ'!K26</f>
        <v>810</v>
      </c>
      <c r="L34" s="5157">
        <f>'Maj Production Summ'!L26</f>
        <v>1030.457772</v>
      </c>
      <c r="M34" s="5121">
        <f t="shared" si="25"/>
        <v>3565</v>
      </c>
      <c r="N34" s="5121">
        <f t="shared" si="25"/>
        <v>4451.7208039999996</v>
      </c>
      <c r="O34" s="5157">
        <f>'Maj Production Summ'!O26</f>
        <v>810</v>
      </c>
      <c r="P34" s="5157">
        <f>'Maj Production Summ'!P26</f>
        <v>0</v>
      </c>
      <c r="Q34" s="5157">
        <f t="shared" si="26"/>
        <v>4375</v>
      </c>
      <c r="R34" s="5157">
        <f t="shared" si="26"/>
        <v>4451.7208039999996</v>
      </c>
      <c r="S34" s="5157">
        <f>'Maj Production Summ'!S26</f>
        <v>810</v>
      </c>
      <c r="T34" s="5157">
        <f>'Maj Production Summ'!T26</f>
        <v>164.40840400000002</v>
      </c>
      <c r="U34" s="5157">
        <f t="shared" si="27"/>
        <v>5185</v>
      </c>
      <c r="V34" s="5157">
        <f t="shared" si="28"/>
        <v>4616.1292079999994</v>
      </c>
      <c r="W34" s="5157">
        <f>'Maj Production Summ'!W26</f>
        <v>5360</v>
      </c>
      <c r="X34" s="5157">
        <f>'Maj Production Summ'!X26</f>
        <v>292.81079599999998</v>
      </c>
      <c r="Y34" s="5121">
        <f t="shared" si="29"/>
        <v>6980</v>
      </c>
      <c r="Z34" s="5121">
        <f t="shared" si="29"/>
        <v>457.2192</v>
      </c>
      <c r="AA34" s="6486">
        <f t="shared" ref="AA34:AB36" si="43">+M34+Y34</f>
        <v>10545</v>
      </c>
      <c r="AB34" s="6486">
        <f t="shared" si="43"/>
        <v>4908.940004</v>
      </c>
      <c r="AC34" s="5157">
        <f>'Maj Production Summ'!AC26</f>
        <v>810</v>
      </c>
      <c r="AD34" s="5157">
        <f>'Maj Production Summ'!AD26</f>
        <v>9043.2686400000002</v>
      </c>
      <c r="AE34" s="5157">
        <f t="shared" si="30"/>
        <v>11355</v>
      </c>
      <c r="AF34" s="5157">
        <f t="shared" si="31"/>
        <v>13952.208644</v>
      </c>
      <c r="AG34" s="5157">
        <f>'Maj Production Summ'!AG26</f>
        <v>810</v>
      </c>
      <c r="AH34" s="5157">
        <f>'Maj Production Summ'!AH26</f>
        <v>154.21622600000001</v>
      </c>
      <c r="AI34" s="5119">
        <f t="shared" si="32"/>
        <v>12165</v>
      </c>
      <c r="AJ34" s="5119">
        <f t="shared" si="33"/>
        <v>14106.424870000001</v>
      </c>
      <c r="AK34" s="5157">
        <f>'Maj Production Summ'!AK26</f>
        <v>810</v>
      </c>
      <c r="AL34" s="5157">
        <f>'Maj Production Summ'!AL26</f>
        <v>40.725159999999995</v>
      </c>
      <c r="AM34" s="5157">
        <f t="shared" si="34"/>
        <v>2430</v>
      </c>
      <c r="AN34" s="5157">
        <f t="shared" si="35"/>
        <v>9238.2100260000007</v>
      </c>
      <c r="AO34" s="5157">
        <f t="shared" ref="AO34:AO36" si="44">AI34+AK34</f>
        <v>12975</v>
      </c>
      <c r="AP34" s="5157">
        <f t="shared" ref="AP34:AP36" si="45">AJ34+AL34</f>
        <v>14147.150030000001</v>
      </c>
      <c r="AQ34" s="5157">
        <f>'Maj Production Summ'!AQ26</f>
        <v>810</v>
      </c>
      <c r="AR34" s="5157">
        <f>'Maj Production Summ'!AR26</f>
        <v>1557.1072680000002</v>
      </c>
      <c r="AS34" s="5157">
        <f t="shared" si="36"/>
        <v>13785</v>
      </c>
      <c r="AT34" s="5157">
        <f t="shared" si="37"/>
        <v>15704.257298</v>
      </c>
      <c r="AU34" s="5157">
        <f>'Maj Production Summ'!AU26</f>
        <v>810</v>
      </c>
      <c r="AV34" s="5157">
        <f>'Maj Production Summ'!AV26</f>
        <v>920</v>
      </c>
      <c r="AW34" s="5157">
        <f t="shared" si="38"/>
        <v>14595</v>
      </c>
      <c r="AX34" s="5157">
        <f t="shared" si="39"/>
        <v>16624.257298</v>
      </c>
      <c r="AY34" s="5157">
        <f>'Maj Production Summ'!AY26</f>
        <v>810</v>
      </c>
      <c r="AZ34" s="5157">
        <f>'Maj Production Summ'!AZ26</f>
        <v>401.63434799999999</v>
      </c>
      <c r="BA34" s="5157">
        <f t="shared" si="40"/>
        <v>2430</v>
      </c>
      <c r="BB34" s="5157">
        <f t="shared" si="41"/>
        <v>2878.7416160000002</v>
      </c>
      <c r="BC34" s="5157">
        <f t="shared" ref="BC34:BC36" si="46">+AM34+BA34</f>
        <v>4860</v>
      </c>
      <c r="BD34" s="5157">
        <f t="shared" ref="BD34:BD36" si="47">+AN34+BB34</f>
        <v>12116.951642</v>
      </c>
      <c r="BE34" s="5157">
        <f t="shared" si="42"/>
        <v>15405</v>
      </c>
      <c r="BF34" s="5157">
        <f t="shared" si="42"/>
        <v>17025.891646</v>
      </c>
      <c r="BG34" s="5157">
        <v>9365</v>
      </c>
      <c r="BH34" s="5157">
        <v>25856.451263999999</v>
      </c>
      <c r="BI34" s="5157">
        <v>21561.099796334001</v>
      </c>
      <c r="BJ34" s="5157">
        <v>13596.897649999999</v>
      </c>
      <c r="BK34" s="5157">
        <v>22929.735234215885</v>
      </c>
      <c r="BL34" s="6522">
        <v>16335.783939999999</v>
      </c>
      <c r="BM34" s="6518">
        <v>34051.635437881865</v>
      </c>
      <c r="BN34" s="4532">
        <v>32547.079289999998</v>
      </c>
      <c r="BO34" s="3504"/>
      <c r="BP34" s="2757"/>
      <c r="BQ34" s="144"/>
      <c r="BR34" s="144"/>
      <c r="BS34" s="139"/>
    </row>
    <row r="35" spans="1:71" ht="15" hidden="1" customHeight="1" x14ac:dyDescent="0.25">
      <c r="A35" s="144"/>
      <c r="B35" s="7797"/>
      <c r="C35" s="6482" t="s">
        <v>562</v>
      </c>
      <c r="D35" s="5157">
        <f>+D34/2</f>
        <v>3010</v>
      </c>
      <c r="E35" s="5157">
        <f>+E34/2</f>
        <v>972.5</v>
      </c>
      <c r="F35" s="5157">
        <f>+F34/2</f>
        <v>235.54727700000001</v>
      </c>
      <c r="G35" s="5157">
        <f>+G34/2</f>
        <v>405</v>
      </c>
      <c r="H35" s="5157">
        <f>+H34/2</f>
        <v>1475.084239</v>
      </c>
      <c r="I35" s="5119">
        <f t="shared" si="24"/>
        <v>1377.5</v>
      </c>
      <c r="J35" s="5119">
        <f t="shared" si="24"/>
        <v>1710.6315159999999</v>
      </c>
      <c r="K35" s="5157">
        <f>+K34/2</f>
        <v>405</v>
      </c>
      <c r="L35" s="5157">
        <f>+L34/2</f>
        <v>515.22888599999999</v>
      </c>
      <c r="M35" s="5121">
        <f t="shared" si="25"/>
        <v>1782.5</v>
      </c>
      <c r="N35" s="5121">
        <f t="shared" si="25"/>
        <v>2225.8604019999998</v>
      </c>
      <c r="O35" s="5157">
        <f>+O34/2</f>
        <v>405</v>
      </c>
      <c r="P35" s="5157">
        <f>+P34/2</f>
        <v>0</v>
      </c>
      <c r="Q35" s="5157">
        <f t="shared" si="26"/>
        <v>2187.5</v>
      </c>
      <c r="R35" s="5157">
        <f t="shared" si="26"/>
        <v>2225.8604019999998</v>
      </c>
      <c r="S35" s="5157">
        <f>+S34/2</f>
        <v>405</v>
      </c>
      <c r="T35" s="5157">
        <f>+T34/2</f>
        <v>82.204202000000009</v>
      </c>
      <c r="U35" s="5157">
        <f t="shared" si="27"/>
        <v>2592.5</v>
      </c>
      <c r="V35" s="5157">
        <f t="shared" si="28"/>
        <v>2308.0646039999997</v>
      </c>
      <c r="W35" s="5157">
        <f>+W34/2</f>
        <v>2680</v>
      </c>
      <c r="X35" s="5157">
        <f>+X34/2</f>
        <v>146.40539799999999</v>
      </c>
      <c r="Y35" s="5121">
        <f t="shared" si="29"/>
        <v>3490</v>
      </c>
      <c r="Z35" s="5121">
        <f t="shared" si="29"/>
        <v>228.6096</v>
      </c>
      <c r="AA35" s="6486">
        <f t="shared" si="43"/>
        <v>5272.5</v>
      </c>
      <c r="AB35" s="6486">
        <f t="shared" si="43"/>
        <v>2454.470002</v>
      </c>
      <c r="AC35" s="5157">
        <f>+AC34/2</f>
        <v>405</v>
      </c>
      <c r="AD35" s="5157">
        <f>+AD34/2</f>
        <v>4521.6343200000001</v>
      </c>
      <c r="AE35" s="5157">
        <f t="shared" si="30"/>
        <v>5677.5</v>
      </c>
      <c r="AF35" s="5157">
        <f t="shared" si="31"/>
        <v>6976.1043220000001</v>
      </c>
      <c r="AG35" s="5157">
        <f>+AG34/2</f>
        <v>405</v>
      </c>
      <c r="AH35" s="5157">
        <f>+AH34/2</f>
        <v>77.108113000000003</v>
      </c>
      <c r="AI35" s="5119">
        <f t="shared" si="32"/>
        <v>6082.5</v>
      </c>
      <c r="AJ35" s="5119">
        <f t="shared" si="33"/>
        <v>7053.2124350000004</v>
      </c>
      <c r="AK35" s="5157">
        <f>+AK34/2</f>
        <v>405</v>
      </c>
      <c r="AL35" s="5157">
        <f>+AL34/2</f>
        <v>20.362579999999998</v>
      </c>
      <c r="AM35" s="5157">
        <f t="shared" si="34"/>
        <v>1215</v>
      </c>
      <c r="AN35" s="5157">
        <f t="shared" si="35"/>
        <v>4619.1050130000003</v>
      </c>
      <c r="AO35" s="5157">
        <f t="shared" si="44"/>
        <v>6487.5</v>
      </c>
      <c r="AP35" s="5157">
        <f t="shared" si="45"/>
        <v>7073.5750150000003</v>
      </c>
      <c r="AQ35" s="5157">
        <f>+AQ34/2</f>
        <v>405</v>
      </c>
      <c r="AR35" s="5157">
        <f>+AR34/2</f>
        <v>778.5536340000001</v>
      </c>
      <c r="AS35" s="5157">
        <f t="shared" si="36"/>
        <v>6892.5</v>
      </c>
      <c r="AT35" s="5157">
        <f t="shared" si="37"/>
        <v>7852.1286490000002</v>
      </c>
      <c r="AU35" s="5157">
        <f>+AU34/2</f>
        <v>405</v>
      </c>
      <c r="AV35" s="5157">
        <f>+AV34/2</f>
        <v>460</v>
      </c>
      <c r="AW35" s="5157">
        <f t="shared" si="38"/>
        <v>7297.5</v>
      </c>
      <c r="AX35" s="5157">
        <f t="shared" si="39"/>
        <v>8312.1286490000002</v>
      </c>
      <c r="AY35" s="5157">
        <f>+AY34/2</f>
        <v>405</v>
      </c>
      <c r="AZ35" s="5157">
        <f>+AZ34/2</f>
        <v>200.81717399999999</v>
      </c>
      <c r="BA35" s="5157">
        <f t="shared" si="40"/>
        <v>1215</v>
      </c>
      <c r="BB35" s="5157">
        <f t="shared" si="41"/>
        <v>1439.3708080000001</v>
      </c>
      <c r="BC35" s="5157">
        <f t="shared" si="46"/>
        <v>2430</v>
      </c>
      <c r="BD35" s="5157">
        <f t="shared" si="47"/>
        <v>6058.475821</v>
      </c>
      <c r="BE35" s="5157">
        <f t="shared" si="42"/>
        <v>7702.5</v>
      </c>
      <c r="BF35" s="5157">
        <f t="shared" si="42"/>
        <v>8512.945823</v>
      </c>
      <c r="BG35" s="5157">
        <v>4682.5</v>
      </c>
      <c r="BH35" s="5157">
        <v>12928.225632</v>
      </c>
      <c r="BI35" s="5157">
        <v>10780.549898167001</v>
      </c>
      <c r="BJ35" s="5157">
        <v>6798.4488249999995</v>
      </c>
      <c r="BK35" s="5157">
        <v>11464.867617107942</v>
      </c>
      <c r="BL35" s="6522">
        <v>8167.8919699999997</v>
      </c>
      <c r="BM35" s="6518">
        <v>17025.817718940933</v>
      </c>
      <c r="BN35" s="4532">
        <v>16273.539644999999</v>
      </c>
      <c r="BO35" s="3504"/>
      <c r="BP35" s="2757"/>
      <c r="BQ35" s="144"/>
      <c r="BR35" s="144"/>
      <c r="BS35" s="139"/>
    </row>
    <row r="36" spans="1:71" ht="15" hidden="1" customHeight="1" x14ac:dyDescent="0.25">
      <c r="A36" s="144"/>
      <c r="B36" s="7797"/>
      <c r="C36" s="6482" t="s">
        <v>563</v>
      </c>
      <c r="D36" s="5157">
        <f>+D33+D35</f>
        <v>2820524.1242937851</v>
      </c>
      <c r="E36" s="5157">
        <f>+E33+E35</f>
        <v>194663.64877589454</v>
      </c>
      <c r="F36" s="5157">
        <f>+F33+F35</f>
        <v>223461.54727700001</v>
      </c>
      <c r="G36" s="5157">
        <f>+G33+G35</f>
        <v>245069.77809253999</v>
      </c>
      <c r="H36" s="5157">
        <f>+H33+H35</f>
        <v>238113.08423899999</v>
      </c>
      <c r="I36" s="5119">
        <f t="shared" si="24"/>
        <v>439733.42686843453</v>
      </c>
      <c r="J36" s="5119">
        <f t="shared" si="24"/>
        <v>461574.63151600002</v>
      </c>
      <c r="K36" s="5157">
        <f>+K33+K35</f>
        <v>237515.48158640199</v>
      </c>
      <c r="L36" s="5157">
        <f>+L33+L35</f>
        <v>243968.228886</v>
      </c>
      <c r="M36" s="5121">
        <f t="shared" si="25"/>
        <v>677248.90845483658</v>
      </c>
      <c r="N36" s="5121">
        <f t="shared" si="25"/>
        <v>705542.86040200002</v>
      </c>
      <c r="O36" s="5157">
        <f>+O33+O35</f>
        <v>240348.34277620399</v>
      </c>
      <c r="P36" s="5157">
        <f>+P33+P35</f>
        <v>253662</v>
      </c>
      <c r="Q36" s="5157">
        <f t="shared" si="26"/>
        <v>917597.25123104057</v>
      </c>
      <c r="R36" s="5157">
        <f t="shared" si="26"/>
        <v>959204.86040200002</v>
      </c>
      <c r="S36" s="5157">
        <f>+S33+S35</f>
        <v>240348.34277620399</v>
      </c>
      <c r="T36" s="5157">
        <f>+T33+T35</f>
        <v>237704.20420199999</v>
      </c>
      <c r="U36" s="5157">
        <f t="shared" si="27"/>
        <v>1157945.5940072446</v>
      </c>
      <c r="V36" s="5157">
        <f t="shared" si="28"/>
        <v>1196909.064604</v>
      </c>
      <c r="W36" s="5157">
        <f>+W33+W35</f>
        <v>128600.679886686</v>
      </c>
      <c r="X36" s="5157">
        <f>+X33+X35</f>
        <v>226993.405398</v>
      </c>
      <c r="Y36" s="5121">
        <f t="shared" si="29"/>
        <v>609297.36543909402</v>
      </c>
      <c r="Z36" s="5121">
        <f t="shared" si="29"/>
        <v>718359.60959999997</v>
      </c>
      <c r="AA36" s="6486">
        <f t="shared" si="43"/>
        <v>1286546.2738939305</v>
      </c>
      <c r="AB36" s="6486">
        <f t="shared" si="43"/>
        <v>1423902.470002</v>
      </c>
      <c r="AC36" s="5157">
        <f>+AC33+AC35</f>
        <v>245069.77809253999</v>
      </c>
      <c r="AD36" s="5157">
        <f>+AD33+AD35</f>
        <v>183722.63432000001</v>
      </c>
      <c r="AE36" s="5157">
        <f t="shared" si="30"/>
        <v>1531616.0519864704</v>
      </c>
      <c r="AF36" s="5157">
        <f t="shared" si="31"/>
        <v>1607625.1043219999</v>
      </c>
      <c r="AG36" s="5157">
        <f>+AG33+AG35</f>
        <v>237515.48158640199</v>
      </c>
      <c r="AH36" s="5157">
        <f>+AH33+AH35</f>
        <v>229579.10811299999</v>
      </c>
      <c r="AI36" s="5119">
        <f t="shared" si="32"/>
        <v>1769131.5335728724</v>
      </c>
      <c r="AJ36" s="5119">
        <f t="shared" si="33"/>
        <v>1837204.2124349999</v>
      </c>
      <c r="AK36" s="5157">
        <f>+AK33+AK35</f>
        <v>245069.77809253999</v>
      </c>
      <c r="AL36" s="5157">
        <f>+AL33+AL35</f>
        <v>234385.36257999999</v>
      </c>
      <c r="AM36" s="5157">
        <f t="shared" si="34"/>
        <v>727655.03777148202</v>
      </c>
      <c r="AN36" s="5157">
        <f t="shared" si="35"/>
        <v>647687.10501299996</v>
      </c>
      <c r="AO36" s="5157">
        <f t="shared" si="44"/>
        <v>2014201.3116654125</v>
      </c>
      <c r="AP36" s="5157">
        <f t="shared" si="45"/>
        <v>2071589.5750149998</v>
      </c>
      <c r="AQ36" s="5157">
        <f>+AQ33+AQ35</f>
        <v>248846.92634560907</v>
      </c>
      <c r="AR36" s="5157">
        <f>+AR33+AR35</f>
        <v>228825.55363400001</v>
      </c>
      <c r="AS36" s="5157">
        <f t="shared" si="36"/>
        <v>2263048.2380110216</v>
      </c>
      <c r="AT36" s="5157">
        <f t="shared" si="37"/>
        <v>2300415.1286490001</v>
      </c>
      <c r="AU36" s="5157">
        <f>+AU33+AU35</f>
        <v>222406.88857412653</v>
      </c>
      <c r="AV36" s="5157">
        <f>+AV33+AV35</f>
        <v>185476</v>
      </c>
      <c r="AW36" s="5157">
        <f t="shared" si="38"/>
        <v>2485455.1265851483</v>
      </c>
      <c r="AX36" s="5157">
        <f t="shared" si="39"/>
        <v>2485891.1286490001</v>
      </c>
      <c r="AY36" s="5157">
        <f>+AY33+AY35</f>
        <v>248846.92634560907</v>
      </c>
      <c r="AZ36" s="5157">
        <f>+AZ33+AZ35</f>
        <v>241440.817174</v>
      </c>
      <c r="BA36" s="5157">
        <f t="shared" si="40"/>
        <v>720100.74126534467</v>
      </c>
      <c r="BB36" s="5157">
        <f t="shared" si="41"/>
        <v>655742.37080799998</v>
      </c>
      <c r="BC36" s="5157">
        <f t="shared" si="46"/>
        <v>1447755.7790368267</v>
      </c>
      <c r="BD36" s="5157">
        <f t="shared" si="47"/>
        <v>1303429.4758210001</v>
      </c>
      <c r="BE36" s="5157">
        <f t="shared" si="42"/>
        <v>2734302.0529307574</v>
      </c>
      <c r="BF36" s="5157">
        <f t="shared" si="42"/>
        <v>2727331.9458230003</v>
      </c>
      <c r="BG36" s="5157">
        <v>2494210.8018867923</v>
      </c>
      <c r="BH36" s="5157">
        <v>2449887.2256319998</v>
      </c>
      <c r="BI36" s="5157">
        <v>2630856.0215962785</v>
      </c>
      <c r="BJ36" s="5157">
        <v>2535723.4488249999</v>
      </c>
      <c r="BK36" s="5157">
        <v>2511464.8676171061</v>
      </c>
      <c r="BL36" s="6522">
        <v>2430492.1944699995</v>
      </c>
      <c r="BM36" s="6518">
        <v>2590026.6160532027</v>
      </c>
      <c r="BN36" s="4532">
        <v>2338989.5396449999</v>
      </c>
      <c r="BO36" s="3504"/>
      <c r="BP36" s="2757"/>
      <c r="BQ36" s="144"/>
      <c r="BR36" s="144"/>
      <c r="BS36" s="139"/>
    </row>
    <row r="37" spans="1:71" s="4487" customFormat="1" ht="15" hidden="1" customHeight="1" x14ac:dyDescent="0.25">
      <c r="A37" s="144"/>
      <c r="B37" s="7797"/>
      <c r="C37" s="6482" t="s">
        <v>528</v>
      </c>
      <c r="D37" s="5157">
        <v>3387</v>
      </c>
      <c r="E37" s="5157">
        <v>3408</v>
      </c>
      <c r="F37" s="5157">
        <v>3389</v>
      </c>
      <c r="G37" s="5157">
        <v>3541</v>
      </c>
      <c r="H37" s="5157">
        <v>3507</v>
      </c>
      <c r="I37" s="5119">
        <f>+AVERAGE(E37,G37)</f>
        <v>3474.5</v>
      </c>
      <c r="J37" s="5119">
        <f>+AVERAGE(F37,H37)</f>
        <v>3448</v>
      </c>
      <c r="K37" s="5157">
        <v>3534</v>
      </c>
      <c r="L37" s="5157">
        <v>3489</v>
      </c>
      <c r="M37" s="5121">
        <f>+AVERAGE(E37,G37,K37)</f>
        <v>3494.3333333333335</v>
      </c>
      <c r="N37" s="5121">
        <f>+AVERAGE(F37,H37,L37)</f>
        <v>3461.6666666666665</v>
      </c>
      <c r="O37" s="5157">
        <v>3527</v>
      </c>
      <c r="P37" s="5157">
        <v>3478</v>
      </c>
      <c r="Q37" s="5119">
        <f>+AVERAGE(E37,G37,K37,O37)</f>
        <v>3502.5</v>
      </c>
      <c r="R37" s="5119">
        <f>+AVERAGE(F37,H37,L37,P37)</f>
        <v>3465.75</v>
      </c>
      <c r="S37" s="5157">
        <v>3524</v>
      </c>
      <c r="T37" s="5157">
        <v>3465</v>
      </c>
      <c r="U37" s="5119">
        <f>+AVERAGE(E37,G37,K37,O37,S37)</f>
        <v>3506.8</v>
      </c>
      <c r="V37" s="5119">
        <f>+AVERAGE(F37,H37,L37,P37,T37)</f>
        <v>3465.6</v>
      </c>
      <c r="W37" s="5157">
        <v>3517</v>
      </c>
      <c r="X37" s="5157">
        <v>3450</v>
      </c>
      <c r="Y37" s="5121">
        <f>+AVERAGE(Q37,S37,W37)</f>
        <v>3514.5</v>
      </c>
      <c r="Z37" s="5121">
        <f>+AVERAGE(P37,T37,X37)</f>
        <v>3464.3333333333335</v>
      </c>
      <c r="AA37" s="6486">
        <f>+AVERAGE(E37,G37,K37,O37,S37,W37)</f>
        <v>3508.5</v>
      </c>
      <c r="AB37" s="6486">
        <f>+AVERAGE(X37,P37,L37,H37,T37,F37)</f>
        <v>3463</v>
      </c>
      <c r="AC37" s="5157">
        <v>3512</v>
      </c>
      <c r="AD37" s="5157">
        <v>3449</v>
      </c>
      <c r="AE37" s="5119">
        <f>+AVERAGE(E37,G37,K37,O37,S37,W37,AC37)</f>
        <v>3509</v>
      </c>
      <c r="AF37" s="5119">
        <f>+AVERAGE(F37,H37,L37,P37,T37,X37,AD37)</f>
        <v>3461</v>
      </c>
      <c r="AG37" s="5157">
        <v>3502</v>
      </c>
      <c r="AH37" s="5157">
        <v>3439</v>
      </c>
      <c r="AI37" s="5119">
        <f>AVERAGE(E37,G37,K37,O37,S37,W37,AC37,AG37)</f>
        <v>3508.125</v>
      </c>
      <c r="AJ37" s="5119">
        <f>AVERAGE(AH37,AD37,X37,T37,L37,P37,H37,F37)</f>
        <v>3458.25</v>
      </c>
      <c r="AK37" s="5157">
        <v>3500</v>
      </c>
      <c r="AL37" s="5157">
        <v>3428</v>
      </c>
      <c r="AM37" s="5157">
        <f>+AVERAGE(AC37,AG37,AK37)</f>
        <v>3504.6666666666665</v>
      </c>
      <c r="AN37" s="5157">
        <f>+AVERAGE(AD37,AH37,AL37)</f>
        <v>3438.6666666666665</v>
      </c>
      <c r="AO37" s="5157">
        <f>+AVERAGE(E37,G37,K37,O37,S37,W37,AC37,AG37,AK37)</f>
        <v>3507.2222222222222</v>
      </c>
      <c r="AP37" s="5157">
        <f>+AVERAGE(F37,H37,L37,P37,T37,X37,AD37,AH37,AL37)</f>
        <v>3454.8888888888887</v>
      </c>
      <c r="AQ37" s="5157">
        <v>3493</v>
      </c>
      <c r="AR37" s="5157">
        <v>3412</v>
      </c>
      <c r="AS37" s="5157">
        <f>+AVERAGE(E37,G37,K37,O37,S37,W37,AC37,AG37,AK37,AQ37)</f>
        <v>3505.8</v>
      </c>
      <c r="AT37" s="5157">
        <f>+AVERAGE(F37,H37,L37,P37,T37,X37,AD37,AH37,AL37,AR37)</f>
        <v>3450.6</v>
      </c>
      <c r="AU37" s="5157">
        <v>3491</v>
      </c>
      <c r="AV37" s="5157">
        <v>3415</v>
      </c>
      <c r="AW37" s="5157">
        <f>+AVERAGE(E37,G37,K37,O37,S37,W37,AC37,AG37,AK37,AQ37,AU37)</f>
        <v>3504.4545454545455</v>
      </c>
      <c r="AX37" s="5157">
        <f>+AVERAGE(F37,H37,L37,P37,T37,X37,AD37,AH37,AL37,AR37,AV37)</f>
        <v>3447.3636363636365</v>
      </c>
      <c r="AY37" s="5157">
        <v>3489</v>
      </c>
      <c r="AZ37" s="5157">
        <v>3395</v>
      </c>
      <c r="BA37" s="5157">
        <f>+AVERAGE(AQ37,AU37,AY37)</f>
        <v>3491</v>
      </c>
      <c r="BB37" s="5157">
        <f>+AVERAGE(AR37,AV37,AZ37)</f>
        <v>3407.3333333333335</v>
      </c>
      <c r="BC37" s="5157">
        <f>+AVERAGE(AC37,AG37,AK37,AQ37,AU37,AY37)</f>
        <v>3497.8333333333335</v>
      </c>
      <c r="BD37" s="5157">
        <f>+AVERAGE(AD37,AH37,AL37,AR37,AV37,AZ37)</f>
        <v>3423</v>
      </c>
      <c r="BE37" s="5157">
        <f>+AVERAGE(E37,G37,K37,O37,S37,W37,AC37,AG37,AK37,AQ37,AU37,AY37)</f>
        <v>3503.1666666666665</v>
      </c>
      <c r="BF37" s="5157">
        <f>+AVERAGE(F37,H37,L37,P37,T37,X37,AD37,AH37,AL37,AR37,AV37,AZ37)</f>
        <v>3443</v>
      </c>
      <c r="BG37" s="5157">
        <v>3502.25</v>
      </c>
      <c r="BH37" s="5157">
        <v>3544.5833333333335</v>
      </c>
      <c r="BI37" s="5157">
        <v>3607.8333333333335</v>
      </c>
      <c r="BJ37" s="5157">
        <v>3647.6666666666665</v>
      </c>
      <c r="BK37" s="5157">
        <v>3826.0833333333335</v>
      </c>
      <c r="BL37" s="6522">
        <v>3802.9166666666665</v>
      </c>
      <c r="BM37" s="6519"/>
      <c r="BN37" s="6503"/>
      <c r="BO37" s="6504"/>
      <c r="BP37" s="6505"/>
      <c r="BQ37" s="144"/>
      <c r="BR37" s="144"/>
      <c r="BS37" s="139"/>
    </row>
    <row r="38" spans="1:71" ht="15" hidden="1" customHeight="1" thickBot="1" x14ac:dyDescent="0.3">
      <c r="A38" s="144"/>
      <c r="B38" s="7798"/>
      <c r="C38" s="6523" t="s">
        <v>2191</v>
      </c>
      <c r="D38" s="5185">
        <f>+D36/(D37/365*D2)</f>
        <v>832.74996288567615</v>
      </c>
      <c r="E38" s="5185">
        <f t="shared" ref="E38:AJ38" si="48">+E36/(E37/365*E2)</f>
        <v>694.95531888890366</v>
      </c>
      <c r="F38" s="5185">
        <f t="shared" si="48"/>
        <v>802.23728490316716</v>
      </c>
      <c r="G38" s="5185">
        <f t="shared" si="48"/>
        <v>814.8825190968206</v>
      </c>
      <c r="H38" s="5185">
        <f>+H36/(H37/365*H2)</f>
        <v>799.42672946489506</v>
      </c>
      <c r="I38" s="5256">
        <f t="shared" si="48"/>
        <v>757.28646323437783</v>
      </c>
      <c r="J38" s="5256">
        <f t="shared" si="48"/>
        <v>801.00956840430183</v>
      </c>
      <c r="K38" s="5185">
        <f t="shared" si="48"/>
        <v>817.70562892885039</v>
      </c>
      <c r="L38" s="5185">
        <f t="shared" si="48"/>
        <v>850.75383150272273</v>
      </c>
      <c r="M38" s="5258">
        <f t="shared" si="48"/>
        <v>777.38374401888359</v>
      </c>
      <c r="N38" s="5258">
        <f t="shared" si="48"/>
        <v>817.50351271666125</v>
      </c>
      <c r="O38" s="5185">
        <f t="shared" si="48"/>
        <v>802.355516552626</v>
      </c>
      <c r="P38" s="5185">
        <f t="shared" si="48"/>
        <v>858.73073141775944</v>
      </c>
      <c r="Q38" s="5185">
        <f t="shared" si="48"/>
        <v>783.80313054920907</v>
      </c>
      <c r="R38" s="5185">
        <f t="shared" si="48"/>
        <v>828.03209876207802</v>
      </c>
      <c r="S38" s="5185">
        <f t="shared" si="48"/>
        <v>803.0385660843109</v>
      </c>
      <c r="T38" s="5185">
        <f t="shared" si="48"/>
        <v>807.72736148331228</v>
      </c>
      <c r="U38" s="5185">
        <f t="shared" si="48"/>
        <v>787.73218533524084</v>
      </c>
      <c r="V38" s="5185">
        <f t="shared" si="48"/>
        <v>823.91831080087229</v>
      </c>
      <c r="W38" s="5185">
        <f t="shared" si="48"/>
        <v>444.87961481035342</v>
      </c>
      <c r="X38" s="5185">
        <f t="shared" si="48"/>
        <v>800.50814464028986</v>
      </c>
      <c r="Y38" s="5258">
        <f t="shared" si="48"/>
        <v>687.8136489984638</v>
      </c>
      <c r="Z38" s="5258">
        <f t="shared" si="48"/>
        <v>822.67304970318651</v>
      </c>
      <c r="AA38" s="5374">
        <f t="shared" si="48"/>
        <v>731.38442077247942</v>
      </c>
      <c r="AB38" s="5374">
        <f t="shared" si="48"/>
        <v>820.10512624596629</v>
      </c>
      <c r="AC38" s="5185">
        <f t="shared" si="48"/>
        <v>821.61133260872475</v>
      </c>
      <c r="AD38" s="5185">
        <f t="shared" si="48"/>
        <v>627.19218779449864</v>
      </c>
      <c r="AE38" s="5185">
        <f t="shared" si="48"/>
        <v>744.46730966175335</v>
      </c>
      <c r="AF38" s="5185">
        <f t="shared" si="48"/>
        <v>792.25004263465803</v>
      </c>
      <c r="AG38" s="5185">
        <f t="shared" si="48"/>
        <v>825.17752502414544</v>
      </c>
      <c r="AH38" s="5185">
        <f t="shared" si="48"/>
        <v>812.21648212896196</v>
      </c>
      <c r="AI38" s="5256">
        <f t="shared" si="48"/>
        <v>754.37641511841468</v>
      </c>
      <c r="AJ38" s="5256">
        <f t="shared" si="48"/>
        <v>794.70159566014627</v>
      </c>
      <c r="AK38" s="5185">
        <f t="shared" ref="AK38:AL38" si="49">+AK36/(AK37/365*AK2)</f>
        <v>824.42828574909777</v>
      </c>
      <c r="AL38" s="5185">
        <f t="shared" si="49"/>
        <v>805.04627302386416</v>
      </c>
      <c r="AM38" s="5185">
        <f t="shared" ref="AM38:BF38" si="50">+AM36/(AM37/365*AM2)</f>
        <v>823.72805861312543</v>
      </c>
      <c r="AN38" s="5185">
        <f t="shared" si="50"/>
        <v>747.27457978871462</v>
      </c>
      <c r="AO38" s="5185">
        <f t="shared" si="50"/>
        <v>762.2540856611472</v>
      </c>
      <c r="AP38" s="5185">
        <f t="shared" si="50"/>
        <v>795.84740159449348</v>
      </c>
      <c r="AQ38" s="5185">
        <f t="shared" si="50"/>
        <v>838.81244623945884</v>
      </c>
      <c r="AR38" s="5185">
        <f t="shared" si="50"/>
        <v>789.63550917454529</v>
      </c>
      <c r="AS38" s="5185">
        <f t="shared" si="50"/>
        <v>769.97763824618448</v>
      </c>
      <c r="AT38" s="5185">
        <f t="shared" si="50"/>
        <v>795.21220137985392</v>
      </c>
      <c r="AU38" s="5185">
        <f t="shared" ref="AU38:AV38" si="51">+AU36/(AU37/365*AU2)</f>
        <v>830.48772690547321</v>
      </c>
      <c r="AV38" s="5185">
        <f t="shared" si="51"/>
        <v>707.99769922610335</v>
      </c>
      <c r="AW38" s="5185">
        <f t="shared" si="50"/>
        <v>775.0538767782889</v>
      </c>
      <c r="AX38" s="5185">
        <f t="shared" si="50"/>
        <v>788.02755883178929</v>
      </c>
      <c r="AY38" s="5185">
        <f t="shared" si="50"/>
        <v>839.77411141141556</v>
      </c>
      <c r="AZ38" s="5185">
        <f t="shared" si="50"/>
        <v>837.34047478274499</v>
      </c>
      <c r="BA38" s="5185">
        <f t="shared" si="50"/>
        <v>836.55358401556646</v>
      </c>
      <c r="BB38" s="5185">
        <f t="shared" si="50"/>
        <v>780.49294118867783</v>
      </c>
      <c r="BC38" s="5185">
        <f t="shared" si="50"/>
        <v>830.07564496772477</v>
      </c>
      <c r="BD38" s="5185">
        <f t="shared" si="50"/>
        <v>763.66364360461557</v>
      </c>
      <c r="BE38" s="5185">
        <f t="shared" si="50"/>
        <v>780.52297053068867</v>
      </c>
      <c r="BF38" s="5185">
        <f t="shared" si="50"/>
        <v>792.13823578942788</v>
      </c>
      <c r="BG38" s="5185">
        <v>712.17383164731029</v>
      </c>
      <c r="BH38" s="5185">
        <v>691.16367009719045</v>
      </c>
      <c r="BI38" s="5185">
        <v>729.20663969961981</v>
      </c>
      <c r="BJ38" s="5185">
        <v>695.16314963675404</v>
      </c>
      <c r="BK38" s="5185">
        <v>656.40621199671705</v>
      </c>
      <c r="BL38" s="6524">
        <v>639.11266207165545</v>
      </c>
      <c r="BM38" s="6520">
        <v>645.95904380418642</v>
      </c>
      <c r="BN38" s="4533">
        <v>585.39375718480824</v>
      </c>
      <c r="BO38" s="3505"/>
      <c r="BP38" s="2758"/>
      <c r="BQ38" s="144"/>
      <c r="BR38" s="144"/>
      <c r="BS38" s="139"/>
    </row>
    <row r="39" spans="1:71" s="139" customFormat="1" ht="15" hidden="1" customHeight="1" thickBot="1" x14ac:dyDescent="0.3">
      <c r="B39" s="1192"/>
      <c r="C39" s="1192"/>
      <c r="D39" s="1192"/>
      <c r="E39" s="1192"/>
      <c r="F39" s="1192"/>
      <c r="G39" s="1192"/>
      <c r="H39" s="1192"/>
      <c r="I39" s="1192"/>
      <c r="J39" s="1192"/>
      <c r="K39" s="1192"/>
      <c r="L39" s="1192"/>
      <c r="M39" s="1192"/>
      <c r="N39" s="1192"/>
      <c r="O39" s="1192"/>
      <c r="P39" s="1192"/>
      <c r="Q39" s="1192"/>
      <c r="R39" s="1192"/>
      <c r="S39" s="1192"/>
      <c r="T39" s="1192"/>
      <c r="U39" s="1192"/>
      <c r="V39" s="1192"/>
      <c r="W39" s="1192"/>
      <c r="X39" s="1192"/>
      <c r="Y39" s="1192"/>
      <c r="Z39" s="1192"/>
      <c r="AA39" s="1192"/>
      <c r="AB39" s="1192"/>
      <c r="AC39" s="1192"/>
      <c r="AD39" s="1192"/>
      <c r="AE39" s="1192"/>
      <c r="AF39" s="1192"/>
      <c r="AG39" s="1192"/>
      <c r="AH39" s="1192"/>
      <c r="AI39" s="1192"/>
      <c r="AJ39" s="1192"/>
      <c r="AK39" s="1192"/>
      <c r="AL39" s="1192"/>
      <c r="AM39" s="1192"/>
      <c r="AN39" s="1192"/>
      <c r="AO39" s="1192"/>
      <c r="AP39" s="1192"/>
      <c r="AQ39" s="1192"/>
      <c r="AR39" s="1192"/>
      <c r="AS39" s="1192"/>
      <c r="AT39" s="1192"/>
      <c r="AU39" s="1192"/>
      <c r="AV39" s="1192"/>
      <c r="AW39" s="1192"/>
      <c r="AX39" s="1192"/>
      <c r="AY39" s="1192"/>
      <c r="AZ39" s="1192"/>
      <c r="BA39" s="6525"/>
      <c r="BB39" s="6525"/>
      <c r="BC39" s="6525"/>
      <c r="BD39" s="6525"/>
      <c r="BE39" s="6525"/>
      <c r="BF39" s="6525"/>
      <c r="BG39" s="1192"/>
      <c r="BH39" s="1192"/>
      <c r="BI39" s="1192"/>
      <c r="BJ39" s="1192"/>
      <c r="BK39" s="1192"/>
      <c r="BL39" s="1192"/>
      <c r="BM39" s="2094"/>
      <c r="BN39" s="2094"/>
    </row>
    <row r="40" spans="1:71" s="4487" customFormat="1" ht="15" hidden="1" customHeight="1" x14ac:dyDescent="0.25">
      <c r="B40" s="7796" t="s">
        <v>2190</v>
      </c>
      <c r="C40" s="6521" t="s">
        <v>561</v>
      </c>
      <c r="D40" s="254">
        <f t="shared" ref="D40:F41" si="52">+D33</f>
        <v>2817514.1242937851</v>
      </c>
      <c r="E40" s="254">
        <f t="shared" si="52"/>
        <v>193691.14877589454</v>
      </c>
      <c r="F40" s="254">
        <f t="shared" si="52"/>
        <v>223226</v>
      </c>
      <c r="G40" s="254"/>
      <c r="H40" s="254">
        <f>+H33</f>
        <v>236638</v>
      </c>
      <c r="I40" s="349"/>
      <c r="J40" s="254">
        <f>+J33</f>
        <v>459864</v>
      </c>
      <c r="K40" s="254"/>
      <c r="L40" s="254">
        <f>+L33</f>
        <v>243453</v>
      </c>
      <c r="M40" s="586"/>
      <c r="N40" s="586">
        <f>+N33</f>
        <v>703317</v>
      </c>
      <c r="O40" s="254"/>
      <c r="P40" s="254">
        <f>+P33</f>
        <v>253662</v>
      </c>
      <c r="Q40" s="254"/>
      <c r="R40" s="254">
        <f>+R33</f>
        <v>956979</v>
      </c>
      <c r="S40" s="254"/>
      <c r="T40" s="254">
        <f>+T33</f>
        <v>237622</v>
      </c>
      <c r="U40" s="254"/>
      <c r="V40" s="254">
        <f>+V33</f>
        <v>1194601</v>
      </c>
      <c r="W40" s="254"/>
      <c r="X40" s="254">
        <f>+X33</f>
        <v>226847</v>
      </c>
      <c r="Y40" s="586"/>
      <c r="Z40" s="586">
        <f>+Z33</f>
        <v>718131</v>
      </c>
      <c r="AA40" s="975"/>
      <c r="AB40" s="975">
        <f>+AB33</f>
        <v>1421448</v>
      </c>
      <c r="AC40" s="254"/>
      <c r="AD40" s="254">
        <f>+AD33</f>
        <v>179201</v>
      </c>
      <c r="AE40" s="254"/>
      <c r="AF40" s="254">
        <f>+AF33</f>
        <v>1600649</v>
      </c>
      <c r="AG40" s="254"/>
      <c r="AH40" s="254">
        <f>+AH33</f>
        <v>229502</v>
      </c>
      <c r="AI40" s="349"/>
      <c r="AJ40" s="349">
        <f>+AJ33</f>
        <v>1830151</v>
      </c>
      <c r="AK40" s="254"/>
      <c r="AL40" s="254">
        <f>+AL33</f>
        <v>234365</v>
      </c>
      <c r="AM40" s="254"/>
      <c r="AN40" s="254">
        <f>+AN33</f>
        <v>643068</v>
      </c>
      <c r="AO40" s="254"/>
      <c r="AP40" s="254"/>
      <c r="AQ40" s="254"/>
      <c r="AR40" s="254">
        <f>+AR33</f>
        <v>228047</v>
      </c>
      <c r="AS40" s="254"/>
      <c r="AT40" s="254"/>
      <c r="AU40" s="254"/>
      <c r="AV40" s="254">
        <f>+AV33</f>
        <v>185016</v>
      </c>
      <c r="AW40" s="254"/>
      <c r="AX40" s="254"/>
      <c r="AY40" s="254"/>
      <c r="AZ40" s="254">
        <f>+AZ33</f>
        <v>241240</v>
      </c>
      <c r="BA40" s="254"/>
      <c r="BB40" s="254">
        <f>+BB33</f>
        <v>654303</v>
      </c>
      <c r="BC40" s="254"/>
      <c r="BD40" s="254">
        <f>+BD33</f>
        <v>1297371</v>
      </c>
      <c r="BE40" s="254"/>
      <c r="BF40" s="254"/>
      <c r="BG40" s="254"/>
      <c r="BH40" s="254"/>
      <c r="BI40" s="254"/>
      <c r="BJ40" s="254"/>
      <c r="BK40" s="254"/>
      <c r="BL40" s="256"/>
      <c r="BM40" s="6455"/>
      <c r="BN40" s="6455"/>
    </row>
    <row r="41" spans="1:71" s="4487" customFormat="1" ht="15" hidden="1" customHeight="1" x14ac:dyDescent="0.25">
      <c r="B41" s="7797"/>
      <c r="C41" s="6482" t="s">
        <v>564</v>
      </c>
      <c r="D41" s="5157">
        <f t="shared" si="52"/>
        <v>6020</v>
      </c>
      <c r="E41" s="5157">
        <f t="shared" si="52"/>
        <v>1945</v>
      </c>
      <c r="F41" s="5157">
        <f t="shared" si="52"/>
        <v>471.09455400000002</v>
      </c>
      <c r="G41" s="5157"/>
      <c r="H41" s="5157">
        <f>+H34</f>
        <v>2950.1684780000001</v>
      </c>
      <c r="I41" s="5119"/>
      <c r="J41" s="5157">
        <f>+J34</f>
        <v>3421.2630319999998</v>
      </c>
      <c r="K41" s="5157"/>
      <c r="L41" s="5157">
        <f>+L34</f>
        <v>1030.457772</v>
      </c>
      <c r="M41" s="5121"/>
      <c r="N41" s="5121">
        <f>+N34</f>
        <v>4451.7208039999996</v>
      </c>
      <c r="O41" s="5157"/>
      <c r="P41" s="5157">
        <f>+P34</f>
        <v>0</v>
      </c>
      <c r="Q41" s="5157"/>
      <c r="R41" s="5157">
        <f>+R34</f>
        <v>4451.7208039999996</v>
      </c>
      <c r="S41" s="5157"/>
      <c r="T41" s="5157">
        <f>+T34</f>
        <v>164.40840400000002</v>
      </c>
      <c r="U41" s="5157"/>
      <c r="V41" s="5157">
        <f>+V34</f>
        <v>4616.1292079999994</v>
      </c>
      <c r="W41" s="5157"/>
      <c r="X41" s="5157">
        <f>+X34</f>
        <v>292.81079599999998</v>
      </c>
      <c r="Y41" s="5121"/>
      <c r="Z41" s="5121">
        <f>+Z34</f>
        <v>457.2192</v>
      </c>
      <c r="AA41" s="6486"/>
      <c r="AB41" s="6486">
        <f>+AB34</f>
        <v>4908.940004</v>
      </c>
      <c r="AC41" s="5157"/>
      <c r="AD41" s="5157">
        <f>+AD34</f>
        <v>9043.2686400000002</v>
      </c>
      <c r="AE41" s="5157"/>
      <c r="AF41" s="5157">
        <f>+AF34</f>
        <v>13952.208644</v>
      </c>
      <c r="AG41" s="5157"/>
      <c r="AH41" s="5157">
        <f>+AH34</f>
        <v>154.21622600000001</v>
      </c>
      <c r="AI41" s="5119"/>
      <c r="AJ41" s="5119">
        <f>+AJ34</f>
        <v>14106.424870000001</v>
      </c>
      <c r="AK41" s="5157"/>
      <c r="AL41" s="5157">
        <f>+AL34</f>
        <v>40.725159999999995</v>
      </c>
      <c r="AM41" s="5157"/>
      <c r="AN41" s="5157">
        <f>+AN34</f>
        <v>9238.2100260000007</v>
      </c>
      <c r="AO41" s="5157"/>
      <c r="AP41" s="5157"/>
      <c r="AQ41" s="5157"/>
      <c r="AR41" s="5157">
        <f>+AR34</f>
        <v>1557.1072680000002</v>
      </c>
      <c r="AS41" s="5157"/>
      <c r="AT41" s="5157"/>
      <c r="AU41" s="5157"/>
      <c r="AV41" s="5157">
        <f>+AV34</f>
        <v>920</v>
      </c>
      <c r="AW41" s="5157"/>
      <c r="AX41" s="5157"/>
      <c r="AY41" s="5157"/>
      <c r="AZ41" s="5157">
        <f>+AZ34</f>
        <v>401.63434799999999</v>
      </c>
      <c r="BA41" s="5157"/>
      <c r="BB41" s="5157">
        <f>+BB34</f>
        <v>2878.7416160000002</v>
      </c>
      <c r="BC41" s="5157"/>
      <c r="BD41" s="5157">
        <f>+BD34</f>
        <v>12116.951642</v>
      </c>
      <c r="BE41" s="5157"/>
      <c r="BF41" s="5157"/>
      <c r="BG41" s="5157"/>
      <c r="BH41" s="5157"/>
      <c r="BI41" s="5157"/>
      <c r="BJ41" s="5157"/>
      <c r="BK41" s="5157"/>
      <c r="BL41" s="6522"/>
      <c r="BM41" s="6455"/>
      <c r="BN41" s="6455"/>
    </row>
    <row r="42" spans="1:71" s="4487" customFormat="1" ht="112.5" hidden="1" x14ac:dyDescent="0.25">
      <c r="B42" s="7797"/>
      <c r="C42" s="6526" t="s">
        <v>2192</v>
      </c>
      <c r="D42" s="5157">
        <v>9157</v>
      </c>
      <c r="E42" s="5157">
        <v>9201</v>
      </c>
      <c r="F42" s="5157">
        <v>9177</v>
      </c>
      <c r="G42" s="5157"/>
      <c r="H42" s="5157"/>
      <c r="I42" s="5157"/>
      <c r="J42" s="5157"/>
      <c r="K42" s="5157"/>
      <c r="L42" s="5157"/>
      <c r="M42" s="5121"/>
      <c r="N42" s="5121"/>
      <c r="O42" s="5157"/>
      <c r="P42" s="5157"/>
      <c r="Q42" s="5157"/>
      <c r="R42" s="5157"/>
      <c r="S42" s="5157"/>
      <c r="T42" s="5157"/>
      <c r="U42" s="5157"/>
      <c r="V42" s="5157"/>
      <c r="W42" s="5157"/>
      <c r="X42" s="5157"/>
      <c r="Y42" s="5121"/>
      <c r="Z42" s="5121"/>
      <c r="AA42" s="6486"/>
      <c r="AB42" s="6486"/>
      <c r="AC42" s="5157"/>
      <c r="AD42" s="5157">
        <v>10508</v>
      </c>
      <c r="AE42" s="5157"/>
      <c r="AF42" s="5157"/>
      <c r="AG42" s="5157"/>
      <c r="AH42" s="5157">
        <v>10419</v>
      </c>
      <c r="AI42" s="5119"/>
      <c r="AJ42" s="5119"/>
      <c r="AK42" s="5157"/>
      <c r="AL42" s="5157">
        <v>10292</v>
      </c>
      <c r="AM42" s="5157"/>
      <c r="AN42" s="5157">
        <f>+AVERAGE(AD42,AH42,AL42)</f>
        <v>10406.333333333334</v>
      </c>
      <c r="AO42" s="5157"/>
      <c r="AP42" s="5157"/>
      <c r="AQ42" s="5157"/>
      <c r="AR42" s="5157">
        <v>9853</v>
      </c>
      <c r="AS42" s="5157"/>
      <c r="AT42" s="5157"/>
      <c r="AU42" s="5157"/>
      <c r="AV42" s="5157">
        <v>9444</v>
      </c>
      <c r="AW42" s="5157"/>
      <c r="AX42" s="5157"/>
      <c r="AY42" s="5157"/>
      <c r="AZ42" s="5157">
        <v>9233</v>
      </c>
      <c r="BA42" s="5157"/>
      <c r="BB42" s="5157">
        <f>+AVERAGE(AR42,AV42,AZ42)</f>
        <v>9510</v>
      </c>
      <c r="BC42" s="5157"/>
      <c r="BD42" s="5157">
        <f>+AVERAGE(AN42,BB42)</f>
        <v>9958.1666666666679</v>
      </c>
      <c r="BE42" s="5157"/>
      <c r="BF42" s="5157"/>
      <c r="BG42" s="5157"/>
      <c r="BH42" s="5157"/>
      <c r="BI42" s="5157"/>
      <c r="BJ42" s="5157"/>
      <c r="BK42" s="5157"/>
      <c r="BL42" s="6522"/>
      <c r="BM42" s="6455"/>
      <c r="BN42" s="6455"/>
    </row>
    <row r="43" spans="1:71" s="4487" customFormat="1" ht="23.25" hidden="1" customHeight="1" thickBot="1" x14ac:dyDescent="0.3">
      <c r="B43" s="7798"/>
      <c r="C43" s="6523" t="s">
        <v>2191</v>
      </c>
      <c r="D43" s="5185">
        <f>(D40+D41)/(D42/$D$2*D2)</f>
        <v>308.34707046999944</v>
      </c>
      <c r="E43" s="5185">
        <f>(E40+E41)/(E42/$D$2*E2)</f>
        <v>258.69359962033656</v>
      </c>
      <c r="F43" s="5185">
        <f>(F40+F41)/(F42/$D$2*F2)</f>
        <v>296.57273441651228</v>
      </c>
      <c r="G43" s="5185"/>
      <c r="H43" s="5185"/>
      <c r="I43" s="5185"/>
      <c r="J43" s="5185"/>
      <c r="K43" s="5185"/>
      <c r="L43" s="5185"/>
      <c r="M43" s="5258"/>
      <c r="N43" s="5258"/>
      <c r="O43" s="5185"/>
      <c r="P43" s="5185"/>
      <c r="Q43" s="5185"/>
      <c r="R43" s="5185"/>
      <c r="S43" s="5185"/>
      <c r="T43" s="5185"/>
      <c r="U43" s="5185"/>
      <c r="V43" s="5185"/>
      <c r="W43" s="5185"/>
      <c r="X43" s="5185"/>
      <c r="Y43" s="5258"/>
      <c r="Z43" s="5258"/>
      <c r="AA43" s="5374"/>
      <c r="AB43" s="5374"/>
      <c r="AC43" s="5185"/>
      <c r="AD43" s="5185">
        <f>+(AD41+AD40)/(AD42/365*AD2)</f>
        <v>210.92733663322568</v>
      </c>
      <c r="AE43" s="5185"/>
      <c r="AF43" s="5185"/>
      <c r="AG43" s="5185"/>
      <c r="AH43" s="5185">
        <f>+(AH41+AH40)/(AH42/365*AH2)</f>
        <v>268.17838859292317</v>
      </c>
      <c r="AI43" s="5256"/>
      <c r="AJ43" s="5256"/>
      <c r="AK43" s="5185"/>
      <c r="AL43" s="5185">
        <f>+(AL41+AL40)/(AL42/365*AL2)</f>
        <v>268.16346452427814</v>
      </c>
      <c r="AM43" s="5185"/>
      <c r="AN43" s="5185">
        <f>+(AN41+AN40)/(AN42/365*AN2)</f>
        <v>248.69028336230238</v>
      </c>
      <c r="AO43" s="5185"/>
      <c r="AP43" s="5185"/>
      <c r="AQ43" s="5185"/>
      <c r="AR43" s="5185">
        <f>+(AR41+AR40)/(AR42/365*AR2)</f>
        <v>274.37361194337399</v>
      </c>
      <c r="AS43" s="5185"/>
      <c r="AT43" s="5185"/>
      <c r="AU43" s="5185"/>
      <c r="AV43" s="5185">
        <f>+(AV41+AV40)/(AV42/365*AV2)</f>
        <v>256.6506322986628</v>
      </c>
      <c r="AW43" s="5185"/>
      <c r="AX43" s="5185"/>
      <c r="AY43" s="5185"/>
      <c r="AZ43" s="5185">
        <f>+(AZ41+AZ40)/(AZ42/365*AZ2)</f>
        <v>308.14852942293248</v>
      </c>
      <c r="BA43" s="5185"/>
      <c r="BB43" s="5185">
        <f>+(BB41+BB40)/(BB42/365*BB2)</f>
        <v>280.25626321981537</v>
      </c>
      <c r="BC43" s="5185"/>
      <c r="BD43" s="5185">
        <f>+(BD41+BD40)/(BD42/365*BD2)</f>
        <v>263.72031920493589</v>
      </c>
      <c r="BE43" s="5185"/>
      <c r="BF43" s="5185"/>
      <c r="BG43" s="5185"/>
      <c r="BH43" s="5185"/>
      <c r="BI43" s="5185"/>
      <c r="BJ43" s="5185"/>
      <c r="BK43" s="5185"/>
      <c r="BL43" s="6524"/>
      <c r="BM43" s="6455"/>
      <c r="BN43" s="6455"/>
    </row>
    <row r="44" spans="1:71" s="139" customFormat="1" ht="15" customHeight="1" x14ac:dyDescent="0.25">
      <c r="D44" s="2094"/>
      <c r="E44" s="2094"/>
      <c r="F44" s="2094"/>
      <c r="G44" s="2094"/>
      <c r="H44" s="2094"/>
      <c r="I44" s="2094"/>
      <c r="J44" s="2094"/>
      <c r="K44" s="2094"/>
      <c r="L44" s="2094"/>
      <c r="M44" s="2094"/>
      <c r="N44" s="2094"/>
      <c r="O44" s="2094"/>
      <c r="P44" s="2094"/>
      <c r="Q44" s="2094"/>
      <c r="R44" s="2094"/>
      <c r="S44" s="2094"/>
      <c r="T44" s="2094"/>
      <c r="U44" s="2094"/>
      <c r="V44" s="2094"/>
      <c r="W44" s="2094"/>
      <c r="X44" s="2094"/>
      <c r="Y44" s="2094"/>
      <c r="Z44" s="2094"/>
      <c r="AA44" s="2094"/>
      <c r="AB44" s="2094"/>
      <c r="AC44" s="2094"/>
      <c r="AD44" s="2094"/>
      <c r="AE44" s="2094"/>
      <c r="AF44" s="2094"/>
      <c r="AG44" s="2094"/>
      <c r="AH44" s="2094"/>
      <c r="AI44" s="2094"/>
      <c r="AJ44" s="2094"/>
      <c r="AK44" s="2094"/>
      <c r="AL44" s="2094"/>
      <c r="AM44" s="2094"/>
      <c r="AN44" s="2094"/>
      <c r="AO44" s="2094"/>
      <c r="AP44" s="2094"/>
      <c r="AQ44" s="2094"/>
      <c r="AR44" s="2094"/>
      <c r="AS44" s="2094"/>
      <c r="AT44" s="2094"/>
      <c r="AU44" s="2094"/>
      <c r="AV44" s="2094"/>
      <c r="AW44" s="2094"/>
      <c r="AX44" s="2094"/>
      <c r="AY44" s="2094"/>
      <c r="AZ44" s="2094"/>
      <c r="BA44" s="6516"/>
      <c r="BB44" s="6516"/>
      <c r="BC44" s="6516"/>
      <c r="BD44" s="6516"/>
      <c r="BE44" s="6516"/>
      <c r="BF44" s="6516"/>
      <c r="BG44" s="2094"/>
      <c r="BH44" s="2094"/>
      <c r="BI44" s="2094"/>
      <c r="BJ44" s="2094"/>
      <c r="BK44" s="2094"/>
      <c r="BL44" s="2094"/>
      <c r="BM44" s="2094"/>
      <c r="BN44" s="2094"/>
    </row>
    <row r="45" spans="1:71" s="139" customFormat="1" ht="15" hidden="1" customHeight="1" x14ac:dyDescent="0.25">
      <c r="D45" s="2094"/>
      <c r="E45" s="2094"/>
      <c r="F45" s="2094"/>
      <c r="G45" s="2094"/>
      <c r="H45" s="2094"/>
      <c r="I45" s="2094"/>
      <c r="J45" s="2094"/>
      <c r="K45" s="2094"/>
      <c r="L45" s="2094"/>
      <c r="M45" s="2094"/>
      <c r="N45" s="2094"/>
      <c r="O45" s="2094"/>
      <c r="P45" s="2094"/>
      <c r="Q45" s="2094"/>
      <c r="R45" s="2094"/>
      <c r="S45" s="2094"/>
      <c r="T45" s="2094"/>
      <c r="U45" s="2094"/>
      <c r="V45" s="2094"/>
      <c r="W45" s="2094"/>
      <c r="X45" s="2094"/>
      <c r="Y45" s="2094"/>
      <c r="Z45" s="2094"/>
      <c r="AA45" s="2094"/>
      <c r="AB45" s="2094"/>
      <c r="AC45" s="2094"/>
      <c r="AD45" s="2094"/>
      <c r="AE45" s="2094"/>
      <c r="AF45" s="2094"/>
      <c r="AG45" s="2094"/>
      <c r="AH45" s="2094"/>
      <c r="AI45" s="2094"/>
      <c r="AJ45" s="2094"/>
      <c r="AK45" s="2094"/>
      <c r="AL45" s="2094"/>
      <c r="AM45" s="2094"/>
      <c r="AN45" s="2094"/>
      <c r="AO45" s="2094"/>
      <c r="AP45" s="2094"/>
      <c r="AQ45" s="2094"/>
      <c r="AR45" s="2094"/>
      <c r="AS45" s="2094"/>
      <c r="AT45" s="2094"/>
      <c r="AU45" s="2094"/>
      <c r="AV45" s="2094"/>
      <c r="AW45" s="2094"/>
      <c r="AX45" s="2094"/>
      <c r="AY45" s="2094"/>
      <c r="AZ45" s="2094"/>
      <c r="BA45" s="6516"/>
      <c r="BB45" s="6516"/>
      <c r="BC45" s="6516"/>
      <c r="BD45" s="6516"/>
      <c r="BE45" s="6516"/>
      <c r="BF45" s="6516"/>
      <c r="BG45" s="2094"/>
      <c r="BH45" s="2094"/>
      <c r="BI45" s="2094"/>
      <c r="BJ45" s="2094"/>
      <c r="BK45" s="2094"/>
      <c r="BL45" s="2094"/>
      <c r="BM45" s="2094"/>
      <c r="BN45" s="2094"/>
    </row>
    <row r="46" spans="1:71" s="139" customFormat="1" ht="15" hidden="1" customHeight="1" x14ac:dyDescent="0.25">
      <c r="D46" s="2094"/>
      <c r="E46" s="2094"/>
      <c r="F46" s="2094"/>
      <c r="G46" s="2094"/>
      <c r="H46" s="2094"/>
      <c r="I46" s="2094"/>
      <c r="J46" s="2094"/>
      <c r="K46" s="2094"/>
      <c r="L46" s="2094"/>
      <c r="M46" s="2094"/>
      <c r="N46" s="2094"/>
      <c r="O46" s="2094"/>
      <c r="P46" s="2094"/>
      <c r="Q46" s="2094"/>
      <c r="R46" s="2094"/>
      <c r="S46" s="2094"/>
      <c r="T46" s="2094"/>
      <c r="U46" s="2094"/>
      <c r="V46" s="2094"/>
      <c r="W46" s="2094"/>
      <c r="X46" s="2094"/>
      <c r="Y46" s="2094"/>
      <c r="Z46" s="2094"/>
      <c r="AA46" s="2094"/>
      <c r="AB46" s="2094"/>
      <c r="AC46" s="2094"/>
      <c r="AD46" s="2094"/>
      <c r="AE46" s="2094"/>
      <c r="AF46" s="2094"/>
      <c r="AG46" s="2094"/>
      <c r="AH46" s="2094"/>
      <c r="AI46" s="2094"/>
      <c r="AJ46" s="2094"/>
      <c r="AK46" s="2094"/>
      <c r="AL46" s="2094"/>
      <c r="AM46" s="2094"/>
      <c r="AN46" s="2094"/>
      <c r="AO46" s="2094"/>
      <c r="AP46" s="2094"/>
      <c r="AQ46" s="2094"/>
      <c r="AR46" s="2094"/>
      <c r="AS46" s="2094"/>
      <c r="AT46" s="2094"/>
      <c r="AU46" s="2094"/>
      <c r="AV46" s="2094"/>
      <c r="AW46" s="2094"/>
      <c r="AX46" s="2094"/>
      <c r="AY46" s="2094"/>
      <c r="AZ46" s="2094"/>
      <c r="BA46" s="6516"/>
      <c r="BB46" s="6516"/>
      <c r="BC46" s="6516"/>
      <c r="BD46" s="6516"/>
      <c r="BE46" s="6516"/>
      <c r="BF46" s="6516"/>
      <c r="BG46" s="2094"/>
      <c r="BH46" s="2094"/>
      <c r="BI46" s="2094"/>
      <c r="BJ46" s="2094"/>
      <c r="BK46" s="2094"/>
      <c r="BL46" s="2094"/>
      <c r="BM46" s="2094"/>
      <c r="BN46" s="2094"/>
    </row>
    <row r="47" spans="1:71" s="139" customFormat="1" ht="15" hidden="1" customHeight="1" x14ac:dyDescent="0.25">
      <c r="D47" s="2094"/>
      <c r="E47" s="2094"/>
      <c r="F47" s="2094"/>
      <c r="G47" s="2094"/>
      <c r="H47" s="2094"/>
      <c r="I47" s="2094"/>
      <c r="J47" s="2094"/>
      <c r="K47" s="2094"/>
      <c r="L47" s="2094"/>
      <c r="M47" s="2094"/>
      <c r="N47" s="2094"/>
      <c r="O47" s="2094"/>
      <c r="P47" s="2094"/>
      <c r="Q47" s="2094"/>
      <c r="R47" s="2094"/>
      <c r="S47" s="2094"/>
      <c r="T47" s="2094"/>
      <c r="U47" s="2094"/>
      <c r="V47" s="2094"/>
      <c r="W47" s="2094"/>
      <c r="X47" s="2094"/>
      <c r="Y47" s="2094"/>
      <c r="Z47" s="2094"/>
      <c r="AA47" s="2094"/>
      <c r="AB47" s="2094"/>
      <c r="AC47" s="2094"/>
      <c r="AD47" s="2094"/>
      <c r="AE47" s="2094"/>
      <c r="AF47" s="2094"/>
      <c r="AG47" s="2094"/>
      <c r="AH47" s="2094"/>
      <c r="AI47" s="2094"/>
      <c r="AJ47" s="2094"/>
      <c r="AK47" s="2094"/>
      <c r="AL47" s="2094"/>
      <c r="AM47" s="2094"/>
      <c r="AN47" s="2094"/>
      <c r="AO47" s="2094"/>
      <c r="AP47" s="2094"/>
      <c r="AQ47" s="2094"/>
      <c r="AR47" s="2094"/>
      <c r="AS47" s="2094"/>
      <c r="AT47" s="2094"/>
      <c r="AU47" s="2094"/>
      <c r="AV47" s="2094"/>
      <c r="AW47" s="2094"/>
      <c r="AX47" s="2094"/>
      <c r="AY47" s="2094"/>
      <c r="AZ47" s="2094"/>
      <c r="BA47" s="6516"/>
      <c r="BB47" s="6516"/>
      <c r="BC47" s="6516"/>
      <c r="BD47" s="6516"/>
      <c r="BE47" s="6516"/>
      <c r="BF47" s="6516"/>
      <c r="BG47" s="2094"/>
      <c r="BH47" s="2094"/>
      <c r="BI47" s="2094"/>
      <c r="BJ47" s="2094"/>
      <c r="BK47" s="2094"/>
      <c r="BL47" s="2094"/>
      <c r="BM47" s="2094"/>
      <c r="BN47" s="2094"/>
    </row>
    <row r="48" spans="1:71" s="139" customFormat="1" ht="15" hidden="1" customHeight="1" x14ac:dyDescent="0.25">
      <c r="D48" s="2094"/>
      <c r="E48" s="2094"/>
      <c r="F48" s="2094"/>
      <c r="G48" s="2094"/>
      <c r="H48" s="2094"/>
      <c r="I48" s="2094"/>
      <c r="J48" s="2094"/>
      <c r="K48" s="2094"/>
      <c r="L48" s="2094"/>
      <c r="M48" s="2094"/>
      <c r="N48" s="2094"/>
      <c r="O48" s="2094"/>
      <c r="P48" s="2094"/>
      <c r="Q48" s="2094"/>
      <c r="R48" s="2094"/>
      <c r="S48" s="2094"/>
      <c r="T48" s="2094"/>
      <c r="U48" s="2094"/>
      <c r="V48" s="2094"/>
      <c r="W48" s="2094"/>
      <c r="X48" s="2094"/>
      <c r="Y48" s="2094"/>
      <c r="Z48" s="2094"/>
      <c r="AA48" s="2094"/>
      <c r="AB48" s="2094"/>
      <c r="AC48" s="2094"/>
      <c r="AD48" s="2094"/>
      <c r="AE48" s="2094"/>
      <c r="AF48" s="2094"/>
      <c r="AG48" s="2094"/>
      <c r="AH48" s="2094"/>
      <c r="AI48" s="2094"/>
      <c r="AJ48" s="2094"/>
      <c r="AK48" s="2094"/>
      <c r="AL48" s="2094"/>
      <c r="AM48" s="2094"/>
      <c r="AN48" s="2094"/>
      <c r="AO48" s="2094"/>
      <c r="AP48" s="2094"/>
      <c r="AQ48" s="2094"/>
      <c r="AR48" s="2094"/>
      <c r="AS48" s="2094"/>
      <c r="AT48" s="2094"/>
      <c r="AU48" s="2094"/>
      <c r="AV48" s="2094"/>
      <c r="AW48" s="2094"/>
      <c r="AX48" s="2094"/>
      <c r="AY48" s="2094"/>
      <c r="AZ48" s="2094"/>
      <c r="BA48" s="6516"/>
      <c r="BB48" s="6516"/>
      <c r="BC48" s="6516"/>
      <c r="BD48" s="6516"/>
      <c r="BE48" s="6516"/>
      <c r="BF48" s="6516"/>
      <c r="BG48" s="2094"/>
      <c r="BH48" s="2094"/>
      <c r="BI48" s="2094"/>
      <c r="BJ48" s="2094"/>
      <c r="BK48" s="2094"/>
      <c r="BL48" s="2094"/>
      <c r="BM48" s="2094"/>
      <c r="BN48" s="2094"/>
    </row>
    <row r="49" spans="1:71" s="139" customFormat="1" ht="15" hidden="1" customHeight="1" x14ac:dyDescent="0.25">
      <c r="D49" s="2094"/>
      <c r="E49" s="2094"/>
      <c r="F49" s="2094"/>
      <c r="G49" s="2094"/>
      <c r="H49" s="2094"/>
      <c r="I49" s="2094"/>
      <c r="J49" s="2094"/>
      <c r="K49" s="2094"/>
      <c r="L49" s="2094"/>
      <c r="M49" s="2094"/>
      <c r="N49" s="2094"/>
      <c r="O49" s="2094"/>
      <c r="P49" s="2094"/>
      <c r="Q49" s="2094"/>
      <c r="R49" s="2094"/>
      <c r="S49" s="2094"/>
      <c r="T49" s="2094"/>
      <c r="U49" s="2094"/>
      <c r="V49" s="2094"/>
      <c r="W49" s="2094"/>
      <c r="X49" s="2094"/>
      <c r="Y49" s="2094"/>
      <c r="Z49" s="2094"/>
      <c r="AA49" s="2094"/>
      <c r="AB49" s="2094"/>
      <c r="AC49" s="2094"/>
      <c r="AD49" s="2094"/>
      <c r="AE49" s="2094"/>
      <c r="AF49" s="2094"/>
      <c r="AG49" s="2094"/>
      <c r="AH49" s="2094"/>
      <c r="AI49" s="2094"/>
      <c r="AJ49" s="2094"/>
      <c r="AK49" s="2094"/>
      <c r="AL49" s="2094"/>
      <c r="AM49" s="2094"/>
      <c r="AN49" s="2094"/>
      <c r="AO49" s="2094"/>
      <c r="AP49" s="2094"/>
      <c r="AQ49" s="2094"/>
      <c r="AR49" s="2094"/>
      <c r="AS49" s="2094"/>
      <c r="AT49" s="2094"/>
      <c r="AU49" s="2094"/>
      <c r="AV49" s="2094"/>
      <c r="AW49" s="2094"/>
      <c r="AX49" s="2094"/>
      <c r="AY49" s="2094"/>
      <c r="AZ49" s="2094"/>
      <c r="BA49" s="6516"/>
      <c r="BB49" s="6516"/>
      <c r="BC49" s="6516"/>
      <c r="BD49" s="6516"/>
      <c r="BE49" s="6516"/>
      <c r="BF49" s="6516"/>
      <c r="BG49" s="2094"/>
      <c r="BH49" s="2094"/>
      <c r="BI49" s="2094"/>
      <c r="BJ49" s="2094"/>
      <c r="BK49" s="2094"/>
      <c r="BL49" s="2094"/>
      <c r="BM49" s="2094"/>
      <c r="BN49" s="2094"/>
    </row>
    <row r="50" spans="1:71" s="139" customFormat="1" ht="15" hidden="1" customHeight="1" x14ac:dyDescent="0.25">
      <c r="D50" s="2094"/>
      <c r="E50" s="2094"/>
      <c r="F50" s="2094"/>
      <c r="G50" s="2094"/>
      <c r="H50" s="2094"/>
      <c r="I50" s="2094"/>
      <c r="J50" s="2094"/>
      <c r="K50" s="2094"/>
      <c r="L50" s="2094"/>
      <c r="M50" s="2094"/>
      <c r="N50" s="2094"/>
      <c r="O50" s="2094"/>
      <c r="P50" s="2094"/>
      <c r="Q50" s="2094"/>
      <c r="R50" s="2094"/>
      <c r="S50" s="2094"/>
      <c r="T50" s="2094"/>
      <c r="U50" s="2094"/>
      <c r="V50" s="2094"/>
      <c r="W50" s="2094"/>
      <c r="X50" s="2094"/>
      <c r="Y50" s="2094"/>
      <c r="Z50" s="2094"/>
      <c r="AA50" s="2094"/>
      <c r="AB50" s="2094"/>
      <c r="AC50" s="2094"/>
      <c r="AD50" s="2094"/>
      <c r="AE50" s="2094"/>
      <c r="AF50" s="2094"/>
      <c r="AG50" s="2094"/>
      <c r="AH50" s="2094"/>
      <c r="AI50" s="2094"/>
      <c r="AJ50" s="2094"/>
      <c r="AK50" s="2094"/>
      <c r="AL50" s="2094"/>
      <c r="AM50" s="2094"/>
      <c r="AN50" s="2094"/>
      <c r="AO50" s="2094"/>
      <c r="AP50" s="2094"/>
      <c r="AQ50" s="2094"/>
      <c r="AR50" s="2094"/>
      <c r="AS50" s="2094"/>
      <c r="AT50" s="2094"/>
      <c r="AU50" s="2094"/>
      <c r="AV50" s="2094"/>
      <c r="AW50" s="2094"/>
      <c r="AX50" s="2094"/>
      <c r="AY50" s="2094"/>
      <c r="AZ50" s="2094"/>
      <c r="BA50" s="6516"/>
      <c r="BB50" s="6516"/>
      <c r="BC50" s="6516"/>
      <c r="BD50" s="6516"/>
      <c r="BE50" s="6516"/>
      <c r="BF50" s="6516"/>
      <c r="BG50" s="2094"/>
      <c r="BH50" s="2094"/>
      <c r="BI50" s="2094"/>
      <c r="BJ50" s="2094"/>
      <c r="BK50" s="2094"/>
      <c r="BL50" s="2094"/>
      <c r="BM50" s="2094"/>
      <c r="BN50" s="2094"/>
    </row>
    <row r="51" spans="1:71" s="139" customFormat="1" ht="15" hidden="1" customHeight="1" x14ac:dyDescent="0.25">
      <c r="D51" s="2094"/>
      <c r="E51" s="2094"/>
      <c r="F51" s="2094"/>
      <c r="G51" s="2094"/>
      <c r="H51" s="2094"/>
      <c r="I51" s="2094"/>
      <c r="J51" s="2094"/>
      <c r="K51" s="2094"/>
      <c r="L51" s="2094"/>
      <c r="M51" s="2094"/>
      <c r="N51" s="2094"/>
      <c r="O51" s="2094"/>
      <c r="P51" s="2094"/>
      <c r="Q51" s="2094"/>
      <c r="R51" s="2094"/>
      <c r="S51" s="2094"/>
      <c r="T51" s="2094"/>
      <c r="U51" s="2094"/>
      <c r="V51" s="2094"/>
      <c r="W51" s="2094"/>
      <c r="X51" s="2094"/>
      <c r="Y51" s="2094"/>
      <c r="Z51" s="2094"/>
      <c r="AA51" s="2094"/>
      <c r="AB51" s="2094"/>
      <c r="AC51" s="2094"/>
      <c r="AD51" s="2094"/>
      <c r="AE51" s="2094"/>
      <c r="AF51" s="2094"/>
      <c r="AG51" s="2094"/>
      <c r="AH51" s="2094"/>
      <c r="AI51" s="2094"/>
      <c r="AJ51" s="2094"/>
      <c r="AK51" s="2094"/>
      <c r="AL51" s="2094"/>
      <c r="AM51" s="2094"/>
      <c r="AN51" s="2094"/>
      <c r="AO51" s="2094"/>
      <c r="AP51" s="2094"/>
      <c r="AQ51" s="2094"/>
      <c r="AR51" s="2094"/>
      <c r="AS51" s="2094"/>
      <c r="AT51" s="2094"/>
      <c r="AU51" s="2094"/>
      <c r="AV51" s="2094"/>
      <c r="AW51" s="2094"/>
      <c r="AX51" s="2094"/>
      <c r="AY51" s="2094"/>
      <c r="AZ51" s="2094"/>
      <c r="BA51" s="6516"/>
      <c r="BB51" s="6516"/>
      <c r="BC51" s="6516"/>
      <c r="BD51" s="6516"/>
      <c r="BE51" s="6516"/>
      <c r="BF51" s="6516"/>
      <c r="BG51" s="2094"/>
      <c r="BH51" s="2094"/>
      <c r="BI51" s="2094"/>
      <c r="BJ51" s="2094"/>
      <c r="BK51" s="2094"/>
      <c r="BL51" s="2094"/>
      <c r="BM51" s="2094"/>
      <c r="BN51" s="2094"/>
    </row>
    <row r="52" spans="1:71" s="139" customFormat="1" ht="15" hidden="1" customHeight="1" x14ac:dyDescent="0.25">
      <c r="D52" s="2094"/>
      <c r="E52" s="2094"/>
      <c r="F52" s="2094"/>
      <c r="G52" s="2094"/>
      <c r="H52" s="2094"/>
      <c r="I52" s="2094"/>
      <c r="J52" s="2094"/>
      <c r="K52" s="2094"/>
      <c r="L52" s="2094"/>
      <c r="M52" s="2094"/>
      <c r="N52" s="2094"/>
      <c r="O52" s="2094"/>
      <c r="P52" s="2094"/>
      <c r="Q52" s="2094"/>
      <c r="R52" s="2094"/>
      <c r="S52" s="2094"/>
      <c r="T52" s="2094"/>
      <c r="U52" s="2094"/>
      <c r="V52" s="2094"/>
      <c r="W52" s="2094"/>
      <c r="X52" s="2094"/>
      <c r="Y52" s="2094"/>
      <c r="Z52" s="2094"/>
      <c r="AA52" s="2094"/>
      <c r="AB52" s="2094"/>
      <c r="AC52" s="2094"/>
      <c r="AD52" s="2094"/>
      <c r="AE52" s="2094"/>
      <c r="AF52" s="2094"/>
      <c r="AG52" s="2094"/>
      <c r="AH52" s="2094"/>
      <c r="AI52" s="2094"/>
      <c r="AJ52" s="2094"/>
      <c r="AK52" s="2094"/>
      <c r="AL52" s="2094"/>
      <c r="AM52" s="2094"/>
      <c r="AN52" s="2094"/>
      <c r="AO52" s="2094"/>
      <c r="AP52" s="2094"/>
      <c r="AQ52" s="2094"/>
      <c r="AR52" s="2094"/>
      <c r="AS52" s="2094"/>
      <c r="AT52" s="2094"/>
      <c r="AU52" s="2094"/>
      <c r="AV52" s="2094"/>
      <c r="AW52" s="2094"/>
      <c r="AX52" s="2094"/>
      <c r="AY52" s="2094"/>
      <c r="AZ52" s="2094"/>
      <c r="BA52" s="6516"/>
      <c r="BB52" s="6516"/>
      <c r="BC52" s="6516"/>
      <c r="BD52" s="6516"/>
      <c r="BE52" s="6516"/>
      <c r="BF52" s="6516"/>
      <c r="BG52" s="2094"/>
      <c r="BH52" s="2094"/>
      <c r="BI52" s="2094"/>
      <c r="BJ52" s="2094"/>
      <c r="BK52" s="2094"/>
      <c r="BL52" s="2094"/>
      <c r="BM52" s="2094"/>
      <c r="BN52" s="2094"/>
    </row>
    <row r="53" spans="1:71" s="139" customFormat="1" ht="15" hidden="1" customHeight="1" x14ac:dyDescent="0.25">
      <c r="D53" s="2094"/>
      <c r="E53" s="2094"/>
      <c r="F53" s="2094"/>
      <c r="G53" s="2094"/>
      <c r="H53" s="2094"/>
      <c r="I53" s="2094"/>
      <c r="J53" s="2094"/>
      <c r="K53" s="2094"/>
      <c r="L53" s="2094"/>
      <c r="M53" s="2094"/>
      <c r="N53" s="2094"/>
      <c r="O53" s="2094"/>
      <c r="P53" s="2094"/>
      <c r="Q53" s="2094"/>
      <c r="R53" s="2094"/>
      <c r="S53" s="2094"/>
      <c r="T53" s="2094"/>
      <c r="U53" s="2094"/>
      <c r="V53" s="2094"/>
      <c r="W53" s="2094"/>
      <c r="X53" s="2094"/>
      <c r="Y53" s="2094"/>
      <c r="Z53" s="2094"/>
      <c r="AA53" s="2094"/>
      <c r="AB53" s="2094"/>
      <c r="AC53" s="2094"/>
      <c r="AD53" s="2094"/>
      <c r="AE53" s="2094"/>
      <c r="AF53" s="2094"/>
      <c r="AG53" s="2094"/>
      <c r="AH53" s="2094"/>
      <c r="AI53" s="2094"/>
      <c r="AJ53" s="2094"/>
      <c r="AK53" s="2094"/>
      <c r="AL53" s="2094"/>
      <c r="AM53" s="2094"/>
      <c r="AN53" s="2094"/>
      <c r="AO53" s="2094"/>
      <c r="AP53" s="2094"/>
      <c r="AQ53" s="2094"/>
      <c r="AR53" s="2094"/>
      <c r="AS53" s="2094"/>
      <c r="AT53" s="2094"/>
      <c r="AU53" s="2094"/>
      <c r="AV53" s="2094"/>
      <c r="AW53" s="2094"/>
      <c r="AX53" s="2094"/>
      <c r="AY53" s="2094"/>
      <c r="AZ53" s="2094"/>
      <c r="BA53" s="6516"/>
      <c r="BB53" s="6516"/>
      <c r="BC53" s="6516"/>
      <c r="BD53" s="6516"/>
      <c r="BE53" s="6516"/>
      <c r="BF53" s="6516"/>
      <c r="BG53" s="2094"/>
      <c r="BH53" s="2094"/>
      <c r="BI53" s="2094"/>
      <c r="BJ53" s="2094"/>
      <c r="BK53" s="2094"/>
      <c r="BL53" s="2094"/>
      <c r="BM53" s="2094"/>
      <c r="BN53" s="2094"/>
    </row>
    <row r="54" spans="1:71" s="139" customFormat="1" ht="15" customHeight="1" x14ac:dyDescent="0.25">
      <c r="D54" s="2094"/>
      <c r="E54" s="2094"/>
      <c r="F54" s="2094"/>
      <c r="G54" s="2094"/>
      <c r="H54" s="2094"/>
      <c r="I54" s="2094"/>
      <c r="J54" s="2094"/>
      <c r="K54" s="2094"/>
      <c r="L54" s="2094"/>
      <c r="M54" s="2094"/>
      <c r="N54" s="2094"/>
      <c r="O54" s="2094"/>
      <c r="P54" s="2094"/>
      <c r="Q54" s="2094"/>
      <c r="R54" s="2094"/>
      <c r="S54" s="2094"/>
      <c r="T54" s="2094"/>
      <c r="U54" s="2094"/>
      <c r="V54" s="2094"/>
      <c r="W54" s="2094"/>
      <c r="X54" s="2094"/>
      <c r="Y54" s="2094"/>
      <c r="Z54" s="2094"/>
      <c r="AA54" s="2094"/>
      <c r="AB54" s="2094"/>
      <c r="AC54" s="2094"/>
      <c r="AD54" s="2094"/>
      <c r="AE54" s="2094"/>
      <c r="AF54" s="2094"/>
      <c r="AG54" s="2094"/>
      <c r="AH54" s="2094"/>
      <c r="AI54" s="2094"/>
      <c r="AJ54" s="2094"/>
      <c r="AK54" s="2094"/>
      <c r="AL54" s="2094"/>
      <c r="AM54" s="2094"/>
      <c r="AN54" s="2094"/>
      <c r="AO54" s="2094"/>
      <c r="AP54" s="2094"/>
      <c r="AQ54" s="2094"/>
      <c r="AR54" s="2094"/>
      <c r="AS54" s="2094"/>
      <c r="AT54" s="2094"/>
      <c r="AU54" s="2094"/>
      <c r="AV54" s="2094"/>
      <c r="AW54" s="2094"/>
      <c r="AX54" s="2094"/>
      <c r="AY54" s="2094"/>
      <c r="AZ54" s="2094"/>
      <c r="BA54" s="6516"/>
      <c r="BB54" s="6516"/>
      <c r="BC54" s="6516"/>
      <c r="BD54" s="6516"/>
      <c r="BE54" s="6516"/>
      <c r="BF54" s="6516"/>
      <c r="BG54" s="2094"/>
      <c r="BH54" s="2094"/>
      <c r="BI54" s="2094"/>
      <c r="BJ54" s="2094"/>
      <c r="BK54" s="2094"/>
      <c r="BL54" s="2094"/>
      <c r="BM54" s="2094"/>
      <c r="BN54" s="2094"/>
    </row>
    <row r="55" spans="1:71" s="139" customFormat="1" ht="15" customHeight="1" thickBot="1" x14ac:dyDescent="0.3">
      <c r="D55" s="2094"/>
      <c r="E55" s="2094"/>
      <c r="F55" s="2094"/>
      <c r="G55" s="2094"/>
      <c r="H55" s="2094"/>
      <c r="I55" s="2094"/>
      <c r="J55" s="2094"/>
      <c r="K55" s="2094"/>
      <c r="L55" s="2094"/>
      <c r="M55" s="2094"/>
      <c r="N55" s="2094"/>
      <c r="O55" s="2094"/>
      <c r="P55" s="2094"/>
      <c r="Q55" s="2094"/>
      <c r="R55" s="2094"/>
      <c r="S55" s="2094"/>
      <c r="T55" s="2094"/>
      <c r="U55" s="2094"/>
      <c r="V55" s="2094"/>
      <c r="W55" s="2094"/>
      <c r="X55" s="2094"/>
      <c r="Y55" s="2094"/>
      <c r="Z55" s="2094"/>
      <c r="AA55" s="2094"/>
      <c r="AB55" s="2094"/>
      <c r="AC55" s="2094"/>
      <c r="AD55" s="2094"/>
      <c r="AE55" s="2094"/>
      <c r="AF55" s="2094"/>
      <c r="AG55" s="2094"/>
      <c r="AH55" s="2094"/>
      <c r="AI55" s="2094"/>
      <c r="AJ55" s="2094"/>
      <c r="AK55" s="2094"/>
      <c r="AL55" s="2094"/>
      <c r="AM55" s="2094"/>
      <c r="AN55" s="2094"/>
      <c r="AO55" s="2094"/>
      <c r="AP55" s="2094"/>
      <c r="AQ55" s="2094"/>
      <c r="AR55" s="2094"/>
      <c r="AS55" s="2094"/>
      <c r="AT55" s="2094"/>
      <c r="AU55" s="2094"/>
      <c r="AV55" s="2094"/>
      <c r="AW55" s="2094"/>
      <c r="AX55" s="2094"/>
      <c r="AY55" s="2094"/>
      <c r="AZ55" s="2094"/>
      <c r="BA55" s="6516"/>
      <c r="BB55" s="6516"/>
      <c r="BC55" s="6516"/>
      <c r="BD55" s="6516"/>
      <c r="BE55" s="6516"/>
      <c r="BF55" s="6516"/>
      <c r="BG55" s="2094"/>
      <c r="BH55" s="2094"/>
      <c r="BI55" s="2094"/>
      <c r="BJ55" s="2094"/>
      <c r="BK55" s="2094"/>
      <c r="BL55" s="2094"/>
      <c r="BM55" s="2094"/>
      <c r="BN55" s="2094"/>
    </row>
    <row r="56" spans="1:71" ht="19.5" customHeight="1" thickBot="1" x14ac:dyDescent="0.3">
      <c r="A56" s="90"/>
      <c r="B56" s="2760" t="s">
        <v>678</v>
      </c>
      <c r="C56" s="2753" t="s">
        <v>352</v>
      </c>
      <c r="D56" s="4503">
        <f>+(D16*D33)/1000</f>
        <v>2992199.9999999995</v>
      </c>
      <c r="E56" s="4503">
        <f>+(E16*E33)/1000</f>
        <v>205700</v>
      </c>
      <c r="F56" s="85">
        <f>+SMS!F15</f>
        <v>235708.2</v>
      </c>
      <c r="G56" s="5554">
        <f>+(G16*G33)/1000</f>
        <v>259833.99433427746</v>
      </c>
      <c r="H56" s="85">
        <f>+SMS!H15</f>
        <v>252686.9</v>
      </c>
      <c r="I56" s="4504">
        <f>+(I16*I33)/1000</f>
        <v>465533.99433427746</v>
      </c>
      <c r="J56" s="41">
        <f>+SMS!J15</f>
        <v>488395.1</v>
      </c>
      <c r="K56" s="5672">
        <f>+(K16*K33)/1000</f>
        <v>251811.33144475892</v>
      </c>
      <c r="L56" s="85">
        <f>+SMS!L15</f>
        <v>258527.52499999999</v>
      </c>
      <c r="M56" s="6450">
        <f>+(M16*M33)/1000</f>
        <v>717345.32577903639</v>
      </c>
      <c r="N56" s="71">
        <f>+SMS!N15</f>
        <v>746922.625</v>
      </c>
      <c r="O56" s="5824">
        <f>+(O16*O33)/1000</f>
        <v>254819.83002832864</v>
      </c>
      <c r="P56" s="85">
        <f>+SMS!P15</f>
        <v>266778.07500000001</v>
      </c>
      <c r="Q56" s="4504">
        <f>+(Q16*Q33)/1000</f>
        <v>972165.15580736508</v>
      </c>
      <c r="R56" s="41">
        <f>+SMS!R15</f>
        <v>1013700.7</v>
      </c>
      <c r="S56" s="5888">
        <f>+(S16*S33)/1000</f>
        <v>254819.83002832864</v>
      </c>
      <c r="T56" s="85">
        <f>+SMS!T15</f>
        <v>251918.72</v>
      </c>
      <c r="U56" s="4504">
        <f>+(U16*U33)/1000</f>
        <v>1226984.9858356938</v>
      </c>
      <c r="V56" s="41">
        <f>+SMS!V15</f>
        <v>1265619.42</v>
      </c>
      <c r="W56" s="5993">
        <f>+(W16*W33)/1000</f>
        <v>133727.76203966053</v>
      </c>
      <c r="X56" s="85">
        <f>+SMS!X15</f>
        <v>241323.3</v>
      </c>
      <c r="Y56" s="586">
        <f>+O56+S56+W56</f>
        <v>643367.42209631787</v>
      </c>
      <c r="Z56" s="586">
        <f>+P56+T56+X56</f>
        <v>760020.09499999997</v>
      </c>
      <c r="AA56" s="975">
        <f>+M56+Y56</f>
        <v>1360712.7478753543</v>
      </c>
      <c r="AB56" s="975">
        <f>+N56+Z56</f>
        <v>1506942.72</v>
      </c>
      <c r="AC56" s="6121">
        <f>+(AC16*AC33)/1000</f>
        <v>259833.99433427746</v>
      </c>
      <c r="AD56" s="85">
        <f>+SMS!AD15</f>
        <v>190772.82</v>
      </c>
      <c r="AE56" s="4504">
        <f>+(AE16*AE33)/1000</f>
        <v>1620546.7422096315</v>
      </c>
      <c r="AF56" s="41">
        <f>+SMS!AF15</f>
        <v>1697715.54</v>
      </c>
      <c r="AG56" s="6292">
        <f>+(AG16*AG33)/1000</f>
        <v>251811.33144475892</v>
      </c>
      <c r="AH56" s="85">
        <f>+SMS!AH15</f>
        <v>243243.53</v>
      </c>
      <c r="AI56" s="6449">
        <f>+(AI16*AI33)/1000</f>
        <v>1872358.0736543906</v>
      </c>
      <c r="AJ56" s="41">
        <f>+SMS!AJ15</f>
        <v>1940959.07</v>
      </c>
      <c r="AK56" s="6544">
        <f>+(AK16*AK33)/1000</f>
        <v>259833.99433427746</v>
      </c>
      <c r="AL56" s="85">
        <f>+SMS!AL15</f>
        <v>250346.23999999999</v>
      </c>
      <c r="AM56" s="586">
        <f>+AC56+AG56+AK56</f>
        <v>771479.32011331385</v>
      </c>
      <c r="AN56" s="586">
        <f>+AD56+AH56+AL56</f>
        <v>684362.59</v>
      </c>
      <c r="AO56" s="4504">
        <f>+(AO16*AO33)/1000</f>
        <v>2132192.0679886681</v>
      </c>
      <c r="AP56" s="41">
        <f>+SMS!AP15</f>
        <v>2191305.31</v>
      </c>
      <c r="AQ56" s="6638">
        <f>+(AQ16*AQ33)/1000</f>
        <v>263845.32577903679</v>
      </c>
      <c r="AR56" s="85">
        <f>+SMS!AR15</f>
        <v>242224.07</v>
      </c>
      <c r="AS56" s="4504">
        <f>+(AS16*AS33)/1000</f>
        <v>2396037.3937677052</v>
      </c>
      <c r="AT56" s="41">
        <f>+SMS!AT15</f>
        <v>2433529.38</v>
      </c>
      <c r="AU56" s="6872">
        <f>+(AU16*AU33)/1000</f>
        <v>235766.00566572236</v>
      </c>
      <c r="AV56" s="85">
        <f>+SMS!AV15</f>
        <v>194681.07500000001</v>
      </c>
      <c r="AW56" s="4504">
        <f>+(AW16*AW33)/1000</f>
        <v>2631803.3994334275</v>
      </c>
      <c r="AX56" s="41">
        <f>+SMS!AX15</f>
        <v>2628210.4550000001</v>
      </c>
      <c r="AY56" s="6952">
        <f>+(AY16*AY33)/1000</f>
        <v>263845.32577903679</v>
      </c>
      <c r="AZ56" s="85">
        <f>+SMS!AZ15</f>
        <v>250513.94500000001</v>
      </c>
      <c r="BA56" s="586">
        <f t="shared" ref="BA56:BA59" si="53">+AQ56+AU56+AY56</f>
        <v>763456.65722379601</v>
      </c>
      <c r="BB56" s="586">
        <f t="shared" ref="BB56:BB59" si="54">+AR56+AV56+AZ56</f>
        <v>687419.09000000008</v>
      </c>
      <c r="BC56" s="975">
        <f>+AM56+BA56</f>
        <v>1534935.9773371099</v>
      </c>
      <c r="BD56" s="975">
        <f>+AN56+BB56</f>
        <v>1371781.6800000002</v>
      </c>
      <c r="BE56" s="349">
        <f t="shared" ref="BE56:BF59" si="55">+AW56+AY56</f>
        <v>2895648.7252124641</v>
      </c>
      <c r="BF56" s="349">
        <f t="shared" si="55"/>
        <v>2878724.4</v>
      </c>
      <c r="BG56" s="1679">
        <v>2638900</v>
      </c>
      <c r="BH56" s="1679">
        <v>2582070.1407999997</v>
      </c>
      <c r="BI56" s="1679">
        <v>2777279.9999999977</v>
      </c>
      <c r="BJ56" s="1679">
        <v>2695862.83</v>
      </c>
      <c r="BK56" s="1679">
        <v>2655000</v>
      </c>
      <c r="BL56" s="1679">
        <v>2574868</v>
      </c>
      <c r="BM56" s="1679">
        <v>2611100.4700000002</v>
      </c>
      <c r="BN56" s="1679">
        <v>2366123.2121212119</v>
      </c>
      <c r="BO56" s="2747"/>
      <c r="BP56" s="2748"/>
      <c r="BQ56" s="2621"/>
      <c r="BR56" s="1679"/>
      <c r="BS56" s="1679"/>
    </row>
    <row r="57" spans="1:71" ht="19.5" customHeight="1" thickBot="1" x14ac:dyDescent="0.3">
      <c r="A57" s="90"/>
      <c r="B57" s="4712" t="s">
        <v>279</v>
      </c>
      <c r="C57" s="4713" t="s">
        <v>352</v>
      </c>
      <c r="D57" s="4695">
        <f>+(D17*D33)/1000</f>
        <v>95795.480225988693</v>
      </c>
      <c r="E57" s="4695">
        <f>+(E17*E33)/1000</f>
        <v>6585.4990583804147</v>
      </c>
      <c r="F57" s="4714">
        <f>+SMS!F19</f>
        <v>8946.7000000000007</v>
      </c>
      <c r="G57" s="5557">
        <f>+(G17*G33)/1000</f>
        <v>8318.6024551463597</v>
      </c>
      <c r="H57" s="4714">
        <f>+SMS!H19</f>
        <v>6670.7999999999993</v>
      </c>
      <c r="I57" s="4694">
        <f>+(I17*I33)/1000</f>
        <v>14904.101513526775</v>
      </c>
      <c r="J57" s="4451">
        <f>+SMS!J19</f>
        <v>15617.5</v>
      </c>
      <c r="K57" s="5685">
        <f>+(K17*K33)/1000</f>
        <v>8061.7563739376674</v>
      </c>
      <c r="L57" s="4714">
        <f>+SMS!L19</f>
        <v>8404.2000000000007</v>
      </c>
      <c r="M57" s="6452">
        <f>+(M17*M33)/1000</f>
        <v>22965.857887464445</v>
      </c>
      <c r="N57" s="4715">
        <f>+SMS!N19</f>
        <v>24021.7</v>
      </c>
      <c r="O57" s="5825">
        <f>+(O17*O33)/1000</f>
        <v>8158.0736543909361</v>
      </c>
      <c r="P57" s="4714">
        <f>+SMS!P19</f>
        <v>11294.6</v>
      </c>
      <c r="Q57" s="4694">
        <f>+(Q17*Q33)/1000</f>
        <v>31123.931541855382</v>
      </c>
      <c r="R57" s="4451">
        <f>+SMS!R19</f>
        <v>35316.300000000003</v>
      </c>
      <c r="S57" s="5896">
        <f>+(S17*S33)/1000</f>
        <v>8158.0736543909361</v>
      </c>
      <c r="T57" s="4714">
        <f>+SMS!T19</f>
        <v>8598.0999999999985</v>
      </c>
      <c r="U57" s="4694">
        <f>+(U17*U33)/1000</f>
        <v>39282.005196246319</v>
      </c>
      <c r="V57" s="4451">
        <f>+SMS!V19</f>
        <v>43914.400000000001</v>
      </c>
      <c r="W57" s="5995">
        <f>+(W17*W33)/1000</f>
        <v>4281.3031161473245</v>
      </c>
      <c r="X57" s="4714">
        <f>+SMS!X19</f>
        <v>7722</v>
      </c>
      <c r="Y57" s="4587">
        <f t="shared" ref="Y57:Y64" si="56">+O57+S57+W57</f>
        <v>20597.450424929197</v>
      </c>
      <c r="Z57" s="4587">
        <f t="shared" ref="Z57:Z64" si="57">+P57+T57+X57</f>
        <v>27614.699999999997</v>
      </c>
      <c r="AA57" s="4716">
        <f t="shared" ref="AA57:AB64" si="58">+M57+Y57</f>
        <v>43563.308312393638</v>
      </c>
      <c r="AB57" s="4716">
        <f t="shared" si="58"/>
        <v>51636.399999999994</v>
      </c>
      <c r="AC57" s="6124">
        <f>+(AC17*AC33)/1000</f>
        <v>8318.6024551463597</v>
      </c>
      <c r="AD57" s="4714">
        <f>+SMS!AD19</f>
        <v>5530.6</v>
      </c>
      <c r="AE57" s="4694">
        <f>+(AE17*AE33)/1000</f>
        <v>51881.910767539994</v>
      </c>
      <c r="AF57" s="4451">
        <f>+SMS!AF19</f>
        <v>57166.999999999993</v>
      </c>
      <c r="AG57" s="6304">
        <f>+(AG17*AG33)/1000</f>
        <v>8061.7563739376674</v>
      </c>
      <c r="AH57" s="4714">
        <f>+SMS!AH19</f>
        <v>8373.7999999999993</v>
      </c>
      <c r="AI57" s="6451">
        <f>+(AI17*AI33)/1000</f>
        <v>59943.667141477657</v>
      </c>
      <c r="AJ57" s="4451">
        <f>+SMS!AJ19</f>
        <v>65540.799999999988</v>
      </c>
      <c r="AK57" s="6552">
        <f>+(AK17*AK33)/1000</f>
        <v>8318.6024551463597</v>
      </c>
      <c r="AL57" s="4714">
        <f>+SMS!AL19</f>
        <v>6546.7999999999993</v>
      </c>
      <c r="AM57" s="4587">
        <f t="shared" ref="AM57:AM59" si="59">+AC57+AG57+AK57</f>
        <v>24698.961284230387</v>
      </c>
      <c r="AN57" s="4587">
        <f t="shared" ref="AN57:AN59" si="60">+AD57+AH57+AL57</f>
        <v>20451.199999999997</v>
      </c>
      <c r="AO57" s="4694">
        <f>+(AO17*AO33)/1000</f>
        <v>68262.269596624028</v>
      </c>
      <c r="AP57" s="4451">
        <f>+SMS!AP19</f>
        <v>72087.599999999991</v>
      </c>
      <c r="AQ57" s="6647">
        <f>+(AQ17*AQ33)/1000</f>
        <v>8447.0254957507077</v>
      </c>
      <c r="AR57" s="4714">
        <f>+SMS!AR19</f>
        <v>7578.7</v>
      </c>
      <c r="AS57" s="4694">
        <f>+(AS17*AS33)/1000</f>
        <v>76709.295092374741</v>
      </c>
      <c r="AT57" s="4451">
        <f>+SMS!AT19</f>
        <v>79666.299999999988</v>
      </c>
      <c r="AU57" s="6873">
        <f>+(AU17*AU33)/1000</f>
        <v>7548.0642115203018</v>
      </c>
      <c r="AV57" s="4714">
        <f>+SMS!AV19</f>
        <v>8045</v>
      </c>
      <c r="AW57" s="4694">
        <f>+(AW17*AW33)/1000</f>
        <v>84257.359303895035</v>
      </c>
      <c r="AX57" s="4451">
        <f>+SMS!AX19</f>
        <v>87711.299999999988</v>
      </c>
      <c r="AY57" s="6960">
        <f>+(AY17*AY33)/1000</f>
        <v>8447.0254957507077</v>
      </c>
      <c r="AZ57" s="4714">
        <f>+SMS!AZ19</f>
        <v>13265.9</v>
      </c>
      <c r="BA57" s="4587">
        <f t="shared" si="53"/>
        <v>24442.11520302172</v>
      </c>
      <c r="BB57" s="4587">
        <f t="shared" si="54"/>
        <v>28889.599999999999</v>
      </c>
      <c r="BC57" s="4717">
        <f t="shared" ref="BC57:BC64" si="61">+AM57+BA57</f>
        <v>49141.07648725211</v>
      </c>
      <c r="BD57" s="4717">
        <f t="shared" ref="BD57:BD64" si="62">+AN57+BB57</f>
        <v>49340.799999999996</v>
      </c>
      <c r="BE57" s="4588">
        <f t="shared" si="55"/>
        <v>92704.384799645748</v>
      </c>
      <c r="BF57" s="4588">
        <f t="shared" si="55"/>
        <v>100977.19999999998</v>
      </c>
      <c r="BG57" s="4718">
        <v>99581.132075471687</v>
      </c>
      <c r="BH57" s="4718">
        <v>91824.999999999985</v>
      </c>
      <c r="BI57" s="4718">
        <v>104803.01886792443</v>
      </c>
      <c r="BJ57" s="4718">
        <v>87073.52</v>
      </c>
      <c r="BK57" s="4718">
        <v>121081.638418079</v>
      </c>
      <c r="BL57" s="4718">
        <v>93275</v>
      </c>
      <c r="BM57" s="4718">
        <v>128650.03991671308</v>
      </c>
      <c r="BN57" s="4718">
        <v>101615.76000000001</v>
      </c>
      <c r="BO57" s="2744"/>
      <c r="BP57" s="2749"/>
      <c r="BQ57" s="1018"/>
      <c r="BR57" s="1678"/>
      <c r="BS57" s="1678"/>
    </row>
    <row r="58" spans="1:71" ht="19.5" customHeight="1" thickBot="1" x14ac:dyDescent="0.3">
      <c r="A58" s="90"/>
      <c r="B58" s="2760" t="s">
        <v>83</v>
      </c>
      <c r="C58" s="2753" t="s">
        <v>352</v>
      </c>
      <c r="D58" s="1045">
        <f>+(D66*'Maj Production Summ'!D$18)/1000</f>
        <v>3512.0013926130637</v>
      </c>
      <c r="E58" s="1045">
        <f>+(E66*'Maj Production Summ'!E$18)/1000</f>
        <v>241.43395710865158</v>
      </c>
      <c r="F58" s="256">
        <f>+SMS!F55</f>
        <v>409</v>
      </c>
      <c r="G58" s="1045">
        <f>+(G66*'Maj Production Summ'!G$18)/1000</f>
        <v>304.9720439643732</v>
      </c>
      <c r="H58" s="256">
        <f>+SMS!H55</f>
        <v>297</v>
      </c>
      <c r="I58" s="669">
        <f>+(I66*'Maj Production Summ'!I$18)/1000</f>
        <v>546.40600107302487</v>
      </c>
      <c r="J58" s="41">
        <f>+SMS!J55</f>
        <v>706</v>
      </c>
      <c r="K58" s="1045">
        <f>+(K66*'Maj Production Summ'!K$18)/1000</f>
        <v>295.55569370688562</v>
      </c>
      <c r="L58" s="256">
        <f>+SMS!L55</f>
        <v>405</v>
      </c>
      <c r="M58" s="670">
        <f>+(M66*'Maj Production Summ'!M$18)/1000</f>
        <v>841.96169477991054</v>
      </c>
      <c r="N58" s="71">
        <f>+SMS!N55</f>
        <v>1111</v>
      </c>
      <c r="O58" s="1045">
        <f>+(O66*'Maj Production Summ'!O$18)/1000</f>
        <v>299.08682505344376</v>
      </c>
      <c r="P58" s="256">
        <f>+SMS!P55</f>
        <v>383</v>
      </c>
      <c r="Q58" s="669">
        <f>+(Q66*'Maj Production Summ'!Q$18)/1000</f>
        <v>1141.0485198333542</v>
      </c>
      <c r="R58" s="41">
        <f>+SMS!R55</f>
        <v>1494</v>
      </c>
      <c r="S58" s="1045">
        <f>+(S66*'Maj Production Summ'!S$18)/1000</f>
        <v>299.08682505344376</v>
      </c>
      <c r="T58" s="256">
        <f>+SMS!T55</f>
        <v>300</v>
      </c>
      <c r="U58" s="669">
        <f>+(U66*'Maj Production Summ'!U$18)/1000</f>
        <v>1440.1353448867978</v>
      </c>
      <c r="V58" s="41">
        <f>+SMS!V55</f>
        <v>1794</v>
      </c>
      <c r="W58" s="1045">
        <f>+(W66*'Maj Production Summ'!W$18)/1000</f>
        <v>156.95878835449378</v>
      </c>
      <c r="X58" s="256">
        <f>+SMS!X55</f>
        <v>293</v>
      </c>
      <c r="Y58" s="586">
        <f t="shared" si="56"/>
        <v>755.1324384613813</v>
      </c>
      <c r="Z58" s="586">
        <f t="shared" si="57"/>
        <v>976</v>
      </c>
      <c r="AA58" s="975">
        <f t="shared" si="58"/>
        <v>1597.0941332412917</v>
      </c>
      <c r="AB58" s="975">
        <f t="shared" si="58"/>
        <v>2087</v>
      </c>
      <c r="AC58" s="1045">
        <f>+(AC66*'Maj Production Summ'!AC$18)/1000</f>
        <v>304.9720439643732</v>
      </c>
      <c r="AD58" s="256">
        <f>+SMS!AD55</f>
        <v>251</v>
      </c>
      <c r="AE58" s="669">
        <f>+(AE66*'Maj Production Summ'!AE$18)/1000</f>
        <v>1902.0661772056649</v>
      </c>
      <c r="AF58" s="41">
        <f>+SMS!AF55</f>
        <v>2338</v>
      </c>
      <c r="AG58" s="1045">
        <f>+(AG66*'Maj Production Summ'!AG$18)/1000</f>
        <v>295.55569370688562</v>
      </c>
      <c r="AH58" s="256">
        <f>+SMS!AH55</f>
        <v>290</v>
      </c>
      <c r="AI58" s="669">
        <f>+(AI66*'Maj Production Summ'!AI$18)/1000</f>
        <v>2197.6218709125505</v>
      </c>
      <c r="AJ58" s="41">
        <f>+SMS!AJ55</f>
        <v>2628</v>
      </c>
      <c r="AK58" s="1045">
        <f>+(AK66*'Maj Production Summ'!AK$18)/1000</f>
        <v>304.9720439643732</v>
      </c>
      <c r="AL58" s="256">
        <f>+SMS!AL55</f>
        <v>401.53</v>
      </c>
      <c r="AM58" s="586">
        <f t="shared" si="59"/>
        <v>905.49978163563196</v>
      </c>
      <c r="AN58" s="586">
        <f t="shared" si="60"/>
        <v>942.53</v>
      </c>
      <c r="AO58" s="669">
        <f>+(AO66*'Maj Production Summ'!AO$18)/1000</f>
        <v>2502.5939148769239</v>
      </c>
      <c r="AP58" s="41">
        <f>+SMS!AP55</f>
        <v>3029.5299999999997</v>
      </c>
      <c r="AQ58" s="1045">
        <f>+(AQ66*'Maj Production Summ'!AQ$18)/1000</f>
        <v>309.6802190931171</v>
      </c>
      <c r="AR58" s="256">
        <f>+SMS!AR55</f>
        <v>267.8</v>
      </c>
      <c r="AS58" s="669">
        <f>+(AS66*'Maj Production Summ'!AS$18)/1000</f>
        <v>2812.274133970041</v>
      </c>
      <c r="AT58" s="41">
        <f>+SMS!AT55</f>
        <v>3297.33</v>
      </c>
      <c r="AU58" s="1045">
        <f>+(AU66*'Maj Production Summ'!AU$18)/1000</f>
        <v>276.72299319191114</v>
      </c>
      <c r="AV58" s="256">
        <f>+SMS!AV55</f>
        <v>135</v>
      </c>
      <c r="AW58" s="669">
        <f>+(AW66*'Maj Production Summ'!AW$18)/1000</f>
        <v>3088.997127161952</v>
      </c>
      <c r="AX58" s="41">
        <f>+SMS!AX55</f>
        <v>3432.33</v>
      </c>
      <c r="AY58" s="1045">
        <f>+(AY66*'Maj Production Summ'!AY$18)/1000</f>
        <v>309.6802190931171</v>
      </c>
      <c r="AZ58" s="256">
        <f>+SMS!AZ55</f>
        <v>421</v>
      </c>
      <c r="BA58" s="586">
        <f t="shared" si="53"/>
        <v>896.08343137814541</v>
      </c>
      <c r="BB58" s="586">
        <f t="shared" si="54"/>
        <v>823.8</v>
      </c>
      <c r="BC58" s="975">
        <f t="shared" si="61"/>
        <v>1801.5832130137774</v>
      </c>
      <c r="BD58" s="975">
        <f t="shared" si="62"/>
        <v>1766.33</v>
      </c>
      <c r="BE58" s="349">
        <f t="shared" si="55"/>
        <v>3398.6773462550691</v>
      </c>
      <c r="BF58" s="349">
        <f t="shared" si="55"/>
        <v>3853.33</v>
      </c>
      <c r="BG58" s="1679">
        <v>4107.721698113206</v>
      </c>
      <c r="BH58" s="1679">
        <v>3222</v>
      </c>
      <c r="BI58" s="1679">
        <v>3385.0942571672449</v>
      </c>
      <c r="BJ58" s="1679">
        <v>4727</v>
      </c>
      <c r="BK58" s="1679">
        <v>4499.9999999999973</v>
      </c>
      <c r="BL58" s="1679">
        <v>4569.84</v>
      </c>
      <c r="BM58" s="1679">
        <v>6693.3528167707818</v>
      </c>
      <c r="BN58" s="4719">
        <v>4136</v>
      </c>
      <c r="BO58" s="4705"/>
      <c r="BP58" s="2749"/>
      <c r="BQ58" s="1018"/>
      <c r="BR58" s="1678"/>
      <c r="BS58" s="1678"/>
    </row>
    <row r="59" spans="1:71" ht="18.75" customHeight="1" x14ac:dyDescent="0.25">
      <c r="A59" s="90"/>
      <c r="B59" s="2761" t="s">
        <v>800</v>
      </c>
      <c r="C59" s="4720" t="s">
        <v>352</v>
      </c>
      <c r="D59" s="4692">
        <f>+(D67*'Maj Production Summ'!D$18)/1000</f>
        <v>2201.7356157900963</v>
      </c>
      <c r="E59" s="4692">
        <f>+(E67*'Maj Production Summ'!E$18)/1000</f>
        <v>151.3592059915857</v>
      </c>
      <c r="F59" s="170">
        <f>+SMS!F56</f>
        <v>140</v>
      </c>
      <c r="G59" s="5555">
        <f>+(G67*'Maj Production Summ'!G$18)/1000</f>
        <v>191.19235329148475</v>
      </c>
      <c r="H59" s="170">
        <f>+SMS!H56</f>
        <v>178</v>
      </c>
      <c r="I59" s="4693">
        <v>0</v>
      </c>
      <c r="J59" s="37">
        <f>+SMS!J56</f>
        <v>318</v>
      </c>
      <c r="K59" s="5671">
        <f>+(K67*'Maj Production Summ'!K$18)/1000</f>
        <v>185.28907723462677</v>
      </c>
      <c r="L59" s="170">
        <f>+SMS!L56</f>
        <v>105</v>
      </c>
      <c r="M59" s="6450">
        <v>0</v>
      </c>
      <c r="N59" s="67">
        <f>+SMS!N56</f>
        <v>423</v>
      </c>
      <c r="O59" s="5823">
        <f>+(O67*'Maj Production Summ'!O$18)/1000</f>
        <v>187.50280575594874</v>
      </c>
      <c r="P59" s="170">
        <f>+SMS!P56</f>
        <v>137</v>
      </c>
      <c r="Q59" s="4693">
        <v>0</v>
      </c>
      <c r="R59" s="37">
        <f>+SMS!R56</f>
        <v>560</v>
      </c>
      <c r="S59" s="5887">
        <f>+(S67*'Maj Production Summ'!S$18)/1000</f>
        <v>187.50280575594874</v>
      </c>
      <c r="T59" s="170">
        <f>+SMS!T56</f>
        <v>131</v>
      </c>
      <c r="U59" s="4693">
        <v>0</v>
      </c>
      <c r="V59" s="37">
        <f>+SMS!V56</f>
        <v>691</v>
      </c>
      <c r="W59" s="5994">
        <f>+(W67*'Maj Production Summ'!W$18)/1000</f>
        <v>98.4002327727503</v>
      </c>
      <c r="X59" s="170">
        <f>+SMS!X56</f>
        <v>129</v>
      </c>
      <c r="Y59" s="4684">
        <f t="shared" si="56"/>
        <v>473.4058442846478</v>
      </c>
      <c r="Z59" s="4684">
        <f t="shared" si="57"/>
        <v>397</v>
      </c>
      <c r="AA59" s="4721">
        <f t="shared" si="58"/>
        <v>473.4058442846478</v>
      </c>
      <c r="AB59" s="4721">
        <f t="shared" si="58"/>
        <v>820</v>
      </c>
      <c r="AC59" s="6122">
        <f>+(AC67*'Maj Production Summ'!AC$18)/1000</f>
        <v>191.19235329148475</v>
      </c>
      <c r="AD59" s="170">
        <f>+SMS!AD56</f>
        <v>94</v>
      </c>
      <c r="AE59" s="4693">
        <v>0</v>
      </c>
      <c r="AF59" s="37">
        <f>+SMS!AF56</f>
        <v>914</v>
      </c>
      <c r="AG59" s="6293">
        <f>+(AG67*'Maj Production Summ'!AG$18)/1000</f>
        <v>185.28907723462677</v>
      </c>
      <c r="AH59" s="170">
        <f>+SMS!AH56</f>
        <v>112</v>
      </c>
      <c r="AI59" s="6449">
        <v>0</v>
      </c>
      <c r="AJ59" s="37">
        <f>+SMS!AJ56</f>
        <v>1026</v>
      </c>
      <c r="AK59" s="6543">
        <f>+(AK67*'Maj Production Summ'!AK$18)/1000</f>
        <v>191.19235329148475</v>
      </c>
      <c r="AL59" s="170">
        <f>+SMS!AL56</f>
        <v>70</v>
      </c>
      <c r="AM59" s="4684">
        <f t="shared" si="59"/>
        <v>567.67378381759625</v>
      </c>
      <c r="AN59" s="4684">
        <f t="shared" si="60"/>
        <v>276</v>
      </c>
      <c r="AO59" s="4693">
        <v>0</v>
      </c>
      <c r="AP59" s="37">
        <f>+SMS!AP56</f>
        <v>1096</v>
      </c>
      <c r="AQ59" s="6637">
        <f>+(AQ67*'Maj Production Summ'!AQ$18)/1000</f>
        <v>194.14399131991382</v>
      </c>
      <c r="AR59" s="170">
        <f>+SMS!AR56</f>
        <v>88</v>
      </c>
      <c r="AS59" s="4693">
        <v>0</v>
      </c>
      <c r="AT59" s="37">
        <f>+SMS!AT56</f>
        <v>1184</v>
      </c>
      <c r="AU59" s="6871">
        <f>+(AU67*'Maj Production Summ'!AU$18)/1000</f>
        <v>173.48252512091122</v>
      </c>
      <c r="AV59" s="170">
        <f>+SMS!AV56</f>
        <v>143.714</v>
      </c>
      <c r="AW59" s="4693">
        <v>0</v>
      </c>
      <c r="AX59" s="37">
        <f>+SMS!AX56</f>
        <v>1327.7139999999999</v>
      </c>
      <c r="AY59" s="6951">
        <f>+(AY67*'Maj Production Summ'!AY$18)/1000</f>
        <v>194.14399131991382</v>
      </c>
      <c r="AZ59" s="170">
        <f>+SMS!AZ56</f>
        <v>122</v>
      </c>
      <c r="BA59" s="4684">
        <f t="shared" si="53"/>
        <v>561.77050776073884</v>
      </c>
      <c r="BB59" s="4684">
        <f t="shared" si="54"/>
        <v>353.714</v>
      </c>
      <c r="BC59" s="975">
        <f t="shared" si="61"/>
        <v>1129.4442915783352</v>
      </c>
      <c r="BD59" s="975">
        <f t="shared" si="62"/>
        <v>629.71399999999994</v>
      </c>
      <c r="BE59" s="4682">
        <f t="shared" si="55"/>
        <v>194.14399131991382</v>
      </c>
      <c r="BF59" s="4682">
        <f t="shared" si="55"/>
        <v>1449.7139999999999</v>
      </c>
      <c r="BG59" s="4722">
        <v>0</v>
      </c>
      <c r="BH59" s="4722">
        <v>1433</v>
      </c>
      <c r="BI59" s="4722">
        <v>0</v>
      </c>
      <c r="BJ59" s="4722">
        <v>1668.3050000000001</v>
      </c>
      <c r="BK59" s="4722">
        <v>0</v>
      </c>
      <c r="BL59" s="4722">
        <v>1122.0419999999999</v>
      </c>
      <c r="BM59" s="4722">
        <v>0</v>
      </c>
      <c r="BN59" s="1019">
        <v>968.33999999999992</v>
      </c>
      <c r="BO59" s="4705"/>
      <c r="BP59" s="2749"/>
      <c r="BQ59" s="1018"/>
      <c r="BR59" s="1678"/>
      <c r="BS59" s="1678"/>
    </row>
    <row r="60" spans="1:71" ht="19.5" customHeight="1" thickBot="1" x14ac:dyDescent="0.3">
      <c r="A60" s="789"/>
      <c r="B60" s="2762" t="s">
        <v>842</v>
      </c>
      <c r="C60" s="4723" t="s">
        <v>352</v>
      </c>
      <c r="D60" s="4696">
        <f>SUM(D58:D59)</f>
        <v>5713.73700840316</v>
      </c>
      <c r="E60" s="4696">
        <f>SUM(E58:E59)</f>
        <v>392.79316310023728</v>
      </c>
      <c r="F60" s="1061">
        <f t="shared" ref="F60:H60" si="63">SUM(F58:F59)</f>
        <v>549</v>
      </c>
      <c r="G60" s="5562">
        <f>SUM(G58:G59)</f>
        <v>496.16439725585792</v>
      </c>
      <c r="H60" s="1061">
        <f t="shared" si="63"/>
        <v>475</v>
      </c>
      <c r="I60" s="1958">
        <f t="shared" ref="I60:R60" si="64">SUM(I58:I59)</f>
        <v>546.40600107302487</v>
      </c>
      <c r="J60" s="1959">
        <f t="shared" si="64"/>
        <v>1024</v>
      </c>
      <c r="K60" s="5696">
        <f>SUM(K58:K59)</f>
        <v>480.84477094151237</v>
      </c>
      <c r="L60" s="1061">
        <f t="shared" ref="L60" si="65">SUM(L58:L59)</f>
        <v>510</v>
      </c>
      <c r="M60" s="1950">
        <f t="shared" si="64"/>
        <v>841.96169477991054</v>
      </c>
      <c r="N60" s="1951">
        <f t="shared" si="64"/>
        <v>1534</v>
      </c>
      <c r="O60" s="5827">
        <f>SUM(O58:O59)</f>
        <v>486.58963080939247</v>
      </c>
      <c r="P60" s="1061">
        <f t="shared" ref="P60" si="66">SUM(P58:P59)</f>
        <v>520</v>
      </c>
      <c r="Q60" s="1958">
        <f t="shared" si="64"/>
        <v>1141.0485198333542</v>
      </c>
      <c r="R60" s="1959">
        <f t="shared" si="64"/>
        <v>2054</v>
      </c>
      <c r="S60" s="5903">
        <f>SUM(S58:S59)</f>
        <v>486.58963080939247</v>
      </c>
      <c r="T60" s="1061">
        <f t="shared" ref="T60" si="67">SUM(T58:T59)</f>
        <v>431</v>
      </c>
      <c r="U60" s="1958">
        <f t="shared" ref="U60:V60" si="68">SUM(U58:U59)</f>
        <v>1440.1353448867978</v>
      </c>
      <c r="V60" s="1959">
        <f t="shared" si="68"/>
        <v>2485</v>
      </c>
      <c r="W60" s="5996">
        <f>SUM(W58:W59)</f>
        <v>255.35902112724409</v>
      </c>
      <c r="X60" s="1061">
        <f t="shared" ref="X60" si="69">SUM(X58:X59)</f>
        <v>422</v>
      </c>
      <c r="Y60" s="4724">
        <f t="shared" ref="Y60:AF60" si="70">SUM(Y58:Y59)</f>
        <v>1228.5382827460292</v>
      </c>
      <c r="Z60" s="4724">
        <f t="shared" si="70"/>
        <v>1373</v>
      </c>
      <c r="AA60" s="4725">
        <f t="shared" si="70"/>
        <v>2070.4999775259394</v>
      </c>
      <c r="AB60" s="4725">
        <f t="shared" si="70"/>
        <v>2907</v>
      </c>
      <c r="AC60" s="6127">
        <f>SUM(AC58:AC59)</f>
        <v>496.16439725585792</v>
      </c>
      <c r="AD60" s="1061">
        <f t="shared" ref="AD60" si="71">SUM(AD58:AD59)</f>
        <v>345</v>
      </c>
      <c r="AE60" s="1958">
        <f t="shared" si="70"/>
        <v>1902.0661772056649</v>
      </c>
      <c r="AF60" s="1959">
        <f t="shared" si="70"/>
        <v>3252</v>
      </c>
      <c r="AG60" s="6321">
        <f>SUM(AG58:AG59)</f>
        <v>480.84477094151237</v>
      </c>
      <c r="AH60" s="1061">
        <f t="shared" ref="AH60:AJ60" si="72">SUM(AH58:AH59)</f>
        <v>402</v>
      </c>
      <c r="AI60" s="1958">
        <f t="shared" si="72"/>
        <v>2197.6218709125505</v>
      </c>
      <c r="AJ60" s="1959">
        <f t="shared" si="72"/>
        <v>3654</v>
      </c>
      <c r="AK60" s="6559">
        <f>SUM(AK58:AK59)</f>
        <v>496.16439725585792</v>
      </c>
      <c r="AL60" s="1061">
        <f t="shared" ref="AL60" si="73">SUM(AL58:AL59)</f>
        <v>471.53</v>
      </c>
      <c r="AM60" s="4724">
        <f t="shared" ref="AM60:AN60" si="74">SUM(AM58:AM59)</f>
        <v>1473.1735654532281</v>
      </c>
      <c r="AN60" s="4724">
        <f t="shared" si="74"/>
        <v>1218.53</v>
      </c>
      <c r="AO60" s="1958">
        <f t="shared" ref="AO60:AT60" si="75">SUM(AO58:AO59)</f>
        <v>2502.5939148769239</v>
      </c>
      <c r="AP60" s="1959">
        <f t="shared" si="75"/>
        <v>4125.53</v>
      </c>
      <c r="AQ60" s="6660">
        <f>SUM(AQ58:AQ59)</f>
        <v>503.82421041303093</v>
      </c>
      <c r="AR60" s="1061">
        <f t="shared" ref="AR60" si="76">SUM(AR58:AR59)</f>
        <v>355.8</v>
      </c>
      <c r="AS60" s="1958">
        <f t="shared" si="75"/>
        <v>2812.274133970041</v>
      </c>
      <c r="AT60" s="1959">
        <f t="shared" si="75"/>
        <v>4481.33</v>
      </c>
      <c r="AU60" s="6875">
        <f>SUM(AU58:AU59)</f>
        <v>450.20551831282239</v>
      </c>
      <c r="AV60" s="1061">
        <f t="shared" ref="AV60" si="77">SUM(AV58:AV59)</f>
        <v>278.714</v>
      </c>
      <c r="AW60" s="1958">
        <f t="shared" ref="AW60:AX60" si="78">SUM(AW58:AW59)</f>
        <v>3088.997127161952</v>
      </c>
      <c r="AX60" s="1959">
        <f t="shared" si="78"/>
        <v>4760.0439999999999</v>
      </c>
      <c r="AY60" s="6968">
        <f>SUM(AY58:AY59)</f>
        <v>503.82421041303093</v>
      </c>
      <c r="AZ60" s="1061">
        <f t="shared" ref="AZ60" si="79">SUM(AZ58:AZ59)</f>
        <v>543</v>
      </c>
      <c r="BA60" s="4724">
        <f t="shared" ref="BA60:BD60" si="80">SUM(BA58:BA59)</f>
        <v>1457.8539391388842</v>
      </c>
      <c r="BB60" s="4724">
        <f t="shared" si="80"/>
        <v>1177.5139999999999</v>
      </c>
      <c r="BC60" s="4725">
        <f t="shared" si="80"/>
        <v>2931.0275045921126</v>
      </c>
      <c r="BD60" s="4725">
        <f t="shared" si="80"/>
        <v>2396.0439999999999</v>
      </c>
      <c r="BE60" s="4726">
        <f t="shared" ref="BE60:BF60" si="81">SUM(BE58:BE59)</f>
        <v>3592.8213375749829</v>
      </c>
      <c r="BF60" s="4726">
        <f t="shared" si="81"/>
        <v>5303.0439999999999</v>
      </c>
      <c r="BG60" s="4727">
        <v>4107.721698113206</v>
      </c>
      <c r="BH60" s="4727">
        <v>4655</v>
      </c>
      <c r="BI60" s="4727">
        <v>3385.0942571672449</v>
      </c>
      <c r="BJ60" s="4727">
        <v>6395.3050000000003</v>
      </c>
      <c r="BK60" s="4727">
        <v>4499.9999999999973</v>
      </c>
      <c r="BL60" s="4727">
        <v>5691.8819999999996</v>
      </c>
      <c r="BM60" s="4727">
        <v>6693.3528167707818</v>
      </c>
      <c r="BN60" s="1930">
        <v>5104.34</v>
      </c>
      <c r="BO60" s="4706"/>
      <c r="BP60" s="1929"/>
      <c r="BQ60" s="2622"/>
      <c r="BR60" s="1402"/>
      <c r="BS60" s="1402"/>
    </row>
    <row r="61" spans="1:71" ht="19.5" customHeight="1" thickBot="1" x14ac:dyDescent="0.3">
      <c r="A61" s="90"/>
      <c r="B61" s="2761" t="s">
        <v>84</v>
      </c>
      <c r="C61" s="4720" t="s">
        <v>352</v>
      </c>
      <c r="D61" s="4692">
        <f>+(D69*'Maj Production Summ'!D$18)/1000</f>
        <v>39108.92926621464</v>
      </c>
      <c r="E61" s="4692">
        <f>+(E69*'Maj Production Summ'!E$18)/1000</f>
        <v>2688.5591705301626</v>
      </c>
      <c r="F61" s="170">
        <f>+SMS!F58</f>
        <v>2872</v>
      </c>
      <c r="G61" s="5555">
        <f>+(G69*'Maj Production Summ'!G$18)/1000</f>
        <v>3396.106311535751</v>
      </c>
      <c r="H61" s="170">
        <f>+SMS!H58</f>
        <v>3570</v>
      </c>
      <c r="I61" s="4693">
        <f>+(I69*'Maj Production Summ'!I$18)/1000</f>
        <v>6084.6654820659132</v>
      </c>
      <c r="J61" s="37">
        <f>+SMS!J58</f>
        <v>6442</v>
      </c>
      <c r="K61" s="5671">
        <f>+(K69*'Maj Production Summ'!K$18)/1000</f>
        <v>3291.2477608129161</v>
      </c>
      <c r="L61" s="170">
        <f>+SMS!L58</f>
        <v>3768</v>
      </c>
      <c r="M61" s="6450">
        <f>+(M69*'Maj Production Summ'!M$18)/1000</f>
        <v>9375.9132428788307</v>
      </c>
      <c r="N61" s="67">
        <f>+SMS!N58</f>
        <v>10210</v>
      </c>
      <c r="O61" s="5823">
        <f>+(O69*'Maj Production Summ'!O$18)/1000</f>
        <v>3330.5697173339827</v>
      </c>
      <c r="P61" s="170">
        <f>+SMS!P58</f>
        <v>4098</v>
      </c>
      <c r="Q61" s="4693">
        <f>+(Q69*'Maj Production Summ'!Q$18)/1000</f>
        <v>12706.482960212814</v>
      </c>
      <c r="R61" s="37">
        <f>+SMS!R58</f>
        <v>14308</v>
      </c>
      <c r="S61" s="5887">
        <f>+(S69*'Maj Production Summ'!S$18)/1000</f>
        <v>3330.5697173339827</v>
      </c>
      <c r="T61" s="170">
        <f>+SMS!T58</f>
        <v>3587.02</v>
      </c>
      <c r="U61" s="4693">
        <f>+(U69*'Maj Production Summ'!U$18)/1000</f>
        <v>16037.052677546797</v>
      </c>
      <c r="V61" s="37">
        <f>+SMS!V58</f>
        <v>17895.02</v>
      </c>
      <c r="W61" s="5994">
        <f>+(W69*'Maj Production Summ'!W$18)/1000</f>
        <v>1747.8609673612286</v>
      </c>
      <c r="X61" s="170">
        <f>+SMS!X58</f>
        <v>3011.1099999999997</v>
      </c>
      <c r="Y61" s="4684">
        <f t="shared" si="56"/>
        <v>8409.0004020291944</v>
      </c>
      <c r="Z61" s="4684">
        <f t="shared" si="57"/>
        <v>10696.130000000001</v>
      </c>
      <c r="AA61" s="4721">
        <f t="shared" si="58"/>
        <v>17784.913644908025</v>
      </c>
      <c r="AB61" s="4721">
        <f t="shared" si="58"/>
        <v>20906.13</v>
      </c>
      <c r="AC61" s="6122">
        <f>+(AC69*'Maj Production Summ'!AC$18)/1000</f>
        <v>3396.106311535751</v>
      </c>
      <c r="AD61" s="170">
        <f>+SMS!AD58</f>
        <v>2470</v>
      </c>
      <c r="AE61" s="4693">
        <f>+(AE69*'Maj Production Summ'!AE$18)/1000</f>
        <v>21181.019956443772</v>
      </c>
      <c r="AF61" s="37">
        <f>+SMS!AF58</f>
        <v>23376.129999999997</v>
      </c>
      <c r="AG61" s="6293">
        <f>+(AG69*'Maj Production Summ'!AG$18)/1000</f>
        <v>3291.2477608129161</v>
      </c>
      <c r="AH61" s="170">
        <f>+SMS!AH58</f>
        <v>2814</v>
      </c>
      <c r="AI61" s="6449">
        <f>+(AI69*'Maj Production Summ'!AI$18)/1000</f>
        <v>24472.267717256691</v>
      </c>
      <c r="AJ61" s="37">
        <f>+SMS!AJ58</f>
        <v>26190.129999999997</v>
      </c>
      <c r="AK61" s="6543">
        <f>+(AK69*'Maj Production Summ'!AK$18)/1000</f>
        <v>3396.106311535751</v>
      </c>
      <c r="AL61" s="170">
        <f>+SMS!AL58</f>
        <v>3092</v>
      </c>
      <c r="AM61" s="4684">
        <f t="shared" ref="AM61" si="82">+AC61+AG61+AK61</f>
        <v>10083.46038388442</v>
      </c>
      <c r="AN61" s="4684">
        <f t="shared" ref="AN61" si="83">+AD61+AH61+AL61</f>
        <v>8376</v>
      </c>
      <c r="AO61" s="4693">
        <f>+(AO69*'Maj Production Summ'!AO$18)/1000</f>
        <v>27868.374028792445</v>
      </c>
      <c r="AP61" s="37">
        <f>+SMS!AP58</f>
        <v>29282.129999999997</v>
      </c>
      <c r="AQ61" s="6637">
        <f>+(AQ69*'Maj Production Summ'!AQ$18)/1000</f>
        <v>3448.5355868971697</v>
      </c>
      <c r="AR61" s="170">
        <f>+SMS!AR58</f>
        <v>3008</v>
      </c>
      <c r="AS61" s="4693">
        <f>+(AS69*'Maj Production Summ'!AS$18)/1000</f>
        <v>31316.909615689612</v>
      </c>
      <c r="AT61" s="37">
        <f>+SMS!AT58</f>
        <v>32290.129999999997</v>
      </c>
      <c r="AU61" s="6871">
        <f>+(AU69*'Maj Production Summ'!AU$18)/1000</f>
        <v>3081.530659367254</v>
      </c>
      <c r="AV61" s="170">
        <f>+SMS!AV58</f>
        <v>2409</v>
      </c>
      <c r="AW61" s="4693">
        <f>+(AW69*'Maj Production Summ'!AW$18)/1000</f>
        <v>34398.44027505687</v>
      </c>
      <c r="AX61" s="37">
        <f>+SMS!AX58</f>
        <v>34699.129999999997</v>
      </c>
      <c r="AY61" s="6951">
        <f>+(AY69*'Maj Production Summ'!AY$18)/1000</f>
        <v>3448.5355868971697</v>
      </c>
      <c r="AZ61" s="170">
        <f>+SMS!AZ58</f>
        <v>3289</v>
      </c>
      <c r="BA61" s="4684">
        <f>+AQ61+AU61+AY61</f>
        <v>9978.6018331615924</v>
      </c>
      <c r="BB61" s="4684">
        <f>+AR61+AV61+AZ61</f>
        <v>8706</v>
      </c>
      <c r="BC61" s="975">
        <f t="shared" si="61"/>
        <v>20062.062217046012</v>
      </c>
      <c r="BD61" s="975">
        <f t="shared" si="62"/>
        <v>17082</v>
      </c>
      <c r="BE61" s="4682">
        <f>+AW61+AY61</f>
        <v>37846.975861954037</v>
      </c>
      <c r="BF61" s="4682">
        <f>+AX61+AZ61</f>
        <v>37988.129999999997</v>
      </c>
      <c r="BG61" s="4722">
        <v>45682.844339622636</v>
      </c>
      <c r="BH61" s="4722">
        <v>39439.440000000002</v>
      </c>
      <c r="BI61" s="4722">
        <v>44076.080225204008</v>
      </c>
      <c r="BJ61" s="4722">
        <v>45680</v>
      </c>
      <c r="BK61" s="4722">
        <v>39999.999999999971</v>
      </c>
      <c r="BL61" s="4722">
        <v>44647.62</v>
      </c>
      <c r="BM61" s="4722">
        <v>42007.865963932476</v>
      </c>
      <c r="BN61" s="1019">
        <v>36347</v>
      </c>
      <c r="BO61" s="4705"/>
      <c r="BP61" s="2749"/>
      <c r="BQ61" s="1018"/>
      <c r="BR61" s="1678"/>
      <c r="BS61" s="1678"/>
    </row>
    <row r="62" spans="1:71" ht="18.75" customHeight="1" x14ac:dyDescent="0.25">
      <c r="A62" s="90"/>
      <c r="B62" s="2761" t="s">
        <v>1489</v>
      </c>
      <c r="C62" s="4720" t="s">
        <v>352</v>
      </c>
      <c r="D62" s="4692"/>
      <c r="E62" s="4692"/>
      <c r="F62" s="170">
        <f>+SMS!F59</f>
        <v>0</v>
      </c>
      <c r="G62" s="5555"/>
      <c r="H62" s="170">
        <f>+SMS!H59</f>
        <v>0</v>
      </c>
      <c r="I62" s="4693"/>
      <c r="J62" s="37">
        <f>+SMS!J59</f>
        <v>0</v>
      </c>
      <c r="K62" s="5671"/>
      <c r="L62" s="170">
        <f>+SMS!L59</f>
        <v>0</v>
      </c>
      <c r="M62" s="6450"/>
      <c r="N62" s="67">
        <f>+SMS!N59</f>
        <v>0</v>
      </c>
      <c r="O62" s="5823"/>
      <c r="P62" s="170">
        <f>+SMS!P59</f>
        <v>0</v>
      </c>
      <c r="Q62" s="4693"/>
      <c r="R62" s="37">
        <f>+SMS!R59</f>
        <v>0</v>
      </c>
      <c r="S62" s="5887"/>
      <c r="T62" s="170">
        <f>+SMS!T59</f>
        <v>0</v>
      </c>
      <c r="U62" s="4693"/>
      <c r="V62" s="37">
        <f>+SMS!V59</f>
        <v>0</v>
      </c>
      <c r="W62" s="5994"/>
      <c r="X62" s="170">
        <f>+SMS!X59</f>
        <v>0</v>
      </c>
      <c r="Y62" s="4684"/>
      <c r="Z62" s="4684">
        <f>P62+T62+X62</f>
        <v>0</v>
      </c>
      <c r="AA62" s="4721"/>
      <c r="AB62" s="4721">
        <f t="shared" si="58"/>
        <v>0</v>
      </c>
      <c r="AC62" s="6122"/>
      <c r="AD62" s="170">
        <f>+SMS!AD59</f>
        <v>0</v>
      </c>
      <c r="AE62" s="4693"/>
      <c r="AF62" s="37">
        <f>+SMS!AF59</f>
        <v>0</v>
      </c>
      <c r="AG62" s="6293"/>
      <c r="AH62" s="170">
        <f>+SMS!AH59</f>
        <v>0</v>
      </c>
      <c r="AI62" s="6449"/>
      <c r="AJ62" s="37">
        <f>+SMS!AJ59</f>
        <v>0</v>
      </c>
      <c r="AK62" s="6543"/>
      <c r="AL62" s="170">
        <f>+SMS!AL59</f>
        <v>0</v>
      </c>
      <c r="AM62" s="4684"/>
      <c r="AN62" s="4684">
        <f>AD62+AH62+AL62</f>
        <v>0</v>
      </c>
      <c r="AO62" s="4693"/>
      <c r="AP62" s="37">
        <f>+SMS!AP59</f>
        <v>0</v>
      </c>
      <c r="AQ62" s="6637"/>
      <c r="AR62" s="170">
        <f>+SMS!AR59</f>
        <v>0</v>
      </c>
      <c r="AS62" s="4693"/>
      <c r="AT62" s="37">
        <f>+SMS!AT59</f>
        <v>0</v>
      </c>
      <c r="AU62" s="6871"/>
      <c r="AV62" s="170">
        <f>+SMS!AV59</f>
        <v>0</v>
      </c>
      <c r="AW62" s="4693"/>
      <c r="AX62" s="37">
        <f>+SMS!AX59</f>
        <v>0</v>
      </c>
      <c r="AY62" s="6951"/>
      <c r="AZ62" s="170">
        <f>+SMS!AZ59</f>
        <v>0</v>
      </c>
      <c r="BA62" s="4684"/>
      <c r="BB62" s="4684">
        <f>+SMS!BB59</f>
        <v>0</v>
      </c>
      <c r="BC62" s="975"/>
      <c r="BD62" s="975">
        <f>+SMS!BD59</f>
        <v>0</v>
      </c>
      <c r="BE62" s="4682"/>
      <c r="BF62" s="4682">
        <f>+SMS!BF59</f>
        <v>0</v>
      </c>
      <c r="BG62" s="4722"/>
      <c r="BH62" s="4722">
        <v>0</v>
      </c>
      <c r="BI62" s="4722"/>
      <c r="BJ62" s="4722">
        <v>25.81</v>
      </c>
      <c r="BK62" s="4722"/>
      <c r="BL62" s="4722"/>
      <c r="BM62" s="4722"/>
      <c r="BN62" s="1019"/>
      <c r="BO62" s="4705"/>
      <c r="BP62" s="2749"/>
      <c r="BQ62" s="1018"/>
      <c r="BR62" s="1678"/>
      <c r="BS62" s="1678"/>
    </row>
    <row r="63" spans="1:71" ht="18.75" customHeight="1" x14ac:dyDescent="0.25">
      <c r="A63" s="789"/>
      <c r="B63" s="2762" t="s">
        <v>1490</v>
      </c>
      <c r="C63" s="4720" t="s">
        <v>352</v>
      </c>
      <c r="D63" s="4697">
        <f>SUM(D61:D62)</f>
        <v>39108.92926621464</v>
      </c>
      <c r="E63" s="4697">
        <f>SUM(E61:E62)</f>
        <v>2688.5591705301626</v>
      </c>
      <c r="F63" s="1061">
        <f>SUM(F61:F62)</f>
        <v>2872</v>
      </c>
      <c r="G63" s="5563">
        <f>SUM(G61:G62)</f>
        <v>3396.106311535751</v>
      </c>
      <c r="H63" s="1061">
        <f>SUM(H61:H62)</f>
        <v>3570</v>
      </c>
      <c r="I63" s="1958">
        <f t="shared" ref="I63:R63" si="84">SUM(I61:I62)</f>
        <v>6084.6654820659132</v>
      </c>
      <c r="J63" s="1959">
        <f t="shared" si="84"/>
        <v>6442</v>
      </c>
      <c r="K63" s="5694">
        <f>SUM(K61:K62)</f>
        <v>3291.2477608129161</v>
      </c>
      <c r="L63" s="1061">
        <f>SUM(L61:L62)</f>
        <v>3768</v>
      </c>
      <c r="M63" s="1950">
        <f t="shared" si="84"/>
        <v>9375.9132428788307</v>
      </c>
      <c r="N63" s="1951">
        <f t="shared" si="84"/>
        <v>10210</v>
      </c>
      <c r="O63" s="5826">
        <f>SUM(O61:O62)</f>
        <v>3330.5697173339827</v>
      </c>
      <c r="P63" s="1061">
        <f>SUM(P61:P62)</f>
        <v>4098</v>
      </c>
      <c r="Q63" s="1958">
        <f t="shared" si="84"/>
        <v>12706.482960212814</v>
      </c>
      <c r="R63" s="1959">
        <f t="shared" si="84"/>
        <v>14308</v>
      </c>
      <c r="S63" s="5901">
        <f>SUM(S61:S62)</f>
        <v>3330.5697173339827</v>
      </c>
      <c r="T63" s="1061">
        <f>SUM(T61:T62)</f>
        <v>3587.02</v>
      </c>
      <c r="U63" s="1958">
        <f t="shared" ref="U63:V63" si="85">SUM(U61:U62)</f>
        <v>16037.052677546797</v>
      </c>
      <c r="V63" s="1959">
        <f t="shared" si="85"/>
        <v>17895.02</v>
      </c>
      <c r="W63" s="5998">
        <f>SUM(W61:W62)</f>
        <v>1747.8609673612286</v>
      </c>
      <c r="X63" s="1061">
        <f>SUM(X61:X62)</f>
        <v>3011.1099999999997</v>
      </c>
      <c r="Y63" s="4724">
        <f t="shared" ref="Y63:AB63" si="86">SUM(Y61:Y62)</f>
        <v>8409.0004020291944</v>
      </c>
      <c r="Z63" s="4724">
        <f t="shared" si="86"/>
        <v>10696.130000000001</v>
      </c>
      <c r="AA63" s="4725">
        <f t="shared" si="86"/>
        <v>17784.913644908025</v>
      </c>
      <c r="AB63" s="4725">
        <f t="shared" si="86"/>
        <v>20906.13</v>
      </c>
      <c r="AC63" s="6129">
        <f>SUM(AC61:AC62)</f>
        <v>3396.106311535751</v>
      </c>
      <c r="AD63" s="1061">
        <f>SUM(AD61:AD62)</f>
        <v>2470</v>
      </c>
      <c r="AE63" s="1958">
        <f t="shared" ref="AE63:AF63" si="87">SUM(AE61:AE62)</f>
        <v>21181.019956443772</v>
      </c>
      <c r="AF63" s="1959">
        <f t="shared" si="87"/>
        <v>23376.129999999997</v>
      </c>
      <c r="AG63" s="6323">
        <f>SUM(AG61:AG62)</f>
        <v>3291.2477608129161</v>
      </c>
      <c r="AH63" s="1061">
        <f>SUM(AH61:AH62)</f>
        <v>2814</v>
      </c>
      <c r="AI63" s="1958">
        <f t="shared" ref="AI63:AJ63" si="88">SUM(AI61:AI62)</f>
        <v>24472.267717256691</v>
      </c>
      <c r="AJ63" s="1959">
        <f t="shared" si="88"/>
        <v>26190.129999999997</v>
      </c>
      <c r="AK63" s="6558">
        <f>SUM(AK61:AK62)</f>
        <v>3396.106311535751</v>
      </c>
      <c r="AL63" s="1061">
        <f>SUM(AL61:AL62)</f>
        <v>3092</v>
      </c>
      <c r="AM63" s="4724">
        <f>SUM(AM61:AM62)</f>
        <v>10083.46038388442</v>
      </c>
      <c r="AN63" s="4724">
        <f>SUM(AN61:AN62)</f>
        <v>8376</v>
      </c>
      <c r="AO63" s="1958">
        <f t="shared" ref="AO63:AT63" si="89">SUM(AO61:AO62)</f>
        <v>27868.374028792445</v>
      </c>
      <c r="AP63" s="1959">
        <f t="shared" si="89"/>
        <v>29282.129999999997</v>
      </c>
      <c r="AQ63" s="6659">
        <f>SUM(AQ61:AQ62)</f>
        <v>3448.5355868971697</v>
      </c>
      <c r="AR63" s="1061">
        <f>SUM(AR61:AR62)</f>
        <v>3008</v>
      </c>
      <c r="AS63" s="1958">
        <f t="shared" si="89"/>
        <v>31316.909615689612</v>
      </c>
      <c r="AT63" s="1959">
        <f t="shared" si="89"/>
        <v>32290.129999999997</v>
      </c>
      <c r="AU63" s="6874">
        <f>SUM(AU61:AU62)</f>
        <v>3081.530659367254</v>
      </c>
      <c r="AV63" s="1061">
        <f>SUM(AV61:AV62)</f>
        <v>2409</v>
      </c>
      <c r="AW63" s="1958">
        <f t="shared" ref="AW63:AX63" si="90">SUM(AW61:AW62)</f>
        <v>34398.44027505687</v>
      </c>
      <c r="AX63" s="1959">
        <f t="shared" si="90"/>
        <v>34699.129999999997</v>
      </c>
      <c r="AY63" s="6967">
        <f>SUM(AY61:AY62)</f>
        <v>3448.5355868971697</v>
      </c>
      <c r="AZ63" s="1061">
        <f>SUM(AZ61:AZ62)</f>
        <v>3289</v>
      </c>
      <c r="BA63" s="4724">
        <f t="shared" ref="BA63:BF63" si="91">SUM(BA61:BA62)</f>
        <v>9978.6018331615924</v>
      </c>
      <c r="BB63" s="4724">
        <f t="shared" si="91"/>
        <v>8706</v>
      </c>
      <c r="BC63" s="4725">
        <f t="shared" si="91"/>
        <v>20062.062217046012</v>
      </c>
      <c r="BD63" s="4725">
        <f t="shared" si="91"/>
        <v>17082</v>
      </c>
      <c r="BE63" s="4726">
        <f t="shared" si="91"/>
        <v>37846.975861954037</v>
      </c>
      <c r="BF63" s="4726">
        <f t="shared" si="91"/>
        <v>37988.129999999997</v>
      </c>
      <c r="BG63" s="4727">
        <v>45682.844339622636</v>
      </c>
      <c r="BH63" s="4727">
        <v>39439.440000000002</v>
      </c>
      <c r="BI63" s="4727">
        <v>44076.080225204008</v>
      </c>
      <c r="BJ63" s="4727">
        <v>45705.81</v>
      </c>
      <c r="BK63" s="4727"/>
      <c r="BL63" s="4727"/>
      <c r="BM63" s="4727"/>
      <c r="BN63" s="1930"/>
      <c r="BO63" s="4706"/>
      <c r="BP63" s="1929"/>
      <c r="BQ63" s="2622"/>
      <c r="BR63" s="1402"/>
      <c r="BS63" s="1402"/>
    </row>
    <row r="64" spans="1:71" ht="18.75" customHeight="1" x14ac:dyDescent="0.25">
      <c r="A64" s="90"/>
      <c r="B64" s="2762" t="s">
        <v>85</v>
      </c>
      <c r="C64" s="4723" t="s">
        <v>352</v>
      </c>
      <c r="D64" s="4697">
        <f>+(D72*'Maj Production Summ'!D$18)/1000</f>
        <v>6016.890625934102</v>
      </c>
      <c r="E64" s="4697">
        <f>+(E72*'Maj Production Summ'!E$18)/1000</f>
        <v>413.63358122941139</v>
      </c>
      <c r="F64" s="1061">
        <f>+SMS!F61</f>
        <v>482</v>
      </c>
      <c r="G64" s="5563">
        <f>+(G72*'Maj Production Summ'!G$18)/1000</f>
        <v>522.48938065935715</v>
      </c>
      <c r="H64" s="1061">
        <f>+SMS!H61</f>
        <v>551</v>
      </c>
      <c r="I64" s="1958">
        <f>+(I72*'Maj Production Summ'!I$18)/1000</f>
        <v>936.1229618887686</v>
      </c>
      <c r="J64" s="1959">
        <f>+SMS!J61</f>
        <v>1033</v>
      </c>
      <c r="K64" s="5694">
        <f>+(K72*'Maj Production Summ'!K$18)/1000</f>
        <v>506.35694127195876</v>
      </c>
      <c r="L64" s="1061">
        <f>+SMS!L61</f>
        <v>526.21</v>
      </c>
      <c r="M64" s="1950">
        <f>+(M72*'Maj Production Summ'!M$18)/1000</f>
        <v>1442.4799031607276</v>
      </c>
      <c r="N64" s="1951">
        <f>+SMS!N61</f>
        <v>1559.21</v>
      </c>
      <c r="O64" s="5826">
        <f>+(O72*'Maj Production Summ'!O$18)/1000</f>
        <v>512.40660604223365</v>
      </c>
      <c r="P64" s="1061">
        <f>+SMS!P61</f>
        <v>485.89400000000001</v>
      </c>
      <c r="Q64" s="1958">
        <f>+(Q72*'Maj Production Summ'!Q$18)/1000</f>
        <v>1954.8865092029612</v>
      </c>
      <c r="R64" s="1959">
        <f>+SMS!R61</f>
        <v>2045.104</v>
      </c>
      <c r="S64" s="5901">
        <f>+(S72*'Maj Production Summ'!S$18)/1000</f>
        <v>512.40660604223365</v>
      </c>
      <c r="T64" s="1061">
        <f>+SMS!T61</f>
        <v>516</v>
      </c>
      <c r="U64" s="1958">
        <f>+(U72*'Maj Production Summ'!U$18)/1000</f>
        <v>2467.2931152451952</v>
      </c>
      <c r="V64" s="1959">
        <f>+SMS!V61</f>
        <v>2561.1040000000003</v>
      </c>
      <c r="W64" s="5998">
        <f>+(W72*'Maj Production Summ'!W$18)/1000</f>
        <v>268.90759903869383</v>
      </c>
      <c r="X64" s="1061">
        <f>+SMS!X61</f>
        <v>481</v>
      </c>
      <c r="Y64" s="4724">
        <f t="shared" si="56"/>
        <v>1293.7208111231612</v>
      </c>
      <c r="Z64" s="4724">
        <f t="shared" si="57"/>
        <v>1482.894</v>
      </c>
      <c r="AA64" s="4725">
        <f t="shared" si="58"/>
        <v>2736.2007142838888</v>
      </c>
      <c r="AB64" s="4725">
        <f t="shared" si="58"/>
        <v>3042.1040000000003</v>
      </c>
      <c r="AC64" s="6129">
        <f>+(AC72*'Maj Production Summ'!AC$18)/1000</f>
        <v>522.48938065935715</v>
      </c>
      <c r="AD64" s="1061">
        <f>+SMS!AD61</f>
        <v>387</v>
      </c>
      <c r="AE64" s="1958">
        <f>+(AE72*'Maj Production Summ'!AE$18)/1000</f>
        <v>3258.6900949432452</v>
      </c>
      <c r="AF64" s="1959">
        <f>+SMS!AF61</f>
        <v>3429.1040000000003</v>
      </c>
      <c r="AG64" s="6323">
        <f>+(AG72*'Maj Production Summ'!AG$18)/1000</f>
        <v>506.35694127195876</v>
      </c>
      <c r="AH64" s="1061">
        <f>+SMS!AH61</f>
        <v>503</v>
      </c>
      <c r="AI64" s="1958">
        <f>+(AI72*'Maj Production Summ'!AI$18)/1000</f>
        <v>3765.0470362152041</v>
      </c>
      <c r="AJ64" s="1959">
        <f>+SMS!AJ61</f>
        <v>3932.1040000000003</v>
      </c>
      <c r="AK64" s="6558">
        <f>+(AK72*'Maj Production Summ'!AK$18)/1000</f>
        <v>522.48938065935715</v>
      </c>
      <c r="AL64" s="1061">
        <f>+SMS!AL61</f>
        <v>537</v>
      </c>
      <c r="AM64" s="4724">
        <f t="shared" ref="AM64" si="92">+AC64+AG64+AK64</f>
        <v>1551.335702590673</v>
      </c>
      <c r="AN64" s="4724">
        <f t="shared" ref="AN64" si="93">+AD64+AH64+AL64</f>
        <v>1427</v>
      </c>
      <c r="AO64" s="1958">
        <f>+(AO72*'Maj Production Summ'!AO$18)/1000</f>
        <v>4287.5364168745618</v>
      </c>
      <c r="AP64" s="1959">
        <f>+SMS!AP61</f>
        <v>4469.1040000000003</v>
      </c>
      <c r="AQ64" s="6659">
        <f>+(AQ72*'Maj Production Summ'!AQ$18)/1000</f>
        <v>530.55560035305655</v>
      </c>
      <c r="AR64" s="1061">
        <f>+SMS!AR61</f>
        <v>559</v>
      </c>
      <c r="AS64" s="1958">
        <f>+(AS72*'Maj Production Summ'!AS$18)/1000</f>
        <v>4818.0920172276192</v>
      </c>
      <c r="AT64" s="1959">
        <f>+SMS!AT61</f>
        <v>5028.1040000000003</v>
      </c>
      <c r="AU64" s="6874">
        <f>+(AU72*'Maj Production Summ'!AU$18)/1000</f>
        <v>474.09206249716306</v>
      </c>
      <c r="AV64" s="1061">
        <f>+SMS!AV61</f>
        <v>418</v>
      </c>
      <c r="AW64" s="1958">
        <f>+(AW72*'Maj Production Summ'!AW$18)/1000</f>
        <v>5292.1840797247824</v>
      </c>
      <c r="AX64" s="1959">
        <f>+SMS!AX61</f>
        <v>5446.1040000000003</v>
      </c>
      <c r="AY64" s="6967">
        <f>+(AY72*'Maj Production Summ'!AY$18)/1000</f>
        <v>530.55560035305655</v>
      </c>
      <c r="AZ64" s="1061">
        <f>+SMS!AZ61</f>
        <v>487</v>
      </c>
      <c r="BA64" s="4724">
        <f>+AQ64+AU64+AY64</f>
        <v>1535.203263203276</v>
      </c>
      <c r="BB64" s="4724">
        <f>+AR64+AV64+AZ64</f>
        <v>1464</v>
      </c>
      <c r="BC64" s="4725">
        <f t="shared" si="61"/>
        <v>3086.538965793949</v>
      </c>
      <c r="BD64" s="4725">
        <f t="shared" si="62"/>
        <v>2891</v>
      </c>
      <c r="BE64" s="4726">
        <f>+AW64+AY64</f>
        <v>5822.7396800778388</v>
      </c>
      <c r="BF64" s="4726">
        <f>+AX64+AZ64</f>
        <v>5933.1040000000003</v>
      </c>
      <c r="BG64" s="4722">
        <v>5352.4858490566021</v>
      </c>
      <c r="BH64" s="4722">
        <v>5627.4070000000002</v>
      </c>
      <c r="BI64" s="4722">
        <v>7386.6389028388803</v>
      </c>
      <c r="BJ64" s="4722">
        <v>5310</v>
      </c>
      <c r="BK64" s="4722">
        <v>7999.9999999999945</v>
      </c>
      <c r="BL64" s="4722">
        <v>5205.8899999999994</v>
      </c>
      <c r="BM64" s="4722">
        <v>7796.1924189528136</v>
      </c>
      <c r="BN64" s="1019">
        <v>5192</v>
      </c>
      <c r="BO64" s="4705"/>
      <c r="BP64" s="2749"/>
      <c r="BQ64" s="1018"/>
      <c r="BR64" s="1678"/>
      <c r="BS64" s="1678"/>
    </row>
    <row r="65" spans="1:71" ht="19.5" thickBot="1" x14ac:dyDescent="0.3">
      <c r="A65" s="144"/>
      <c r="B65" s="2763" t="s">
        <v>1608</v>
      </c>
      <c r="C65" s="4728"/>
      <c r="D65" s="4729"/>
      <c r="E65" s="1254"/>
      <c r="F65" s="4534"/>
      <c r="G65" s="1254"/>
      <c r="H65" s="4534"/>
      <c r="I65" s="1254"/>
      <c r="J65" s="4534"/>
      <c r="K65" s="1254"/>
      <c r="L65" s="4534"/>
      <c r="M65" s="6507"/>
      <c r="N65" s="6508"/>
      <c r="O65" s="1254"/>
      <c r="P65" s="4534"/>
      <c r="Q65" s="1254"/>
      <c r="R65" s="4534"/>
      <c r="S65" s="1254"/>
      <c r="T65" s="4534"/>
      <c r="U65" s="1254"/>
      <c r="V65" s="4534"/>
      <c r="W65" s="1254"/>
      <c r="X65" s="4534"/>
      <c r="Y65" s="6509"/>
      <c r="Z65" s="6509"/>
      <c r="AA65" s="6512"/>
      <c r="AB65" s="6512"/>
      <c r="AC65" s="1254"/>
      <c r="AD65" s="4534"/>
      <c r="AE65" s="1254"/>
      <c r="AF65" s="4534"/>
      <c r="AG65" s="1254"/>
      <c r="AH65" s="4534"/>
      <c r="AI65" s="6514"/>
      <c r="AJ65" s="6515"/>
      <c r="AK65" s="1254"/>
      <c r="AL65" s="4534"/>
      <c r="AM65" s="4730"/>
      <c r="AN65" s="4730"/>
      <c r="AO65" s="1254"/>
      <c r="AP65" s="4534"/>
      <c r="AQ65" s="1254"/>
      <c r="AR65" s="4534"/>
      <c r="AS65" s="1254"/>
      <c r="AT65" s="4534"/>
      <c r="AU65" s="1254"/>
      <c r="AV65" s="4534"/>
      <c r="AW65" s="1254"/>
      <c r="AX65" s="4534"/>
      <c r="AY65" s="1254"/>
      <c r="AZ65" s="4534"/>
      <c r="BA65" s="4730"/>
      <c r="BB65" s="4730"/>
      <c r="BC65" s="4730"/>
      <c r="BD65" s="4730"/>
      <c r="BE65" s="4730"/>
      <c r="BF65" s="4730"/>
      <c r="BG65" s="4730"/>
      <c r="BH65" s="4730"/>
      <c r="BI65" s="4730"/>
      <c r="BJ65" s="4730"/>
      <c r="BK65" s="4730"/>
      <c r="BL65" s="4730"/>
      <c r="BM65" s="4731"/>
      <c r="BN65" s="4732"/>
      <c r="BO65" s="4707"/>
      <c r="BP65" s="2759"/>
      <c r="BQ65" s="2623"/>
      <c r="BR65" s="1680"/>
      <c r="BS65" s="1680"/>
    </row>
    <row r="66" spans="1:71" ht="19.5" thickBot="1" x14ac:dyDescent="0.3">
      <c r="A66" s="90"/>
      <c r="B66" s="2761" t="s">
        <v>83</v>
      </c>
      <c r="C66" s="4720" t="s">
        <v>507</v>
      </c>
      <c r="D66" s="4733">
        <v>1.2464893653348954</v>
      </c>
      <c r="E66" s="721">
        <f>+$D$66</f>
        <v>1.2464893653348954</v>
      </c>
      <c r="F66" s="79">
        <f>+(F58/'Maj Production Summ'!F$18)*1000</f>
        <v>1.83222384489262</v>
      </c>
      <c r="G66" s="721">
        <f>+$D$66</f>
        <v>1.2464893653348954</v>
      </c>
      <c r="H66" s="79">
        <f>+(H58/'Maj Production Summ'!H$18)*1000</f>
        <v>1.255081601433413</v>
      </c>
      <c r="I66" s="51">
        <f t="shared" ref="I66" si="94">+$D$66</f>
        <v>1.2464893653348954</v>
      </c>
      <c r="J66" s="3183">
        <f>+(J58/'Maj Production Summ'!J$18)*1000</f>
        <v>1.5352365047057392</v>
      </c>
      <c r="K66" s="721">
        <f>+$D$66</f>
        <v>1.2464893653348954</v>
      </c>
      <c r="L66" s="79">
        <f>+(L58/'Maj Production Summ'!L$18)*1000</f>
        <v>1.6635654520585081</v>
      </c>
      <c r="M66" s="75">
        <f t="shared" ref="M66" si="95">+$D$66</f>
        <v>1.2464893653348954</v>
      </c>
      <c r="N66" s="109">
        <f>+(N58/'Maj Production Summ'!N$18)*1000</f>
        <v>1.5796575370707659</v>
      </c>
      <c r="O66" s="721">
        <f>+$D$66</f>
        <v>1.2464893653348954</v>
      </c>
      <c r="P66" s="79">
        <f>+(P58/'Maj Production Summ'!P$18)*1000</f>
        <v>1.5098832304405074</v>
      </c>
      <c r="Q66" s="51">
        <f t="shared" ref="Q66" si="96">+$D$66</f>
        <v>1.2464893653348954</v>
      </c>
      <c r="R66" s="103">
        <f>+(R58/'Maj Production Summ'!R$18)*1000</f>
        <v>1.5611627841363291</v>
      </c>
      <c r="S66" s="721">
        <f>+$D$66</f>
        <v>1.2464893653348954</v>
      </c>
      <c r="T66" s="79">
        <f>+(T58/'Maj Production Summ'!T$18)*1000</f>
        <v>1.2625093636111133</v>
      </c>
      <c r="U66" s="51">
        <f t="shared" ref="U66" si="97">+$D$66</f>
        <v>1.2464893653348954</v>
      </c>
      <c r="V66" s="103">
        <f>+(V58/'Maj Production Summ'!V$18)*1000</f>
        <v>1.5017566534767677</v>
      </c>
      <c r="W66" s="721">
        <f>+$D$66</f>
        <v>1.2464893653348954</v>
      </c>
      <c r="X66" s="79">
        <f>+(X58/'Maj Production Summ'!X$18)*1000</f>
        <v>1.2916194615754231</v>
      </c>
      <c r="Y66" s="4734">
        <f>+$D$66</f>
        <v>1.2464893653348954</v>
      </c>
      <c r="Z66" s="4734">
        <f>+(Z58/'Maj Production Summ'!Z$18)*1000</f>
        <v>1.3590835098331639</v>
      </c>
      <c r="AA66" s="4735">
        <f>+$D$66</f>
        <v>1.2464893653348954</v>
      </c>
      <c r="AB66" s="4735">
        <f>+(AB58/'Maj Production Summ'!AB$18)*1000</f>
        <v>1.4682211378819343</v>
      </c>
      <c r="AC66" s="721">
        <f>+$D$66</f>
        <v>1.2464893653348954</v>
      </c>
      <c r="AD66" s="79">
        <f>+(AD58/'Maj Production Summ'!AD$18)*1000</f>
        <v>1.4006618266639137</v>
      </c>
      <c r="AE66" s="51">
        <f t="shared" ref="AE66" si="98">+$D$66</f>
        <v>1.2464893653348954</v>
      </c>
      <c r="AF66" s="103">
        <f>+(AF58/'Maj Production Summ'!AF$18)*1000</f>
        <v>1.4606575207931283</v>
      </c>
      <c r="AG66" s="721">
        <f>+$D$66</f>
        <v>1.2464893653348954</v>
      </c>
      <c r="AH66" s="79">
        <f>+(AH58/'Maj Production Summ'!AH$18)*1000</f>
        <v>1.2636055459211684</v>
      </c>
      <c r="AI66" s="51">
        <f t="shared" ref="AI66" si="99">+$D$66</f>
        <v>1.2464893653348954</v>
      </c>
      <c r="AJ66" s="103">
        <f>+(AJ58/'Maj Production Summ'!AJ$18)*1000</f>
        <v>1.4359470885189254</v>
      </c>
      <c r="AK66" s="721">
        <f>+$D$66</f>
        <v>1.2464893653348954</v>
      </c>
      <c r="AL66" s="79">
        <f>+(AL58/'Maj Production Summ'!AL$18)*1000</f>
        <v>1.7132677660913531</v>
      </c>
      <c r="AM66" s="4734">
        <f>+$D$66</f>
        <v>1.2464893653348954</v>
      </c>
      <c r="AN66" s="4734">
        <f>+(AN58/'Maj Production Summ'!AN$18)*1000</f>
        <v>1.4656770357100648</v>
      </c>
      <c r="AO66" s="51">
        <f t="shared" ref="AO66" si="100">+$D$66</f>
        <v>1.2464893653348954</v>
      </c>
      <c r="AP66" s="103">
        <f>+(AP58/'Maj Production Summ'!AP$18)*1000</f>
        <v>1.4674286854642928</v>
      </c>
      <c r="AQ66" s="721">
        <f>+$D$66</f>
        <v>1.2464893653348954</v>
      </c>
      <c r="AR66" s="79">
        <f>+(AR58/'Maj Production Summ'!AR$18)*1000</f>
        <v>1.1743193289102687</v>
      </c>
      <c r="AS66" s="51">
        <f t="shared" ref="AS66" si="101">+$D$66</f>
        <v>1.2464893653348954</v>
      </c>
      <c r="AT66" s="103">
        <f>+(AT58/'Maj Production Summ'!AT$18)*1000</f>
        <v>1.4382723615446991</v>
      </c>
      <c r="AU66" s="721">
        <f>+$D$66</f>
        <v>1.2464893653348954</v>
      </c>
      <c r="AV66" s="79">
        <f>+(AV58/'Maj Production Summ'!AV$18)*1000</f>
        <v>0.72966662342716315</v>
      </c>
      <c r="AW66" s="51">
        <f t="shared" ref="AW66" si="102">+$D$66</f>
        <v>1.2464893653348954</v>
      </c>
      <c r="AX66" s="103">
        <f>+(AX58/'Maj Production Summ'!AX$18)*1000</f>
        <v>1.3853564306123034</v>
      </c>
      <c r="AY66" s="721">
        <f>+$D$66</f>
        <v>1.2464893653348954</v>
      </c>
      <c r="AZ66" s="79">
        <f>+(AZ58/'Maj Production Summ'!AZ$18)*1000</f>
        <v>1.7451500580334935</v>
      </c>
      <c r="BA66" s="1438">
        <f>+$D$66</f>
        <v>1.2464893653348954</v>
      </c>
      <c r="BB66" s="1438">
        <f>+(BB58/'Maj Production Summ'!BB$18)*1000</f>
        <v>1.2590497063287192</v>
      </c>
      <c r="BC66" s="2298">
        <f>+$D$66</f>
        <v>1.2464893653348954</v>
      </c>
      <c r="BD66" s="2298">
        <f>+(BD58/'Maj Production Summ'!BD$18)*1000</f>
        <v>1.3614686932265325</v>
      </c>
      <c r="BE66" s="1361">
        <f>+$D$66</f>
        <v>1.2464893653348954</v>
      </c>
      <c r="BF66" s="1361">
        <f>+(BF58/'Maj Production Summ'!BF$18)*1000</f>
        <v>1.4172808119996219</v>
      </c>
      <c r="BG66" s="4736">
        <v>1.6499999999999997</v>
      </c>
      <c r="BH66" s="4736">
        <v>1.3221396010355528</v>
      </c>
      <c r="BI66" s="4736">
        <v>1.2919834919767839</v>
      </c>
      <c r="BJ66" s="4736">
        <v>1.8691736607451781</v>
      </c>
      <c r="BK66" s="4736">
        <v>1.8</v>
      </c>
      <c r="BL66" s="4736">
        <v>1.8865516872714447</v>
      </c>
      <c r="BM66" s="4736">
        <v>2.6013799999999998</v>
      </c>
      <c r="BN66" s="1116">
        <v>1.7806740040538749</v>
      </c>
      <c r="BO66" s="4708"/>
      <c r="BP66" s="2746"/>
      <c r="BQ66" s="2624"/>
      <c r="BR66" s="1128"/>
      <c r="BS66" s="1128"/>
    </row>
    <row r="67" spans="1:71" ht="18.75" x14ac:dyDescent="0.25">
      <c r="A67" s="90"/>
      <c r="B67" s="2761" t="s">
        <v>800</v>
      </c>
      <c r="C67" s="4720" t="s">
        <v>507</v>
      </c>
      <c r="D67" s="4528">
        <v>0.78144616802656308</v>
      </c>
      <c r="E67" s="721">
        <f>+$D$67</f>
        <v>0.78144616802656308</v>
      </c>
      <c r="F67" s="79">
        <f>+(F59/'Maj Production Summ'!F$18)*1000</f>
        <v>0.62716708627131246</v>
      </c>
      <c r="G67" s="721">
        <f>+$D$67</f>
        <v>0.78144616802656308</v>
      </c>
      <c r="H67" s="79">
        <f>+(H59/'Maj Production Summ'!H$18)*1000</f>
        <v>0.75220378806446986</v>
      </c>
      <c r="I67" s="51">
        <f t="shared" ref="I67" si="103">+$D$67</f>
        <v>0.78144616802656308</v>
      </c>
      <c r="J67" s="3183">
        <f>+(J59/'Maj Production Summ'!J$18)*1000</f>
        <v>0.69150879390428477</v>
      </c>
      <c r="K67" s="721">
        <f>+$D$67</f>
        <v>0.78144616802656308</v>
      </c>
      <c r="L67" s="79">
        <f>+(L59/'Maj Production Summ'!L$18)*1000</f>
        <v>0.43129474682998364</v>
      </c>
      <c r="M67" s="75">
        <f t="shared" ref="M67" si="104">+$D$67</f>
        <v>0.78144616802656308</v>
      </c>
      <c r="N67" s="109">
        <f>+(N59/'Maj Production Summ'!N$18)*1000</f>
        <v>0.6014357679396346</v>
      </c>
      <c r="O67" s="721">
        <f>+$D$67</f>
        <v>0.78144616802656308</v>
      </c>
      <c r="P67" s="79">
        <f>+(P59/'Maj Production Summ'!P$18)*1000</f>
        <v>0.54008877955704837</v>
      </c>
      <c r="Q67" s="51">
        <f t="shared" ref="Q67" si="105">+$D$67</f>
        <v>0.78144616802656308</v>
      </c>
      <c r="R67" s="103">
        <f>+(R59/'Maj Production Summ'!R$18)*1000</f>
        <v>0.58517480529875787</v>
      </c>
      <c r="S67" s="721">
        <f>+$D$67</f>
        <v>0.78144616802656308</v>
      </c>
      <c r="T67" s="79">
        <f>+(T59/'Maj Production Summ'!T$18)*1000</f>
        <v>0.5512957554435195</v>
      </c>
      <c r="U67" s="51">
        <f t="shared" ref="U67" si="106">+$D$67</f>
        <v>0.78144616802656308</v>
      </c>
      <c r="V67" s="103">
        <f>+(V59/'Maj Production Summ'!V$18)*1000</f>
        <v>0.57843581245955766</v>
      </c>
      <c r="W67" s="721">
        <f>+$D$67</f>
        <v>0.78144616802656308</v>
      </c>
      <c r="X67" s="79">
        <f>+(X59/'Maj Production Summ'!X$18)*1000</f>
        <v>0.56866522369702932</v>
      </c>
      <c r="Y67" s="4734">
        <f>+$D$67</f>
        <v>0.78144616802656308</v>
      </c>
      <c r="Z67" s="4734">
        <f>+(Z59/'Maj Production Summ'!Z$18)*1000</f>
        <v>0.5528239276677932</v>
      </c>
      <c r="AA67" s="4735">
        <f>+$D$67</f>
        <v>0.78144616802656308</v>
      </c>
      <c r="AB67" s="4735">
        <f>+(AB59/'Maj Production Summ'!AB$18)*1000</f>
        <v>0.57687653716491916</v>
      </c>
      <c r="AC67" s="721">
        <f>+$D$67</f>
        <v>0.78144616802656308</v>
      </c>
      <c r="AD67" s="79">
        <f>+(AD59/'Maj Production Summ'!AD$18)*1000</f>
        <v>0.52455064424863695</v>
      </c>
      <c r="AE67" s="51">
        <f t="shared" ref="AE67" si="107">+$D$67</f>
        <v>0.78144616802656308</v>
      </c>
      <c r="AF67" s="103">
        <f>+(AF59/'Maj Production Summ'!AF$18)*1000</f>
        <v>0.57101838066934096</v>
      </c>
      <c r="AG67" s="721">
        <f>+$D$67</f>
        <v>0.78144616802656308</v>
      </c>
      <c r="AH67" s="79">
        <f>+(AH59/'Maj Production Summ'!AH$18)*1000</f>
        <v>0.48801317635576164</v>
      </c>
      <c r="AI67" s="51">
        <f t="shared" ref="AI67" si="108">+$D$67</f>
        <v>0.78144616802656308</v>
      </c>
      <c r="AJ67" s="103">
        <f>+(AJ59/'Maj Production Summ'!AJ$18)*1000</f>
        <v>0.56060947976423803</v>
      </c>
      <c r="AK67" s="721">
        <f>+$D$67</f>
        <v>0.78144616802656308</v>
      </c>
      <c r="AL67" s="79">
        <f>+(AL59/'Maj Production Summ'!AL$18)*1000</f>
        <v>0.29867941032150708</v>
      </c>
      <c r="AM67" s="4734">
        <f>+$D$67</f>
        <v>0.78144616802656308</v>
      </c>
      <c r="AN67" s="4734">
        <f>+(AN59/'Maj Production Summ'!AN$18)*1000</f>
        <v>0.42919255817425217</v>
      </c>
      <c r="AO67" s="51">
        <f t="shared" ref="AO67" si="109">+$D$67</f>
        <v>0.78144616802656308</v>
      </c>
      <c r="AP67" s="103">
        <f>+(AP59/'Maj Production Summ'!AP$18)*1000</f>
        <v>0.53087503317968954</v>
      </c>
      <c r="AQ67" s="721">
        <f>+$D$67</f>
        <v>0.78144616802656308</v>
      </c>
      <c r="AR67" s="79">
        <f>+(AR59/'Maj Production Summ'!AR$18)*1000</f>
        <v>0.38588536573601057</v>
      </c>
      <c r="AS67" s="51">
        <f t="shared" ref="AS67" si="110">+$D$67</f>
        <v>0.78144616802656308</v>
      </c>
      <c r="AT67" s="103">
        <f>+(AT59/'Maj Production Summ'!AT$18)*1000</f>
        <v>0.516452546778431</v>
      </c>
      <c r="AU67" s="721">
        <f>+$D$67</f>
        <v>0.78144616802656308</v>
      </c>
      <c r="AV67" s="79">
        <f>+(AV59/'Maj Production Summ'!AV$18)*1000</f>
        <v>0.7767652527348986</v>
      </c>
      <c r="AW67" s="51">
        <f t="shared" ref="AW67" si="111">+$D$67</f>
        <v>0.78144616802656308</v>
      </c>
      <c r="AX67" s="103">
        <f>+(AX59/'Maj Production Summ'!AX$18)*1000</f>
        <v>0.53589169104194045</v>
      </c>
      <c r="AY67" s="721">
        <f>+$D$67</f>
        <v>0.78144616802656308</v>
      </c>
      <c r="AZ67" s="79">
        <f>+(AZ59/'Maj Production Summ'!AZ$18)*1000</f>
        <v>0.50572044437075114</v>
      </c>
      <c r="BA67" s="4734">
        <f>+$D$67</f>
        <v>0.78144616802656308</v>
      </c>
      <c r="BB67" s="4734">
        <f>+(BB59/'Maj Production Summ'!BB$18)*1000</f>
        <v>0.54059663489239695</v>
      </c>
      <c r="BC67" s="2298">
        <f>+$D$67</f>
        <v>0.78144616802656308</v>
      </c>
      <c r="BD67" s="2298">
        <f>+(BD59/'Maj Production Summ'!BD$18)*1000</f>
        <v>0.48537696618777504</v>
      </c>
      <c r="BE67" s="4737">
        <f>+$D$67</f>
        <v>0.78144616802656308</v>
      </c>
      <c r="BF67" s="4737">
        <f>+(BF59/'Maj Production Summ'!BF$18)*1000</f>
        <v>0.53321460531208587</v>
      </c>
      <c r="BG67" s="4736">
        <v>0.84999999999999987</v>
      </c>
      <c r="BH67" s="4736">
        <v>0.58802794794660063</v>
      </c>
      <c r="BI67" s="4736">
        <v>0.24</v>
      </c>
      <c r="BJ67" s="4736">
        <v>0.6596893937147208</v>
      </c>
      <c r="BK67" s="4736">
        <v>0</v>
      </c>
      <c r="BL67" s="4736">
        <v>0.46320882750587022</v>
      </c>
      <c r="BM67" s="4736">
        <v>0</v>
      </c>
      <c r="BN67" s="1116">
        <v>0.4168998706686482</v>
      </c>
      <c r="BO67" s="4708"/>
      <c r="BP67" s="2746"/>
      <c r="BQ67" s="2624"/>
      <c r="BR67" s="1128"/>
      <c r="BS67" s="1128"/>
    </row>
    <row r="68" spans="1:71" ht="19.5" thickBot="1" x14ac:dyDescent="0.3">
      <c r="A68" s="789"/>
      <c r="B68" s="2762" t="s">
        <v>842</v>
      </c>
      <c r="C68" s="4723" t="s">
        <v>507</v>
      </c>
      <c r="D68" s="4738">
        <f>SUM(D66:D67)</f>
        <v>2.0279355333614584</v>
      </c>
      <c r="E68" s="1282">
        <f>SUM(E66:E67)</f>
        <v>2.0279355333614584</v>
      </c>
      <c r="F68" s="4535">
        <f>SUM(F66:F67)</f>
        <v>2.4593909311639326</v>
      </c>
      <c r="G68" s="1282">
        <f>SUM(G66:G67)</f>
        <v>2.0279355333614584</v>
      </c>
      <c r="H68" s="4535">
        <f>SUM(H66:H67)</f>
        <v>2.0072853894978828</v>
      </c>
      <c r="I68" s="1283">
        <f t="shared" ref="I68:R68" si="112">SUM(I66:I67)</f>
        <v>2.0279355333614584</v>
      </c>
      <c r="J68" s="3691">
        <f t="shared" si="112"/>
        <v>2.226745298610024</v>
      </c>
      <c r="K68" s="1282">
        <f>SUM(K66:K67)</f>
        <v>2.0279355333614584</v>
      </c>
      <c r="L68" s="4535">
        <f>SUM(L66:L67)</f>
        <v>2.0948601988884916</v>
      </c>
      <c r="M68" s="1284">
        <f t="shared" si="112"/>
        <v>2.0279355333614584</v>
      </c>
      <c r="N68" s="4188">
        <f t="shared" si="112"/>
        <v>2.1810933050104007</v>
      </c>
      <c r="O68" s="1282">
        <f>SUM(O66:O67)</f>
        <v>2.0279355333614584</v>
      </c>
      <c r="P68" s="4535">
        <f>SUM(P66:P67)</f>
        <v>2.049972009997556</v>
      </c>
      <c r="Q68" s="1283">
        <f t="shared" si="112"/>
        <v>2.0279355333614584</v>
      </c>
      <c r="R68" s="3696">
        <f t="shared" si="112"/>
        <v>2.1463375894350869</v>
      </c>
      <c r="S68" s="1282">
        <f>SUM(S66:S67)</f>
        <v>2.0279355333614584</v>
      </c>
      <c r="T68" s="4535">
        <f>SUM(T66:T67)</f>
        <v>1.8138051190546327</v>
      </c>
      <c r="U68" s="1283">
        <f t="shared" ref="U68:V68" si="113">SUM(U66:U67)</f>
        <v>2.0279355333614584</v>
      </c>
      <c r="V68" s="3696">
        <f t="shared" si="113"/>
        <v>2.0801924659363253</v>
      </c>
      <c r="W68" s="1282">
        <f>SUM(W66:W67)</f>
        <v>2.0279355333614584</v>
      </c>
      <c r="X68" s="4535">
        <f>SUM(X66:X67)</f>
        <v>1.8602846852724524</v>
      </c>
      <c r="Y68" s="4739">
        <f>SUM(Y66:Y67)</f>
        <v>2.0279355333614584</v>
      </c>
      <c r="Z68" s="4739">
        <f t="shared" ref="Z68:AF68" si="114">SUM(Z66:Z67)</f>
        <v>1.911907437500957</v>
      </c>
      <c r="AA68" s="4740">
        <f>SUM(AA66:AA67)</f>
        <v>2.0279355333614584</v>
      </c>
      <c r="AB68" s="4740">
        <f t="shared" si="114"/>
        <v>2.0450976750468532</v>
      </c>
      <c r="AC68" s="1282">
        <f>SUM(AC66:AC67)</f>
        <v>2.0279355333614584</v>
      </c>
      <c r="AD68" s="4535">
        <f>SUM(AD66:AD67)</f>
        <v>1.9252124709125507</v>
      </c>
      <c r="AE68" s="1283">
        <f t="shared" si="114"/>
        <v>2.0279355333614584</v>
      </c>
      <c r="AF68" s="3696">
        <f t="shared" si="114"/>
        <v>2.031675901462469</v>
      </c>
      <c r="AG68" s="1282">
        <f>SUM(AG66:AG67)</f>
        <v>2.0279355333614584</v>
      </c>
      <c r="AH68" s="4535">
        <f>SUM(AH66:AH67)</f>
        <v>1.7516187222769299</v>
      </c>
      <c r="AI68" s="1283">
        <f t="shared" ref="AI68:AJ68" si="115">SUM(AI66:AI67)</f>
        <v>2.0279355333614584</v>
      </c>
      <c r="AJ68" s="3696">
        <f t="shared" si="115"/>
        <v>1.9965565682831634</v>
      </c>
      <c r="AK68" s="1282">
        <f>SUM(AK66:AK67)</f>
        <v>2.0279355333614584</v>
      </c>
      <c r="AL68" s="4535">
        <f>SUM(AL66:AL67)</f>
        <v>2.01194717641286</v>
      </c>
      <c r="AM68" s="4739">
        <f>SUM(AM66:AM67)</f>
        <v>2.0279355333614584</v>
      </c>
      <c r="AN68" s="4739">
        <f t="shared" ref="AN68:AT68" si="116">SUM(AN66:AN67)</f>
        <v>1.894869593884317</v>
      </c>
      <c r="AO68" s="1283">
        <f t="shared" si="116"/>
        <v>2.0279355333614584</v>
      </c>
      <c r="AP68" s="3696">
        <f t="shared" si="116"/>
        <v>1.9983037186439825</v>
      </c>
      <c r="AQ68" s="1282">
        <f>SUM(AQ66:AQ67)</f>
        <v>2.0279355333614584</v>
      </c>
      <c r="AR68" s="4535">
        <f>SUM(AR66:AR67)</f>
        <v>1.5602046946462793</v>
      </c>
      <c r="AS68" s="1283">
        <f t="shared" si="116"/>
        <v>2.0279355333614584</v>
      </c>
      <c r="AT68" s="3696">
        <f t="shared" si="116"/>
        <v>1.9547249083231302</v>
      </c>
      <c r="AU68" s="1282">
        <f>SUM(AU66:AU67)</f>
        <v>2.0279355333614584</v>
      </c>
      <c r="AV68" s="4535">
        <f>SUM(AV66:AV67)</f>
        <v>1.5064318761620616</v>
      </c>
      <c r="AW68" s="1283">
        <f t="shared" ref="AW68:AX68" si="117">SUM(AW66:AW67)</f>
        <v>2.0279355333614584</v>
      </c>
      <c r="AX68" s="3696">
        <f t="shared" si="117"/>
        <v>1.9212481216542439</v>
      </c>
      <c r="AY68" s="1282">
        <f>SUM(AY66:AY67)</f>
        <v>2.0279355333614584</v>
      </c>
      <c r="AZ68" s="4535">
        <f>SUM(AZ66:AZ67)</f>
        <v>2.2508705024042448</v>
      </c>
      <c r="BA68" s="4739">
        <f t="shared" ref="BA68:BB68" si="118">SUM(BA66:BA67)</f>
        <v>2.0279355333614584</v>
      </c>
      <c r="BB68" s="4739">
        <f t="shared" si="118"/>
        <v>1.7996463412211161</v>
      </c>
      <c r="BC68" s="4740">
        <f>SUM(BC66:BC67)</f>
        <v>2.0279355333614584</v>
      </c>
      <c r="BD68" s="4740">
        <f t="shared" ref="BD68" si="119">SUM(BD66:BD67)</f>
        <v>1.8468456594143077</v>
      </c>
      <c r="BE68" s="4741">
        <f>SUM(BE66:BE67)</f>
        <v>2.0279355333614584</v>
      </c>
      <c r="BF68" s="4741">
        <f t="shared" ref="BF68" si="120">SUM(BF66:BF67)</f>
        <v>1.9504954173117077</v>
      </c>
      <c r="BG68" s="4742">
        <v>2.4999999999999996</v>
      </c>
      <c r="BH68" s="4742">
        <v>1.9101675489821535</v>
      </c>
      <c r="BI68" s="4742">
        <v>1.5319834919767839</v>
      </c>
      <c r="BJ68" s="4742">
        <v>2.5288630544598991</v>
      </c>
      <c r="BK68" s="4742">
        <v>1.8</v>
      </c>
      <c r="BL68" s="4742">
        <v>2.3497605147773148</v>
      </c>
      <c r="BM68" s="4742">
        <v>2.6013799999999998</v>
      </c>
      <c r="BN68" s="4743">
        <v>2.1975738747225231</v>
      </c>
      <c r="BO68" s="4709"/>
      <c r="BP68" s="2750"/>
      <c r="BQ68" s="2625"/>
      <c r="BR68" s="1681"/>
      <c r="BS68" s="1681"/>
    </row>
    <row r="69" spans="1:71" ht="19.5" thickBot="1" x14ac:dyDescent="0.3">
      <c r="A69" s="90"/>
      <c r="B69" s="2761" t="s">
        <v>84</v>
      </c>
      <c r="C69" s="4720" t="s">
        <v>507</v>
      </c>
      <c r="D69" s="4733">
        <v>13.880650651935015</v>
      </c>
      <c r="E69" s="721">
        <f>+$D$69</f>
        <v>13.880650651935015</v>
      </c>
      <c r="F69" s="2044">
        <f>+(F61/'Maj Production Summ'!F$18)*1000</f>
        <v>12.865884798365782</v>
      </c>
      <c r="G69" s="721">
        <f>+$D$69</f>
        <v>13.880650651935015</v>
      </c>
      <c r="H69" s="2044">
        <f>+(H61/'Maj Production Summ'!H$18)*1000</f>
        <v>15.086334401068298</v>
      </c>
      <c r="I69" s="51">
        <f t="shared" ref="I69" si="121">+$D$69</f>
        <v>13.880650651935015</v>
      </c>
      <c r="J69" s="3183">
        <f>+(J61/'Maj Production Summ'!J$18)*1000</f>
        <v>14.008489466450952</v>
      </c>
      <c r="K69" s="721">
        <f>+$D$69</f>
        <v>13.880650651935015</v>
      </c>
      <c r="L69" s="2044">
        <f>+(L61/'Maj Production Summ'!L$18)*1000</f>
        <v>15.477320057670269</v>
      </c>
      <c r="M69" s="75">
        <f t="shared" ref="M69" si="122">+$D$69</f>
        <v>13.880650651935015</v>
      </c>
      <c r="N69" s="109">
        <f>+(N61/'Maj Production Summ'!N$18)*1000</f>
        <v>14.516924800623332</v>
      </c>
      <c r="O69" s="721">
        <f>+$D$69</f>
        <v>13.880650651935015</v>
      </c>
      <c r="P69" s="2044">
        <f>+(P61/'Maj Production Summ'!P$18)*1000</f>
        <v>16.15535634032689</v>
      </c>
      <c r="Q69" s="51">
        <f t="shared" ref="Q69" si="123">+$D$69</f>
        <v>13.880650651935015</v>
      </c>
      <c r="R69" s="103">
        <f>+(R61/'Maj Production Summ'!R$18)*1000</f>
        <v>14.951216275383263</v>
      </c>
      <c r="S69" s="721">
        <f>+$D$69</f>
        <v>13.880650651935015</v>
      </c>
      <c r="T69" s="2044">
        <f>+(T61/'Maj Production Summ'!T$18)*1000</f>
        <v>15.095487791534454</v>
      </c>
      <c r="U69" s="51">
        <f t="shared" ref="U69" si="124">+$D$69</f>
        <v>13.880650651935015</v>
      </c>
      <c r="V69" s="103">
        <f>+(V61/'Maj Production Summ'!V$18)*1000</f>
        <v>14.979913795484853</v>
      </c>
      <c r="W69" s="721">
        <f>+$D$69</f>
        <v>13.880650651935015</v>
      </c>
      <c r="X69" s="2044">
        <f>+(X61/'Maj Production Summ'!X$18)*1000</f>
        <v>13.273748385475672</v>
      </c>
      <c r="Y69" s="4734">
        <f>+$D$69</f>
        <v>13.880650651935015</v>
      </c>
      <c r="Z69" s="4734">
        <f>+(Z61/'Maj Production Summ'!Z$18)*1000</f>
        <v>14.894399489786684</v>
      </c>
      <c r="AA69" s="4735">
        <f>+$D$69</f>
        <v>13.880650651935015</v>
      </c>
      <c r="AB69" s="4735">
        <f>+(AB61/'Maj Production Summ'!AB$18)*1000</f>
        <v>14.707629121853209</v>
      </c>
      <c r="AC69" s="721">
        <f>+$D$69</f>
        <v>13.880650651935015</v>
      </c>
      <c r="AD69" s="2044">
        <f>+(AD61/'Maj Production Summ'!AD$18)*1000</f>
        <v>13.783405226533334</v>
      </c>
      <c r="AE69" s="51">
        <f t="shared" ref="AE69" si="125">+$D$69</f>
        <v>13.880650651935015</v>
      </c>
      <c r="AF69" s="103">
        <f>+(AF61/'Maj Production Summ'!AF$18)*1000</f>
        <v>14.604157438638952</v>
      </c>
      <c r="AG69" s="721">
        <f>+$D$69</f>
        <v>13.880650651935015</v>
      </c>
      <c r="AH69" s="2044">
        <f>+(AH61/'Maj Production Summ'!AH$18)*1000</f>
        <v>12.261331055938511</v>
      </c>
      <c r="AI69" s="51">
        <f t="shared" ref="AI69" si="126">+$D$69</f>
        <v>13.880650651935015</v>
      </c>
      <c r="AJ69" s="103">
        <f>+(AJ61/'Maj Production Summ'!AJ$18)*1000</f>
        <v>14.310365647424719</v>
      </c>
      <c r="AK69" s="721">
        <f>+$D$69</f>
        <v>13.880650651935015</v>
      </c>
      <c r="AL69" s="2044">
        <f>+(AL61/'Maj Production Summ'!AL$18)*1000</f>
        <v>13.193096238772853</v>
      </c>
      <c r="AM69" s="4734">
        <f>+$D$69</f>
        <v>13.880650651935015</v>
      </c>
      <c r="AN69" s="4734">
        <f>+(AN61/'Maj Production Summ'!AN$18)*1000</f>
        <v>13.025061113288174</v>
      </c>
      <c r="AO69" s="51">
        <f t="shared" ref="AO69" si="127">+$D$69</f>
        <v>13.880650651935015</v>
      </c>
      <c r="AP69" s="103">
        <f>+(AP61/'Maj Production Summ'!AP$18)*1000</f>
        <v>14.183532605220787</v>
      </c>
      <c r="AQ69" s="721">
        <f>+$D$69</f>
        <v>13.880650651935015</v>
      </c>
      <c r="AR69" s="2044">
        <f>+(AR61/'Maj Production Summ'!AR$18)*1000</f>
        <v>13.190263410612726</v>
      </c>
      <c r="AS69" s="51">
        <f t="shared" ref="AS69" si="128">+$D$69</f>
        <v>13.880650651935015</v>
      </c>
      <c r="AT69" s="103">
        <f>+(AT61/'Maj Production Summ'!AT$18)*1000</f>
        <v>14.084729623569777</v>
      </c>
      <c r="AU69" s="721">
        <f>+$D$69</f>
        <v>13.880650651935015</v>
      </c>
      <c r="AV69" s="2044">
        <f>+(AV61/'Maj Production Summ'!AV$18)*1000</f>
        <v>13.020495524711377</v>
      </c>
      <c r="AW69" s="51">
        <f t="shared" ref="AW69" si="129">+$D$69</f>
        <v>13.880650651935015</v>
      </c>
      <c r="AX69" s="103">
        <f>+(AX61/'Maj Production Summ'!AX$18)*1000</f>
        <v>14.005256744588163</v>
      </c>
      <c r="AY69" s="721">
        <f>+$D$69</f>
        <v>13.880650651935015</v>
      </c>
      <c r="AZ69" s="2044">
        <f>+(AZ61/'Maj Production Summ'!AZ$18)*1000</f>
        <v>13.633725750290168</v>
      </c>
      <c r="BA69" s="4734">
        <f>+$D$69</f>
        <v>13.880650651935015</v>
      </c>
      <c r="BB69" s="4734">
        <f>+(BB61/'Maj Production Summ'!BB$18)*1000</f>
        <v>13.305762009344296</v>
      </c>
      <c r="BC69" s="2298">
        <f>+$D$69</f>
        <v>13.880650651935015</v>
      </c>
      <c r="BD69" s="2298">
        <f>+(BD61/'Maj Production Summ'!BD$18)*1000</f>
        <v>13.16662697100521</v>
      </c>
      <c r="BE69" s="4737">
        <f>+$D$69</f>
        <v>13.880650651935015</v>
      </c>
      <c r="BF69" s="4737">
        <f>+(BF61/'Maj Production Summ'!BF$18)*1000</f>
        <v>13.972290910134141</v>
      </c>
      <c r="BG69" s="4736">
        <v>18.349999999999998</v>
      </c>
      <c r="BH69" s="4736">
        <v>16.183875067245694</v>
      </c>
      <c r="BI69" s="4736">
        <v>16.822446796403778</v>
      </c>
      <c r="BJ69" s="4736">
        <v>18.06301096315628</v>
      </c>
      <c r="BK69" s="4736">
        <v>16</v>
      </c>
      <c r="BL69" s="4736">
        <v>18.431726897146138</v>
      </c>
      <c r="BM69" s="4736">
        <v>16.326409999999999</v>
      </c>
      <c r="BN69" s="1116">
        <v>15.648490818507298</v>
      </c>
      <c r="BO69" s="4708"/>
      <c r="BP69" s="2746"/>
      <c r="BQ69" s="2624"/>
      <c r="BR69" s="1128"/>
      <c r="BS69" s="1128"/>
    </row>
    <row r="70" spans="1:71" ht="18.75" customHeight="1" x14ac:dyDescent="0.25">
      <c r="A70" s="90"/>
      <c r="B70" s="2761" t="s">
        <v>1489</v>
      </c>
      <c r="C70" s="4720" t="s">
        <v>507</v>
      </c>
      <c r="D70" s="4744">
        <v>0</v>
      </c>
      <c r="E70" s="721">
        <f>D70</f>
        <v>0</v>
      </c>
      <c r="F70" s="125">
        <f>+(F62/'Maj Production Summ'!F$18)*1000</f>
        <v>0</v>
      </c>
      <c r="G70" s="721">
        <f>F70</f>
        <v>0</v>
      </c>
      <c r="H70" s="125">
        <f>+(H62/'Maj Production Summ'!H$18)*1000</f>
        <v>0</v>
      </c>
      <c r="I70" s="51"/>
      <c r="J70" s="103">
        <f>+(J62/'Maj Production Summ'!J$18)*1000</f>
        <v>0</v>
      </c>
      <c r="K70" s="721">
        <f>J70</f>
        <v>0</v>
      </c>
      <c r="L70" s="125">
        <f>+(L62/'Maj Production Summ'!L$18)*1000</f>
        <v>0</v>
      </c>
      <c r="M70" s="75">
        <f>D70</f>
        <v>0</v>
      </c>
      <c r="N70" s="109">
        <f>+(N62/'Maj Production Summ'!N$18)*1000</f>
        <v>0</v>
      </c>
      <c r="O70" s="721">
        <f>N70</f>
        <v>0</v>
      </c>
      <c r="P70" s="125">
        <f>+(P62/'Maj Production Summ'!P$18)*1000</f>
        <v>0</v>
      </c>
      <c r="Q70" s="51"/>
      <c r="R70" s="103">
        <f>+(R62/'Maj Production Summ'!R$18)*1000</f>
        <v>0</v>
      </c>
      <c r="S70" s="721">
        <f>R70</f>
        <v>0</v>
      </c>
      <c r="T70" s="125">
        <f>+(T62/'Maj Production Summ'!T$18)*1000</f>
        <v>0</v>
      </c>
      <c r="U70" s="51"/>
      <c r="V70" s="103">
        <f>+(V62/'Maj Production Summ'!V$18)*1000</f>
        <v>0</v>
      </c>
      <c r="W70" s="721">
        <f>V70</f>
        <v>0</v>
      </c>
      <c r="X70" s="125">
        <f>+(X62/'Maj Production Summ'!X$18)*1000</f>
        <v>0</v>
      </c>
      <c r="Y70" s="4745">
        <f>D70</f>
        <v>0</v>
      </c>
      <c r="Z70" s="4734">
        <f>+(Z62/'Maj Production Summ'!Z$18)*1000</f>
        <v>0</v>
      </c>
      <c r="AA70" s="4746">
        <f>D70</f>
        <v>0</v>
      </c>
      <c r="AB70" s="4746">
        <f>+(AB62/'Maj Production Summ'!AB$18)*1000</f>
        <v>0</v>
      </c>
      <c r="AC70" s="721">
        <f>AB70</f>
        <v>0</v>
      </c>
      <c r="AD70" s="125">
        <f>+(AD62/'Maj Production Summ'!AD$18)*1000</f>
        <v>0</v>
      </c>
      <c r="AE70" s="51"/>
      <c r="AF70" s="103">
        <f>+(AF62/'Maj Production Summ'!AF$18)*1000</f>
        <v>0</v>
      </c>
      <c r="AG70" s="721">
        <f>AF70</f>
        <v>0</v>
      </c>
      <c r="AH70" s="125">
        <f>+(AH62/'Maj Production Summ'!AH$18)*1000</f>
        <v>0</v>
      </c>
      <c r="AI70" s="51"/>
      <c r="AJ70" s="103">
        <f>+(AJ62/'Maj Production Summ'!AJ$18)*1000</f>
        <v>0</v>
      </c>
      <c r="AK70" s="721">
        <f>AJ70</f>
        <v>0</v>
      </c>
      <c r="AL70" s="125">
        <f>+(AL62/'Maj Production Summ'!AL$18)*1000</f>
        <v>0</v>
      </c>
      <c r="AM70" s="4745">
        <v>0</v>
      </c>
      <c r="AN70" s="4734">
        <f>+(AN62/'Maj Production Summ'!AN$18)*1000</f>
        <v>0</v>
      </c>
      <c r="AO70" s="51">
        <f>D70</f>
        <v>0</v>
      </c>
      <c r="AP70" s="103">
        <f>+(AP62/'Maj Production Summ'!AP$18)*1000</f>
        <v>0</v>
      </c>
      <c r="AQ70" s="721">
        <f>AP70</f>
        <v>0</v>
      </c>
      <c r="AR70" s="125">
        <f>+(AR62/'Maj Production Summ'!AR$18)*1000</f>
        <v>0</v>
      </c>
      <c r="AS70" s="51">
        <f>D70</f>
        <v>0</v>
      </c>
      <c r="AT70" s="103">
        <f>+(AT62/'Maj Production Summ'!AT$18)*1000</f>
        <v>0</v>
      </c>
      <c r="AU70" s="721">
        <f>AT70</f>
        <v>0</v>
      </c>
      <c r="AV70" s="125">
        <f>+(AV62/'Maj Production Summ'!AV$18)*1000</f>
        <v>0</v>
      </c>
      <c r="AW70" s="51">
        <f>H70</f>
        <v>0</v>
      </c>
      <c r="AX70" s="103">
        <f>+(AX62/'Maj Production Summ'!AX$18)*1000</f>
        <v>0</v>
      </c>
      <c r="AY70" s="721">
        <f>AX70</f>
        <v>0</v>
      </c>
      <c r="AZ70" s="125">
        <f>+(AZ62/'Maj Production Summ'!AZ$18)*1000</f>
        <v>0</v>
      </c>
      <c r="BA70" s="1438">
        <f>L70</f>
        <v>0</v>
      </c>
      <c r="BB70" s="1438">
        <f>+(BB62/'Maj Production Summ'!BB$18)*1000</f>
        <v>0</v>
      </c>
      <c r="BC70" s="2298">
        <f>N70</f>
        <v>0</v>
      </c>
      <c r="BD70" s="2298">
        <f>+(BD62/'Maj Production Summ'!BD$18)*1000</f>
        <v>0</v>
      </c>
      <c r="BE70" s="1361">
        <f>P70</f>
        <v>0</v>
      </c>
      <c r="BF70" s="1361">
        <f>+(BF62/'Maj Production Summ'!BF$18)*1000</f>
        <v>0</v>
      </c>
      <c r="BG70" s="4747">
        <v>0</v>
      </c>
      <c r="BH70" s="4747">
        <v>0</v>
      </c>
      <c r="BI70" s="4747">
        <v>0</v>
      </c>
      <c r="BJ70" s="4747">
        <v>1.0205917534130115E-2</v>
      </c>
      <c r="BK70" s="4747"/>
      <c r="BL70" s="4747"/>
      <c r="BM70" s="4747"/>
      <c r="BN70" s="4748"/>
      <c r="BO70" s="4710"/>
      <c r="BP70" s="2731"/>
      <c r="BQ70" s="2626"/>
      <c r="BR70" s="1682"/>
      <c r="BS70" s="1682"/>
    </row>
    <row r="71" spans="1:71" ht="18.75" x14ac:dyDescent="0.25">
      <c r="A71" s="90"/>
      <c r="B71" s="2762" t="s">
        <v>1490</v>
      </c>
      <c r="C71" s="4723" t="s">
        <v>507</v>
      </c>
      <c r="D71" s="4749">
        <f>SUM(D69:D70)</f>
        <v>13.880650651935015</v>
      </c>
      <c r="E71" s="1282">
        <f t="shared" ref="E71:W71" si="130">+$D$69</f>
        <v>13.880650651935015</v>
      </c>
      <c r="F71" s="640">
        <f>SUM(F69:F70)</f>
        <v>12.865884798365782</v>
      </c>
      <c r="G71" s="1282">
        <f t="shared" si="130"/>
        <v>13.880650651935015</v>
      </c>
      <c r="H71" s="640">
        <f>SUM(H69:H70)</f>
        <v>15.086334401068298</v>
      </c>
      <c r="I71" s="1283">
        <f t="shared" si="130"/>
        <v>13.880650651935015</v>
      </c>
      <c r="J71" s="3691">
        <f t="shared" ref="J71" si="131">SUM(J69:J70)</f>
        <v>14.008489466450952</v>
      </c>
      <c r="K71" s="1282">
        <f t="shared" si="130"/>
        <v>13.880650651935015</v>
      </c>
      <c r="L71" s="640">
        <f>SUM(L69:L70)</f>
        <v>15.477320057670269</v>
      </c>
      <c r="M71" s="1284">
        <f t="shared" si="130"/>
        <v>13.880650651935015</v>
      </c>
      <c r="N71" s="4188">
        <f t="shared" ref="N71" si="132">SUM(N69:N70)</f>
        <v>14.516924800623332</v>
      </c>
      <c r="O71" s="1282">
        <f t="shared" si="130"/>
        <v>13.880650651935015</v>
      </c>
      <c r="P71" s="640">
        <f>SUM(P69:P70)</f>
        <v>16.15535634032689</v>
      </c>
      <c r="Q71" s="1283">
        <f t="shared" si="130"/>
        <v>13.880650651935015</v>
      </c>
      <c r="R71" s="3696">
        <f t="shared" ref="R71" si="133">SUM(R69:R70)</f>
        <v>14.951216275383263</v>
      </c>
      <c r="S71" s="1282">
        <f t="shared" si="130"/>
        <v>13.880650651935015</v>
      </c>
      <c r="T71" s="640">
        <f>SUM(T69:T70)</f>
        <v>15.095487791534454</v>
      </c>
      <c r="U71" s="1283">
        <f t="shared" si="130"/>
        <v>13.880650651935015</v>
      </c>
      <c r="V71" s="3696">
        <f t="shared" ref="V71" si="134">SUM(V69:V70)</f>
        <v>14.979913795484853</v>
      </c>
      <c r="W71" s="1282">
        <f t="shared" si="130"/>
        <v>13.880650651935015</v>
      </c>
      <c r="X71" s="640">
        <f>SUM(X69:X70)</f>
        <v>13.273748385475672</v>
      </c>
      <c r="Y71" s="4745">
        <f>SUM(Y69:Y70)</f>
        <v>13.880650651935015</v>
      </c>
      <c r="Z71" s="4745">
        <f>SUM(Z69:Z70)</f>
        <v>14.894399489786684</v>
      </c>
      <c r="AA71" s="4746">
        <f>SUM(AA69:AA70)</f>
        <v>13.880650651935015</v>
      </c>
      <c r="AB71" s="4746">
        <f>SUM(AB69:AB70)</f>
        <v>14.707629121853209</v>
      </c>
      <c r="AC71" s="1282">
        <f t="shared" ref="AC71" si="135">+$D$69</f>
        <v>13.880650651935015</v>
      </c>
      <c r="AD71" s="640">
        <f>SUM(AD69:AD70)</f>
        <v>13.783405226533334</v>
      </c>
      <c r="AE71" s="1283">
        <f t="shared" ref="AE71" si="136">+$D$69</f>
        <v>13.880650651935015</v>
      </c>
      <c r="AF71" s="3696">
        <f t="shared" ref="AF71" si="137">SUM(AF69:AF70)</f>
        <v>14.604157438638952</v>
      </c>
      <c r="AG71" s="1282">
        <f t="shared" ref="AG71" si="138">+$D$69</f>
        <v>13.880650651935015</v>
      </c>
      <c r="AH71" s="640">
        <f>SUM(AH69:AH70)</f>
        <v>12.261331055938511</v>
      </c>
      <c r="AI71" s="1283">
        <f t="shared" ref="AI71" si="139">+$D$69</f>
        <v>13.880650651935015</v>
      </c>
      <c r="AJ71" s="3696">
        <f t="shared" ref="AJ71" si="140">SUM(AJ69:AJ70)</f>
        <v>14.310365647424719</v>
      </c>
      <c r="AK71" s="1282">
        <f t="shared" ref="AK71" si="141">+$D$69</f>
        <v>13.880650651935015</v>
      </c>
      <c r="AL71" s="640">
        <f>SUM(AL69:AL70)</f>
        <v>13.193096238772853</v>
      </c>
      <c r="AM71" s="4745">
        <f>SUM(AM69:AM70)</f>
        <v>13.880650651935015</v>
      </c>
      <c r="AN71" s="4745">
        <f>SUM(AN69:AN70)</f>
        <v>13.025061113288174</v>
      </c>
      <c r="AO71" s="1283">
        <f t="shared" ref="AO71" si="142">+$D$69</f>
        <v>13.880650651935015</v>
      </c>
      <c r="AP71" s="3696">
        <f t="shared" ref="AP71" si="143">SUM(AP69:AP70)</f>
        <v>14.183532605220787</v>
      </c>
      <c r="AQ71" s="1282">
        <f t="shared" ref="AQ71" si="144">+$D$69</f>
        <v>13.880650651935015</v>
      </c>
      <c r="AR71" s="640">
        <f>SUM(AR69:AR70)</f>
        <v>13.190263410612726</v>
      </c>
      <c r="AS71" s="1283">
        <f t="shared" ref="AS71" si="145">+$D$69</f>
        <v>13.880650651935015</v>
      </c>
      <c r="AT71" s="3696">
        <f t="shared" ref="AT71" si="146">SUM(AT69:AT70)</f>
        <v>14.084729623569777</v>
      </c>
      <c r="AU71" s="1282">
        <f t="shared" ref="AU71" si="147">+$D$69</f>
        <v>13.880650651935015</v>
      </c>
      <c r="AV71" s="640">
        <f>SUM(AV69:AV70)</f>
        <v>13.020495524711377</v>
      </c>
      <c r="AW71" s="1283">
        <f t="shared" ref="AW71" si="148">+$D$69</f>
        <v>13.880650651935015</v>
      </c>
      <c r="AX71" s="3696">
        <f t="shared" ref="AX71" si="149">SUM(AX69:AX70)</f>
        <v>14.005256744588163</v>
      </c>
      <c r="AY71" s="1282">
        <f t="shared" ref="AY71" si="150">+$D$69</f>
        <v>13.880650651935015</v>
      </c>
      <c r="AZ71" s="640">
        <f>SUM(AZ69:AZ70)</f>
        <v>13.633725750290168</v>
      </c>
      <c r="BA71" s="4739">
        <f t="shared" ref="BA71" si="151">+$D$69</f>
        <v>13.880650651935015</v>
      </c>
      <c r="BB71" s="4739">
        <f t="shared" ref="BB71" si="152">SUM(BB69:BB70)</f>
        <v>13.305762009344296</v>
      </c>
      <c r="BC71" s="4740">
        <f t="shared" ref="BC71" si="153">+$D$69</f>
        <v>13.880650651935015</v>
      </c>
      <c r="BD71" s="4740">
        <f t="shared" ref="BD71" si="154">SUM(BD69:BD70)</f>
        <v>13.16662697100521</v>
      </c>
      <c r="BE71" s="4741">
        <f t="shared" ref="BE71" si="155">+$D$69</f>
        <v>13.880650651935015</v>
      </c>
      <c r="BF71" s="4741">
        <f t="shared" ref="BF71" si="156">SUM(BF69:BF70)</f>
        <v>13.972290910134141</v>
      </c>
      <c r="BG71" s="4742">
        <v>18.349999999999998</v>
      </c>
      <c r="BH71" s="4742">
        <v>16.183875067245694</v>
      </c>
      <c r="BI71" s="4742">
        <v>16.822446796403778</v>
      </c>
      <c r="BJ71" s="4742">
        <v>18.07321688069041</v>
      </c>
      <c r="BK71" s="4742">
        <f t="shared" ref="BK71:BL71" si="157">SUM(BK69:BK70)</f>
        <v>16</v>
      </c>
      <c r="BL71" s="4742">
        <f t="shared" si="157"/>
        <v>18.431726897146138</v>
      </c>
      <c r="BM71" s="4742"/>
      <c r="BN71" s="4743">
        <f t="shared" ref="BN71" si="158">SUM(BN69:BN70)</f>
        <v>15.648490818507298</v>
      </c>
      <c r="BO71" s="4710"/>
      <c r="BP71" s="2731"/>
      <c r="BQ71" s="2626"/>
      <c r="BR71" s="1682"/>
      <c r="BS71" s="1682"/>
    </row>
    <row r="72" spans="1:71" ht="19.5" thickBot="1" x14ac:dyDescent="0.3">
      <c r="A72" s="90"/>
      <c r="B72" s="2764" t="s">
        <v>85</v>
      </c>
      <c r="C72" s="2754" t="s">
        <v>507</v>
      </c>
      <c r="D72" s="4536">
        <v>2.1355316639068298</v>
      </c>
      <c r="E72" s="4537">
        <f>+$D$72</f>
        <v>2.1355316639068298</v>
      </c>
      <c r="F72" s="4538">
        <f>+(F64/'Maj Production Summ'!F$18)*1000</f>
        <v>2.1592466827340902</v>
      </c>
      <c r="G72" s="4537">
        <f>+$D$72</f>
        <v>2.1355316639068298</v>
      </c>
      <c r="H72" s="4538">
        <f>+(H64/'Maj Production Summ'!H$18)*1000</f>
        <v>2.3284510518175443</v>
      </c>
      <c r="I72" s="4539">
        <f t="shared" ref="I72" si="159">+$D$72</f>
        <v>2.1355316639068298</v>
      </c>
      <c r="J72" s="3726">
        <f>+(J64/'Maj Production Summ'!J$18)*1000</f>
        <v>2.2463163022110884</v>
      </c>
      <c r="K72" s="4537">
        <f>+$D$72</f>
        <v>2.1355316639068298</v>
      </c>
      <c r="L72" s="4538">
        <f>+(L64/'Maj Production Summ'!L$18)*1000</f>
        <v>2.1614438926610067</v>
      </c>
      <c r="M72" s="4540">
        <f t="shared" ref="M72" si="160">+$D$72</f>
        <v>2.1355316639068298</v>
      </c>
      <c r="N72" s="4541">
        <f>+(N64/'Maj Production Summ'!N$18)*1000</f>
        <v>2.2169377393124292</v>
      </c>
      <c r="O72" s="4537">
        <f>+$D$72</f>
        <v>2.1355316639068298</v>
      </c>
      <c r="P72" s="4538">
        <f>+(P64/'Maj Production Summ'!P$18)*1000</f>
        <v>1.9155174996649085</v>
      </c>
      <c r="Q72" s="4539">
        <f t="shared" ref="Q72" si="161">+$D$72</f>
        <v>2.1355316639068298</v>
      </c>
      <c r="R72" s="4542">
        <f>+(R64/'Maj Production Summ'!R$18)*1000</f>
        <v>2.137041669670912</v>
      </c>
      <c r="S72" s="4537">
        <f>+$D$72</f>
        <v>2.1355316639068298</v>
      </c>
      <c r="T72" s="4538">
        <f>+(T64/'Maj Production Summ'!T$18)*1000</f>
        <v>2.1715161054111154</v>
      </c>
      <c r="U72" s="4539">
        <f t="shared" ref="U72" si="162">+$D$72</f>
        <v>2.1355316639068298</v>
      </c>
      <c r="V72" s="4542">
        <f>+(V64/'Maj Production Summ'!V$18)*1000</f>
        <v>2.1438990926677612</v>
      </c>
      <c r="W72" s="4537">
        <f>+$D$72</f>
        <v>2.1355316639068298</v>
      </c>
      <c r="X72" s="4538">
        <f>+(X64/'Maj Production Summ'!X$18)*1000</f>
        <v>2.1203718806067529</v>
      </c>
      <c r="Y72" s="562">
        <f>+$D$72</f>
        <v>2.1355316639068298</v>
      </c>
      <c r="Z72" s="562">
        <f>+(Z64/'Maj Production Summ'!Z$18)*1000</f>
        <v>2.0649352276952255</v>
      </c>
      <c r="AA72" s="587">
        <f>+$D$72</f>
        <v>2.1355316639068298</v>
      </c>
      <c r="AB72" s="587">
        <f>+(AB64/'Maj Production Summ'!AB$18)*1000</f>
        <v>2.1401444161165237</v>
      </c>
      <c r="AC72" s="4537">
        <f>+$D$72</f>
        <v>2.1355316639068298</v>
      </c>
      <c r="AD72" s="4538">
        <f>+(AD64/'Maj Production Summ'!AD$18)*1000</f>
        <v>2.1595861630236439</v>
      </c>
      <c r="AE72" s="1962">
        <f t="shared" ref="AE72" si="163">+$D$72</f>
        <v>2.1355316639068298</v>
      </c>
      <c r="AF72" s="122">
        <f>+(AF64/'Maj Production Summ'!AF$18)*1000</f>
        <v>2.1423210210358423</v>
      </c>
      <c r="AG72" s="4537">
        <f>+$D$72</f>
        <v>2.1355316639068298</v>
      </c>
      <c r="AH72" s="4538">
        <f>+(AH64/'Maj Production Summ'!AH$18)*1000</f>
        <v>2.191702033097751</v>
      </c>
      <c r="AI72" s="1962">
        <f t="shared" ref="AI72" si="164">+$D$72</f>
        <v>2.1355316639068298</v>
      </c>
      <c r="AJ72" s="122">
        <f>+(AJ64/'Maj Production Summ'!AJ$18)*1000</f>
        <v>2.1485134286733718</v>
      </c>
      <c r="AK72" s="4537">
        <f>+$D$72</f>
        <v>2.1355316639068298</v>
      </c>
      <c r="AL72" s="4538">
        <f>+(AL64/'Maj Production Summ'!AL$18)*1000</f>
        <v>2.2912977620378467</v>
      </c>
      <c r="AM72" s="562">
        <f>+$D$72</f>
        <v>2.1355316639068298</v>
      </c>
      <c r="AN72" s="562">
        <f>+(AN64/'Maj Production Summ'!AN$18)*1000</f>
        <v>2.219049929400934</v>
      </c>
      <c r="AO72" s="4539">
        <f t="shared" ref="AO72" si="165">+$D$72</f>
        <v>2.1355316639068298</v>
      </c>
      <c r="AP72" s="4542">
        <f>+(AP64/'Maj Production Summ'!AP$18)*1000</f>
        <v>2.1647223852951489</v>
      </c>
      <c r="AQ72" s="4537">
        <f>+$D$72</f>
        <v>2.1355316639068298</v>
      </c>
      <c r="AR72" s="4538">
        <f>+(AR64/'Maj Production Summ'!AR$18)*1000</f>
        <v>2.4512490846185218</v>
      </c>
      <c r="AS72" s="4539">
        <f t="shared" ref="AS72" si="166">+$D$72</f>
        <v>2.1355316639068298</v>
      </c>
      <c r="AT72" s="4542">
        <f>+(AT64/'Maj Production Summ'!AT$18)*1000</f>
        <v>2.1932239157658917</v>
      </c>
      <c r="AU72" s="4537">
        <f>+$D$72</f>
        <v>2.1355316639068298</v>
      </c>
      <c r="AV72" s="4538">
        <f>+(AV64/'Maj Production Summ'!AV$18)*1000</f>
        <v>2.2592640636485495</v>
      </c>
      <c r="AW72" s="4539">
        <f t="shared" ref="AW72" si="167">+$D$72</f>
        <v>2.1355316639068298</v>
      </c>
      <c r="AX72" s="4542">
        <f>+(AX64/'Maj Production Summ'!AX$18)*1000</f>
        <v>2.1981555381281486</v>
      </c>
      <c r="AY72" s="4537">
        <f>+$D$72</f>
        <v>2.1355316639068298</v>
      </c>
      <c r="AZ72" s="4538">
        <f>+(AZ64/'Maj Production Summ'!AZ$18)*1000</f>
        <v>2.018736527938982</v>
      </c>
      <c r="BA72" s="4750">
        <f t="shared" ref="BA72" si="168">+$D$72</f>
        <v>2.1355316639068298</v>
      </c>
      <c r="BB72" s="4750">
        <f>+(BB64/'Maj Production Summ'!BB$18)*1000</f>
        <v>2.2374954722811906</v>
      </c>
      <c r="BC72" s="4751">
        <f t="shared" ref="BC72" si="169">+$D$72</f>
        <v>2.1355316639068298</v>
      </c>
      <c r="BD72" s="4751">
        <f>+(BD64/'Maj Production Summ'!BD$18)*1000</f>
        <v>2.228352568386375</v>
      </c>
      <c r="BE72" s="4752">
        <f t="shared" ref="BE72" si="170">+$D$72</f>
        <v>2.1355316639068298</v>
      </c>
      <c r="BF72" s="4752">
        <f>+(BF64/'Maj Production Summ'!BF$18)*1000</f>
        <v>2.1822357427986199</v>
      </c>
      <c r="BG72" s="1683">
        <v>2.1499999999999995</v>
      </c>
      <c r="BH72" s="1683">
        <v>2.3091923171460826</v>
      </c>
      <c r="BI72" s="1683">
        <v>2.8192466143166044</v>
      </c>
      <c r="BJ72" s="1683">
        <v>2.0997063969868619</v>
      </c>
      <c r="BK72" s="4753">
        <v>3.2</v>
      </c>
      <c r="BL72" s="1683">
        <v>2.1491300709104784</v>
      </c>
      <c r="BM72" s="1683">
        <v>3.0300000000000002</v>
      </c>
      <c r="BN72" s="4754">
        <v>2.235314175301673</v>
      </c>
      <c r="BO72" s="4711"/>
      <c r="BP72" s="2751"/>
      <c r="BQ72" s="2627"/>
      <c r="BR72" s="1683"/>
      <c r="BS72" s="1683"/>
    </row>
    <row r="73" spans="1:71" ht="15" customHeight="1" x14ac:dyDescent="0.25">
      <c r="AG73" s="4487"/>
      <c r="AH73" s="4487"/>
      <c r="AI73" s="4487"/>
      <c r="AJ73" s="4487"/>
    </row>
    <row r="74" spans="1:71" ht="15" customHeight="1" x14ac:dyDescent="0.25"/>
    <row r="75" spans="1:71" ht="15" customHeight="1" x14ac:dyDescent="0.25"/>
    <row r="76" spans="1:71" ht="15" customHeight="1" x14ac:dyDescent="0.25"/>
    <row r="77" spans="1:71" ht="15" customHeight="1" x14ac:dyDescent="0.25"/>
    <row r="78" spans="1:71" ht="15" customHeight="1" x14ac:dyDescent="0.25"/>
    <row r="79" spans="1:71" ht="15" customHeight="1" x14ac:dyDescent="0.25"/>
    <row r="80" spans="1:71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0"/>
  <sheetViews>
    <sheetView zoomScale="115" zoomScaleNormal="115" workbookViewId="0">
      <pane xSplit="7" topLeftCell="H1" activePane="topRight" state="frozen"/>
      <selection pane="topRight" activeCell="I84" sqref="I84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3.28515625" style="4" bestFit="1" customWidth="1"/>
    <col min="5" max="5" width="15.140625" style="4" bestFit="1" customWidth="1"/>
    <col min="6" max="6" width="15.42578125" style="4" hidden="1" customWidth="1"/>
    <col min="7" max="7" width="15.140625" style="4" customWidth="1"/>
    <col min="8" max="8" width="9.5703125" style="4" bestFit="1" customWidth="1"/>
    <col min="9" max="9" width="8.28515625" style="4" bestFit="1" customWidth="1"/>
    <col min="10" max="10" width="9.140625" style="4" hidden="1" customWidth="1"/>
    <col min="11" max="11" width="10.5703125" style="4" hidden="1" customWidth="1"/>
    <col min="12" max="12" width="9.5703125" style="4" hidden="1" customWidth="1"/>
    <col min="13" max="13" width="6.140625" style="4" hidden="1" customWidth="1"/>
    <col min="14" max="14" width="9.5703125" style="4" hidden="1" customWidth="1"/>
    <col min="15" max="15" width="8.28515625" style="4" hidden="1" customWidth="1"/>
    <col min="16" max="16" width="9.5703125" style="4" hidden="1" customWidth="1"/>
    <col min="17" max="17" width="8.28515625" style="4" hidden="1" customWidth="1"/>
    <col min="18" max="18" width="9.140625" style="1192" hidden="1" customWidth="1"/>
    <col min="19" max="21" width="10.5703125" style="4" hidden="1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45" width="9.140625" style="4" hidden="1" customWidth="1"/>
    <col min="46" max="47" width="9.5703125" style="4" hidden="1" customWidth="1"/>
    <col min="48" max="49" width="9.140625" style="4" hidden="1" customWidth="1"/>
    <col min="50" max="50" width="9.5703125" style="4" hidden="1" customWidth="1"/>
    <col min="51" max="53" width="9.140625" style="4" hidden="1" customWidth="1"/>
    <col min="54" max="54" width="9.5703125" style="4" hidden="1" customWidth="1"/>
    <col min="55" max="55" width="8.28515625" style="4" hidden="1" customWidth="1"/>
    <col min="56" max="61" width="9.140625" style="4" hidden="1" customWidth="1"/>
    <col min="62" max="63" width="9.140625" style="4" customWidth="1"/>
    <col min="64" max="16384" width="9.140625" style="4"/>
  </cols>
  <sheetData>
    <row r="3" spans="3:62" ht="19.5" thickBot="1" x14ac:dyDescent="0.3">
      <c r="C3" s="7811" t="s">
        <v>2323</v>
      </c>
      <c r="D3" s="7812"/>
      <c r="E3" s="7812"/>
      <c r="F3" s="7812"/>
      <c r="G3" s="7812"/>
      <c r="H3" s="7812"/>
      <c r="I3" s="7812"/>
      <c r="J3" s="7812"/>
      <c r="K3" s="7812"/>
      <c r="L3" s="7812"/>
      <c r="M3" s="7812"/>
      <c r="N3" s="7812"/>
      <c r="O3" s="7812"/>
      <c r="P3" s="7812"/>
      <c r="Q3" s="7812"/>
      <c r="R3" s="7812"/>
      <c r="S3" s="7812"/>
      <c r="T3" s="7812"/>
      <c r="U3" s="7812"/>
      <c r="V3" s="7812"/>
      <c r="W3" s="7812"/>
      <c r="X3" s="7812"/>
      <c r="Y3" s="7812"/>
      <c r="Z3" s="7812"/>
      <c r="AA3" s="7812"/>
      <c r="AB3" s="7812"/>
      <c r="AC3" s="7812"/>
      <c r="AD3" s="7812"/>
      <c r="AE3" s="7812"/>
      <c r="AF3" s="7812"/>
      <c r="AG3" s="7812"/>
      <c r="AH3" s="7812"/>
      <c r="AI3" s="7812"/>
      <c r="AJ3" s="7812"/>
      <c r="AK3" s="7812"/>
      <c r="AL3" s="7812"/>
      <c r="AM3" s="7812"/>
      <c r="AN3" s="7812"/>
      <c r="AO3" s="7812"/>
      <c r="AP3" s="7812"/>
      <c r="AQ3" s="7812"/>
      <c r="AR3" s="7812"/>
      <c r="AS3" s="7812"/>
      <c r="AT3" s="7812"/>
      <c r="AU3" s="7812"/>
      <c r="AV3" s="7812"/>
      <c r="AW3" s="7812"/>
      <c r="AX3" s="7812"/>
      <c r="AY3" s="7812"/>
      <c r="AZ3" s="7812"/>
      <c r="BA3" s="7812"/>
      <c r="BB3" s="7812"/>
      <c r="BC3" s="7812"/>
      <c r="BD3" s="7812"/>
      <c r="BE3" s="7812"/>
      <c r="BF3" s="7812"/>
      <c r="BG3" s="7812"/>
      <c r="BH3" s="7812"/>
      <c r="BI3" s="7812"/>
    </row>
    <row r="4" spans="3:62" ht="15.75" thickBot="1" x14ac:dyDescent="0.3">
      <c r="C4" s="7818" t="s">
        <v>1026</v>
      </c>
      <c r="D4" s="3958" t="s">
        <v>171</v>
      </c>
      <c r="E4" s="3959" t="s">
        <v>172</v>
      </c>
      <c r="F4" s="3959" t="s">
        <v>1377</v>
      </c>
      <c r="G4" s="3960" t="s">
        <v>2322</v>
      </c>
      <c r="H4" s="7707" t="s">
        <v>2319</v>
      </c>
      <c r="I4" s="7708"/>
      <c r="J4" s="7707" t="s">
        <v>1956</v>
      </c>
      <c r="K4" s="7708"/>
      <c r="L4" s="7813" t="s">
        <v>14</v>
      </c>
      <c r="M4" s="7710"/>
      <c r="N4" s="7768" t="s">
        <v>1986</v>
      </c>
      <c r="O4" s="7777"/>
      <c r="P4" s="7769" t="s">
        <v>607</v>
      </c>
      <c r="Q4" s="7770"/>
      <c r="R4" s="7780" t="s">
        <v>2008</v>
      </c>
      <c r="S4" s="7777"/>
      <c r="T4" s="7766" t="s">
        <v>17</v>
      </c>
      <c r="U4" s="7767"/>
      <c r="V4" s="7780" t="s">
        <v>2011</v>
      </c>
      <c r="W4" s="7777"/>
      <c r="X4" s="7766" t="s">
        <v>18</v>
      </c>
      <c r="Y4" s="7767"/>
      <c r="Z4" s="7768" t="s">
        <v>2042</v>
      </c>
      <c r="AA4" s="7777"/>
      <c r="AB4" s="7769" t="s">
        <v>629</v>
      </c>
      <c r="AC4" s="7770"/>
      <c r="AD4" s="7814" t="s">
        <v>626</v>
      </c>
      <c r="AE4" s="7772"/>
      <c r="AF4" s="7707" t="s">
        <v>2067</v>
      </c>
      <c r="AG4" s="7708"/>
      <c r="AH4" s="7813" t="s">
        <v>24</v>
      </c>
      <c r="AI4" s="7710"/>
      <c r="AJ4" s="7707" t="s">
        <v>2170</v>
      </c>
      <c r="AK4" s="7708"/>
      <c r="AL4" s="7813" t="s">
        <v>27</v>
      </c>
      <c r="AM4" s="7710"/>
      <c r="AN4" s="7768" t="s">
        <v>2194</v>
      </c>
      <c r="AO4" s="7777"/>
      <c r="AP4" s="7769" t="s">
        <v>631</v>
      </c>
      <c r="AQ4" s="7770"/>
      <c r="AR4" s="7813" t="s">
        <v>1575</v>
      </c>
      <c r="AS4" s="7710"/>
      <c r="AT4" s="7707" t="s">
        <v>2206</v>
      </c>
      <c r="AU4" s="7708"/>
      <c r="AV4" s="7813" t="s">
        <v>28</v>
      </c>
      <c r="AW4" s="7710"/>
      <c r="AX4" s="7707" t="s">
        <v>2243</v>
      </c>
      <c r="AY4" s="7708"/>
      <c r="AZ4" s="7813" t="s">
        <v>30</v>
      </c>
      <c r="BA4" s="7710"/>
      <c r="BB4" s="7707" t="s">
        <v>2261</v>
      </c>
      <c r="BC4" s="7708"/>
      <c r="BD4" s="7769" t="s">
        <v>632</v>
      </c>
      <c r="BE4" s="7770"/>
      <c r="BF4" s="7814" t="s">
        <v>638</v>
      </c>
      <c r="BG4" s="7772"/>
      <c r="BH4" s="7813" t="s">
        <v>1984</v>
      </c>
      <c r="BI4" s="7710"/>
    </row>
    <row r="5" spans="3:62" ht="15.75" thickBot="1" x14ac:dyDescent="0.3">
      <c r="C5" s="7819"/>
      <c r="D5" s="3961"/>
      <c r="E5" s="3962"/>
      <c r="F5" s="3962"/>
      <c r="G5" s="3963"/>
      <c r="H5" s="1066" t="s">
        <v>173</v>
      </c>
      <c r="I5" s="1067" t="s">
        <v>174</v>
      </c>
      <c r="J5" s="1066" t="s">
        <v>173</v>
      </c>
      <c r="K5" s="1067" t="s">
        <v>174</v>
      </c>
      <c r="L5" s="1273" t="s">
        <v>173</v>
      </c>
      <c r="M5" s="1274" t="s">
        <v>174</v>
      </c>
      <c r="N5" s="3773" t="s">
        <v>173</v>
      </c>
      <c r="O5" s="167" t="s">
        <v>174</v>
      </c>
      <c r="P5" s="3775" t="s">
        <v>173</v>
      </c>
      <c r="Q5" s="159" t="s">
        <v>174</v>
      </c>
      <c r="R5" s="966" t="s">
        <v>173</v>
      </c>
      <c r="S5" s="167" t="s">
        <v>174</v>
      </c>
      <c r="T5" s="3774" t="s">
        <v>173</v>
      </c>
      <c r="U5" s="152" t="s">
        <v>174</v>
      </c>
      <c r="V5" s="966" t="s">
        <v>173</v>
      </c>
      <c r="W5" s="167" t="s">
        <v>174</v>
      </c>
      <c r="X5" s="3774" t="s">
        <v>173</v>
      </c>
      <c r="Y5" s="152" t="s">
        <v>174</v>
      </c>
      <c r="Z5" s="3773" t="s">
        <v>173</v>
      </c>
      <c r="AA5" s="167" t="s">
        <v>174</v>
      </c>
      <c r="AB5" s="3775" t="s">
        <v>173</v>
      </c>
      <c r="AC5" s="159" t="s">
        <v>174</v>
      </c>
      <c r="AD5" s="3777" t="s">
        <v>173</v>
      </c>
      <c r="AE5" s="441" t="s">
        <v>174</v>
      </c>
      <c r="AF5" s="1066" t="s">
        <v>173</v>
      </c>
      <c r="AG5" s="1067" t="s">
        <v>174</v>
      </c>
      <c r="AH5" s="1273" t="s">
        <v>173</v>
      </c>
      <c r="AI5" s="1274" t="s">
        <v>174</v>
      </c>
      <c r="AJ5" s="1066" t="s">
        <v>173</v>
      </c>
      <c r="AK5" s="1067" t="s">
        <v>174</v>
      </c>
      <c r="AL5" s="1273" t="s">
        <v>173</v>
      </c>
      <c r="AM5" s="1274" t="s">
        <v>174</v>
      </c>
      <c r="AN5" s="3773" t="s">
        <v>173</v>
      </c>
      <c r="AO5" s="167" t="s">
        <v>174</v>
      </c>
      <c r="AP5" s="3775" t="s">
        <v>173</v>
      </c>
      <c r="AQ5" s="159" t="s">
        <v>174</v>
      </c>
      <c r="AR5" s="1273" t="s">
        <v>173</v>
      </c>
      <c r="AS5" s="1274" t="s">
        <v>174</v>
      </c>
      <c r="AT5" s="1066" t="s">
        <v>173</v>
      </c>
      <c r="AU5" s="1067" t="s">
        <v>174</v>
      </c>
      <c r="AV5" s="1273" t="s">
        <v>173</v>
      </c>
      <c r="AW5" s="1274" t="s">
        <v>174</v>
      </c>
      <c r="AX5" s="1066" t="s">
        <v>173</v>
      </c>
      <c r="AY5" s="1067" t="s">
        <v>174</v>
      </c>
      <c r="AZ5" s="1273" t="s">
        <v>173</v>
      </c>
      <c r="BA5" s="1274" t="s">
        <v>174</v>
      </c>
      <c r="BB5" s="1066" t="s">
        <v>173</v>
      </c>
      <c r="BC5" s="1067" t="s">
        <v>174</v>
      </c>
      <c r="BD5" s="3775" t="s">
        <v>173</v>
      </c>
      <c r="BE5" s="159" t="s">
        <v>174</v>
      </c>
      <c r="BF5" s="3777" t="s">
        <v>173</v>
      </c>
      <c r="BG5" s="441" t="s">
        <v>174</v>
      </c>
      <c r="BH5" s="1273" t="s">
        <v>173</v>
      </c>
      <c r="BI5" s="1274" t="s">
        <v>174</v>
      </c>
    </row>
    <row r="6" spans="3:62" x14ac:dyDescent="0.25">
      <c r="C6" s="7821" t="s">
        <v>4</v>
      </c>
      <c r="D6" s="3964" t="s">
        <v>359</v>
      </c>
      <c r="E6" s="3959" t="s">
        <v>49</v>
      </c>
      <c r="F6" s="3965">
        <v>69.459875135267765</v>
      </c>
      <c r="G6" s="3960">
        <v>69.500000000000014</v>
      </c>
      <c r="H6" s="3966">
        <f>+'Maj Techno Summ'!E5</f>
        <v>69.500000000000014</v>
      </c>
      <c r="I6" s="3967">
        <f>+'Maj Techno Summ'!F5</f>
        <v>69.499999999999986</v>
      </c>
      <c r="J6" s="3966">
        <f>+'Maj Techno Summ'!G5</f>
        <v>69.500000000000014</v>
      </c>
      <c r="K6" s="3967">
        <f>+'Maj Techno Summ'!H5</f>
        <v>70</v>
      </c>
      <c r="L6" s="3968">
        <f>+'Maj Techno Summ'!I5</f>
        <v>69.500000000000014</v>
      </c>
      <c r="M6" s="3969">
        <f>+'Maj Techno Summ'!J5</f>
        <v>69.752887029288701</v>
      </c>
      <c r="N6" s="3966">
        <f>+'Maj Techno Summ'!K5</f>
        <v>69.500000000000014</v>
      </c>
      <c r="O6" s="3967">
        <f>+'Maj Techno Summ'!L5</f>
        <v>70</v>
      </c>
      <c r="P6" s="3970">
        <f>+'Maj Techno Summ'!M5</f>
        <v>69.500000000000014</v>
      </c>
      <c r="Q6" s="3971">
        <f>+'Maj Techno Summ'!N5</f>
        <v>69.834639937283015</v>
      </c>
      <c r="R6" s="3966">
        <f>+'Maj Techno Summ'!O5</f>
        <v>69.500000000000014</v>
      </c>
      <c r="S6" s="3967">
        <f>+'Maj Techno Summ'!P5</f>
        <v>69.999999999999986</v>
      </c>
      <c r="T6" s="3968">
        <f>+'Maj Techno Summ'!Q5</f>
        <v>69.500000000000014</v>
      </c>
      <c r="U6" s="3969">
        <f>+'Maj Techno Summ'!R5</f>
        <v>69.87693782297049</v>
      </c>
      <c r="V6" s="3966">
        <f>+'Maj Techno Summ'!S5</f>
        <v>69.500000000000014</v>
      </c>
      <c r="W6" s="3967">
        <f>+'Maj Techno Summ'!T5</f>
        <v>70</v>
      </c>
      <c r="X6" s="3968">
        <f>+'Maj Techno Summ'!U5</f>
        <v>69.500000000000014</v>
      </c>
      <c r="Y6" s="3969">
        <f>+'Maj Techno Summ'!V5</f>
        <v>69.901906723359005</v>
      </c>
      <c r="Z6" s="3966">
        <f>+'Maj Techno Summ'!W5</f>
        <v>69.500000000000014</v>
      </c>
      <c r="AA6" s="3967">
        <f>+'Maj Techno Summ'!X5</f>
        <v>69.49295404013472</v>
      </c>
      <c r="AB6" s="3972">
        <f>+'Maj Techno Summ'!Y5</f>
        <v>69.500000000000014</v>
      </c>
      <c r="AC6" s="3972">
        <f>+'Maj Techno Summ'!Z5</f>
        <v>69.834649220880394</v>
      </c>
      <c r="AD6" s="3973">
        <f>+'Maj Techno Summ'!AA5</f>
        <v>69.500000000000014</v>
      </c>
      <c r="AE6" s="3974">
        <f>+'Maj Techno Summ'!AB5</f>
        <v>69.834644619534785</v>
      </c>
      <c r="AF6" s="3966">
        <f>+'Maj Techno Summ'!AC5</f>
        <v>69.500000000000014</v>
      </c>
      <c r="AG6" s="3967">
        <f>+'Maj Techno Summ'!AD5</f>
        <v>69.7</v>
      </c>
      <c r="AH6" s="3968">
        <f>+'Maj Techno Summ'!AE5</f>
        <v>69.500000000000014</v>
      </c>
      <c r="AI6" s="3969">
        <f>+'Maj Techno Summ'!AF5</f>
        <v>69.815352045887352</v>
      </c>
      <c r="AJ6" s="3966">
        <f>+'Maj Techno Summ'!AG5</f>
        <v>69.500000000000014</v>
      </c>
      <c r="AK6" s="3967">
        <f>+'Maj Techno Summ'!AH5</f>
        <v>69.5</v>
      </c>
      <c r="AL6" s="3968">
        <f>+'Maj Techno Summ'!AI5</f>
        <v>69.500000000000014</v>
      </c>
      <c r="AM6" s="3969">
        <f>+'Maj Techno Summ'!AJ5</f>
        <v>69.776439170456854</v>
      </c>
      <c r="AN6" s="3966">
        <f>+'Maj Techno Summ'!AK5</f>
        <v>69.500000000000014</v>
      </c>
      <c r="AO6" s="3967">
        <f>+'Maj Techno Summ'!AL5</f>
        <v>69.5</v>
      </c>
      <c r="AP6" s="3972">
        <f>+'Maj Techno Summ'!AM5</f>
        <v>69.500000000000014</v>
      </c>
      <c r="AQ6" s="3972">
        <f>+'Maj Techno Summ'!AN5</f>
        <v>69.56670356431259</v>
      </c>
      <c r="AR6" s="3968">
        <f>+'Maj Techno Summ'!AO5</f>
        <v>69.500000000000014</v>
      </c>
      <c r="AS6" s="3969">
        <f>+'Maj Techno Summ'!AP5</f>
        <v>69.745155932600781</v>
      </c>
      <c r="AT6" s="3966">
        <f>+'Maj Techno Summ'!AQ5</f>
        <v>69.500000000000014</v>
      </c>
      <c r="AU6" s="3967">
        <f>+'Maj Techno Summ'!AR5</f>
        <v>69.5</v>
      </c>
      <c r="AV6" s="3968">
        <f>+'Maj Techno Summ'!AS5</f>
        <v>69.500000000000014</v>
      </c>
      <c r="AW6" s="3969">
        <f>+'Maj Techno Summ'!AT5</f>
        <v>69.720430901868795</v>
      </c>
      <c r="AX6" s="3966">
        <f>+'Maj Techno Summ'!AU5</f>
        <v>69.500000000000014</v>
      </c>
      <c r="AY6" s="3967">
        <f>+'Maj Techno Summ'!AV5</f>
        <v>69.5</v>
      </c>
      <c r="AZ6" s="3968">
        <f>+'Maj Techno Summ'!AW5</f>
        <v>69.500000000000014</v>
      </c>
      <c r="BA6" s="3969">
        <f>+'Maj Techno Summ'!AX5</f>
        <v>69.701998989305437</v>
      </c>
      <c r="BB6" s="3966">
        <f>+'Maj Techno Summ'!AY5</f>
        <v>69.500000000000014</v>
      </c>
      <c r="BC6" s="3967">
        <f>+'Maj Techno Summ'!AZ5</f>
        <v>69.499999999999986</v>
      </c>
      <c r="BD6" s="3972">
        <f>+'Maj Techno Summ'!BA5</f>
        <v>69.500000000000014</v>
      </c>
      <c r="BE6" s="3972">
        <f>+'Maj Techno Summ'!BB5</f>
        <v>69.5</v>
      </c>
      <c r="BF6" s="3973">
        <f>+'Maj Techno Summ'!BC5</f>
        <v>69.500000000000014</v>
      </c>
      <c r="BG6" s="3974">
        <f>+'Maj Techno Summ'!BD5</f>
        <v>69.53371754700089</v>
      </c>
      <c r="BH6" s="3968">
        <f>+'Maj Techno Summ'!BE5</f>
        <v>69.500000000000014</v>
      </c>
      <c r="BI6" s="3969">
        <f>+'Maj Techno Summ'!BF5</f>
        <v>69.684780639811592</v>
      </c>
    </row>
    <row r="7" spans="3:62" x14ac:dyDescent="0.25">
      <c r="C7" s="7822"/>
      <c r="D7" s="3975" t="s">
        <v>357</v>
      </c>
      <c r="E7" s="3976"/>
      <c r="F7" s="3976"/>
      <c r="G7" s="3977"/>
      <c r="H7" s="3978"/>
      <c r="I7" s="3534"/>
      <c r="J7" s="3978"/>
      <c r="K7" s="3534"/>
      <c r="L7" s="3979"/>
      <c r="M7" s="3514"/>
      <c r="N7" s="3978"/>
      <c r="O7" s="3534"/>
      <c r="P7" s="3978"/>
      <c r="Q7" s="3534"/>
      <c r="R7" s="3978"/>
      <c r="S7" s="3534"/>
      <c r="T7" s="3978"/>
      <c r="U7" s="3534"/>
      <c r="V7" s="3978"/>
      <c r="W7" s="3534"/>
      <c r="X7" s="3978"/>
      <c r="Y7" s="3534"/>
      <c r="Z7" s="3978"/>
      <c r="AA7" s="3534"/>
      <c r="AB7" s="3980"/>
      <c r="AC7" s="3980"/>
      <c r="AD7" s="3978"/>
      <c r="AE7" s="3980"/>
      <c r="AF7" s="3978"/>
      <c r="AG7" s="3534"/>
      <c r="AH7" s="3978"/>
      <c r="AI7" s="3534"/>
      <c r="AJ7" s="3978"/>
      <c r="AK7" s="3534"/>
      <c r="AL7" s="3978"/>
      <c r="AM7" s="3534"/>
      <c r="AN7" s="3978"/>
      <c r="AO7" s="3534"/>
      <c r="AP7" s="3980"/>
      <c r="AQ7" s="3980"/>
      <c r="AR7" s="3978"/>
      <c r="AS7" s="3534"/>
      <c r="AT7" s="3978"/>
      <c r="AU7" s="3534"/>
      <c r="AV7" s="3978"/>
      <c r="AW7" s="3534"/>
      <c r="AX7" s="3978"/>
      <c r="AY7" s="3534"/>
      <c r="AZ7" s="3978"/>
      <c r="BA7" s="3534"/>
      <c r="BB7" s="3978"/>
      <c r="BC7" s="3534"/>
      <c r="BD7" s="3980"/>
      <c r="BE7" s="3980"/>
      <c r="BF7" s="3978"/>
      <c r="BG7" s="3980"/>
      <c r="BH7" s="3978"/>
      <c r="BI7" s="3534"/>
    </row>
    <row r="8" spans="3:62" x14ac:dyDescent="0.25">
      <c r="C8" s="7822"/>
      <c r="D8" s="3981" t="s">
        <v>347</v>
      </c>
      <c r="E8" s="3982" t="s">
        <v>49</v>
      </c>
      <c r="F8" s="3983">
        <v>89.651305773130588</v>
      </c>
      <c r="G8" s="3984">
        <v>89</v>
      </c>
      <c r="H8" s="3985">
        <f>+'Maj Techno Summ'!E7</f>
        <v>89</v>
      </c>
      <c r="I8" s="3986">
        <f>+'Maj Techno Summ'!F7</f>
        <v>89</v>
      </c>
      <c r="J8" s="3985">
        <f>+'Maj Techno Summ'!G7</f>
        <v>89</v>
      </c>
      <c r="K8" s="3986" t="e">
        <f>+'Maj Techno Summ'!H7</f>
        <v>#REF!</v>
      </c>
      <c r="L8" s="3979">
        <f>+'Maj Techno Summ'!I7</f>
        <v>89</v>
      </c>
      <c r="M8" s="3514" t="e">
        <f>+'Maj Techno Summ'!J7</f>
        <v>#REF!</v>
      </c>
      <c r="N8" s="3985">
        <f>+'Maj Techno Summ'!K7</f>
        <v>89</v>
      </c>
      <c r="O8" s="3986" t="e">
        <f>+'Maj Techno Summ'!L7</f>
        <v>#REF!</v>
      </c>
      <c r="P8" s="3987">
        <f>+'Maj Techno Summ'!M7</f>
        <v>89</v>
      </c>
      <c r="Q8" s="3988" t="e">
        <f>+'Maj Techno Summ'!N7</f>
        <v>#REF!</v>
      </c>
      <c r="R8" s="3985">
        <f>+'Maj Techno Summ'!O7</f>
        <v>89</v>
      </c>
      <c r="S8" s="3986" t="e">
        <f>+'Maj Techno Summ'!P7</f>
        <v>#REF!</v>
      </c>
      <c r="T8" s="3979">
        <f>+'Maj Techno Summ'!Q7</f>
        <v>89</v>
      </c>
      <c r="U8" s="3514" t="e">
        <f>+'Maj Techno Summ'!R7</f>
        <v>#REF!</v>
      </c>
      <c r="V8" s="3985">
        <f>+'Maj Techno Summ'!S7</f>
        <v>89</v>
      </c>
      <c r="W8" s="3986" t="e">
        <f>+'Maj Techno Summ'!T7</f>
        <v>#REF!</v>
      </c>
      <c r="X8" s="3979">
        <f>+'Maj Techno Summ'!U7</f>
        <v>89</v>
      </c>
      <c r="Y8" s="3514" t="e">
        <f>+'Maj Techno Summ'!V7</f>
        <v>#REF!</v>
      </c>
      <c r="Z8" s="3985">
        <f>+'Maj Techno Summ'!W7</f>
        <v>89</v>
      </c>
      <c r="AA8" s="3986" t="e">
        <f>+'Maj Techno Summ'!X7</f>
        <v>#REF!</v>
      </c>
      <c r="AB8" s="3989">
        <f>+'Maj Techno Summ'!Y7</f>
        <v>89</v>
      </c>
      <c r="AC8" s="3989" t="e">
        <f>+'Maj Techno Summ'!Z7</f>
        <v>#REF!</v>
      </c>
      <c r="AD8" s="3990">
        <f>+'Maj Techno Summ'!AA7</f>
        <v>89</v>
      </c>
      <c r="AE8" s="3991" t="e">
        <f>+'Maj Techno Summ'!AB7</f>
        <v>#REF!</v>
      </c>
      <c r="AF8" s="3985">
        <f>+'Maj Techno Summ'!AC7</f>
        <v>89</v>
      </c>
      <c r="AG8" s="3986" t="e">
        <f>+'Maj Techno Summ'!AD7</f>
        <v>#REF!</v>
      </c>
      <c r="AH8" s="3979">
        <f>+'Maj Techno Summ'!AE7</f>
        <v>89</v>
      </c>
      <c r="AI8" s="3514" t="e">
        <f>+'Maj Techno Summ'!AF7</f>
        <v>#REF!</v>
      </c>
      <c r="AJ8" s="3985">
        <f>+'Maj Techno Summ'!AG7</f>
        <v>89</v>
      </c>
      <c r="AK8" s="3986" t="e">
        <f>+'Maj Techno Summ'!AH7</f>
        <v>#REF!</v>
      </c>
      <c r="AL8" s="3979">
        <f>+'Maj Techno Summ'!AI7</f>
        <v>89</v>
      </c>
      <c r="AM8" s="3514" t="e">
        <f>+'Maj Techno Summ'!AJ7</f>
        <v>#REF!</v>
      </c>
      <c r="AN8" s="3985">
        <f>+'Maj Techno Summ'!AK7</f>
        <v>89</v>
      </c>
      <c r="AO8" s="3986" t="e">
        <f>+'Maj Techno Summ'!AL7</f>
        <v>#REF!</v>
      </c>
      <c r="AP8" s="3989">
        <f>+'Maj Techno Summ'!AM7</f>
        <v>89</v>
      </c>
      <c r="AQ8" s="3989" t="e">
        <f>+'Maj Techno Summ'!AN7</f>
        <v>#REF!</v>
      </c>
      <c r="AR8" s="3979">
        <f>+'Maj Techno Summ'!AO7</f>
        <v>89</v>
      </c>
      <c r="AS8" s="3514" t="e">
        <f>+'Maj Techno Summ'!AP7</f>
        <v>#REF!</v>
      </c>
      <c r="AT8" s="3985">
        <f>+'Maj Techno Summ'!AQ7</f>
        <v>89</v>
      </c>
      <c r="AU8" s="3986" t="e">
        <f>+'Maj Techno Summ'!AR7</f>
        <v>#REF!</v>
      </c>
      <c r="AV8" s="3979">
        <f>+'Maj Techno Summ'!AS7</f>
        <v>89</v>
      </c>
      <c r="AW8" s="3514" t="e">
        <f>+'Maj Techno Summ'!AT7</f>
        <v>#REF!</v>
      </c>
      <c r="AX8" s="3985">
        <f>+'Maj Techno Summ'!AU7</f>
        <v>89</v>
      </c>
      <c r="AY8" s="3986" t="e">
        <f>+'Maj Techno Summ'!AV7</f>
        <v>#REF!</v>
      </c>
      <c r="AZ8" s="3979">
        <f>+'Maj Techno Summ'!AW7</f>
        <v>89</v>
      </c>
      <c r="BA8" s="3514" t="e">
        <f>+'Maj Techno Summ'!AX7</f>
        <v>#REF!</v>
      </c>
      <c r="BB8" s="3985">
        <f>+'Maj Techno Summ'!AY7</f>
        <v>89</v>
      </c>
      <c r="BC8" s="3986" t="e">
        <f>+'Maj Techno Summ'!AZ7</f>
        <v>#REF!</v>
      </c>
      <c r="BD8" s="3989">
        <f>+'Maj Techno Summ'!BA7</f>
        <v>89</v>
      </c>
      <c r="BE8" s="3989" t="e">
        <f>+'Maj Techno Summ'!BB7</f>
        <v>#REF!</v>
      </c>
      <c r="BF8" s="3990">
        <f>+'Maj Techno Summ'!BC7</f>
        <v>89</v>
      </c>
      <c r="BG8" s="3991" t="e">
        <f>+'Maj Techno Summ'!BD7</f>
        <v>#REF!</v>
      </c>
      <c r="BH8" s="3979">
        <f>+'Maj Techno Summ'!BE7</f>
        <v>89</v>
      </c>
      <c r="BI8" s="3514" t="e">
        <f>+'Maj Techno Summ'!BF7</f>
        <v>#REF!</v>
      </c>
    </row>
    <row r="9" spans="3:62" x14ac:dyDescent="0.25">
      <c r="C9" s="7822"/>
      <c r="D9" s="3981" t="s">
        <v>358</v>
      </c>
      <c r="E9" s="3982" t="s">
        <v>49</v>
      </c>
      <c r="F9" s="3983">
        <v>92.198587038217795</v>
      </c>
      <c r="G9" s="3984">
        <v>95</v>
      </c>
      <c r="H9" s="3985">
        <f>+'Maj Techno Summ'!E8</f>
        <v>95</v>
      </c>
      <c r="I9" s="3986">
        <f>+'Maj Techno Summ'!F8</f>
        <v>94.999999609300659</v>
      </c>
      <c r="J9" s="3985">
        <f>+'Maj Techno Summ'!G8</f>
        <v>95</v>
      </c>
      <c r="K9" s="3986">
        <f>+'Maj Techno Summ'!H8</f>
        <v>94.99999761388338</v>
      </c>
      <c r="L9" s="3979">
        <f>+'Maj Techno Summ'!I8</f>
        <v>95</v>
      </c>
      <c r="M9" s="3514">
        <f>+'Maj Techno Summ'!J8</f>
        <v>94.999998600070327</v>
      </c>
      <c r="N9" s="3985">
        <f>+'Maj Techno Summ'!K8</f>
        <v>95</v>
      </c>
      <c r="O9" s="3986">
        <f>+'Maj Techno Summ'!L8</f>
        <v>94.999999511791174</v>
      </c>
      <c r="P9" s="3987">
        <f>+'Maj Techno Summ'!M8</f>
        <v>95</v>
      </c>
      <c r="Q9" s="3988">
        <f>+'Maj Techno Summ'!N8</f>
        <v>94.99999890169687</v>
      </c>
      <c r="R9" s="3985">
        <f>+'Maj Techno Summ'!O8</f>
        <v>95</v>
      </c>
      <c r="S9" s="3986">
        <f>+'Maj Techno Summ'!P8</f>
        <v>95.000001409744897</v>
      </c>
      <c r="T9" s="3979">
        <f>+'Maj Techno Summ'!Q8</f>
        <v>95</v>
      </c>
      <c r="U9" s="3514">
        <f>+'Maj Techno Summ'!R8</f>
        <v>94.999999543237038</v>
      </c>
      <c r="V9" s="3985">
        <f>+'Maj Techno Summ'!S8</f>
        <v>95</v>
      </c>
      <c r="W9" s="3986">
        <f>+'Maj Techno Summ'!T8</f>
        <v>95</v>
      </c>
      <c r="X9" s="3979">
        <f>+'Maj Techno Summ'!U8</f>
        <v>95</v>
      </c>
      <c r="Y9" s="3514">
        <f>+'Maj Techno Summ'!V8</f>
        <v>94.999999635912701</v>
      </c>
      <c r="Z9" s="3985">
        <f>+'Maj Techno Summ'!W8</f>
        <v>95</v>
      </c>
      <c r="AA9" s="3986">
        <f>+'Maj Techno Summ'!X8</f>
        <v>94.999999513274034</v>
      </c>
      <c r="AB9" s="3989">
        <f>+'Maj Techno Summ'!Y8</f>
        <v>95</v>
      </c>
      <c r="AC9" s="3989">
        <f>+'Maj Techno Summ'!Z8</f>
        <v>95.000000317448595</v>
      </c>
      <c r="AD9" s="3990">
        <f>+'Maj Techno Summ'!AA8</f>
        <v>95</v>
      </c>
      <c r="AE9" s="3991">
        <f>+'Maj Techno Summ'!AB8</f>
        <v>94.999999615741814</v>
      </c>
      <c r="AF9" s="3985">
        <f>+'Maj Techno Summ'!AC8</f>
        <v>95</v>
      </c>
      <c r="AG9" s="3986">
        <f>+'Maj Techno Summ'!AD8</f>
        <v>94.999999521351143</v>
      </c>
      <c r="AH9" s="3979">
        <f>+'Maj Techno Summ'!AE8</f>
        <v>95</v>
      </c>
      <c r="AI9" s="3514">
        <f>+'Maj Techno Summ'!AF8</f>
        <v>94.999999602217059</v>
      </c>
      <c r="AJ9" s="3985">
        <f>+'Maj Techno Summ'!AG8</f>
        <v>95</v>
      </c>
      <c r="AK9" s="3986">
        <f>+'Maj Techno Summ'!AH8</f>
        <v>95</v>
      </c>
      <c r="AL9" s="3979">
        <f>+'Maj Techno Summ'!AI8</f>
        <v>95</v>
      </c>
      <c r="AM9" s="3514">
        <f>+'Maj Techno Summ'!AJ8</f>
        <v>94.999999651301465</v>
      </c>
      <c r="AN9" s="3985">
        <f>+'Maj Techno Summ'!AK8</f>
        <v>95</v>
      </c>
      <c r="AO9" s="3986">
        <f>+'Maj Techno Summ'!AL8</f>
        <v>95</v>
      </c>
      <c r="AP9" s="3989">
        <f>+'Maj Techno Summ'!AM8</f>
        <v>95</v>
      </c>
      <c r="AQ9" s="3989">
        <f>+'Maj Techno Summ'!AN8</f>
        <v>94.999999840362591</v>
      </c>
      <c r="AR9" s="3979">
        <f>+'Maj Techno Summ'!AO8</f>
        <v>95</v>
      </c>
      <c r="AS9" s="3514">
        <f>+'Maj Techno Summ'!AP8</f>
        <v>94.999999690762294</v>
      </c>
      <c r="AT9" s="3985">
        <f>+'Maj Techno Summ'!AQ8</f>
        <v>95</v>
      </c>
      <c r="AU9" s="3986">
        <f>+'Maj Techno Summ'!AR8</f>
        <v>95.000000047533575</v>
      </c>
      <c r="AV9" s="3979">
        <f>+'Maj Techno Summ'!AS8</f>
        <v>95</v>
      </c>
      <c r="AW9" s="3514">
        <f>+'Maj Techno Summ'!AT8</f>
        <v>94.999999726744164</v>
      </c>
      <c r="AX9" s="3985">
        <f>+'Maj Techno Summ'!AU8</f>
        <v>95</v>
      </c>
      <c r="AY9" s="3986">
        <f>+'Maj Techno Summ'!AV8</f>
        <v>94.999999527157698</v>
      </c>
      <c r="AZ9" s="3979">
        <f>+'Maj Techno Summ'!AW8</f>
        <v>95</v>
      </c>
      <c r="BA9" s="3514">
        <f>+'Maj Techno Summ'!AX8</f>
        <v>94.999999710055235</v>
      </c>
      <c r="BB9" s="3985">
        <f>+'Maj Techno Summ'!AY8</f>
        <v>95</v>
      </c>
      <c r="BC9" s="3986">
        <f>+'Maj Techno Summ'!AZ8</f>
        <v>94.999999528548869</v>
      </c>
      <c r="BD9" s="3989">
        <f>+'Maj Techno Summ'!BA8</f>
        <v>95</v>
      </c>
      <c r="BE9" s="3989">
        <f>+'Maj Techno Summ'!BB8</f>
        <v>94.999999706279226</v>
      </c>
      <c r="BF9" s="3990">
        <f>+'Maj Techno Summ'!BC8</f>
        <v>95</v>
      </c>
      <c r="BG9" s="3991">
        <f>+'Maj Techno Summ'!BD8</f>
        <v>94.999999774056249</v>
      </c>
      <c r="BH9" s="3979">
        <f>+'Maj Techno Summ'!BE8</f>
        <v>95</v>
      </c>
      <c r="BI9" s="3514">
        <f>+'Maj Techno Summ'!BF8</f>
        <v>94.999999694583664</v>
      </c>
    </row>
    <row r="10" spans="3:62" x14ac:dyDescent="0.25">
      <c r="C10" s="7822"/>
      <c r="D10" s="3992" t="s">
        <v>356</v>
      </c>
      <c r="E10" s="3982" t="s">
        <v>49</v>
      </c>
      <c r="F10" s="3983">
        <v>91.262623548364061</v>
      </c>
      <c r="G10" s="3984">
        <v>93</v>
      </c>
      <c r="H10" s="3985">
        <f>+'Maj Techno Summ'!E9</f>
        <v>92.972626196286924</v>
      </c>
      <c r="I10" s="3986">
        <f>+'Maj Techno Summ'!F9</f>
        <v>92.88918390296584</v>
      </c>
      <c r="J10" s="3985">
        <f>+'Maj Techno Summ'!G9</f>
        <v>92.972626196286924</v>
      </c>
      <c r="K10" s="3986">
        <f>+'Maj Techno Summ'!H9</f>
        <v>93.667281514284795</v>
      </c>
      <c r="L10" s="3979">
        <f>+'Maj Techno Summ'!I9</f>
        <v>92.972626196286924</v>
      </c>
      <c r="M10" s="3514">
        <f>+'Maj Techno Summ'!J9</f>
        <v>92.876873098256624</v>
      </c>
      <c r="N10" s="3985">
        <f>+'Maj Techno Summ'!K9</f>
        <v>92.972626196286924</v>
      </c>
      <c r="O10" s="3986">
        <f>+'Maj Techno Summ'!L9</f>
        <v>93.437618856972875</v>
      </c>
      <c r="P10" s="3987">
        <f>+'Maj Techno Summ'!M9</f>
        <v>92.972626196286924</v>
      </c>
      <c r="Q10" s="3988">
        <f>+'Maj Techno Summ'!N9</f>
        <v>93.068722346632939</v>
      </c>
      <c r="R10" s="3985">
        <f>+'Maj Techno Summ'!O9</f>
        <v>92.972626196286924</v>
      </c>
      <c r="S10" s="3986">
        <f>+'Maj Techno Summ'!P9</f>
        <v>93.966668191590372</v>
      </c>
      <c r="T10" s="3979">
        <f>+'Maj Techno Summ'!Q9</f>
        <v>92.972626196286924</v>
      </c>
      <c r="U10" s="3514">
        <f>+'Maj Techno Summ'!R9</f>
        <v>93.303468345202589</v>
      </c>
      <c r="V10" s="3985">
        <f>+'Maj Techno Summ'!S9</f>
        <v>92.972626196286924</v>
      </c>
      <c r="W10" s="3986">
        <f>+'Maj Techno Summ'!T9</f>
        <v>93.241945303495299</v>
      </c>
      <c r="X10" s="3979">
        <f>+'Maj Techno Summ'!U9</f>
        <v>92.972626196286924</v>
      </c>
      <c r="Y10" s="3514">
        <f>+'Maj Techno Summ'!V9</f>
        <v>93.290656236248992</v>
      </c>
      <c r="Z10" s="3985">
        <f>+'Maj Techno Summ'!W9</f>
        <v>92.972626196286924</v>
      </c>
      <c r="AA10" s="3986">
        <f>+'Maj Techno Summ'!X9</f>
        <v>93.2448303447526</v>
      </c>
      <c r="AB10" s="3989">
        <f>+'Maj Techno Summ'!Y9</f>
        <v>92.972626196286924</v>
      </c>
      <c r="AC10" s="3989">
        <f>+'Maj Techno Summ'!Z9</f>
        <v>93.485972730981359</v>
      </c>
      <c r="AD10" s="3990">
        <f>+'Maj Techno Summ'!AA9</f>
        <v>92.972626196286924</v>
      </c>
      <c r="AE10" s="3991">
        <f>+'Maj Techno Summ'!AB9</f>
        <v>93.282959383062092</v>
      </c>
      <c r="AF10" s="3985">
        <f>+'Maj Techno Summ'!AC9</f>
        <v>92.972626196286924</v>
      </c>
      <c r="AG10" s="3986">
        <f>+'Maj Techno Summ'!AD9</f>
        <v>93.243541106226871</v>
      </c>
      <c r="AH10" s="3979">
        <f>+'Maj Techno Summ'!AE9</f>
        <v>92.972626196286924</v>
      </c>
      <c r="AI10" s="3514">
        <f>+'Maj Techno Summ'!AF9</f>
        <v>93.277207170582173</v>
      </c>
      <c r="AJ10" s="3985">
        <f>+'Maj Techno Summ'!AG9</f>
        <v>92.972626196286924</v>
      </c>
      <c r="AK10" s="3986">
        <f>+'Maj Techno Summ'!AH9</f>
        <v>93.288077486246692</v>
      </c>
      <c r="AL10" s="3979">
        <f>+'Maj Techno Summ'!AI9</f>
        <v>92.972626196286924</v>
      </c>
      <c r="AM10" s="3514">
        <f>+'Maj Techno Summ'!AJ9</f>
        <v>93.278553978674495</v>
      </c>
      <c r="AN10" s="3985">
        <f>+'Maj Techno Summ'!AK9</f>
        <v>92.972626196286924</v>
      </c>
      <c r="AO10" s="3986">
        <f>+'Maj Techno Summ'!AL9</f>
        <v>92.364182227254133</v>
      </c>
      <c r="AP10" s="3989">
        <f>+'Maj Techno Summ'!AM9</f>
        <v>92.972626196286924</v>
      </c>
      <c r="AQ10" s="3989">
        <f>+'Maj Techno Summ'!AN9</f>
        <v>92.961622005761853</v>
      </c>
      <c r="AR10" s="3979">
        <f>+'Maj Techno Summ'!AO9</f>
        <v>92.972626196286924</v>
      </c>
      <c r="AS10" s="3514">
        <f>+'Maj Techno Summ'!AP9</f>
        <v>93.174774482871769</v>
      </c>
      <c r="AT10" s="3985">
        <f>+'Maj Techno Summ'!AQ9</f>
        <v>92.972626196286924</v>
      </c>
      <c r="AU10" s="3986">
        <f>+'Maj Techno Summ'!AR9</f>
        <v>92.234744794308796</v>
      </c>
      <c r="AV10" s="3979">
        <f>+'Maj Techno Summ'!AS9</f>
        <v>92.972626196286924</v>
      </c>
      <c r="AW10" s="3514">
        <f>+'Maj Techno Summ'!AT9</f>
        <v>93.079226041794072</v>
      </c>
      <c r="AX10" s="3985">
        <f>+'Maj Techno Summ'!AU9</f>
        <v>92.972626196286924</v>
      </c>
      <c r="AY10" s="3986">
        <f>+'Maj Techno Summ'!AV9</f>
        <v>93.244082359750223</v>
      </c>
      <c r="AZ10" s="3979">
        <f>+'Maj Techno Summ'!AW9</f>
        <v>92.972626196286924</v>
      </c>
      <c r="BA10" s="3514">
        <f>+'Maj Techno Summ'!AX9</f>
        <v>93.093083429679751</v>
      </c>
      <c r="BB10" s="3985">
        <f>+'Maj Techno Summ'!AY9</f>
        <v>92.972626196286924</v>
      </c>
      <c r="BC10" s="3986">
        <f>+'Maj Techno Summ'!AZ9</f>
        <v>93.243821499637903</v>
      </c>
      <c r="BD10" s="3989">
        <f>+'Maj Techno Summ'!BA9</f>
        <v>92.972626196286924</v>
      </c>
      <c r="BE10" s="3989">
        <f>+'Maj Techno Summ'!BB9</f>
        <v>92.898302403108801</v>
      </c>
      <c r="BF10" s="3990">
        <f>+'Maj Techno Summ'!BC9</f>
        <v>92.972626196286924</v>
      </c>
      <c r="BG10" s="3991">
        <f>+'Maj Techno Summ'!BD9</f>
        <v>92.930261850652187</v>
      </c>
      <c r="BH10" s="3979">
        <f>+'Maj Techno Summ'!BE9</f>
        <v>92.972626196286924</v>
      </c>
      <c r="BI10" s="3514">
        <f>+'Maj Techno Summ'!BF9</f>
        <v>93.106120266059278</v>
      </c>
    </row>
    <row r="11" spans="3:62" x14ac:dyDescent="0.25">
      <c r="C11" s="7822"/>
      <c r="D11" s="3992" t="s">
        <v>1378</v>
      </c>
      <c r="E11" s="3982" t="s">
        <v>49</v>
      </c>
      <c r="F11" s="3983">
        <v>23.372863219313984</v>
      </c>
      <c r="G11" s="3984">
        <v>25</v>
      </c>
      <c r="H11" s="3985">
        <f>+$G$11</f>
        <v>25</v>
      </c>
      <c r="I11" s="3986">
        <f>+'COKE OVENS'!F211</f>
        <v>25</v>
      </c>
      <c r="J11" s="3985">
        <f>+$G$11</f>
        <v>25</v>
      </c>
      <c r="K11" s="3986">
        <f>+'COKE OVENS'!H211</f>
        <v>24.706229924196233</v>
      </c>
      <c r="L11" s="3979">
        <f>+$G$11</f>
        <v>25</v>
      </c>
      <c r="M11" s="3514">
        <f>+'COKE OVENS'!J211</f>
        <v>26.354307145392944</v>
      </c>
      <c r="N11" s="3985">
        <f>+$G$11</f>
        <v>25</v>
      </c>
      <c r="O11" s="3986">
        <f>+'COKE OVENS'!L211</f>
        <v>24.694394282078864</v>
      </c>
      <c r="P11" s="3987">
        <f>+$G$11</f>
        <v>25</v>
      </c>
      <c r="Q11" s="3988">
        <f>+'COKE OVENS'!N211</f>
        <v>25.78639730346022</v>
      </c>
      <c r="R11" s="3985">
        <f>+$G$11</f>
        <v>25</v>
      </c>
      <c r="S11" s="3986">
        <f>+'COKE OVENS'!P211</f>
        <v>24.688884191570757</v>
      </c>
      <c r="T11" s="3979">
        <f>+$G$11</f>
        <v>25</v>
      </c>
      <c r="U11" s="3514">
        <f>+'COKE OVENS'!R211</f>
        <v>25.499479319663557</v>
      </c>
      <c r="V11" s="3985">
        <f>+$G$11</f>
        <v>25</v>
      </c>
      <c r="W11" s="3986">
        <f>+'COKE OVENS'!T211</f>
        <v>24.351610816827247</v>
      </c>
      <c r="X11" s="3979">
        <f>+$G$11</f>
        <v>25</v>
      </c>
      <c r="Y11" s="3514">
        <f>+'COKE OVENS'!V211</f>
        <v>25.26043690702236</v>
      </c>
      <c r="Z11" s="3985">
        <f>+$G$11</f>
        <v>25</v>
      </c>
      <c r="AA11" s="3986">
        <f>+'COKE OVENS'!X211</f>
        <v>24.350933606000623</v>
      </c>
      <c r="AB11" s="3989">
        <f>+$G$11</f>
        <v>25</v>
      </c>
      <c r="AC11" s="3989">
        <f>+'COKE OVENS'!Z211</f>
        <v>24.464516187443401</v>
      </c>
      <c r="AD11" s="3990">
        <f>+$G$11</f>
        <v>25</v>
      </c>
      <c r="AE11" s="3991">
        <f>+'COKE OVENS'!AB211</f>
        <v>25.107677993831903</v>
      </c>
      <c r="AF11" s="3985">
        <f>+$G$11</f>
        <v>25</v>
      </c>
      <c r="AG11" s="3986">
        <f>+'COKE OVENS'!AD211</f>
        <v>24.77050823217045</v>
      </c>
      <c r="AH11" s="3979">
        <f>+$G$11</f>
        <v>25</v>
      </c>
      <c r="AI11" s="3979">
        <f>+'COKE OVENS'!AF211</f>
        <v>25.058475637295839</v>
      </c>
      <c r="AJ11" s="3985">
        <f>+$G$11</f>
        <v>25</v>
      </c>
      <c r="AK11" s="3986">
        <f>+'COKE OVENS'!AH211</f>
        <v>24.684769005501316</v>
      </c>
      <c r="AL11" s="3979">
        <f>+$G$11</f>
        <v>25</v>
      </c>
      <c r="AM11" s="3979">
        <f>+'COKE OVENS'!AJ211</f>
        <v>25.012174211340504</v>
      </c>
      <c r="AN11" s="3985">
        <f>+$G$11</f>
        <v>25</v>
      </c>
      <c r="AO11" s="3986">
        <f>+'COKE OVENS'!AL211</f>
        <v>24.683768627239509</v>
      </c>
      <c r="AP11" s="3989">
        <f>+$G$11</f>
        <v>25</v>
      </c>
      <c r="AQ11" s="3989">
        <f>+'COKE OVENS'!AN211</f>
        <v>24.713295051226808</v>
      </c>
      <c r="AR11" s="3979">
        <f>+$G$11</f>
        <v>25</v>
      </c>
      <c r="AS11" s="3979">
        <f>+'COKE OVENS'!AP211</f>
        <v>24.974900787392471</v>
      </c>
      <c r="AT11" s="3985">
        <f>+$G$11</f>
        <v>25</v>
      </c>
      <c r="AU11" s="3986">
        <f>+'COKE OVENS'!AR211</f>
        <v>25.345656749082941</v>
      </c>
      <c r="AV11" s="3979">
        <f>+$G$11</f>
        <v>25</v>
      </c>
      <c r="AW11" s="3979">
        <f>+'COKE OVENS'!AT211</f>
        <v>25.012585931373341</v>
      </c>
      <c r="AX11" s="3985">
        <f>+$G$11</f>
        <v>25</v>
      </c>
      <c r="AY11" s="3986">
        <f>+'COKE OVENS'!AV211</f>
        <v>25.344297687973246</v>
      </c>
      <c r="AZ11" s="3979">
        <f>+$G$11</f>
        <v>25</v>
      </c>
      <c r="BA11" s="3979">
        <f>+'COKE OVENS'!AX211</f>
        <v>25.040468747964361</v>
      </c>
      <c r="BB11" s="3985">
        <f>+$G$11</f>
        <v>25</v>
      </c>
      <c r="BC11" s="3986">
        <f>+'COKE OVENS'!AZ211</f>
        <v>25.351279376814858</v>
      </c>
      <c r="BD11" s="3989">
        <f>+'COKE OVENS'!BA211</f>
        <v>26.237579957558051</v>
      </c>
      <c r="BE11" s="3989">
        <f>+'COKE OVENS'!BB211</f>
        <v>25.347194763682673</v>
      </c>
      <c r="BF11" s="3990">
        <f>+'COKE OVENS'!BC211</f>
        <v>26.237579957558044</v>
      </c>
      <c r="BG11" s="3991">
        <f>+'COKE OVENS'!BD211</f>
        <v>25.027245115245996</v>
      </c>
      <c r="BH11" s="3979">
        <f>+'COKE OVENS'!BE211</f>
        <v>26.432624357920794</v>
      </c>
      <c r="BI11" s="3514">
        <f>+'COKE OVENS'!BF211</f>
        <v>25.067349729752653</v>
      </c>
    </row>
    <row r="12" spans="3:62" ht="15.75" hidden="1" thickBot="1" x14ac:dyDescent="0.3">
      <c r="C12" s="7822"/>
      <c r="D12" s="3992" t="s">
        <v>1379</v>
      </c>
      <c r="E12" s="3982" t="s">
        <v>220</v>
      </c>
      <c r="F12" s="3983"/>
      <c r="G12" s="3993"/>
      <c r="H12" s="3994">
        <f>+'COKE OVENS'!E62</f>
        <v>0</v>
      </c>
      <c r="I12" s="3994">
        <f>+'COKE OVENS'!F62</f>
        <v>0</v>
      </c>
      <c r="J12" s="3994">
        <f>+'COKE OVENS'!G62</f>
        <v>0</v>
      </c>
      <c r="K12" s="3994">
        <f>+'COKE OVENS'!H62</f>
        <v>0</v>
      </c>
      <c r="L12" s="3995">
        <f>+'COKE OVENS'!I62</f>
        <v>0</v>
      </c>
      <c r="M12" s="3995">
        <f>+'COKE OVENS'!J62</f>
        <v>0</v>
      </c>
      <c r="N12" s="3994">
        <f>+'COKE OVENS'!K62</f>
        <v>0</v>
      </c>
      <c r="O12" s="3994">
        <f>+'COKE OVENS'!L62</f>
        <v>0</v>
      </c>
      <c r="P12" s="3996">
        <f>+'COKE OVENS'!M62</f>
        <v>0</v>
      </c>
      <c r="Q12" s="3996">
        <f>+'COKE OVENS'!N62</f>
        <v>0</v>
      </c>
      <c r="R12" s="3994">
        <f>+'COKE OVENS'!O62</f>
        <v>0</v>
      </c>
      <c r="S12" s="3994">
        <f>+'COKE OVENS'!P62</f>
        <v>0</v>
      </c>
      <c r="T12" s="3995">
        <f>+'COKE OVENS'!Q62</f>
        <v>0</v>
      </c>
      <c r="U12" s="3995">
        <f>+'COKE OVENS'!R62</f>
        <v>0</v>
      </c>
      <c r="V12" s="3994">
        <f>+'COKE OVENS'!S62</f>
        <v>0</v>
      </c>
      <c r="W12" s="3994">
        <f>+'COKE OVENS'!T62</f>
        <v>0</v>
      </c>
      <c r="X12" s="3995">
        <f>+'COKE OVENS'!U62</f>
        <v>0</v>
      </c>
      <c r="Y12" s="3995">
        <f>+'COKE OVENS'!V62</f>
        <v>0</v>
      </c>
      <c r="Z12" s="3994">
        <f>+'COKE OVENS'!W62</f>
        <v>0</v>
      </c>
      <c r="AA12" s="3994">
        <f>+'COKE OVENS'!X62</f>
        <v>0</v>
      </c>
      <c r="AB12" s="3997">
        <f>+'COKE OVENS'!Y62</f>
        <v>0</v>
      </c>
      <c r="AC12" s="3997">
        <f>+'COKE OVENS'!Z62</f>
        <v>0</v>
      </c>
      <c r="AD12" s="3990">
        <f>+'COKE OVENS'!AA62</f>
        <v>0</v>
      </c>
      <c r="AE12" s="3991">
        <f>+'COKE OVENS'!AB62</f>
        <v>0</v>
      </c>
      <c r="AF12" s="3994">
        <f>+'COKE OVENS'!AC62</f>
        <v>0</v>
      </c>
      <c r="AG12" s="3994">
        <f>+'COKE OVENS'!AD62</f>
        <v>0</v>
      </c>
      <c r="AH12" s="3995">
        <f>+'COKE OVENS'!AE62</f>
        <v>0</v>
      </c>
      <c r="AI12" s="3995">
        <f>+'COKE OVENS'!AF62</f>
        <v>0</v>
      </c>
      <c r="AJ12" s="3994">
        <f>+'COKE OVENS'!AG62</f>
        <v>0</v>
      </c>
      <c r="AK12" s="3994">
        <f>+'COKE OVENS'!AH62</f>
        <v>0</v>
      </c>
      <c r="AL12" s="3995">
        <f>+'COKE OVENS'!AI62</f>
        <v>0</v>
      </c>
      <c r="AM12" s="3995">
        <f>+'COKE OVENS'!AJ62</f>
        <v>0</v>
      </c>
      <c r="AN12" s="3994">
        <f>+'COKE OVENS'!AK62</f>
        <v>0</v>
      </c>
      <c r="AO12" s="3994">
        <f>+'COKE OVENS'!AL62</f>
        <v>0</v>
      </c>
      <c r="AP12" s="3997">
        <f>+'COKE OVENS'!AM62</f>
        <v>0</v>
      </c>
      <c r="AQ12" s="3997">
        <f>+'COKE OVENS'!AN62</f>
        <v>0</v>
      </c>
      <c r="AR12" s="3995">
        <f>+'COKE OVENS'!AO62</f>
        <v>0</v>
      </c>
      <c r="AS12" s="3995">
        <f>+'COKE OVENS'!AP62</f>
        <v>0</v>
      </c>
      <c r="AT12" s="3994">
        <f>+'COKE OVENS'!AQ62</f>
        <v>0</v>
      </c>
      <c r="AU12" s="3994">
        <f>+'COKE OVENS'!AR62</f>
        <v>0</v>
      </c>
      <c r="AV12" s="3995">
        <f>+'COKE OVENS'!AS62</f>
        <v>0</v>
      </c>
      <c r="AW12" s="3995">
        <f>+'COKE OVENS'!AT62</f>
        <v>0</v>
      </c>
      <c r="AX12" s="3994">
        <f>+'COKE OVENS'!AU62</f>
        <v>0</v>
      </c>
      <c r="AY12" s="3994">
        <f>+'COKE OVENS'!AV62</f>
        <v>0</v>
      </c>
      <c r="AZ12" s="3995">
        <f>+'COKE OVENS'!AW62</f>
        <v>0</v>
      </c>
      <c r="BA12" s="3995">
        <f>+'COKE OVENS'!AX62</f>
        <v>0</v>
      </c>
      <c r="BB12" s="3994">
        <f>+'COKE OVENS'!AY62</f>
        <v>0</v>
      </c>
      <c r="BC12" s="3994">
        <f>+'COKE OVENS'!AZ62</f>
        <v>0</v>
      </c>
      <c r="BD12" s="3998">
        <f>+'COKE OVENS'!BA62</f>
        <v>0</v>
      </c>
      <c r="BE12" s="3998">
        <f>+'COKE OVENS'!BB62</f>
        <v>0</v>
      </c>
      <c r="BF12" s="3999">
        <f>+'COKE OVENS'!BC62</f>
        <v>0</v>
      </c>
      <c r="BG12" s="4000">
        <f>+'COKE OVENS'!BD62</f>
        <v>0</v>
      </c>
      <c r="BH12" s="3995">
        <f>+'COKE OVENS'!BE62</f>
        <v>0</v>
      </c>
      <c r="BI12" s="3515">
        <f>+'COKE OVENS'!BF62</f>
        <v>0</v>
      </c>
    </row>
    <row r="13" spans="3:62" x14ac:dyDescent="0.25">
      <c r="C13" s="7822"/>
      <c r="D13" s="4001"/>
      <c r="E13" s="4002"/>
      <c r="F13" s="4002"/>
      <c r="G13" s="4002"/>
      <c r="H13" s="4002"/>
      <c r="I13" s="4002"/>
      <c r="J13" s="4002"/>
      <c r="K13" s="4002"/>
      <c r="L13" s="4003"/>
      <c r="M13" s="4003"/>
      <c r="N13" s="4002"/>
      <c r="O13" s="4002"/>
      <c r="P13" s="4002"/>
      <c r="Q13" s="4002"/>
      <c r="R13" s="4002"/>
      <c r="S13" s="4002"/>
      <c r="T13" s="4002"/>
      <c r="U13" s="4002"/>
      <c r="V13" s="4002"/>
      <c r="W13" s="4002"/>
      <c r="X13" s="4002"/>
      <c r="Y13" s="4002"/>
      <c r="Z13" s="4002"/>
      <c r="AA13" s="4002"/>
      <c r="AB13" s="4002"/>
      <c r="AC13" s="4002"/>
      <c r="AD13" s="4002"/>
      <c r="AE13" s="4004"/>
      <c r="AF13" s="4002"/>
      <c r="AG13" s="4002"/>
      <c r="AH13" s="4002"/>
      <c r="AI13" s="4002"/>
      <c r="AJ13" s="4002"/>
      <c r="AK13" s="4002"/>
      <c r="AL13" s="4002"/>
      <c r="AM13" s="4002"/>
      <c r="AN13" s="4002"/>
      <c r="AO13" s="4002"/>
      <c r="AP13" s="4002"/>
      <c r="AQ13" s="4002"/>
      <c r="AR13" s="4002"/>
      <c r="AS13" s="4002"/>
      <c r="AT13" s="4002"/>
      <c r="AU13" s="4002"/>
      <c r="AV13" s="4002"/>
      <c r="AW13" s="4002"/>
      <c r="AX13" s="4002"/>
      <c r="AY13" s="4002"/>
      <c r="AZ13" s="4002"/>
      <c r="BA13" s="4002"/>
      <c r="BB13" s="4002"/>
      <c r="BC13" s="4002"/>
      <c r="BD13" s="4002"/>
      <c r="BE13" s="4002"/>
      <c r="BF13" s="4002"/>
      <c r="BG13" s="4004"/>
      <c r="BH13" s="4002"/>
      <c r="BI13" s="4004"/>
    </row>
    <row r="14" spans="3:62" x14ac:dyDescent="0.25">
      <c r="C14" s="7822"/>
      <c r="D14" s="4005" t="s">
        <v>1008</v>
      </c>
      <c r="E14" s="4002"/>
      <c r="F14" s="4002"/>
      <c r="G14" s="4002"/>
      <c r="H14" s="4002"/>
      <c r="I14" s="4002"/>
      <c r="J14" s="4002"/>
      <c r="K14" s="4002"/>
      <c r="L14" s="4003"/>
      <c r="M14" s="4003"/>
      <c r="N14" s="4002"/>
      <c r="O14" s="4002"/>
      <c r="P14" s="4002"/>
      <c r="Q14" s="4002"/>
      <c r="R14" s="4002"/>
      <c r="S14" s="4002"/>
      <c r="T14" s="4002"/>
      <c r="U14" s="4002"/>
      <c r="V14" s="4002"/>
      <c r="W14" s="4002"/>
      <c r="X14" s="4002"/>
      <c r="Y14" s="4002"/>
      <c r="Z14" s="4002"/>
      <c r="AA14" s="4002"/>
      <c r="AB14" s="4002"/>
      <c r="AC14" s="4002"/>
      <c r="AD14" s="4002"/>
      <c r="AE14" s="4004"/>
      <c r="AF14" s="4002"/>
      <c r="AG14" s="4002"/>
      <c r="AH14" s="4002"/>
      <c r="AI14" s="4002"/>
      <c r="AJ14" s="4002"/>
      <c r="AK14" s="4002"/>
      <c r="AL14" s="4002"/>
      <c r="AM14" s="4002"/>
      <c r="AN14" s="4002"/>
      <c r="AO14" s="4002"/>
      <c r="AP14" s="4002"/>
      <c r="AQ14" s="4002"/>
      <c r="AR14" s="4002"/>
      <c r="AS14" s="4002"/>
      <c r="AT14" s="4002"/>
      <c r="AU14" s="4002"/>
      <c r="AV14" s="4002"/>
      <c r="AW14" s="4002"/>
      <c r="AX14" s="4002"/>
      <c r="AY14" s="4002"/>
      <c r="AZ14" s="4002"/>
      <c r="BA14" s="4002"/>
      <c r="BB14" s="4002"/>
      <c r="BC14" s="4002"/>
      <c r="BD14" s="4002"/>
      <c r="BE14" s="4002"/>
      <c r="BF14" s="4002"/>
      <c r="BG14" s="4004"/>
      <c r="BH14" s="4002"/>
      <c r="BI14" s="4004"/>
    </row>
    <row r="15" spans="3:62" x14ac:dyDescent="0.25">
      <c r="C15" s="7822"/>
      <c r="D15" s="4006" t="s">
        <v>1378</v>
      </c>
      <c r="E15" s="3982" t="s">
        <v>49</v>
      </c>
      <c r="F15" s="4007">
        <v>23.078854449800236</v>
      </c>
      <c r="G15" s="3984">
        <v>25</v>
      </c>
      <c r="H15" s="3978">
        <f>+$G$15</f>
        <v>25</v>
      </c>
      <c r="I15" s="3534">
        <f>+'COKE OVENS'!F144</f>
        <v>25.000000000000007</v>
      </c>
      <c r="J15" s="3978">
        <f>+$G$15</f>
        <v>25</v>
      </c>
      <c r="K15" s="3534" t="e">
        <f>+'COKE OVENS'!H144</f>
        <v>#REF!</v>
      </c>
      <c r="L15" s="3979">
        <f>+$G$15</f>
        <v>25</v>
      </c>
      <c r="M15" s="3514" t="e">
        <f>+'COKE OVENS'!J144</f>
        <v>#REF!</v>
      </c>
      <c r="N15" s="3978">
        <f>+$G$15</f>
        <v>25</v>
      </c>
      <c r="O15" s="3534" t="e">
        <f>+'COKE OVENS'!L144</f>
        <v>#REF!</v>
      </c>
      <c r="P15" s="3987">
        <f>+$G$15</f>
        <v>25</v>
      </c>
      <c r="Q15" s="3988" t="e">
        <f>+'COKE OVENS'!N144</f>
        <v>#REF!</v>
      </c>
      <c r="R15" s="3978">
        <f>+$G$15</f>
        <v>25</v>
      </c>
      <c r="S15" s="3534" t="e">
        <f>+'COKE OVENS'!P144</f>
        <v>#REF!</v>
      </c>
      <c r="T15" s="3979">
        <f>+$G$15</f>
        <v>25</v>
      </c>
      <c r="U15" s="3514" t="e">
        <f>+'COKE OVENS'!R144</f>
        <v>#REF!</v>
      </c>
      <c r="V15" s="3978">
        <f>+$G$15</f>
        <v>25</v>
      </c>
      <c r="W15" s="3534" t="e">
        <f>+'COKE OVENS'!T144</f>
        <v>#REF!</v>
      </c>
      <c r="X15" s="3979">
        <f>+$G$15</f>
        <v>25</v>
      </c>
      <c r="Y15" s="3514" t="e">
        <f>+'COKE OVENS'!V144</f>
        <v>#REF!</v>
      </c>
      <c r="Z15" s="3978">
        <f>+$G$15</f>
        <v>25</v>
      </c>
      <c r="AA15" s="3534" t="e">
        <f>+'COKE OVENS'!X144</f>
        <v>#REF!</v>
      </c>
      <c r="AB15" s="3987">
        <f>+$G$15</f>
        <v>25</v>
      </c>
      <c r="AC15" s="3987" t="e">
        <f>+'COKE OVENS'!Z144</f>
        <v>#REF!</v>
      </c>
      <c r="AD15" s="3990">
        <f>+$G$15</f>
        <v>25</v>
      </c>
      <c r="AE15" s="3991" t="e">
        <f>+'COKE OVENS'!AB144</f>
        <v>#REF!</v>
      </c>
      <c r="AF15" s="3978">
        <f>+$G$15</f>
        <v>25</v>
      </c>
      <c r="AG15" s="3534" t="e">
        <f>+'COKE OVENS'!AD144</f>
        <v>#REF!</v>
      </c>
      <c r="AH15" s="3979">
        <f>+$G$15</f>
        <v>25</v>
      </c>
      <c r="AI15" s="3979" t="e">
        <f>+'COKE OVENS'!AF144</f>
        <v>#REF!</v>
      </c>
      <c r="AJ15" s="3978">
        <f>+$G$15</f>
        <v>25</v>
      </c>
      <c r="AK15" s="3534" t="e">
        <f>+'COKE OVENS'!AH144</f>
        <v>#REF!</v>
      </c>
      <c r="AL15" s="3979">
        <f>+$G$15</f>
        <v>25</v>
      </c>
      <c r="AM15" s="3979" t="e">
        <f>+'COKE OVENS'!AJ144</f>
        <v>#REF!</v>
      </c>
      <c r="AN15" s="3978">
        <f>+$G$15</f>
        <v>25</v>
      </c>
      <c r="AO15" s="3534" t="e">
        <f>+'COKE OVENS'!AL144</f>
        <v>#REF!</v>
      </c>
      <c r="AP15" s="3987">
        <f>+$G$15</f>
        <v>25</v>
      </c>
      <c r="AQ15" s="3987" t="e">
        <f>+'COKE OVENS'!AN144</f>
        <v>#REF!</v>
      </c>
      <c r="AR15" s="3979">
        <f>+$G$15</f>
        <v>25</v>
      </c>
      <c r="AS15" s="3979" t="e">
        <f>+'COKE OVENS'!AP144</f>
        <v>#REF!</v>
      </c>
      <c r="AT15" s="3978">
        <f>+$G$15</f>
        <v>25</v>
      </c>
      <c r="AU15" s="3534" t="e">
        <f>+'COKE OVENS'!AR144</f>
        <v>#REF!</v>
      </c>
      <c r="AV15" s="3979">
        <f>+$G$15</f>
        <v>25</v>
      </c>
      <c r="AW15" s="3979" t="e">
        <f>+'COKE OVENS'!AT144</f>
        <v>#REF!</v>
      </c>
      <c r="AX15" s="3978">
        <f>+$G$15</f>
        <v>25</v>
      </c>
      <c r="AY15" s="3534" t="e">
        <f>+'COKE OVENS'!AV144</f>
        <v>#REF!</v>
      </c>
      <c r="AZ15" s="3979">
        <f>+$G$15</f>
        <v>25</v>
      </c>
      <c r="BA15" s="3979" t="e">
        <f>+'COKE OVENS'!AX144</f>
        <v>#REF!</v>
      </c>
      <c r="BB15" s="3978">
        <f>+$G$15</f>
        <v>25</v>
      </c>
      <c r="BC15" s="3534" t="e">
        <f>+'COKE OVENS'!AZ144</f>
        <v>#REF!</v>
      </c>
      <c r="BD15" s="3989">
        <f>+$G$15</f>
        <v>25</v>
      </c>
      <c r="BE15" s="3989" t="e">
        <f>+'COKE OVENS'!BB144</f>
        <v>#REF!</v>
      </c>
      <c r="BF15" s="3990">
        <f>+$G$15</f>
        <v>25</v>
      </c>
      <c r="BG15" s="3991" t="e">
        <f>+'COKE OVENS'!BD144</f>
        <v>#REF!</v>
      </c>
      <c r="BH15" s="3979">
        <f>+$G$15</f>
        <v>25</v>
      </c>
      <c r="BI15" s="3514" t="e">
        <f>+'COKE OVENS'!BF144</f>
        <v>#REF!</v>
      </c>
    </row>
    <row r="16" spans="3:62" x14ac:dyDescent="0.25">
      <c r="C16" s="7822"/>
      <c r="D16" s="4006" t="s">
        <v>1379</v>
      </c>
      <c r="E16" s="3982" t="s">
        <v>220</v>
      </c>
      <c r="F16" s="3666"/>
      <c r="G16" s="3984">
        <v>18.879781979219896</v>
      </c>
      <c r="H16" s="3985">
        <f>+'COKE OVENS'!E60</f>
        <v>19.028571428571432</v>
      </c>
      <c r="I16" s="3994">
        <f>+'COKE OVENS'!F60</f>
        <v>19.033000000000001</v>
      </c>
      <c r="J16" s="3985">
        <f>+'COKE OVENS'!G60</f>
        <v>19.102040816326529</v>
      </c>
      <c r="K16" s="3994">
        <f>+'COKE OVENS'!H60</f>
        <v>19.016666666666666</v>
      </c>
      <c r="L16" s="3995">
        <f>+'COKE OVENS'!I60</f>
        <v>19.065908330545334</v>
      </c>
      <c r="M16" s="3995">
        <f>+'COKE OVENS'!J60</f>
        <v>19.024715610682758</v>
      </c>
      <c r="N16" s="3994">
        <f>+'COKE OVENS'!K60</f>
        <v>18.893617021276597</v>
      </c>
      <c r="O16" s="3994">
        <f>+'COKE OVENS'!L60</f>
        <v>18.866666666666667</v>
      </c>
      <c r="P16" s="3996">
        <f>+'COKE OVENS'!M60</f>
        <v>19.01068424641964</v>
      </c>
      <c r="Q16" s="3996">
        <f>+'COKE OVENS'!N60</f>
        <v>18.973235382760699</v>
      </c>
      <c r="R16" s="3994">
        <f>+'COKE OVENS'!O60</f>
        <v>18.893617021276597</v>
      </c>
      <c r="S16" s="3994">
        <f>+'COKE OVENS'!P60</f>
        <v>18.616666666666667</v>
      </c>
      <c r="T16" s="3995">
        <f>+'COKE OVENS'!Q60</f>
        <v>18.981557377049182</v>
      </c>
      <c r="U16" s="3995">
        <f>+'COKE OVENS'!R60</f>
        <v>18.883896888587724</v>
      </c>
      <c r="V16" s="3994">
        <f>+'COKE OVENS'!S60</f>
        <v>18.893617021276597</v>
      </c>
      <c r="W16" s="3994">
        <f>+'COKE OVENS'!T60</f>
        <v>18.883333333333333</v>
      </c>
      <c r="X16" s="3995">
        <f>+'COKE OVENS'!U60</f>
        <v>18.964036647066866</v>
      </c>
      <c r="Y16" s="3995">
        <f>+'COKE OVENS'!V60</f>
        <v>18.88378155034582</v>
      </c>
      <c r="Z16" s="3994">
        <f>+'COKE OVENS'!W60</f>
        <v>19.283387622149839</v>
      </c>
      <c r="AA16" s="3994">
        <f>+'COKE OVENS'!X60</f>
        <v>19</v>
      </c>
      <c r="AB16" s="3987">
        <f>+'COKE OVENS'!Y60</f>
        <v>19.018973344197416</v>
      </c>
      <c r="AC16" s="3987">
        <f>+'COKE OVENS'!Z60</f>
        <v>18.833445240226801</v>
      </c>
      <c r="AD16" s="3990">
        <f>+'COKE OVENS'!AA60</f>
        <v>19.014779458278223</v>
      </c>
      <c r="AE16" s="3991">
        <f>+'COKE OVENS'!AB60</f>
        <v>18.902994451941822</v>
      </c>
      <c r="AF16" s="3994">
        <f>+'COKE OVENS'!AC60</f>
        <v>18.893617021276597</v>
      </c>
      <c r="AG16" s="3985">
        <f>+'COKE OVENS'!AD60</f>
        <v>19.3</v>
      </c>
      <c r="AH16" s="3979">
        <f>+'COKE OVENS'!AE60</f>
        <v>18.997389548342611</v>
      </c>
      <c r="AI16" s="3979">
        <f>+'COKE OVENS'!AF60</f>
        <v>18.960184498884988</v>
      </c>
      <c r="AJ16" s="3994">
        <f>+'COKE OVENS'!AG60</f>
        <v>18.893617021276597</v>
      </c>
      <c r="AK16" s="3985">
        <f>+'COKE OVENS'!AH60</f>
        <v>18.7</v>
      </c>
      <c r="AL16" s="3979">
        <f>+'COKE OVENS'!AI60</f>
        <v>18.984733814816419</v>
      </c>
      <c r="AM16" s="3979">
        <f>+'COKE OVENS'!AJ60</f>
        <v>18.929022764503195</v>
      </c>
      <c r="AN16" s="3994">
        <f>+'COKE OVENS'!AK60</f>
        <v>18.893617021276597</v>
      </c>
      <c r="AO16" s="3985">
        <f>+'COKE OVENS'!AL60</f>
        <v>19.05</v>
      </c>
      <c r="AP16" s="3987">
        <f>+'COKE OVENS'!AM60</f>
        <v>18.893617021276601</v>
      </c>
      <c r="AQ16" s="3987">
        <f>+'COKE OVENS'!AN60</f>
        <v>19.022393270001142</v>
      </c>
      <c r="AR16" s="3979">
        <f>+'COKE OVENS'!AO60</f>
        <v>18.974536236893652</v>
      </c>
      <c r="AS16" s="3979">
        <f>+'COKE OVENS'!AP60</f>
        <v>18.942328846323043</v>
      </c>
      <c r="AT16" s="3994">
        <f>+'COKE OVENS'!AQ60</f>
        <v>18.893617021276597</v>
      </c>
      <c r="AU16" s="3985">
        <f>+'COKE OVENS'!AR60</f>
        <v>19.05</v>
      </c>
      <c r="AV16" s="3979">
        <f>+'COKE OVENS'!AS60</f>
        <v>18.966391489067735</v>
      </c>
      <c r="AW16" s="3979">
        <f>+'COKE OVENS'!AT60</f>
        <v>18.953073668013083</v>
      </c>
      <c r="AX16" s="3994">
        <f>+'COKE OVENS'!AU60</f>
        <v>18.893617021276597</v>
      </c>
      <c r="AY16" s="3985">
        <f>+'COKE OVENS'!AV60</f>
        <v>18.916666666666668</v>
      </c>
      <c r="AZ16" s="3979">
        <f>+'COKE OVENS'!AW60</f>
        <v>18.960326758066049</v>
      </c>
      <c r="BA16" s="3979">
        <f>+'COKE OVENS'!AX60</f>
        <v>18.950075377667034</v>
      </c>
      <c r="BB16" s="3994">
        <f>+'COKE OVENS'!AY60</f>
        <v>18.893617021276597</v>
      </c>
      <c r="BC16" s="3985">
        <f>+'COKE OVENS'!AZ60</f>
        <v>19.05</v>
      </c>
      <c r="BD16" s="3989">
        <f>+'COKE OVENS'!BA60</f>
        <v>18.893617021276601</v>
      </c>
      <c r="BE16" s="3989">
        <f>+'COKE OVENS'!BB60</f>
        <v>19.009112348256402</v>
      </c>
      <c r="BF16" s="3990">
        <f>+'COKE OVENS'!BC60</f>
        <v>18.893617021276601</v>
      </c>
      <c r="BG16" s="3991">
        <f>+'COKE OVENS'!BD60</f>
        <v>19.015796800890989</v>
      </c>
      <c r="BH16" s="3979">
        <f>+'COKE OVENS'!BE60</f>
        <v>18.954691712322809</v>
      </c>
      <c r="BI16" s="3514">
        <f>+'COKE OVENS'!BF60</f>
        <v>18.958713541814873</v>
      </c>
      <c r="BJ16" s="5885"/>
    </row>
    <row r="17" spans="3:62" x14ac:dyDescent="0.25">
      <c r="C17" s="7822"/>
      <c r="D17" s="4006" t="s">
        <v>1009</v>
      </c>
      <c r="E17" s="3982" t="s">
        <v>49</v>
      </c>
      <c r="F17" s="3983">
        <v>84.340172124348669</v>
      </c>
      <c r="G17" s="3993" t="s">
        <v>1927</v>
      </c>
      <c r="H17" s="3985" t="str">
        <f>$G$17</f>
        <v>85.0-86.5</v>
      </c>
      <c r="I17" s="3986">
        <f>+'COKE OVENS'!F154</f>
        <v>86.8</v>
      </c>
      <c r="J17" s="3985" t="str">
        <f>$G$17</f>
        <v>85.0-86.5</v>
      </c>
      <c r="K17" s="3986">
        <f>+'COKE OVENS'!H154</f>
        <v>86.48</v>
      </c>
      <c r="L17" s="3979" t="str">
        <f>$G$17</f>
        <v>85.0-86.5</v>
      </c>
      <c r="M17" s="3514">
        <f>+'COKE OVENS'!J154</f>
        <v>86.637120269133732</v>
      </c>
      <c r="N17" s="3985" t="str">
        <f>$G$17</f>
        <v>85.0-86.5</v>
      </c>
      <c r="O17" s="3986">
        <f>+'COKE OVENS'!L154</f>
        <v>86.8</v>
      </c>
      <c r="P17" s="3987" t="str">
        <f>$G$17</f>
        <v>85.0-86.5</v>
      </c>
      <c r="Q17" s="3988">
        <f>+'COKE OVENS'!N154</f>
        <v>86.690300215248683</v>
      </c>
      <c r="R17" s="3985" t="str">
        <f>$G$17</f>
        <v>85.0-86.5</v>
      </c>
      <c r="S17" s="3986">
        <f>+'COKE OVENS'!P154</f>
        <v>86.6</v>
      </c>
      <c r="T17" s="3979" t="str">
        <f>$G$17</f>
        <v>85.0-86.5</v>
      </c>
      <c r="U17" s="3514">
        <f>+'COKE OVENS'!R154</f>
        <v>86.667635129401788</v>
      </c>
      <c r="V17" s="3985" t="str">
        <f>$G$17</f>
        <v>85.0-86.5</v>
      </c>
      <c r="W17" s="3986">
        <f>+'COKE OVENS'!T154</f>
        <v>86.4</v>
      </c>
      <c r="X17" s="3979" t="str">
        <f>$G$17</f>
        <v>85.0-86.5</v>
      </c>
      <c r="Y17" s="3514">
        <f>+'COKE OVENS'!V154</f>
        <v>86.6127828374823</v>
      </c>
      <c r="Z17" s="3985" t="str">
        <f>$G$17</f>
        <v>85.0-86.5</v>
      </c>
      <c r="AA17" s="3986">
        <f>+'COKE OVENS'!X154</f>
        <v>86.2</v>
      </c>
      <c r="AB17" s="3987" t="str">
        <f>$G$17</f>
        <v>85.0-86.5</v>
      </c>
      <c r="AC17" s="3987">
        <f>+'COKE OVENS'!Z154</f>
        <v>86.400402864816485</v>
      </c>
      <c r="AD17" s="3990" t="str">
        <f>$G$17</f>
        <v>85.0-86.5</v>
      </c>
      <c r="AE17" s="3991">
        <f>+'COKE OVENS'!AB154</f>
        <v>86.544462084107423</v>
      </c>
      <c r="AF17" s="3985" t="str">
        <f>$G$17</f>
        <v>85.0-86.5</v>
      </c>
      <c r="AG17" s="3986">
        <f>+'COKE OVENS'!AD154</f>
        <v>86.2</v>
      </c>
      <c r="AH17" s="3979" t="str">
        <f>$G$17</f>
        <v>85.0-86.5</v>
      </c>
      <c r="AI17" s="3514">
        <f>+'COKE OVENS'!AF154</f>
        <v>86.494973196344617</v>
      </c>
      <c r="AJ17" s="3985" t="str">
        <f>$G$17</f>
        <v>85.0-86.5</v>
      </c>
      <c r="AK17" s="3986">
        <f>+'COKE OVENS'!AH154</f>
        <v>86.3</v>
      </c>
      <c r="AL17" s="3979" t="str">
        <f>$G$17</f>
        <v>85.0-86.5</v>
      </c>
      <c r="AM17" s="3514">
        <f>+'COKE OVENS'!AJ154</f>
        <v>86.471735292950825</v>
      </c>
      <c r="AN17" s="3985" t="str">
        <f>$G$17</f>
        <v>85.0-86.5</v>
      </c>
      <c r="AO17" s="3986">
        <f>+'COKE OVENS'!AL154</f>
        <v>86.3</v>
      </c>
      <c r="AP17" s="3987" t="str">
        <f>$G$17</f>
        <v>85.0-86.5</v>
      </c>
      <c r="AQ17" s="3987">
        <f>+'COKE OVENS'!AN154</f>
        <v>86.265678644059307</v>
      </c>
      <c r="AR17" s="3979" t="str">
        <f>$G$17</f>
        <v>85.0-86.5</v>
      </c>
      <c r="AS17" s="3514">
        <f>+'COKE OVENS'!AP154</f>
        <v>86.452928255650136</v>
      </c>
      <c r="AT17" s="3985" t="str">
        <f>$G$17</f>
        <v>85.0-86.5</v>
      </c>
      <c r="AU17" s="3986">
        <f>+'COKE OVENS'!AR154</f>
        <v>86.5</v>
      </c>
      <c r="AV17" s="3979" t="str">
        <f>$G$17</f>
        <v>85.0-86.5</v>
      </c>
      <c r="AW17" s="3514">
        <f>+'COKE OVENS'!AT154</f>
        <v>86.457607354803201</v>
      </c>
      <c r="AX17" s="3985" t="str">
        <f>$G$17</f>
        <v>85.0-86.5</v>
      </c>
      <c r="AY17" s="3986">
        <f>+'COKE OVENS'!AV154</f>
        <v>86.5</v>
      </c>
      <c r="AZ17" s="3979" t="str">
        <f>$G$17</f>
        <v>85.0-86.5</v>
      </c>
      <c r="BA17" s="3514">
        <f>+'COKE OVENS'!AX154</f>
        <v>86.461086086876179</v>
      </c>
      <c r="BB17" s="3985" t="s">
        <v>1927</v>
      </c>
      <c r="BC17" s="3986">
        <f>+'COKE OVENS'!AZ154</f>
        <v>86.9</v>
      </c>
      <c r="BD17" s="3989" t="str">
        <f>$G$17</f>
        <v>85.0-86.5</v>
      </c>
      <c r="BE17" s="3989">
        <f>+'COKE OVENS'!BB154</f>
        <v>86.640941776849914</v>
      </c>
      <c r="BF17" s="3990" t="str">
        <f>$G$17</f>
        <v>85.0-86.5</v>
      </c>
      <c r="BG17" s="3991">
        <f>+'COKE OVENS'!BD154</f>
        <v>86.451974753968159</v>
      </c>
      <c r="BH17" s="3979" t="str">
        <f>$G$17</f>
        <v>85.0-86.5</v>
      </c>
      <c r="BI17" s="3514">
        <f>+'COKE OVENS'!BF154</f>
        <v>86.498904601182701</v>
      </c>
    </row>
    <row r="18" spans="3:62" x14ac:dyDescent="0.25">
      <c r="C18" s="7822"/>
      <c r="D18" s="4006" t="s">
        <v>205</v>
      </c>
      <c r="E18" s="3982" t="s">
        <v>49</v>
      </c>
      <c r="F18" s="3983">
        <v>7.9983421553617724</v>
      </c>
      <c r="G18" s="3984" t="s">
        <v>1928</v>
      </c>
      <c r="H18" s="3985" t="str">
        <f>$G$18</f>
        <v>7.5-8.0</v>
      </c>
      <c r="I18" s="3986">
        <f>+'COKE OVENS'!F155</f>
        <v>7.6</v>
      </c>
      <c r="J18" s="3985" t="str">
        <f>$G$18</f>
        <v>7.5-8.0</v>
      </c>
      <c r="K18" s="3986">
        <f>+'COKE OVENS'!H155</f>
        <v>7.64</v>
      </c>
      <c r="L18" s="3979" t="str">
        <f>$G$18</f>
        <v>7.5-8.0</v>
      </c>
      <c r="M18" s="3514">
        <f>+'COKE OVENS'!J155</f>
        <v>7.6203599663582846</v>
      </c>
      <c r="N18" s="3985" t="str">
        <f>$G$18</f>
        <v>7.5-8.0</v>
      </c>
      <c r="O18" s="3986">
        <f>+'COKE OVENS'!L155</f>
        <v>7.7</v>
      </c>
      <c r="P18" s="3987" t="str">
        <f>$G$18</f>
        <v>7.5-8.0</v>
      </c>
      <c r="Q18" s="3988">
        <f>+'COKE OVENS'!N155</f>
        <v>7.6463622974963181</v>
      </c>
      <c r="R18" s="3985" t="str">
        <f>$G$18</f>
        <v>7.5-8.0</v>
      </c>
      <c r="S18" s="3986">
        <f>+'COKE OVENS'!P155</f>
        <v>7.8</v>
      </c>
      <c r="T18" s="3979" t="str">
        <f>$G$18</f>
        <v>7.5-8.0</v>
      </c>
      <c r="U18" s="3514">
        <f>+'COKE OVENS'!R155</f>
        <v>7.6849249045396686</v>
      </c>
      <c r="V18" s="3985" t="str">
        <f>$G$18</f>
        <v>7.5-8.0</v>
      </c>
      <c r="W18" s="3986">
        <f>+'COKE OVENS'!T155</f>
        <v>7.9</v>
      </c>
      <c r="X18" s="3979" t="str">
        <f>$G$18</f>
        <v>7.5-8.0</v>
      </c>
      <c r="Y18" s="3514">
        <f>+'COKE OVENS'!V155</f>
        <v>7.7290049247790602</v>
      </c>
      <c r="Z18" s="3985" t="str">
        <f>$G$18</f>
        <v>7.5-8.0</v>
      </c>
      <c r="AA18" s="3986">
        <f>+'COKE OVENS'!X155</f>
        <v>7.9</v>
      </c>
      <c r="AB18" s="3987" t="str">
        <f>$G$18</f>
        <v>7.5-8.0</v>
      </c>
      <c r="AC18" s="3987">
        <f>+'COKE OVENS'!Z155</f>
        <v>7.8668979409131605</v>
      </c>
      <c r="AD18" s="3990" t="str">
        <f>$G$18</f>
        <v>7.5-8.0</v>
      </c>
      <c r="AE18" s="3991">
        <f>+'COKE OVENS'!AB155</f>
        <v>7.7573067612452853</v>
      </c>
      <c r="AF18" s="3985" t="str">
        <f>$G$18</f>
        <v>7.5-8.0</v>
      </c>
      <c r="AG18" s="3986">
        <f>+'COKE OVENS'!AD155</f>
        <v>7.8</v>
      </c>
      <c r="AH18" s="3979" t="str">
        <f>$G$18</f>
        <v>7.5-8.0</v>
      </c>
      <c r="AI18" s="3514">
        <f>+'COKE OVENS'!AF155</f>
        <v>7.7634405013532515</v>
      </c>
      <c r="AJ18" s="3985" t="str">
        <f>$G$18</f>
        <v>7.5-8.0</v>
      </c>
      <c r="AK18" s="3986">
        <f>+'COKE OVENS'!AH155</f>
        <v>7.8</v>
      </c>
      <c r="AL18" s="3979" t="str">
        <f>$G$18</f>
        <v>7.5-8.0</v>
      </c>
      <c r="AM18" s="3514">
        <f>+'COKE OVENS'!AJ155</f>
        <v>7.7677978495098507</v>
      </c>
      <c r="AN18" s="3985" t="str">
        <f>$G$18</f>
        <v>7.5-8.0</v>
      </c>
      <c r="AO18" s="3986">
        <f>+'COKE OVENS'!AL155</f>
        <v>7.7</v>
      </c>
      <c r="AP18" s="3987" t="str">
        <f>$G$18</f>
        <v>7.5-8.0</v>
      </c>
      <c r="AQ18" s="3987">
        <f>+'COKE OVENS'!AN155</f>
        <v>7.766646134275585</v>
      </c>
      <c r="AR18" s="3979" t="str">
        <f>$G$18</f>
        <v>7.5-8.0</v>
      </c>
      <c r="AS18" s="3514">
        <f>+'COKE OVENS'!AP155</f>
        <v>7.7603731864558609</v>
      </c>
      <c r="AT18" s="3985" t="str">
        <f>$G$18</f>
        <v>7.5-8.0</v>
      </c>
      <c r="AU18" s="3986">
        <f>+'COKE OVENS'!AR155</f>
        <v>7.7</v>
      </c>
      <c r="AV18" s="3979" t="str">
        <f>$G$18</f>
        <v>7.5-8.0</v>
      </c>
      <c r="AW18" s="3514">
        <f>+'COKE OVENS'!AT155</f>
        <v>7.7543718765508247</v>
      </c>
      <c r="AX18" s="3985" t="str">
        <f>$G$18</f>
        <v>7.5-8.0</v>
      </c>
      <c r="AY18" s="3986">
        <f>+'COKE OVENS'!AV155</f>
        <v>7.6</v>
      </c>
      <c r="AZ18" s="3979" t="str">
        <f>$G$18</f>
        <v>7.5-8.0</v>
      </c>
      <c r="BA18" s="3514">
        <f>+'COKE OVENS'!AX155</f>
        <v>7.7417041509198716</v>
      </c>
      <c r="BB18" s="3985" t="s">
        <v>1928</v>
      </c>
      <c r="BC18" s="3986">
        <f>+'COKE OVENS'!AZ155</f>
        <v>7.5</v>
      </c>
      <c r="BD18" s="3989" t="str">
        <f>$G$18</f>
        <v>7.5-8.0</v>
      </c>
      <c r="BE18" s="3989">
        <f>+'COKE OVENS'!BB155</f>
        <v>7.5988633727673385</v>
      </c>
      <c r="BF18" s="3990" t="str">
        <f>$G$18</f>
        <v>7.5-8.0</v>
      </c>
      <c r="BG18" s="3991">
        <f>+'COKE OVENS'!BD155</f>
        <v>7.6833518454220293</v>
      </c>
      <c r="BH18" s="3979" t="str">
        <f>$G$18</f>
        <v>7.5-8.0</v>
      </c>
      <c r="BI18" s="3514">
        <f>+'COKE OVENS'!BF155</f>
        <v>7.7208779897611848</v>
      </c>
    </row>
    <row r="19" spans="3:62" x14ac:dyDescent="0.25">
      <c r="C19" s="7822"/>
      <c r="D19" s="4006" t="s">
        <v>1010</v>
      </c>
      <c r="E19" s="3982" t="s">
        <v>49</v>
      </c>
      <c r="F19" s="3983">
        <v>64.448248492385474</v>
      </c>
      <c r="G19" s="3984" t="s">
        <v>1929</v>
      </c>
      <c r="H19" s="3985" t="str">
        <f>$G$19</f>
        <v>64.0-65.5</v>
      </c>
      <c r="I19" s="3986">
        <f>+'COKE OVENS'!F156</f>
        <v>65.400000000000006</v>
      </c>
      <c r="J19" s="3985" t="str">
        <f>$G$19</f>
        <v>64.0-65.5</v>
      </c>
      <c r="K19" s="3986">
        <f>+'COKE OVENS'!H156</f>
        <v>65.19</v>
      </c>
      <c r="L19" s="3979" t="str">
        <f>$G$19</f>
        <v>64.0-65.5</v>
      </c>
      <c r="M19" s="3514">
        <f>+'COKE OVENS'!J156</f>
        <v>65.293110176618995</v>
      </c>
      <c r="N19" s="3985" t="str">
        <f>$G$19</f>
        <v>64.0-65.5</v>
      </c>
      <c r="O19" s="3986">
        <f>+'COKE OVENS'!L156</f>
        <v>65.099999999999994</v>
      </c>
      <c r="P19" s="3987" t="str">
        <f>$G$19</f>
        <v>64.0-65.5</v>
      </c>
      <c r="Q19" s="3988">
        <f>+'COKE OVENS'!N156</f>
        <v>65.230060043049733</v>
      </c>
      <c r="R19" s="3985" t="str">
        <f>$G$19</f>
        <v>64.0-65.5</v>
      </c>
      <c r="S19" s="3986">
        <f>+'COKE OVENS'!P156</f>
        <v>65.7</v>
      </c>
      <c r="T19" s="3979" t="str">
        <f>$G$19</f>
        <v>64.0-65.5</v>
      </c>
      <c r="U19" s="3514">
        <f>+'COKE OVENS'!R156</f>
        <v>65.348013576580399</v>
      </c>
      <c r="V19" s="3985" t="str">
        <f>$G$19</f>
        <v>64.0-65.5</v>
      </c>
      <c r="W19" s="3986">
        <f>+'COKE OVENS'!T156</f>
        <v>65.5</v>
      </c>
      <c r="X19" s="3979" t="str">
        <f>$G$19</f>
        <v>64.0-65.5</v>
      </c>
      <c r="Y19" s="3514">
        <f>+'COKE OVENS'!V156</f>
        <v>65.379163462187137</v>
      </c>
      <c r="Z19" s="3985" t="str">
        <f>$G$19</f>
        <v>64.0-65.5</v>
      </c>
      <c r="AA19" s="3986">
        <f>+'COKE OVENS'!X156</f>
        <v>65.7</v>
      </c>
      <c r="AB19" s="3987" t="str">
        <f>$G$19</f>
        <v>64.0-65.5</v>
      </c>
      <c r="AC19" s="3987">
        <f>+'COKE OVENS'!Z156</f>
        <v>65.63200537153088</v>
      </c>
      <c r="AD19" s="3990" t="str">
        <f>$G$19</f>
        <v>64.0-65.5</v>
      </c>
      <c r="AE19" s="3991">
        <f>+'COKE OVENS'!AB156</f>
        <v>65.432265946067673</v>
      </c>
      <c r="AF19" s="3985" t="str">
        <f>$G$19</f>
        <v>64.0-65.5</v>
      </c>
      <c r="AG19" s="3986">
        <f>+'COKE OVENS'!AD156</f>
        <v>66</v>
      </c>
      <c r="AH19" s="3979" t="str">
        <f>$G$19</f>
        <v>64.0-65.5</v>
      </c>
      <c r="AI19" s="3514">
        <f>+'COKE OVENS'!AF156</f>
        <v>65.513832330788915</v>
      </c>
      <c r="AJ19" s="3985" t="str">
        <f>$G$19</f>
        <v>64.0-65.5</v>
      </c>
      <c r="AK19" s="3986">
        <f>+'COKE OVENS'!AH156</f>
        <v>65.599999999999994</v>
      </c>
      <c r="AL19" s="3979" t="str">
        <f>$G$19</f>
        <v>64.0-65.5</v>
      </c>
      <c r="AM19" s="3514">
        <f>+'COKE OVENS'!AJ156</f>
        <v>65.524102234603063</v>
      </c>
      <c r="AN19" s="3985" t="str">
        <f>$G$19</f>
        <v>64.0-65.5</v>
      </c>
      <c r="AO19" s="3986">
        <f>+'COKE OVENS'!AL156</f>
        <v>65</v>
      </c>
      <c r="AP19" s="3987" t="str">
        <f>$G$19</f>
        <v>64.0-65.5</v>
      </c>
      <c r="AQ19" s="3987">
        <f>+'COKE OVENS'!AN156</f>
        <v>65.537162229416225</v>
      </c>
      <c r="AR19" s="3979" t="str">
        <f>$G$19</f>
        <v>64.0-65.5</v>
      </c>
      <c r="AS19" s="3514">
        <f>+'COKE OVENS'!AP156</f>
        <v>65.466706866963776</v>
      </c>
      <c r="AT19" s="3985" t="str">
        <f>$G$19</f>
        <v>64.0-65.5</v>
      </c>
      <c r="AU19" s="3986">
        <f>+'COKE OVENS'!AR156</f>
        <v>65.400000000000006</v>
      </c>
      <c r="AV19" s="3979" t="str">
        <f>$G$19</f>
        <v>64.0-65.5</v>
      </c>
      <c r="AW19" s="3514">
        <f>+'COKE OVENS'!AT156</f>
        <v>65.460075966642876</v>
      </c>
      <c r="AX19" s="3985" t="str">
        <f>$G$19</f>
        <v>64.0-65.5</v>
      </c>
      <c r="AY19" s="3986">
        <f>+'COKE OVENS'!AV156</f>
        <v>65.400000000000006</v>
      </c>
      <c r="AZ19" s="3979" t="str">
        <f>$G$19</f>
        <v>64.0-65.5</v>
      </c>
      <c r="BA19" s="3514">
        <f>+'COKE OVENS'!AX156</f>
        <v>65.455146144712558</v>
      </c>
      <c r="BB19" s="3985" t="s">
        <v>1929</v>
      </c>
      <c r="BC19" s="3986">
        <f>+'COKE OVENS'!AZ156</f>
        <v>65.599999999999994</v>
      </c>
      <c r="BD19" s="3989" t="str">
        <f>$G$19</f>
        <v>64.0-65.5</v>
      </c>
      <c r="BE19" s="3989">
        <f>+'COKE OVENS'!BB156</f>
        <v>65.47047088842497</v>
      </c>
      <c r="BF19" s="3990" t="str">
        <f>$G$19</f>
        <v>64.0-65.5</v>
      </c>
      <c r="BG19" s="3991">
        <f>+'COKE OVENS'!BD156</f>
        <v>65.504053894742142</v>
      </c>
      <c r="BH19" s="3979" t="str">
        <f>$G$19</f>
        <v>64.0-65.5</v>
      </c>
      <c r="BI19" s="3514">
        <f>+'COKE OVENS'!BF156</f>
        <v>65.467627311143474</v>
      </c>
    </row>
    <row r="20" spans="3:62" x14ac:dyDescent="0.25">
      <c r="C20" s="7822"/>
      <c r="D20" s="4006" t="s">
        <v>1011</v>
      </c>
      <c r="E20" s="3982" t="s">
        <v>49</v>
      </c>
      <c r="F20" s="3983">
        <v>22.958247683476721</v>
      </c>
      <c r="G20" s="3984" t="s">
        <v>1930</v>
      </c>
      <c r="H20" s="3985" t="str">
        <f>$G$20</f>
        <v>22.5-24.0</v>
      </c>
      <c r="I20" s="3986">
        <f>+'COKE OVENS'!F157</f>
        <v>23.7</v>
      </c>
      <c r="J20" s="3985" t="str">
        <f>$G$20</f>
        <v>22.5-24.0</v>
      </c>
      <c r="K20" s="3986">
        <f>+'COKE OVENS'!H157</f>
        <v>23.19</v>
      </c>
      <c r="L20" s="3979" t="str">
        <f>$G$20</f>
        <v>22.5-24.0</v>
      </c>
      <c r="M20" s="3514">
        <f>+'COKE OVENS'!J157</f>
        <v>23.440410428931877</v>
      </c>
      <c r="N20" s="3985" t="str">
        <f>$G$20</f>
        <v>22.5-24.0</v>
      </c>
      <c r="O20" s="3986">
        <f>+'COKE OVENS'!L157</f>
        <v>23.8</v>
      </c>
      <c r="P20" s="3987" t="str">
        <f>$G$20</f>
        <v>22.5-24.0</v>
      </c>
      <c r="Q20" s="3988">
        <f>+'COKE OVENS'!N157</f>
        <v>23.557815792454967</v>
      </c>
      <c r="R20" s="3985" t="str">
        <f>$G$20</f>
        <v>22.5-24.0</v>
      </c>
      <c r="S20" s="3986">
        <f>+'COKE OVENS'!P157</f>
        <v>23.2</v>
      </c>
      <c r="T20" s="3979" t="str">
        <f>$G$20</f>
        <v>22.5-24.0</v>
      </c>
      <c r="U20" s="3514">
        <f>+'COKE OVENS'!R157</f>
        <v>23.468005091217648</v>
      </c>
      <c r="V20" s="3985" t="str">
        <f>$G$20</f>
        <v>22.5-24.0</v>
      </c>
      <c r="W20" s="3986">
        <f>+'COKE OVENS'!T157</f>
        <v>22.8</v>
      </c>
      <c r="X20" s="3979" t="str">
        <f>$G$20</f>
        <v>22.5-24.0</v>
      </c>
      <c r="Y20" s="3514">
        <f>+'COKE OVENS'!V157</f>
        <v>23.331096269311203</v>
      </c>
      <c r="Z20" s="3985" t="str">
        <f>$G$20</f>
        <v>22.5-24.0</v>
      </c>
      <c r="AA20" s="3986">
        <f>+'COKE OVENS'!X157</f>
        <v>23.5</v>
      </c>
      <c r="AB20" s="3987" t="str">
        <f>$G$20</f>
        <v>22.5-24.0</v>
      </c>
      <c r="AC20" s="3987">
        <f>+'COKE OVENS'!Z157</f>
        <v>23.16271262309758</v>
      </c>
      <c r="AD20" s="3990" t="str">
        <f>$G$20</f>
        <v>22.5-24.0</v>
      </c>
      <c r="AE20" s="3991">
        <f>+'COKE OVENS'!AB157</f>
        <v>23.359051961943365</v>
      </c>
      <c r="AF20" s="3985" t="str">
        <f>$G$20</f>
        <v>22.5-24.0</v>
      </c>
      <c r="AG20" s="3986">
        <f>+'COKE OVENS'!AD157</f>
        <v>23.3</v>
      </c>
      <c r="AH20" s="3979" t="str">
        <f>$G$20</f>
        <v>22.5-24.0</v>
      </c>
      <c r="AI20" s="3514">
        <f>+'COKE OVENS'!AF157</f>
        <v>23.350567963118468</v>
      </c>
      <c r="AJ20" s="3985" t="str">
        <f>$G$20</f>
        <v>22.5-24.0</v>
      </c>
      <c r="AK20" s="3986">
        <f>+'COKE OVENS'!AH157</f>
        <v>23.6</v>
      </c>
      <c r="AL20" s="3979" t="str">
        <f>$G$20</f>
        <v>22.5-24.0</v>
      </c>
      <c r="AM20" s="3514">
        <f>+'COKE OVENS'!AJ157</f>
        <v>23.380296549842384</v>
      </c>
      <c r="AN20" s="3985" t="str">
        <f>$G$20</f>
        <v>22.5-24.0</v>
      </c>
      <c r="AO20" s="3986">
        <f>+'COKE OVENS'!AL157</f>
        <v>23.5</v>
      </c>
      <c r="AP20" s="3987" t="str">
        <f>$G$20</f>
        <v>22.5-24.0</v>
      </c>
      <c r="AQ20" s="3987">
        <f>+'COKE OVENS'!AN157</f>
        <v>23.463682066453543</v>
      </c>
      <c r="AR20" s="3979" t="str">
        <f>$G$20</f>
        <v>22.5-24.0</v>
      </c>
      <c r="AS20" s="3514">
        <f>+'COKE OVENS'!AP157</f>
        <v>23.393405487518816</v>
      </c>
      <c r="AT20" s="3985" t="str">
        <f>$G$20</f>
        <v>22.5-24.0</v>
      </c>
      <c r="AU20" s="3986">
        <f>+'COKE OVENS'!AR157</f>
        <v>23.5</v>
      </c>
      <c r="AV20" s="3979" t="str">
        <f>$G$20</f>
        <v>22.5-24.0</v>
      </c>
      <c r="AW20" s="3514">
        <f>+'COKE OVENS'!AT157</f>
        <v>23.404001361964561</v>
      </c>
      <c r="AX20" s="3985" t="str">
        <f>$G$20</f>
        <v>22.5-24.0</v>
      </c>
      <c r="AY20" s="3986">
        <f>+'COKE OVENS'!AV157</f>
        <v>23.2</v>
      </c>
      <c r="AZ20" s="3979" t="str">
        <f>$G$20</f>
        <v>22.5-24.0</v>
      </c>
      <c r="BA20" s="3514">
        <f>+'COKE OVENS'!AX157</f>
        <v>23.387261050585003</v>
      </c>
      <c r="BB20" s="3985" t="s">
        <v>1930</v>
      </c>
      <c r="BC20" s="3986">
        <f>+'COKE OVENS'!AZ157</f>
        <v>23.1</v>
      </c>
      <c r="BD20" s="3989" t="str">
        <f>$G$20</f>
        <v>22.5-24.0</v>
      </c>
      <c r="BE20" s="3989">
        <f>+'COKE OVENS'!BB157</f>
        <v>23.26706100672698</v>
      </c>
      <c r="BF20" s="3990" t="str">
        <f>$G$20</f>
        <v>22.5-24.0</v>
      </c>
      <c r="BG20" s="3991">
        <f>+'COKE OVENS'!BD157</f>
        <v>23.366071255924886</v>
      </c>
      <c r="BH20" s="3979" t="str">
        <f>$G$20</f>
        <v>22.5-24.0</v>
      </c>
      <c r="BI20" s="3514">
        <f>+'COKE OVENS'!BF157</f>
        <v>23.362509531377206</v>
      </c>
    </row>
    <row r="21" spans="3:62" x14ac:dyDescent="0.25">
      <c r="C21" s="7822"/>
      <c r="D21" s="4005" t="s">
        <v>1012</v>
      </c>
      <c r="E21" s="3976"/>
      <c r="F21" s="4007"/>
      <c r="G21" s="4009"/>
      <c r="H21" s="3978"/>
      <c r="I21" s="3534"/>
      <c r="J21" s="3978"/>
      <c r="K21" s="3534"/>
      <c r="L21" s="3979"/>
      <c r="M21" s="3514"/>
      <c r="N21" s="3978"/>
      <c r="O21" s="3534"/>
      <c r="P21" s="3978"/>
      <c r="Q21" s="3534"/>
      <c r="R21" s="3978"/>
      <c r="S21" s="3534"/>
      <c r="T21" s="3978"/>
      <c r="U21" s="3534"/>
      <c r="V21" s="3978"/>
      <c r="W21" s="3534"/>
      <c r="X21" s="3978"/>
      <c r="Y21" s="3534"/>
      <c r="Z21" s="3978"/>
      <c r="AA21" s="3534"/>
      <c r="AB21" s="3978"/>
      <c r="AC21" s="3978"/>
      <c r="AD21" s="3978"/>
      <c r="AE21" s="3980"/>
      <c r="AF21" s="3978"/>
      <c r="AG21" s="3534"/>
      <c r="AH21" s="3978"/>
      <c r="AI21" s="3534"/>
      <c r="AJ21" s="3978"/>
      <c r="AK21" s="3534"/>
      <c r="AL21" s="3978"/>
      <c r="AM21" s="3534"/>
      <c r="AN21" s="3978"/>
      <c r="AO21" s="3534"/>
      <c r="AP21" s="3978"/>
      <c r="AQ21" s="3978"/>
      <c r="AR21" s="3978"/>
      <c r="AS21" s="3534"/>
      <c r="AT21" s="3978"/>
      <c r="AU21" s="3534"/>
      <c r="AV21" s="3978"/>
      <c r="AW21" s="3534"/>
      <c r="AX21" s="3978"/>
      <c r="AY21" s="3534"/>
      <c r="AZ21" s="3978"/>
      <c r="BA21" s="3534"/>
      <c r="BB21" s="3978"/>
      <c r="BC21" s="3534"/>
      <c r="BD21" s="3978"/>
      <c r="BE21" s="3978"/>
      <c r="BF21" s="3978"/>
      <c r="BG21" s="3980"/>
      <c r="BH21" s="3978"/>
      <c r="BI21" s="3534"/>
    </row>
    <row r="22" spans="3:62" x14ac:dyDescent="0.25">
      <c r="C22" s="7822"/>
      <c r="D22" s="4006" t="s">
        <v>1378</v>
      </c>
      <c r="E22" s="3982" t="s">
        <v>49</v>
      </c>
      <c r="F22" s="4007">
        <v>23.543643606765379</v>
      </c>
      <c r="G22" s="3984">
        <v>25</v>
      </c>
      <c r="H22" s="3978">
        <f>+$G$22</f>
        <v>25</v>
      </c>
      <c r="I22" s="3534">
        <f>+'COKE OVENS'!F169</f>
        <v>24.999999999999996</v>
      </c>
      <c r="J22" s="3978">
        <f>+$G$22</f>
        <v>25</v>
      </c>
      <c r="K22" s="3534">
        <f>+'COKE OVENS'!H169</f>
        <v>23.999999999999996</v>
      </c>
      <c r="L22" s="3979">
        <f>+$G$22</f>
        <v>25</v>
      </c>
      <c r="M22" s="3514">
        <f>+'COKE OVENS'!J169</f>
        <v>24.494225922447697</v>
      </c>
      <c r="N22" s="3978">
        <f>+$G$22</f>
        <v>25</v>
      </c>
      <c r="O22" s="3534">
        <f>+'COKE OVENS'!L169</f>
        <v>24.000004296237698</v>
      </c>
      <c r="P22" s="3987">
        <f>+$G$22</f>
        <v>25</v>
      </c>
      <c r="Q22" s="3988">
        <f>+'COKE OVENS'!N169</f>
        <v>24.330721529724869</v>
      </c>
      <c r="R22" s="3978">
        <f>+$G$22</f>
        <v>25</v>
      </c>
      <c r="S22" s="3534">
        <f>+'COKE OVENS'!P169</f>
        <v>23.999995112884385</v>
      </c>
      <c r="T22" s="3979">
        <f>+$G$22</f>
        <v>25</v>
      </c>
      <c r="U22" s="3514">
        <f>+'COKE OVENS'!R169</f>
        <v>24.246124153528683</v>
      </c>
      <c r="V22" s="3978">
        <f>+$G$22</f>
        <v>25</v>
      </c>
      <c r="W22" s="3534">
        <f>+'COKE OVENS'!T169</f>
        <v>23.999999811110804</v>
      </c>
      <c r="X22" s="3979">
        <f>+$G$22</f>
        <v>25</v>
      </c>
      <c r="Y22" s="3514">
        <f>+'COKE OVENS'!V169</f>
        <v>24.196186357218828</v>
      </c>
      <c r="Z22" s="3978">
        <f>+$G$22</f>
        <v>25</v>
      </c>
      <c r="AA22" s="3534">
        <f>+'COKE OVENS'!X169</f>
        <v>23.999999610619231</v>
      </c>
      <c r="AB22" s="3987">
        <f>+$G$22</f>
        <v>25</v>
      </c>
      <c r="AC22" s="3987">
        <f>+'COKE OVENS'!Z169</f>
        <v>23.999998158798082</v>
      </c>
      <c r="AD22" s="3990">
        <f>+$G$22</f>
        <v>25</v>
      </c>
      <c r="AE22" s="3991">
        <f>+'COKE OVENS'!AB169</f>
        <v>24.163918729702921</v>
      </c>
      <c r="AF22" s="3978">
        <f>+$G$22</f>
        <v>25</v>
      </c>
      <c r="AG22" s="3534">
        <f>+'COKE OVENS'!AD169</f>
        <v>24.122137404580158</v>
      </c>
      <c r="AH22" s="3979">
        <f>+$G$22</f>
        <v>25</v>
      </c>
      <c r="AI22" s="3979">
        <f>+'COKE OVENS'!AF169</f>
        <v>24.157932086712815</v>
      </c>
      <c r="AJ22" s="3978">
        <f>+$G$22</f>
        <v>25</v>
      </c>
      <c r="AK22" s="3534">
        <f>+'COKE OVENS'!AH169</f>
        <v>24</v>
      </c>
      <c r="AL22" s="3979">
        <f>+$G$22</f>
        <v>25</v>
      </c>
      <c r="AM22" s="3979">
        <f>+'COKE OVENS'!AJ169</f>
        <v>24.138444052516391</v>
      </c>
      <c r="AN22" s="3978">
        <f>+$G$22</f>
        <v>25</v>
      </c>
      <c r="AO22" s="3534">
        <f>+'COKE OVENS'!AL169</f>
        <v>24</v>
      </c>
      <c r="AP22" s="3987">
        <f>+$G$22</f>
        <v>25</v>
      </c>
      <c r="AQ22" s="3987">
        <f>+'COKE OVENS'!AN169</f>
        <v>24.040734869864096</v>
      </c>
      <c r="AR22" s="3979">
        <f>+$G$22</f>
        <v>25</v>
      </c>
      <c r="AS22" s="3979">
        <f>+'COKE OVENS'!AP169</f>
        <v>24.122776900000162</v>
      </c>
      <c r="AT22" s="3978">
        <f>+$G$22</f>
        <v>25</v>
      </c>
      <c r="AU22" s="3534">
        <f>+'COKE OVENS'!AR169</f>
        <v>24.999999762332067</v>
      </c>
      <c r="AV22" s="3979">
        <f>+$G$22</f>
        <v>25</v>
      </c>
      <c r="AW22" s="3979">
        <f>+'COKE OVENS'!AT169</f>
        <v>24.211248513729842</v>
      </c>
      <c r="AX22" s="3978">
        <f>+$G$22</f>
        <v>25</v>
      </c>
      <c r="AY22" s="3534">
        <f>+'COKE OVENS'!AV169</f>
        <v>25.000000262690165</v>
      </c>
      <c r="AZ22" s="3979">
        <f>+$G$22</f>
        <v>25</v>
      </c>
      <c r="BA22" s="3979">
        <f>+'COKE OVENS'!AX169</f>
        <v>24.277202017090318</v>
      </c>
      <c r="BB22" s="3978">
        <f>+$G$22</f>
        <v>25</v>
      </c>
      <c r="BC22" s="3534">
        <f>+'COKE OVENS'!AZ169</f>
        <v>24.999999528548862</v>
      </c>
      <c r="BD22" s="3989">
        <f>+$G$22</f>
        <v>25</v>
      </c>
      <c r="BE22" s="3989">
        <f>+'COKE OVENS'!BB169</f>
        <v>24.999999836821786</v>
      </c>
      <c r="BF22" s="3990">
        <f>+$G$22</f>
        <v>25</v>
      </c>
      <c r="BG22" s="3991">
        <f>+'COKE OVENS'!BD169</f>
        <v>24.515106512582648</v>
      </c>
      <c r="BH22" s="3979">
        <f>+$G$22</f>
        <v>25</v>
      </c>
      <c r="BI22" s="3514">
        <f>+'COKE OVENS'!BF169</f>
        <v>24.338813067097913</v>
      </c>
    </row>
    <row r="23" spans="3:62" x14ac:dyDescent="0.25">
      <c r="C23" s="7822"/>
      <c r="D23" s="4006" t="s">
        <v>1379</v>
      </c>
      <c r="E23" s="3982" t="s">
        <v>220</v>
      </c>
      <c r="F23" s="4007"/>
      <c r="G23" s="3993">
        <v>18.0520162514688</v>
      </c>
      <c r="H23" s="3994">
        <f>+'COKE OVENS'!E61</f>
        <v>18.260869565217391</v>
      </c>
      <c r="I23" s="3994">
        <f>+'COKE OVENS'!F61</f>
        <v>17.7</v>
      </c>
      <c r="J23" s="3994">
        <f>+'COKE OVENS'!G61</f>
        <v>17.951020408163266</v>
      </c>
      <c r="K23" s="3994">
        <f>+'COKE OVENS'!H61</f>
        <v>17.916666666666668</v>
      </c>
      <c r="L23" s="3995">
        <f>+'COKE OVENS'!I61</f>
        <v>18.10340523950136</v>
      </c>
      <c r="M23" s="3995">
        <f>+'COKE OVENS'!J61</f>
        <v>17.809894960330766</v>
      </c>
      <c r="N23" s="3994">
        <f>+'COKE OVENS'!K61</f>
        <v>17.951020408163266</v>
      </c>
      <c r="O23" s="3994">
        <f>+'COKE OVENS'!L61</f>
        <v>17.7</v>
      </c>
      <c r="P23" s="3996">
        <f>+'COKE OVENS'!M61</f>
        <v>18.054561726842415</v>
      </c>
      <c r="Q23" s="3996">
        <f>+'COKE OVENS'!N61</f>
        <v>17.774099608197709</v>
      </c>
      <c r="R23" s="3994">
        <f>+'COKE OVENS'!O61</f>
        <v>17.951020408163266</v>
      </c>
      <c r="S23" s="3994">
        <f>+'COKE OVENS'!P61</f>
        <v>17.566666666666666</v>
      </c>
      <c r="T23" s="3995">
        <f>+'COKE OVENS'!Q61</f>
        <v>18.028800165825423</v>
      </c>
      <c r="U23" s="3995">
        <f>+'COKE OVENS'!R61</f>
        <v>17.722127166977241</v>
      </c>
      <c r="V23" s="3994">
        <f>+'COKE OVENS'!S61</f>
        <v>17.951020408163266</v>
      </c>
      <c r="W23" s="3994">
        <f>+'COKE OVENS'!T61</f>
        <v>17.683333333333334</v>
      </c>
      <c r="X23" s="3995">
        <f>+'COKE OVENS'!U61</f>
        <v>18.013303774889589</v>
      </c>
      <c r="Y23" s="3995">
        <f>+'COKE OVENS'!V61</f>
        <v>17.714187550525462</v>
      </c>
      <c r="Z23" s="3994">
        <f>+'COKE OVENS'!W61</f>
        <v>18.814973262032083</v>
      </c>
      <c r="AA23" s="3994">
        <f>+'COKE OVENS'!X61</f>
        <v>17.633333333333333</v>
      </c>
      <c r="AB23" s="3987">
        <f>+'COKE OVENS'!Y61</f>
        <v>18.228881161886878</v>
      </c>
      <c r="AC23" s="3987">
        <f>+'COKE OVENS'!Z61</f>
        <v>17.628263951059388</v>
      </c>
      <c r="AD23" s="3990">
        <f>+'COKE OVENS'!AA61</f>
        <v>18.140683888350665</v>
      </c>
      <c r="AE23" s="3991">
        <f>+'COKE OVENS'!AB61</f>
        <v>17.700820962663069</v>
      </c>
      <c r="AF23" s="3985">
        <f>+'COKE OVENS'!AC61</f>
        <v>17.951020408163266</v>
      </c>
      <c r="AG23" s="3985">
        <f>+'COKE OVENS'!AD61</f>
        <v>17.933333333333334</v>
      </c>
      <c r="AH23" s="3979">
        <f>+'COKE OVENS'!AE61</f>
        <v>18.113462325957613</v>
      </c>
      <c r="AI23" s="3979">
        <f>+'COKE OVENS'!AF61</f>
        <v>17.734315188269083</v>
      </c>
      <c r="AJ23" s="3985">
        <f>+'COKE OVENS'!AG61</f>
        <v>17.951020408163266</v>
      </c>
      <c r="AK23" s="3985">
        <f>+'COKE OVENS'!AH61</f>
        <v>17.649999999999999</v>
      </c>
      <c r="AL23" s="3979">
        <f>+'COKE OVENS'!AI61</f>
        <v>18.093651479260384</v>
      </c>
      <c r="AM23" s="3979">
        <f>+'COKE OVENS'!AJ61</f>
        <v>17.724216940631532</v>
      </c>
      <c r="AN23" s="3985">
        <f>+'COKE OVENS'!AK61</f>
        <v>17.951020408163266</v>
      </c>
      <c r="AO23" s="3985">
        <f>+'COKE OVENS'!AL61</f>
        <v>17.583333333333332</v>
      </c>
      <c r="AP23" s="3987">
        <f>+'COKE OVENS'!AM61</f>
        <v>17.951020408163266</v>
      </c>
      <c r="AQ23" s="3987">
        <f>+'COKE OVENS'!AN61</f>
        <v>17.724802563809085</v>
      </c>
      <c r="AR23" s="3979">
        <f>+'COKE OVENS'!AO61</f>
        <v>18.077688544161219</v>
      </c>
      <c r="AS23" s="3979">
        <f>+'COKE OVENS'!AP61</f>
        <v>17.708721390596132</v>
      </c>
      <c r="AT23" s="3985">
        <f>+'COKE OVENS'!AQ61</f>
        <v>17.951020408163266</v>
      </c>
      <c r="AU23" s="3985">
        <f>+'COKE OVENS'!AR61</f>
        <v>17.82</v>
      </c>
      <c r="AV23" s="3979">
        <f>+'COKE OVENS'!AS61</f>
        <v>18.064939038158037</v>
      </c>
      <c r="AW23" s="3979">
        <f>+'COKE OVENS'!AT61</f>
        <v>17.719826210922914</v>
      </c>
      <c r="AX23" s="3985">
        <f>+'COKE OVENS'!AU61</f>
        <v>17.951020408163266</v>
      </c>
      <c r="AY23" s="3985">
        <f>+'COKE OVENS'!AV61</f>
        <v>17.8</v>
      </c>
      <c r="AZ23" s="3979">
        <f>+'COKE OVENS'!AW61</f>
        <v>18.055445518411776</v>
      </c>
      <c r="BA23" s="3979">
        <f>+'COKE OVENS'!AX61</f>
        <v>17.726428905154958</v>
      </c>
      <c r="BB23" s="3985">
        <f>+'COKE OVENS'!AY61</f>
        <v>17.951020408163266</v>
      </c>
      <c r="BC23" s="3985">
        <f>+'COKE OVENS'!AZ61</f>
        <v>17.670000000000002</v>
      </c>
      <c r="BD23" s="3989">
        <f>+'COKE OVENS'!BA61</f>
        <v>17.951020408163266</v>
      </c>
      <c r="BE23" s="3989">
        <f>+'COKE OVENS'!BB61</f>
        <v>17.761013685919739</v>
      </c>
      <c r="BF23" s="3990">
        <f>+'COKE OVENS'!BC61</f>
        <v>17.951020408163266</v>
      </c>
      <c r="BG23" s="3991">
        <f>+'COKE OVENS'!BD61</f>
        <v>17.742788179042567</v>
      </c>
      <c r="BH23" s="3979">
        <f>+'COKE OVENS'!BE61</f>
        <v>18.046624613079022</v>
      </c>
      <c r="BI23" s="3514">
        <f>+'COKE OVENS'!BF61</f>
        <v>17.721550806704034</v>
      </c>
      <c r="BJ23" s="5885"/>
    </row>
    <row r="24" spans="3:62" x14ac:dyDescent="0.25">
      <c r="C24" s="7822"/>
      <c r="D24" s="4006" t="s">
        <v>1013</v>
      </c>
      <c r="E24" s="3982" t="s">
        <v>49</v>
      </c>
      <c r="F24" s="3983">
        <v>88.599749618194579</v>
      </c>
      <c r="G24" s="3984" t="s">
        <v>1933</v>
      </c>
      <c r="H24" s="3985" t="str">
        <f>$G$24</f>
        <v>89.0-90.5</v>
      </c>
      <c r="I24" s="3986">
        <f>+'COKE OVENS'!F179</f>
        <v>89.8</v>
      </c>
      <c r="J24" s="3985" t="str">
        <f>$G$24</f>
        <v>89.0-90.5</v>
      </c>
      <c r="K24" s="3986">
        <f>+'COKE OVENS'!H179</f>
        <v>89.66</v>
      </c>
      <c r="L24" s="3979" t="str">
        <f>$G$24</f>
        <v>89.0-90.5</v>
      </c>
      <c r="M24" s="3514">
        <f>+'COKE OVENS'!J179</f>
        <v>89.728940779584107</v>
      </c>
      <c r="N24" s="3985" t="str">
        <f>$G$24</f>
        <v>89.0-90.5</v>
      </c>
      <c r="O24" s="3986">
        <f>+'COKE OVENS'!L179</f>
        <v>89.6</v>
      </c>
      <c r="P24" s="3987" t="str">
        <f>$G$24</f>
        <v>89.0-90.5</v>
      </c>
      <c r="Q24" s="3988">
        <f>+'COKE OVENS'!N179</f>
        <v>89.68618201966629</v>
      </c>
      <c r="R24" s="3985" t="str">
        <f>$G$24</f>
        <v>89.0-90.5</v>
      </c>
      <c r="S24" s="3986">
        <f>+'COKE OVENS'!P179</f>
        <v>89.5</v>
      </c>
      <c r="T24" s="3979" t="str">
        <f>$G$24</f>
        <v>89.0-90.5</v>
      </c>
      <c r="U24" s="3514">
        <f>+'COKE OVENS'!R179</f>
        <v>89.638474158902213</v>
      </c>
      <c r="V24" s="3985" t="str">
        <f>$G$24</f>
        <v>89.0-90.5</v>
      </c>
      <c r="W24" s="3986">
        <f>+'COKE OVENS'!T179</f>
        <v>89.3</v>
      </c>
      <c r="X24" s="3979" t="str">
        <f>$G$24</f>
        <v>89.0-90.5</v>
      </c>
      <c r="Y24" s="3514">
        <f>+'COKE OVENS'!V179</f>
        <v>89.569702522469186</v>
      </c>
      <c r="Z24" s="3985" t="str">
        <f>$G$24</f>
        <v>89.0-90.5</v>
      </c>
      <c r="AA24" s="3986">
        <f>+'COKE OVENS'!X179</f>
        <v>89.5</v>
      </c>
      <c r="AB24" s="3987" t="str">
        <f>$G$24</f>
        <v>89.0-90.5</v>
      </c>
      <c r="AC24" s="3987">
        <f>+'COKE OVENS'!Z179</f>
        <v>89.432616528742074</v>
      </c>
      <c r="AD24" s="3990" t="str">
        <f>$G$24</f>
        <v>89.0-90.5</v>
      </c>
      <c r="AE24" s="3991">
        <f>+'COKE OVENS'!AB179</f>
        <v>89.558294359253352</v>
      </c>
      <c r="AF24" s="3985" t="str">
        <f>$G$24</f>
        <v>89.0-90.5</v>
      </c>
      <c r="AG24" s="3986">
        <f>+'COKE OVENS'!AD179</f>
        <v>89.4</v>
      </c>
      <c r="AH24" s="3979" t="str">
        <f>$G$24</f>
        <v>89.0-90.5</v>
      </c>
      <c r="AI24" s="3514">
        <f>+'COKE OVENS'!AF179</f>
        <v>89.535650604196022</v>
      </c>
      <c r="AJ24" s="3985" t="str">
        <f>$G$24</f>
        <v>89.0-90.5</v>
      </c>
      <c r="AK24" s="3986">
        <f>+'COKE OVENS'!AH179</f>
        <v>89.4</v>
      </c>
      <c r="AL24" s="3979" t="str">
        <f>$G$24</f>
        <v>89.0-90.5</v>
      </c>
      <c r="AM24" s="3514">
        <f>+'COKE OVENS'!AJ179</f>
        <v>89.518978308463474</v>
      </c>
      <c r="AN24" s="3985" t="str">
        <f>$G$24</f>
        <v>89.0-90.5</v>
      </c>
      <c r="AO24" s="3986">
        <f>+'COKE OVENS'!AL179</f>
        <v>89.6</v>
      </c>
      <c r="AP24" s="3987" t="str">
        <f>$G$24</f>
        <v>89.0-90.5</v>
      </c>
      <c r="AQ24" s="3987">
        <f>+'COKE OVENS'!AN179</f>
        <v>89.467701239335952</v>
      </c>
      <c r="AR24" s="3979" t="str">
        <f>$G$24</f>
        <v>89.0-90.5</v>
      </c>
      <c r="AS24" s="3514">
        <f>+'COKE OVENS'!AP179</f>
        <v>89.528114899306445</v>
      </c>
      <c r="AT24" s="3985" t="str">
        <f>$G$24</f>
        <v>89.0-90.5</v>
      </c>
      <c r="AU24" s="3986">
        <f>+'COKE OVENS'!AR179</f>
        <v>86.7</v>
      </c>
      <c r="AV24" s="3979" t="str">
        <f>$G$24</f>
        <v>89.0-90.5</v>
      </c>
      <c r="AW24" s="3514">
        <f>+'COKE OVENS'!AT179</f>
        <v>89.243789128913775</v>
      </c>
      <c r="AX24" s="3985" t="str">
        <f>$G$24</f>
        <v>89.0-90.5</v>
      </c>
      <c r="AY24" s="3986">
        <f>+'COKE OVENS'!AV179</f>
        <v>89.7</v>
      </c>
      <c r="AZ24" s="3979" t="str">
        <f>$G$24</f>
        <v>89.0-90.5</v>
      </c>
      <c r="BA24" s="3514">
        <f>+'COKE OVENS'!AX179</f>
        <v>89.28182585464927</v>
      </c>
      <c r="BB24" s="3985" t="str">
        <f>$G$24</f>
        <v>89.0-90.5</v>
      </c>
      <c r="BC24" s="3986">
        <f>+'COKE OVENS'!AZ179</f>
        <v>89.7</v>
      </c>
      <c r="BD24" s="3989" t="str">
        <f>$G$24</f>
        <v>89.0-90.5</v>
      </c>
      <c r="BE24" s="3989">
        <f>+'COKE OVENS'!BB179</f>
        <v>88.670128988458927</v>
      </c>
      <c r="BF24" s="3990" t="str">
        <f>$G$24</f>
        <v>89.0-90.5</v>
      </c>
      <c r="BG24" s="3991">
        <f>+'COKE OVENS'!BD179</f>
        <v>89.073479806094213</v>
      </c>
      <c r="BH24" s="3979" t="str">
        <f>$G$24</f>
        <v>89.0-90.5</v>
      </c>
      <c r="BI24" s="3514">
        <f>+'COKE OVENS'!BF179</f>
        <v>89.317376408214017</v>
      </c>
    </row>
    <row r="25" spans="3:62" x14ac:dyDescent="0.25">
      <c r="C25" s="7822"/>
      <c r="D25" s="4006" t="s">
        <v>205</v>
      </c>
      <c r="E25" s="3982" t="s">
        <v>49</v>
      </c>
      <c r="F25" s="3983">
        <v>5.948071105661457</v>
      </c>
      <c r="G25" s="3984" t="s">
        <v>1934</v>
      </c>
      <c r="H25" s="3985" t="str">
        <f>$G$25</f>
        <v>5.5-5.9</v>
      </c>
      <c r="I25" s="3986">
        <f>+'COKE OVENS'!F180</f>
        <v>5.7</v>
      </c>
      <c r="J25" s="3985" t="str">
        <f>$G$25</f>
        <v>5.5-5.9</v>
      </c>
      <c r="K25" s="3986">
        <f>+'COKE OVENS'!H180</f>
        <v>5.62</v>
      </c>
      <c r="L25" s="3979" t="str">
        <f>$G$25</f>
        <v>5.5-5.9</v>
      </c>
      <c r="M25" s="3514">
        <f>+'COKE OVENS'!J180</f>
        <v>5.6593947311909218</v>
      </c>
      <c r="N25" s="3985" t="str">
        <f>$G$25</f>
        <v>5.5-5.9</v>
      </c>
      <c r="O25" s="3986">
        <f>+'COKE OVENS'!L180</f>
        <v>5.7</v>
      </c>
      <c r="P25" s="3987" t="str">
        <f>$G$25</f>
        <v>5.5-5.9</v>
      </c>
      <c r="Q25" s="3988">
        <f>+'COKE OVENS'!N180</f>
        <v>5.672860067339851</v>
      </c>
      <c r="R25" s="3985" t="str">
        <f>$G$25</f>
        <v>5.5-5.9</v>
      </c>
      <c r="S25" s="3986">
        <f>+'COKE OVENS'!P180</f>
        <v>5.7</v>
      </c>
      <c r="T25" s="3979" t="str">
        <f>$G$25</f>
        <v>5.5-5.9</v>
      </c>
      <c r="U25" s="3514">
        <f>+'COKE OVENS'!R180</f>
        <v>5.6798144882383772</v>
      </c>
      <c r="V25" s="3985" t="str">
        <f>$G$25</f>
        <v>5.5-5.9</v>
      </c>
      <c r="W25" s="3986">
        <f>+'COKE OVENS'!T180</f>
        <v>5.8</v>
      </c>
      <c r="X25" s="3979" t="str">
        <f>$G$25</f>
        <v>5.5-5.9</v>
      </c>
      <c r="Y25" s="3514">
        <f>+'COKE OVENS'!V180</f>
        <v>5.7042339427284823</v>
      </c>
      <c r="Z25" s="3985" t="str">
        <f>$G$25</f>
        <v>5.5-5.9</v>
      </c>
      <c r="AA25" s="3986">
        <f>+'COKE OVENS'!X180</f>
        <v>5.7</v>
      </c>
      <c r="AB25" s="3987" t="str">
        <f>$G$25</f>
        <v>5.5-5.9</v>
      </c>
      <c r="AC25" s="3987">
        <f>+'COKE OVENS'!Z180</f>
        <v>5.7336917356289616</v>
      </c>
      <c r="AD25" s="3990" t="str">
        <f>$G$25</f>
        <v>5.5-5.9</v>
      </c>
      <c r="AE25" s="3991">
        <f>+'COKE OVENS'!AB180</f>
        <v>5.7035409762764528</v>
      </c>
      <c r="AF25" s="3985" t="str">
        <f>$G$25</f>
        <v>5.5-5.9</v>
      </c>
      <c r="AG25" s="3986">
        <f>+'COKE OVENS'!AD180</f>
        <v>5.7</v>
      </c>
      <c r="AH25" s="3979" t="str">
        <f>$G$25</f>
        <v>5.5-5.9</v>
      </c>
      <c r="AI25" s="3514">
        <f>+'COKE OVENS'!AF180</f>
        <v>5.7030344452803643</v>
      </c>
      <c r="AJ25" s="3985" t="str">
        <f>$G$25</f>
        <v>5.5-5.9</v>
      </c>
      <c r="AK25" s="3986">
        <f>+'COKE OVENS'!AH180</f>
        <v>5.7</v>
      </c>
      <c r="AL25" s="3979" t="str">
        <f>$G$25</f>
        <v>5.5-5.9</v>
      </c>
      <c r="AM25" s="3514">
        <f>+'COKE OVENS'!AJ180</f>
        <v>5.7026614932437827</v>
      </c>
      <c r="AN25" s="3985" t="str">
        <f>$G$25</f>
        <v>5.5-5.9</v>
      </c>
      <c r="AO25" s="3986">
        <f>+'COKE OVENS'!AL180</f>
        <v>5.7</v>
      </c>
      <c r="AP25" s="3987" t="str">
        <f>$G$25</f>
        <v>5.5-5.9</v>
      </c>
      <c r="AQ25" s="3987">
        <f>+'COKE OVENS'!AN180</f>
        <v>5.700000000000002</v>
      </c>
      <c r="AR25" s="3979" t="str">
        <f>$G$25</f>
        <v>5.5-5.9</v>
      </c>
      <c r="AS25" s="3514">
        <f>+'COKE OVENS'!AP180</f>
        <v>5.702361364051975</v>
      </c>
      <c r="AT25" s="3985" t="str">
        <f>$G$25</f>
        <v>5.5-5.9</v>
      </c>
      <c r="AU25" s="3986">
        <f>+'COKE OVENS'!AR180</f>
        <v>5.7</v>
      </c>
      <c r="AV25" s="3979" t="str">
        <f>$G$25</f>
        <v>5.5-5.9</v>
      </c>
      <c r="AW25" s="3514">
        <f>+'COKE OVENS'!AT180</f>
        <v>5.7021239632825012</v>
      </c>
      <c r="AX25" s="3985" t="str">
        <f>$G$25</f>
        <v>5.5-5.9</v>
      </c>
      <c r="AY25" s="3986">
        <f>+'COKE OVENS'!AV180</f>
        <v>5.7</v>
      </c>
      <c r="AZ25" s="3979" t="str">
        <f>$G$25</f>
        <v>5.5-5.9</v>
      </c>
      <c r="BA25" s="3514">
        <f>+'COKE OVENS'!AX180</f>
        <v>5.7019468771717374</v>
      </c>
      <c r="BB25" s="3985" t="str">
        <f>$G$25</f>
        <v>5.5-5.9</v>
      </c>
      <c r="BC25" s="3986">
        <f>+'COKE OVENS'!AZ180</f>
        <v>5.7</v>
      </c>
      <c r="BD25" s="3989" t="str">
        <f>$G$25</f>
        <v>5.5-5.9</v>
      </c>
      <c r="BE25" s="3989">
        <f>+'COKE OVENS'!BB180</f>
        <v>5.6999999999999993</v>
      </c>
      <c r="BF25" s="3990" t="str">
        <f>$G$25</f>
        <v>5.5-5.9</v>
      </c>
      <c r="BG25" s="3991">
        <f>+'COKE OVENS'!BD180</f>
        <v>5.7000000000000011</v>
      </c>
      <c r="BH25" s="3979" t="str">
        <f>$G$25</f>
        <v>5.5-5.9</v>
      </c>
      <c r="BI25" s="3514">
        <f>+'COKE OVENS'!BF180</f>
        <v>5.7017813658364549</v>
      </c>
    </row>
    <row r="26" spans="3:62" x14ac:dyDescent="0.25">
      <c r="C26" s="7822"/>
      <c r="D26" s="4006" t="s">
        <v>1010</v>
      </c>
      <c r="E26" s="3982" t="s">
        <v>49</v>
      </c>
      <c r="F26" s="3983">
        <v>66.654886908615453</v>
      </c>
      <c r="G26" s="3984" t="s">
        <v>1935</v>
      </c>
      <c r="H26" s="3985" t="str">
        <f>$G$26</f>
        <v>67.0-68.4</v>
      </c>
      <c r="I26" s="3986">
        <f>+'COKE OVENS'!F181</f>
        <v>68.400000000000006</v>
      </c>
      <c r="J26" s="3985" t="str">
        <f>$G$26</f>
        <v>67.0-68.4</v>
      </c>
      <c r="K26" s="3986">
        <f>+'COKE OVENS'!H181</f>
        <v>68.13</v>
      </c>
      <c r="L26" s="3979" t="str">
        <f>$G$26</f>
        <v>67.0-68.4</v>
      </c>
      <c r="M26" s="3514">
        <f>+'COKE OVENS'!J181</f>
        <v>68.262957217769355</v>
      </c>
      <c r="N26" s="3985" t="str">
        <f>$G$26</f>
        <v>67.0-68.4</v>
      </c>
      <c r="O26" s="3986">
        <f>+'COKE OVENS'!L181</f>
        <v>68.3</v>
      </c>
      <c r="P26" s="3987" t="str">
        <f>$G$26</f>
        <v>67.0-68.4</v>
      </c>
      <c r="Q26" s="3988">
        <f>+'COKE OVENS'!N181</f>
        <v>68.275241178182782</v>
      </c>
      <c r="R26" s="3985" t="str">
        <f>$G$26</f>
        <v>67.0-68.4</v>
      </c>
      <c r="S26" s="3986">
        <f>+'COKE OVENS'!P181</f>
        <v>68.5</v>
      </c>
      <c r="T26" s="3979" t="str">
        <f>$G$26</f>
        <v>67.0-68.4</v>
      </c>
      <c r="U26" s="3514">
        <f>+'COKE OVENS'!R181</f>
        <v>68.332834078914956</v>
      </c>
      <c r="V26" s="3985" t="str">
        <f>$G$26</f>
        <v>67.0-68.4</v>
      </c>
      <c r="W26" s="3986">
        <f>+'COKE OVENS'!T181</f>
        <v>68.599999999999994</v>
      </c>
      <c r="X26" s="3979" t="str">
        <f>$G$26</f>
        <v>67.0-68.4</v>
      </c>
      <c r="Y26" s="3514">
        <f>+'COKE OVENS'!V181</f>
        <v>68.387117211345966</v>
      </c>
      <c r="Z26" s="3985" t="str">
        <f>$G$26</f>
        <v>67.0-68.4</v>
      </c>
      <c r="AA26" s="3986">
        <f>+'COKE OVENS'!X181</f>
        <v>68.5</v>
      </c>
      <c r="AB26" s="3987" t="str">
        <f>$G$26</f>
        <v>67.0-68.4</v>
      </c>
      <c r="AC26" s="3987">
        <f>+'COKE OVENS'!Z181</f>
        <v>68.533691735628963</v>
      </c>
      <c r="AD26" s="3990" t="str">
        <f>$G$26</f>
        <v>67.0-68.4</v>
      </c>
      <c r="AE26" s="3991">
        <f>+'COKE OVENS'!AB181</f>
        <v>68.40559265859811</v>
      </c>
      <c r="AF26" s="3985" t="str">
        <f>$G$26</f>
        <v>67.0-68.4</v>
      </c>
      <c r="AG26" s="3986">
        <f>+'COKE OVENS'!AD181</f>
        <v>68.7</v>
      </c>
      <c r="AH26" s="3979" t="str">
        <f>$G$26</f>
        <v>67.0-68.4</v>
      </c>
      <c r="AI26" s="3514">
        <f>+'COKE OVENS'!AF181</f>
        <v>68.447707158174893</v>
      </c>
      <c r="AJ26" s="3985" t="str">
        <f>$G$26</f>
        <v>67.0-68.4</v>
      </c>
      <c r="AK26" s="3986">
        <f>+'COKE OVENS'!AH181</f>
        <v>68.3</v>
      </c>
      <c r="AL26" s="3979" t="str">
        <f>$G$26</f>
        <v>67.0-68.4</v>
      </c>
      <c r="AM26" s="3514">
        <f>+'COKE OVENS'!AJ181</f>
        <v>68.429553037612706</v>
      </c>
      <c r="AN26" s="3985" t="str">
        <f>$G$26</f>
        <v>67.0-68.4</v>
      </c>
      <c r="AO26" s="3986">
        <f>+'COKE OVENS'!AL181</f>
        <v>68.099999999999994</v>
      </c>
      <c r="AP26" s="3987" t="str">
        <f>$G$26</f>
        <v>67.0-68.4</v>
      </c>
      <c r="AQ26" s="3987">
        <f>+'COKE OVENS'!AN181</f>
        <v>68.365961510065162</v>
      </c>
      <c r="AR26" s="3979" t="str">
        <f>$G$26</f>
        <v>67.0-68.4</v>
      </c>
      <c r="AS26" s="3514">
        <f>+'COKE OVENS'!AP181</f>
        <v>68.392390258008618</v>
      </c>
      <c r="AT26" s="3985" t="str">
        <f>$G$26</f>
        <v>67.0-68.4</v>
      </c>
      <c r="AU26" s="3986">
        <f>+'COKE OVENS'!AR181</f>
        <v>68.400000000000006</v>
      </c>
      <c r="AV26" s="3979" t="str">
        <f>$G$26</f>
        <v>67.0-68.4</v>
      </c>
      <c r="AW26" s="3514">
        <f>+'COKE OVENS'!AT181</f>
        <v>68.393155306753528</v>
      </c>
      <c r="AX26" s="3985" t="str">
        <f>$G$26</f>
        <v>67.0-68.4</v>
      </c>
      <c r="AY26" s="3986">
        <f>+'COKE OVENS'!AV181</f>
        <v>68.7</v>
      </c>
      <c r="AZ26" s="3979" t="str">
        <f>$G$26</f>
        <v>67.0-68.4</v>
      </c>
      <c r="BA26" s="3514">
        <f>+'COKE OVENS'!AX181</f>
        <v>68.418738580147732</v>
      </c>
      <c r="BB26" s="3985" t="str">
        <f>$G$26</f>
        <v>67.0-68.4</v>
      </c>
      <c r="BC26" s="3986">
        <f>+'COKE OVENS'!AZ181</f>
        <v>69.099999999999994</v>
      </c>
      <c r="BD26" s="3989" t="str">
        <f>$G$26</f>
        <v>67.0-68.4</v>
      </c>
      <c r="BE26" s="3989">
        <f>+'COKE OVENS'!BB181</f>
        <v>68.735460511427917</v>
      </c>
      <c r="BF26" s="3990" t="str">
        <f>$G$26</f>
        <v>67.0-68.4</v>
      </c>
      <c r="BG26" s="3991">
        <f>+'COKE OVENS'!BD181</f>
        <v>68.548596281696746</v>
      </c>
      <c r="BH26" s="3979" t="str">
        <f>$G$26</f>
        <v>67.0-68.4</v>
      </c>
      <c r="BI26" s="3514">
        <f>+'COKE OVENS'!BF181</f>
        <v>68.476655170322701</v>
      </c>
    </row>
    <row r="27" spans="3:62" ht="15.75" thickBot="1" x14ac:dyDescent="0.3">
      <c r="C27" s="7823"/>
      <c r="D27" s="4010" t="s">
        <v>1011</v>
      </c>
      <c r="E27" s="3962" t="s">
        <v>49</v>
      </c>
      <c r="F27" s="4011">
        <v>20.559439644635848</v>
      </c>
      <c r="G27" s="4012" t="s">
        <v>1936</v>
      </c>
      <c r="H27" s="4013" t="str">
        <f>$G$27</f>
        <v>21.0-22.5</v>
      </c>
      <c r="I27" s="4014">
        <f>+'COKE OVENS'!F182</f>
        <v>21.2</v>
      </c>
      <c r="J27" s="4013" t="str">
        <f>$G$27</f>
        <v>21.0-22.5</v>
      </c>
      <c r="K27" s="4014">
        <f>+'COKE OVENS'!H182</f>
        <v>22.14</v>
      </c>
      <c r="L27" s="4015" t="str">
        <f>$G$27</f>
        <v>21.0-22.5</v>
      </c>
      <c r="M27" s="3531">
        <f>+'COKE OVENS'!J182</f>
        <v>21.677111908506657</v>
      </c>
      <c r="N27" s="4013" t="str">
        <f>$G$27</f>
        <v>21.0-22.5</v>
      </c>
      <c r="O27" s="4014">
        <f>+'COKE OVENS'!L182</f>
        <v>21.5</v>
      </c>
      <c r="P27" s="4016" t="str">
        <f>$G$27</f>
        <v>21.0-22.5</v>
      </c>
      <c r="Q27" s="4017">
        <f>+'COKE OVENS'!N182</f>
        <v>21.618378856024378</v>
      </c>
      <c r="R27" s="4013" t="str">
        <f>$G$27</f>
        <v>21.0-22.5</v>
      </c>
      <c r="S27" s="4014">
        <f>+'COKE OVENS'!P182</f>
        <v>21.3</v>
      </c>
      <c r="T27" s="4015" t="str">
        <f>$G$27</f>
        <v>21.0-22.5</v>
      </c>
      <c r="U27" s="3531">
        <f>+'COKE OVENS'!R182</f>
        <v>21.536796466056405</v>
      </c>
      <c r="V27" s="4013" t="str">
        <f>$G$27</f>
        <v>21.0-22.5</v>
      </c>
      <c r="W27" s="4014">
        <f>+'COKE OVENS'!T182</f>
        <v>21.2</v>
      </c>
      <c r="X27" s="4015" t="str">
        <f>$G$27</f>
        <v>21.0-22.5</v>
      </c>
      <c r="Y27" s="3531">
        <f>+'COKE OVENS'!V182</f>
        <v>21.468365705520103</v>
      </c>
      <c r="Z27" s="4013" t="str">
        <f>$G$27</f>
        <v>21.0-22.5</v>
      </c>
      <c r="AA27" s="4014">
        <f>+'COKE OVENS'!X182</f>
        <v>21.4</v>
      </c>
      <c r="AB27" s="4016" t="str">
        <f>$G$27</f>
        <v>21.0-22.5</v>
      </c>
      <c r="AC27" s="4016">
        <f>+'COKE OVENS'!Z182</f>
        <v>21.298759313075639</v>
      </c>
      <c r="AD27" s="4018" t="str">
        <f>$G$27</f>
        <v>21.0-22.5</v>
      </c>
      <c r="AE27" s="4019">
        <f>+'COKE OVENS'!AB182</f>
        <v>21.457176338201538</v>
      </c>
      <c r="AF27" s="4013" t="str">
        <f>$G$27</f>
        <v>21.0-22.5</v>
      </c>
      <c r="AG27" s="4014">
        <f>+'COKE OVENS'!AD182</f>
        <v>21.2</v>
      </c>
      <c r="AH27" s="4015" t="str">
        <f>$G$27</f>
        <v>21.0-22.5</v>
      </c>
      <c r="AI27" s="3531">
        <f>+'COKE OVENS'!AF182</f>
        <v>21.420387674118725</v>
      </c>
      <c r="AJ27" s="4013" t="str">
        <f>$G$27</f>
        <v>21.0-22.5</v>
      </c>
      <c r="AK27" s="4014">
        <f>+'COKE OVENS'!AH182</f>
        <v>21.8</v>
      </c>
      <c r="AL27" s="4015" t="str">
        <f>$G$27</f>
        <v>21.0-22.5</v>
      </c>
      <c r="AM27" s="3531">
        <f>+'COKE OVENS'!AJ182</f>
        <v>21.467044369813728</v>
      </c>
      <c r="AN27" s="4013" t="str">
        <f>$G$27</f>
        <v>21.0-22.5</v>
      </c>
      <c r="AO27" s="4014">
        <f>+'COKE OVENS'!AL182</f>
        <v>21.9</v>
      </c>
      <c r="AP27" s="4016" t="str">
        <f>$G$27</f>
        <v>21.0-22.5</v>
      </c>
      <c r="AQ27" s="4016">
        <f>+'COKE OVENS'!AN182</f>
        <v>21.633356495566346</v>
      </c>
      <c r="AR27" s="4015" t="str">
        <f>$G$27</f>
        <v>21.0-22.5</v>
      </c>
      <c r="AS27" s="3531">
        <f>+'COKE OVENS'!AP182</f>
        <v>21.515867572232118</v>
      </c>
      <c r="AT27" s="4013" t="str">
        <f>$G$27</f>
        <v>21.0-22.5</v>
      </c>
      <c r="AU27" s="4014">
        <f>+'COKE OVENS'!AR182</f>
        <v>21.3</v>
      </c>
      <c r="AV27" s="4015" t="str">
        <f>$G$27</f>
        <v>21.0-22.5</v>
      </c>
      <c r="AW27" s="3531">
        <f>+'COKE OVENS'!AT182</f>
        <v>21.494165231286654</v>
      </c>
      <c r="AX27" s="4013" t="str">
        <f>$G$27</f>
        <v>21.0-22.5</v>
      </c>
      <c r="AY27" s="4014">
        <f>+'COKE OVENS'!AV182</f>
        <v>21.1</v>
      </c>
      <c r="AZ27" s="4015" t="str">
        <f>$G$27</f>
        <v>21.0-22.5</v>
      </c>
      <c r="BA27" s="3531">
        <f>+'COKE OVENS'!AX182</f>
        <v>21.46130158040253</v>
      </c>
      <c r="BB27" s="4013" t="str">
        <f>$G$27</f>
        <v>21.0-22.5</v>
      </c>
      <c r="BC27" s="4014">
        <f>+'COKE OVENS'!AZ182</f>
        <v>20.7</v>
      </c>
      <c r="BD27" s="3997" t="str">
        <f>$G$27</f>
        <v>21.0-22.5</v>
      </c>
      <c r="BE27" s="3997">
        <f>+'COKE OVENS'!BB182</f>
        <v>21.030210454854036</v>
      </c>
      <c r="BF27" s="4018" t="str">
        <f>$G$27</f>
        <v>21.0-22.5</v>
      </c>
      <c r="BG27" s="4019">
        <f>+'COKE OVENS'!BD182</f>
        <v>21.335235420814534</v>
      </c>
      <c r="BH27" s="4015" t="str">
        <f>$G$27</f>
        <v>21.0-22.5</v>
      </c>
      <c r="BI27" s="3531">
        <f>+'COKE OVENS'!BF182</f>
        <v>21.396580475776812</v>
      </c>
    </row>
    <row r="28" spans="3:62" x14ac:dyDescent="0.25">
      <c r="C28" s="7821" t="s">
        <v>111</v>
      </c>
      <c r="D28" s="4020" t="s">
        <v>1006</v>
      </c>
      <c r="E28" s="3959" t="s">
        <v>227</v>
      </c>
      <c r="F28" s="4021">
        <v>1.3306230266546284</v>
      </c>
      <c r="G28" s="4022">
        <v>1.3202299618831927</v>
      </c>
      <c r="H28" s="4024">
        <f>+SINTER!E81</f>
        <v>1.3747994669743646</v>
      </c>
      <c r="I28" s="4024">
        <f>+SINTER!F81</f>
        <v>1.3029778433171244</v>
      </c>
      <c r="J28" s="4024">
        <f>+SINTER!G81</f>
        <v>1.3428765020223761</v>
      </c>
      <c r="K28" s="4024">
        <f>+SINTER!H81</f>
        <v>1.3467485876245864</v>
      </c>
      <c r="L28" s="4026">
        <f>+SINTER!I81</f>
        <v>1.3564861351964108</v>
      </c>
      <c r="M28" s="4026">
        <f>+SINTER!J81</f>
        <v>1.3245571940273517</v>
      </c>
      <c r="N28" s="4024">
        <f>+SINTER!K81</f>
        <v>1.3490593273127522</v>
      </c>
      <c r="O28" s="4024">
        <f>+SINTER!L81</f>
        <v>1.3513666877843524</v>
      </c>
      <c r="P28" s="4027">
        <f>+SINTER!M81</f>
        <v>1.3538372853024649</v>
      </c>
      <c r="Q28" s="4028">
        <f>+SINTER!N81</f>
        <v>1.3337325602490939</v>
      </c>
      <c r="R28" s="4024">
        <f>+SINTER!O81</f>
        <v>1.3183991853222903</v>
      </c>
      <c r="S28" s="4024">
        <f>+SINTER!P81</f>
        <v>1.366822898549291</v>
      </c>
      <c r="T28" s="4025">
        <f>+SINTER!Q81</f>
        <v>1.3442840547627415</v>
      </c>
      <c r="U28" s="4026">
        <f>+SINTER!R81</f>
        <v>1.3424536847649273</v>
      </c>
      <c r="V28" s="4024">
        <f>+SINTER!S81</f>
        <v>1.3183991853222903</v>
      </c>
      <c r="W28" s="4024">
        <f>+SINTER!T81</f>
        <v>1.3502080533753245</v>
      </c>
      <c r="X28" s="4025">
        <f>+SINTER!U81</f>
        <v>1.3387877930963767</v>
      </c>
      <c r="Y28" s="4026">
        <f>+SINTER!V81</f>
        <v>1.3440385586422718</v>
      </c>
      <c r="Z28" s="4024">
        <f>+SINTER!W81</f>
        <v>1.3316987699231551</v>
      </c>
      <c r="AA28" s="4024">
        <f>+SINTER!X81</f>
        <v>1.3402221116050741</v>
      </c>
      <c r="AB28" s="4027">
        <f>+SINTER!Y81</f>
        <v>1.321252231523796</v>
      </c>
      <c r="AC28" s="4027">
        <f>+SINTER!Z81</f>
        <v>1.3526010378370645</v>
      </c>
      <c r="AD28" s="4029">
        <f>+SINTER!AA81</f>
        <v>1.3380510479020615</v>
      </c>
      <c r="AE28" s="4030">
        <f>+SINTER!AB81</f>
        <v>1.3433987877650864</v>
      </c>
      <c r="AF28" s="4024">
        <f>+SINTER!AC81</f>
        <v>1.3428765020223761</v>
      </c>
      <c r="AG28" s="4024">
        <f>+SINTER!AD81</f>
        <v>1.353242128383644</v>
      </c>
      <c r="AH28" s="4025">
        <f>+SINTER!AE81</f>
        <v>1.338822409742535</v>
      </c>
      <c r="AI28" s="4026">
        <f>+SINTER!AF81</f>
        <v>1.3445583795139071</v>
      </c>
      <c r="AJ28" s="4024">
        <f>+SINTER!AG81</f>
        <v>1.3635578803571582</v>
      </c>
      <c r="AK28" s="4024">
        <f>+SINTER!AH81</f>
        <v>1.3990113713081909</v>
      </c>
      <c r="AL28" s="4025">
        <f>+SINTER!AI81</f>
        <v>1.3421322329197529</v>
      </c>
      <c r="AM28" s="4026">
        <f>+SINTER!AJ81</f>
        <v>1.3511797115632569</v>
      </c>
      <c r="AN28" s="4024">
        <f>+SINTER!AK81</f>
        <v>1.3568877087459619</v>
      </c>
      <c r="AO28" s="4024">
        <f>+SINTER!AL81</f>
        <v>1.3982073511348525</v>
      </c>
      <c r="AP28" s="4027">
        <f>+SINTER!AM81</f>
        <v>1.3543373861827348</v>
      </c>
      <c r="AQ28" s="4027">
        <f>+SINTER!AN81</f>
        <v>1.3850006884821779</v>
      </c>
      <c r="AR28" s="4025">
        <f>+SINTER!AO81</f>
        <v>1.3439268344537019</v>
      </c>
      <c r="AS28" s="4026">
        <f>+SINTER!AP81</f>
        <v>1.3562124689090327</v>
      </c>
      <c r="AT28" s="4024">
        <f>+SINTER!AQ81</f>
        <v>1.3624583553824443</v>
      </c>
      <c r="AU28" s="4024">
        <f>+SINTER!AR81</f>
        <v>1.3093182829950494</v>
      </c>
      <c r="AV28" s="4025">
        <f>+SINTER!AS81</f>
        <v>1.3459362930901422</v>
      </c>
      <c r="AW28" s="4026">
        <f>+SINTER!AT81</f>
        <v>1.3513328488102425</v>
      </c>
      <c r="AX28" s="4024">
        <f>+SINTER!AU81</f>
        <v>1.3628117798277934</v>
      </c>
      <c r="AY28" s="4024">
        <f>+SINTER!AV81</f>
        <v>1.3163906663977405</v>
      </c>
      <c r="AZ28" s="4025">
        <f>+SINTER!AW81</f>
        <v>1.3474354827682962</v>
      </c>
      <c r="BA28" s="4026">
        <f>+SINTER!AX81</f>
        <v>1.3484803691520322</v>
      </c>
      <c r="BB28" s="4024">
        <f>+SINTER!AY81</f>
        <v>1.3624583553824443</v>
      </c>
      <c r="BC28" s="4024">
        <f>+SINTER!AZ81</f>
        <v>1.3822583227797429</v>
      </c>
      <c r="BD28" s="4031">
        <f>+SINTER!BA81</f>
        <v>1.3625679681814367</v>
      </c>
      <c r="BE28" s="4031">
        <f>+SINTER!BB81</f>
        <v>1.3366938919169955</v>
      </c>
      <c r="BF28" s="4029">
        <f>+SINTER!BC81</f>
        <v>1.3584055105230672</v>
      </c>
      <c r="BG28" s="4030">
        <f>+SINTER!BD81</f>
        <v>1.3600386899001846</v>
      </c>
      <c r="BH28" s="4025">
        <f>+SINTER!BE81</f>
        <v>1.3487863019136832</v>
      </c>
      <c r="BI28" s="4026">
        <f>+SINTER!BF81</f>
        <v>1.3513767539652222</v>
      </c>
    </row>
    <row r="29" spans="3:62" x14ac:dyDescent="0.25">
      <c r="C29" s="7822"/>
      <c r="D29" s="4001" t="s">
        <v>752</v>
      </c>
      <c r="E29" s="3982" t="s">
        <v>218</v>
      </c>
      <c r="F29" s="4032">
        <v>783.62841572321815</v>
      </c>
      <c r="G29" s="4008">
        <v>779.73584585298568</v>
      </c>
      <c r="H29" s="4033">
        <f>+SINTER!E87</f>
        <v>779.73584585298568</v>
      </c>
      <c r="I29" s="4033">
        <f>+SINTER!F87</f>
        <v>778.23415594555149</v>
      </c>
      <c r="J29" s="4033">
        <f>+SINTER!G87</f>
        <v>783.91225705888951</v>
      </c>
      <c r="K29" s="4033">
        <f>+SINTER!H87</f>
        <v>786.06609514052673</v>
      </c>
      <c r="L29" s="3528">
        <f>+SINTER!I87</f>
        <v>782.10770071413128</v>
      </c>
      <c r="M29" s="3528">
        <f>+SINTER!J87</f>
        <v>782.16005891531495</v>
      </c>
      <c r="N29" s="4033">
        <f>+SINTER!K87</f>
        <v>783.9122570588894</v>
      </c>
      <c r="O29" s="4033">
        <f>+SINTER!L87</f>
        <v>783.21117058313894</v>
      </c>
      <c r="P29" s="4035">
        <f>+SINTER!M87</f>
        <v>782.74904345533071</v>
      </c>
      <c r="Q29" s="4036">
        <f>+SINTER!N87</f>
        <v>782.52455100415818</v>
      </c>
      <c r="R29" s="4033">
        <f>+SINTER!O87</f>
        <v>783.9122570588894</v>
      </c>
      <c r="S29" s="4033">
        <f>+SINTER!P87</f>
        <v>783.52095688008853</v>
      </c>
      <c r="T29" s="4034">
        <f>+SINTER!Q87</f>
        <v>783.05657890237921</v>
      </c>
      <c r="U29" s="3528">
        <f>+SINTER!R87</f>
        <v>782.7919258176405</v>
      </c>
      <c r="V29" s="4033">
        <f>+SINTER!S87</f>
        <v>783.9122570588894</v>
      </c>
      <c r="W29" s="4033">
        <f>+SINTER!T87</f>
        <v>782.91607838634161</v>
      </c>
      <c r="X29" s="4034">
        <f>+SINTER!U87</f>
        <v>783.23550226410657</v>
      </c>
      <c r="Y29" s="3528">
        <f>+SINTER!V87</f>
        <v>782.81741717379509</v>
      </c>
      <c r="Z29" s="4033">
        <f>+SINTER!W87</f>
        <v>783.9122570588894</v>
      </c>
      <c r="AA29" s="4033">
        <f>+SINTER!X87</f>
        <v>782.30127219945359</v>
      </c>
      <c r="AB29" s="4035">
        <f>+SINTER!Y87</f>
        <v>783.91225705888928</v>
      </c>
      <c r="AC29" s="4035">
        <f>+SINTER!Z87</f>
        <v>782.92498721800678</v>
      </c>
      <c r="AD29" s="4037">
        <f>+SINTER!AA87</f>
        <v>783.30550186650282</v>
      </c>
      <c r="AE29" s="4038">
        <f>+SINTER!AB87</f>
        <v>782.73109770545523</v>
      </c>
      <c r="AF29" s="4033">
        <f>+SINTER!AC87</f>
        <v>783.91225705888951</v>
      </c>
      <c r="AG29" s="4033">
        <f>+SINTER!AD87</f>
        <v>782.94763939385905</v>
      </c>
      <c r="AH29" s="4034">
        <f>+SINTER!AE87</f>
        <v>783.40278701866578</v>
      </c>
      <c r="AI29" s="3528">
        <f>+SINTER!AF87</f>
        <v>782.75677208560694</v>
      </c>
      <c r="AJ29" s="4033">
        <f>+SINTER!AG87</f>
        <v>783.9122570588894</v>
      </c>
      <c r="AK29" s="4033">
        <f>+SINTER!AH87</f>
        <v>781.00031130019715</v>
      </c>
      <c r="AL29" s="4034">
        <f>+SINTER!AI87</f>
        <v>783.47204686701446</v>
      </c>
      <c r="AM29" s="3528">
        <f>+SINTER!AJ87</f>
        <v>782.53563060716863</v>
      </c>
      <c r="AN29" s="4033">
        <f>+SINTER!AK87</f>
        <v>783.9122570588894</v>
      </c>
      <c r="AO29" s="4033">
        <f>+SINTER!AL87</f>
        <v>779.99961187980466</v>
      </c>
      <c r="AP29" s="4035">
        <f>+SINTER!AM87</f>
        <v>783.9122570588894</v>
      </c>
      <c r="AQ29" s="4035">
        <f>+SINTER!AN87</f>
        <v>781.22012861167264</v>
      </c>
      <c r="AR29" s="4034">
        <f>+SINTER!AO87</f>
        <v>783.5261027781205</v>
      </c>
      <c r="AS29" s="3528">
        <f>+SINTER!AP87</f>
        <v>782.25582970216351</v>
      </c>
      <c r="AT29" s="4033">
        <f>+SINTER!AQ87</f>
        <v>783.9122570588894</v>
      </c>
      <c r="AU29" s="4033">
        <f>+SINTER!AR87</f>
        <v>780.00709258552024</v>
      </c>
      <c r="AV29" s="4034">
        <f>+SINTER!AS87</f>
        <v>783.56848928162071</v>
      </c>
      <c r="AW29" s="3528">
        <f>+SINTER!AT87</f>
        <v>782.02911034725923</v>
      </c>
      <c r="AX29" s="4033">
        <f>+SINTER!AU87</f>
        <v>783.9122570588894</v>
      </c>
      <c r="AY29" s="4033">
        <f>+SINTER!AV87</f>
        <v>780</v>
      </c>
      <c r="AZ29" s="4034">
        <f>+SINTER!AW87</f>
        <v>783.59937753425629</v>
      </c>
      <c r="BA29" s="3528">
        <f>+SINTER!AX87</f>
        <v>781.86740724166521</v>
      </c>
      <c r="BB29" s="4033">
        <f>+SINTER!AY87</f>
        <v>783.9122570588894</v>
      </c>
      <c r="BC29" s="4033">
        <f>+SINTER!AZ87</f>
        <v>779.06578767231485</v>
      </c>
      <c r="BD29" s="4039">
        <f>+SINTER!BA87</f>
        <v>783.9122570588894</v>
      </c>
      <c r="BE29" s="4039">
        <f>+SINTER!BB87</f>
        <v>779.66809076809125</v>
      </c>
      <c r="BF29" s="4037">
        <f>+SINTER!BC87</f>
        <v>783.9122570588894</v>
      </c>
      <c r="BG29" s="4038">
        <f>+SINTER!BD87</f>
        <v>780.4318965018058</v>
      </c>
      <c r="BH29" s="4034">
        <f>+SINTER!BE87</f>
        <v>783.62779605419166</v>
      </c>
      <c r="BI29" s="3528">
        <f>+SINTER!BF87</f>
        <v>781.62168477949638</v>
      </c>
    </row>
    <row r="30" spans="3:62" x14ac:dyDescent="0.25">
      <c r="C30" s="7822"/>
      <c r="D30" s="4001" t="s">
        <v>754</v>
      </c>
      <c r="E30" s="3982" t="s">
        <v>218</v>
      </c>
      <c r="F30" s="4032">
        <v>102.61678267110892</v>
      </c>
      <c r="G30" s="4008">
        <v>59.970265965776647</v>
      </c>
      <c r="H30" s="4033">
        <f>+SINTER!E88</f>
        <v>59.970265965776655</v>
      </c>
      <c r="I30" s="4033">
        <f>+SINTER!F88</f>
        <v>48.038516808671936</v>
      </c>
      <c r="J30" s="4033">
        <f>+SINTER!G88</f>
        <v>64.938026921102107</v>
      </c>
      <c r="K30" s="4033">
        <f>+SINTER!H88</f>
        <v>59.441720657686616</v>
      </c>
      <c r="L30" s="3528">
        <f>+SINTER!I88</f>
        <v>62.791541790877716</v>
      </c>
      <c r="M30" s="3528">
        <f>+SINTER!J88</f>
        <v>53.754581596864618</v>
      </c>
      <c r="N30" s="4033">
        <f>+SINTER!K88</f>
        <v>64.938026921102121</v>
      </c>
      <c r="O30" s="4033">
        <f>+SINTER!L88</f>
        <v>52.001998543614491</v>
      </c>
      <c r="P30" s="4035">
        <f>+SINTER!M88</f>
        <v>63.554406669749959</v>
      </c>
      <c r="Q30" s="4036">
        <f>+SINTER!N88</f>
        <v>53.146841546492084</v>
      </c>
      <c r="R30" s="4033">
        <f>+SINTER!O88</f>
        <v>64.938026921102107</v>
      </c>
      <c r="S30" s="4033">
        <f>+SINTER!P88</f>
        <v>75.698562669615029</v>
      </c>
      <c r="T30" s="4034">
        <f>+SINTER!Q88</f>
        <v>63.920214180290841</v>
      </c>
      <c r="U30" s="3528">
        <f>+SINTER!R88</f>
        <v>59.198353660839032</v>
      </c>
      <c r="V30" s="4033">
        <f>+SINTER!S88</f>
        <v>64.938026921102107</v>
      </c>
      <c r="W30" s="4033">
        <f>+SINTER!T88</f>
        <v>62.727863478948478</v>
      </c>
      <c r="X30" s="4034">
        <f>+SINTER!U88</f>
        <v>64.13304008429391</v>
      </c>
      <c r="Y30" s="3528">
        <f>+SINTER!V88</f>
        <v>59.923042588066721</v>
      </c>
      <c r="Z30" s="4033">
        <f>+SINTER!W88</f>
        <v>64.938026921102121</v>
      </c>
      <c r="AA30" s="4033">
        <f>+SINTER!X88</f>
        <v>73.207500853825138</v>
      </c>
      <c r="AB30" s="4035">
        <f>+SINTER!Y88</f>
        <v>64.938026921102107</v>
      </c>
      <c r="AC30" s="4035">
        <f>+SINTER!Z88</f>
        <v>70.591207199787533</v>
      </c>
      <c r="AD30" s="4037">
        <f>+SINTER!AA88</f>
        <v>64.216303267569728</v>
      </c>
      <c r="AE30" s="4038">
        <f>+SINTER!AB88</f>
        <v>62.144719503831084</v>
      </c>
      <c r="AF30" s="4033">
        <f>+SINTER!AC88</f>
        <v>64.938026921102107</v>
      </c>
      <c r="AG30" s="4033">
        <f>+SINTER!AD88</f>
        <v>99.625806109179692</v>
      </c>
      <c r="AH30" s="4034">
        <f>+SINTER!AE88</f>
        <v>64.332022088495492</v>
      </c>
      <c r="AI30" s="3528">
        <f>+SINTER!AF88</f>
        <v>66.588684419296442</v>
      </c>
      <c r="AJ30" s="4033">
        <f>+SINTER!AG88</f>
        <v>64.938026921102107</v>
      </c>
      <c r="AK30" s="4033">
        <f>+SINTER!AH88</f>
        <v>67.715984992053649</v>
      </c>
      <c r="AL30" s="4034">
        <f>+SINTER!AI88</f>
        <v>64.414405348532497</v>
      </c>
      <c r="AM30" s="3528">
        <f>+SINTER!AJ88</f>
        <v>66.730613528886963</v>
      </c>
      <c r="AN30" s="4033">
        <f>+SINTER!AK88</f>
        <v>64.938026921102121</v>
      </c>
      <c r="AO30" s="4033">
        <f>+SINTER!AL88</f>
        <v>61.999428908855513</v>
      </c>
      <c r="AP30" s="4035">
        <f>+SINTER!AM88</f>
        <v>64.938026921102121</v>
      </c>
      <c r="AQ30" s="4035">
        <f>+SINTER!AN88</f>
        <v>75.064641319684512</v>
      </c>
      <c r="AR30" s="4034">
        <f>+SINTER!AO88</f>
        <v>64.478703817087947</v>
      </c>
      <c r="AS30" s="3528">
        <f>+SINTER!AP88</f>
        <v>66.208618275402841</v>
      </c>
      <c r="AT30" s="4033">
        <f>+SINTER!AQ88</f>
        <v>64.938026921102107</v>
      </c>
      <c r="AU30" s="4033">
        <f>+SINTER!AR88</f>
        <v>60.0278247585793</v>
      </c>
      <c r="AV30" s="4034">
        <f>+SINTER!AS88</f>
        <v>64.529121749312409</v>
      </c>
      <c r="AW30" s="3528">
        <f>+SINTER!AT88</f>
        <v>65.585466058738859</v>
      </c>
      <c r="AX30" s="4033">
        <f>+SINTER!AU88</f>
        <v>64.938026921102121</v>
      </c>
      <c r="AY30" s="4033">
        <f>+SINTER!AV88</f>
        <v>57.002471049338411</v>
      </c>
      <c r="AZ30" s="4034">
        <f>+SINTER!AW88</f>
        <v>64.565862732864218</v>
      </c>
      <c r="BA30" s="3528">
        <f>+SINTER!AX88</f>
        <v>64.901473219121982</v>
      </c>
      <c r="BB30" s="4033">
        <f>+SINTER!AY88</f>
        <v>64.938026921102107</v>
      </c>
      <c r="BC30" s="4033">
        <f>+SINTER!AZ88</f>
        <v>44.191054898533025</v>
      </c>
      <c r="BD30" s="4039">
        <f>+SINTER!BA88</f>
        <v>64.938026921102107</v>
      </c>
      <c r="BE30" s="4039">
        <f>+SINTER!BB88</f>
        <v>53.462224877362068</v>
      </c>
      <c r="BF30" s="4037">
        <f>+SINTER!BC88</f>
        <v>64.938026921102107</v>
      </c>
      <c r="BG30" s="4038">
        <f>+SINTER!BD88</f>
        <v>64.093440867985151</v>
      </c>
      <c r="BH30" s="4034">
        <f>+SINTER!BE88</f>
        <v>64.599666016780219</v>
      </c>
      <c r="BI30" s="3528">
        <f>+SINTER!BF88</f>
        <v>63.085018537709971</v>
      </c>
    </row>
    <row r="31" spans="3:62" x14ac:dyDescent="0.25">
      <c r="C31" s="7822"/>
      <c r="D31" s="4001" t="s">
        <v>753</v>
      </c>
      <c r="E31" s="3982" t="s">
        <v>218</v>
      </c>
      <c r="F31" s="4032">
        <v>101.93133462172391</v>
      </c>
      <c r="G31" s="4008">
        <v>99.746462779812191</v>
      </c>
      <c r="H31" s="4033">
        <f>+SINTER!E89</f>
        <v>99.746462779812191</v>
      </c>
      <c r="I31" s="4033">
        <f>+SINTER!F89</f>
        <v>113.71171232334204</v>
      </c>
      <c r="J31" s="4033">
        <f>+SINTER!G89</f>
        <v>99.85753196358155</v>
      </c>
      <c r="K31" s="4033">
        <f>+SINTER!H89</f>
        <v>96.927718642522223</v>
      </c>
      <c r="L31" s="3528">
        <f>+SINTER!I89</f>
        <v>99.809540855810667</v>
      </c>
      <c r="M31" s="3528">
        <f>+SINTER!J89</f>
        <v>105.29842807845216</v>
      </c>
      <c r="N31" s="4033">
        <f>+SINTER!K89</f>
        <v>99.85753196358155</v>
      </c>
      <c r="O31" s="4033">
        <f>+SINTER!L89</f>
        <v>90.357027060067935</v>
      </c>
      <c r="P31" s="4035">
        <f>+SINTER!M89</f>
        <v>99.826596986366184</v>
      </c>
      <c r="Q31" s="4036">
        <f>+SINTER!N89</f>
        <v>100.1172255153499</v>
      </c>
      <c r="R31" s="4033">
        <f>+SINTER!O89</f>
        <v>99.857531963581565</v>
      </c>
      <c r="S31" s="4033">
        <f>+SINTER!P89</f>
        <v>94.408985827721381</v>
      </c>
      <c r="T31" s="4034">
        <f>+SINTER!Q89</f>
        <v>99.834775709532977</v>
      </c>
      <c r="U31" s="3528">
        <f>+SINTER!R89</f>
        <v>98.585480712694405</v>
      </c>
      <c r="V31" s="4033">
        <f>+SINTER!S89</f>
        <v>99.857531963581565</v>
      </c>
      <c r="W31" s="4033">
        <f>+SINTER!T89</f>
        <v>98.653631853520153</v>
      </c>
      <c r="X31" s="4034">
        <f>+SINTER!U89</f>
        <v>99.839534070423369</v>
      </c>
      <c r="Y31" s="3528">
        <f>+SINTER!V89</f>
        <v>98.599473697465527</v>
      </c>
      <c r="Z31" s="4033">
        <f>+SINTER!W89</f>
        <v>99.857531963581565</v>
      </c>
      <c r="AA31" s="4033">
        <f>+SINTER!X89</f>
        <v>96.111360143442624</v>
      </c>
      <c r="AB31" s="4035">
        <f>+SINTER!Y89</f>
        <v>99.857531963581565</v>
      </c>
      <c r="AC31" s="4035">
        <f>+SINTER!Z89</f>
        <v>96.368010671991129</v>
      </c>
      <c r="AD31" s="4037">
        <f>+SINTER!AA89</f>
        <v>99.841395668412389</v>
      </c>
      <c r="AE31" s="4038">
        <f>+SINTER!AB89</f>
        <v>98.183364561798228</v>
      </c>
      <c r="AF31" s="4033">
        <f>+SINTER!AC89</f>
        <v>99.85753196358155</v>
      </c>
      <c r="AG31" s="4033">
        <f>+SINTER!AD89</f>
        <v>103.91842042408641</v>
      </c>
      <c r="AH31" s="4034">
        <f>+SINTER!AE89</f>
        <v>99.843982909445643</v>
      </c>
      <c r="AI31" s="3528">
        <f>+SINTER!AF89</f>
        <v>98.863344502310554</v>
      </c>
      <c r="AJ31" s="4033">
        <f>+SINTER!AG89</f>
        <v>99.857531963581565</v>
      </c>
      <c r="AK31" s="4033">
        <f>+SINTER!AH89</f>
        <v>101.59582311595113</v>
      </c>
      <c r="AL31" s="4034">
        <f>+SINTER!AI89</f>
        <v>99.845824834113671</v>
      </c>
      <c r="AM31" s="3528">
        <f>+SINTER!AJ89</f>
        <v>99.207368328769377</v>
      </c>
      <c r="AN31" s="4033">
        <f>+SINTER!AK89</f>
        <v>99.85753196358155</v>
      </c>
      <c r="AO31" s="4033">
        <f>+SINTER!AL89</f>
        <v>102.0007596066679</v>
      </c>
      <c r="AP31" s="4035">
        <f>+SINTER!AM89</f>
        <v>99.857531963581536</v>
      </c>
      <c r="AQ31" s="4035">
        <f>+SINTER!AN89</f>
        <v>102.41868904778158</v>
      </c>
      <c r="AR31" s="4034">
        <f>+SINTER!AO89</f>
        <v>99.84726241907083</v>
      </c>
      <c r="AS31" s="3528">
        <f>+SINTER!AP89</f>
        <v>99.515565346068882</v>
      </c>
      <c r="AT31" s="4033">
        <f>+SINTER!AQ89</f>
        <v>99.857531963581536</v>
      </c>
      <c r="AU31" s="4033">
        <f>+SINTER!AR89</f>
        <v>109.95417098586938</v>
      </c>
      <c r="AV31" s="4034">
        <f>+SINTER!AS89</f>
        <v>99.848389663040479</v>
      </c>
      <c r="AW31" s="3528">
        <f>+SINTER!AT89</f>
        <v>100.56799335965925</v>
      </c>
      <c r="AX31" s="4033">
        <f>+SINTER!AU89</f>
        <v>99.857531963581565</v>
      </c>
      <c r="AY31" s="4033">
        <f>+SINTER!AV89</f>
        <v>114.19551145639457</v>
      </c>
      <c r="AZ31" s="4034">
        <f>+SINTER!AW89</f>
        <v>99.849211117834813</v>
      </c>
      <c r="BA31" s="3528">
        <f>+SINTER!AX89</f>
        <v>101.65399245318169</v>
      </c>
      <c r="BB31" s="4033">
        <f>+SINTER!AY89</f>
        <v>99.857531963581536</v>
      </c>
      <c r="BC31" s="4033">
        <f>+SINTER!AZ89</f>
        <v>112.94322693429658</v>
      </c>
      <c r="BD31" s="4039">
        <f>+SINTER!BA89</f>
        <v>99.85753196358155</v>
      </c>
      <c r="BE31" s="4039">
        <f>+SINTER!BB89</f>
        <v>112.28226230478283</v>
      </c>
      <c r="BF31" s="4037">
        <f>+SINTER!BC89</f>
        <v>99.857531963581536</v>
      </c>
      <c r="BG31" s="4038">
        <f>+SINTER!BD89</f>
        <v>107.42809341981153</v>
      </c>
      <c r="BH31" s="4034">
        <f>+SINTER!BE89</f>
        <v>99.849966891549983</v>
      </c>
      <c r="BI31" s="3528">
        <f>+SINTER!BF89</f>
        <v>102.64414062427839</v>
      </c>
    </row>
    <row r="32" spans="3:62" x14ac:dyDescent="0.25">
      <c r="C32" s="7822"/>
      <c r="D32" s="4001" t="s">
        <v>26</v>
      </c>
      <c r="E32" s="3982" t="s">
        <v>218</v>
      </c>
      <c r="F32" s="3983">
        <v>74.095728405144612</v>
      </c>
      <c r="G32" s="4009">
        <v>62.999999999999993</v>
      </c>
      <c r="H32" s="3986">
        <f>+SINTER!E90</f>
        <v>63</v>
      </c>
      <c r="I32" s="3986">
        <f>+SINTER!F90</f>
        <v>61.40172216753227</v>
      </c>
      <c r="J32" s="3986">
        <f>+SINTER!G90</f>
        <v>63.499999999999993</v>
      </c>
      <c r="K32" s="3986">
        <f>+SINTER!H90</f>
        <v>64.26010255948394</v>
      </c>
      <c r="L32" s="3986">
        <f>+SINTER!I90</f>
        <v>63.283958492615938</v>
      </c>
      <c r="M32" s="3986">
        <f>+SINTER!J90</f>
        <v>62.834537692539932</v>
      </c>
      <c r="N32" s="3986">
        <f>+SINTER!K90</f>
        <v>63.5</v>
      </c>
      <c r="O32" s="3986">
        <f>+SINTER!L90</f>
        <v>63.945422750442496</v>
      </c>
      <c r="P32" s="3986">
        <f>+SINTER!M90</f>
        <v>63.360740053336414</v>
      </c>
      <c r="Q32" s="3986">
        <f>+SINTER!N90</f>
        <v>63.21975729157451</v>
      </c>
      <c r="R32" s="3986">
        <f>+SINTER!O90</f>
        <v>63.5</v>
      </c>
      <c r="S32" s="3986">
        <f>+SINTER!P90</f>
        <v>64.843200321640367</v>
      </c>
      <c r="T32" s="3986">
        <f>+SINTER!Q90</f>
        <v>63.39755820077049</v>
      </c>
      <c r="U32" s="3986">
        <f>+SINTER!R90</f>
        <v>63.655390789778892</v>
      </c>
      <c r="V32" s="3986">
        <f>+SINTER!S90</f>
        <v>63.5</v>
      </c>
      <c r="W32" s="3986">
        <f>+SINTER!T90</f>
        <v>63.479470430268883</v>
      </c>
      <c r="X32" s="3986">
        <f>+SINTER!U90</f>
        <v>63.418978907796948</v>
      </c>
      <c r="Y32" s="3986">
        <f>+SINTER!V90</f>
        <v>63.619270324563942</v>
      </c>
      <c r="Z32" s="3986">
        <f>+SINTER!W90</f>
        <v>63.5</v>
      </c>
      <c r="AA32" s="3986">
        <f>+SINTER!X90</f>
        <v>64.519830088797818</v>
      </c>
      <c r="AB32" s="3986">
        <f>+SINTER!Y90</f>
        <v>63.5</v>
      </c>
      <c r="AC32" s="3986">
        <f>+SINTER!Z90</f>
        <v>64.286288965614489</v>
      </c>
      <c r="AD32" s="3986">
        <f>+SINTER!AA90</f>
        <v>63.427359261041047</v>
      </c>
      <c r="AE32" s="3986">
        <f>+SINTER!AB90</f>
        <v>63.769878862709731</v>
      </c>
      <c r="AF32" s="3986">
        <f>+SINTER!AC90</f>
        <v>63.499999999999993</v>
      </c>
      <c r="AG32" s="3986">
        <f>+SINTER!AD90</f>
        <v>67.374804278018104</v>
      </c>
      <c r="AH32" s="3986">
        <f>+SINTER!AE90</f>
        <v>63.439006240632693</v>
      </c>
      <c r="AI32" s="3986">
        <f>+SINTER!AF90</f>
        <v>64.197298756833447</v>
      </c>
      <c r="AJ32" s="3986">
        <f>+SINTER!AG90</f>
        <v>63.5</v>
      </c>
      <c r="AK32" s="3986">
        <f>+SINTER!AH90</f>
        <v>66.274173552590611</v>
      </c>
      <c r="AL32" s="3986">
        <f>+SINTER!AI90</f>
        <v>63.447298030513288</v>
      </c>
      <c r="AM32" s="3986">
        <f>+SINTER!AJ90</f>
        <v>64.458780918393828</v>
      </c>
      <c r="AN32" s="3986">
        <f>+SINTER!AK90</f>
        <v>63.499999999999993</v>
      </c>
      <c r="AO32" s="3986">
        <f>+SINTER!AL90</f>
        <v>61.999428908855521</v>
      </c>
      <c r="AP32" s="3986">
        <f>+SINTER!AM90</f>
        <v>63.499999999999986</v>
      </c>
      <c r="AQ32" s="3986">
        <f>+SINTER!AN90</f>
        <v>65.097382549226097</v>
      </c>
      <c r="AR32" s="3986">
        <f>+SINTER!AO90</f>
        <v>63.453769604843622</v>
      </c>
      <c r="AS32" s="3986">
        <f>+SINTER!AP90</f>
        <v>64.187438711583667</v>
      </c>
      <c r="AT32" s="3986">
        <f>+SINTER!AQ90</f>
        <v>63.5</v>
      </c>
      <c r="AU32" s="3986">
        <f>+SINTER!AR90</f>
        <v>61.375416007419943</v>
      </c>
      <c r="AV32" s="3986">
        <f>+SINTER!AS90</f>
        <v>63.458844117554463</v>
      </c>
      <c r="AW32" s="3986">
        <f>+SINTER!AT90</f>
        <v>63.903928483222302</v>
      </c>
      <c r="AX32" s="3986">
        <f>+SINTER!AU90</f>
        <v>63.499999999999993</v>
      </c>
      <c r="AY32" s="3986">
        <f>+SINTER!AV90</f>
        <v>60.308849405741213</v>
      </c>
      <c r="AZ32" s="3986">
        <f>+SINTER!AW90</f>
        <v>63.462542059532979</v>
      </c>
      <c r="BA32" s="3986">
        <f>+SINTER!AX90</f>
        <v>63.617430781177703</v>
      </c>
      <c r="BB32" s="3986">
        <f>+SINTER!AY90</f>
        <v>63.5</v>
      </c>
      <c r="BC32" s="3986">
        <f>+SINTER!AZ90</f>
        <v>60.735385490274552</v>
      </c>
      <c r="BD32" s="3986">
        <f>+SINTER!BA90</f>
        <v>63.499999999999993</v>
      </c>
      <c r="BE32" s="3986">
        <f>+SINTER!BB90</f>
        <v>60.829923844810011</v>
      </c>
      <c r="BF32" s="3986">
        <f>+SINTER!BC90</f>
        <v>63.5</v>
      </c>
      <c r="BG32" s="3986">
        <f>+SINTER!BD90</f>
        <v>62.930072008273271</v>
      </c>
      <c r="BH32" s="3986">
        <f>+SINTER!BE90</f>
        <v>63.465944325082788</v>
      </c>
      <c r="BI32" s="3986">
        <f>+SINTER!BF90</f>
        <v>63.364654396864012</v>
      </c>
    </row>
    <row r="33" spans="3:61" x14ac:dyDescent="0.25">
      <c r="C33" s="7824"/>
      <c r="D33" s="4041" t="s">
        <v>2324</v>
      </c>
      <c r="E33" s="4042" t="s">
        <v>218</v>
      </c>
      <c r="F33" s="4043">
        <v>6.4308813342236046</v>
      </c>
      <c r="G33" s="4044">
        <v>9.0567340438111685</v>
      </c>
      <c r="H33" s="3986">
        <f>+SINTER!E93</f>
        <v>9.0567340438111668</v>
      </c>
      <c r="I33" s="3986">
        <f>+SINTER!F93</f>
        <v>9.185082091494392</v>
      </c>
      <c r="J33" s="3986">
        <f>+SINTER!G93</f>
        <v>10.414589223195623</v>
      </c>
      <c r="K33" s="3986">
        <f>+SINTER!H93</f>
        <v>0</v>
      </c>
      <c r="L33" s="3514">
        <f>+SINTER!I93</f>
        <v>9.8278830636686756</v>
      </c>
      <c r="M33" s="3514">
        <f>+SINTER!J93</f>
        <v>4.5808914609474414</v>
      </c>
      <c r="N33" s="3986">
        <f>+SINTER!K93</f>
        <v>10.414589223195621</v>
      </c>
      <c r="O33" s="3986">
        <f>+SINTER!L93</f>
        <v>4.6668119508655925</v>
      </c>
      <c r="P33" s="3987">
        <f>+SINTER!M93</f>
        <v>10.036399543479712</v>
      </c>
      <c r="Q33" s="3988">
        <f>+SINTER!N93</f>
        <v>4.6106859535816449</v>
      </c>
      <c r="R33" s="3986">
        <f>+SINTER!O93</f>
        <v>10.414589223195621</v>
      </c>
      <c r="S33" s="3986">
        <f>+SINTER!P93</f>
        <v>5.9227057995778472</v>
      </c>
      <c r="T33" s="3979">
        <f>+SINTER!Q93</f>
        <v>10.136386967857124</v>
      </c>
      <c r="U33" s="3514">
        <f>+SINTER!R93</f>
        <v>4.9627523856274376</v>
      </c>
      <c r="V33" s="3986">
        <f>+SINTER!S93</f>
        <v>10.414589223195621</v>
      </c>
      <c r="W33" s="3986">
        <f>+SINTER!T93</f>
        <v>9.9196459096140455</v>
      </c>
      <c r="X33" s="3979">
        <f>+SINTER!U93</f>
        <v>10.194559403821048</v>
      </c>
      <c r="Y33" s="3514">
        <f>+SINTER!V93</f>
        <v>5.9805157679103349</v>
      </c>
      <c r="Z33" s="3986">
        <f>+SINTER!W93</f>
        <v>10.414589223195623</v>
      </c>
      <c r="AA33" s="3986">
        <f>+SINTER!X93</f>
        <v>8.7010117827868854</v>
      </c>
      <c r="AB33" s="4035">
        <f>+SINTER!Y93</f>
        <v>10.414589223195621</v>
      </c>
      <c r="AC33" s="3987">
        <f>+SINTER!Z93</f>
        <v>8.1484666366185294</v>
      </c>
      <c r="AD33" s="4037">
        <f>+SINTER!AA93</f>
        <v>10.217318015936209</v>
      </c>
      <c r="AE33" s="3991">
        <f>+SINTER!AB93</f>
        <v>6.4354882684645451</v>
      </c>
      <c r="AF33" s="3986">
        <f>+SINTER!AC93</f>
        <v>10.414589223195623</v>
      </c>
      <c r="AG33" s="3986">
        <f>+SINTER!AD93</f>
        <v>12.552745415461372</v>
      </c>
      <c r="AH33" s="3979">
        <f>+SINTER!AE93</f>
        <v>10.248947839061628</v>
      </c>
      <c r="AI33" s="3514">
        <f>+SINTER!AF93</f>
        <v>7.1607841070396807</v>
      </c>
      <c r="AJ33" s="3986">
        <f>+SINTER!AG93</f>
        <v>10.414589223195623</v>
      </c>
      <c r="AK33" s="3986">
        <f>+SINTER!AH93</f>
        <v>9.729496512891652</v>
      </c>
      <c r="AL33" s="3979">
        <f>+SINTER!AI93</f>
        <v>10.271465938733053</v>
      </c>
      <c r="AM33" s="3514">
        <f>+SINTER!AJ93</f>
        <v>7.4841894821163661</v>
      </c>
      <c r="AN33" s="3986">
        <f>+SINTER!AK93</f>
        <v>10.414589223195623</v>
      </c>
      <c r="AO33" s="3986">
        <f>+SINTER!AL93</f>
        <v>10.978256952202997</v>
      </c>
      <c r="AP33" s="4035">
        <f>+SINTER!AM93</f>
        <v>10.414589223195621</v>
      </c>
      <c r="AQ33" s="3987">
        <f>+SINTER!AN93</f>
        <v>10.995101943177874</v>
      </c>
      <c r="AR33" s="3979">
        <f>+SINTER!AO93</f>
        <v>10.289040860179487</v>
      </c>
      <c r="AS33" s="3514">
        <f>+SINTER!AP93</f>
        <v>7.8696926449006517</v>
      </c>
      <c r="AT33" s="3986">
        <f>+SINTER!AQ93</f>
        <v>10.414589223195621</v>
      </c>
      <c r="AU33" s="3986">
        <f>+SINTER!AR93</f>
        <v>9.8859730481750248</v>
      </c>
      <c r="AV33" s="3979">
        <f>+SINTER!AS93</f>
        <v>10.302821766914029</v>
      </c>
      <c r="AW33" s="3514">
        <f>+SINTER!AT93</f>
        <v>8.0729755404215329</v>
      </c>
      <c r="AX33" s="3986">
        <f>+SINTER!AU93</f>
        <v>10.414589223195623</v>
      </c>
      <c r="AY33" s="3986">
        <f>+SINTER!AV93</f>
        <v>13.851216150117835</v>
      </c>
      <c r="AZ33" s="3979">
        <f>+SINTER!AW93</f>
        <v>10.312864306251196</v>
      </c>
      <c r="BA33" s="3514">
        <f>+SINTER!AX93</f>
        <v>8.5334529376805328</v>
      </c>
      <c r="BB33" s="3986">
        <f>+SINTER!AY93</f>
        <v>10.414589223195621</v>
      </c>
      <c r="BC33" s="3986">
        <f>+SINTER!AZ93</f>
        <v>8.8671714565540185</v>
      </c>
      <c r="BD33" s="3989">
        <f>+SINTER!BA93</f>
        <v>10.414589223195621</v>
      </c>
      <c r="BE33" s="3989">
        <f>+SINTER!BB93</f>
        <v>10.697721751814363</v>
      </c>
      <c r="BF33" s="3990">
        <f>+SINTER!BC93</f>
        <v>10.414589223195621</v>
      </c>
      <c r="BG33" s="3991">
        <f>+SINTER!BD93</f>
        <v>10.844071724011197</v>
      </c>
      <c r="BH33" s="3979">
        <f>+SINTER!BE93</f>
        <v>10.322103874048102</v>
      </c>
      <c r="BI33" s="3514">
        <f>+SINTER!BF93</f>
        <v>8.5627224848474768</v>
      </c>
    </row>
    <row r="34" spans="3:61" x14ac:dyDescent="0.25">
      <c r="C34" s="7824"/>
      <c r="D34" s="4041" t="s">
        <v>42</v>
      </c>
      <c r="E34" s="4042" t="s">
        <v>218</v>
      </c>
      <c r="F34" s="4043">
        <v>12.079400955259329</v>
      </c>
      <c r="G34" s="4044">
        <v>4</v>
      </c>
      <c r="H34" s="3986">
        <f>+SINTER!E96</f>
        <v>3.9999999999999991</v>
      </c>
      <c r="I34" s="3986">
        <f>+SINTER!F96</f>
        <v>0</v>
      </c>
      <c r="J34" s="3986">
        <f>+SINTER!G95</f>
        <v>0</v>
      </c>
      <c r="K34" s="3986">
        <f>+SINTER!H95</f>
        <v>1.9645038361299836</v>
      </c>
      <c r="L34" s="3514">
        <f>+SINTER!I95</f>
        <v>6.4812452215218768</v>
      </c>
      <c r="M34" s="3514">
        <f>+SINTER!J95</f>
        <v>10.180385827593698</v>
      </c>
      <c r="N34" s="3986">
        <f>+SINTER!K95</f>
        <v>0</v>
      </c>
      <c r="O34" s="3986">
        <f>+SINTER!L95</f>
        <v>0</v>
      </c>
      <c r="P34" s="3987">
        <f>+SINTER!M95</f>
        <v>4.1777983999076342</v>
      </c>
      <c r="Q34" s="3988">
        <f>+SINTER!N95</f>
        <v>6.6501518770827808</v>
      </c>
      <c r="R34" s="3986">
        <f>+SINTER!O95</f>
        <v>0</v>
      </c>
      <c r="S34" s="3986">
        <f>+SINTER!P95</f>
        <v>2.6258920494522062</v>
      </c>
      <c r="T34" s="3979">
        <f>+SINTER!Q95</f>
        <v>3.0732539768852161</v>
      </c>
      <c r="U34" s="3514">
        <f>+SINTER!R95</f>
        <v>5.5702849806614489</v>
      </c>
      <c r="V34" s="3986">
        <f>+SINTER!S95</f>
        <v>0</v>
      </c>
      <c r="W34" s="3986">
        <f>+SINTER!T95</f>
        <v>1.6023842642733552</v>
      </c>
      <c r="X34" s="3979">
        <f>+SINTER!U95</f>
        <v>2.4306327660912679</v>
      </c>
      <c r="Y34" s="3514">
        <f>+SINTER!V95</f>
        <v>4.7555843956817689</v>
      </c>
      <c r="Z34" s="3986">
        <f>+SINTER!W95</f>
        <v>0</v>
      </c>
      <c r="AA34" s="3986">
        <f>+SINTER!X95</f>
        <v>1.4995303961748634</v>
      </c>
      <c r="AB34" s="4035">
        <f>+SINTER!Y95</f>
        <v>0</v>
      </c>
      <c r="AC34" s="3987">
        <f>+SINTER!Z95</f>
        <v>1.9214082598927438</v>
      </c>
      <c r="AD34" s="4037">
        <f>+SINTER!AA95</f>
        <v>2.1792221687680677</v>
      </c>
      <c r="AE34" s="3991">
        <f>+SINTER!AB95</f>
        <v>4.2110458181597501</v>
      </c>
      <c r="AF34" s="3986">
        <f>+SINTER!AC95</f>
        <v>0</v>
      </c>
      <c r="AG34" s="3986">
        <f>+SINTER!AD95</f>
        <v>1.9638544624611876</v>
      </c>
      <c r="AH34" s="3979">
        <f>+SINTER!AE95</f>
        <v>1.8298127810185103</v>
      </c>
      <c r="AI34" s="3514">
        <f>+SINTER!AF95</f>
        <v>3.9446063830331188</v>
      </c>
      <c r="AJ34" s="3986">
        <f>+SINTER!AG95</f>
        <v>0</v>
      </c>
      <c r="AK34" s="3986">
        <f>+SINTER!AH95</f>
        <v>1.201509532885862</v>
      </c>
      <c r="AL34" s="3979">
        <f>+SINTER!AI95</f>
        <v>1.5810590846011436</v>
      </c>
      <c r="AM34" s="3514">
        <f>+SINTER!AJ95</f>
        <v>3.5992457020660682</v>
      </c>
      <c r="AN34" s="3986">
        <f>+SINTER!AK95</f>
        <v>0</v>
      </c>
      <c r="AO34" s="3986">
        <f>+SINTER!AL95</f>
        <v>1.7160457205590041</v>
      </c>
      <c r="AP34" s="4035">
        <f>+SINTER!AM95</f>
        <v>0</v>
      </c>
      <c r="AQ34" s="3987">
        <f>+SINTER!AN95</f>
        <v>1.6054579736611541</v>
      </c>
      <c r="AR34" s="3979">
        <f>+SINTER!AO95</f>
        <v>1.3869118546911139</v>
      </c>
      <c r="AS34" s="3514">
        <f>+SINTER!AP95</f>
        <v>3.3914707935270867</v>
      </c>
      <c r="AT34" s="3986">
        <f>+SINTER!AQ95</f>
        <v>0</v>
      </c>
      <c r="AU34" s="3986">
        <f>+SINTER!AR95</f>
        <v>0</v>
      </c>
      <c r="AV34" s="3979">
        <f>+SINTER!AS95</f>
        <v>1.2346764733658071</v>
      </c>
      <c r="AW34" s="3514">
        <f>+SINTER!AT95</f>
        <v>3.0495401762066559</v>
      </c>
      <c r="AX34" s="3986">
        <f>+SINTER!AU95</f>
        <v>0</v>
      </c>
      <c r="AY34" s="3986">
        <f>+SINTER!AV95</f>
        <v>1.9279266689111501</v>
      </c>
      <c r="AZ34" s="3979">
        <f>+SINTER!AW95</f>
        <v>1.1237382140104821</v>
      </c>
      <c r="BA34" s="3514">
        <f>+SINTER!AX95</f>
        <v>2.9601569705811777</v>
      </c>
      <c r="BB34" s="3986">
        <f>+SINTER!AY95</f>
        <v>0</v>
      </c>
      <c r="BC34" s="3986">
        <f>+SINTER!AZ95</f>
        <v>1.7191992164874628</v>
      </c>
      <c r="BD34" s="3989">
        <f>+SINTER!BA95</f>
        <v>0</v>
      </c>
      <c r="BE34" s="3989">
        <f>+SINTER!BB95</f>
        <v>1.1872746769387914</v>
      </c>
      <c r="BF34" s="3990">
        <f>+SINTER!BC95</f>
        <v>0</v>
      </c>
      <c r="BG34" s="3991">
        <f>+SINTER!BD95</f>
        <v>1.3930755864340949</v>
      </c>
      <c r="BH34" s="3979">
        <f>+SINTER!BE95</f>
        <v>1.021670247516129</v>
      </c>
      <c r="BI34" s="3514">
        <f>+SINTER!BF95</f>
        <v>2.8513159280215912</v>
      </c>
    </row>
    <row r="35" spans="3:61" ht="15.75" thickBot="1" x14ac:dyDescent="0.3">
      <c r="C35" s="7823"/>
      <c r="D35" s="4045" t="s">
        <v>1007</v>
      </c>
      <c r="E35" s="3962" t="s">
        <v>228</v>
      </c>
      <c r="F35" s="4011">
        <v>32.711238390550697</v>
      </c>
      <c r="G35" s="4046">
        <v>30.37881223726319</v>
      </c>
      <c r="H35" s="4014">
        <f>+SINTER!E83</f>
        <v>30.37</v>
      </c>
      <c r="I35" s="4014">
        <f>+SINTER!F83</f>
        <v>33.112291659594689</v>
      </c>
      <c r="J35" s="4014">
        <f>+SINTER!G83</f>
        <v>30.937619988311706</v>
      </c>
      <c r="K35" s="4014">
        <f>+SINTER!H83</f>
        <v>31.337579438568429</v>
      </c>
      <c r="L35" s="3531">
        <f>+SINTER!I83</f>
        <v>30.69236103251934</v>
      </c>
      <c r="M35" s="3531">
        <f>+SINTER!J83</f>
        <v>32.222684653519813</v>
      </c>
      <c r="N35" s="4014">
        <f>+SINTER!K83</f>
        <v>30.937619988311706</v>
      </c>
      <c r="O35" s="4014">
        <f>+SINTER!L83</f>
        <v>31.192641532500247</v>
      </c>
      <c r="P35" s="4016">
        <f>+SINTER!M83</f>
        <v>30.779526529716758</v>
      </c>
      <c r="Q35" s="4017">
        <f>+SINTER!N83</f>
        <v>31.865498466483817</v>
      </c>
      <c r="R35" s="4014">
        <f>+SINTER!O83</f>
        <v>30.93761998831171</v>
      </c>
      <c r="S35" s="4014">
        <f>+SINTER!P83</f>
        <v>31.291888632023316</v>
      </c>
      <c r="T35" s="4015">
        <f>+SINTER!Q83</f>
        <v>30.821323962549137</v>
      </c>
      <c r="U35" s="3531">
        <f>+SINTER!R83</f>
        <v>31.71157642908388</v>
      </c>
      <c r="V35" s="4014">
        <f>+SINTER!S83</f>
        <v>30.93761998831171</v>
      </c>
      <c r="W35" s="4014">
        <f>+SINTER!T83</f>
        <v>32.42672484661216</v>
      </c>
      <c r="X35" s="4015">
        <f>+SINTER!U83</f>
        <v>30.845641605493118</v>
      </c>
      <c r="Y35" s="3531">
        <f>+SINTER!V83</f>
        <v>31.858412722568044</v>
      </c>
      <c r="Z35" s="4014">
        <f>+SINTER!W83</f>
        <v>30.93761998831171</v>
      </c>
      <c r="AA35" s="4014">
        <f>+SINTER!X83</f>
        <v>32.829122908128404</v>
      </c>
      <c r="AB35" s="4016">
        <f>+SINTER!Y83</f>
        <v>30.937619988311706</v>
      </c>
      <c r="AC35" s="4016">
        <f>+SINTER!Z83</f>
        <v>32.166493788946148</v>
      </c>
      <c r="AD35" s="4018">
        <f>+SINTER!AA83</f>
        <v>30.855155317514054</v>
      </c>
      <c r="AE35" s="4019">
        <f>+SINTER!AB83</f>
        <v>32.020753133295642</v>
      </c>
      <c r="AF35" s="4014">
        <f>+SINTER!AC83</f>
        <v>30.937619988311706</v>
      </c>
      <c r="AG35" s="4014">
        <f>+SINTER!AD83</f>
        <v>34.24520978742602</v>
      </c>
      <c r="AH35" s="4015">
        <f>+SINTER!AE83</f>
        <v>30.868377434353409</v>
      </c>
      <c r="AI35" s="3531">
        <f>+SINTER!AF83</f>
        <v>32.284497016471065</v>
      </c>
      <c r="AJ35" s="4014">
        <f>+SINTER!AG83</f>
        <v>30.93761998831171</v>
      </c>
      <c r="AK35" s="4014">
        <f>+SINTER!AH83</f>
        <v>32.108649230214716</v>
      </c>
      <c r="AL35" s="4015">
        <f>+SINTER!AI83</f>
        <v>30.877790605703609</v>
      </c>
      <c r="AM35" s="3531">
        <f>+SINTER!AJ83</f>
        <v>32.262357473273823</v>
      </c>
      <c r="AN35" s="4014">
        <f>+SINTER!AK83</f>
        <v>30.937619988311706</v>
      </c>
      <c r="AO35" s="4014">
        <f>+SINTER!AL83</f>
        <v>29.352476899917644</v>
      </c>
      <c r="AP35" s="4016">
        <f>+SINTER!AM83</f>
        <v>30.937619988311706</v>
      </c>
      <c r="AQ35" s="4016">
        <f>+SINTER!AN83</f>
        <v>31.768181981724425</v>
      </c>
      <c r="AR35" s="4015">
        <f>+SINTER!AO83</f>
        <v>30.885137395595091</v>
      </c>
      <c r="AS35" s="3531">
        <f>+SINTER!AP83</f>
        <v>31.941308102030415</v>
      </c>
      <c r="AT35" s="4014">
        <f>+SINTER!AQ83</f>
        <v>30.937619988311702</v>
      </c>
      <c r="AU35" s="4014">
        <f>+SINTER!AR83</f>
        <v>32.277674723116391</v>
      </c>
      <c r="AV35" s="4015">
        <f>+SINTER!AS83</f>
        <v>30.890898185286328</v>
      </c>
      <c r="AW35" s="3531">
        <f>+SINTER!AT83</f>
        <v>31.975220835884244</v>
      </c>
      <c r="AX35" s="4014">
        <f>+SINTER!AU83</f>
        <v>30.937619988311702</v>
      </c>
      <c r="AY35" s="4014">
        <f>+SINTER!AV83</f>
        <v>33.020174942670387</v>
      </c>
      <c r="AZ35" s="4015">
        <f>+SINTER!AW83</f>
        <v>30.895096236851568</v>
      </c>
      <c r="BA35" s="3531">
        <f>+SINTER!AX83</f>
        <v>32.05849492913341</v>
      </c>
      <c r="BB35" s="4014">
        <f>+SINTER!AY83</f>
        <v>30.937619988311702</v>
      </c>
      <c r="BC35" s="4014">
        <f>+SINTER!AZ83</f>
        <v>32.089050833535168</v>
      </c>
      <c r="BD35" s="3997">
        <f>+SINTER!BA83</f>
        <v>30.93761998831171</v>
      </c>
      <c r="BE35" s="3997">
        <f>+SINTER!BB83</f>
        <v>32.430445491842669</v>
      </c>
      <c r="BF35" s="4018">
        <f>+SINTER!BC83</f>
        <v>30.93761998831171</v>
      </c>
      <c r="BG35" s="4019">
        <f>+SINTER!BD83</f>
        <v>32.104525174660857</v>
      </c>
      <c r="BH35" s="4015">
        <f>+SINTER!BE83</f>
        <v>30.898958624714801</v>
      </c>
      <c r="BI35" s="3531">
        <f>+SINTER!BF83</f>
        <v>32.06117490472522</v>
      </c>
    </row>
    <row r="36" spans="3:61" x14ac:dyDescent="0.25">
      <c r="C36" s="7815" t="s">
        <v>1020</v>
      </c>
      <c r="D36" s="4047" t="s">
        <v>353</v>
      </c>
      <c r="E36" s="4048" t="s">
        <v>361</v>
      </c>
      <c r="F36" s="4049">
        <v>400.04040555458937</v>
      </c>
      <c r="G36" s="4050">
        <f>+'Maj Techno Summ'!D10</f>
        <v>348.37400000000002</v>
      </c>
      <c r="H36" s="4051">
        <f>+'Maj Techno Summ'!E10</f>
        <v>375</v>
      </c>
      <c r="I36" s="4051">
        <f>+'Maj Techno Summ'!F10</f>
        <v>383.57168411248995</v>
      </c>
      <c r="J36" s="4051">
        <f>+'Maj Techno Summ'!G10</f>
        <v>356</v>
      </c>
      <c r="K36" s="4051">
        <f>+'Maj Techno Summ'!H10</f>
        <v>345.97012054468189</v>
      </c>
      <c r="L36" s="4052">
        <f>+'Maj Techno Summ'!I10</f>
        <v>364.44444444444446</v>
      </c>
      <c r="M36" s="4052">
        <f>+'Maj Techno Summ'!J10</f>
        <v>364.0592420532389</v>
      </c>
      <c r="N36" s="4051">
        <f>+'Maj Techno Summ'!K10</f>
        <v>356</v>
      </c>
      <c r="O36" s="4051">
        <f>+'Maj Techno Summ'!L10</f>
        <v>348.40698971547278</v>
      </c>
      <c r="P36" s="4053">
        <f>+'Maj Techno Summ'!M10</f>
        <v>361.48888888888894</v>
      </c>
      <c r="Q36" s="4054">
        <f>+'Maj Techno Summ'!N10</f>
        <v>358.6331265537633</v>
      </c>
      <c r="R36" s="4051">
        <f>+'Maj Techno Summ'!O10</f>
        <v>356</v>
      </c>
      <c r="S36" s="4051">
        <f>+'Maj Techno Summ'!P10</f>
        <v>362.56961546164109</v>
      </c>
      <c r="T36" s="4055">
        <f>+'Maj Techno Summ'!Q10</f>
        <v>360.05333333333334</v>
      </c>
      <c r="U36" s="4052">
        <f>+'Maj Techno Summ'!R10</f>
        <v>359.66549940001357</v>
      </c>
      <c r="V36" s="4051">
        <f>+'Maj Techno Summ'!S10</f>
        <v>356</v>
      </c>
      <c r="W36" s="4051">
        <f>+'Maj Techno Summ'!T10</f>
        <v>365.93798366603016</v>
      </c>
      <c r="X36" s="4055">
        <f>+'Maj Techno Summ'!U10</f>
        <v>359.21300813008128</v>
      </c>
      <c r="Y36" s="4052">
        <f>+'Maj Techno Summ'!V10</f>
        <v>360.91076677300003</v>
      </c>
      <c r="Z36" s="4051">
        <f>+'Maj Techno Summ'!W10</f>
        <v>383</v>
      </c>
      <c r="AA36" s="4051">
        <f>+'Maj Techno Summ'!X10</f>
        <v>390.38903144875366</v>
      </c>
      <c r="AB36" s="4053">
        <f>+'Maj Techno Summ'!Y10</f>
        <v>361.81538461538457</v>
      </c>
      <c r="AC36" s="4053">
        <f>+'Maj Techno Summ'!Z10</f>
        <v>372.53619548915242</v>
      </c>
      <c r="AD36" s="4056">
        <f>+'Maj Techno Summ'!AA10</f>
        <v>361.64379562043797</v>
      </c>
      <c r="AE36" s="4057">
        <f>+'Maj Techno Summ'!AB10</f>
        <v>365.63228152136048</v>
      </c>
      <c r="AF36" s="4051">
        <f>+'Maj Techno Summ'!AC10</f>
        <v>354</v>
      </c>
      <c r="AG36" s="4051">
        <f>+'Maj Techno Summ'!AD10</f>
        <v>407.03377172388349</v>
      </c>
      <c r="AH36" s="4055">
        <f>+'Maj Techno Summ'!AE10</f>
        <v>360.42453987730062</v>
      </c>
      <c r="AI36" s="4052">
        <f>+'Maj Techno Summ'!AF10</f>
        <v>370.51213863480228</v>
      </c>
      <c r="AJ36" s="4051">
        <f>+'Maj Techno Summ'!AG10</f>
        <v>354</v>
      </c>
      <c r="AK36" s="4051">
        <f>+'Maj Techno Summ'!AH10</f>
        <v>366.29801079835937</v>
      </c>
      <c r="AL36" s="4055">
        <f>+'Maj Techno Summ'!AI10</f>
        <v>359.56429330499469</v>
      </c>
      <c r="AM36" s="4052">
        <f>+'Maj Techno Summ'!AJ10</f>
        <v>369.98883571793908</v>
      </c>
      <c r="AN36" s="4051">
        <f>+'Maj Techno Summ'!AK10</f>
        <v>354</v>
      </c>
      <c r="AO36" s="4051">
        <f>+'Maj Techno Summ'!AL10</f>
        <v>379.38954607431214</v>
      </c>
      <c r="AP36" s="4053">
        <f>+'Maj Techno Summ'!AM10</f>
        <v>354</v>
      </c>
      <c r="AQ36" s="4053">
        <f>+'Maj Techno Summ'!AN10</f>
        <v>382.84532752383001</v>
      </c>
      <c r="AR36" s="4055">
        <f>+'Maj Techno Summ'!AO10</f>
        <v>358.88888888888886</v>
      </c>
      <c r="AS36" s="4052">
        <f>+'Maj Techno Summ'!AP10</f>
        <v>371.05520255879122</v>
      </c>
      <c r="AT36" s="4051">
        <f>+'Maj Techno Summ'!AQ10</f>
        <v>354</v>
      </c>
      <c r="AU36" s="4051">
        <f>+'Maj Techno Summ'!AR10</f>
        <v>385.39816586713408</v>
      </c>
      <c r="AV36" s="4055">
        <f>+'Maj Techno Summ'!AS10</f>
        <v>358.35245220282627</v>
      </c>
      <c r="AW36" s="4052">
        <f>+'Maj Techno Summ'!AT10</f>
        <v>372.4813390011775</v>
      </c>
      <c r="AX36" s="4051">
        <f>+'Maj Techno Summ'!AU10</f>
        <v>354</v>
      </c>
      <c r="AY36" s="4051">
        <f>+'Maj Techno Summ'!AV10</f>
        <v>429.82864200130945</v>
      </c>
      <c r="AZ36" s="4055">
        <f>+'Maj Techno Summ'!AW10</f>
        <v>357.96366389099165</v>
      </c>
      <c r="BA36" s="4052">
        <f>+'Maj Techno Summ'!AX10</f>
        <v>376.72076886647579</v>
      </c>
      <c r="BB36" s="4051">
        <f>+'Maj Techno Summ'!AY10</f>
        <v>354</v>
      </c>
      <c r="BC36" s="4051">
        <f>+'Maj Techno Summ'!AZ10</f>
        <v>367.13628962682185</v>
      </c>
      <c r="BD36" s="4058">
        <f>+'Maj Techno Summ'!BA10</f>
        <v>354</v>
      </c>
      <c r="BE36" s="4058">
        <f>+'Maj Techno Summ'!BB10</f>
        <v>391.36137645781383</v>
      </c>
      <c r="BF36" s="4056">
        <f>+'Maj Techno Summ'!BC10</f>
        <v>354</v>
      </c>
      <c r="BG36" s="4057">
        <f>+'Maj Techno Summ'!BD10</f>
        <v>387.08691633158401</v>
      </c>
      <c r="BH36" s="4055">
        <f>+'Maj Techno Summ'!BE10</f>
        <v>357.60357880247761</v>
      </c>
      <c r="BI36" s="4052">
        <f>+'Maj Techno Summ'!BF10</f>
        <v>375.89147190287667</v>
      </c>
    </row>
    <row r="37" spans="3:61" x14ac:dyDescent="0.25">
      <c r="C37" s="7816"/>
      <c r="D37" s="4059" t="s">
        <v>354</v>
      </c>
      <c r="E37" s="3785" t="s">
        <v>361</v>
      </c>
      <c r="F37" s="4060">
        <v>36.610035455154154</v>
      </c>
      <c r="G37" s="4061">
        <f>+'Maj Techno Summ'!D11</f>
        <v>27.055333333333333</v>
      </c>
      <c r="H37" s="4033">
        <f>+'Maj Techno Summ'!E11</f>
        <v>26</v>
      </c>
      <c r="I37" s="4033">
        <f>+'Maj Techno Summ'!F11</f>
        <v>31.725019192093036</v>
      </c>
      <c r="J37" s="4033">
        <f>+'Maj Techno Summ'!G11</f>
        <v>29</v>
      </c>
      <c r="K37" s="4033">
        <f>+'Maj Techno Summ'!H11</f>
        <v>29.24639142160763</v>
      </c>
      <c r="L37" s="3528">
        <f>+'Maj Techno Summ'!I11</f>
        <v>27.666666666666664</v>
      </c>
      <c r="M37" s="3528">
        <f>+'Maj Techno Summ'!J11</f>
        <v>30.438793935240867</v>
      </c>
      <c r="N37" s="4033">
        <f>+'Maj Techno Summ'!K11</f>
        <v>29</v>
      </c>
      <c r="O37" s="4033">
        <f>+'Maj Techno Summ'!L11</f>
        <v>31.876010889904354</v>
      </c>
      <c r="P37" s="4035">
        <f>+'Maj Techno Summ'!M11</f>
        <v>28.133333333333333</v>
      </c>
      <c r="Q37" s="4036">
        <f>+'Maj Techno Summ'!N11</f>
        <v>30.937029270675126</v>
      </c>
      <c r="R37" s="4033">
        <f>+'Maj Techno Summ'!O11</f>
        <v>29</v>
      </c>
      <c r="S37" s="4033">
        <f>+'Maj Techno Summ'!P11</f>
        <v>40.769372829277593</v>
      </c>
      <c r="T37" s="4034">
        <f>+'Maj Techno Summ'!Q11</f>
        <v>28.36</v>
      </c>
      <c r="U37" s="3528">
        <f>+'Maj Techno Summ'!R11</f>
        <v>33.515632879741879</v>
      </c>
      <c r="V37" s="4033">
        <f>+'Maj Techno Summ'!S11</f>
        <v>29</v>
      </c>
      <c r="W37" s="4033">
        <f>+'Maj Techno Summ'!T11</f>
        <v>37.253344065234799</v>
      </c>
      <c r="X37" s="4034">
        <f>+'Maj Techno Summ'!U11</f>
        <v>28.492682926829268</v>
      </c>
      <c r="Y37" s="3528">
        <f>+'Maj Techno Summ'!V11</f>
        <v>34.257675361085077</v>
      </c>
      <c r="Z37" s="4033">
        <f>+'Maj Techno Summ'!W11</f>
        <v>28</v>
      </c>
      <c r="AA37" s="4033">
        <f>+'Maj Techno Summ'!X11</f>
        <v>36.733820007940906</v>
      </c>
      <c r="AB37" s="4035">
        <f>+'Maj Techno Summ'!Y11</f>
        <v>28.784615384615385</v>
      </c>
      <c r="AC37" s="4035">
        <f>+'Maj Techno Summ'!Z11</f>
        <v>38.320943992264716</v>
      </c>
      <c r="AD37" s="4037">
        <f>+'Maj Techno Summ'!AA11</f>
        <v>28.442335766423358</v>
      </c>
      <c r="AE37" s="4038">
        <f>+'Maj Techno Summ'!AB11</f>
        <v>34.654277861191524</v>
      </c>
      <c r="AF37" s="4033">
        <f>+'Maj Techno Summ'!AC11</f>
        <v>29</v>
      </c>
      <c r="AG37" s="4033">
        <f>+'Maj Techno Summ'!AD11</f>
        <v>30.284127923390631</v>
      </c>
      <c r="AH37" s="4034">
        <f>+'Maj Techno Summ'!AE11</f>
        <v>28.53128834355828</v>
      </c>
      <c r="AI37" s="3528">
        <f>+'Maj Techno Summ'!AF11</f>
        <v>34.139182700209012</v>
      </c>
      <c r="AJ37" s="4033">
        <f>+'Maj Techno Summ'!AG11</f>
        <v>29</v>
      </c>
      <c r="AK37" s="4033">
        <f>+'Maj Techno Summ'!AH11</f>
        <v>37.743468925840951</v>
      </c>
      <c r="AL37" s="4034">
        <f>+'Maj Techno Summ'!AI11</f>
        <v>28.594048884165783</v>
      </c>
      <c r="AM37" s="3528">
        <f>+'Maj Techno Summ'!AJ11</f>
        <v>34.586756567990662</v>
      </c>
      <c r="AN37" s="4033">
        <f>+'Maj Techno Summ'!AK11</f>
        <v>29</v>
      </c>
      <c r="AO37" s="4033">
        <f>+'Maj Techno Summ'!AL11</f>
        <v>35.629725195876944</v>
      </c>
      <c r="AP37" s="4035">
        <f>+'Maj Techno Summ'!AM11</f>
        <v>29</v>
      </c>
      <c r="AQ37" s="4035">
        <f>+'Maj Techno Summ'!AN11</f>
        <v>34.815484048078119</v>
      </c>
      <c r="AR37" s="4034">
        <f>+'Maj Techno Summ'!AO11</f>
        <v>28.643323996265174</v>
      </c>
      <c r="AS37" s="3528">
        <f>+'Maj Techno Summ'!AP11</f>
        <v>34.705065410478618</v>
      </c>
      <c r="AT37" s="4033">
        <f>+'Maj Techno Summ'!AQ11</f>
        <v>29</v>
      </c>
      <c r="AU37" s="4033">
        <f>+'Maj Techno Summ'!AR11</f>
        <v>31.827294285431901</v>
      </c>
      <c r="AV37" s="4034">
        <f>+'Maj Techno Summ'!AS11</f>
        <v>28.682460515378224</v>
      </c>
      <c r="AW37" s="3528">
        <f>+'Maj Techno Summ'!AT11</f>
        <v>34.418925497404381</v>
      </c>
      <c r="AX37" s="4033">
        <f>+'Maj Techno Summ'!AU11</f>
        <v>29</v>
      </c>
      <c r="AY37" s="4033">
        <f>+'Maj Techno Summ'!AV11</f>
        <v>29.819621590301526</v>
      </c>
      <c r="AZ37" s="4034">
        <f>+'Maj Techno Summ'!AW11</f>
        <v>28.710825132475396</v>
      </c>
      <c r="BA37" s="3528">
        <f>+'Maj Techno Summ'!AX11</f>
        <v>34.07891951066582</v>
      </c>
      <c r="BB37" s="4033">
        <f>+'Maj Techno Summ'!AY11</f>
        <v>29</v>
      </c>
      <c r="BC37" s="4033">
        <f>+'Maj Techno Summ'!AZ11</f>
        <v>32.889139192692141</v>
      </c>
      <c r="BD37" s="4039">
        <f>+'Maj Techno Summ'!BA11</f>
        <v>29</v>
      </c>
      <c r="BE37" s="4039">
        <f>+'Maj Techno Summ'!BB11</f>
        <v>31.643808818828944</v>
      </c>
      <c r="BF37" s="4037">
        <f>+'Maj Techno Summ'!BC11</f>
        <v>29</v>
      </c>
      <c r="BG37" s="4038">
        <f>+'Maj Techno Summ'!BD11</f>
        <v>33.235767649252715</v>
      </c>
      <c r="BH37" s="4034">
        <f>+'Maj Techno Summ'!BE11</f>
        <v>28.737095664143151</v>
      </c>
      <c r="BI37" s="3528">
        <f>+'Maj Techno Summ'!BF11</f>
        <v>33.975973781390991</v>
      </c>
    </row>
    <row r="38" spans="3:61" x14ac:dyDescent="0.25">
      <c r="C38" s="7816"/>
      <c r="D38" s="4059" t="s">
        <v>355</v>
      </c>
      <c r="E38" s="3785" t="s">
        <v>361</v>
      </c>
      <c r="F38" s="4060">
        <v>122.58808331992087</v>
      </c>
      <c r="G38" s="4061">
        <f>+'Maj Techno Summ'!D12</f>
        <v>149.57066666666665</v>
      </c>
      <c r="H38" s="4033">
        <f>+'Maj Techno Summ'!E12</f>
        <v>124</v>
      </c>
      <c r="I38" s="4033">
        <f>+'Maj Techno Summ'!F12</f>
        <v>125.12614330039881</v>
      </c>
      <c r="J38" s="4033">
        <f>+'Maj Techno Summ'!G12</f>
        <v>150</v>
      </c>
      <c r="K38" s="4033">
        <f>+'Maj Techno Summ'!H12</f>
        <v>155.9320942443795</v>
      </c>
      <c r="L38" s="3528">
        <f>+'Maj Techno Summ'!I12</f>
        <v>138.44444444444446</v>
      </c>
      <c r="M38" s="3528">
        <f>+'Maj Techno Summ'!J12</f>
        <v>141.1121629187206</v>
      </c>
      <c r="N38" s="4033">
        <f>+'Maj Techno Summ'!K12</f>
        <v>150</v>
      </c>
      <c r="O38" s="4033">
        <f>+'Maj Techno Summ'!L12</f>
        <v>155.24561139837525</v>
      </c>
      <c r="P38" s="4035">
        <f>+'Maj Techno Summ'!M12</f>
        <v>142.48888888888888</v>
      </c>
      <c r="Q38" s="4036">
        <f>+'Maj Techno Summ'!N12</f>
        <v>146.01175961583328</v>
      </c>
      <c r="R38" s="4033">
        <f>+'Maj Techno Summ'!O12</f>
        <v>150</v>
      </c>
      <c r="S38" s="4033">
        <f>+'Maj Techno Summ'!P12</f>
        <v>142.77673720259727</v>
      </c>
      <c r="T38" s="4034">
        <f>+'Maj Techno Summ'!Q12</f>
        <v>144.45333333333332</v>
      </c>
      <c r="U38" s="3528">
        <f>+'Maj Techno Summ'!R12</f>
        <v>145.16335145958209</v>
      </c>
      <c r="V38" s="4033">
        <f>+'Maj Techno Summ'!S12</f>
        <v>150</v>
      </c>
      <c r="W38" s="4033">
        <f>+'Maj Techno Summ'!T12</f>
        <v>141.84996849132682</v>
      </c>
      <c r="X38" s="4034">
        <f>+'Maj Techno Summ'!U12</f>
        <v>145.60325203252034</v>
      </c>
      <c r="Y38" s="3528">
        <f>+'Maj Techno Summ'!V12</f>
        <v>144.50555025521209</v>
      </c>
      <c r="Z38" s="4033">
        <f>+'Maj Techno Summ'!W12</f>
        <v>121</v>
      </c>
      <c r="AA38" s="4033">
        <f>+'Maj Techno Summ'!X12</f>
        <v>128.55199052682025</v>
      </c>
      <c r="AB38" s="4035">
        <f>+'Maj Techno Summ'!Y12</f>
        <v>143.75384615384615</v>
      </c>
      <c r="AC38" s="4035">
        <f>+'Maj Techno Summ'!Z12</f>
        <v>137.94406463264903</v>
      </c>
      <c r="AD38" s="4037">
        <f>+'Maj Techno Summ'!AA12</f>
        <v>143.08905109489049</v>
      </c>
      <c r="AE38" s="4038">
        <f>+'Maj Techno Summ'!AB12</f>
        <v>141.95027882471959</v>
      </c>
      <c r="AF38" s="4033">
        <f>+'Maj Techno Summ'!AC12</f>
        <v>152</v>
      </c>
      <c r="AG38" s="4033">
        <f>+'Maj Techno Summ'!AD12</f>
        <v>125.46642057802912</v>
      </c>
      <c r="AH38" s="4034">
        <f>+'Maj Techno Summ'!AE12</f>
        <v>144.51042944785274</v>
      </c>
      <c r="AI38" s="3528">
        <f>+'Maj Techno Summ'!AF12</f>
        <v>140.00738081480262</v>
      </c>
      <c r="AJ38" s="4033">
        <f>+'Maj Techno Summ'!AG12</f>
        <v>152</v>
      </c>
      <c r="AK38" s="4033">
        <f>+'Maj Techno Summ'!AH12</f>
        <v>136.65060811425192</v>
      </c>
      <c r="AL38" s="4034">
        <f>+'Maj Techno Summ'!AI12</f>
        <v>145.51328374070138</v>
      </c>
      <c r="AM38" s="3528">
        <f>+'Maj Techno Summ'!AJ12</f>
        <v>139.5905427373589</v>
      </c>
      <c r="AN38" s="4033">
        <f>+'Maj Techno Summ'!AK12</f>
        <v>152</v>
      </c>
      <c r="AO38" s="4033">
        <f>+'Maj Techno Summ'!AL12</f>
        <v>130.86443009846519</v>
      </c>
      <c r="AP38" s="4035">
        <f>+'Maj Techno Summ'!AM12</f>
        <v>152</v>
      </c>
      <c r="AQ38" s="4035">
        <f>+'Maj Techno Summ'!AN12</f>
        <v>131.31828243123769</v>
      </c>
      <c r="AR38" s="4034">
        <f>+'Maj Techno Summ'!AO12</f>
        <v>146.30065359477123</v>
      </c>
      <c r="AS38" s="3528">
        <f>+'Maj Techno Summ'!AP12</f>
        <v>138.60069869207902</v>
      </c>
      <c r="AT38" s="4033">
        <f>+'Maj Techno Summ'!AQ12</f>
        <v>152</v>
      </c>
      <c r="AU38" s="4033">
        <f>+'Maj Techno Summ'!AR12</f>
        <v>129.82365728764466</v>
      </c>
      <c r="AV38" s="4034">
        <f>+'Maj Techno Summ'!AS12</f>
        <v>146.92601828761428</v>
      </c>
      <c r="AW38" s="3528">
        <f>+'Maj Techno Summ'!AT12</f>
        <v>137.72798791857264</v>
      </c>
      <c r="AX38" s="4033">
        <f>+'Maj Techno Summ'!AU12</f>
        <v>152</v>
      </c>
      <c r="AY38" s="4033">
        <f>+'Maj Techno Summ'!AV12</f>
        <v>89.192169107715984</v>
      </c>
      <c r="AZ38" s="4034">
        <f>+'Maj Techno Summ'!AW12</f>
        <v>147.37925813777443</v>
      </c>
      <c r="BA38" s="3528">
        <f>+'Maj Techno Summ'!AX12</f>
        <v>134.13995170694852</v>
      </c>
      <c r="BB38" s="4033">
        <f>+'Maj Techno Summ'!AY12</f>
        <v>152</v>
      </c>
      <c r="BC38" s="4033">
        <f>+'Maj Techno Summ'!AZ12</f>
        <v>135.4212517722317</v>
      </c>
      <c r="BD38" s="4039">
        <f>+'Maj Techno Summ'!BA12</f>
        <v>152</v>
      </c>
      <c r="BE38" s="4039">
        <f>+'Maj Techno Summ'!BB12</f>
        <v>120.33673024487004</v>
      </c>
      <c r="BF38" s="4037">
        <f>+'Maj Techno Summ'!BC12</f>
        <v>152</v>
      </c>
      <c r="BG38" s="4038">
        <f>+'Maj Techno Summ'!BD12</f>
        <v>125.84870032731315</v>
      </c>
      <c r="BH38" s="4034">
        <f>+'Maj Techno Summ'!BE12</f>
        <v>147.79903647625602</v>
      </c>
      <c r="BI38" s="3528">
        <f>+'Maj Techno Summ'!BF12</f>
        <v>134.25081618137949</v>
      </c>
    </row>
    <row r="39" spans="3:61" x14ac:dyDescent="0.25">
      <c r="C39" s="7816"/>
      <c r="D39" s="4059" t="s">
        <v>238</v>
      </c>
      <c r="E39" s="3785" t="s">
        <v>361</v>
      </c>
      <c r="F39" s="4060">
        <v>559.23852432966441</v>
      </c>
      <c r="G39" s="4061">
        <f>+'Maj Techno Summ'!D13</f>
        <v>525</v>
      </c>
      <c r="H39" s="4033">
        <f>+'Maj Techno Summ'!E13</f>
        <v>525</v>
      </c>
      <c r="I39" s="4033">
        <f>+'Maj Techno Summ'!F13</f>
        <v>540.42284660498183</v>
      </c>
      <c r="J39" s="4033">
        <f>+'Maj Techno Summ'!G13</f>
        <v>535</v>
      </c>
      <c r="K39" s="4033">
        <f>+'Maj Techno Summ'!H13</f>
        <v>531.14860621066907</v>
      </c>
      <c r="L39" s="3528">
        <f>+'Maj Techno Summ'!I13</f>
        <v>530.55555555555566</v>
      </c>
      <c r="M39" s="3528">
        <f>+'Maj Techno Summ'!J13</f>
        <v>535.61019890720036</v>
      </c>
      <c r="N39" s="4033">
        <f>+'Maj Techno Summ'!K13</f>
        <v>535</v>
      </c>
      <c r="O39" s="4033">
        <f>+'Maj Techno Summ'!L13</f>
        <v>535.52861200375241</v>
      </c>
      <c r="P39" s="4035">
        <f>+'Maj Techno Summ'!M13</f>
        <v>532.11111111111109</v>
      </c>
      <c r="Q39" s="4036">
        <f>+'Maj Techno Summ'!N13</f>
        <v>535.5819154402717</v>
      </c>
      <c r="R39" s="4033">
        <f>+'Maj Techno Summ'!O13</f>
        <v>535</v>
      </c>
      <c r="S39" s="4033">
        <f>+'Maj Techno Summ'!P13</f>
        <v>546.11572549351592</v>
      </c>
      <c r="T39" s="4034">
        <f>+'Maj Techno Summ'!Q13</f>
        <v>532.86666666666667</v>
      </c>
      <c r="U39" s="3528">
        <f>+'Maj Techno Summ'!R13</f>
        <v>538.34448373933753</v>
      </c>
      <c r="V39" s="4033">
        <f>+'Maj Techno Summ'!S13</f>
        <v>535</v>
      </c>
      <c r="W39" s="4033">
        <f>+'Maj Techno Summ'!T13</f>
        <v>545.04129622259177</v>
      </c>
      <c r="X39" s="4034">
        <f>+'Maj Techno Summ'!U13</f>
        <v>533.30894308943084</v>
      </c>
      <c r="Y39" s="3528">
        <f>+'Maj Techno Summ'!V13</f>
        <v>539.67399238929715</v>
      </c>
      <c r="Z39" s="4033">
        <f>+'Maj Techno Summ'!W13</f>
        <v>532</v>
      </c>
      <c r="AA39" s="4033">
        <f>+'Maj Techno Summ'!X13</f>
        <v>555.67484198351485</v>
      </c>
      <c r="AB39" s="4035">
        <f>+'Maj Techno Summ'!Y13</f>
        <v>534.35384615384612</v>
      </c>
      <c r="AC39" s="4035">
        <f>+'Maj Techno Summ'!Z13</f>
        <v>548.80120411406619</v>
      </c>
      <c r="AD39" s="4037">
        <f>+'Maj Techno Summ'!AA13</f>
        <v>533.17518248175179</v>
      </c>
      <c r="AE39" s="4038">
        <f>+'Maj Techno Summ'!AB13</f>
        <v>542.2368382072716</v>
      </c>
      <c r="AF39" s="4033">
        <f>+'Maj Techno Summ'!AC13</f>
        <v>535</v>
      </c>
      <c r="AG39" s="4033">
        <f>+'Maj Techno Summ'!AD13</f>
        <v>562.7843202253033</v>
      </c>
      <c r="AH39" s="4034">
        <f>+'Maj Techno Summ'!AE13</f>
        <v>533.46625766871171</v>
      </c>
      <c r="AI39" s="3528">
        <f>+'Maj Techno Summ'!AF13</f>
        <v>544.65870214981396</v>
      </c>
      <c r="AJ39" s="4033">
        <f>+'Maj Techno Summ'!AG13</f>
        <v>535</v>
      </c>
      <c r="AK39" s="4033">
        <f>+'Maj Techno Summ'!AH13</f>
        <v>540.69208783845227</v>
      </c>
      <c r="AL39" s="4034">
        <f>+'Maj Techno Summ'!AI13</f>
        <v>533.67162592986188</v>
      </c>
      <c r="AM39" s="3528">
        <f>+'Maj Techno Summ'!AJ13</f>
        <v>544.16613502328869</v>
      </c>
      <c r="AN39" s="4033">
        <f>+'Maj Techno Summ'!AK13</f>
        <v>535</v>
      </c>
      <c r="AO39" s="4033">
        <f>+'Maj Techno Summ'!AL13</f>
        <v>545.88370136865422</v>
      </c>
      <c r="AP39" s="4035">
        <f>+'Maj Techno Summ'!AM13</f>
        <v>535</v>
      </c>
      <c r="AQ39" s="4035">
        <f>+'Maj Techno Summ'!AN13</f>
        <v>548.97909400314586</v>
      </c>
      <c r="AR39" s="4034">
        <f>+'Maj Techno Summ'!AO13</f>
        <v>533.83286647992531</v>
      </c>
      <c r="AS39" s="3528">
        <f>+'Maj Techno Summ'!AP13</f>
        <v>544.36096666134881</v>
      </c>
      <c r="AT39" s="4033">
        <f>+'Maj Techno Summ'!AQ13</f>
        <v>535</v>
      </c>
      <c r="AU39" s="4033">
        <f>+'Maj Techno Summ'!AR13</f>
        <v>547.04911744021069</v>
      </c>
      <c r="AV39" s="4034">
        <f>+'Maj Techno Summ'!AS13</f>
        <v>533.96093100581879</v>
      </c>
      <c r="AW39" s="3528">
        <f>+'Maj Techno Summ'!AT13</f>
        <v>544.6282524171545</v>
      </c>
      <c r="AX39" s="4033">
        <f>+'Maj Techno Summ'!AU13</f>
        <v>535</v>
      </c>
      <c r="AY39" s="4033">
        <f>+'Maj Techno Summ'!AV13</f>
        <v>548.84043269932704</v>
      </c>
      <c r="AZ39" s="4034">
        <f>+'Maj Techno Summ'!AW13</f>
        <v>534.05374716124152</v>
      </c>
      <c r="BA39" s="3528">
        <f>+'Maj Techno Summ'!AX13</f>
        <v>544.93964008409012</v>
      </c>
      <c r="BB39" s="4033">
        <f>+'Maj Techno Summ'!AY13</f>
        <v>535</v>
      </c>
      <c r="BC39" s="4033">
        <f>+'Maj Techno Summ'!AZ13</f>
        <v>535.44668059174569</v>
      </c>
      <c r="BD39" s="4039">
        <f>+'Maj Techno Summ'!BA13</f>
        <v>535</v>
      </c>
      <c r="BE39" s="4039">
        <f>+'Maj Techno Summ'!BB13</f>
        <v>543.34191552151287</v>
      </c>
      <c r="BF39" s="4037">
        <f>+'Maj Techno Summ'!BC13</f>
        <v>535</v>
      </c>
      <c r="BG39" s="4038">
        <f>+'Maj Techno Summ'!BD13</f>
        <v>546.17138430814987</v>
      </c>
      <c r="BH39" s="4034">
        <f>+'Maj Techno Summ'!BE13</f>
        <v>534.13971094287683</v>
      </c>
      <c r="BI39" s="3528">
        <f>+'Maj Techno Summ'!BF13</f>
        <v>544.11826186564713</v>
      </c>
    </row>
    <row r="40" spans="3:61" x14ac:dyDescent="0.25">
      <c r="C40" s="7816"/>
      <c r="D40" s="4059" t="s">
        <v>1757</v>
      </c>
      <c r="E40" s="3785" t="s">
        <v>368</v>
      </c>
      <c r="F40" s="4062">
        <v>2.086254508453981</v>
      </c>
      <c r="G40" s="4063">
        <f>+'Maj Techno Summ'!D14</f>
        <v>2.4702702969758947</v>
      </c>
      <c r="H40" s="4064">
        <f>+'Maj Techno Summ'!E14</f>
        <v>2.2528865108420164</v>
      </c>
      <c r="I40" s="4064">
        <f>+'Maj Techno Summ'!F14</f>
        <v>2.2602393900469333</v>
      </c>
      <c r="J40" s="4064">
        <f>+'Maj Techno Summ'!G14</f>
        <v>2.4406270534121841</v>
      </c>
      <c r="K40" s="4064">
        <f>+'Maj Techno Summ'!H14</f>
        <v>2.4173399790859662</v>
      </c>
      <c r="L40" s="4065">
        <f>+'Maj Techno Summ'!I14</f>
        <v>2.3534618015046065</v>
      </c>
      <c r="M40" s="4065">
        <f>+'Maj Techno Summ'!J14</f>
        <v>2.3391197955694407</v>
      </c>
      <c r="N40" s="4064">
        <f>+'Maj Techno Summ'!K14</f>
        <v>2.4471008652249489</v>
      </c>
      <c r="O40" s="4064">
        <f>+'Maj Techno Summ'!L14</f>
        <v>2.4868497260238507</v>
      </c>
      <c r="P40" s="4066">
        <f>+'Maj Techno Summ'!M14</f>
        <v>2.3854092467738996</v>
      </c>
      <c r="Q40" s="4067">
        <f>+'Maj Techno Summ'!N14</f>
        <v>2.38830343326492</v>
      </c>
      <c r="R40" s="4064">
        <f>+'Maj Techno Summ'!O14</f>
        <v>2.3936919177696425</v>
      </c>
      <c r="S40" s="4064">
        <f>+'Maj Techno Summ'!P14</f>
        <v>2.4358635913554569</v>
      </c>
      <c r="T40" s="4068">
        <f>+'Maj Techno Summ'!Q14</f>
        <v>2.3875699435553979</v>
      </c>
      <c r="U40" s="4065">
        <f>+'Maj Techno Summ'!R14</f>
        <v>2.4005958398230085</v>
      </c>
      <c r="V40" s="4064">
        <f>+'Maj Techno Summ'!S14</f>
        <v>2.3936919177696425</v>
      </c>
      <c r="W40" s="4064">
        <f>+'Maj Techno Summ'!T14</f>
        <v>2.3754677151130301</v>
      </c>
      <c r="X40" s="4068">
        <f>+'Maj Techno Summ'!U14</f>
        <v>2.3888365589100689</v>
      </c>
      <c r="Y40" s="4065">
        <f>+'Maj Techno Summ'!V14</f>
        <v>2.395564983302219</v>
      </c>
      <c r="Z40" s="4064">
        <f>+'Maj Techno Summ'!W14</f>
        <v>2.3168490916157101</v>
      </c>
      <c r="AA40" s="4064">
        <f>+'Maj Techno Summ'!X14</f>
        <v>2.3089599228862205</v>
      </c>
      <c r="AB40" s="4066">
        <f>+'Maj Techno Summ'!Y14</f>
        <v>2.018205442123318</v>
      </c>
      <c r="AC40" s="4066">
        <f>+'Maj Techno Summ'!Z14</f>
        <v>2.3743513256456312</v>
      </c>
      <c r="AD40" s="4069">
        <f>+'Maj Techno Summ'!AA14</f>
        <v>2.3812756104139621</v>
      </c>
      <c r="AE40" s="4070">
        <f>+'Maj Techno Summ'!AB14</f>
        <v>2.3812591561396621</v>
      </c>
      <c r="AF40" s="4064">
        <f>+'Maj Techno Summ'!AC14</f>
        <v>2.4406270534121841</v>
      </c>
      <c r="AG40" s="4064">
        <f>+'Maj Techno Summ'!AD14</f>
        <v>2.1223595645794298</v>
      </c>
      <c r="AH40" s="4068">
        <f>+'Maj Techno Summ'!AE14</f>
        <v>2.3905484587496737</v>
      </c>
      <c r="AI40" s="4065">
        <f>+'Maj Techno Summ'!AF14</f>
        <v>2.3475063174045778</v>
      </c>
      <c r="AJ40" s="4064">
        <f>+'Maj Techno Summ'!AG14</f>
        <v>2.4471008652249489</v>
      </c>
      <c r="AK40" s="4064">
        <f>+'Maj Techno Summ'!AH14</f>
        <v>2.3620869272753087</v>
      </c>
      <c r="AL40" s="4068">
        <f>+'Maj Techno Summ'!AI14</f>
        <v>2.3979687964214418</v>
      </c>
      <c r="AM40" s="4065">
        <f>+'Maj Techno Summ'!AJ14</f>
        <v>2.3493071156442009</v>
      </c>
      <c r="AN40" s="4064">
        <f>+'Maj Techno Summ'!AK14</f>
        <v>2.4406270534121841</v>
      </c>
      <c r="AO40" s="4064">
        <f>+'Maj Techno Summ'!AL14</f>
        <v>2.307723312740801</v>
      </c>
      <c r="AP40" s="4066">
        <f>+'Maj Techno Summ'!AM14</f>
        <v>2.4427364977107255</v>
      </c>
      <c r="AQ40" s="4066">
        <f>+'Maj Techno Summ'!AN14</f>
        <v>2.2684138231452518</v>
      </c>
      <c r="AR40" s="4068">
        <f>+'Maj Techno Summ'!AO14</f>
        <v>2.4030670502663787</v>
      </c>
      <c r="AS40" s="4065">
        <f>+'Maj Techno Summ'!AP14</f>
        <v>2.3445148661815201</v>
      </c>
      <c r="AT40" s="4064">
        <f>+'Maj Techno Summ'!AQ14</f>
        <v>2.478175161926218</v>
      </c>
      <c r="AU40" s="4064">
        <f>+'Maj Techno Summ'!AR14</f>
        <v>2.2672002493376202</v>
      </c>
      <c r="AV40" s="4068">
        <f>+'Maj Techno Summ'!AS14</f>
        <v>2.4110852285703435</v>
      </c>
      <c r="AW40" s="4065">
        <f>+'Maj Techno Summ'!AT14</f>
        <v>2.3365921003198635</v>
      </c>
      <c r="AX40" s="4064">
        <f>+'Maj Techno Summ'!AU14</f>
        <v>2.4614871136977587</v>
      </c>
      <c r="AY40" s="4064">
        <f>+'Maj Techno Summ'!AV14</f>
        <v>2.0074321710463376</v>
      </c>
      <c r="AZ40" s="4068">
        <f>+'Maj Techno Summ'!AW14</f>
        <v>2.4155033336878282</v>
      </c>
      <c r="BA40" s="4065">
        <f>+'Maj Techno Summ'!AX14</f>
        <v>2.3086080391861521</v>
      </c>
      <c r="BB40" s="4064">
        <f>+'Maj Techno Summ'!AY14</f>
        <v>2.478175161926218</v>
      </c>
      <c r="BC40" s="4064">
        <f>+'Maj Techno Summ'!AZ14</f>
        <v>2.3665177008969525</v>
      </c>
      <c r="BD40" s="4071">
        <f>+'Maj Techno Summ'!BA14</f>
        <v>2.4729961124760065</v>
      </c>
      <c r="BE40" s="4071">
        <f>+'Maj Techno Summ'!BB14</f>
        <v>2.2196034453298354</v>
      </c>
      <c r="BF40" s="4069">
        <f>+'Maj Techno Summ'!BC14</f>
        <v>2.4576943754640177</v>
      </c>
      <c r="BG40" s="4070">
        <f>+'Maj Techno Summ'!BD14</f>
        <v>2.2438374054957788</v>
      </c>
      <c r="BH40" s="4068">
        <f>+'Maj Techno Summ'!BE14</f>
        <v>2.4210656444128076</v>
      </c>
      <c r="BI40" s="4065">
        <f>+'Maj Techno Summ'!BF14</f>
        <v>2.313506431173844</v>
      </c>
    </row>
    <row r="41" spans="3:61" x14ac:dyDescent="0.25">
      <c r="C41" s="7816"/>
      <c r="D41" s="4148" t="s">
        <v>1743</v>
      </c>
      <c r="E41" s="3982" t="s">
        <v>49</v>
      </c>
      <c r="F41" s="4149"/>
      <c r="G41" s="3978">
        <f>'B-FCE'!D52</f>
        <v>70</v>
      </c>
      <c r="H41" s="3978">
        <f>'B-FCE'!E52</f>
        <v>70</v>
      </c>
      <c r="I41" s="3986">
        <f>'B-FCE'!F52</f>
        <v>71.488901927598349</v>
      </c>
      <c r="J41" s="3978">
        <f>'B-FCE'!G52</f>
        <v>70</v>
      </c>
      <c r="K41" s="3986">
        <f>'B-FCE'!H52</f>
        <v>68.028877042636068</v>
      </c>
      <c r="L41" s="3979">
        <f>'B-FCE'!I52</f>
        <v>70</v>
      </c>
      <c r="M41" s="3514">
        <f>'B-FCE'!J52</f>
        <v>69.672398800616946</v>
      </c>
      <c r="N41" s="3978">
        <f>'B-FCE'!K52</f>
        <v>70</v>
      </c>
      <c r="O41" s="3986">
        <f>'B-FCE'!L52</f>
        <v>70.603076765400957</v>
      </c>
      <c r="P41" s="3987">
        <f>'B-FCE'!M52</f>
        <v>70</v>
      </c>
      <c r="Q41" s="3988">
        <f>'B-FCE'!N52</f>
        <v>69.997031713950832</v>
      </c>
      <c r="R41" s="3978">
        <f>'B-FCE'!O52</f>
        <v>70</v>
      </c>
      <c r="S41" s="3986">
        <f>'B-FCE'!P52</f>
        <v>70.948413654028116</v>
      </c>
      <c r="T41" s="3979">
        <f>'B-FCE'!Q52</f>
        <v>70</v>
      </c>
      <c r="U41" s="3514">
        <f>'B-FCE'!R52</f>
        <v>70.247412925722941</v>
      </c>
      <c r="V41" s="3978">
        <f>'B-FCE'!S52</f>
        <v>70</v>
      </c>
      <c r="W41" s="3986">
        <f>'B-FCE'!T52</f>
        <v>71.412130955035664</v>
      </c>
      <c r="X41" s="3979">
        <f>'B-FCE'!U52</f>
        <v>70</v>
      </c>
      <c r="Y41" s="3514">
        <f>'B-FCE'!V52</f>
        <v>70.479175690666111</v>
      </c>
      <c r="Z41" s="3978">
        <f>'B-FCE'!W52</f>
        <v>70</v>
      </c>
      <c r="AA41" s="3986">
        <f>'B-FCE'!X52</f>
        <v>71.775411644618927</v>
      </c>
      <c r="AB41" s="4035">
        <f>'B-FCE'!Y52</f>
        <v>70</v>
      </c>
      <c r="AC41" s="3987">
        <f>'B-FCE'!Z52</f>
        <v>71.365148800778968</v>
      </c>
      <c r="AD41" s="4037">
        <f>'B-FCE'!AA52</f>
        <v>70</v>
      </c>
      <c r="AE41" s="3991">
        <f>'B-FCE'!AB52</f>
        <v>70.68736864117443</v>
      </c>
      <c r="AF41" s="3978">
        <f>'B-FCE'!AC52</f>
        <v>70</v>
      </c>
      <c r="AG41" s="3986">
        <f>'B-FCE'!AD52</f>
        <v>70.192964767058328</v>
      </c>
      <c r="AH41" s="3979">
        <f>'B-FCE'!AE52</f>
        <v>70</v>
      </c>
      <c r="AI41" s="3514">
        <f>'B-FCE'!AF52</f>
        <v>70.62839610990207</v>
      </c>
      <c r="AJ41" s="3978">
        <f>'B-FCE'!AG52</f>
        <v>70</v>
      </c>
      <c r="AK41" s="3986">
        <f>'B-FCE'!AH52</f>
        <v>71.299475739148974</v>
      </c>
      <c r="AL41" s="3979">
        <f>'B-FCE'!AI52</f>
        <v>70</v>
      </c>
      <c r="AM41" s="3514">
        <f>'B-FCE'!AJ52</f>
        <v>70.712593423492194</v>
      </c>
      <c r="AN41" s="3978">
        <f>'B-FCE'!AK52</f>
        <v>70</v>
      </c>
      <c r="AO41" s="3986">
        <f>'B-FCE'!AL52</f>
        <v>67.962178746849304</v>
      </c>
      <c r="AP41" s="4035">
        <f>'B-FCE'!AM52</f>
        <v>70</v>
      </c>
      <c r="AQ41" s="3987">
        <f>'B-FCE'!AN52</f>
        <v>69.768783385287577</v>
      </c>
      <c r="AR41" s="3979">
        <f>'B-FCE'!AO52</f>
        <v>70</v>
      </c>
      <c r="AS41" s="3514">
        <f>'B-FCE'!AP52</f>
        <v>70.394459906663442</v>
      </c>
      <c r="AT41" s="3978">
        <f>'B-FCE'!AQ52</f>
        <v>70</v>
      </c>
      <c r="AU41" s="3986">
        <f>'B-FCE'!AR52</f>
        <v>68.691563814948694</v>
      </c>
      <c r="AV41" s="3979">
        <f>'B-FCE'!AS52</f>
        <v>70</v>
      </c>
      <c r="AW41" s="3515">
        <f>'B-FCE'!AT52</f>
        <v>70.223630565554814</v>
      </c>
      <c r="AX41" s="3978">
        <f>'B-FCE'!AU52</f>
        <v>70</v>
      </c>
      <c r="AY41" s="3986">
        <f>'B-FCE'!AV52</f>
        <v>72.190192142263896</v>
      </c>
      <c r="AZ41" s="3979">
        <f>'B-FCE'!AW52</f>
        <v>70</v>
      </c>
      <c r="BA41" s="3514">
        <f>'B-FCE'!AX52</f>
        <v>70.36790572236832</v>
      </c>
      <c r="BB41" s="3978">
        <f>'B-FCE'!AY52</f>
        <v>70</v>
      </c>
      <c r="BC41" s="3986">
        <f>'B-FCE'!AZ52</f>
        <v>72.275284582999859</v>
      </c>
      <c r="BD41" s="3989">
        <f>'B-FCE'!BA52</f>
        <v>70</v>
      </c>
      <c r="BE41" s="3989">
        <f>'B-FCE'!BB52</f>
        <v>70.969266257123536</v>
      </c>
      <c r="BF41" s="3990">
        <f>'B-FCE'!BC52</f>
        <v>70</v>
      </c>
      <c r="BG41" s="3991">
        <f>'B-FCE'!BD52</f>
        <v>70.362197475061009</v>
      </c>
      <c r="BH41" s="3979">
        <f>'B-FCE'!BE52</f>
        <v>70</v>
      </c>
      <c r="BI41" s="3514">
        <f>'B-FCE'!BF52</f>
        <v>70.531050500906105</v>
      </c>
    </row>
    <row r="42" spans="3:61" x14ac:dyDescent="0.25">
      <c r="C42" s="7816"/>
      <c r="D42" s="4148" t="s">
        <v>1744</v>
      </c>
      <c r="E42" s="3982" t="s">
        <v>49</v>
      </c>
      <c r="F42" s="4149"/>
      <c r="G42" s="3978">
        <f>'B-FCE'!D53</f>
        <v>17</v>
      </c>
      <c r="H42" s="3978">
        <f>'B-FCE'!E53</f>
        <v>17</v>
      </c>
      <c r="I42" s="3986">
        <f>'B-FCE'!F53</f>
        <v>15.217146620866739</v>
      </c>
      <c r="J42" s="3978">
        <f>'B-FCE'!G53</f>
        <v>17</v>
      </c>
      <c r="K42" s="3986">
        <f>'B-FCE'!H53</f>
        <v>16.666216811948523</v>
      </c>
      <c r="L42" s="3979">
        <f>'B-FCE'!I53</f>
        <v>17.000000000000014</v>
      </c>
      <c r="M42" s="3514">
        <f>'B-FCE'!J53</f>
        <v>15.977904309274036</v>
      </c>
      <c r="N42" s="3978">
        <f>'B-FCE'!K53</f>
        <v>17</v>
      </c>
      <c r="O42" s="3986">
        <f>'B-FCE'!L53</f>
        <v>15.047416471674611</v>
      </c>
      <c r="P42" s="3987">
        <f>'B-FCE'!M53</f>
        <v>17</v>
      </c>
      <c r="Q42" s="3988">
        <f>'B-FCE'!N53</f>
        <v>15.653337714843328</v>
      </c>
      <c r="R42" s="3978">
        <f>'B-FCE'!O53</f>
        <v>17</v>
      </c>
      <c r="S42" s="3986">
        <f>'B-FCE'!P53</f>
        <v>12.547111298604772</v>
      </c>
      <c r="T42" s="3979">
        <f>'B-FCE'!Q53</f>
        <v>17</v>
      </c>
      <c r="U42" s="3514">
        <f>'B-FCE'!R53</f>
        <v>14.835852432252036</v>
      </c>
      <c r="V42" s="3978">
        <f>'B-FCE'!S53</f>
        <v>17</v>
      </c>
      <c r="W42" s="3986">
        <f>'B-FCE'!T53</f>
        <v>16.742641892683451</v>
      </c>
      <c r="X42" s="3979">
        <f>'B-FCE'!U53</f>
        <v>17.000000000000014</v>
      </c>
      <c r="Y42" s="3514">
        <f>'B-FCE'!V53</f>
        <v>15.215277139685186</v>
      </c>
      <c r="Z42" s="3978">
        <f>'B-FCE'!W53</f>
        <v>17</v>
      </c>
      <c r="AA42" s="3986">
        <f>'B-FCE'!X53</f>
        <v>17.088308088955316</v>
      </c>
      <c r="AB42" s="4035">
        <f>'B-FCE'!Y53</f>
        <v>17.000000000000007</v>
      </c>
      <c r="AC42" s="3987">
        <f>'B-FCE'!Z53</f>
        <v>15.381380613189572</v>
      </c>
      <c r="AD42" s="4037">
        <f>'B-FCE'!AA53</f>
        <v>17</v>
      </c>
      <c r="AE42" s="3991">
        <f>'B-FCE'!AB53</f>
        <v>15.516111134092439</v>
      </c>
      <c r="AF42" s="3978">
        <f>'B-FCE'!AC53</f>
        <v>17</v>
      </c>
      <c r="AG42" s="3986">
        <f>'B-FCE'!AD53</f>
        <v>16.632684498704275</v>
      </c>
      <c r="AH42" s="3979">
        <f>'B-FCE'!AE53</f>
        <v>17.000000000000021</v>
      </c>
      <c r="AI42" s="3514">
        <f>'B-FCE'!AF53</f>
        <v>15.649296088963972</v>
      </c>
      <c r="AJ42" s="3978">
        <f>'B-FCE'!AG53</f>
        <v>17</v>
      </c>
      <c r="AK42" s="3986">
        <f>'B-FCE'!AH53</f>
        <v>16.546201866162754</v>
      </c>
      <c r="AL42" s="3979">
        <f>'B-FCE'!AI53</f>
        <v>17.000000000000014</v>
      </c>
      <c r="AM42" s="3514">
        <f>'B-FCE'!AJ53</f>
        <v>15.761826783821098</v>
      </c>
      <c r="AN42" s="3978">
        <f>'B-FCE'!AK53</f>
        <v>17</v>
      </c>
      <c r="AO42" s="3986">
        <f>'B-FCE'!AL53</f>
        <v>16.50419807859916</v>
      </c>
      <c r="AP42" s="4035">
        <f>'B-FCE'!AM53</f>
        <v>17</v>
      </c>
      <c r="AQ42" s="3987">
        <f>'B-FCE'!AN53</f>
        <v>16.555984687432669</v>
      </c>
      <c r="AR42" s="3979">
        <f>'B-FCE'!AO53</f>
        <v>17</v>
      </c>
      <c r="AS42" s="3514">
        <f>'B-FCE'!AP53</f>
        <v>15.847694995915113</v>
      </c>
      <c r="AT42" s="3978">
        <f>'B-FCE'!AQ53</f>
        <v>17</v>
      </c>
      <c r="AU42" s="3986">
        <f>'B-FCE'!AR53</f>
        <v>14.258202945770389</v>
      </c>
      <c r="AV42" s="3979">
        <f>'B-FCE'!AS53</f>
        <v>17</v>
      </c>
      <c r="AW42" s="3515">
        <f>'B-FCE'!AT53</f>
        <v>15.688242002309257</v>
      </c>
      <c r="AX42" s="3978">
        <f>'B-FCE'!AU53</f>
        <v>17</v>
      </c>
      <c r="AY42" s="3986">
        <f>'B-FCE'!AV53</f>
        <v>14.295112121795412</v>
      </c>
      <c r="AZ42" s="3979">
        <f>'B-FCE'!AW53</f>
        <v>16.999999999999986</v>
      </c>
      <c r="BA42" s="3514">
        <f>'B-FCE'!AX53</f>
        <v>15.586036185642657</v>
      </c>
      <c r="BB42" s="3978">
        <f>'B-FCE'!AY53</f>
        <v>17</v>
      </c>
      <c r="BC42" s="3986">
        <f>'B-FCE'!AZ53</f>
        <v>15.591139578588084</v>
      </c>
      <c r="BD42" s="3989">
        <f>'B-FCE'!BA53</f>
        <v>17</v>
      </c>
      <c r="BE42" s="3989">
        <f>'B-FCE'!BB53</f>
        <v>14.748408201545113</v>
      </c>
      <c r="BF42" s="3990">
        <f>'B-FCE'!BC53</f>
        <v>17</v>
      </c>
      <c r="BG42" s="3991">
        <f>'B-FCE'!BD53</f>
        <v>15.662476433184631</v>
      </c>
      <c r="BH42" s="3979">
        <f>'B-FCE'!BE53</f>
        <v>17.000000000000004</v>
      </c>
      <c r="BI42" s="3514">
        <f>'B-FCE'!BF53</f>
        <v>15.586472696673079</v>
      </c>
    </row>
    <row r="43" spans="3:61" x14ac:dyDescent="0.25">
      <c r="C43" s="7816"/>
      <c r="D43" s="4148" t="s">
        <v>1745</v>
      </c>
      <c r="E43" s="3982" t="s">
        <v>49</v>
      </c>
      <c r="F43" s="4149"/>
      <c r="G43" s="3978">
        <f>G41+G42</f>
        <v>87</v>
      </c>
      <c r="H43" s="3978">
        <f>H41+H42</f>
        <v>87</v>
      </c>
      <c r="I43" s="3986">
        <f t="shared" ref="I43:BI43" si="0">I41+I42</f>
        <v>86.706048548465091</v>
      </c>
      <c r="J43" s="3978">
        <f>J41+J42</f>
        <v>87</v>
      </c>
      <c r="K43" s="3986">
        <f t="shared" ref="K43" si="1">K41+K42</f>
        <v>84.695093854584599</v>
      </c>
      <c r="L43" s="3979">
        <f t="shared" si="0"/>
        <v>87.000000000000014</v>
      </c>
      <c r="M43" s="3514">
        <f t="shared" si="0"/>
        <v>85.650303109890984</v>
      </c>
      <c r="N43" s="3978">
        <f>N41+N42</f>
        <v>87</v>
      </c>
      <c r="O43" s="3986">
        <f t="shared" ref="O43" si="2">O41+O42</f>
        <v>85.650493237075565</v>
      </c>
      <c r="P43" s="3987">
        <f t="shared" si="0"/>
        <v>87</v>
      </c>
      <c r="Q43" s="3988">
        <f t="shared" si="0"/>
        <v>85.650369428794164</v>
      </c>
      <c r="R43" s="3978">
        <f>R41+R42</f>
        <v>87</v>
      </c>
      <c r="S43" s="3986">
        <f t="shared" ref="S43" si="3">S41+S42</f>
        <v>83.495524952632891</v>
      </c>
      <c r="T43" s="3979">
        <f t="shared" si="0"/>
        <v>87</v>
      </c>
      <c r="U43" s="3514">
        <f t="shared" si="0"/>
        <v>85.08326535797498</v>
      </c>
      <c r="V43" s="3978">
        <f>V41+V42</f>
        <v>87</v>
      </c>
      <c r="W43" s="3986">
        <f t="shared" ref="W43" si="4">W41+W42</f>
        <v>88.154772847719116</v>
      </c>
      <c r="X43" s="3979">
        <f t="shared" ref="X43:Y43" si="5">X41+X42</f>
        <v>87.000000000000014</v>
      </c>
      <c r="Y43" s="3514">
        <f t="shared" si="5"/>
        <v>85.694452830351295</v>
      </c>
      <c r="Z43" s="3978">
        <f>Z41+Z42</f>
        <v>87</v>
      </c>
      <c r="AA43" s="3986">
        <f t="shared" ref="AA43" si="6">AA41+AA42</f>
        <v>88.863719733574243</v>
      </c>
      <c r="AB43" s="4035">
        <f t="shared" si="0"/>
        <v>87</v>
      </c>
      <c r="AC43" s="3987">
        <f t="shared" si="0"/>
        <v>86.746529413968545</v>
      </c>
      <c r="AD43" s="4037">
        <f t="shared" si="0"/>
        <v>87</v>
      </c>
      <c r="AE43" s="3991">
        <f t="shared" si="0"/>
        <v>86.203479775266871</v>
      </c>
      <c r="AF43" s="3978">
        <f>AF41+AF42</f>
        <v>87</v>
      </c>
      <c r="AG43" s="3986">
        <f t="shared" ref="AG43" si="7">AG41+AG42</f>
        <v>86.825649265762607</v>
      </c>
      <c r="AH43" s="3979">
        <f t="shared" si="0"/>
        <v>87.000000000000028</v>
      </c>
      <c r="AI43" s="3514">
        <f t="shared" si="0"/>
        <v>86.277692198866049</v>
      </c>
      <c r="AJ43" s="3978">
        <f>AJ41+AJ42</f>
        <v>87</v>
      </c>
      <c r="AK43" s="3986">
        <f t="shared" ref="AK43" si="8">AK41+AK42</f>
        <v>87.845677605311721</v>
      </c>
      <c r="AL43" s="3979">
        <f t="shared" si="0"/>
        <v>87.000000000000014</v>
      </c>
      <c r="AM43" s="3514">
        <f t="shared" si="0"/>
        <v>86.474420207313287</v>
      </c>
      <c r="AN43" s="3978">
        <f>AN41+AN42</f>
        <v>87</v>
      </c>
      <c r="AO43" s="3986">
        <f t="shared" ref="AO43" si="9">AO41+AO42</f>
        <v>84.466376825448464</v>
      </c>
      <c r="AP43" s="4035">
        <f t="shared" si="0"/>
        <v>87</v>
      </c>
      <c r="AQ43" s="3987">
        <f t="shared" si="0"/>
        <v>86.324768072720246</v>
      </c>
      <c r="AR43" s="3979">
        <f t="shared" si="0"/>
        <v>87</v>
      </c>
      <c r="AS43" s="3514">
        <f t="shared" si="0"/>
        <v>86.242154902578562</v>
      </c>
      <c r="AT43" s="3978">
        <f>AT41+AT42</f>
        <v>87</v>
      </c>
      <c r="AU43" s="3986">
        <f t="shared" ref="AU43" si="10">AU41+AU42</f>
        <v>82.949766760719086</v>
      </c>
      <c r="AV43" s="3979">
        <f t="shared" si="0"/>
        <v>87</v>
      </c>
      <c r="AW43" s="3515">
        <f t="shared" si="0"/>
        <v>85.911872567864066</v>
      </c>
      <c r="AX43" s="3978">
        <f>AX41+AX42</f>
        <v>87</v>
      </c>
      <c r="AY43" s="3986">
        <f t="shared" ref="AY43" si="11">AY41+AY42</f>
        <v>86.485304264059309</v>
      </c>
      <c r="AZ43" s="3979">
        <f t="shared" ref="AZ43:BA43" si="12">AZ41+AZ42</f>
        <v>86.999999999999986</v>
      </c>
      <c r="BA43" s="3514">
        <f t="shared" si="12"/>
        <v>85.953941908010975</v>
      </c>
      <c r="BB43" s="3978">
        <f>BB41+BB42</f>
        <v>87</v>
      </c>
      <c r="BC43" s="3986">
        <f t="shared" ref="BC43" si="13">BC41+BC42</f>
        <v>87.866424161587943</v>
      </c>
      <c r="BD43" s="3989">
        <f t="shared" si="0"/>
        <v>87</v>
      </c>
      <c r="BE43" s="3989">
        <f t="shared" si="0"/>
        <v>85.717674458668654</v>
      </c>
      <c r="BF43" s="3990">
        <f t="shared" si="0"/>
        <v>87</v>
      </c>
      <c r="BG43" s="3991">
        <f t="shared" si="0"/>
        <v>86.024673908245646</v>
      </c>
      <c r="BH43" s="3979">
        <f t="shared" si="0"/>
        <v>87</v>
      </c>
      <c r="BI43" s="3514">
        <f t="shared" si="0"/>
        <v>86.117523197579189</v>
      </c>
    </row>
    <row r="44" spans="3:61" x14ac:dyDescent="0.25">
      <c r="C44" s="7816"/>
      <c r="D44" s="4059" t="s">
        <v>1014</v>
      </c>
      <c r="E44" s="3785" t="s">
        <v>247</v>
      </c>
      <c r="F44" s="4060">
        <v>1139.2636881143576</v>
      </c>
      <c r="G44" s="4061">
        <f>+'B-FCE'!D80</f>
        <v>1200</v>
      </c>
      <c r="H44" s="4033">
        <f>+'B-FCE'!E80</f>
        <v>1200</v>
      </c>
      <c r="I44" s="4033">
        <f>+'B-FCE'!F80</f>
        <v>1148.1277011921873</v>
      </c>
      <c r="J44" s="4033">
        <f>+'B-FCE'!G80</f>
        <v>1175</v>
      </c>
      <c r="K44" s="4033">
        <f>+'B-FCE'!H80</f>
        <v>1185.0594910509444</v>
      </c>
      <c r="L44" s="3528">
        <f>+'B-FCE'!I80</f>
        <v>1187.5</v>
      </c>
      <c r="M44" s="3528">
        <f>+'B-FCE'!J80</f>
        <v>1166.8963157105718</v>
      </c>
      <c r="N44" s="4033">
        <f>+'B-FCE'!K80</f>
        <v>1175</v>
      </c>
      <c r="O44" s="4033">
        <f>+'B-FCE'!L80</f>
        <v>1191.5020847841542</v>
      </c>
      <c r="P44" s="4035">
        <f>+'B-FCE'!M80</f>
        <v>1200</v>
      </c>
      <c r="Q44" s="4036">
        <f>+'B-FCE'!N80</f>
        <v>1175.0081077128518</v>
      </c>
      <c r="R44" s="4033">
        <f>+'B-FCE'!O80</f>
        <v>1175</v>
      </c>
      <c r="S44" s="4033">
        <f>+'B-FCE'!P80</f>
        <v>1200.0039557354435</v>
      </c>
      <c r="T44" s="4034">
        <f>+'B-FCE'!Q80</f>
        <v>1200</v>
      </c>
      <c r="U44" s="3528">
        <f>+'B-FCE'!R80</f>
        <v>1181.3595117185923</v>
      </c>
      <c r="V44" s="4033">
        <f>+'B-FCE'!S80</f>
        <v>1175</v>
      </c>
      <c r="W44" s="4033">
        <f>+'B-FCE'!T80</f>
        <v>1194.6853780645938</v>
      </c>
      <c r="X44" s="4034">
        <f>+'B-FCE'!U80</f>
        <v>1200</v>
      </c>
      <c r="Y44" s="3528">
        <f>+'B-FCE'!V80</f>
        <v>1184.0595238540568</v>
      </c>
      <c r="Z44" s="4033">
        <f>+'B-FCE'!W80</f>
        <v>1175</v>
      </c>
      <c r="AA44" s="4033">
        <f>+'B-FCE'!X80</f>
        <v>1192.0538059017479</v>
      </c>
      <c r="AB44" s="4035">
        <f>+'B-FCE'!Y80</f>
        <v>1175</v>
      </c>
      <c r="AC44" s="4035">
        <f>+'B-FCE'!Z80</f>
        <v>1195.619386139713</v>
      </c>
      <c r="AD44" s="4037">
        <f>+'B-FCE'!AA80</f>
        <v>1179.1666666666667</v>
      </c>
      <c r="AE44" s="4038">
        <f>+'B-FCE'!AB80</f>
        <v>1185.3700618946618</v>
      </c>
      <c r="AF44" s="4033">
        <f>+'B-FCE'!AC80</f>
        <v>1175</v>
      </c>
      <c r="AG44" s="4033">
        <f>+'B-FCE'!AD80</f>
        <v>1181.3398177837144</v>
      </c>
      <c r="AH44" s="4034">
        <f>+'B-FCE'!AE80</f>
        <v>1200</v>
      </c>
      <c r="AI44" s="3528">
        <f>+'B-FCE'!AF80</f>
        <v>1184.7862414860667</v>
      </c>
      <c r="AJ44" s="4033">
        <f>+'B-FCE'!AG80</f>
        <v>1175</v>
      </c>
      <c r="AK44" s="4033">
        <f>+'B-FCE'!AH80</f>
        <v>1190.434694173457</v>
      </c>
      <c r="AL44" s="4034">
        <f>+'B-FCE'!AI80</f>
        <v>1200</v>
      </c>
      <c r="AM44" s="3528">
        <f>+'B-FCE'!AJ80</f>
        <v>1185.4807233738607</v>
      </c>
      <c r="AN44" s="4033">
        <f>+'B-FCE'!AK80</f>
        <v>1175</v>
      </c>
      <c r="AO44" s="4033">
        <f>+'B-FCE'!AL80</f>
        <v>1174.3942610341037</v>
      </c>
      <c r="AP44" s="4035">
        <f>+'B-FCE'!AM80</f>
        <v>1175</v>
      </c>
      <c r="AQ44" s="4035">
        <f>+'B-FCE'!AN80</f>
        <v>1181.9651877016963</v>
      </c>
      <c r="AR44" s="4034">
        <f>+'B-FCE'!AO80</f>
        <v>1200</v>
      </c>
      <c r="AS44" s="3528">
        <f>+'B-FCE'!AP80</f>
        <v>1184.2309767101065</v>
      </c>
      <c r="AT44" s="4033">
        <f>+'B-FCE'!AQ80</f>
        <v>1175</v>
      </c>
      <c r="AU44" s="4033">
        <f>+'B-FCE'!AR80</f>
        <v>1192.1185457792001</v>
      </c>
      <c r="AV44" s="4034">
        <f>+'B-FCE'!AS80</f>
        <v>1200</v>
      </c>
      <c r="AW44" s="3528">
        <f>+'B-FCE'!AT80</f>
        <v>1185.0300441648185</v>
      </c>
      <c r="AX44" s="4033">
        <f>+'B-FCE'!AU80</f>
        <v>1175</v>
      </c>
      <c r="AY44" s="4033">
        <f>+'B-FCE'!AV80</f>
        <v>1190.1827846096053</v>
      </c>
      <c r="AZ44" s="4034">
        <f>+'B-FCE'!AW80</f>
        <v>1200</v>
      </c>
      <c r="BA44" s="3528">
        <f>+'B-FCE'!AX80</f>
        <v>1185.4620104296507</v>
      </c>
      <c r="BB44" s="4033">
        <f>+'B-FCE'!AY80</f>
        <v>1175</v>
      </c>
      <c r="BC44" s="4033">
        <f>+'B-FCE'!AZ80</f>
        <v>1173.7284939713354</v>
      </c>
      <c r="BD44" s="4039">
        <f>+'B-FCE'!BA80</f>
        <v>1175</v>
      </c>
      <c r="BE44" s="4039">
        <f>+'B-FCE'!BB80</f>
        <v>1185.1819577926171</v>
      </c>
      <c r="BF44" s="4037">
        <f>+'B-FCE'!BC80</f>
        <v>1175</v>
      </c>
      <c r="BG44" s="4038">
        <f>+'B-FCE'!BD80</f>
        <v>1183.5558981862175</v>
      </c>
      <c r="BH44" s="4034">
        <f>+'B-FCE'!BE80</f>
        <v>1200</v>
      </c>
      <c r="BI44" s="3528">
        <f>+'B-FCE'!BF80</f>
        <v>1184.4654651962046</v>
      </c>
    </row>
    <row r="45" spans="3:61" x14ac:dyDescent="0.25">
      <c r="C45" s="7820"/>
      <c r="D45" s="4150" t="s">
        <v>19</v>
      </c>
      <c r="E45" s="3982" t="s">
        <v>241</v>
      </c>
      <c r="F45" s="4151"/>
      <c r="G45" s="4033">
        <f>'B-FCE'!D43</f>
        <v>1149.8822741773586</v>
      </c>
      <c r="H45" s="4033">
        <f>'B-FCE'!E43</f>
        <v>1149.8822741773586</v>
      </c>
      <c r="I45" s="4033">
        <f>'B-FCE'!F43</f>
        <v>1157.366304927348</v>
      </c>
      <c r="J45" s="4033">
        <f>'B-FCE'!G43</f>
        <v>1149.8822741773586</v>
      </c>
      <c r="K45" s="4033">
        <f>'B-FCE'!H43</f>
        <v>1128.4752839801524</v>
      </c>
      <c r="L45" s="3528">
        <f>'B-FCE'!I43</f>
        <v>1149.8822741773583</v>
      </c>
      <c r="M45" s="3528">
        <f>'B-FCE'!J43</f>
        <v>1142.3739929388278</v>
      </c>
      <c r="N45" s="4033">
        <f>'B-FCE'!K43</f>
        <v>1149.8822741773586</v>
      </c>
      <c r="O45" s="4033">
        <f>'B-FCE'!L43</f>
        <v>1168.6416951476904</v>
      </c>
      <c r="P45" s="4035">
        <f>'B-FCE'!M43</f>
        <v>1149.8822741773586</v>
      </c>
      <c r="Q45" s="4036">
        <f>'B-FCE'!N43</f>
        <v>1151.4801319797384</v>
      </c>
      <c r="R45" s="4033">
        <f>'B-FCE'!O43</f>
        <v>1149.8822741773586</v>
      </c>
      <c r="S45" s="4033">
        <f>'B-FCE'!P43</f>
        <v>1172.6817812780748</v>
      </c>
      <c r="T45" s="4034">
        <f>'B-FCE'!Q43</f>
        <v>1149.8822741773586</v>
      </c>
      <c r="U45" s="3528">
        <f>'B-FCE'!R43</f>
        <v>1157.040418708229</v>
      </c>
      <c r="V45" s="4033">
        <f>'B-FCE'!S43</f>
        <v>1149.8822741773586</v>
      </c>
      <c r="W45" s="4033">
        <f>'B-FCE'!T43</f>
        <v>1179.6089134008994</v>
      </c>
      <c r="X45" s="4034">
        <f>'B-FCE'!U43</f>
        <v>1149.8822741773583</v>
      </c>
      <c r="Y45" s="3528">
        <f>'B-FCE'!V43</f>
        <v>1161.5209098352398</v>
      </c>
      <c r="Z45" s="4033">
        <f>'B-FCE'!W43</f>
        <v>1149.8822741773586</v>
      </c>
      <c r="AA45" s="4033">
        <f>'B-FCE'!X43</f>
        <v>1186.7907343029558</v>
      </c>
      <c r="AB45" s="4035">
        <f>'B-FCE'!Y43</f>
        <v>1149.8822741773586</v>
      </c>
      <c r="AC45" s="4035">
        <f>'B-FCE'!Z43</f>
        <v>1179.4648852698817</v>
      </c>
      <c r="AD45" s="4037">
        <f>'B-FCE'!AA43</f>
        <v>1149.8822741773583</v>
      </c>
      <c r="AE45" s="4038">
        <f>'B-FCE'!AB43</f>
        <v>1165.5683614144007</v>
      </c>
      <c r="AF45" s="4033">
        <f>'B-FCE'!AC43</f>
        <v>1149.8822741773586</v>
      </c>
      <c r="AG45" s="4033">
        <f>'B-FCE'!AD43</f>
        <v>1173.1746961624856</v>
      </c>
      <c r="AH45" s="4034">
        <f>'B-FCE'!AE43</f>
        <v>1149.8822741773583</v>
      </c>
      <c r="AI45" s="3528">
        <f>'B-FCE'!AF43</f>
        <v>1166.464895006455</v>
      </c>
      <c r="AJ45" s="4033">
        <f>'B-FCE'!AG43</f>
        <v>1149.8822741773586</v>
      </c>
      <c r="AK45" s="4033">
        <f>'B-FCE'!AH43</f>
        <v>1191.5058149107797</v>
      </c>
      <c r="AL45" s="4034">
        <f>'B-FCE'!AI43</f>
        <v>1149.8822741773583</v>
      </c>
      <c r="AM45" s="3528">
        <f>'B-FCE'!AJ43</f>
        <v>1169.574432005677</v>
      </c>
      <c r="AN45" s="4033">
        <f>'B-FCE'!AK43</f>
        <v>1149.8822741773586</v>
      </c>
      <c r="AO45" s="4033">
        <f>'B-FCE'!AL43</f>
        <v>1149.1026033447156</v>
      </c>
      <c r="AP45" s="4035">
        <f>'B-FCE'!AM43</f>
        <v>1149.8822741773583</v>
      </c>
      <c r="AQ45" s="4035">
        <f>'B-FCE'!AN43</f>
        <v>1170.913131826082</v>
      </c>
      <c r="AR45" s="4034">
        <f>'B-FCE'!AO43</f>
        <v>1149.8822741773583</v>
      </c>
      <c r="AS45" s="3528">
        <f>'B-FCE'!AP43</f>
        <v>1167.2522160849562</v>
      </c>
      <c r="AT45" s="4033">
        <f>'B-FCE'!AQ43</f>
        <v>1149.8822741773586</v>
      </c>
      <c r="AU45" s="4033">
        <f>'B-FCE'!AR43</f>
        <v>1150.2948318857887</v>
      </c>
      <c r="AV45" s="4034">
        <f>'B-FCE'!AS43</f>
        <v>1149.8822741773586</v>
      </c>
      <c r="AW45" s="3528">
        <f>'B-FCE'!AT43</f>
        <v>1165.5661249297264</v>
      </c>
      <c r="AX45" s="4033">
        <f>'B-FCE'!AU43</f>
        <v>1149.8822741773586</v>
      </c>
      <c r="AY45" s="4033">
        <f>'B-FCE'!AV43</f>
        <v>1188.3878595123601</v>
      </c>
      <c r="AZ45" s="4034">
        <f>'B-FCE'!AW43</f>
        <v>1149.8822741773586</v>
      </c>
      <c r="BA45" s="3528">
        <f>'B-FCE'!AX43</f>
        <v>1167.2532337928462</v>
      </c>
      <c r="BB45" s="4033">
        <f>'B-FCE'!AY43</f>
        <v>1149.8822741773586</v>
      </c>
      <c r="BC45" s="4033">
        <f>'B-FCE'!AZ43</f>
        <v>1183.869406527212</v>
      </c>
      <c r="BD45" s="4039">
        <f>'B-FCE'!BA43</f>
        <v>1149.8822741773583</v>
      </c>
      <c r="BE45" s="4039">
        <f>'B-FCE'!BB43</f>
        <v>1173.2930582271642</v>
      </c>
      <c r="BF45" s="4037">
        <f>'B-FCE'!BC43</f>
        <v>1149.8822741773583</v>
      </c>
      <c r="BG45" s="4038">
        <f>'B-FCE'!BD43</f>
        <v>1172.0985018567574</v>
      </c>
      <c r="BH45" s="4034">
        <f>'B-FCE'!BE43</f>
        <v>1149.8822741773586</v>
      </c>
      <c r="BI45" s="3528">
        <f>'B-FCE'!BF43</f>
        <v>1168.6909479607937</v>
      </c>
    </row>
    <row r="46" spans="3:61" x14ac:dyDescent="0.25">
      <c r="C46" s="7820"/>
      <c r="D46" s="4150" t="s">
        <v>1252</v>
      </c>
      <c r="E46" s="3982" t="s">
        <v>241</v>
      </c>
      <c r="F46" s="4151"/>
      <c r="G46" s="4033">
        <f>'B-FCE'!D46</f>
        <v>279.25712372878712</v>
      </c>
      <c r="H46" s="4033">
        <f>'B-FCE'!E46</f>
        <v>279.25712372878712</v>
      </c>
      <c r="I46" s="4033">
        <f>'B-FCE'!F46</f>
        <v>246.35729856316595</v>
      </c>
      <c r="J46" s="4033">
        <f>'B-FCE'!G46</f>
        <v>279.25712372878712</v>
      </c>
      <c r="K46" s="4033">
        <f>'B-FCE'!H46</f>
        <v>276.46221086305951</v>
      </c>
      <c r="L46" s="3528">
        <f>'B-FCE'!I46</f>
        <v>279.25712372878706</v>
      </c>
      <c r="M46" s="3528">
        <f>'B-FCE'!J46</f>
        <v>261.97953075814354</v>
      </c>
      <c r="N46" s="4033">
        <f>'B-FCE'!K46</f>
        <v>279.25712372878712</v>
      </c>
      <c r="O46" s="4033">
        <f>'B-FCE'!L46</f>
        <v>249.06900801904783</v>
      </c>
      <c r="P46" s="4035">
        <f>'B-FCE'!M46</f>
        <v>279.25712372878712</v>
      </c>
      <c r="Q46" s="4036">
        <f>'B-FCE'!N46</f>
        <v>257.50388175701471</v>
      </c>
      <c r="R46" s="4033">
        <f>'B-FCE'!O46</f>
        <v>279.25712372878712</v>
      </c>
      <c r="S46" s="4033">
        <f>'B-FCE'!P46</f>
        <v>207.38686137920047</v>
      </c>
      <c r="T46" s="4034">
        <f>'B-FCE'!Q46</f>
        <v>279.25712372878712</v>
      </c>
      <c r="U46" s="3528">
        <f>'B-FCE'!R46</f>
        <v>244.3603286608826</v>
      </c>
      <c r="V46" s="4033">
        <f>'B-FCE'!S46</f>
        <v>279.25712372878712</v>
      </c>
      <c r="W46" s="4033">
        <f>'B-FCE'!T46</f>
        <v>276.56042952875976</v>
      </c>
      <c r="X46" s="4034">
        <f>'B-FCE'!U46</f>
        <v>279.25712372878718</v>
      </c>
      <c r="Y46" s="3528">
        <f>'B-FCE'!V46</f>
        <v>250.75296885208826</v>
      </c>
      <c r="Z46" s="4033">
        <f>'B-FCE'!W46</f>
        <v>279.25712372878712</v>
      </c>
      <c r="AA46" s="4033">
        <f>'B-FCE'!X46</f>
        <v>282.55143704782705</v>
      </c>
      <c r="AB46" s="4035">
        <f>'B-FCE'!Y46</f>
        <v>279.25712372878712</v>
      </c>
      <c r="AC46" s="4035">
        <f>'B-FCE'!Z46</f>
        <v>254.21089460448255</v>
      </c>
      <c r="AD46" s="4037">
        <f>'B-FCE'!AA46</f>
        <v>279.25712372878712</v>
      </c>
      <c r="AE46" s="4038">
        <f>'B-FCE'!AB46</f>
        <v>255.84610911027107</v>
      </c>
      <c r="AF46" s="4033">
        <f>'B-FCE'!AC46</f>
        <v>279.25712372878712</v>
      </c>
      <c r="AG46" s="4033">
        <f>'B-FCE'!AD46</f>
        <v>277.99145751842343</v>
      </c>
      <c r="AH46" s="4034">
        <f>'B-FCE'!AE46</f>
        <v>279.25712372878712</v>
      </c>
      <c r="AI46" s="3528">
        <f>'B-FCE'!AF46</f>
        <v>258.45630829466137</v>
      </c>
      <c r="AJ46" s="4033">
        <f>'B-FCE'!AG46</f>
        <v>279.25712372878712</v>
      </c>
      <c r="AK46" s="4033">
        <f>'B-FCE'!AH46</f>
        <v>276.50828472214829</v>
      </c>
      <c r="AL46" s="4034">
        <f>'B-FCE'!AI46</f>
        <v>279.25712372878712</v>
      </c>
      <c r="AM46" s="3528">
        <f>'B-FCE'!AJ46</f>
        <v>260.69797069463823</v>
      </c>
      <c r="AN46" s="4033">
        <f>'B-FCE'!AK46</f>
        <v>279.25712372878712</v>
      </c>
      <c r="AO46" s="4033">
        <f>'B-FCE'!AL46</f>
        <v>279.05251608953694</v>
      </c>
      <c r="AP46" s="4035">
        <f>'B-FCE'!AM46</f>
        <v>279.25712372878706</v>
      </c>
      <c r="AQ46" s="4035">
        <f>'B-FCE'!AN46</f>
        <v>277.85520888005561</v>
      </c>
      <c r="AR46" s="4034">
        <f>'B-FCE'!AO46</f>
        <v>279.25712372878706</v>
      </c>
      <c r="AS46" s="3528">
        <f>'B-FCE'!AP46</f>
        <v>262.78001320483702</v>
      </c>
      <c r="AT46" s="4033">
        <f>'B-FCE'!AQ46</f>
        <v>279.25712372878712</v>
      </c>
      <c r="AU46" s="4033">
        <f>'B-FCE'!AR46</f>
        <v>238.76494069464175</v>
      </c>
      <c r="AV46" s="4034">
        <f>'B-FCE'!AS46</f>
        <v>279.25712372878712</v>
      </c>
      <c r="AW46" s="3528">
        <f>'B-FCE'!AT46</f>
        <v>260.39216842429454</v>
      </c>
      <c r="AX46" s="4033">
        <f>'B-FCE'!AU46</f>
        <v>279.25712372878712</v>
      </c>
      <c r="AY46" s="4033">
        <f>'B-FCE'!AV46</f>
        <v>235.32473306666708</v>
      </c>
      <c r="AZ46" s="4034">
        <f>'B-FCE'!AW46</f>
        <v>279.25712372878706</v>
      </c>
      <c r="BA46" s="3528">
        <f>'B-FCE'!AX46</f>
        <v>258.53904493736587</v>
      </c>
      <c r="BB46" s="4033">
        <f>'B-FCE'!AY46</f>
        <v>279.25712372878712</v>
      </c>
      <c r="BC46" s="4033">
        <f>'B-FCE'!AZ46</f>
        <v>255.38291916082667</v>
      </c>
      <c r="BD46" s="4039">
        <f>'B-FCE'!BA46</f>
        <v>279.25712372878712</v>
      </c>
      <c r="BE46" s="4039">
        <f>'B-FCE'!BB46</f>
        <v>243.82674184737769</v>
      </c>
      <c r="BF46" s="4037">
        <f>'B-FCE'!BC46</f>
        <v>279.25712372878706</v>
      </c>
      <c r="BG46" s="4038">
        <f>'B-FCE'!BD46</f>
        <v>260.90664904559344</v>
      </c>
      <c r="BH46" s="4034">
        <f>'B-FCE'!BE46</f>
        <v>279.25712372878706</v>
      </c>
      <c r="BI46" s="3528">
        <f>'B-FCE'!BF46</f>
        <v>258.26596118834044</v>
      </c>
    </row>
    <row r="47" spans="3:61" x14ac:dyDescent="0.25">
      <c r="C47" s="7820"/>
      <c r="D47" s="4150" t="s">
        <v>239</v>
      </c>
      <c r="E47" s="3982" t="s">
        <v>241</v>
      </c>
      <c r="F47" s="4151"/>
      <c r="G47" s="4033">
        <f>'B-FCE'!D44</f>
        <v>213.54956520436656</v>
      </c>
      <c r="H47" s="4033">
        <f>'B-FCE'!E44</f>
        <v>213.54956520436656</v>
      </c>
      <c r="I47" s="4033">
        <f>'B-FCE'!F44</f>
        <v>215.22181841496086</v>
      </c>
      <c r="J47" s="4033">
        <f>'B-FCE'!G44</f>
        <v>213.54956520436656</v>
      </c>
      <c r="K47" s="4033">
        <f>'B-FCE'!H44</f>
        <v>253.88054396242299</v>
      </c>
      <c r="L47" s="3528">
        <f>'B-FCE'!I44</f>
        <v>213.54956520436659</v>
      </c>
      <c r="M47" s="3528">
        <f>'B-FCE'!J44</f>
        <v>235.28284967949969</v>
      </c>
      <c r="N47" s="4033">
        <f>'B-FCE'!K44</f>
        <v>213.54956520436656</v>
      </c>
      <c r="O47" s="4033">
        <f>'B-FCE'!L44</f>
        <v>237.51701308540027</v>
      </c>
      <c r="P47" s="4035">
        <f>'B-FCE'!M44</f>
        <v>213.54956520436656</v>
      </c>
      <c r="Q47" s="4036">
        <f>'B-FCE'!N44</f>
        <v>236.05735985372348</v>
      </c>
      <c r="R47" s="4033">
        <f>'B-FCE'!O44</f>
        <v>213.54956520436656</v>
      </c>
      <c r="S47" s="4033">
        <f>'B-FCE'!P44</f>
        <v>272.79675754254362</v>
      </c>
      <c r="T47" s="4034">
        <f>'B-FCE'!Q44</f>
        <v>213.54956520436659</v>
      </c>
      <c r="U47" s="3528">
        <f>'B-FCE'!R44</f>
        <v>245.6925341039605</v>
      </c>
      <c r="V47" s="4033">
        <f>'B-FCE'!S44</f>
        <v>213.54956520436656</v>
      </c>
      <c r="W47" s="4033">
        <f>'B-FCE'!T44</f>
        <v>195.66333259102376</v>
      </c>
      <c r="X47" s="4034">
        <f>'B-FCE'!U44</f>
        <v>213.54956520436659</v>
      </c>
      <c r="Y47" s="3528">
        <f>'B-FCE'!V44</f>
        <v>235.76030793989352</v>
      </c>
      <c r="Z47" s="4033">
        <f>'B-FCE'!W44</f>
        <v>213.54956520436656</v>
      </c>
      <c r="AA47" s="4033">
        <f>'B-FCE'!X44</f>
        <v>184.13595870732692</v>
      </c>
      <c r="AB47" s="4035">
        <f>'B-FCE'!Y44</f>
        <v>213.54956520436656</v>
      </c>
      <c r="AC47" s="4035">
        <f>'B-FCE'!Z44</f>
        <v>219.04253584364028</v>
      </c>
      <c r="AD47" s="4037">
        <f>'B-FCE'!AA44</f>
        <v>213.54956520436656</v>
      </c>
      <c r="AE47" s="4038">
        <f>'B-FCE'!AB44</f>
        <v>227.49166903061086</v>
      </c>
      <c r="AF47" s="4033">
        <f>'B-FCE'!AC44</f>
        <v>213.54956520436656</v>
      </c>
      <c r="AG47" s="4033">
        <f>'B-FCE'!AD44</f>
        <v>220.19037051745133</v>
      </c>
      <c r="AH47" s="4034">
        <f>'B-FCE'!AE44</f>
        <v>213.54956520436656</v>
      </c>
      <c r="AI47" s="3528">
        <f>'B-FCE'!AF44</f>
        <v>226.63108905359758</v>
      </c>
      <c r="AJ47" s="4033">
        <f>'B-FCE'!AG44</f>
        <v>213.54956520436656</v>
      </c>
      <c r="AK47" s="4033">
        <f>'B-FCE'!AH44</f>
        <v>203.11433793081414</v>
      </c>
      <c r="AL47" s="4034">
        <f>'B-FCE'!AI44</f>
        <v>213.54956520436656</v>
      </c>
      <c r="AM47" s="3528">
        <f>'B-FCE'!AJ44</f>
        <v>223.7108206290672</v>
      </c>
      <c r="AN47" s="4033">
        <f>'B-FCE'!AK44</f>
        <v>213.54956520436656</v>
      </c>
      <c r="AO47" s="4033">
        <f>'B-FCE'!AL44</f>
        <v>262.64206295888476</v>
      </c>
      <c r="AP47" s="4035">
        <f>'B-FCE'!AM44</f>
        <v>213.54956520436659</v>
      </c>
      <c r="AQ47" s="4035">
        <f>'B-FCE'!AN44</f>
        <v>229.50821079955625</v>
      </c>
      <c r="AR47" s="4034">
        <f>'B-FCE'!AO44</f>
        <v>213.54956520436656</v>
      </c>
      <c r="AS47" s="3528">
        <f>'B-FCE'!AP44</f>
        <v>228.12697476209519</v>
      </c>
      <c r="AT47" s="4033">
        <f>'B-FCE'!AQ44</f>
        <v>213.54956520436656</v>
      </c>
      <c r="AU47" s="4033">
        <f>'B-FCE'!AR44</f>
        <v>285.51970705497291</v>
      </c>
      <c r="AV47" s="4034">
        <f>'B-FCE'!AS44</f>
        <v>213.54956520436656</v>
      </c>
      <c r="AW47" s="3528">
        <f>'B-FCE'!AT44</f>
        <v>233.83359655923707</v>
      </c>
      <c r="AX47" s="4033">
        <f>'B-FCE'!AU44</f>
        <v>213.54956520436656</v>
      </c>
      <c r="AY47" s="4033">
        <f>'B-FCE'!AV44</f>
        <v>222.47759509968952</v>
      </c>
      <c r="AZ47" s="4034">
        <f>'B-FCE'!AW44</f>
        <v>213.54956520436656</v>
      </c>
      <c r="BA47" s="3528">
        <f>'B-FCE'!AX44</f>
        <v>232.99409811346248</v>
      </c>
      <c r="BB47" s="4033">
        <f>'B-FCE'!AY44</f>
        <v>213.54956520436656</v>
      </c>
      <c r="BC47" s="4033">
        <f>'B-FCE'!AZ44</f>
        <v>198.74801337347543</v>
      </c>
      <c r="BD47" s="4039">
        <f>'B-FCE'!BA44</f>
        <v>213.54956520436656</v>
      </c>
      <c r="BE47" s="4039">
        <f>'B-FCE'!BB44</f>
        <v>236.12127187946777</v>
      </c>
      <c r="BF47" s="4037">
        <f>'B-FCE'!BC44</f>
        <v>213.54956520436656</v>
      </c>
      <c r="BG47" s="4038">
        <f>'B-FCE'!BD44</f>
        <v>232.80197837639713</v>
      </c>
      <c r="BH47" s="4034">
        <f>'B-FCE'!BE44</f>
        <v>213.54956520436656</v>
      </c>
      <c r="BI47" s="3528">
        <f>'B-FCE'!BF44</f>
        <v>230.03095599797541</v>
      </c>
    </row>
    <row r="48" spans="3:61" x14ac:dyDescent="0.25">
      <c r="C48" s="7820"/>
      <c r="D48" s="4150" t="s">
        <v>1746</v>
      </c>
      <c r="E48" s="3982" t="s">
        <v>241</v>
      </c>
      <c r="F48" s="4151"/>
      <c r="G48" s="4033">
        <f>G45+G46+G47</f>
        <v>1642.6889631105123</v>
      </c>
      <c r="H48" s="4033">
        <f>H45+H46+H47</f>
        <v>1642.6889631105123</v>
      </c>
      <c r="I48" s="4033">
        <f t="shared" ref="I48:BI48" si="14">I45+I46+I47</f>
        <v>1618.9454219054749</v>
      </c>
      <c r="J48" s="4033">
        <f>J45+J46+J47</f>
        <v>1642.6889631105123</v>
      </c>
      <c r="K48" s="4033">
        <f t="shared" ref="K48" si="15">K45+K46+K47</f>
        <v>1658.8180388056348</v>
      </c>
      <c r="L48" s="3528">
        <f t="shared" si="14"/>
        <v>1642.6889631105121</v>
      </c>
      <c r="M48" s="3528">
        <f t="shared" si="14"/>
        <v>1639.6363733764711</v>
      </c>
      <c r="N48" s="4033">
        <f>N45+N46+N47</f>
        <v>1642.6889631105123</v>
      </c>
      <c r="O48" s="4033">
        <f t="shared" ref="O48" si="16">O45+O46+O47</f>
        <v>1655.2277162521386</v>
      </c>
      <c r="P48" s="4035">
        <f t="shared" si="14"/>
        <v>1642.6889631105123</v>
      </c>
      <c r="Q48" s="4036">
        <f t="shared" si="14"/>
        <v>1645.0413735904767</v>
      </c>
      <c r="R48" s="4033">
        <f>R45+R46+R47</f>
        <v>1642.6889631105123</v>
      </c>
      <c r="S48" s="4033">
        <f t="shared" ref="S48" si="17">S45+S46+S47</f>
        <v>1652.8654001998189</v>
      </c>
      <c r="T48" s="4034">
        <f t="shared" si="14"/>
        <v>1642.6889631105123</v>
      </c>
      <c r="U48" s="3528">
        <f t="shared" si="14"/>
        <v>1647.0932814730722</v>
      </c>
      <c r="V48" s="4033">
        <f>V45+V46+V47</f>
        <v>1642.6889631105123</v>
      </c>
      <c r="W48" s="4033">
        <f t="shared" ref="W48" si="18">W45+W46+W47</f>
        <v>1651.8326755206831</v>
      </c>
      <c r="X48" s="4034">
        <f t="shared" ref="X48:Y48" si="19">X45+X46+X47</f>
        <v>1642.6889631105121</v>
      </c>
      <c r="Y48" s="3528">
        <f t="shared" si="19"/>
        <v>1648.0341866272215</v>
      </c>
      <c r="Z48" s="4033">
        <f>Z45+Z46+Z47</f>
        <v>1642.6889631105123</v>
      </c>
      <c r="AA48" s="4033">
        <f t="shared" ref="AA48" si="20">AA45+AA46+AA47</f>
        <v>1653.4781300581096</v>
      </c>
      <c r="AB48" s="4035">
        <f t="shared" si="14"/>
        <v>1642.6889631105123</v>
      </c>
      <c r="AC48" s="4035">
        <f t="shared" si="14"/>
        <v>1652.7183157180045</v>
      </c>
      <c r="AD48" s="4037">
        <f t="shared" si="14"/>
        <v>1642.6889631105118</v>
      </c>
      <c r="AE48" s="4038">
        <f t="shared" si="14"/>
        <v>1648.9061395552826</v>
      </c>
      <c r="AF48" s="4033">
        <f>AF45+AF46+AF47</f>
        <v>1642.6889631105123</v>
      </c>
      <c r="AG48" s="4033">
        <f t="shared" ref="AG48" si="21">AG45+AG46+AG47</f>
        <v>1671.3565241983604</v>
      </c>
      <c r="AH48" s="4034">
        <f t="shared" si="14"/>
        <v>1642.6889631105118</v>
      </c>
      <c r="AI48" s="3528">
        <f t="shared" si="14"/>
        <v>1651.5522923547139</v>
      </c>
      <c r="AJ48" s="4033">
        <f>AJ45+AJ46+AJ47</f>
        <v>1642.6889631105123</v>
      </c>
      <c r="AK48" s="4033">
        <f t="shared" ref="AK48" si="22">AK45+AK46+AK47</f>
        <v>1671.1284375637422</v>
      </c>
      <c r="AL48" s="4034">
        <f t="shared" si="14"/>
        <v>1642.6889631105118</v>
      </c>
      <c r="AM48" s="3528">
        <f t="shared" si="14"/>
        <v>1653.9832233293823</v>
      </c>
      <c r="AN48" s="4033">
        <f>AN45+AN46+AN47</f>
        <v>1642.6889631105123</v>
      </c>
      <c r="AO48" s="4033">
        <f t="shared" ref="AO48" si="23">AO45+AO46+AO47</f>
        <v>1690.7971823931373</v>
      </c>
      <c r="AP48" s="4035">
        <f t="shared" si="14"/>
        <v>1642.6889631105121</v>
      </c>
      <c r="AQ48" s="4035">
        <f t="shared" si="14"/>
        <v>1678.276551505694</v>
      </c>
      <c r="AR48" s="4034">
        <f t="shared" si="14"/>
        <v>1642.6889631105118</v>
      </c>
      <c r="AS48" s="3528">
        <f t="shared" si="14"/>
        <v>1658.1592040518883</v>
      </c>
      <c r="AT48" s="4033">
        <f>AT45+AT46+AT47</f>
        <v>1642.6889631105123</v>
      </c>
      <c r="AU48" s="4033">
        <f t="shared" ref="AU48" si="24">AU45+AU46+AU47</f>
        <v>1674.5794796354035</v>
      </c>
      <c r="AV48" s="4034">
        <f t="shared" si="14"/>
        <v>1642.6889631105123</v>
      </c>
      <c r="AW48" s="3528">
        <f t="shared" si="14"/>
        <v>1659.791889913258</v>
      </c>
      <c r="AX48" s="4033">
        <f>AX45+AX46+AX47</f>
        <v>1642.6889631105123</v>
      </c>
      <c r="AY48" s="4033">
        <f t="shared" ref="AY48" si="25">AY45+AY46+AY47</f>
        <v>1646.1901876787167</v>
      </c>
      <c r="AZ48" s="4034">
        <f t="shared" ref="AZ48:BA48" si="26">AZ45+AZ46+AZ47</f>
        <v>1642.6889631105123</v>
      </c>
      <c r="BA48" s="3528">
        <f t="shared" si="26"/>
        <v>1658.7863768436746</v>
      </c>
      <c r="BB48" s="4033">
        <f>BB45+BB46+BB47</f>
        <v>1642.6889631105123</v>
      </c>
      <c r="BC48" s="4033">
        <f t="shared" ref="BC48" si="27">BC45+BC46+BC47</f>
        <v>1638.0003390615143</v>
      </c>
      <c r="BD48" s="4039">
        <f t="shared" si="14"/>
        <v>1642.6889631105118</v>
      </c>
      <c r="BE48" s="4039">
        <f t="shared" si="14"/>
        <v>1653.2410719540096</v>
      </c>
      <c r="BF48" s="4037">
        <f t="shared" si="14"/>
        <v>1642.6889631105118</v>
      </c>
      <c r="BG48" s="4038">
        <f t="shared" si="14"/>
        <v>1665.8071292787479</v>
      </c>
      <c r="BH48" s="4034">
        <f t="shared" si="14"/>
        <v>1642.6889631105123</v>
      </c>
      <c r="BI48" s="3528">
        <f t="shared" si="14"/>
        <v>1656.9878651471095</v>
      </c>
    </row>
    <row r="49" spans="3:62" x14ac:dyDescent="0.25">
      <c r="C49" s="7820"/>
      <c r="D49" s="4072" t="s">
        <v>1380</v>
      </c>
      <c r="E49" s="3785" t="s">
        <v>49</v>
      </c>
      <c r="F49" s="4073">
        <v>0.7242055547698254</v>
      </c>
      <c r="G49" s="4074">
        <f>+'B-FCE'!D82</f>
        <v>0.53</v>
      </c>
      <c r="H49" s="4075">
        <f>+'B-FCE'!E82</f>
        <v>0.53</v>
      </c>
      <c r="I49" s="4075">
        <f>+'B-FCE'!F82</f>
        <v>0.65689667710995581</v>
      </c>
      <c r="J49" s="4075">
        <f>+'B-FCE'!G82</f>
        <v>0.53</v>
      </c>
      <c r="K49" s="4075">
        <f>+'B-FCE'!H82</f>
        <v>0.660483227748908</v>
      </c>
      <c r="L49" s="3515">
        <f>+'B-FCE'!I82</f>
        <v>0.53</v>
      </c>
      <c r="M49" s="3515">
        <f>+'B-FCE'!J82</f>
        <v>0.65875783273474586</v>
      </c>
      <c r="N49" s="4075">
        <f>+'B-FCE'!K82</f>
        <v>0.53</v>
      </c>
      <c r="O49" s="4075">
        <f>+'B-FCE'!L82</f>
        <v>0.61333254599500653</v>
      </c>
      <c r="P49" s="3996">
        <f>+'B-FCE'!M82</f>
        <v>0.53</v>
      </c>
      <c r="Q49" s="4040">
        <f>+'B-FCE'!N82</f>
        <v>0.64301039606380095</v>
      </c>
      <c r="R49" s="4075">
        <f>+'B-FCE'!O82</f>
        <v>0.53</v>
      </c>
      <c r="S49" s="4075">
        <f>+'B-FCE'!P82</f>
        <v>0.64083776122853031</v>
      </c>
      <c r="T49" s="3995">
        <f>+'B-FCE'!Q82</f>
        <v>0.53</v>
      </c>
      <c r="U49" s="3515">
        <f>+'B-FCE'!R82</f>
        <v>0.64244060677663639</v>
      </c>
      <c r="V49" s="4075">
        <f>+'B-FCE'!S82</f>
        <v>0.53</v>
      </c>
      <c r="W49" s="4075">
        <f>+'B-FCE'!T82</f>
        <v>0.6053749134978198</v>
      </c>
      <c r="X49" s="3995">
        <f>+'B-FCE'!U82</f>
        <v>0.53</v>
      </c>
      <c r="Y49" s="3515">
        <f>+'B-FCE'!V82</f>
        <v>0.63508200744984222</v>
      </c>
      <c r="Z49" s="4075">
        <f>+'B-FCE'!W82</f>
        <v>0.8</v>
      </c>
      <c r="AA49" s="4075">
        <f>+'B-FCE'!X82</f>
        <v>0.62674386842722107</v>
      </c>
      <c r="AB49" s="3996">
        <f>+'B-FCE'!Y82</f>
        <v>0.58815384615384614</v>
      </c>
      <c r="AC49" s="3996">
        <f>+'B-FCE'!Z82</f>
        <v>0.62460864863418319</v>
      </c>
      <c r="AD49" s="3999">
        <f>+'B-FCE'!AA82</f>
        <v>0.55759124087591239</v>
      </c>
      <c r="AE49" s="4000">
        <f>+'B-FCE'!AB82</f>
        <v>0.63374649306993491</v>
      </c>
      <c r="AF49" s="4075">
        <f>+'B-FCE'!AC82</f>
        <v>0.53</v>
      </c>
      <c r="AG49" s="4075">
        <f>+'B-FCE'!AD82</f>
        <v>0.73821603012782222</v>
      </c>
      <c r="AH49" s="3995">
        <f>+'B-FCE'!AE82</f>
        <v>0.55319018404907971</v>
      </c>
      <c r="AI49" s="3515">
        <f>+'B-FCE'!AF82</f>
        <v>0.64605997287600314</v>
      </c>
      <c r="AJ49" s="4075">
        <f>+'B-FCE'!AG82</f>
        <v>0.53</v>
      </c>
      <c r="AK49" s="4075">
        <f>+'B-FCE'!AH82</f>
        <v>0.54765789463279879</v>
      </c>
      <c r="AL49" s="3995">
        <f>+'B-FCE'!AI82</f>
        <v>0.55008501594048875</v>
      </c>
      <c r="AM49" s="3515">
        <f>+'B-FCE'!AJ82</f>
        <v>0.63384057741183131</v>
      </c>
      <c r="AN49" s="4075">
        <f>+'B-FCE'!AK82</f>
        <v>0.53</v>
      </c>
      <c r="AO49" s="4075">
        <f>+'B-FCE'!AL82</f>
        <v>0.59122406056901544</v>
      </c>
      <c r="AP49" s="3996">
        <f>+'B-FCE'!AM82</f>
        <v>0.53</v>
      </c>
      <c r="AQ49" s="3996">
        <f>+'B-FCE'!AN82</f>
        <v>0.61870078364403347</v>
      </c>
      <c r="AR49" s="3995">
        <f>+'B-FCE'!AO82</f>
        <v>0.54764705882352938</v>
      </c>
      <c r="AS49" s="3515">
        <f>+'B-FCE'!AP82</f>
        <v>0.62900638523794039</v>
      </c>
      <c r="AT49" s="4075">
        <f>+'B-FCE'!AQ82</f>
        <v>0.53</v>
      </c>
      <c r="AU49" s="4075">
        <f>+'B-FCE'!AR82</f>
        <v>0.69047408598412296</v>
      </c>
      <c r="AV49" s="3995">
        <f>+'B-FCE'!AS82</f>
        <v>0.54571072319201996</v>
      </c>
      <c r="AW49" s="3515">
        <f>+'B-FCE'!AT82</f>
        <v>0.63511818558067978</v>
      </c>
      <c r="AX49" s="4075">
        <f>+'B-FCE'!AU82</f>
        <v>0.53</v>
      </c>
      <c r="AY49" s="4075">
        <f>+'B-FCE'!AV82</f>
        <v>0.87010859275438568</v>
      </c>
      <c r="AZ49" s="3995">
        <f>+'B-FCE'!AW82</f>
        <v>0.54430734292202876</v>
      </c>
      <c r="BA49" s="3515">
        <f>+'B-FCE'!AX82</f>
        <v>0.6524899763731522</v>
      </c>
      <c r="BB49" s="4075">
        <f>+'B-FCE'!AY82</f>
        <v>0.53</v>
      </c>
      <c r="BC49" s="4075">
        <f>+'B-FCE'!AZ82</f>
        <v>0.61038668739689161</v>
      </c>
      <c r="BD49" s="3998">
        <f>+'B-FCE'!BA82</f>
        <v>0.53</v>
      </c>
      <c r="BE49" s="3998">
        <f>+'B-FCE'!BB82</f>
        <v>0.71231166389858636</v>
      </c>
      <c r="BF49" s="3999">
        <f>+'B-FCE'!BC82</f>
        <v>0.53</v>
      </c>
      <c r="BG49" s="4000">
        <f>+'B-FCE'!BD82</f>
        <v>0.66532555823723982</v>
      </c>
      <c r="BH49" s="3995">
        <f>+'B-FCE'!BE82</f>
        <v>0.54300757054370263</v>
      </c>
      <c r="BI49" s="3515">
        <f>+'B-FCE'!BF82</f>
        <v>0.64884698974524113</v>
      </c>
    </row>
    <row r="50" spans="3:62" x14ac:dyDescent="0.25">
      <c r="C50" s="7820"/>
      <c r="D50" s="4072" t="s">
        <v>1381</v>
      </c>
      <c r="E50" s="3785" t="s">
        <v>49</v>
      </c>
      <c r="F50" s="4073">
        <v>3.8244802457396719E-2</v>
      </c>
      <c r="G50" s="4074">
        <f>+'B-FCE'!D83</f>
        <v>0.05</v>
      </c>
      <c r="H50" s="4064">
        <f>+'B-FCE'!E83</f>
        <v>0.05</v>
      </c>
      <c r="I50" s="4064">
        <f>+'B-FCE'!F83</f>
        <v>3.2577569705161159E-2</v>
      </c>
      <c r="J50" s="4064">
        <f>+'B-FCE'!G83</f>
        <v>0.05</v>
      </c>
      <c r="K50" s="4064">
        <f>+'B-FCE'!H83</f>
        <v>4.23272247596422E-2</v>
      </c>
      <c r="L50" s="4065">
        <f>+'B-FCE'!I83</f>
        <v>0.05</v>
      </c>
      <c r="M50" s="4065">
        <f>+'B-FCE'!J83</f>
        <v>3.7636922596303052E-2</v>
      </c>
      <c r="N50" s="4064">
        <f>+'B-FCE'!K83</f>
        <v>0.05</v>
      </c>
      <c r="O50" s="4064">
        <f>+'B-FCE'!L83</f>
        <v>3.8166186015443859E-2</v>
      </c>
      <c r="P50" s="4066">
        <f>+'B-FCE'!M83</f>
        <v>0.05</v>
      </c>
      <c r="Q50" s="4067">
        <f>+'B-FCE'!N83</f>
        <v>3.7820400627447244E-2</v>
      </c>
      <c r="R50" s="4064">
        <f>+'B-FCE'!O83</f>
        <v>0.05</v>
      </c>
      <c r="S50" s="4064">
        <f>+'B-FCE'!P83</f>
        <v>3.4138594926817221E-2</v>
      </c>
      <c r="T50" s="4068">
        <f>+'B-FCE'!Q83</f>
        <v>0.05</v>
      </c>
      <c r="U50" s="4065">
        <f>+'B-FCE'!R83</f>
        <v>3.6854820304613553E-2</v>
      </c>
      <c r="V50" s="4064">
        <f>+'B-FCE'!S83</f>
        <v>0.05</v>
      </c>
      <c r="W50" s="4064">
        <f>+'B-FCE'!T83</f>
        <v>3.4513028989228228E-2</v>
      </c>
      <c r="X50" s="3995">
        <f>+'B-FCE'!U83</f>
        <v>0.05</v>
      </c>
      <c r="Y50" s="3515">
        <f>+'B-FCE'!V83</f>
        <v>3.6389907808110071E-2</v>
      </c>
      <c r="Z50" s="4064">
        <f>+'B-FCE'!W83</f>
        <v>0.05</v>
      </c>
      <c r="AA50" s="4064">
        <f>+'B-FCE'!X83</f>
        <v>3.549951756153763E-2</v>
      </c>
      <c r="AB50" s="3996">
        <f>+'B-FCE'!Y83</f>
        <v>0.05</v>
      </c>
      <c r="AC50" s="3996">
        <f>+'B-FCE'!Z83</f>
        <v>3.46955945595342E-2</v>
      </c>
      <c r="AD50" s="3999">
        <f>+'B-FCE'!AA83</f>
        <v>0.05</v>
      </c>
      <c r="AE50" s="4000">
        <f>+'B-FCE'!AB83</f>
        <v>3.624729457333422E-2</v>
      </c>
      <c r="AF50" s="4064">
        <f>+'B-FCE'!AC83</f>
        <v>0.05</v>
      </c>
      <c r="AG50" s="4064">
        <f>+'B-FCE'!AD83</f>
        <v>3.8858986537832957E-2</v>
      </c>
      <c r="AH50" s="3995">
        <f>+'B-FCE'!AE83</f>
        <v>0.05</v>
      </c>
      <c r="AI50" s="3515">
        <f>+'B-FCE'!AF83</f>
        <v>3.6555126092169293E-2</v>
      </c>
      <c r="AJ50" s="4064">
        <f>+'B-FCE'!AG83</f>
        <v>0.05</v>
      </c>
      <c r="AK50" s="4064">
        <f>+'B-FCE'!AH83</f>
        <v>3.3078521245884285E-2</v>
      </c>
      <c r="AL50" s="3995">
        <f>+'B-FCE'!AI83</f>
        <v>0.05</v>
      </c>
      <c r="AM50" s="3515">
        <f>+'B-FCE'!AJ83</f>
        <v>3.6123407471507468E-2</v>
      </c>
      <c r="AN50" s="4064">
        <f>+'B-FCE'!AK83</f>
        <v>0.05</v>
      </c>
      <c r="AO50" s="4064">
        <f>+'B-FCE'!AL83</f>
        <v>3.2638060149334992E-2</v>
      </c>
      <c r="AP50" s="3996">
        <f>+'B-FCE'!AM83</f>
        <v>0.05</v>
      </c>
      <c r="AQ50" s="3996">
        <f>+'B-FCE'!AN83</f>
        <v>3.4599139798159123E-2</v>
      </c>
      <c r="AR50" s="3995">
        <f>+'B-FCE'!AO83</f>
        <v>0.05</v>
      </c>
      <c r="AS50" s="3515">
        <f>+'B-FCE'!AP83</f>
        <v>3.5728048113297078E-2</v>
      </c>
      <c r="AT50" s="4064">
        <f>+'B-FCE'!AQ83</f>
        <v>0.05</v>
      </c>
      <c r="AU50" s="4064">
        <f>+'B-FCE'!AR83</f>
        <v>3.3590154307706899E-2</v>
      </c>
      <c r="AV50" s="3995">
        <f>+'B-FCE'!AS83</f>
        <v>0.05</v>
      </c>
      <c r="AW50" s="3515">
        <f>+'B-FCE'!AT83</f>
        <v>3.5515475006850476E-2</v>
      </c>
      <c r="AX50" s="4064">
        <f>+'B-FCE'!AU83</f>
        <v>0.05</v>
      </c>
      <c r="AY50" s="4064">
        <f>+'B-FCE'!AV83</f>
        <v>3.347434243144469E-2</v>
      </c>
      <c r="AZ50" s="3995">
        <f>+'B-FCE'!AW83</f>
        <v>0.05</v>
      </c>
      <c r="BA50" s="3515">
        <f>+'B-FCE'!AX83</f>
        <v>3.5364583195962904E-2</v>
      </c>
      <c r="BB50" s="4064">
        <f>+'B-FCE'!AY83</f>
        <v>0.05</v>
      </c>
      <c r="BC50" s="4064">
        <f>+'B-FCE'!AZ83</f>
        <v>3.2579820086642078E-2</v>
      </c>
      <c r="BD50" s="3998">
        <f>+'B-FCE'!BA83</f>
        <v>0.05</v>
      </c>
      <c r="BE50" s="3998">
        <f>+'B-FCE'!BB83</f>
        <v>3.3190268267081997E-2</v>
      </c>
      <c r="BF50" s="3999">
        <f>+'B-FCE'!BC83</f>
        <v>0.05</v>
      </c>
      <c r="BG50" s="4000">
        <f>+'B-FCE'!BD83</f>
        <v>3.3897423102528954E-2</v>
      </c>
      <c r="BH50" s="3995">
        <f>+'B-FCE'!BE83</f>
        <v>0.05</v>
      </c>
      <c r="BI50" s="3515">
        <f>+'B-FCE'!BF83</f>
        <v>3.5123631597742733E-2</v>
      </c>
    </row>
    <row r="51" spans="3:62" ht="15.75" thickBot="1" x14ac:dyDescent="0.3">
      <c r="C51" s="7817"/>
      <c r="D51" s="3961" t="s">
        <v>1015</v>
      </c>
      <c r="E51" s="3962" t="s">
        <v>241</v>
      </c>
      <c r="F51" s="4076">
        <v>413.76312883093829</v>
      </c>
      <c r="G51" s="4077">
        <f>+'B-FCE'!D81</f>
        <v>357</v>
      </c>
      <c r="H51" s="4078">
        <f>+'B-FCE'!E81</f>
        <v>357</v>
      </c>
      <c r="I51" s="4078">
        <f>+'B-FCE'!F81</f>
        <v>326.93603212123651</v>
      </c>
      <c r="J51" s="4078">
        <f>+'B-FCE'!G81</f>
        <v>357</v>
      </c>
      <c r="K51" s="4078">
        <f>+'B-FCE'!H81</f>
        <v>345.61695203825582</v>
      </c>
      <c r="L51" s="4079">
        <f>+'B-FCE'!I81</f>
        <v>366.44444444444446</v>
      </c>
      <c r="M51" s="4079">
        <f>+'B-FCE'!J81</f>
        <v>336.63005367002171</v>
      </c>
      <c r="N51" s="4078">
        <f>+'B-FCE'!K81</f>
        <v>357</v>
      </c>
      <c r="O51" s="4078">
        <f>+'B-FCE'!L81</f>
        <v>316.9394936477471</v>
      </c>
      <c r="P51" s="4081">
        <f>+'B-FCE'!M81</f>
        <v>369.0888888888889</v>
      </c>
      <c r="Q51" s="4082">
        <f>+'B-FCE'!N81</f>
        <v>329.80399115680598</v>
      </c>
      <c r="R51" s="4078">
        <f>+'B-FCE'!O81</f>
        <v>357</v>
      </c>
      <c r="S51" s="4078">
        <f>+'B-FCE'!P81</f>
        <v>348.25801262986107</v>
      </c>
      <c r="T51" s="4083">
        <f>+'B-FCE'!Q81</f>
        <v>370.37333333333333</v>
      </c>
      <c r="U51" s="4079">
        <f>+'B-FCE'!R81</f>
        <v>334.64369250456673</v>
      </c>
      <c r="V51" s="4078">
        <f>+'B-FCE'!S81</f>
        <v>357</v>
      </c>
      <c r="W51" s="4078">
        <f>+'B-FCE'!T81</f>
        <v>360.36693508265699</v>
      </c>
      <c r="X51" s="4083">
        <f>+'B-FCE'!U81</f>
        <v>371.12520325203252</v>
      </c>
      <c r="Y51" s="4079">
        <f>+'B-FCE'!V81</f>
        <v>339.75049123875567</v>
      </c>
      <c r="Z51" s="4078">
        <f>+'B-FCE'!W81</f>
        <v>357</v>
      </c>
      <c r="AA51" s="4078">
        <f>+'B-FCE'!X81</f>
        <v>352.01502802742641</v>
      </c>
      <c r="AB51" s="4081">
        <f>+'B-FCE'!Y81</f>
        <v>374</v>
      </c>
      <c r="AC51" s="4081">
        <f>+'B-FCE'!Z81</f>
        <v>353.46371969363798</v>
      </c>
      <c r="AD51" s="4084">
        <f>+'B-FCE'!AA81</f>
        <v>371.41897810218978</v>
      </c>
      <c r="AE51" s="4085">
        <f>+'B-FCE'!AB81</f>
        <v>341.71489423080652</v>
      </c>
      <c r="AF51" s="4078">
        <f>+'B-FCE'!AC81</f>
        <v>357</v>
      </c>
      <c r="AG51" s="4078">
        <f>+'B-FCE'!AD81</f>
        <v>388.82006197216134</v>
      </c>
      <c r="AH51" s="4083">
        <f>+'B-FCE'!AE81</f>
        <v>371.83067484662575</v>
      </c>
      <c r="AI51" s="4079">
        <f>+'B-FCE'!AF81</f>
        <v>347.26702500576374</v>
      </c>
      <c r="AJ51" s="4078">
        <f>+'B-FCE'!AG81</f>
        <v>357</v>
      </c>
      <c r="AK51" s="4078">
        <f>+'B-FCE'!AH81</f>
        <v>388.74481409242418</v>
      </c>
      <c r="AL51" s="4083">
        <f>+'B-FCE'!AI81</f>
        <v>372.12114771519663</v>
      </c>
      <c r="AM51" s="4079">
        <f>+'B-FCE'!AJ81</f>
        <v>352.417663253228</v>
      </c>
      <c r="AN51" s="4078">
        <f>+'B-FCE'!AK81</f>
        <v>357</v>
      </c>
      <c r="AO51" s="4078">
        <f>+'B-FCE'!AL81</f>
        <v>387.22923624886209</v>
      </c>
      <c r="AP51" s="4081">
        <f>+'B-FCE'!AM81</f>
        <v>374</v>
      </c>
      <c r="AQ51" s="4081">
        <f>+'B-FCE'!AN81</f>
        <v>388.22098005170676</v>
      </c>
      <c r="AR51" s="4083">
        <f>+'B-FCE'!AO81</f>
        <v>372.34920634920638</v>
      </c>
      <c r="AS51" s="4079">
        <f>+'B-FCE'!AP81</f>
        <v>356.36650389539085</v>
      </c>
      <c r="AT51" s="4078">
        <f>+'B-FCE'!AQ81</f>
        <v>357</v>
      </c>
      <c r="AU51" s="4078">
        <f>+'B-FCE'!AR81</f>
        <v>384.39911391153987</v>
      </c>
      <c r="AV51" s="4083">
        <f>+'B-FCE'!AS81</f>
        <v>372.53034081463011</v>
      </c>
      <c r="AW51" s="4079">
        <f>+'B-FCE'!AT81</f>
        <v>359.15381679996898</v>
      </c>
      <c r="AX51" s="4078">
        <f>+'B-FCE'!AU81</f>
        <v>357</v>
      </c>
      <c r="AY51" s="4078">
        <f>+'B-FCE'!AV81</f>
        <v>366.24559392761967</v>
      </c>
      <c r="AZ51" s="4083">
        <f>+'B-FCE'!AW81</f>
        <v>372.66161998485995</v>
      </c>
      <c r="BA51" s="4079">
        <f>+'B-FCE'!AX81</f>
        <v>359.67808019476075</v>
      </c>
      <c r="BB51" s="4078">
        <f>+'B-FCE'!AY81</f>
        <v>357</v>
      </c>
      <c r="BC51" s="4078">
        <f>+'B-FCE'!AZ81</f>
        <v>345.38483878895494</v>
      </c>
      <c r="BD51" s="4039">
        <f>+'B-FCE'!BA81</f>
        <v>374</v>
      </c>
      <c r="BE51" s="4039">
        <f>+'B-FCE'!BB81</f>
        <v>365.07824798095601</v>
      </c>
      <c r="BF51" s="4037">
        <f>+'B-FCE'!BC81</f>
        <v>374</v>
      </c>
      <c r="BG51" s="4038">
        <f>+'B-FCE'!BD81</f>
        <v>376.69427863264553</v>
      </c>
      <c r="BH51" s="4034">
        <f>+'B-FCE'!BE81</f>
        <v>372.78320715760492</v>
      </c>
      <c r="BI51" s="3528">
        <f>+'B-FCE'!BF81</f>
        <v>358.44135763514754</v>
      </c>
    </row>
    <row r="52" spans="3:62" ht="15.75" thickBot="1" x14ac:dyDescent="0.3">
      <c r="C52" s="4086"/>
      <c r="D52" s="4087" t="s">
        <v>360</v>
      </c>
      <c r="E52" s="4088" t="s">
        <v>361</v>
      </c>
      <c r="F52" s="4089">
        <v>930.8611107215944</v>
      </c>
      <c r="G52" s="4090">
        <f>+'Maj Techno Summ'!D15</f>
        <v>859.24201903906965</v>
      </c>
      <c r="H52" s="4091">
        <f>+'Maj Techno Summ'!E15</f>
        <v>871.21390493777415</v>
      </c>
      <c r="I52" s="4091">
        <f>+'Maj Techno Summ'!F15</f>
        <v>881.94094102597955</v>
      </c>
      <c r="J52" s="4091">
        <f>+'Maj Techno Summ'!G15</f>
        <v>866.91251568708628</v>
      </c>
      <c r="K52" s="4091" t="e">
        <f>+'Maj Techno Summ'!H15</f>
        <v>#REF!</v>
      </c>
      <c r="L52" s="4092">
        <f>+'Maj Techno Summ'!I15</f>
        <v>871.48254628259724</v>
      </c>
      <c r="M52" s="4092" t="e">
        <f>+'Maj Techno Summ'!J15</f>
        <v>#REF!</v>
      </c>
      <c r="N52" s="4091">
        <f>+'Maj Techno Summ'!K15</f>
        <v>866.91251568708628</v>
      </c>
      <c r="O52" s="4091" t="e">
        <f>+'Maj Techno Summ'!L15</f>
        <v>#REF!</v>
      </c>
      <c r="P52" s="4093">
        <f>+'Maj Techno Summ'!M15</f>
        <v>871.55702448435511</v>
      </c>
      <c r="Q52" s="4094" t="e">
        <f>+'Maj Techno Summ'!N15</f>
        <v>#REF!</v>
      </c>
      <c r="R52" s="4091">
        <f>+'Maj Techno Summ'!O15</f>
        <v>866.91251568708628</v>
      </c>
      <c r="S52" s="4091" t="e">
        <f>+'Maj Techno Summ'!P15</f>
        <v>#REF!</v>
      </c>
      <c r="T52" s="4095">
        <f>+'Maj Techno Summ'!Q15</f>
        <v>870.34230679891562</v>
      </c>
      <c r="U52" s="4092" t="e">
        <f>+'Maj Techno Summ'!R15</f>
        <v>#REF!</v>
      </c>
      <c r="V52" s="4091">
        <f>+'Maj Techno Summ'!S15</f>
        <v>866.91251568708628</v>
      </c>
      <c r="W52" s="4091" t="e">
        <f>+'Maj Techno Summ'!T15</f>
        <v>#REF!</v>
      </c>
      <c r="X52" s="4095">
        <f>+'Maj Techno Summ'!U15</f>
        <v>869.63125254402416</v>
      </c>
      <c r="Y52" s="4092" t="e">
        <f>+'Maj Techno Summ'!V15</f>
        <v>#REF!</v>
      </c>
      <c r="Z52" s="4091">
        <f>+'Maj Techno Summ'!W15</f>
        <v>973.86831544015627</v>
      </c>
      <c r="AA52" s="4091" t="e">
        <f>+'Maj Techno Summ'!X15</f>
        <v>#REF!</v>
      </c>
      <c r="AB52" s="4093">
        <f>+'Maj Techno Summ'!Y15</f>
        <v>894.94289353723502</v>
      </c>
      <c r="AC52" s="4093" t="e">
        <f>+'Maj Techno Summ'!Z15</f>
        <v>#REF!</v>
      </c>
      <c r="AD52" s="4096">
        <f>+'Maj Techno Summ'!AA15</f>
        <v>882.65250980141491</v>
      </c>
      <c r="AE52" s="4097" t="e">
        <f>+'Maj Techno Summ'!AB15</f>
        <v>#REF!</v>
      </c>
      <c r="AF52" s="4091">
        <f>+'Maj Techno Summ'!AC15</f>
        <v>865.57463192982163</v>
      </c>
      <c r="AG52" s="4091" t="e">
        <f>+'Maj Techno Summ'!AD15</f>
        <v>#REF!</v>
      </c>
      <c r="AH52" s="4095">
        <f>+'Maj Techno Summ'!AE15</f>
        <v>879.92843112251046</v>
      </c>
      <c r="AI52" s="4092" t="e">
        <f>+'Maj Techno Summ'!AF15</f>
        <v>#REF!</v>
      </c>
      <c r="AJ52" s="4091">
        <f>+'Maj Techno Summ'!AG15</f>
        <v>865.57463192982152</v>
      </c>
      <c r="AK52" s="4091" t="e">
        <f>+'Maj Techno Summ'!AH15</f>
        <v>#REF!</v>
      </c>
      <c r="AL52" s="4095">
        <f>+'Maj Techno Summ'!AI15</f>
        <v>878.00645588523219</v>
      </c>
      <c r="AM52" s="4092" t="e">
        <f>+'Maj Techno Summ'!AJ15</f>
        <v>#REF!</v>
      </c>
      <c r="AN52" s="4091">
        <f>+'Maj Techno Summ'!AK15</f>
        <v>865.57463192982163</v>
      </c>
      <c r="AO52" s="4091" t="e">
        <f>+'Maj Techno Summ'!AL15</f>
        <v>#REF!</v>
      </c>
      <c r="AP52" s="4093">
        <f>+'Maj Techno Summ'!AM15</f>
        <v>870.33179535973113</v>
      </c>
      <c r="AQ52" s="4093" t="e">
        <f>+'Maj Techno Summ'!AN15</f>
        <v>#REF!</v>
      </c>
      <c r="AR52" s="4095">
        <f>+'Maj Techno Summ'!AO15</f>
        <v>878.21199087098535</v>
      </c>
      <c r="AS52" s="4092" t="e">
        <f>+'Maj Techno Summ'!AP15</f>
        <v>#REF!</v>
      </c>
      <c r="AT52" s="4091">
        <f>+'Maj Techno Summ'!AQ15</f>
        <v>865.57463192982141</v>
      </c>
      <c r="AU52" s="4091" t="e">
        <f>+'Maj Techno Summ'!AR15</f>
        <v>#REF!</v>
      </c>
      <c r="AV52" s="4095">
        <f>+'Maj Techno Summ'!AS15</f>
        <v>876.82534799464815</v>
      </c>
      <c r="AW52" s="4092" t="e">
        <f>+'Maj Techno Summ'!AT15</f>
        <v>#REF!</v>
      </c>
      <c r="AX52" s="4091">
        <f>+'Maj Techno Summ'!AU15</f>
        <v>865.57463192982152</v>
      </c>
      <c r="AY52" s="4091" t="e">
        <f>+'Maj Techno Summ'!AV15</f>
        <v>#REF!</v>
      </c>
      <c r="AZ52" s="4095">
        <f>+'Maj Techno Summ'!AW15</f>
        <v>875.82036351648787</v>
      </c>
      <c r="BA52" s="4092" t="e">
        <f>+'Maj Techno Summ'!AX15</f>
        <v>#REF!</v>
      </c>
      <c r="BB52" s="4091">
        <f>+'Maj Techno Summ'!AY15</f>
        <v>865.57463192982141</v>
      </c>
      <c r="BC52" s="4091" t="e">
        <f>+'Maj Techno Summ'!AZ15</f>
        <v>#REF!</v>
      </c>
      <c r="BD52" s="4039">
        <f>+'Maj Techno Summ'!BA15</f>
        <v>870.33179535973125</v>
      </c>
      <c r="BE52" s="4039" t="e">
        <f>+'Maj Techno Summ'!BB15</f>
        <v>#REF!</v>
      </c>
      <c r="BF52" s="4037">
        <f>+'Maj Techno Summ'!BC15</f>
        <v>870.33179535973113</v>
      </c>
      <c r="BG52" s="4038" t="e">
        <f>+'Maj Techno Summ'!BD15</f>
        <v>#REF!</v>
      </c>
      <c r="BH52" s="4034">
        <f>+'Maj Techno Summ'!BE15</f>
        <v>876.14025330367679</v>
      </c>
      <c r="BI52" s="3528" t="e">
        <f>+'Maj Techno Summ'!BF15</f>
        <v>#REF!</v>
      </c>
    </row>
    <row r="53" spans="3:62" x14ac:dyDescent="0.25">
      <c r="C53" s="7815" t="s">
        <v>1021</v>
      </c>
      <c r="D53" s="3958" t="s">
        <v>362</v>
      </c>
      <c r="E53" s="3959" t="s">
        <v>269</v>
      </c>
      <c r="F53" s="4098">
        <v>1062.9741019163143</v>
      </c>
      <c r="G53" s="4099">
        <f>+'Maj Techno Summ'!D16</f>
        <v>1062</v>
      </c>
      <c r="H53" s="4100">
        <f>+'Maj Techno Summ'!E16</f>
        <v>1062</v>
      </c>
      <c r="I53" s="4100">
        <f>+'Maj Techno Summ'!F16</f>
        <v>1055.9173214589698</v>
      </c>
      <c r="J53" s="4100">
        <f>+'Maj Techno Summ'!G16</f>
        <v>1062</v>
      </c>
      <c r="K53" s="4100">
        <f>+'Maj Techno Summ'!H16</f>
        <v>1067.8204683947631</v>
      </c>
      <c r="L53" s="4101">
        <f>+'Maj Techno Summ'!I16</f>
        <v>1062</v>
      </c>
      <c r="M53" s="4101">
        <f>+'Maj Techno Summ'!J16</f>
        <v>1062.0424734269263</v>
      </c>
      <c r="N53" s="4100">
        <f>+'Maj Techno Summ'!K16</f>
        <v>1062</v>
      </c>
      <c r="O53" s="4100">
        <f>+'Maj Techno Summ'!L16</f>
        <v>1061.9196518424501</v>
      </c>
      <c r="P53" s="4102">
        <f>+'Maj Techno Summ'!M16</f>
        <v>1062</v>
      </c>
      <c r="Q53" s="4103">
        <f>+'Maj Techno Summ'!N16</f>
        <v>1061.9999587668149</v>
      </c>
      <c r="R53" s="4100">
        <f>+'Maj Techno Summ'!O16</f>
        <v>1062</v>
      </c>
      <c r="S53" s="4100">
        <f>+'Maj Techno Summ'!P16</f>
        <v>1051.7068973673629</v>
      </c>
      <c r="T53" s="4104">
        <f>+'Maj Techno Summ'!Q16</f>
        <v>1062</v>
      </c>
      <c r="U53" s="4101">
        <f>+'Maj Techno Summ'!R16</f>
        <v>1059.2716245602046</v>
      </c>
      <c r="V53" s="4100">
        <f>+'Maj Techno Summ'!S16</f>
        <v>1062</v>
      </c>
      <c r="W53" s="4100">
        <f>+'Maj Techno Summ'!T16</f>
        <v>1060.1658095630878</v>
      </c>
      <c r="X53" s="4104">
        <f>+'Maj Techno Summ'!U16</f>
        <v>1062</v>
      </c>
      <c r="Y53" s="4101">
        <f>+'Maj Techno Summ'!V16</f>
        <v>1059.4494898296584</v>
      </c>
      <c r="Z53" s="4100">
        <f>+'Maj Techno Summ'!W16</f>
        <v>1062</v>
      </c>
      <c r="AA53" s="4100">
        <f>+'Maj Techno Summ'!X16</f>
        <v>1063.8152587426769</v>
      </c>
      <c r="AB53" s="4102">
        <f>+'Maj Techno Summ'!Y16</f>
        <v>1062</v>
      </c>
      <c r="AC53" s="4102">
        <f>+'Maj Techno Summ'!Z16</f>
        <v>1058.3307154265726</v>
      </c>
      <c r="AD53" s="4105">
        <f>+'Maj Techno Summ'!AA16</f>
        <v>1062</v>
      </c>
      <c r="AE53" s="4106">
        <f>+'Maj Techno Summ'!AB16</f>
        <v>1060.1462170969321</v>
      </c>
      <c r="AF53" s="4100">
        <f>+'Maj Techno Summ'!AC16</f>
        <v>1062</v>
      </c>
      <c r="AG53" s="4100">
        <f>+'Maj Techno Summ'!AD16</f>
        <v>1064.5745280439282</v>
      </c>
      <c r="AH53" s="4104">
        <f>+'Maj Techno Summ'!AE16</f>
        <v>1062</v>
      </c>
      <c r="AI53" s="4101">
        <f>+'Maj Techno Summ'!AF16</f>
        <v>1060.6419895929712</v>
      </c>
      <c r="AJ53" s="4100">
        <f>+'Maj Techno Summ'!AG16</f>
        <v>1062</v>
      </c>
      <c r="AK53" s="4100">
        <f>+'Maj Techno Summ'!AH16</f>
        <v>1059.8754259222144</v>
      </c>
      <c r="AL53" s="4104">
        <f>+'Maj Techno Summ'!AI16</f>
        <v>1062</v>
      </c>
      <c r="AM53" s="4101">
        <f>+'Maj Techno Summ'!AJ16</f>
        <v>1060.545862062748</v>
      </c>
      <c r="AN53" s="4100">
        <f>+'Maj Techno Summ'!AK16</f>
        <v>1062</v>
      </c>
      <c r="AO53" s="4100">
        <f>+'Maj Techno Summ'!AL16</f>
        <v>1068.1895334200926</v>
      </c>
      <c r="AP53" s="4102">
        <f>+'Maj Techno Summ'!AM16</f>
        <v>1062</v>
      </c>
      <c r="AQ53" s="4102">
        <f>+'Maj Techno Summ'!AN16</f>
        <v>1064.2149663799164</v>
      </c>
      <c r="AR53" s="4104">
        <f>+'Maj Techno Summ'!AO16</f>
        <v>1062</v>
      </c>
      <c r="AS53" s="4101">
        <f>+'Maj Techno Summ'!AP16</f>
        <v>1061.4135758695986</v>
      </c>
      <c r="AT53" s="4100">
        <f>+'Maj Techno Summ'!AQ16</f>
        <v>1062</v>
      </c>
      <c r="AU53" s="4100">
        <f>+'Maj Techno Summ'!AR16</f>
        <v>1062.1673163865344</v>
      </c>
      <c r="AV53" s="4104">
        <f>+'Maj Techno Summ'!AS16</f>
        <v>1062</v>
      </c>
      <c r="AW53" s="4101">
        <f>+'Maj Techno Summ'!AT16</f>
        <v>1061.4885523320406</v>
      </c>
      <c r="AX53" s="4100">
        <f>+'Maj Techno Summ'!AU16</f>
        <v>1062</v>
      </c>
      <c r="AY53" s="4024">
        <f>+'Maj Techno Summ'!AV16</f>
        <v>1052.23913066978</v>
      </c>
      <c r="AZ53" s="4104">
        <f>+'Maj Techno Summ'!AW16</f>
        <v>1062</v>
      </c>
      <c r="BA53" s="4101">
        <f>+'Maj Techno Summ'!AX16</f>
        <v>1060.7978413604571</v>
      </c>
      <c r="BB53" s="4100">
        <f>+'Maj Techno Summ'!AY16</f>
        <v>1062</v>
      </c>
      <c r="BC53" s="4024">
        <f>+'Maj Techno Summ'!AZ16</f>
        <v>1038.4428162825402</v>
      </c>
      <c r="BD53" s="4039">
        <f>+'Maj Techno Summ'!BA16</f>
        <v>1062</v>
      </c>
      <c r="BE53" s="4039">
        <f>+'Maj Techno Summ'!BB16</f>
        <v>1050.6127742040003</v>
      </c>
      <c r="BF53" s="4037">
        <f>+'Maj Techno Summ'!BC16</f>
        <v>1062</v>
      </c>
      <c r="BG53" s="4038">
        <f>+'Maj Techno Summ'!BD16</f>
        <v>1057.3549740205385</v>
      </c>
      <c r="BH53" s="4034">
        <f>+'Maj Techno Summ'!BE16</f>
        <v>1062</v>
      </c>
      <c r="BI53" s="3528">
        <f>+'Maj Techno Summ'!BF16</f>
        <v>1058.8142866443113</v>
      </c>
    </row>
    <row r="54" spans="3:62" x14ac:dyDescent="0.25">
      <c r="C54" s="7816"/>
      <c r="D54" s="4059" t="s">
        <v>363</v>
      </c>
      <c r="E54" s="3785" t="s">
        <v>269</v>
      </c>
      <c r="F54" s="4060">
        <v>38.506404738512508</v>
      </c>
      <c r="G54" s="4061">
        <f>+'Maj Techno Summ'!D17</f>
        <v>34</v>
      </c>
      <c r="H54" s="4033">
        <f>+'Maj Techno Summ'!E17</f>
        <v>34</v>
      </c>
      <c r="I54" s="4033">
        <f>+'Maj Techno Summ'!F17</f>
        <v>40.079112648168227</v>
      </c>
      <c r="J54" s="4033">
        <f>+'Maj Techno Summ'!G17</f>
        <v>34</v>
      </c>
      <c r="K54" s="4033">
        <f>+'Maj Techno Summ'!H17</f>
        <v>28.189893423710473</v>
      </c>
      <c r="L54" s="3528">
        <f>+'Maj Techno Summ'!I17</f>
        <v>34</v>
      </c>
      <c r="M54" s="3528">
        <f>+'Maj Techno Summ'!J17</f>
        <v>33.961127637736368</v>
      </c>
      <c r="N54" s="4033">
        <f>+'Maj Techno Summ'!K17</f>
        <v>34</v>
      </c>
      <c r="O54" s="4033">
        <f>+'Maj Techno Summ'!L17</f>
        <v>34.520831536271892</v>
      </c>
      <c r="P54" s="4035">
        <f>+'Maj Techno Summ'!M17</f>
        <v>34</v>
      </c>
      <c r="Q54" s="4036">
        <f>+'Maj Techno Summ'!N17</f>
        <v>34.154868999327476</v>
      </c>
      <c r="R54" s="4033">
        <f>+'Maj Techno Summ'!O17</f>
        <v>34</v>
      </c>
      <c r="S54" s="4033">
        <f>+'Maj Techno Summ'!P17</f>
        <v>44.526180507919989</v>
      </c>
      <c r="T54" s="4034">
        <f>+'Maj Techno Summ'!Q17</f>
        <v>34</v>
      </c>
      <c r="U54" s="3528">
        <f>+'Maj Techno Summ'!R17</f>
        <v>36.90394460066522</v>
      </c>
      <c r="V54" s="4033">
        <f>+'Maj Techno Summ'!S17</f>
        <v>34</v>
      </c>
      <c r="W54" s="4033">
        <f>+'Maj Techno Summ'!T17</f>
        <v>36.183939197549044</v>
      </c>
      <c r="X54" s="4034">
        <f>+'Maj Techno Summ'!U17</f>
        <v>34</v>
      </c>
      <c r="Y54" s="3528">
        <f>+'Maj Techno Summ'!V17</f>
        <v>36.760725966243122</v>
      </c>
      <c r="Z54" s="4033">
        <f>+'Maj Techno Summ'!W17</f>
        <v>34</v>
      </c>
      <c r="AA54" s="4033">
        <f>+'Maj Techno Summ'!X17</f>
        <v>34.040564785957052</v>
      </c>
      <c r="AB54" s="4035">
        <f>+'Maj Techno Summ'!Y17</f>
        <v>34</v>
      </c>
      <c r="AC54" s="4035">
        <f>+'Maj Techno Summ'!Z17</f>
        <v>38.453569056342083</v>
      </c>
      <c r="AD54" s="4037">
        <f>+'Maj Techno Summ'!AA17</f>
        <v>34</v>
      </c>
      <c r="AE54" s="4038">
        <f>+'Maj Techno Summ'!AB17</f>
        <v>36.326619053247107</v>
      </c>
      <c r="AF54" s="4033">
        <f>+'Maj Techno Summ'!AC17</f>
        <v>34</v>
      </c>
      <c r="AG54" s="4033">
        <f>+'Maj Techno Summ'!AD17</f>
        <v>30.862550990228854</v>
      </c>
      <c r="AH54" s="4034">
        <f>+'Maj Techno Summ'!AE17</f>
        <v>34</v>
      </c>
      <c r="AI54" s="3528">
        <f>+'Maj Techno Summ'!AF17</f>
        <v>35.714888148494765</v>
      </c>
      <c r="AJ54" s="4033">
        <f>+'Maj Techno Summ'!AG17</f>
        <v>34</v>
      </c>
      <c r="AK54" s="4033">
        <f>+'Maj Techno Summ'!AH17</f>
        <v>36.4868280014989</v>
      </c>
      <c r="AL54" s="4034">
        <f>+'Maj Techno Summ'!AI17</f>
        <v>34</v>
      </c>
      <c r="AM54" s="3528">
        <f>+'Maj Techno Summ'!AJ17</f>
        <v>35.811689855099381</v>
      </c>
      <c r="AN54" s="4033">
        <f>+'Maj Techno Summ'!AK17</f>
        <v>34</v>
      </c>
      <c r="AO54" s="4033">
        <f>+'Maj Techno Summ'!AL17</f>
        <v>27.934205192754888</v>
      </c>
      <c r="AP54" s="4035">
        <f>+'Maj Techno Summ'!AM17</f>
        <v>34</v>
      </c>
      <c r="AQ54" s="4035">
        <f>+'Maj Techno Summ'!AN17</f>
        <v>31.802546542511827</v>
      </c>
      <c r="AR54" s="4034">
        <f>+'Maj Techno Summ'!AO17</f>
        <v>34</v>
      </c>
      <c r="AS54" s="3528">
        <f>+'Maj Techno Summ'!AP17</f>
        <v>34.917433432339585</v>
      </c>
      <c r="AT54" s="4033">
        <f>+'Maj Techno Summ'!AQ17</f>
        <v>34</v>
      </c>
      <c r="AU54" s="4033">
        <f>+'Maj Techno Summ'!AR17</f>
        <v>33.23306160572163</v>
      </c>
      <c r="AV54" s="4034">
        <f>+'Maj Techno Summ'!AS17</f>
        <v>34</v>
      </c>
      <c r="AW54" s="3528">
        <f>+'Maj Techno Summ'!AT17</f>
        <v>34.749884735991984</v>
      </c>
      <c r="AX54" s="4033">
        <f>+'Maj Techno Summ'!AU17</f>
        <v>34</v>
      </c>
      <c r="AY54" s="4075">
        <f>+'Maj Techno Summ'!AV17</f>
        <v>43.482725818307607</v>
      </c>
      <c r="AZ54" s="4034">
        <f>+'Maj Techno Summ'!AW17</f>
        <v>34</v>
      </c>
      <c r="BA54" s="3528">
        <f>+'Maj Techno Summ'!AX17</f>
        <v>35.402019471427543</v>
      </c>
      <c r="BB54" s="4033">
        <f>+'Maj Techno Summ'!AY17</f>
        <v>34</v>
      </c>
      <c r="BC54" s="4075">
        <f>+'Maj Techno Summ'!AZ17</f>
        <v>54.990465926048749</v>
      </c>
      <c r="BD54" s="4039">
        <f>+'Maj Techno Summ'!BA17</f>
        <v>34</v>
      </c>
      <c r="BE54" s="4039">
        <f>+'Maj Techno Summ'!BB17</f>
        <v>44.153243986348834</v>
      </c>
      <c r="BF54" s="4037">
        <f>+'Maj Techno Summ'!BC17</f>
        <v>34</v>
      </c>
      <c r="BG54" s="4038">
        <f>+'Maj Techno Summ'!BD17</f>
        <v>38.031372675973174</v>
      </c>
      <c r="BH54" s="4034">
        <f>+'Maj Techno Summ'!BE17</f>
        <v>33.999999999999993</v>
      </c>
      <c r="BI54" s="3528">
        <f>+'Maj Techno Summ'!BF17</f>
        <v>37.140096490424696</v>
      </c>
    </row>
    <row r="55" spans="3:62" x14ac:dyDescent="0.25">
      <c r="C55" s="7816"/>
      <c r="D55" s="4059" t="s">
        <v>286</v>
      </c>
      <c r="E55" s="3785" t="s">
        <v>269</v>
      </c>
      <c r="F55" s="4060">
        <v>1101.4805066548267</v>
      </c>
      <c r="G55" s="4061">
        <f>+'Maj Techno Summ'!D18</f>
        <v>1096</v>
      </c>
      <c r="H55" s="4033">
        <f>+'Maj Techno Summ'!E18</f>
        <v>1096</v>
      </c>
      <c r="I55" s="4033">
        <f>+'Maj Techno Summ'!F18</f>
        <v>1095.9964341071379</v>
      </c>
      <c r="J55" s="4033">
        <f>+'Maj Techno Summ'!G18</f>
        <v>1096</v>
      </c>
      <c r="K55" s="4033">
        <f>+'Maj Techno Summ'!H18</f>
        <v>1096.0103618184735</v>
      </c>
      <c r="L55" s="3528">
        <f>+'Maj Techno Summ'!I18</f>
        <v>1096</v>
      </c>
      <c r="M55" s="3528">
        <f>+'Maj Techno Summ'!J18</f>
        <v>1096.0036010646627</v>
      </c>
      <c r="N55" s="4033">
        <f>+'Maj Techno Summ'!K18</f>
        <v>1096</v>
      </c>
      <c r="O55" s="4033">
        <f>+'Maj Techno Summ'!L18</f>
        <v>1096.4404833787221</v>
      </c>
      <c r="P55" s="4035">
        <f>+'Maj Techno Summ'!M18</f>
        <v>1096</v>
      </c>
      <c r="Q55" s="4036">
        <f>+'Maj Techno Summ'!N18</f>
        <v>1096.1548277661423</v>
      </c>
      <c r="R55" s="4033">
        <f>+'Maj Techno Summ'!O18</f>
        <v>1096</v>
      </c>
      <c r="S55" s="4033">
        <f>+'Maj Techno Summ'!P18</f>
        <v>1096.2330778752828</v>
      </c>
      <c r="T55" s="4034">
        <f>+'Maj Techno Summ'!Q18</f>
        <v>1096</v>
      </c>
      <c r="U55" s="3528">
        <f>+'Maj Techno Summ'!R18</f>
        <v>1096.1755691608698</v>
      </c>
      <c r="V55" s="4033">
        <f>+'Maj Techno Summ'!S18</f>
        <v>1096</v>
      </c>
      <c r="W55" s="4033">
        <f>+'Maj Techno Summ'!T18</f>
        <v>1096.3497487606369</v>
      </c>
      <c r="X55" s="4034">
        <f>+'Maj Techno Summ'!U18</f>
        <v>1096</v>
      </c>
      <c r="Y55" s="3528">
        <f>+'Maj Techno Summ'!V18</f>
        <v>1096.2102157959016</v>
      </c>
      <c r="Z55" s="4033">
        <f>+'Maj Techno Summ'!W18</f>
        <v>1096</v>
      </c>
      <c r="AA55" s="4033">
        <f>+'Maj Techno Summ'!X18</f>
        <v>1097.8558235286339</v>
      </c>
      <c r="AB55" s="4035">
        <f>+'Maj Techno Summ'!Y18</f>
        <v>1096</v>
      </c>
      <c r="AC55" s="4035">
        <f>+'Maj Techno Summ'!Z18</f>
        <v>1096.7842844829147</v>
      </c>
      <c r="AD55" s="4037">
        <f>+'Maj Techno Summ'!AA18</f>
        <v>1096</v>
      </c>
      <c r="AE55" s="4038">
        <f>+'Maj Techno Summ'!AB18</f>
        <v>1096.4728361501793</v>
      </c>
      <c r="AF55" s="4033">
        <f>+'Maj Techno Summ'!AC18</f>
        <v>1096</v>
      </c>
      <c r="AG55" s="4033">
        <f>+'Maj Techno Summ'!AD18</f>
        <v>1095.437079034157</v>
      </c>
      <c r="AH55" s="4034">
        <f>+'Maj Techno Summ'!AE18</f>
        <v>1096</v>
      </c>
      <c r="AI55" s="3528">
        <f>+'Maj Techno Summ'!AF18</f>
        <v>1096.356877741466</v>
      </c>
      <c r="AJ55" s="4033">
        <f>+'Maj Techno Summ'!AG18</f>
        <v>1096</v>
      </c>
      <c r="AK55" s="4033">
        <f>+'Maj Techno Summ'!AH18</f>
        <v>1096.3622539237133</v>
      </c>
      <c r="AL55" s="4034">
        <f>+'Maj Techno Summ'!AI18</f>
        <v>1096</v>
      </c>
      <c r="AM55" s="3528">
        <f>+'Maj Techno Summ'!AJ18</f>
        <v>1096.3575519178473</v>
      </c>
      <c r="AN55" s="4033">
        <f>+'Maj Techno Summ'!AK18</f>
        <v>1096</v>
      </c>
      <c r="AO55" s="4033">
        <f>+'Maj Techno Summ'!AL18</f>
        <v>1096.1237386128475</v>
      </c>
      <c r="AP55" s="4035">
        <f>+'Maj Techno Summ'!AM18</f>
        <v>1096</v>
      </c>
      <c r="AQ55" s="4035">
        <f>+'Maj Techno Summ'!AN18</f>
        <v>1096.0175129224283</v>
      </c>
      <c r="AR55" s="4034">
        <f>+'Maj Techno Summ'!AO18</f>
        <v>1096</v>
      </c>
      <c r="AS55" s="3528">
        <f>+'Maj Techno Summ'!AP18</f>
        <v>1096.3310093019381</v>
      </c>
      <c r="AT55" s="4033">
        <f>+'Maj Techno Summ'!AQ18</f>
        <v>1096</v>
      </c>
      <c r="AU55" s="4033">
        <f>+'Maj Techno Summ'!AR18</f>
        <v>1095.4003779922559</v>
      </c>
      <c r="AV55" s="4034">
        <f>+'Maj Techno Summ'!AS18</f>
        <v>1096</v>
      </c>
      <c r="AW55" s="3528">
        <f>+'Maj Techno Summ'!AT18</f>
        <v>1096.2384370680327</v>
      </c>
      <c r="AX55" s="4033">
        <f>+'Maj Techno Summ'!AU18</f>
        <v>1096</v>
      </c>
      <c r="AY55" s="4075">
        <f>+'Maj Techno Summ'!AV18</f>
        <v>1095.7218564880877</v>
      </c>
      <c r="AZ55" s="4034">
        <f>+'Maj Techno Summ'!AW18</f>
        <v>1096</v>
      </c>
      <c r="BA55" s="3528">
        <f>+'Maj Techno Summ'!AX18</f>
        <v>1096.1998608318847</v>
      </c>
      <c r="BB55" s="4033">
        <f>+'Maj Techno Summ'!AY18</f>
        <v>1096</v>
      </c>
      <c r="BC55" s="4075">
        <f>+'Maj Techno Summ'!AZ18</f>
        <v>1093.4332822085889</v>
      </c>
      <c r="BD55" s="4039">
        <f>+'Maj Techno Summ'!BA18</f>
        <v>1096</v>
      </c>
      <c r="BE55" s="4039">
        <f>+'Maj Techno Summ'!BB18</f>
        <v>1094.7660181903491</v>
      </c>
      <c r="BF55" s="4037">
        <f>+'Maj Techno Summ'!BC18</f>
        <v>1096</v>
      </c>
      <c r="BG55" s="4038">
        <f>+'Maj Techno Summ'!BD18</f>
        <v>1095.3863466965117</v>
      </c>
      <c r="BH55" s="4034">
        <f>+'Maj Techno Summ'!BE18</f>
        <v>1096</v>
      </c>
      <c r="BI55" s="3528">
        <f>+'Maj Techno Summ'!BF18</f>
        <v>1095.954383134736</v>
      </c>
    </row>
    <row r="56" spans="3:62" x14ac:dyDescent="0.25">
      <c r="C56" s="7816"/>
      <c r="D56" s="4059" t="str">
        <f>+'Maj Techno Summ'!B19</f>
        <v>Ferro Alloys (FeMn+LCFeMn+SiMn+FeSi)</v>
      </c>
      <c r="E56" s="3785" t="s">
        <v>269</v>
      </c>
      <c r="F56" s="4107">
        <v>22.930617482833931</v>
      </c>
      <c r="G56" s="4108">
        <f>+'Maj Techno Summ'!D19</f>
        <v>18.044117849203303</v>
      </c>
      <c r="H56" s="3986">
        <f>+'Maj Techno Summ'!E19</f>
        <v>18.044117849203303</v>
      </c>
      <c r="I56" s="3986">
        <f>+'Maj Techno Summ'!F19</f>
        <v>17.484522412263804</v>
      </c>
      <c r="J56" s="3986">
        <f>+'Maj Techno Summ'!G19</f>
        <v>18.044117849203303</v>
      </c>
      <c r="K56" s="3986">
        <f>+'Maj Techno Summ'!H19</f>
        <v>19.422070842383725</v>
      </c>
      <c r="L56" s="3514">
        <f>+'Maj Techno Summ'!I19</f>
        <v>18.044117849203303</v>
      </c>
      <c r="M56" s="3514">
        <f>+'Maj Techno Summ'!J19</f>
        <v>18.481551067272065</v>
      </c>
      <c r="N56" s="3986">
        <f>+'Maj Techno Summ'!K19</f>
        <v>18.044117849203303</v>
      </c>
      <c r="O56" s="3986">
        <f>+'Maj Techno Summ'!L19</f>
        <v>19.733624149219764</v>
      </c>
      <c r="P56" s="3987">
        <f>+'Maj Techno Summ'!M19</f>
        <v>18.044117849203303</v>
      </c>
      <c r="Q56" s="3988">
        <f>+'Maj Techno Summ'!N19</f>
        <v>18.91495584494616</v>
      </c>
      <c r="R56" s="3986">
        <f>+'Maj Techno Summ'!O19</f>
        <v>18.044117849203303</v>
      </c>
      <c r="S56" s="3986">
        <f>+'Maj Techno Summ'!P19</f>
        <v>20.120845849989355</v>
      </c>
      <c r="T56" s="3979">
        <f>+'Maj Techno Summ'!Q19</f>
        <v>18.044117849203303</v>
      </c>
      <c r="U56" s="3514">
        <f>+'Maj Techno Summ'!R19</f>
        <v>19.234595534489262</v>
      </c>
      <c r="V56" s="3986">
        <f>+'Maj Techno Summ'!S19</f>
        <v>18.044117849203303</v>
      </c>
      <c r="W56" s="3986">
        <f>+'Maj Techno Summ'!T19</f>
        <v>19.080809016000202</v>
      </c>
      <c r="X56" s="4034">
        <f>+'Maj Techno Summ'!U19</f>
        <v>18.044117849203303</v>
      </c>
      <c r="Y56" s="3528">
        <f>+'Maj Techno Summ'!V19</f>
        <v>19.204005354088942</v>
      </c>
      <c r="Z56" s="3986">
        <f>+'Maj Techno Summ'!W19</f>
        <v>18.044117849203303</v>
      </c>
      <c r="AA56" s="3986">
        <f>+'Maj Techno Summ'!X19</f>
        <v>17.254404951354879</v>
      </c>
      <c r="AB56" s="4035">
        <f>+'Maj Techno Summ'!Y19</f>
        <v>18.044117849203303</v>
      </c>
      <c r="AC56" s="4035">
        <f>+'Maj Techno Summ'!Z19</f>
        <v>18.871242154982866</v>
      </c>
      <c r="AD56" s="4037">
        <f>+'Maj Techno Summ'!AA19</f>
        <v>18.044117849203303</v>
      </c>
      <c r="AE56" s="4038">
        <f>+'Maj Techno Summ'!AB19</f>
        <v>18.892871213016587</v>
      </c>
      <c r="AF56" s="3986">
        <f>+'Maj Techno Summ'!AC19</f>
        <v>18.044117849203303</v>
      </c>
      <c r="AG56" s="3986">
        <f>+'Maj Techno Summ'!AD19</f>
        <v>17.868203860469528</v>
      </c>
      <c r="AH56" s="4034">
        <f>+'Maj Techno Summ'!AE19</f>
        <v>18.044117849203303</v>
      </c>
      <c r="AI56" s="3528">
        <f>+'Maj Techno Summ'!AF19</f>
        <v>18.778154361137261</v>
      </c>
      <c r="AJ56" s="3986">
        <f>+'Maj Techno Summ'!AG19</f>
        <v>18.044117849203303</v>
      </c>
      <c r="AK56" s="3986">
        <f>+'Maj Techno Summ'!AH19</f>
        <v>16.204651811313191</v>
      </c>
      <c r="AL56" s="4034">
        <f>+'Maj Techno Summ'!AI19</f>
        <v>18.044117849203303</v>
      </c>
      <c r="AM56" s="3528">
        <f>+'Maj Techno Summ'!AJ19</f>
        <v>18.455435644381254</v>
      </c>
      <c r="AN56" s="3986">
        <f>+'Maj Techno Summ'!AK19</f>
        <v>18.044117849203303</v>
      </c>
      <c r="AO56" s="3986">
        <f>+'Maj Techno Summ'!AL19</f>
        <v>17.49634117722356</v>
      </c>
      <c r="AP56" s="4035">
        <f>+'Maj Techno Summ'!AM19</f>
        <v>18.044117849203303</v>
      </c>
      <c r="AQ56" s="4035">
        <f>+'Maj Techno Summ'!AN19</f>
        <v>17.138980636573425</v>
      </c>
      <c r="AR56" s="4034">
        <f>+'Maj Techno Summ'!AO19</f>
        <v>18.044117849203303</v>
      </c>
      <c r="AS56" s="3528">
        <f>+'Maj Techno Summ'!AP19</f>
        <v>18.346558709159918</v>
      </c>
      <c r="AT56" s="3986">
        <f>+'Maj Techno Summ'!AQ19</f>
        <v>18.044117849203303</v>
      </c>
      <c r="AU56" s="3986">
        <f>+'Maj Techno Summ'!AR19</f>
        <v>17.201717189877527</v>
      </c>
      <c r="AV56" s="4034">
        <f>+'Maj Techno Summ'!AS19</f>
        <v>18.044117849203303</v>
      </c>
      <c r="AW56" s="3528">
        <f>+'Maj Techno Summ'!AT19</f>
        <v>18.232678447658799</v>
      </c>
      <c r="AX56" s="3986">
        <f>+'Maj Techno Summ'!AU19</f>
        <v>18.044117849203303</v>
      </c>
      <c r="AY56" s="3986">
        <f>+'Maj Techno Summ'!AV19</f>
        <v>16.786191464521988</v>
      </c>
      <c r="AZ56" s="4034">
        <f>+'Maj Techno Summ'!AW19</f>
        <v>18.044117849203303</v>
      </c>
      <c r="BA56" s="3528">
        <f>+'Maj Techno Summ'!AX19</f>
        <v>18.124660404370555</v>
      </c>
      <c r="BB56" s="3986">
        <f>+'Maj Techno Summ'!AY19</f>
        <v>18.044117849203303</v>
      </c>
      <c r="BC56" s="3986">
        <f>+'Maj Techno Summ'!AZ19</f>
        <v>17.903332780633395</v>
      </c>
      <c r="BD56" s="4039">
        <f>+'Maj Techno Summ'!BA19</f>
        <v>18.044117849203303</v>
      </c>
      <c r="BE56" s="4039">
        <f>+'Maj Techno Summ'!BB19</f>
        <v>17.342903822846601</v>
      </c>
      <c r="BF56" s="4037">
        <f>+'Maj Techno Summ'!BC19</f>
        <v>18.044117849203303</v>
      </c>
      <c r="BG56" s="4038">
        <f>+'Maj Techno Summ'!BD19</f>
        <v>17.241825198805891</v>
      </c>
      <c r="BH56" s="4034">
        <f>+'Maj Techno Summ'!BE19</f>
        <v>18.044117849203303</v>
      </c>
      <c r="BI56" s="3528">
        <f>+'Maj Techno Summ'!BF19</f>
        <v>18.10502207024447</v>
      </c>
    </row>
    <row r="57" spans="3:62" x14ac:dyDescent="0.25">
      <c r="C57" s="7816"/>
      <c r="D57" s="4059" t="s">
        <v>1016</v>
      </c>
      <c r="E57" s="3785" t="s">
        <v>1017</v>
      </c>
      <c r="F57" s="4060">
        <v>150.30561739885829</v>
      </c>
      <c r="G57" s="4061">
        <f>+SMS!D52</f>
        <v>156.00000000000003</v>
      </c>
      <c r="H57" s="4033">
        <f>+SMS!E52</f>
        <v>156.00000000000003</v>
      </c>
      <c r="I57" s="4033">
        <f>+SMS!F52</f>
        <v>157.42330042313117</v>
      </c>
      <c r="J57" s="4033">
        <f>+SMS!G52</f>
        <v>156.00000000000003</v>
      </c>
      <c r="K57" s="4033">
        <f>+SMS!H52</f>
        <v>156.09373350923482</v>
      </c>
      <c r="L57" s="3528">
        <f>+SMS!I52</f>
        <v>150</v>
      </c>
      <c r="M57" s="3528">
        <f>+SMS!J52</f>
        <v>156.73631220177231</v>
      </c>
      <c r="N57" s="4033">
        <f>+SMS!K52</f>
        <v>156.00000000000003</v>
      </c>
      <c r="O57" s="4033">
        <f>+SMS!L52</f>
        <v>156.46098971722364</v>
      </c>
      <c r="P57" s="4035">
        <f>+SMS!M52</f>
        <v>156.00000000000003</v>
      </c>
      <c r="Q57" s="4036">
        <f>+SMS!N52</f>
        <v>156.64089977728284</v>
      </c>
      <c r="R57" s="4033">
        <f>+SMS!O52</f>
        <v>156.00000000000003</v>
      </c>
      <c r="S57" s="4033">
        <f>+SMS!P52</f>
        <v>157.55390683229814</v>
      </c>
      <c r="T57" s="4034">
        <f>+SMS!Q52</f>
        <v>149.99999999999997</v>
      </c>
      <c r="U57" s="3528">
        <f>+SMS!R52</f>
        <v>156.88187377049181</v>
      </c>
      <c r="V57" s="4033">
        <f>+SMS!S52</f>
        <v>156.00000000000003</v>
      </c>
      <c r="W57" s="4033">
        <f>+SMS!T52</f>
        <v>156.84606600660064</v>
      </c>
      <c r="X57" s="4034">
        <f>+SMS!U52</f>
        <v>149.99999999999997</v>
      </c>
      <c r="Y57" s="3528">
        <f>+SMS!V52</f>
        <v>156.87474983585028</v>
      </c>
      <c r="Z57" s="4033">
        <f>+SMS!W52</f>
        <v>156.00000000000003</v>
      </c>
      <c r="AA57" s="4033">
        <f>+SMS!X52</f>
        <v>156.66201657458564</v>
      </c>
      <c r="AB57" s="4035">
        <f>+SMS!Y52</f>
        <v>150</v>
      </c>
      <c r="AC57" s="4035">
        <f>+SMS!Z52</f>
        <v>157.03699540782856</v>
      </c>
      <c r="AD57" s="4037">
        <f>+SMS!AA52</f>
        <v>150</v>
      </c>
      <c r="AE57" s="4038">
        <f>+SMS!AB52</f>
        <v>156.84076133730554</v>
      </c>
      <c r="AF57" s="4033">
        <f>+SMS!AC52</f>
        <v>156.00000000000003</v>
      </c>
      <c r="AG57" s="4033">
        <f>+SMS!AD52</f>
        <v>156.50769432314411</v>
      </c>
      <c r="AH57" s="4034">
        <f>+SMS!AE52</f>
        <v>150</v>
      </c>
      <c r="AI57" s="3528">
        <f>+SMS!AF52</f>
        <v>156.80340223354233</v>
      </c>
      <c r="AJ57" s="4033">
        <f>+SMS!AG52</f>
        <v>156.00000000000003</v>
      </c>
      <c r="AK57" s="4033">
        <f>+SMS!AH52</f>
        <v>157.51657515442687</v>
      </c>
      <c r="AL57" s="4034">
        <f>+SMS!AI52</f>
        <v>150</v>
      </c>
      <c r="AM57" s="3528">
        <f>+SMS!AJ52</f>
        <v>156.89248006858122</v>
      </c>
      <c r="AN57" s="4033">
        <f>+SMS!AK52</f>
        <v>156.00000000000003</v>
      </c>
      <c r="AO57" s="4033">
        <f>+SMS!AL52</f>
        <v>155.82804521276597</v>
      </c>
      <c r="AP57" s="4035">
        <f>+SMS!AM52</f>
        <v>150</v>
      </c>
      <c r="AQ57" s="4035">
        <f>+SMS!AN52</f>
        <v>156.61674135411593</v>
      </c>
      <c r="AR57" s="4034">
        <f>+SMS!AO52</f>
        <v>150.00000000000003</v>
      </c>
      <c r="AS57" s="3528">
        <f>+SMS!AP52</f>
        <v>156.7709135089984</v>
      </c>
      <c r="AT57" s="4033">
        <f>+SMS!AQ52</f>
        <v>156.00000000000003</v>
      </c>
      <c r="AU57" s="3986">
        <f>+SMS!AR52</f>
        <v>156.08992470910337</v>
      </c>
      <c r="AV57" s="4034">
        <f>+SMS!AS52</f>
        <v>150</v>
      </c>
      <c r="AW57" s="3528">
        <f>+SMS!AT52</f>
        <v>156.70290772385511</v>
      </c>
      <c r="AX57" s="4033">
        <f>+SMS!AU52</f>
        <v>156.00000000000003</v>
      </c>
      <c r="AY57" s="3986">
        <f>+SMS!AV52</f>
        <v>156.13178902953587</v>
      </c>
      <c r="AZ57" s="4034">
        <f>+SMS!AW52</f>
        <v>150.00000000000003</v>
      </c>
      <c r="BA57" s="3528">
        <f>+SMS!AX52</f>
        <v>156.66011444830858</v>
      </c>
      <c r="BB57" s="4033">
        <f>+SMS!AY52</f>
        <v>156.00000000000003</v>
      </c>
      <c r="BC57" s="3986">
        <f>+SMS!AZ52</f>
        <v>158.08646788990828</v>
      </c>
      <c r="BD57" s="4039">
        <f>+SMS!BA52</f>
        <v>150</v>
      </c>
      <c r="BE57" s="4039">
        <f>+SMS!BB52</f>
        <v>156.83209491850434</v>
      </c>
      <c r="BF57" s="4037">
        <f>+SMS!BC52</f>
        <v>150</v>
      </c>
      <c r="BG57" s="4038">
        <f>+SMS!BD52</f>
        <v>156.72527663686881</v>
      </c>
      <c r="BH57" s="4034">
        <f>+SMS!BE52</f>
        <v>150</v>
      </c>
      <c r="BI57" s="3528">
        <f>+SMS!BF52</f>
        <v>156.78563289314343</v>
      </c>
    </row>
    <row r="58" spans="3:62" x14ac:dyDescent="0.25">
      <c r="C58" s="7816"/>
      <c r="D58" s="4059" t="s">
        <v>1382</v>
      </c>
      <c r="E58" s="3785" t="s">
        <v>269</v>
      </c>
      <c r="F58" s="4109">
        <v>10.871440685841032</v>
      </c>
      <c r="G58" s="4074">
        <f>+SMS!D104</f>
        <v>7</v>
      </c>
      <c r="H58" s="4075">
        <f>+SMS!E104</f>
        <v>7</v>
      </c>
      <c r="I58" s="4075">
        <f>+SMS!F104</f>
        <v>6.8</v>
      </c>
      <c r="J58" s="4075">
        <f>+SMS!G104</f>
        <v>9</v>
      </c>
      <c r="K58" s="4075">
        <f>+SMS!H104</f>
        <v>7.5</v>
      </c>
      <c r="L58" s="3515">
        <f>+SMS!I104</f>
        <v>8.1162836548847306</v>
      </c>
      <c r="M58" s="3515">
        <f>+SMS!J104</f>
        <v>7.1602078005671235</v>
      </c>
      <c r="N58" s="4075">
        <f>+SMS!K104</f>
        <v>9</v>
      </c>
      <c r="O58" s="4075">
        <f>+SMS!L104</f>
        <v>6.4</v>
      </c>
      <c r="P58" s="3988">
        <f>+SMS!M104</f>
        <v>8.4264965767314077</v>
      </c>
      <c r="Q58" s="3987">
        <f>+SMS!N104</f>
        <v>6.8970620644744827</v>
      </c>
      <c r="R58" s="3986">
        <f>+SMS!O104</f>
        <v>9</v>
      </c>
      <c r="S58" s="3986">
        <f>+SMS!P104</f>
        <v>6.46</v>
      </c>
      <c r="T58" s="3528">
        <f>+SMS!Q104</f>
        <v>8.5768208749897639</v>
      </c>
      <c r="U58" s="3514">
        <f>+SMS!R104</f>
        <v>6.7812120433154748</v>
      </c>
      <c r="V58" s="3986">
        <f>+SMS!S104</f>
        <v>9</v>
      </c>
      <c r="W58" s="3986">
        <f>+SMS!T104</f>
        <v>7.3</v>
      </c>
      <c r="X58" s="3528">
        <f>+SMS!U104</f>
        <v>8.6647065736343958</v>
      </c>
      <c r="Y58" s="3514">
        <f>+SMS!V104</f>
        <v>6.8844058560138484</v>
      </c>
      <c r="Z58" s="3986">
        <f>+SMS!W104</f>
        <v>9</v>
      </c>
      <c r="AA58" s="3986">
        <f>+SMS!X104</f>
        <v>6.6</v>
      </c>
      <c r="AB58" s="3987">
        <f>+SMS!Y104</f>
        <v>9</v>
      </c>
      <c r="AC58" s="3987">
        <f>+SMS!Z104</f>
        <v>6.7821711080568869</v>
      </c>
      <c r="AD58" s="3990">
        <f>+SMS!AA104</f>
        <v>8.6976584509534671</v>
      </c>
      <c r="AE58" s="3991">
        <f>+SMS!AB104</f>
        <v>6.839017902870876</v>
      </c>
      <c r="AF58" s="3986">
        <f>+SMS!AC104</f>
        <v>9</v>
      </c>
      <c r="AG58" s="3986">
        <f>+SMS!AD104</f>
        <v>6.4</v>
      </c>
      <c r="AH58" s="3995">
        <f>+SMS!AE104</f>
        <v>8.7461350609121897</v>
      </c>
      <c r="AI58" s="3515">
        <f>+SMS!AF104</f>
        <v>6.789867559970987</v>
      </c>
      <c r="AJ58" s="3986">
        <f>+SMS!AG104</f>
        <v>9</v>
      </c>
      <c r="AK58" s="3986">
        <f>+SMS!AH104</f>
        <v>6.85</v>
      </c>
      <c r="AL58" s="3995">
        <f>+SMS!AI104</f>
        <v>8.7802770710428035</v>
      </c>
      <c r="AM58" s="3515">
        <f>+SMS!AJ104</f>
        <v>6.7974082029297032</v>
      </c>
      <c r="AN58" s="3986">
        <f>+SMS!AK104</f>
        <v>9</v>
      </c>
      <c r="AO58" s="3986">
        <f>+SMS!AL104</f>
        <v>6.3</v>
      </c>
      <c r="AP58" s="3987">
        <f>+SMS!AM104</f>
        <v>8.9999999999999982</v>
      </c>
      <c r="AQ58" s="3987">
        <f>+SMS!AN104</f>
        <v>6.5241538997431059</v>
      </c>
      <c r="AR58" s="3995">
        <f>+SMS!AO104</f>
        <v>8.8070530295199525</v>
      </c>
      <c r="AS58" s="3515">
        <f>+SMS!AP104</f>
        <v>6.7409421481838843</v>
      </c>
      <c r="AT58" s="3986">
        <f>+SMS!AQ104</f>
        <v>7</v>
      </c>
      <c r="AU58" s="4075">
        <f>+SMS!AR104</f>
        <v>6.53</v>
      </c>
      <c r="AV58" s="3995">
        <f>+SMS!AS104</f>
        <v>8.6080651103356196</v>
      </c>
      <c r="AW58" s="3515">
        <f>+SMS!AT104</f>
        <v>6.7199592028659625</v>
      </c>
      <c r="AX58" s="3986">
        <f>+SMS!AU104</f>
        <v>7</v>
      </c>
      <c r="AY58" s="4075">
        <f>+SMS!AV104</f>
        <v>6.75</v>
      </c>
      <c r="AZ58" s="3995">
        <f>+SMS!AW104</f>
        <v>8.4640091037221108</v>
      </c>
      <c r="BA58" s="3515">
        <f>+SMS!AX104</f>
        <v>6.7222025331987396</v>
      </c>
      <c r="BB58" s="3986">
        <f>+SMS!AY104</f>
        <v>7</v>
      </c>
      <c r="BC58" s="4075">
        <f>+SMS!AZ104</f>
        <v>5.3</v>
      </c>
      <c r="BD58" s="3998">
        <f>+SMS!BA104</f>
        <v>6.9999999999999991</v>
      </c>
      <c r="BE58" s="3998">
        <f>+SMS!BB104</f>
        <v>6.138710826635366</v>
      </c>
      <c r="BF58" s="3999">
        <f>+SMS!BC104</f>
        <v>8.0052267084803326</v>
      </c>
      <c r="BG58" s="4000">
        <f>+SMS!BD104</f>
        <v>6.3297634292735072</v>
      </c>
      <c r="BH58" s="3995">
        <f>+SMS!BE104</f>
        <v>8.3306117217980677</v>
      </c>
      <c r="BI58" s="3515">
        <f>+SMS!BF104</f>
        <v>6.5960109260675308</v>
      </c>
    </row>
    <row r="59" spans="3:62" x14ac:dyDescent="0.25">
      <c r="C59" s="7816"/>
      <c r="D59" s="4059" t="s">
        <v>1383</v>
      </c>
      <c r="E59" s="3785" t="s">
        <v>269</v>
      </c>
      <c r="F59" s="4109">
        <v>0.35658561453086035</v>
      </c>
      <c r="G59" s="4074">
        <v>0.32</v>
      </c>
      <c r="H59" s="4075">
        <v>0.32</v>
      </c>
      <c r="I59" s="4075">
        <f>+SMS!F117*1000/SMS!F5</f>
        <v>0.35448827645525161</v>
      </c>
      <c r="J59" s="4075">
        <v>0.32</v>
      </c>
      <c r="K59" s="4075">
        <f>+SMS!H117*1000/SMS!H5</f>
        <v>0.35483734649549098</v>
      </c>
      <c r="L59" s="3515">
        <v>0.32</v>
      </c>
      <c r="M59" s="3515">
        <f>+SMS!J117*1000/SMS!J5</f>
        <v>0.35466790181444952</v>
      </c>
      <c r="N59" s="4075">
        <v>0.32</v>
      </c>
      <c r="O59" s="4075">
        <f>+SMS!L117*1000/SMS!L5</f>
        <v>0.31315695431972496</v>
      </c>
      <c r="P59" s="3996">
        <f>+$G$59</f>
        <v>0.32</v>
      </c>
      <c r="Q59" s="4040">
        <f>+SMS!N117*1000/SMS!N5</f>
        <v>0.34029889793649237</v>
      </c>
      <c r="R59" s="4075">
        <v>0.32</v>
      </c>
      <c r="S59" s="4075">
        <f>+SMS!P117*1000/SMS!P5</f>
        <v>0.30284788419235043</v>
      </c>
      <c r="T59" s="3515">
        <v>0.32</v>
      </c>
      <c r="U59" s="3515">
        <f>+SMS!R117*1000/SMS!R5</f>
        <v>0.33037193083651784</v>
      </c>
      <c r="V59" s="4075">
        <v>0.32</v>
      </c>
      <c r="W59" s="4075">
        <f>+SMS!T117*1000/SMS!T5</f>
        <v>0.32853439496342929</v>
      </c>
      <c r="X59" s="3515">
        <v>0.32</v>
      </c>
      <c r="Y59" s="3515">
        <f>+SMS!V117*1000/SMS!V5</f>
        <v>0.33000642055380836</v>
      </c>
      <c r="Z59" s="4075">
        <v>0.32</v>
      </c>
      <c r="AA59" s="4075">
        <f>+SMS!X117*1000/SMS!X5</f>
        <v>0.32431109955168019</v>
      </c>
      <c r="AB59" s="3996">
        <v>0.32</v>
      </c>
      <c r="AC59" s="3996">
        <f>+SMS!Z117*1000/SMS!Z5</f>
        <v>0.31812719406347867</v>
      </c>
      <c r="AD59" s="3999">
        <v>0.32</v>
      </c>
      <c r="AE59" s="4000">
        <f>+SMS!AB117*1000/SMS!AB5</f>
        <v>0.32909751183300406</v>
      </c>
      <c r="AF59" s="4075">
        <v>0.32</v>
      </c>
      <c r="AG59" s="4075">
        <f>+SMS!AD117*1000/SMS!AD5</f>
        <v>0.33404389484433683</v>
      </c>
      <c r="AH59" s="3995">
        <f>+$G$59</f>
        <v>0.32</v>
      </c>
      <c r="AI59" s="3995">
        <f>+SMS!AF117*1000/SMS!AF5</f>
        <v>0.3296512851974418</v>
      </c>
      <c r="AJ59" s="4075">
        <v>0.32</v>
      </c>
      <c r="AK59" s="4075">
        <f>+SMS!AH117*1000/SMS!AH5</f>
        <v>0.329604970762782</v>
      </c>
      <c r="AL59" s="3995">
        <f>+$G$59</f>
        <v>0.32</v>
      </c>
      <c r="AM59" s="3995">
        <f>+SMS!AJ117*1000/SMS!AJ5</f>
        <v>0.32964547734039423</v>
      </c>
      <c r="AN59" s="4075">
        <v>0.32</v>
      </c>
      <c r="AO59" s="4075">
        <f>+SMS!AL117*1000/SMS!AL5</f>
        <v>0.34963411772235614</v>
      </c>
      <c r="AP59" s="3996">
        <v>0.32</v>
      </c>
      <c r="AQ59" s="3996">
        <f>+SMS!AN117*1000/SMS!AN5</f>
        <v>0.33814153402128544</v>
      </c>
      <c r="AR59" s="3995">
        <v>0.32</v>
      </c>
      <c r="AS59" s="3995">
        <f>+SMS!AP117*1000/SMS!AP5</f>
        <v>0.33191459886966235</v>
      </c>
      <c r="AT59" s="4075">
        <v>0.32</v>
      </c>
      <c r="AU59" s="4075">
        <f>+SMS!AR117*1000/SMS!AR5</f>
        <v>0.3297741255092152</v>
      </c>
      <c r="AV59" s="3995">
        <f>+$G$59</f>
        <v>0.32</v>
      </c>
      <c r="AW59" s="3995">
        <f>+SMS!AT117*1000/SMS!AT5</f>
        <v>0.33170168060812283</v>
      </c>
      <c r="AX59" s="4075">
        <v>0.32</v>
      </c>
      <c r="AY59" s="4075">
        <f>+SMS!AV117*1000/SMS!AV5</f>
        <v>0.27797055389804126</v>
      </c>
      <c r="AZ59" s="3995">
        <f>+$G$59</f>
        <v>0.32</v>
      </c>
      <c r="BA59" s="3995">
        <f>+SMS!AX117*1000/SMS!AX5</f>
        <v>0.3276892482540415</v>
      </c>
      <c r="BB59" s="4075">
        <v>0.32</v>
      </c>
      <c r="BC59" s="4075">
        <f>+SMS!AZ117*1000/SMS!AZ5</f>
        <v>0.36157768197645496</v>
      </c>
      <c r="BD59" s="3998">
        <f>+$G$59</f>
        <v>0.32</v>
      </c>
      <c r="BE59" s="3998">
        <f>+SMS!BB117*1000/SMS!BB5</f>
        <v>0.32685162684566632</v>
      </c>
      <c r="BF59" s="3999">
        <f>+$G$59</f>
        <v>0.32</v>
      </c>
      <c r="BG59" s="4000">
        <f>+SMS!BD117*1000/SMS!BD5</f>
        <v>0.33244769614859587</v>
      </c>
      <c r="BH59" s="3995">
        <f>+$G$59</f>
        <v>0.32</v>
      </c>
      <c r="BI59" s="3515">
        <f>+SMS!BF117*1000/SMS!BF5</f>
        <v>0.33069615888369175</v>
      </c>
    </row>
    <row r="60" spans="3:62" x14ac:dyDescent="0.25">
      <c r="C60" s="7816"/>
      <c r="D60" s="4059" t="s">
        <v>1957</v>
      </c>
      <c r="E60" s="3785" t="s">
        <v>269</v>
      </c>
      <c r="F60" s="4060">
        <v>64.983071452256169</v>
      </c>
      <c r="G60" s="4108">
        <f>+SMS!D87</f>
        <v>67</v>
      </c>
      <c r="H60" s="3986">
        <f>+SMS!E87</f>
        <v>67</v>
      </c>
      <c r="I60" s="3986">
        <f>+SMS!F87</f>
        <v>68.289355229922805</v>
      </c>
      <c r="J60" s="3986">
        <f>+SMS!G87</f>
        <v>67</v>
      </c>
      <c r="K60" s="3986">
        <f>+SMS!H87</f>
        <v>66.359014038736788</v>
      </c>
      <c r="L60" s="3528">
        <f>+SMS!I87</f>
        <v>66.999999999999957</v>
      </c>
      <c r="M60" s="3528">
        <f>+SMS!J87</f>
        <v>67.296035609110291</v>
      </c>
      <c r="N60" s="3986">
        <f>+SMS!K87</f>
        <v>67</v>
      </c>
      <c r="O60" s="3986">
        <f>+SMS!L87</f>
        <v>65.464649688461819</v>
      </c>
      <c r="P60" s="3987">
        <f>+SMS!M87</f>
        <v>66.999999999999972</v>
      </c>
      <c r="Q60" s="3988">
        <f>+SMS!N87</f>
        <v>66.662101635898111</v>
      </c>
      <c r="R60" s="3986">
        <f>+SMS!O87</f>
        <v>67</v>
      </c>
      <c r="S60" s="3986">
        <f>+SMS!P87</f>
        <v>67.290631356027248</v>
      </c>
      <c r="T60" s="3979">
        <f>+SMS!Q87</f>
        <v>66.999999999999957</v>
      </c>
      <c r="U60" s="3514">
        <f>+SMS!R87</f>
        <v>66.828702890719384</v>
      </c>
      <c r="V60" s="3986">
        <f>+SMS!S87</f>
        <v>67</v>
      </c>
      <c r="W60" s="3986">
        <f>+SMS!T87</f>
        <v>66.414641519197389</v>
      </c>
      <c r="X60" s="3979">
        <f>+SMS!U87</f>
        <v>66.999999999999943</v>
      </c>
      <c r="Y60" s="3514">
        <f>+SMS!V87</f>
        <v>66.746340674254469</v>
      </c>
      <c r="Z60" s="3986">
        <f>+SMS!W87</f>
        <v>67</v>
      </c>
      <c r="AA60" s="3986">
        <f>+SMS!X87</f>
        <v>68.575733557390777</v>
      </c>
      <c r="AB60" s="3987">
        <f>+SMS!Y87</f>
        <v>66.999999999999957</v>
      </c>
      <c r="AC60" s="3987">
        <f>+SMS!Z87</f>
        <v>67.406720046217799</v>
      </c>
      <c r="AD60" s="3990">
        <f>+SMS!AA87</f>
        <v>66.999999999999986</v>
      </c>
      <c r="AE60" s="3991">
        <f>+SMS!AB87</f>
        <v>67.038290578967562</v>
      </c>
      <c r="AF60" s="3986">
        <f>+SMS!AC87</f>
        <v>67</v>
      </c>
      <c r="AG60" s="3986">
        <f>+SMS!AD87</f>
        <v>71.552707957324643</v>
      </c>
      <c r="AH60" s="3979">
        <f>+SMS!AE87</f>
        <v>66.999999916248356</v>
      </c>
      <c r="AI60" s="3514">
        <f>+SMS!AF87</f>
        <v>67.54370397215034</v>
      </c>
      <c r="AJ60" s="3986">
        <f>+SMS!AG87</f>
        <v>67</v>
      </c>
      <c r="AK60" s="3986">
        <f>+SMS!AH87</f>
        <v>62.36940780164327</v>
      </c>
      <c r="AL60" s="3979">
        <f>+SMS!AI87</f>
        <v>66.999999927512008</v>
      </c>
      <c r="AM60" s="3514">
        <f>+SMS!AJ87</f>
        <v>66.894845134016776</v>
      </c>
      <c r="AN60" s="3986">
        <f>+SMS!AK87</f>
        <v>67</v>
      </c>
      <c r="AO60" s="3986">
        <f>+SMS!AL87</f>
        <v>65.495923502012104</v>
      </c>
      <c r="AP60" s="3987">
        <f>+SMS!AM87</f>
        <v>66.999999824073754</v>
      </c>
      <c r="AQ60" s="3987">
        <f>+SMS!AN87</f>
        <v>66.067936107692702</v>
      </c>
      <c r="AR60" s="3979">
        <f>+SMS!AO87</f>
        <v>66.99999993634556</v>
      </c>
      <c r="AS60" s="3514">
        <f>+SMS!AP87</f>
        <v>66.736038530209413</v>
      </c>
      <c r="AT60" s="3986">
        <f>+SMS!AQ87</f>
        <v>67</v>
      </c>
      <c r="AU60" s="3986">
        <f>+SMS!AR87</f>
        <v>73.035191195794482</v>
      </c>
      <c r="AV60" s="3979">
        <f>+SMS!AS87</f>
        <v>66.999999943355022</v>
      </c>
      <c r="AW60" s="3514">
        <f>+SMS!AT87</f>
        <v>67.362631964390388</v>
      </c>
      <c r="AX60" s="3986">
        <f>+SMS!AU87</f>
        <v>67</v>
      </c>
      <c r="AY60" s="3986">
        <f>+SMS!AV87</f>
        <v>79.770573566623924</v>
      </c>
      <c r="AZ60" s="3979">
        <f>+SMS!AW87</f>
        <v>66.999999948429476</v>
      </c>
      <c r="BA60" s="3514">
        <f>+SMS!AX87</f>
        <v>68.289209552817979</v>
      </c>
      <c r="BB60" s="3986">
        <f>+SMS!AY87</f>
        <v>67</v>
      </c>
      <c r="BC60" s="3986">
        <f>+SMS!AZ87</f>
        <v>64.357329704304775</v>
      </c>
      <c r="BD60" s="3989">
        <f>+SMS!BA87</f>
        <v>67</v>
      </c>
      <c r="BE60" s="3989">
        <f>+SMS!BB87</f>
        <v>71.74023828391563</v>
      </c>
      <c r="BF60" s="3990">
        <f>+SMS!BC87</f>
        <v>66.99999991157712</v>
      </c>
      <c r="BG60" s="3991">
        <f>+SMS!BD87</f>
        <v>68.928648089047456</v>
      </c>
      <c r="BH60" s="3979">
        <f>+SMS!BE87</f>
        <v>66.99999995312848</v>
      </c>
      <c r="BI60" s="3514">
        <f>+SMS!BF87</f>
        <v>67.940335182069404</v>
      </c>
      <c r="BJ60" s="5885"/>
    </row>
    <row r="61" spans="3:62" ht="15.75" thickBot="1" x14ac:dyDescent="0.3">
      <c r="C61" s="7817"/>
      <c r="D61" s="3961" t="s">
        <v>523</v>
      </c>
      <c r="E61" s="3962" t="s">
        <v>269</v>
      </c>
      <c r="F61" s="4076">
        <v>18.939404807363346</v>
      </c>
      <c r="G61" s="4077">
        <f>+SMS!D82</f>
        <v>23</v>
      </c>
      <c r="H61" s="4078">
        <f>+SMS!E82</f>
        <v>23</v>
      </c>
      <c r="I61" s="4078">
        <f>+SMS!F82</f>
        <v>22.008882109916829</v>
      </c>
      <c r="J61" s="4078">
        <f>+SMS!G82</f>
        <v>24</v>
      </c>
      <c r="K61" s="4078">
        <f>+SMS!H82</f>
        <v>23.098254254069818</v>
      </c>
      <c r="L61" s="4079">
        <f>+SMS!I82</f>
        <v>23.558141827442352</v>
      </c>
      <c r="M61" s="4079">
        <f>+SMS!J82</f>
        <v>22.569453852412213</v>
      </c>
      <c r="N61" s="4078">
        <f>+SMS!K82</f>
        <v>24</v>
      </c>
      <c r="O61" s="4078">
        <f>+SMS!L82</f>
        <v>22.060477307146794</v>
      </c>
      <c r="P61" s="4081">
        <f>+SMS!M82</f>
        <v>23.713248288365698</v>
      </c>
      <c r="Q61" s="4082">
        <f>+SMS!N82</f>
        <v>22.393271694422449</v>
      </c>
      <c r="R61" s="4078">
        <f>+SMS!O82</f>
        <v>24</v>
      </c>
      <c r="S61" s="4078">
        <f>+SMS!P82</f>
        <v>21.28556689598382</v>
      </c>
      <c r="T61" s="4083">
        <f>+SMS!Q82</f>
        <v>23.788410437494871</v>
      </c>
      <c r="U61" s="4079">
        <f>+SMS!R82</f>
        <v>22.099657878748758</v>
      </c>
      <c r="V61" s="4078">
        <f>+SMS!S82</f>
        <v>24</v>
      </c>
      <c r="W61" s="4078">
        <f>+SMS!T82</f>
        <v>20.490225244073791</v>
      </c>
      <c r="X61" s="4083">
        <f>+SMS!U82</f>
        <v>23.832353286817181</v>
      </c>
      <c r="Y61" s="4079">
        <f>+SMS!V82</f>
        <v>21.779520700640166</v>
      </c>
      <c r="Z61" s="4078">
        <f>+SMS!W82</f>
        <v>24</v>
      </c>
      <c r="AA61" s="4078">
        <f>+SMS!X82</f>
        <v>21.489120842013946</v>
      </c>
      <c r="AB61" s="4081">
        <f>+SMS!Y82</f>
        <v>23.999999999999986</v>
      </c>
      <c r="AC61" s="4081">
        <f>+SMS!Z82</f>
        <v>21.086696286737315</v>
      </c>
      <c r="AD61" s="4084">
        <f>+SMS!AA82</f>
        <v>23.848829225476727</v>
      </c>
      <c r="AE61" s="4085">
        <f>+SMS!AB82</f>
        <v>21.733176248425352</v>
      </c>
      <c r="AF61" s="4078">
        <f>+SMS!AC82</f>
        <v>24</v>
      </c>
      <c r="AG61" s="4078">
        <f>+SMS!AD82</f>
        <v>20.556769367366794</v>
      </c>
      <c r="AH61" s="4083">
        <f>+SMS!AE82</f>
        <v>23.873067500614177</v>
      </c>
      <c r="AI61" s="4079">
        <f>+SMS!AF82</f>
        <v>21.601471148146</v>
      </c>
      <c r="AJ61" s="4078">
        <f>+SMS!AG82</f>
        <v>24</v>
      </c>
      <c r="AK61" s="4078">
        <f>+SMS!AH82</f>
        <v>16.687095713690947</v>
      </c>
      <c r="AL61" s="4083">
        <f>+SMS!AI82</f>
        <v>23.890138509674408</v>
      </c>
      <c r="AM61" s="4079">
        <f>+SMS!AJ82</f>
        <v>20.985206475719995</v>
      </c>
      <c r="AN61" s="4078">
        <f>+SMS!AK82</f>
        <v>24</v>
      </c>
      <c r="AO61" s="4078">
        <f>+SMS!AL82</f>
        <v>0</v>
      </c>
      <c r="AP61" s="4081">
        <f>+SMS!AM82</f>
        <v>23.999999936981641</v>
      </c>
      <c r="AQ61" s="4081">
        <f>+SMS!AN82</f>
        <v>11.683853072287775</v>
      </c>
      <c r="AR61" s="4083">
        <f>+SMS!AO82</f>
        <v>23.903526492050037</v>
      </c>
      <c r="AS61" s="4079">
        <f>+SMS!AP82</f>
        <v>18.602950533455736</v>
      </c>
      <c r="AT61" s="4078">
        <f>+SMS!AQ82</f>
        <v>24</v>
      </c>
      <c r="AU61" s="4078">
        <f>+SMS!AR82</f>
        <v>12.219798359446182</v>
      </c>
      <c r="AV61" s="4083">
        <f>+SMS!AS82</f>
        <v>23.914149900590655</v>
      </c>
      <c r="AW61" s="4079">
        <f>+SMS!AT82</f>
        <v>17.968001445229298</v>
      </c>
      <c r="AX61" s="4078">
        <f>+SMS!AU82</f>
        <v>24</v>
      </c>
      <c r="AY61" s="4078">
        <f>+SMS!AV82</f>
        <v>22.98312628566465</v>
      </c>
      <c r="AZ61" s="4083">
        <f>+SMS!AW82</f>
        <v>23.92184064793619</v>
      </c>
      <c r="BA61" s="4079">
        <f>+SMS!AX82</f>
        <v>18.342511773314449</v>
      </c>
      <c r="BB61" s="4078">
        <f>+SMS!AY82</f>
        <v>24</v>
      </c>
      <c r="BC61" s="4078">
        <f>+SMS!AZ82</f>
        <v>19.915818254812269</v>
      </c>
      <c r="BD61" s="4039">
        <f>+SMS!BA82</f>
        <v>24</v>
      </c>
      <c r="BE61" s="4039">
        <f>+SMS!BB82</f>
        <v>18.10082629849909</v>
      </c>
      <c r="BF61" s="4037">
        <f>+SMS!BC82</f>
        <v>23.999999968326136</v>
      </c>
      <c r="BG61" s="4038">
        <f>+SMS!BD82</f>
        <v>14.920124981285243</v>
      </c>
      <c r="BH61" s="4034">
        <f>+SMS!BE82</f>
        <v>23.928962361117065</v>
      </c>
      <c r="BI61" s="3528">
        <f>+SMS!BF82</f>
        <v>18.482110725946416</v>
      </c>
    </row>
    <row r="62" spans="3:62" x14ac:dyDescent="0.25">
      <c r="C62" s="7815" t="s">
        <v>1022</v>
      </c>
      <c r="D62" s="4111" t="s">
        <v>34</v>
      </c>
      <c r="E62" s="4112"/>
      <c r="F62" s="4112"/>
      <c r="G62" s="4113"/>
      <c r="H62" s="4114"/>
      <c r="I62" s="4115"/>
      <c r="J62" s="4114"/>
      <c r="K62" s="4115"/>
      <c r="L62" s="3968"/>
      <c r="M62" s="3969"/>
      <c r="N62" s="4114"/>
      <c r="O62" s="4115"/>
      <c r="P62" s="4114"/>
      <c r="Q62" s="4115"/>
      <c r="R62" s="4114"/>
      <c r="S62" s="4115"/>
      <c r="T62" s="4114"/>
      <c r="U62" s="4115"/>
      <c r="V62" s="4114"/>
      <c r="W62" s="4115"/>
      <c r="X62" s="4114"/>
      <c r="Y62" s="4115"/>
      <c r="Z62" s="4114"/>
      <c r="AA62" s="4115"/>
      <c r="AB62" s="4114"/>
      <c r="AC62" s="4115"/>
      <c r="AD62" s="4116"/>
      <c r="AE62" s="4115"/>
      <c r="AF62" s="4114"/>
      <c r="AG62" s="4115"/>
      <c r="AH62" s="4114"/>
      <c r="AI62" s="4115"/>
      <c r="AJ62" s="4114"/>
      <c r="AK62" s="4115"/>
      <c r="AL62" s="4114"/>
      <c r="AM62" s="4115"/>
      <c r="AN62" s="4114"/>
      <c r="AO62" s="4115"/>
      <c r="AP62" s="4114"/>
      <c r="AQ62" s="4115"/>
      <c r="AR62" s="4114"/>
      <c r="AS62" s="4115"/>
      <c r="AT62" s="4114"/>
      <c r="AU62" s="4115"/>
      <c r="AV62" s="4114"/>
      <c r="AW62" s="4115"/>
      <c r="AX62" s="4114"/>
      <c r="AY62" s="4115"/>
      <c r="AZ62" s="4114"/>
      <c r="BA62" s="4115"/>
      <c r="BB62" s="4114"/>
      <c r="BC62" s="4115"/>
      <c r="BD62" s="4115"/>
      <c r="BE62" s="4115"/>
      <c r="BF62" s="4115"/>
      <c r="BG62" s="4115"/>
      <c r="BH62" s="4115"/>
      <c r="BI62" s="4115"/>
    </row>
    <row r="63" spans="3:62" x14ac:dyDescent="0.25">
      <c r="C63" s="7816"/>
      <c r="D63" s="4117" t="s">
        <v>1019</v>
      </c>
      <c r="E63" s="3785" t="s">
        <v>49</v>
      </c>
      <c r="F63" s="4109">
        <v>95.450038252944893</v>
      </c>
      <c r="G63" s="4118">
        <v>96</v>
      </c>
      <c r="H63" s="3985">
        <f>++'Maj Techno Summ'!E21</f>
        <v>96</v>
      </c>
      <c r="I63" s="3986">
        <f>++'Maj Techno Summ'!F21</f>
        <v>95.641659787281753</v>
      </c>
      <c r="J63" s="3985">
        <f>++'Maj Techno Summ'!G21</f>
        <v>96</v>
      </c>
      <c r="K63" s="3986">
        <f>++'Maj Techno Summ'!H21</f>
        <v>95.612744452503435</v>
      </c>
      <c r="L63" s="3979">
        <f>++'Maj Techno Summ'!I21</f>
        <v>96</v>
      </c>
      <c r="M63" s="3514">
        <f>++'Maj Techno Summ'!J21</f>
        <v>95.627589811919975</v>
      </c>
      <c r="N63" s="3985">
        <f>++'Maj Techno Summ'!K21</f>
        <v>96</v>
      </c>
      <c r="O63" s="3986">
        <f>++'Maj Techno Summ'!L21</f>
        <v>95.257540790258943</v>
      </c>
      <c r="P63" s="3987">
        <f>++'Maj Techno Summ'!M21</f>
        <v>96</v>
      </c>
      <c r="Q63" s="3988">
        <f>++'Maj Techno Summ'!N21</f>
        <v>95.508379808754398</v>
      </c>
      <c r="R63" s="3985">
        <f>++'Maj Techno Summ'!O21</f>
        <v>96</v>
      </c>
      <c r="S63" s="3986">
        <f>++'Maj Techno Summ'!P21</f>
        <v>95.75055357177952</v>
      </c>
      <c r="T63" s="3979">
        <f>+WRM!Q161</f>
        <v>96</v>
      </c>
      <c r="U63" s="3514">
        <f>+WRM!R161</f>
        <v>95.576816753097674</v>
      </c>
      <c r="V63" s="3985">
        <f>++'Maj Techno Summ'!S21</f>
        <v>96</v>
      </c>
      <c r="W63" s="3986">
        <f>++'Maj Techno Summ'!T21</f>
        <v>95.876083003897975</v>
      </c>
      <c r="X63" s="3979">
        <f>+WRM!U161</f>
        <v>95.999999999999986</v>
      </c>
      <c r="Y63" s="3514">
        <f>+WRM!V161</f>
        <v>95.633207429136348</v>
      </c>
      <c r="Z63" s="3985">
        <f>++'Maj Techno Summ'!W21</f>
        <v>96</v>
      </c>
      <c r="AA63" s="3986">
        <f>++'Maj Techno Summ'!X21</f>
        <v>95.610321120425965</v>
      </c>
      <c r="AB63" s="3987">
        <f>+WRM!Y161</f>
        <v>95.999999999999986</v>
      </c>
      <c r="AC63" s="3987">
        <f>+WRM!Z161</f>
        <v>95.743417030300961</v>
      </c>
      <c r="AD63" s="3990">
        <f>+WRM!AA161</f>
        <v>96</v>
      </c>
      <c r="AE63" s="3991">
        <f>+WRM!AB161</f>
        <v>95.629391161332009</v>
      </c>
      <c r="AF63" s="3985">
        <f>++'Maj Techno Summ'!AC21</f>
        <v>96</v>
      </c>
      <c r="AG63" s="3986">
        <f>++'Maj Techno Summ'!AD21</f>
        <v>95.954340193087916</v>
      </c>
      <c r="AH63" s="3979">
        <f>++'Maj Techno Summ'!AE21</f>
        <v>96</v>
      </c>
      <c r="AI63" s="3514">
        <f>++'Maj Techno Summ'!AF21</f>
        <v>95.664645742124662</v>
      </c>
      <c r="AJ63" s="3985">
        <f>++'Maj Techno Summ'!AG21</f>
        <v>96</v>
      </c>
      <c r="AK63" s="3986">
        <f>++'Maj Techno Summ'!AH21</f>
        <v>95.766381296125843</v>
      </c>
      <c r="AL63" s="3979">
        <f>++'Maj Techno Summ'!AI21</f>
        <v>96</v>
      </c>
      <c r="AM63" s="3514">
        <f>++'Maj Techno Summ'!AJ21</f>
        <v>95.675972284915588</v>
      </c>
      <c r="AN63" s="3985">
        <f>++'Maj Techno Summ'!AK21</f>
        <v>96</v>
      </c>
      <c r="AO63" s="3986">
        <f>++'Maj Techno Summ'!AL21</f>
        <v>95.336201881591947</v>
      </c>
      <c r="AP63" s="3987">
        <f>+WRM!AM161</f>
        <v>96</v>
      </c>
      <c r="AQ63" s="3987">
        <f>+WRM!AN161</f>
        <v>95.643377799808036</v>
      </c>
      <c r="AR63" s="3979">
        <f>+WRM!AO161</f>
        <v>96</v>
      </c>
      <c r="AS63" s="3514">
        <f>+WRM!AP161</f>
        <v>95.633676247156231</v>
      </c>
      <c r="AT63" s="3985">
        <f>++'Maj Techno Summ'!AQ21</f>
        <v>96</v>
      </c>
      <c r="AU63" s="3986">
        <f>++'Maj Techno Summ'!AR21</f>
        <v>95.804245221551284</v>
      </c>
      <c r="AV63" s="3979">
        <f>+WRM!AS161</f>
        <v>96</v>
      </c>
      <c r="AW63" s="3514">
        <f>+WRM!AT161</f>
        <v>95.652697710002158</v>
      </c>
      <c r="AX63" s="3985">
        <f>++'Maj Techno Summ'!AU21</f>
        <v>96</v>
      </c>
      <c r="AY63" s="3986">
        <f>++'Maj Techno Summ'!AV21</f>
        <v>95.614821440744819</v>
      </c>
      <c r="AZ63" s="3979">
        <f>+WRM!AW161</f>
        <v>96</v>
      </c>
      <c r="BA63" s="3514">
        <f>+WRM!AX161</f>
        <v>95.649450414236071</v>
      </c>
      <c r="BB63" s="3985">
        <f>++'Maj Techno Summ'!AY21</f>
        <v>96</v>
      </c>
      <c r="BC63" s="3986">
        <f>++'Maj Techno Summ'!AZ21</f>
        <v>95.474822787338823</v>
      </c>
      <c r="BD63" s="3989">
        <f>+WRM!BA161</f>
        <v>96</v>
      </c>
      <c r="BE63" s="3989">
        <f>+WRM!BB161</f>
        <v>95.629455026212497</v>
      </c>
      <c r="BF63" s="3990">
        <f>+WRM!BC161</f>
        <v>96</v>
      </c>
      <c r="BG63" s="3991">
        <f>+WRM!BD161</f>
        <v>95.635827963269534</v>
      </c>
      <c r="BH63" s="3979">
        <f>+WRM!BE161</f>
        <v>95.999999999999986</v>
      </c>
      <c r="BI63" s="3514">
        <f>+WRM!BF161</f>
        <v>95.632552152260729</v>
      </c>
    </row>
    <row r="64" spans="3:62" x14ac:dyDescent="0.25">
      <c r="C64" s="7816"/>
      <c r="D64" s="4117" t="s">
        <v>1018</v>
      </c>
      <c r="E64" s="3785" t="s">
        <v>49</v>
      </c>
      <c r="F64" s="4109">
        <v>83.928534989967247</v>
      </c>
      <c r="G64" s="4118">
        <v>88.333333333333329</v>
      </c>
      <c r="H64" s="3985">
        <f>+WRM!E168</f>
        <v>88.333333333333329</v>
      </c>
      <c r="I64" s="3986">
        <f>+WRM!F168</f>
        <v>89.711922887343206</v>
      </c>
      <c r="J64" s="3985">
        <f>+WRM!G168</f>
        <v>87.499999999999986</v>
      </c>
      <c r="K64" s="3986">
        <f>+WRM!H168</f>
        <v>88.984700973574448</v>
      </c>
      <c r="L64" s="3979">
        <f>+WRM!I168</f>
        <v>87.879179593243705</v>
      </c>
      <c r="M64" s="3514">
        <f>+WRM!J168</f>
        <v>89.351161892145498</v>
      </c>
      <c r="N64" s="3985">
        <f>+WRM!K168</f>
        <v>87.5</v>
      </c>
      <c r="O64" s="3986">
        <f>+WRM!L168</f>
        <v>86.854769958474236</v>
      </c>
      <c r="P64" s="3987">
        <f>+WRM!M168</f>
        <v>87.748250959151434</v>
      </c>
      <c r="Q64" s="3988">
        <f>+WRM!N168</f>
        <v>88.51705855868272</v>
      </c>
      <c r="R64" s="3985">
        <f>+WRM!O168</f>
        <v>87.499999999999986</v>
      </c>
      <c r="S64" s="3986">
        <f>+WRM!P168</f>
        <v>90.630082367137078</v>
      </c>
      <c r="T64" s="3979">
        <f>+WRM!Q168</f>
        <v>87.682967398536249</v>
      </c>
      <c r="U64" s="3514">
        <f>+WRM!R168</f>
        <v>89.065211326070241</v>
      </c>
      <c r="V64" s="3985">
        <f>+WRM!S168</f>
        <v>87.499999999999986</v>
      </c>
      <c r="W64" s="3986">
        <f>+WRM!T168</f>
        <v>84.869758490770593</v>
      </c>
      <c r="X64" s="3979">
        <f>+WRM!U168</f>
        <v>87.64487027525351</v>
      </c>
      <c r="Y64" s="3514">
        <f>+WRM!V168</f>
        <v>88.223295584347767</v>
      </c>
      <c r="Z64" s="3985">
        <f>+WRM!W168</f>
        <v>87.5</v>
      </c>
      <c r="AA64" s="3986">
        <f>+WRM!X168</f>
        <v>89.801001759848418</v>
      </c>
      <c r="AB64" s="3987">
        <f>+WRM!Y168</f>
        <v>87.499999999999986</v>
      </c>
      <c r="AC64" s="3987">
        <f>+WRM!Z168</f>
        <v>88.458240285841896</v>
      </c>
      <c r="AD64" s="3990">
        <f>+WRM!AA168</f>
        <v>87.628160316905507</v>
      </c>
      <c r="AE64" s="3991">
        <f>+WRM!AB168</f>
        <v>88.487233955820471</v>
      </c>
      <c r="AF64" s="3985">
        <f>+WRM!AC168</f>
        <v>87.499999999999986</v>
      </c>
      <c r="AG64" s="3986">
        <f>+WRM!AD168</f>
        <v>87.28705440900562</v>
      </c>
      <c r="AH64" s="3979">
        <f>+WRM!AE168</f>
        <v>87.608225108225085</v>
      </c>
      <c r="AI64" s="3514">
        <f>+WRM!AF168</f>
        <v>88.357966463377664</v>
      </c>
      <c r="AJ64" s="3985">
        <f>+WRM!AG168</f>
        <v>87.5</v>
      </c>
      <c r="AK64" s="3986">
        <f>+WRM!AH168</f>
        <v>79.323044052739604</v>
      </c>
      <c r="AL64" s="3979">
        <f>+WRM!AI168</f>
        <v>87.594065332649194</v>
      </c>
      <c r="AM64" s="3514">
        <f>+WRM!AJ168</f>
        <v>87.222351785499754</v>
      </c>
      <c r="AN64" s="3985">
        <f>+WRM!AK168</f>
        <v>87.499999999999986</v>
      </c>
      <c r="AO64" s="3986">
        <f>+WRM!AL168</f>
        <v>89.793221178997243</v>
      </c>
      <c r="AP64" s="3987">
        <f>+WRM!AM168</f>
        <v>87.499999999999972</v>
      </c>
      <c r="AQ64" s="3987">
        <f>+WRM!AN168</f>
        <v>85.335904201339559</v>
      </c>
      <c r="AR64" s="3979">
        <f>+WRM!AO168</f>
        <v>87.582862523540484</v>
      </c>
      <c r="AS64" s="3514">
        <f>+WRM!AP168</f>
        <v>87.514757876869993</v>
      </c>
      <c r="AT64" s="3985">
        <f>+WRM!AQ168</f>
        <v>87.499999999999986</v>
      </c>
      <c r="AU64" s="3986">
        <f>+WRM!AR168</f>
        <v>90.734048864678257</v>
      </c>
      <c r="AV64" s="3979">
        <f>+WRM!AS168</f>
        <v>87.574044157242867</v>
      </c>
      <c r="AW64" s="3514">
        <f>+WRM!AT168</f>
        <v>87.849709458113423</v>
      </c>
      <c r="AX64" s="3985">
        <f>+WRM!AU168</f>
        <v>87.5</v>
      </c>
      <c r="AY64" s="3986">
        <f>+WRM!AV168</f>
        <v>88.716628582998283</v>
      </c>
      <c r="AZ64" s="3979">
        <f>+WRM!AW168</f>
        <v>87.56755097027758</v>
      </c>
      <c r="BA64" s="3514">
        <f>+WRM!AX168</f>
        <v>87.926368881977396</v>
      </c>
      <c r="BB64" s="3985">
        <f>+WRM!AY168</f>
        <v>87.499999999999986</v>
      </c>
      <c r="BC64" s="3986">
        <f>+WRM!AZ168</f>
        <v>90.31983761246434</v>
      </c>
      <c r="BD64" s="3989">
        <f>+WRM!BA168</f>
        <v>87.499999999999986</v>
      </c>
      <c r="BE64" s="3989">
        <f>+WRM!BB168</f>
        <v>89.949218858395525</v>
      </c>
      <c r="BF64" s="3990">
        <f>+WRM!BC168</f>
        <v>87.499999999999986</v>
      </c>
      <c r="BG64" s="3991">
        <f>+WRM!BD168</f>
        <v>87.749393905667034</v>
      </c>
      <c r="BH64" s="3979">
        <f>+WRM!BE168</f>
        <v>87.561572907920521</v>
      </c>
      <c r="BI64" s="3514">
        <f>+WRM!BF168</f>
        <v>88.130509648318309</v>
      </c>
    </row>
    <row r="65" spans="3:61" x14ac:dyDescent="0.25">
      <c r="C65" s="7816"/>
      <c r="D65" s="4117" t="s">
        <v>310</v>
      </c>
      <c r="E65" s="3785" t="s">
        <v>526</v>
      </c>
      <c r="F65" s="4109">
        <v>75.551242533855927</v>
      </c>
      <c r="G65" s="4118">
        <v>80.000984627503101</v>
      </c>
      <c r="H65" s="3985">
        <f>+WRM!E178</f>
        <v>78.259005145797602</v>
      </c>
      <c r="I65" s="3986">
        <f>+WRM!F178</f>
        <v>76.065443667775682</v>
      </c>
      <c r="J65" s="3985">
        <f>+WRM!G178</f>
        <v>79.51567723863738</v>
      </c>
      <c r="K65" s="3986">
        <f>+WRM!H178</f>
        <v>73.807689903094698</v>
      </c>
      <c r="L65" s="3979">
        <f>+WRM!I178</f>
        <v>78.940916891394949</v>
      </c>
      <c r="M65" s="3514">
        <f>+WRM!J178</f>
        <v>74.950008494077295</v>
      </c>
      <c r="N65" s="3985">
        <f>+WRM!K178</f>
        <v>79.365079365079367</v>
      </c>
      <c r="O65" s="3986">
        <f>+WRM!L178</f>
        <v>72.744229490548719</v>
      </c>
      <c r="P65" s="3987">
        <f>+WRM!M178</f>
        <v>79.0869635106896</v>
      </c>
      <c r="Q65" s="3988">
        <f>+WRM!N178</f>
        <v>74.226846180995281</v>
      </c>
      <c r="R65" s="3985">
        <f>+WRM!O178</f>
        <v>79.51567723863738</v>
      </c>
      <c r="S65" s="3986">
        <f>+WRM!P178</f>
        <v>81.731808972503629</v>
      </c>
      <c r="T65" s="3979">
        <f>+WRM!Q178</f>
        <v>79.199468841885619</v>
      </c>
      <c r="U65" s="3514">
        <f>+WRM!R178</f>
        <v>76.207962776198755</v>
      </c>
      <c r="V65" s="3985">
        <f>+WRM!S178</f>
        <v>79.51567723863738</v>
      </c>
      <c r="W65" s="3986">
        <f>+WRM!T178</f>
        <v>74.194404522372338</v>
      </c>
      <c r="X65" s="3979">
        <f>+WRM!U178</f>
        <v>79.26520032307144</v>
      </c>
      <c r="Y65" s="3514">
        <f>+WRM!V178</f>
        <v>75.819254600943339</v>
      </c>
      <c r="Z65" s="3985">
        <f>+WRM!W178</f>
        <v>72.150072150072148</v>
      </c>
      <c r="AA65" s="3986">
        <f>+WRM!X178</f>
        <v>74.178997829233012</v>
      </c>
      <c r="AB65" s="3987">
        <f>+WRM!Y178</f>
        <v>77.759427470410131</v>
      </c>
      <c r="AC65" s="3987">
        <f>+WRM!Z178</f>
        <v>76.818952024154584</v>
      </c>
      <c r="AD65" s="3990">
        <f>+WRM!AA178</f>
        <v>78.445711246655264</v>
      </c>
      <c r="AE65" s="3991">
        <f>+WRM!AB178</f>
        <v>75.540777936456749</v>
      </c>
      <c r="AF65" s="3985">
        <f>+WRM!AC178</f>
        <v>76.804915514592935</v>
      </c>
      <c r="AG65" s="3986">
        <f>+WRM!AD178</f>
        <v>77.468532370389482</v>
      </c>
      <c r="AH65" s="3979">
        <f>+WRM!AE178</f>
        <v>78.19080240327925</v>
      </c>
      <c r="AI65" s="3514">
        <f>+WRM!AF178</f>
        <v>75.745893653516319</v>
      </c>
      <c r="AJ65" s="3985">
        <f>+WRM!AG178</f>
        <v>79.365079365079367</v>
      </c>
      <c r="AK65" s="3986">
        <f>+WRM!AH178</f>
        <v>73.605578395236748</v>
      </c>
      <c r="AL65" s="3979">
        <f>+WRM!AI178</f>
        <v>78.34427549849903</v>
      </c>
      <c r="AM65" s="3514">
        <f>+WRM!AJ178</f>
        <v>75.501237638803971</v>
      </c>
      <c r="AN65" s="3985">
        <f>+WRM!AK178</f>
        <v>79.51567723863738</v>
      </c>
      <c r="AO65" s="3986">
        <f>+WRM!AL178</f>
        <v>80.965319514289234</v>
      </c>
      <c r="AP65" s="3987">
        <f>+WRM!AM178</f>
        <v>78.553160394592624</v>
      </c>
      <c r="AQ65" s="3987">
        <f>+WRM!AN178</f>
        <v>77.52846949696756</v>
      </c>
      <c r="AR65" s="3979">
        <f>+WRM!AO178</f>
        <v>78.483652822723712</v>
      </c>
      <c r="AS65" s="3514">
        <f>+WRM!AP178</f>
        <v>76.138892765509794</v>
      </c>
      <c r="AT65" s="3985">
        <f>+WRM!AQ178</f>
        <v>80.419264479985543</v>
      </c>
      <c r="AU65" s="3986">
        <f>+WRM!AR178</f>
        <v>79.515336146941721</v>
      </c>
      <c r="AV65" s="3979">
        <f>+WRM!AS178</f>
        <v>78.689469638739425</v>
      </c>
      <c r="AW65" s="3514">
        <f>+WRM!AT178</f>
        <v>76.501729484923317</v>
      </c>
      <c r="AX65" s="3985">
        <f>+WRM!AU178</f>
        <v>80.032012805122051</v>
      </c>
      <c r="AY65" s="3986">
        <f>+WRM!AV178</f>
        <v>73.201682316118962</v>
      </c>
      <c r="AZ65" s="3979">
        <f>+WRM!AW178</f>
        <v>78.807111048774502</v>
      </c>
      <c r="BA65" s="3514">
        <f>+WRM!AX178</f>
        <v>76.20729206361213</v>
      </c>
      <c r="BB65" s="3985">
        <f>+WRM!AY178</f>
        <v>80.419264479985543</v>
      </c>
      <c r="BC65" s="3986">
        <f>+WRM!AZ178</f>
        <v>85.084307710997052</v>
      </c>
      <c r="BD65" s="3989">
        <f>+WRM!BA178</f>
        <v>80.298786181139121</v>
      </c>
      <c r="BE65" s="3989">
        <f>+WRM!BB178</f>
        <v>79.409594323615622</v>
      </c>
      <c r="BF65" s="3990">
        <f>+WRM!BC178</f>
        <v>79.416381937390341</v>
      </c>
      <c r="BG65" s="3991">
        <f>+WRM!BD178</f>
        <v>78.537265282488221</v>
      </c>
      <c r="BH65" s="3979">
        <f>+WRM!BE178</f>
        <v>78.949681564290444</v>
      </c>
      <c r="BI65" s="3514">
        <f>+WRM!BF178</f>
        <v>76.983227943870176</v>
      </c>
    </row>
    <row r="66" spans="3:61" x14ac:dyDescent="0.25">
      <c r="C66" s="7816"/>
      <c r="D66" s="4119" t="s">
        <v>91</v>
      </c>
      <c r="E66" s="1448"/>
      <c r="F66" s="4120"/>
      <c r="G66" s="4121"/>
      <c r="H66" s="3978"/>
      <c r="I66" s="3534"/>
      <c r="J66" s="3978"/>
      <c r="K66" s="3534"/>
      <c r="L66" s="3979"/>
      <c r="M66" s="3514"/>
      <c r="N66" s="3978"/>
      <c r="O66" s="3534"/>
      <c r="P66" s="3978"/>
      <c r="Q66" s="3534"/>
      <c r="R66" s="3978"/>
      <c r="S66" s="3534"/>
      <c r="T66" s="3978"/>
      <c r="U66" s="3534"/>
      <c r="V66" s="3978"/>
      <c r="W66" s="3534"/>
      <c r="X66" s="3978"/>
      <c r="Y66" s="3534"/>
      <c r="Z66" s="3978"/>
      <c r="AA66" s="3534"/>
      <c r="AB66" s="3978"/>
      <c r="AC66" s="3978"/>
      <c r="AD66" s="3978"/>
      <c r="AE66" s="3980"/>
      <c r="AF66" s="3978"/>
      <c r="AG66" s="3534"/>
      <c r="AH66" s="3978"/>
      <c r="AI66" s="3534"/>
      <c r="AJ66" s="3978"/>
      <c r="AK66" s="3534"/>
      <c r="AL66" s="3978"/>
      <c r="AM66" s="3534"/>
      <c r="AN66" s="3978"/>
      <c r="AO66" s="3534"/>
      <c r="AP66" s="3978"/>
      <c r="AQ66" s="3978"/>
      <c r="AR66" s="3978"/>
      <c r="AS66" s="3534"/>
      <c r="AT66" s="3978"/>
      <c r="AU66" s="3534"/>
      <c r="AV66" s="3978"/>
      <c r="AW66" s="3534"/>
      <c r="AX66" s="3978"/>
      <c r="AY66" s="3534"/>
      <c r="AZ66" s="3978"/>
      <c r="BA66" s="3534"/>
      <c r="BB66" s="3978"/>
      <c r="BC66" s="3534"/>
      <c r="BD66" s="3534"/>
      <c r="BE66" s="3534"/>
      <c r="BF66" s="3534"/>
      <c r="BG66" s="3534"/>
      <c r="BH66" s="3534"/>
      <c r="BI66" s="3534"/>
    </row>
    <row r="67" spans="3:61" x14ac:dyDescent="0.25">
      <c r="C67" s="7816"/>
      <c r="D67" s="4117" t="s">
        <v>1019</v>
      </c>
      <c r="E67" s="3785" t="s">
        <v>49</v>
      </c>
      <c r="F67" s="4109">
        <v>95.450022221864671</v>
      </c>
      <c r="G67" s="4122">
        <v>96.5</v>
      </c>
      <c r="H67" s="3985">
        <f>+'Maj Techno Summ'!E22</f>
        <v>96.5</v>
      </c>
      <c r="I67" s="3986">
        <f>+'Maj Techno Summ'!F22</f>
        <v>95.918610762252314</v>
      </c>
      <c r="J67" s="3985">
        <f>+'Maj Techno Summ'!G22</f>
        <v>96.5</v>
      </c>
      <c r="K67" s="3986">
        <f>+'Maj Techno Summ'!H22</f>
        <v>96.517503903684087</v>
      </c>
      <c r="L67" s="3979">
        <f>+'Maj Techno Summ'!I22</f>
        <v>96.5</v>
      </c>
      <c r="M67" s="3514">
        <f>+'Maj Techno Summ'!J22</f>
        <v>96.22013230062278</v>
      </c>
      <c r="N67" s="3985">
        <f>+'Maj Techno Summ'!K22</f>
        <v>96.5</v>
      </c>
      <c r="O67" s="3986">
        <f>+'Maj Techno Summ'!L22</f>
        <v>96.419419676816304</v>
      </c>
      <c r="P67" s="3987">
        <f>+'Maj Techno Summ'!M22</f>
        <v>96.5</v>
      </c>
      <c r="Q67" s="3988">
        <f>+'Maj Techno Summ'!N22</f>
        <v>96.285420437651865</v>
      </c>
      <c r="R67" s="3985">
        <f>+'Maj Techno Summ'!O22</f>
        <v>96.5</v>
      </c>
      <c r="S67" s="3986">
        <f>+'Maj Techno Summ'!P22</f>
        <v>96.454667703108399</v>
      </c>
      <c r="T67" s="3979">
        <f>+BM!Q58</f>
        <v>96.5</v>
      </c>
      <c r="U67" s="3514">
        <f>+BM!R58</f>
        <v>96.333045261414412</v>
      </c>
      <c r="V67" s="3985">
        <f>+'Maj Techno Summ'!S22</f>
        <v>96.5</v>
      </c>
      <c r="W67" s="3986">
        <f>+'Maj Techno Summ'!T22</f>
        <v>96.329019569725332</v>
      </c>
      <c r="X67" s="3979">
        <f>+BM!U58</f>
        <v>96.500000000000014</v>
      </c>
      <c r="Y67" s="3514">
        <f>+BM!V58</f>
        <v>96.332259007467059</v>
      </c>
      <c r="Z67" s="3985">
        <f>+'Maj Techno Summ'!W22</f>
        <v>96.5</v>
      </c>
      <c r="AA67" s="3986">
        <f>+'Maj Techno Summ'!X22</f>
        <v>96.394637106483472</v>
      </c>
      <c r="AB67" s="3987">
        <f>+BM!Y58</f>
        <v>96.5</v>
      </c>
      <c r="AC67" s="3987">
        <f>+BM!Z58</f>
        <v>96.395894549603327</v>
      </c>
      <c r="AD67" s="3990">
        <f>+BM!AA58</f>
        <v>96.5</v>
      </c>
      <c r="AE67" s="3991">
        <f>+BM!AB58</f>
        <v>96.342497784859262</v>
      </c>
      <c r="AF67" s="3985">
        <f>+'Maj Techno Summ'!AC22</f>
        <v>96.5</v>
      </c>
      <c r="AG67" s="3986">
        <f>+'Maj Techno Summ'!AD22</f>
        <v>96.409969459870908</v>
      </c>
      <c r="AH67" s="3979">
        <f>+'Maj Techno Summ'!AE22</f>
        <v>96.5</v>
      </c>
      <c r="AI67" s="3514">
        <f>+'Maj Techno Summ'!AF22</f>
        <v>96.349160180393426</v>
      </c>
      <c r="AJ67" s="3985">
        <f>+'Maj Techno Summ'!AG22</f>
        <v>96.5</v>
      </c>
      <c r="AK67" s="3986">
        <f>+'Maj Techno Summ'!AH22</f>
        <v>96.083717767346542</v>
      </c>
      <c r="AL67" s="3979">
        <f>+'Maj Techno Summ'!AI22</f>
        <v>96.5</v>
      </c>
      <c r="AM67" s="3514">
        <f>+'Maj Techno Summ'!AJ22</f>
        <v>96.317468217796403</v>
      </c>
      <c r="AN67" s="3985">
        <f>+'Maj Techno Summ'!AK22</f>
        <v>96.5</v>
      </c>
      <c r="AO67" s="3986">
        <f>+'Maj Techno Summ'!AL22</f>
        <v>95.865818289064322</v>
      </c>
      <c r="AP67" s="3987">
        <f>+BM!AM58</f>
        <v>96.5</v>
      </c>
      <c r="AQ67" s="3987">
        <f>+BM!AN58</f>
        <v>96.077497770373839</v>
      </c>
      <c r="AR67" s="3979">
        <f>+BM!AO58</f>
        <v>96.499999999999986</v>
      </c>
      <c r="AS67" s="3514">
        <f>+BM!AP58</f>
        <v>96.261973971628606</v>
      </c>
      <c r="AT67" s="3985">
        <f>+'Maj Techno Summ'!AQ22</f>
        <v>96.5</v>
      </c>
      <c r="AU67" s="3986">
        <f>+'Maj Techno Summ'!AR22</f>
        <v>95.990775355915758</v>
      </c>
      <c r="AV67" s="3979">
        <f>+'Maj Techno Summ'!AS22</f>
        <v>96.5</v>
      </c>
      <c r="AW67" s="3514">
        <f>+'Maj Techno Summ'!AT22</f>
        <v>96.230985330930267</v>
      </c>
      <c r="AX67" s="3985">
        <f>+'Maj Techno Summ'!AU22</f>
        <v>96.5</v>
      </c>
      <c r="AY67" s="3986">
        <f>+'Maj Techno Summ'!AV22</f>
        <v>95.9606442036267</v>
      </c>
      <c r="AZ67" s="3979">
        <f>+'Maj Techno Summ'!AW22</f>
        <v>96.5</v>
      </c>
      <c r="BA67" s="3514">
        <f>+'Maj Techno Summ'!AX22</f>
        <v>96.206709960374354</v>
      </c>
      <c r="BB67" s="3985">
        <f>+'Maj Techno Summ'!AY22</f>
        <v>96.5</v>
      </c>
      <c r="BC67" s="3986">
        <f>+'Maj Techno Summ'!AZ22</f>
        <v>93.352457710962938</v>
      </c>
      <c r="BD67" s="3989">
        <f>+'Maj Techno Summ'!BA22</f>
        <v>96.5</v>
      </c>
      <c r="BE67" s="3989">
        <f>+'Maj Techno Summ'!BB22</f>
        <v>95.076496488136257</v>
      </c>
      <c r="BF67" s="3990">
        <f>+'Maj Techno Summ'!BC22</f>
        <v>96.5</v>
      </c>
      <c r="BG67" s="3991">
        <f>+'Maj Techno Summ'!BD22</f>
        <v>95.530624031950111</v>
      </c>
      <c r="BH67" s="3979">
        <f>+'Maj Techno Summ'!BE22</f>
        <v>96.5</v>
      </c>
      <c r="BI67" s="3514">
        <f>+'Maj Techno Summ'!BF22</f>
        <v>95.944392395093587</v>
      </c>
    </row>
    <row r="68" spans="3:61" x14ac:dyDescent="0.25">
      <c r="C68" s="7816"/>
      <c r="D68" s="4117" t="s">
        <v>1018</v>
      </c>
      <c r="E68" s="3785" t="s">
        <v>49</v>
      </c>
      <c r="F68" s="4107">
        <v>80.103400582885854</v>
      </c>
      <c r="G68" s="4118">
        <v>90.000000000000014</v>
      </c>
      <c r="H68" s="3985">
        <f>+BM!E69</f>
        <v>90</v>
      </c>
      <c r="I68" s="3986">
        <f>+BM!F69</f>
        <v>87.996182713884096</v>
      </c>
      <c r="J68" s="3985">
        <f>+BM!G69</f>
        <v>85.416666666666657</v>
      </c>
      <c r="K68" s="3986">
        <f>+BM!H69</f>
        <v>89.292985145901909</v>
      </c>
      <c r="L68" s="3979">
        <f>+BM!I69</f>
        <v>87.48366013071896</v>
      </c>
      <c r="M68" s="3514">
        <f>+BM!J69</f>
        <v>88.652969780289709</v>
      </c>
      <c r="N68" s="3985">
        <f>+BM!K69</f>
        <v>85.416666666666657</v>
      </c>
      <c r="O68" s="3986">
        <f>+BM!L69</f>
        <v>89.794951435866395</v>
      </c>
      <c r="P68" s="3987">
        <f>+BM!M69</f>
        <v>86.768162393162399</v>
      </c>
      <c r="Q68" s="3988">
        <f>+BM!N69</f>
        <v>89.025216861577519</v>
      </c>
      <c r="R68" s="3985">
        <f>+BM!O69</f>
        <v>85.416666666666657</v>
      </c>
      <c r="S68" s="3986">
        <f>+BM!P69</f>
        <v>91.998045920859767</v>
      </c>
      <c r="T68" s="3979">
        <f>+BM!Q69</f>
        <v>86.411163522012586</v>
      </c>
      <c r="U68" s="3514">
        <f>+BM!R69</f>
        <v>89.798017639327171</v>
      </c>
      <c r="V68" s="3985">
        <f>+BM!S69</f>
        <v>85.416666666666657</v>
      </c>
      <c r="W68" s="3986">
        <f>+BM!T69</f>
        <v>88.592158073479467</v>
      </c>
      <c r="X68" s="3979">
        <f>+BM!U69</f>
        <v>86.203358208955223</v>
      </c>
      <c r="Y68" s="3514">
        <f>+BM!V69</f>
        <v>89.559323069714836</v>
      </c>
      <c r="Z68" s="3985">
        <f>+BM!W69</f>
        <v>85.416666666666657</v>
      </c>
      <c r="AA68" s="3986">
        <f>+BM!X69</f>
        <v>88.752251093336241</v>
      </c>
      <c r="AB68" s="3987">
        <f>+BM!Y69</f>
        <v>85.416666666666657</v>
      </c>
      <c r="AC68" s="3987">
        <f>+BM!Z69</f>
        <v>89.819511619659863</v>
      </c>
      <c r="AD68" s="3990">
        <f>+BM!AA69</f>
        <v>86.110197368421055</v>
      </c>
      <c r="AE68" s="3991">
        <f>+BM!AB69</f>
        <v>89.425958754726224</v>
      </c>
      <c r="AF68" s="3985">
        <f>+BM!AC69</f>
        <v>85.416666666666657</v>
      </c>
      <c r="AG68" s="3986">
        <f>+BM!AD69</f>
        <v>87.445632141540742</v>
      </c>
      <c r="AH68" s="3979">
        <f>+BM!AE69</f>
        <v>86.002314814814824</v>
      </c>
      <c r="AI68" s="3514">
        <f>+BM!AF69</f>
        <v>89.221175726197444</v>
      </c>
      <c r="AJ68" s="3985">
        <f>+BM!AG69</f>
        <v>85.416666666666657</v>
      </c>
      <c r="AK68" s="3986">
        <f>+BM!AH69</f>
        <v>86.010299230850265</v>
      </c>
      <c r="AL68" s="3979">
        <f>+BM!AI69</f>
        <v>85.925925925925924</v>
      </c>
      <c r="AM68" s="3514">
        <f>+BM!AJ69</f>
        <v>88.815284312445613</v>
      </c>
      <c r="AN68" s="3985">
        <f>+BM!AK69</f>
        <v>85.416666666666657</v>
      </c>
      <c r="AO68" s="3986">
        <f>+BM!AL69</f>
        <v>89.435071511498649</v>
      </c>
      <c r="AP68" s="3987">
        <f>+BM!AM69</f>
        <v>85.416666666666657</v>
      </c>
      <c r="AQ68" s="3987">
        <f>+BM!AN69</f>
        <v>87.692347765138237</v>
      </c>
      <c r="AR68" s="3979">
        <f>+BM!AO69</f>
        <v>85.865248226950357</v>
      </c>
      <c r="AS68" s="3514">
        <f>+BM!AP69</f>
        <v>88.888906820336544</v>
      </c>
      <c r="AT68" s="3985">
        <f>+BM!AQ69</f>
        <v>85.416666666666657</v>
      </c>
      <c r="AU68" s="3986">
        <f>+BM!AR69</f>
        <v>91.673922236871562</v>
      </c>
      <c r="AV68" s="3979">
        <f>+BM!AS69</f>
        <v>85.817490494296578</v>
      </c>
      <c r="AW68" s="3514">
        <f>+BM!AT69</f>
        <v>89.182749217192452</v>
      </c>
      <c r="AX68" s="3985">
        <f>+BM!AU69</f>
        <v>85.416666666666671</v>
      </c>
      <c r="AY68" s="3986">
        <f>+BM!AV69</f>
        <v>89.441607642892436</v>
      </c>
      <c r="AZ68" s="3979">
        <f>+BM!AW69</f>
        <v>85.782442748091611</v>
      </c>
      <c r="BA68" s="3514">
        <f>+BM!AX69</f>
        <v>89.205337913748153</v>
      </c>
      <c r="BB68" s="3985">
        <f>+BM!AY69</f>
        <v>85.416666666666657</v>
      </c>
      <c r="BC68" s="3986">
        <f>+BM!AZ69</f>
        <v>89.341466450890067</v>
      </c>
      <c r="BD68" s="3989">
        <f>+BM!BA69</f>
        <v>85.416666666666657</v>
      </c>
      <c r="BE68" s="3989">
        <f>+BM!BB69</f>
        <v>90.175528726774544</v>
      </c>
      <c r="BF68" s="3990">
        <f>+BM!BC69</f>
        <v>85.416666666666657</v>
      </c>
      <c r="BG68" s="3991">
        <f>+BM!BD69</f>
        <v>88.99654625011803</v>
      </c>
      <c r="BH68" s="3979">
        <f>+BM!BE69</f>
        <v>85.750052709255755</v>
      </c>
      <c r="BI68" s="3514">
        <f>+BM!BF69</f>
        <v>89.217286502878039</v>
      </c>
    </row>
    <row r="69" spans="3:61" x14ac:dyDescent="0.25">
      <c r="C69" s="7816"/>
      <c r="D69" s="4117" t="s">
        <v>310</v>
      </c>
      <c r="E69" s="3785" t="s">
        <v>526</v>
      </c>
      <c r="F69" s="4107">
        <v>129.35729675734254</v>
      </c>
      <c r="G69" s="4118">
        <v>143.22916666666666</v>
      </c>
      <c r="H69" s="3985">
        <f>+BM!E79</f>
        <v>137.88244766505636</v>
      </c>
      <c r="I69" s="3986">
        <f>+BM!F79</f>
        <v>131.30293988334273</v>
      </c>
      <c r="J69" s="3985">
        <f>+BM!G79</f>
        <v>137.63066202090593</v>
      </c>
      <c r="K69" s="3986">
        <f>+BM!H79</f>
        <v>128.64970585751695</v>
      </c>
      <c r="L69" s="3979">
        <f>+BM!I79</f>
        <v>137.74747852073216</v>
      </c>
      <c r="M69" s="3514">
        <f>+BM!J79</f>
        <v>129.94946441904557</v>
      </c>
      <c r="N69" s="3985">
        <f>+BM!K79</f>
        <v>137.30803974706413</v>
      </c>
      <c r="O69" s="3986">
        <f>+BM!L79</f>
        <v>129.52573430263243</v>
      </c>
      <c r="P69" s="3987">
        <f>+BM!M79</f>
        <v>137.59773440866834</v>
      </c>
      <c r="Q69" s="3988">
        <f>+BM!N79</f>
        <v>129.81014861504667</v>
      </c>
      <c r="R69" s="3985">
        <f>+BM!O79</f>
        <v>137.63066202090593</v>
      </c>
      <c r="S69" s="3986">
        <f>+BM!P79</f>
        <v>140.27690632965184</v>
      </c>
      <c r="T69" s="3979">
        <f>+BM!Q79</f>
        <v>137.60633216576446</v>
      </c>
      <c r="U69" s="3514">
        <f>+BM!R79</f>
        <v>132.59769201397248</v>
      </c>
      <c r="V69" s="3985">
        <f>+BM!S79</f>
        <v>137.63066202090593</v>
      </c>
      <c r="W69" s="3986">
        <f>+BM!T79</f>
        <v>132.17232096184014</v>
      </c>
      <c r="X69" s="3979">
        <f>+BM!U79</f>
        <v>137.61136962089239</v>
      </c>
      <c r="Y69" s="3514">
        <f>+BM!V79</f>
        <v>132.51440098717146</v>
      </c>
      <c r="Z69" s="3985">
        <f>+BM!W79</f>
        <v>128.72628726287263</v>
      </c>
      <c r="AA69" s="3986">
        <f>+BM!X79</f>
        <v>132.73645138861181</v>
      </c>
      <c r="AB69" s="3987">
        <f>+BM!Y79</f>
        <v>135.46473302570863</v>
      </c>
      <c r="AC69" s="3987">
        <f>+BM!Z79</f>
        <v>135.21851851856002</v>
      </c>
      <c r="AD69" s="3990">
        <f>+BM!AA79</f>
        <v>136.56766306942984</v>
      </c>
      <c r="AE69" s="3991">
        <f>+BM!AB79</f>
        <v>132.55081719389386</v>
      </c>
      <c r="AF69" s="3985">
        <f>+BM!AC79</f>
        <v>135.88850174216029</v>
      </c>
      <c r="AG69" s="3986">
        <f>+BM!AD79</f>
        <v>128.85754931714737</v>
      </c>
      <c r="AH69" s="3979">
        <f>+BM!AE79</f>
        <v>136.46273517616342</v>
      </c>
      <c r="AI69" s="3514">
        <f>+BM!AF79</f>
        <v>132.17650142262127</v>
      </c>
      <c r="AJ69" s="3985">
        <f>+BM!AG79</f>
        <v>137.30803974706413</v>
      </c>
      <c r="AK69" s="3986">
        <f>+BM!AH79</f>
        <v>128.11234207016528</v>
      </c>
      <c r="AL69" s="3979">
        <f>+BM!AI79</f>
        <v>136.5723388305847</v>
      </c>
      <c r="AM69" s="3514">
        <f>+BM!AJ79</f>
        <v>131.67897088809653</v>
      </c>
      <c r="AN69" s="3985">
        <f>+BM!AK79</f>
        <v>137.63066202090593</v>
      </c>
      <c r="AO69" s="3986">
        <f>+BM!AL79</f>
        <v>135.25398828923409</v>
      </c>
      <c r="AP69" s="3987">
        <f>+BM!AM79</f>
        <v>136.93799588598296</v>
      </c>
      <c r="AQ69" s="3987">
        <f>+BM!AN79</f>
        <v>131.09614999306046</v>
      </c>
      <c r="AR69" s="3979">
        <f>+BM!AO79</f>
        <v>136.69777814487486</v>
      </c>
      <c r="AS69" s="3514">
        <f>+BM!AP79</f>
        <v>132.10624488034344</v>
      </c>
      <c r="AT69" s="3985">
        <f>+BM!AQ79</f>
        <v>137.63066202090593</v>
      </c>
      <c r="AU69" s="3986">
        <f>+BM!AR79</f>
        <v>139.70140019537632</v>
      </c>
      <c r="AV69" s="3979">
        <f>+BM!AS79</f>
        <v>136.79663269827205</v>
      </c>
      <c r="AW69" s="3514">
        <f>+BM!AT79</f>
        <v>132.92998168423188</v>
      </c>
      <c r="AX69" s="3985">
        <f>+BM!AU79</f>
        <v>138.4049554781262</v>
      </c>
      <c r="AY69" s="3986">
        <f>+BM!AV79</f>
        <v>136.38732965009225</v>
      </c>
      <c r="AZ69" s="3979">
        <f>+BM!AW79</f>
        <v>136.93666363299286</v>
      </c>
      <c r="BA69" s="3514">
        <f>+BM!AX79</f>
        <v>133.23247843302829</v>
      </c>
      <c r="BB69" s="3985">
        <f>+BM!AY79</f>
        <v>139.37282229965157</v>
      </c>
      <c r="BC69" s="3986">
        <f>+BM!AZ79</f>
        <v>135.77081707724892</v>
      </c>
      <c r="BD69" s="3989">
        <f>+BM!BA79</f>
        <v>138.47170491409349</v>
      </c>
      <c r="BE69" s="3989">
        <f>+BM!BB79</f>
        <v>137.33692126552486</v>
      </c>
      <c r="BF69" s="3990">
        <f>+BM!BC79</f>
        <v>137.69644395591337</v>
      </c>
      <c r="BG69" s="3991">
        <f>+BM!BD79</f>
        <v>134.41730489221916</v>
      </c>
      <c r="BH69" s="3979">
        <f>+BM!BE79</f>
        <v>137.15155054245935</v>
      </c>
      <c r="BI69" s="3514">
        <f>+BM!BF79</f>
        <v>133.45558948197291</v>
      </c>
    </row>
    <row r="70" spans="3:61" x14ac:dyDescent="0.25">
      <c r="C70" s="7816"/>
      <c r="D70" s="4119" t="s">
        <v>109</v>
      </c>
      <c r="E70" s="1448"/>
      <c r="F70" s="4120"/>
      <c r="G70" s="4121"/>
      <c r="H70" s="3978"/>
      <c r="I70" s="3534"/>
      <c r="J70" s="3978"/>
      <c r="K70" s="3534"/>
      <c r="L70" s="3979"/>
      <c r="M70" s="3514"/>
      <c r="N70" s="3978"/>
      <c r="O70" s="3534"/>
      <c r="P70" s="3978"/>
      <c r="Q70" s="3534"/>
      <c r="R70" s="3978"/>
      <c r="S70" s="3534"/>
      <c r="T70" s="3978"/>
      <c r="U70" s="3534"/>
      <c r="V70" s="3978"/>
      <c r="W70" s="3534"/>
      <c r="X70" s="3978"/>
      <c r="Y70" s="3534"/>
      <c r="Z70" s="3978"/>
      <c r="AA70" s="3534"/>
      <c r="AB70" s="3978"/>
      <c r="AC70" s="3978"/>
      <c r="AD70" s="3978"/>
      <c r="AE70" s="3980"/>
      <c r="AF70" s="3978"/>
      <c r="AG70" s="3534"/>
      <c r="AH70" s="3978"/>
      <c r="AI70" s="3534"/>
      <c r="AJ70" s="3978"/>
      <c r="AK70" s="3534"/>
      <c r="AL70" s="3978"/>
      <c r="AM70" s="3534"/>
      <c r="AN70" s="3978"/>
      <c r="AO70" s="3534"/>
      <c r="AP70" s="3978"/>
      <c r="AQ70" s="3978"/>
      <c r="AR70" s="3978"/>
      <c r="AS70" s="3534"/>
      <c r="AT70" s="3978"/>
      <c r="AU70" s="3534"/>
      <c r="AV70" s="3978"/>
      <c r="AW70" s="3534"/>
      <c r="AX70" s="3978"/>
      <c r="AY70" s="3534"/>
      <c r="AZ70" s="3978"/>
      <c r="BA70" s="3534"/>
      <c r="BB70" s="3978"/>
      <c r="BC70" s="3534"/>
      <c r="BD70" s="3534"/>
      <c r="BE70" s="3534"/>
      <c r="BF70" s="3534"/>
      <c r="BG70" s="3534"/>
      <c r="BH70" s="3534"/>
      <c r="BI70" s="3534"/>
    </row>
    <row r="71" spans="3:61" x14ac:dyDescent="0.25">
      <c r="C71" s="7816"/>
      <c r="D71" s="4117" t="s">
        <v>1019</v>
      </c>
      <c r="E71" s="3785" t="s">
        <v>49</v>
      </c>
      <c r="F71" s="4107">
        <v>93.371871065542948</v>
      </c>
      <c r="G71" s="4122">
        <v>94.75</v>
      </c>
      <c r="H71" s="3985">
        <f>+'Maj Techno Summ'!E23</f>
        <v>94.75</v>
      </c>
      <c r="I71" s="3986">
        <f>+'Maj Techno Summ'!F23</f>
        <v>93.964285931551316</v>
      </c>
      <c r="J71" s="3985">
        <f>+'Maj Techno Summ'!G23</f>
        <v>94.75</v>
      </c>
      <c r="K71" s="3986">
        <f>+'Maj Techno Summ'!H23</f>
        <v>93.848373432627127</v>
      </c>
      <c r="L71" s="3979">
        <f>+'Maj Techno Summ'!I23</f>
        <v>94.75</v>
      </c>
      <c r="M71" s="3514">
        <f>+'Maj Techno Summ'!J23</f>
        <v>90.323328912373469</v>
      </c>
      <c r="N71" s="3985">
        <f>+'Maj Techno Summ'!K23</f>
        <v>94.75</v>
      </c>
      <c r="O71" s="3986">
        <f>+'Maj Techno Summ'!L23</f>
        <v>94.300657609568276</v>
      </c>
      <c r="P71" s="3987">
        <f>+'Maj Techno Summ'!M23</f>
        <v>94.75</v>
      </c>
      <c r="Q71" s="3988">
        <f>+'Maj Techno Summ'!N23</f>
        <v>93.020053205592504</v>
      </c>
      <c r="R71" s="3985">
        <f>+'Maj Techno Summ'!O23</f>
        <v>94.75</v>
      </c>
      <c r="S71" s="3986">
        <f>+'Maj Techno Summ'!P23</f>
        <v>94.039736544191683</v>
      </c>
      <c r="T71" s="3979">
        <f>+USM!R124</f>
        <v>94.75</v>
      </c>
      <c r="U71" s="3514">
        <f>+USM!S124</f>
        <v>92.75482804367067</v>
      </c>
      <c r="V71" s="3985">
        <f>+'Maj Techno Summ'!S23</f>
        <v>94.75</v>
      </c>
      <c r="W71" s="3986">
        <f>+'Maj Techno Summ'!T23</f>
        <v>93.446166495534285</v>
      </c>
      <c r="X71" s="3979">
        <f>+USM!V124</f>
        <v>94.750000000000014</v>
      </c>
      <c r="Y71" s="3514">
        <f>+USM!W124</f>
        <v>92.869074537464016</v>
      </c>
      <c r="Z71" s="3985">
        <f>+'Maj Techno Summ'!W23</f>
        <v>94.75</v>
      </c>
      <c r="AA71" s="3986">
        <f>+'Maj Techno Summ'!X23</f>
        <v>93.972449866117088</v>
      </c>
      <c r="AB71" s="3987">
        <f>+USM!Z124</f>
        <v>94.75</v>
      </c>
      <c r="AC71" s="3987">
        <f>+USM!AA124</f>
        <v>93.843139792150197</v>
      </c>
      <c r="AD71" s="3990">
        <f>+USM!AB124</f>
        <v>94.749999999999986</v>
      </c>
      <c r="AE71" s="3991">
        <f>+USM!AC124</f>
        <v>93.410588588029711</v>
      </c>
      <c r="AF71" s="3985">
        <f>+'Maj Techno Summ'!AC23</f>
        <v>94.75</v>
      </c>
      <c r="AG71" s="3986">
        <f>+'Maj Techno Summ'!AD23</f>
        <v>93.165855556550625</v>
      </c>
      <c r="AH71" s="3979">
        <f>+'Maj Techno Summ'!AE23</f>
        <v>94.75</v>
      </c>
      <c r="AI71" s="3514">
        <f>+'Maj Techno Summ'!AF23</f>
        <v>93.389678217964558</v>
      </c>
      <c r="AJ71" s="3985">
        <f>+'Maj Techno Summ'!AG23</f>
        <v>94.75</v>
      </c>
      <c r="AK71" s="3986">
        <f>+'Maj Techno Summ'!AH23</f>
        <v>93.342593762703558</v>
      </c>
      <c r="AL71" s="3979">
        <f>+'Maj Techno Summ'!AI23</f>
        <v>94.75</v>
      </c>
      <c r="AM71" s="3514">
        <f>+'Maj Techno Summ'!AJ23</f>
        <v>93.383857543000758</v>
      </c>
      <c r="AN71" s="3985">
        <f>+'Maj Techno Summ'!AK23</f>
        <v>94.75</v>
      </c>
      <c r="AO71" s="3986">
        <f>+'Maj Techno Summ'!AL23</f>
        <v>93.351849425160552</v>
      </c>
      <c r="AP71" s="3987">
        <f>+USM!AN124</f>
        <v>94.75</v>
      </c>
      <c r="AQ71" s="3987">
        <f>+USM!AO124</f>
        <v>93.306454828873257</v>
      </c>
      <c r="AR71" s="3979">
        <f>+USM!AP124</f>
        <v>94.749999999999986</v>
      </c>
      <c r="AS71" s="3514">
        <f>+USM!AQ124</f>
        <v>93.380087619538642</v>
      </c>
      <c r="AT71" s="3985">
        <f>+'Maj Techno Summ'!AQ23</f>
        <v>94.75</v>
      </c>
      <c r="AU71" s="3986">
        <f>+'Maj Techno Summ'!AR23</f>
        <v>93.24126088594636</v>
      </c>
      <c r="AV71" s="3979">
        <f>+USM!AT124</f>
        <v>94.749999999999986</v>
      </c>
      <c r="AW71" s="3514">
        <f>+USM!AU124</f>
        <v>93.364662091676124</v>
      </c>
      <c r="AX71" s="3985">
        <f>+'Maj Techno Summ'!AU23</f>
        <v>94.75</v>
      </c>
      <c r="AY71" s="3986">
        <f>+'Maj Techno Summ'!AV23</f>
        <v>94.33991758409546</v>
      </c>
      <c r="AZ71" s="3979">
        <f>+USM!AX124</f>
        <v>94.749999999999972</v>
      </c>
      <c r="BA71" s="3514">
        <f>+USM!AY124</f>
        <v>93.458229639078297</v>
      </c>
      <c r="BB71" s="3985">
        <f>+'Maj Techno Summ'!AY23</f>
        <v>94.75</v>
      </c>
      <c r="BC71" s="3986">
        <f>+'Maj Techno Summ'!AZ23</f>
        <v>94.146464563073792</v>
      </c>
      <c r="BD71" s="3989">
        <f>+USM!BB124</f>
        <v>94.749999999999986</v>
      </c>
      <c r="BE71" s="3989">
        <f>+USM!BC124</f>
        <v>93.91164228167537</v>
      </c>
      <c r="BF71" s="3990">
        <f>+USM!BD124</f>
        <v>94.75</v>
      </c>
      <c r="BG71" s="3991">
        <f>+USM!BE124</f>
        <v>93.649582875146166</v>
      </c>
      <c r="BH71" s="3979">
        <f>+USM!BF124</f>
        <v>94.749999999999972</v>
      </c>
      <c r="BI71" s="3514">
        <f>+USM!BG124</f>
        <v>93.527435421723581</v>
      </c>
    </row>
    <row r="72" spans="3:61" x14ac:dyDescent="0.25">
      <c r="C72" s="7816"/>
      <c r="D72" s="4117" t="s">
        <v>1018</v>
      </c>
      <c r="E72" s="3785" t="s">
        <v>49</v>
      </c>
      <c r="F72" s="4107">
        <v>68.17523999238459</v>
      </c>
      <c r="G72" s="4118">
        <v>83.333333333333343</v>
      </c>
      <c r="H72" s="3985">
        <f>+USM!F135</f>
        <v>83.333333333333343</v>
      </c>
      <c r="I72" s="3986">
        <f>+USM!G135</f>
        <v>79.140094582572488</v>
      </c>
      <c r="J72" s="3985">
        <f>+USM!H135</f>
        <v>83.333333333333343</v>
      </c>
      <c r="K72" s="3986">
        <f>+USM!I135</f>
        <v>81.178027796161459</v>
      </c>
      <c r="L72" s="3979">
        <f>+USM!J135</f>
        <v>83.333333333333343</v>
      </c>
      <c r="M72" s="3514">
        <f>+USM!K135</f>
        <v>80.189337149607013</v>
      </c>
      <c r="N72" s="3985">
        <f>+USM!L135</f>
        <v>83.333333333333343</v>
      </c>
      <c r="O72" s="3986">
        <f>+USM!M135</f>
        <v>83.92194585680916</v>
      </c>
      <c r="P72" s="3987">
        <f>+USM!N135</f>
        <v>83.333333333333343</v>
      </c>
      <c r="Q72" s="3988">
        <f>+USM!O135</f>
        <v>81.426738341457494</v>
      </c>
      <c r="R72" s="3985">
        <f>+USM!P135</f>
        <v>83.333333333333343</v>
      </c>
      <c r="S72" s="3986">
        <f>+USM!Q135</f>
        <v>81.618114743671271</v>
      </c>
      <c r="T72" s="3979">
        <f>+USM!R135</f>
        <v>83.333333333333343</v>
      </c>
      <c r="U72" s="3514">
        <f>+USM!S135</f>
        <v>81.477201574310115</v>
      </c>
      <c r="V72" s="3985">
        <f>+USM!T135</f>
        <v>83.333333333333343</v>
      </c>
      <c r="W72" s="3986">
        <f>+USM!U135</f>
        <v>72.268449051971047</v>
      </c>
      <c r="X72" s="3979">
        <f>+USM!V135</f>
        <v>83.333333333333343</v>
      </c>
      <c r="Y72" s="3514">
        <f>+USM!W135</f>
        <v>79.659648744940696</v>
      </c>
      <c r="Z72" s="3985">
        <f>+USM!X135</f>
        <v>83.333333333333343</v>
      </c>
      <c r="AA72" s="3986">
        <f>+USM!Y135</f>
        <v>74.749416449265411</v>
      </c>
      <c r="AB72" s="3987">
        <f>+USM!Z135</f>
        <v>83.333333333333343</v>
      </c>
      <c r="AC72" s="3987">
        <f>+USM!AA135</f>
        <v>76.34260289210232</v>
      </c>
      <c r="AD72" s="3990">
        <f>+USM!AB135</f>
        <v>83.333333333333343</v>
      </c>
      <c r="AE72" s="3991">
        <f>+USM!AC135</f>
        <v>78.854687195186003</v>
      </c>
      <c r="AF72" s="3985">
        <f>+USM!AD135</f>
        <v>83.333333333333343</v>
      </c>
      <c r="AG72" s="3986">
        <f>+USM!AE135</f>
        <v>62.101313320825533</v>
      </c>
      <c r="AH72" s="3979">
        <f>+USM!AF135</f>
        <v>83.333333333333343</v>
      </c>
      <c r="AI72" s="3514">
        <f>+USM!AG135</f>
        <v>77.221996492154759</v>
      </c>
      <c r="AJ72" s="3985">
        <f>+USM!AH135</f>
        <v>83.333333333333343</v>
      </c>
      <c r="AK72" s="3986">
        <f>+USM!AI135</f>
        <v>78.297395687482506</v>
      </c>
      <c r="AL72" s="3979">
        <f>+USM!AJ135</f>
        <v>83.333333333333343</v>
      </c>
      <c r="AM72" s="3514">
        <f>+USM!AK135</f>
        <v>77.358260149620023</v>
      </c>
      <c r="AN72" s="3985">
        <f>+USM!AL135</f>
        <v>83.333333333333343</v>
      </c>
      <c r="AO72" s="3986">
        <f>+USM!AM135</f>
        <v>77.512387244314581</v>
      </c>
      <c r="AP72" s="3987">
        <f>+USM!AN135</f>
        <v>83.333333333333343</v>
      </c>
      <c r="AQ72" s="3987">
        <f>+USM!AO135</f>
        <v>74.0636042402827</v>
      </c>
      <c r="AR72" s="3979">
        <f>+USM!AP135</f>
        <v>83.333333333333343</v>
      </c>
      <c r="AS72" s="3514">
        <f>+USM!AQ135</f>
        <v>77.377145733441253</v>
      </c>
      <c r="AT72" s="3985">
        <f>+USM!AR135</f>
        <v>83.333333333333343</v>
      </c>
      <c r="AU72" s="3986">
        <f>+USM!AS135</f>
        <v>83.563991037300667</v>
      </c>
      <c r="AV72" s="3979">
        <f>+USM!AT135</f>
        <v>83.333333333333343</v>
      </c>
      <c r="AW72" s="3514">
        <f>+USM!AU135</f>
        <v>78.030691189915942</v>
      </c>
      <c r="AX72" s="3985">
        <f>+USM!AV135</f>
        <v>83.333333333333343</v>
      </c>
      <c r="AY72" s="3986">
        <f>+USM!AW135</f>
        <v>82.635592001150911</v>
      </c>
      <c r="AZ72" s="3979">
        <f>+USM!AX135</f>
        <v>83.333333333333343</v>
      </c>
      <c r="BA72" s="3514">
        <f>+USM!AY135</f>
        <v>78.437026599300935</v>
      </c>
      <c r="BB72" s="3985">
        <f>+USM!AZ135</f>
        <v>83.333333333333343</v>
      </c>
      <c r="BC72" s="3986">
        <f>+USM!BA135</f>
        <v>84.668618578653167</v>
      </c>
      <c r="BD72" s="3989">
        <f>+USM!BB135</f>
        <v>83.333333333333343</v>
      </c>
      <c r="BE72" s="3989">
        <f>+USM!BC135</f>
        <v>83.647741701432977</v>
      </c>
      <c r="BF72" s="3990">
        <f>+USM!BD135</f>
        <v>83.333333333333343</v>
      </c>
      <c r="BG72" s="3991">
        <f>+USM!BE135</f>
        <v>79.112321437102864</v>
      </c>
      <c r="BH72" s="3979">
        <f>+USM!BF135</f>
        <v>83.333333333333343</v>
      </c>
      <c r="BI72" s="3514">
        <f>+USM!BG135</f>
        <v>78.979676586933664</v>
      </c>
    </row>
    <row r="73" spans="3:61" ht="15.75" thickBot="1" x14ac:dyDescent="0.3">
      <c r="C73" s="7817"/>
      <c r="D73" s="4123" t="s">
        <v>310</v>
      </c>
      <c r="E73" s="3962" t="s">
        <v>526</v>
      </c>
      <c r="F73" s="4011">
        <v>72.378210767795224</v>
      </c>
      <c r="G73" s="4012">
        <v>133.22884012539186</v>
      </c>
      <c r="H73" s="4013">
        <f>+USM!F145</f>
        <v>124.44444444444444</v>
      </c>
      <c r="I73" s="4014">
        <f>+USM!G145</f>
        <v>111.85577711447493</v>
      </c>
      <c r="J73" s="4013">
        <f>+USM!H145</f>
        <v>116.07142857142857</v>
      </c>
      <c r="K73" s="4014">
        <f>+USM!I145</f>
        <v>111.95658372737651</v>
      </c>
      <c r="L73" s="4015">
        <f>+USM!J145</f>
        <v>119.80198019801981</v>
      </c>
      <c r="M73" s="3531">
        <f>+USM!K145</f>
        <v>107.64133849089049</v>
      </c>
      <c r="N73" s="4013">
        <f>+USM!L145</f>
        <v>115.74074074074075</v>
      </c>
      <c r="O73" s="4014">
        <f>+USM!M145</f>
        <v>115.29320386441785</v>
      </c>
      <c r="P73" s="4016">
        <f>+USM!N145</f>
        <v>118.38709677419355</v>
      </c>
      <c r="Q73" s="4017">
        <f>+USM!O145</f>
        <v>111.8365292571419</v>
      </c>
      <c r="R73" s="4013">
        <f>+USM!P145</f>
        <v>116.07142857142857</v>
      </c>
      <c r="S73" s="4014">
        <f>+USM!Q145</f>
        <v>107.22079862842892</v>
      </c>
      <c r="T73" s="4015">
        <f>+USM!R145</f>
        <v>117.77251184834124</v>
      </c>
      <c r="U73" s="3531">
        <f>+USM!S145</f>
        <v>109.99570462172676</v>
      </c>
      <c r="V73" s="4013">
        <f>+USM!T145</f>
        <v>116.07142857142857</v>
      </c>
      <c r="W73" s="4014">
        <f>+USM!U145</f>
        <v>100.58050509626275</v>
      </c>
      <c r="X73" s="4015">
        <f>+USM!V145</f>
        <v>117.41573033707866</v>
      </c>
      <c r="Y73" s="3531">
        <f>+USM!W145</f>
        <v>108.30982672582732</v>
      </c>
      <c r="Z73" s="4013">
        <f>+USM!X145</f>
        <v>111.66666666666667</v>
      </c>
      <c r="AA73" s="4014">
        <f>+USM!Y145</f>
        <v>110.20583982365905</v>
      </c>
      <c r="AB73" s="4016">
        <f>+USM!Z145</f>
        <v>115.14084507042253</v>
      </c>
      <c r="AC73" s="4016">
        <f>+USM!AA145</f>
        <v>106.11754003963165</v>
      </c>
      <c r="AD73" s="4018">
        <f>+USM!AB145</f>
        <v>116.83501683501683</v>
      </c>
      <c r="AE73" s="4019">
        <f>+USM!AC145</f>
        <v>109.03547697128197</v>
      </c>
      <c r="AF73" s="4013">
        <f>+USM!AD145</f>
        <v>119.64285714285714</v>
      </c>
      <c r="AG73" s="4014">
        <f>+USM!AE145</f>
        <v>119.47591943605239</v>
      </c>
      <c r="AH73" s="4015">
        <f>+USM!AF145</f>
        <v>117.28045325779037</v>
      </c>
      <c r="AI73" s="3531">
        <f>+USM!AG145</f>
        <v>109.85371621097237</v>
      </c>
      <c r="AJ73" s="4013">
        <f>+USM!AH145</f>
        <v>120.37037037037037</v>
      </c>
      <c r="AK73" s="4014">
        <f>+USM!AI145</f>
        <v>105.27906437768243</v>
      </c>
      <c r="AL73" s="4015">
        <f>+USM!AJ145</f>
        <v>117.69041769041769</v>
      </c>
      <c r="AM73" s="3531">
        <f>+USM!AK145</f>
        <v>109.26702578072833</v>
      </c>
      <c r="AN73" s="4013">
        <f>+USM!AL145</f>
        <v>120.53571428571429</v>
      </c>
      <c r="AO73" s="4014">
        <f>+USM!AM145</f>
        <v>104.21999016554662</v>
      </c>
      <c r="AP73" s="4016">
        <f>+USM!AN145</f>
        <v>120.18072289156626</v>
      </c>
      <c r="AQ73" s="4016">
        <f>+USM!AO145</f>
        <v>107.72120038167937</v>
      </c>
      <c r="AR73" s="4015">
        <f>+USM!AP145</f>
        <v>118.03455723542116</v>
      </c>
      <c r="AS73" s="3531">
        <f>+USM!AQ145</f>
        <v>108.64751880717813</v>
      </c>
      <c r="AT73" s="4013">
        <f>+USM!AR145</f>
        <v>121.42857142857143</v>
      </c>
      <c r="AU73" s="4014">
        <f>+USM!AS145</f>
        <v>106.31541577287064</v>
      </c>
      <c r="AV73" s="4015">
        <f>+USM!AT145</f>
        <v>118.40077071290943</v>
      </c>
      <c r="AW73" s="3531">
        <f>+USM!AU145</f>
        <v>108.38369863669578</v>
      </c>
      <c r="AX73" s="4013">
        <f>+USM!AV145</f>
        <v>122</v>
      </c>
      <c r="AY73" s="4014">
        <f>+USM!AW145</f>
        <v>113.39707103064063</v>
      </c>
      <c r="AZ73" s="4015">
        <f>+USM!AX145</f>
        <v>118.7170474516696</v>
      </c>
      <c r="BA73" s="3531">
        <f>+USM!AY145</f>
        <v>108.84975707520258</v>
      </c>
      <c r="BB73" s="4013">
        <f>+USM!AZ145</f>
        <v>122.32142857142857</v>
      </c>
      <c r="BC73" s="4014">
        <f>+USM!BA145</f>
        <v>119.05717573090223</v>
      </c>
      <c r="BD73" s="3989">
        <f>+USM!BB145</f>
        <v>121.91358024691358</v>
      </c>
      <c r="BE73" s="3989">
        <f>+USM!BC145</f>
        <v>112.91522628212078</v>
      </c>
      <c r="BF73" s="3990">
        <f>+USM!BD145</f>
        <v>121.03658536585365</v>
      </c>
      <c r="BG73" s="3991">
        <f>+USM!BE145</f>
        <v>110.61415894679634</v>
      </c>
      <c r="BH73" s="3979">
        <f>+USM!BF145</f>
        <v>119.04</v>
      </c>
      <c r="BI73" s="3514">
        <f>+USM!BG145</f>
        <v>109.80264942104402</v>
      </c>
    </row>
    <row r="74" spans="3:61" x14ac:dyDescent="0.25">
      <c r="C74" s="7815" t="s">
        <v>1023</v>
      </c>
      <c r="D74" s="3958" t="s">
        <v>1339</v>
      </c>
      <c r="E74" s="3959" t="s">
        <v>322</v>
      </c>
      <c r="F74" s="4021">
        <v>6.2012037687729737</v>
      </c>
      <c r="G74" s="4124">
        <f>+'Maj Techno Summ'!D24</f>
        <v>5.8862780487827759</v>
      </c>
      <c r="H74" s="4023">
        <f>+'Maj Techno Summ'!E24</f>
        <v>6.0987916828744853</v>
      </c>
      <c r="I74" s="4024">
        <f>+'Maj Techno Summ'!F24</f>
        <v>6.1129633927110598</v>
      </c>
      <c r="J74" s="4023">
        <f>+'Maj Techno Summ'!G24</f>
        <v>5.8950819349699</v>
      </c>
      <c r="K74" s="4024">
        <f>+'Maj Techno Summ'!H24</f>
        <v>5.9791618358977949</v>
      </c>
      <c r="L74" s="4025">
        <f>+'Maj Techno Summ'!I24</f>
        <v>5.9260302723648577</v>
      </c>
      <c r="M74" s="4026">
        <f>+'Maj Techno Summ'!J24</f>
        <v>6.0300558618251694</v>
      </c>
      <c r="N74" s="4023">
        <f>+'Maj Techno Summ'!K24</f>
        <v>5.8881874827843568</v>
      </c>
      <c r="O74" s="4024">
        <f>+'Maj Techno Summ'!L24</f>
        <v>5.9510024504802947</v>
      </c>
      <c r="P74" s="4027">
        <f>+'Maj Techno Summ'!M24</f>
        <v>5.9135485641504033</v>
      </c>
      <c r="Q74" s="4028">
        <f>+'Maj Techno Summ'!N24</f>
        <v>6.0018291327647386</v>
      </c>
      <c r="R74" s="4023">
        <f>+'Maj Techno Summ'!O24</f>
        <v>5.9044904422712001</v>
      </c>
      <c r="S74" s="4024">
        <f>+'Maj Techno Summ'!P24</f>
        <v>5.9231909835586922</v>
      </c>
      <c r="T74" s="4025">
        <f>+'Maj Techno Summ'!Q24</f>
        <v>5.9112818034949903</v>
      </c>
      <c r="U74" s="4026">
        <f>+'Maj Techno Summ'!R24</f>
        <v>5.9807714639072804</v>
      </c>
      <c r="V74" s="4023">
        <f>+'Maj Techno Summ'!S24</f>
        <v>5.9110636073860041</v>
      </c>
      <c r="W74" s="4024">
        <f>+'Maj Techno Summ'!T24</f>
        <v>6.028154237488426</v>
      </c>
      <c r="X74" s="4025">
        <f>+'Maj Techno Summ'!U24</f>
        <v>5.9112381298980665</v>
      </c>
      <c r="Y74" s="4311">
        <f>+'Maj Techno Summ'!V24</f>
        <v>5.990273829903412</v>
      </c>
      <c r="Z74" s="4023">
        <f>+'Maj Techno Summ'!W24</f>
        <v>6.4404862064644854</v>
      </c>
      <c r="AA74" s="4024">
        <f>+'Maj Techno Summ'!X24</f>
        <v>6.2161034181344306</v>
      </c>
      <c r="AB74" s="4027">
        <f>+'Maj Techno Summ'!Y24</f>
        <v>6.0185038105368784</v>
      </c>
      <c r="AC74" s="4027">
        <f>+'Maj Techno Summ'!Z24</f>
        <v>6.0504489425821761</v>
      </c>
      <c r="AD74" s="4029">
        <f>+'Maj Techno Summ'!AA24</f>
        <v>5.9615465955288425</v>
      </c>
      <c r="AE74" s="4030">
        <f>+'Maj Techno Summ'!AB24</f>
        <v>6.0267096597919014</v>
      </c>
      <c r="AF74" s="4023">
        <f>+'Maj Techno Summ'!AC24</f>
        <v>5.8977730271407953</v>
      </c>
      <c r="AG74" s="4024">
        <f>+'Maj Techno Summ'!AD24</f>
        <v>6.5564134070696864</v>
      </c>
      <c r="AH74" s="4025">
        <f>+'Maj Techno Summ'!AE24</f>
        <v>5.9515643417563009</v>
      </c>
      <c r="AI74" s="4026">
        <f>+'Maj Techno Summ'!AF24</f>
        <v>6.0869783861382887</v>
      </c>
      <c r="AJ74" s="4023">
        <f>+'Maj Techno Summ'!AG24</f>
        <v>5.9674105355612586</v>
      </c>
      <c r="AK74" s="4024">
        <f>+'Maj Techno Summ'!AH24</f>
        <v>6.0353483427745793</v>
      </c>
      <c r="AL74" s="4025">
        <f>+'Maj Techno Summ'!AI24</f>
        <v>5.9533717467066625</v>
      </c>
      <c r="AM74" s="4026">
        <f>+'Maj Techno Summ'!AJ24</f>
        <v>6.080153206462656</v>
      </c>
      <c r="AN74" s="4023">
        <f>+'Maj Techno Summ'!AK24</f>
        <v>5.9619079993755575</v>
      </c>
      <c r="AO74" s="4024">
        <f>+'Maj Techno Summ'!AL24</f>
        <v>6.135536634867977</v>
      </c>
      <c r="AP74" s="4027">
        <f>+'Maj Techno Summ'!AM24</f>
        <v>5.9413395829166165</v>
      </c>
      <c r="AQ74" s="4027">
        <f>+'Maj Techno Summ'!AN24</f>
        <v>6.2170647548230979</v>
      </c>
      <c r="AR74" s="4025">
        <f>+'Maj Techno Summ'!AO24</f>
        <v>5.9544119947504051</v>
      </c>
      <c r="AS74" s="4026">
        <f>+'Maj Techno Summ'!AP24</f>
        <v>6.0864403639359859</v>
      </c>
      <c r="AT74" s="4023">
        <f>+'Maj Techno Summ'!AQ24</f>
        <v>5.9566700099316927</v>
      </c>
      <c r="AU74" s="4024">
        <f>+'Maj Techno Summ'!AR24</f>
        <v>6.1463268879699946</v>
      </c>
      <c r="AV74" s="4025">
        <f>+'Maj Techno Summ'!AS24</f>
        <v>5.9546606414337466</v>
      </c>
      <c r="AW74" s="4026">
        <f>+'Maj Techno Summ'!AT24</f>
        <v>6.0923974269027976</v>
      </c>
      <c r="AX74" s="4023">
        <f>+'Maj Techno Summ'!AU24</f>
        <v>5.9639133095730053</v>
      </c>
      <c r="AY74" s="4024">
        <f>+'Maj Techno Summ'!AV24</f>
        <v>6.180550765571363</v>
      </c>
      <c r="AZ74" s="4025">
        <f>+'Maj Techno Summ'!AW24</f>
        <v>5.9554895272879893</v>
      </c>
      <c r="BA74" s="4311">
        <f>+'Maj Techno Summ'!AX24</f>
        <v>6.0928466279873765</v>
      </c>
      <c r="BB74" s="4023">
        <f>+'Maj Techno Summ'!AY24</f>
        <v>5.8906678130989905</v>
      </c>
      <c r="BC74" s="4024">
        <f>+'Maj Techno Summ'!AZ24</f>
        <v>5.9116955600412062</v>
      </c>
      <c r="BD74" s="3998">
        <f>+'Maj Techno Summ'!BA24</f>
        <v>5.9360969398660011</v>
      </c>
      <c r="BE74" s="3998">
        <f>+'Maj Techno Summ'!BB24</f>
        <v>6.0462702726947715</v>
      </c>
      <c r="BF74" s="3999">
        <f>+'Maj Techno Summ'!BC24</f>
        <v>5.9387319622747556</v>
      </c>
      <c r="BG74" s="4000">
        <f>+'Maj Techno Summ'!BD24</f>
        <v>6.1309279889789305</v>
      </c>
      <c r="BH74" s="3995">
        <f>+'Maj Techno Summ'!BE24</f>
        <v>5.9495831111716857</v>
      </c>
      <c r="BI74" s="3515">
        <f>+'Maj Techno Summ'!BF24</f>
        <v>6.0767731476890043</v>
      </c>
    </row>
    <row r="75" spans="3:61" ht="15.75" thickBot="1" x14ac:dyDescent="0.3">
      <c r="C75" s="7817"/>
      <c r="D75" s="3961" t="s">
        <v>306</v>
      </c>
      <c r="E75" s="3962" t="s">
        <v>365</v>
      </c>
      <c r="F75" s="4076">
        <v>516.74946439793155</v>
      </c>
      <c r="G75" s="4125">
        <f>+'Maj Techno Summ'!D25</f>
        <v>458.20336960360322</v>
      </c>
      <c r="H75" s="4080">
        <f>+'Maj Techno Summ'!E25</f>
        <v>494.08443338317159</v>
      </c>
      <c r="I75" s="4078">
        <f>+'Maj Techno Summ'!F25</f>
        <v>492.30285642977924</v>
      </c>
      <c r="J75" s="4080">
        <f>+'Maj Techno Summ'!G25</f>
        <v>461.80049178666684</v>
      </c>
      <c r="K75" s="4078">
        <f>+'Maj Techno Summ'!H25</f>
        <v>454.11622509213748</v>
      </c>
      <c r="L75" s="4083">
        <f>+'Maj Techno Summ'!I25</f>
        <v>475.85473490469138</v>
      </c>
      <c r="M75" s="4079">
        <f>+'Maj Techno Summ'!J25</f>
        <v>472.32855471914752</v>
      </c>
      <c r="N75" s="4080">
        <f>+'Maj Techno Summ'!K25</f>
        <v>461.30940171262648</v>
      </c>
      <c r="O75" s="4078">
        <f>+'Maj Techno Summ'!L25</f>
        <v>452.70788686245868</v>
      </c>
      <c r="P75" s="4081">
        <f>+'Maj Techno Summ'!M25</f>
        <v>470.71303971553681</v>
      </c>
      <c r="Q75" s="4082">
        <f>+'Maj Techno Summ'!N25</f>
        <v>465.60738309762405</v>
      </c>
      <c r="R75" s="4080">
        <f>+'Maj Techno Summ'!O25</f>
        <v>467.7439435313612</v>
      </c>
      <c r="S75" s="4078">
        <f>+'Maj Techno Summ'!P25</f>
        <v>442.75384913193756</v>
      </c>
      <c r="T75" s="4083">
        <f>+'Maj Techno Summ'!Q25</f>
        <v>469.93136435927534</v>
      </c>
      <c r="U75" s="4079">
        <f>+'Maj Techno Summ'!R25</f>
        <v>459.4942723673841</v>
      </c>
      <c r="V75" s="4080">
        <f>+'Maj Techno Summ'!S25</f>
        <v>467.7439435313612</v>
      </c>
      <c r="W75" s="4078">
        <f>+'Maj Techno Summ'!T25</f>
        <v>478.64470311607982</v>
      </c>
      <c r="X75" s="4083">
        <f>+'Maj Techno Summ'!U25</f>
        <v>469.47549736323998</v>
      </c>
      <c r="Y75" s="4079">
        <f>+'Maj Techno Summ'!V25</f>
        <v>463.21242347187001</v>
      </c>
      <c r="Z75" s="4080">
        <f>+'Maj Techno Summ'!W25</f>
        <v>583.45256429103893</v>
      </c>
      <c r="AA75" s="4078">
        <f>+'Maj Techno Summ'!X25</f>
        <v>460.52954687490472</v>
      </c>
      <c r="AB75" s="4081">
        <f>+'Maj Techno Summ'!Y25</f>
        <v>491.95795398331109</v>
      </c>
      <c r="AC75" s="4081">
        <f>+'Maj Techno Summ'!Z25</f>
        <v>460.01161602494744</v>
      </c>
      <c r="AD75" s="4084">
        <f>+'Maj Techno Summ'!AA25</f>
        <v>480.79900623302785</v>
      </c>
      <c r="AE75" s="4085">
        <f>+'Maj Techno Summ'!AB25</f>
        <v>462.76987151949487</v>
      </c>
      <c r="AF75" s="4080">
        <f>+'Maj Techno Summ'!AC25</f>
        <v>460.88039496676566</v>
      </c>
      <c r="AG75" s="4078">
        <f>+'Maj Techno Summ'!AD25</f>
        <v>521.99079603557163</v>
      </c>
      <c r="AH75" s="4083">
        <f>+'Maj Techno Summ'!AE25</f>
        <v>477.59415734813467</v>
      </c>
      <c r="AI75" s="4079">
        <f>+'Maj Techno Summ'!AF25</f>
        <v>469.68763180901209</v>
      </c>
      <c r="AJ75" s="4080">
        <f>+'Maj Techno Summ'!AG25</f>
        <v>462.80371337713393</v>
      </c>
      <c r="AK75" s="4078">
        <f>+'Maj Techno Summ'!AH25</f>
        <v>473.49810583154363</v>
      </c>
      <c r="AL75" s="4083">
        <f>+'Maj Techno Summ'!AI25</f>
        <v>475.6004384261725</v>
      </c>
      <c r="AM75" s="4079">
        <f>+'Maj Techno Summ'!AJ25</f>
        <v>470.15621094213157</v>
      </c>
      <c r="AN75" s="4080">
        <f>+'Maj Techno Summ'!AK25</f>
        <v>463.03105379435601</v>
      </c>
      <c r="AO75" s="4078">
        <f>+'Maj Techno Summ'!AL25</f>
        <v>443.87203984592827</v>
      </c>
      <c r="AP75" s="4081">
        <f>+'Maj Techno Summ'!AM25</f>
        <v>462.23235342889933</v>
      </c>
      <c r="AQ75" s="4081">
        <f>+'Maj Techno Summ'!AN25</f>
        <v>476.38290609386956</v>
      </c>
      <c r="AR75" s="4083">
        <f>+'Maj Techno Summ'!AO25</f>
        <v>474.06448612255537</v>
      </c>
      <c r="AS75" s="4079">
        <f>+'Maj Techno Summ'!AP25</f>
        <v>467.07471511288566</v>
      </c>
      <c r="AT75" s="4080">
        <f>+'Maj Techno Summ'!AQ25</f>
        <v>459.24603448350217</v>
      </c>
      <c r="AU75" s="4078">
        <f>+'Maj Techno Summ'!AR25</f>
        <v>461.48646553886596</v>
      </c>
      <c r="AV75" s="4083">
        <f>+'Maj Techno Summ'!AS25</f>
        <v>472.42965673236938</v>
      </c>
      <c r="AW75" s="4079">
        <f>+'Maj Techno Summ'!AT25</f>
        <v>466.50358387761077</v>
      </c>
      <c r="AX75" s="4080">
        <f>+'Maj Techno Summ'!AU25</f>
        <v>463.10735494009629</v>
      </c>
      <c r="AY75" s="4078">
        <f>+'Maj Techno Summ'!AV25</f>
        <v>502.65661012599321</v>
      </c>
      <c r="AZ75" s="4083">
        <f>+'Maj Techno Summ'!AW25</f>
        <v>471.59465599952279</v>
      </c>
      <c r="BA75" s="4079">
        <f>+'Maj Techno Summ'!AX25</f>
        <v>469.29871745105851</v>
      </c>
      <c r="BB75" s="4080">
        <f>+'Maj Techno Summ'!AY25</f>
        <v>459.76937063497422</v>
      </c>
      <c r="BC75" s="4078">
        <f>+'Maj Techno Summ'!AZ25</f>
        <v>450.62512378028765</v>
      </c>
      <c r="BD75" s="4039">
        <f>+'Maj Techno Summ'!BA25</f>
        <v>460.61776153124572</v>
      </c>
      <c r="BE75" s="4039">
        <f>+'Maj Techno Summ'!BB25</f>
        <v>469.35440124772992</v>
      </c>
      <c r="BF75" s="4037">
        <f>+'Maj Techno Summ'!BC25</f>
        <v>461.4296796870504</v>
      </c>
      <c r="BG75" s="4038">
        <f>+'Maj Techno Summ'!BD25</f>
        <v>472.81898702018145</v>
      </c>
      <c r="BH75" s="4034">
        <f>+'Maj Techno Summ'!BE25</f>
        <v>470.51531043928321</v>
      </c>
      <c r="BI75" s="3528">
        <f>+'Maj Techno Summ'!BF25</f>
        <v>467.63426789799831</v>
      </c>
    </row>
    <row r="76" spans="3:61" x14ac:dyDescent="0.25">
      <c r="C76" s="7815" t="s">
        <v>1024</v>
      </c>
      <c r="D76" s="3958" t="s">
        <v>1340</v>
      </c>
      <c r="E76" s="3959" t="s">
        <v>29</v>
      </c>
      <c r="F76" s="4021">
        <v>3.0186531588909742</v>
      </c>
      <c r="G76" s="4124">
        <f>+'Maj Techno Summ'!D27</f>
        <v>2.8000000000000003</v>
      </c>
      <c r="H76" s="4023">
        <f>+'Maj Techno Summ'!E27</f>
        <v>2.8000000000000003</v>
      </c>
      <c r="I76" s="4024">
        <f>+'Maj Techno Summ'!F27</f>
        <v>2.82</v>
      </c>
      <c r="J76" s="4023">
        <f>+'Maj Techno Summ'!G27</f>
        <v>2.8000000000000003</v>
      </c>
      <c r="K76" s="4024">
        <f>+'Maj Techno Summ'!H27</f>
        <v>2.97</v>
      </c>
      <c r="L76" s="4025">
        <f>+'Maj Techno Summ'!I27</f>
        <v>2.8000000000000003</v>
      </c>
      <c r="M76" s="4026">
        <f>+'Maj Techno Summ'!J27</f>
        <v>2.8971873858358128</v>
      </c>
      <c r="N76" s="4023">
        <f>+'Maj Techno Summ'!K27</f>
        <v>2.8000000000000003</v>
      </c>
      <c r="O76" s="4024">
        <f>+'Maj Techno Summ'!L27</f>
        <v>2.96</v>
      </c>
      <c r="P76" s="4027">
        <f>+'Maj Techno Summ'!M27</f>
        <v>2.8000000000000003</v>
      </c>
      <c r="Q76" s="4028">
        <f>+'Maj Techno Summ'!N27</f>
        <v>2.9189299561932955</v>
      </c>
      <c r="R76" s="4023">
        <f>+'Maj Techno Summ'!O27</f>
        <v>2.8000000000000003</v>
      </c>
      <c r="S76" s="4024">
        <f>+'Maj Techno Summ'!P27</f>
        <v>2.9</v>
      </c>
      <c r="T76" s="4025">
        <f>+'Maj Techno Summ'!Q27</f>
        <v>2.8000000000000003</v>
      </c>
      <c r="U76" s="4026">
        <f>+'Maj Techno Summ'!R27</f>
        <v>2.9139122802067754</v>
      </c>
      <c r="V76" s="4023">
        <f>+'Maj Techno Summ'!S27</f>
        <v>2.8000000000000003</v>
      </c>
      <c r="W76" s="4024">
        <f>+'Maj Techno Summ'!T27</f>
        <v>2.9</v>
      </c>
      <c r="X76" s="4025">
        <f>+'Maj Techno Summ'!U27</f>
        <v>2.8000000000000003</v>
      </c>
      <c r="Y76" s="4026">
        <f>+'Maj Techno Summ'!V27</f>
        <v>2.9111449429558487</v>
      </c>
      <c r="Z76" s="4023">
        <f>+'Maj Techno Summ'!W27</f>
        <v>2.8000000000000003</v>
      </c>
      <c r="AA76" s="4024">
        <f>+'Maj Techno Summ'!X27</f>
        <v>2.9049999999999998</v>
      </c>
      <c r="AB76" s="4027">
        <f>+'Maj Techno Summ'!Y27</f>
        <v>2.8000000000000003</v>
      </c>
      <c r="AC76" s="4027">
        <f>+'Maj Techno Summ'!Z27</f>
        <v>2.9015794263163683</v>
      </c>
      <c r="AD76" s="4029">
        <f>+'Maj Techno Summ'!AA27</f>
        <v>2.8000000000000003</v>
      </c>
      <c r="AE76" s="4030">
        <f>+'Maj Techno Summ'!AB27</f>
        <v>2.9101642796641172</v>
      </c>
      <c r="AF76" s="4023">
        <f>+'Maj Techno Summ'!AC27</f>
        <v>2.8000000000000003</v>
      </c>
      <c r="AG76" s="4024">
        <f>+'Maj Techno Summ'!AD27</f>
        <v>2.94</v>
      </c>
      <c r="AH76" s="4025">
        <f>+'Maj Techno Summ'!AE27</f>
        <v>2.8000000000000003</v>
      </c>
      <c r="AI76" s="4026">
        <f>+'Maj Techno Summ'!AF27</f>
        <v>2.9135045440943017</v>
      </c>
      <c r="AJ76" s="4023">
        <f>+'Maj Techno Summ'!AG27</f>
        <v>2.8000000000000003</v>
      </c>
      <c r="AK76" s="4024">
        <f>+'Maj Techno Summ'!AH27</f>
        <v>2.86</v>
      </c>
      <c r="AL76" s="4025">
        <f>+'Maj Techno Summ'!AI27</f>
        <v>2.8000000000000003</v>
      </c>
      <c r="AM76" s="4026">
        <f>+'Maj Techno Summ'!AJ27</f>
        <v>2.9067950431412486</v>
      </c>
      <c r="AN76" s="4023">
        <f>+'Maj Techno Summ'!AK27</f>
        <v>2.8000000000000003</v>
      </c>
      <c r="AO76" s="4024">
        <f>+'Maj Techno Summ'!AL27</f>
        <v>2.87</v>
      </c>
      <c r="AP76" s="4027">
        <f>+'Maj Techno Summ'!AM27</f>
        <v>2.8000000000000003</v>
      </c>
      <c r="AQ76" s="4027">
        <f>+'Maj Techno Summ'!AN27</f>
        <v>2.8859377390882455</v>
      </c>
      <c r="AR76" s="4025">
        <f>+'Maj Techno Summ'!AO27</f>
        <v>2.8000000000000003</v>
      </c>
      <c r="AS76" s="4026">
        <f>+'Maj Techno Summ'!AP27</f>
        <v>2.9026180494605027</v>
      </c>
      <c r="AT76" s="4023">
        <f>+'Maj Techno Summ'!AQ27</f>
        <v>2.85</v>
      </c>
      <c r="AU76" s="4024">
        <f>+'Maj Techno Summ'!AR27</f>
        <v>2.88</v>
      </c>
      <c r="AV76" s="4025">
        <f>+'Maj Techno Summ'!AS27</f>
        <v>2.8000000000000003</v>
      </c>
      <c r="AW76" s="4026">
        <f>+'Maj Techno Summ'!AT27</f>
        <v>2.900368175269338</v>
      </c>
      <c r="AX76" s="4023">
        <f>+'Maj Techno Summ'!AU27</f>
        <v>2.85</v>
      </c>
      <c r="AY76" s="4024">
        <f>+'Maj Techno Summ'!AV27</f>
        <v>2.86</v>
      </c>
      <c r="AZ76" s="4025">
        <f>+'Maj Techno Summ'!AW27</f>
        <v>2.8000000000000003</v>
      </c>
      <c r="BA76" s="4026">
        <f>+'Maj Techno Summ'!AX27</f>
        <v>2.8973536363522614</v>
      </c>
      <c r="BB76" s="4023">
        <f>+'Maj Techno Summ'!AY27</f>
        <v>2.85</v>
      </c>
      <c r="BC76" s="4024">
        <f>+'Maj Techno Summ'!AZ27</f>
        <v>2.87</v>
      </c>
      <c r="BD76" s="3998">
        <f>+'Maj Techno Summ'!BA27</f>
        <v>2.8000000000000003</v>
      </c>
      <c r="BE76" s="3998">
        <f>+'Maj Techno Summ'!BB27</f>
        <v>2.8706576616643975</v>
      </c>
      <c r="BF76" s="3999">
        <f>+'Maj Techno Summ'!BC27</f>
        <v>2.8000000000000003</v>
      </c>
      <c r="BG76" s="4000">
        <f>+'Maj Techno Summ'!BD27</f>
        <v>2.8782315390123565</v>
      </c>
      <c r="BH76" s="3995">
        <f>+'Maj Techno Summ'!BE27</f>
        <v>2.8000000000000003</v>
      </c>
      <c r="BI76" s="3515">
        <f>+'Maj Techno Summ'!BF27</f>
        <v>2.8949265563467077</v>
      </c>
    </row>
    <row r="77" spans="3:61" x14ac:dyDescent="0.25">
      <c r="C77" s="7816"/>
      <c r="D77" s="4059" t="s">
        <v>366</v>
      </c>
      <c r="E77" s="3785" t="s">
        <v>405</v>
      </c>
      <c r="F77" s="4109">
        <v>2.4470555125122435</v>
      </c>
      <c r="G77" s="4126">
        <f>+'Maj Techno Summ'!D28</f>
        <v>2.5099999999999998</v>
      </c>
      <c r="H77" s="3994">
        <f>+'Maj Techno Summ'!E28</f>
        <v>2.5099999999999998</v>
      </c>
      <c r="I77" s="4075">
        <f>+'Maj Techno Summ'!F28</f>
        <v>2.68</v>
      </c>
      <c r="J77" s="3994">
        <f>+'Maj Techno Summ'!G28</f>
        <v>2.5099999999999998</v>
      </c>
      <c r="K77" s="4075">
        <f>+'Maj Techno Summ'!H28</f>
        <v>2.3199999999999998</v>
      </c>
      <c r="L77" s="3995">
        <f>+'Maj Techno Summ'!I28</f>
        <v>2.5099999999999998</v>
      </c>
      <c r="M77" s="3515">
        <f>+'Maj Techno Summ'!J28</f>
        <v>2.4947502739940499</v>
      </c>
      <c r="N77" s="3994">
        <f>+'Maj Techno Summ'!K28</f>
        <v>2.5099999999999998</v>
      </c>
      <c r="O77" s="4075">
        <f>+'Maj Techno Summ'!L28</f>
        <v>2.34</v>
      </c>
      <c r="P77" s="3996">
        <f>+'Maj Techno Summ'!M28</f>
        <v>2.5099999999999998</v>
      </c>
      <c r="Q77" s="4040">
        <f>+'Maj Techno Summ'!N28</f>
        <v>2.4411835061572518</v>
      </c>
      <c r="R77" s="3994">
        <f>+'Maj Techno Summ'!O28</f>
        <v>2.5099999999999998</v>
      </c>
      <c r="S77" s="4075">
        <f>+'Maj Techno Summ'!P28</f>
        <v>2.35</v>
      </c>
      <c r="T77" s="3995">
        <f>+'Maj Techno Summ'!Q28</f>
        <v>2.5099999999999998</v>
      </c>
      <c r="U77" s="3515">
        <f>+'Maj Techno Summ'!R28</f>
        <v>2.4170139156658612</v>
      </c>
      <c r="V77" s="3994">
        <f>+'Maj Techno Summ'!S28</f>
        <v>2.5099999999999998</v>
      </c>
      <c r="W77" s="4075">
        <f>+'Maj Techno Summ'!T28</f>
        <v>2.4</v>
      </c>
      <c r="X77" s="3995">
        <f>+'Maj Techno Summ'!U28</f>
        <v>2.5099999999999998</v>
      </c>
      <c r="Y77" s="3515">
        <f>+'Maj Techno Summ'!V28</f>
        <v>2.4136296219407147</v>
      </c>
      <c r="Z77" s="3994">
        <f>+'Maj Techno Summ'!W28</f>
        <v>2.5099999999999998</v>
      </c>
      <c r="AA77" s="4075">
        <f>+'Maj Techno Summ'!X28</f>
        <v>2.4500000000000002</v>
      </c>
      <c r="AB77" s="3996">
        <f>+'Maj Techno Summ'!Y28</f>
        <v>2.5099999999999998</v>
      </c>
      <c r="AC77" s="3996">
        <f>+'Maj Techno Summ'!Z28</f>
        <v>2.3981330008034742</v>
      </c>
      <c r="AD77" s="3999">
        <f>+'Maj Techno Summ'!AA28</f>
        <v>2.5099999999999998</v>
      </c>
      <c r="AE77" s="4000">
        <f>+'Maj Techno Summ'!AB28</f>
        <v>2.4294339223102073</v>
      </c>
      <c r="AF77" s="3994">
        <f>+'Maj Techno Summ'!AC28</f>
        <v>2.5099999999999998</v>
      </c>
      <c r="AG77" s="4075">
        <f>+'Maj Techno Summ'!AD28</f>
        <v>2.78</v>
      </c>
      <c r="AH77" s="3995">
        <f>+'Maj Techno Summ'!AE28</f>
        <v>2.5099999999999998</v>
      </c>
      <c r="AI77" s="3515">
        <f>+'Maj Techno Summ'!AF28</f>
        <v>2.4686816222669674</v>
      </c>
      <c r="AJ77" s="3994">
        <f>+'Maj Techno Summ'!AG28</f>
        <v>2.5099999999999998</v>
      </c>
      <c r="AK77" s="4075">
        <f>+'Maj Techno Summ'!AH28</f>
        <v>2.41</v>
      </c>
      <c r="AL77" s="3995">
        <f>+'Maj Techno Summ'!AI28</f>
        <v>2.5099999999999998</v>
      </c>
      <c r="AM77" s="3515">
        <f>+'Maj Techno Summ'!AJ28</f>
        <v>2.451322912699553</v>
      </c>
      <c r="AN77" s="3994">
        <f>+'Maj Techno Summ'!AK28</f>
        <v>2.5099999999999998</v>
      </c>
      <c r="AO77" s="4075">
        <f>+'Maj Techno Summ'!AL28</f>
        <v>2.4</v>
      </c>
      <c r="AP77" s="3996">
        <f>+'Maj Techno Summ'!AM28</f>
        <v>2.5099999999999998</v>
      </c>
      <c r="AQ77" s="3996">
        <f>+'Maj Techno Summ'!AN28</f>
        <v>2.5094618298531417</v>
      </c>
      <c r="AR77" s="3995">
        <f>+'Maj Techno Summ'!AO28</f>
        <v>2.5099999999999998</v>
      </c>
      <c r="AS77" s="3515">
        <f>+'Maj Techno Summ'!AP28</f>
        <v>2.4454967072185441</v>
      </c>
      <c r="AT77" s="3994">
        <f>+'Maj Techno Summ'!AQ28</f>
        <v>2.5099999999999998</v>
      </c>
      <c r="AU77" s="4075">
        <f>+'Maj Techno Summ'!AR28</f>
        <v>2.4</v>
      </c>
      <c r="AV77" s="3995">
        <f>+'Maj Techno Summ'!AS28</f>
        <v>2.5099999999999998</v>
      </c>
      <c r="AW77" s="3515">
        <f>+'Maj Techno Summ'!AT28</f>
        <v>2.4409710354742704</v>
      </c>
      <c r="AX77" s="3994">
        <f>+'Maj Techno Summ'!AU28</f>
        <v>2.5099999999999998</v>
      </c>
      <c r="AY77" s="4075">
        <f>+'Maj Techno Summ'!AV28</f>
        <v>2.48</v>
      </c>
      <c r="AZ77" s="3995">
        <f>+'Maj Techno Summ'!AW28</f>
        <v>2.5099999999999998</v>
      </c>
      <c r="BA77" s="3515">
        <f>+'Maj Techno Summ'!AX28</f>
        <v>2.4438855673219702</v>
      </c>
      <c r="BB77" s="3994">
        <f>+'Maj Techno Summ'!AY28</f>
        <v>2.5099999999999998</v>
      </c>
      <c r="BC77" s="4075">
        <f>+'Maj Techno Summ'!AZ28</f>
        <v>2.37</v>
      </c>
      <c r="BD77" s="4071">
        <f>+'Maj Techno Summ'!BA28</f>
        <v>2.5099999999999998</v>
      </c>
      <c r="BE77" s="3998">
        <f>+'Maj Techno Summ'!BB28</f>
        <v>2.4115605155409652</v>
      </c>
      <c r="BF77" s="4069">
        <f>+'Maj Techno Summ'!BC28</f>
        <v>2.5099999999999998</v>
      </c>
      <c r="BG77" s="4000">
        <f>+'Maj Techno Summ'!BD28</f>
        <v>2.4600872687920416</v>
      </c>
      <c r="BH77" s="4068">
        <f>+'Maj Techno Summ'!BE28</f>
        <v>2.5099999999999998</v>
      </c>
      <c r="BI77" s="3515">
        <f>+'Maj Techno Summ'!BF28</f>
        <v>2.4373297229422035</v>
      </c>
    </row>
    <row r="78" spans="3:61" ht="15.75" thickBot="1" x14ac:dyDescent="0.3">
      <c r="C78" s="7817"/>
      <c r="D78" s="3961" t="s">
        <v>367</v>
      </c>
      <c r="E78" s="3962" t="s">
        <v>406</v>
      </c>
      <c r="F78" s="4127">
        <v>0.52806819520607939</v>
      </c>
      <c r="G78" s="4128">
        <f>+'Maj Techno Summ'!D29</f>
        <v>0.5</v>
      </c>
      <c r="H78" s="4129">
        <f>+'Maj Techno Summ'!E29</f>
        <v>0.5</v>
      </c>
      <c r="I78" s="4110">
        <f>+'Maj Techno Summ'!F29</f>
        <v>0.52</v>
      </c>
      <c r="J78" s="4129">
        <f>+'Maj Techno Summ'!G29</f>
        <v>0.5</v>
      </c>
      <c r="K78" s="4110">
        <f>+'Maj Techno Summ'!H29</f>
        <v>0.49199999999999999</v>
      </c>
      <c r="L78" s="4130">
        <f>+'Maj Techno Summ'!I29</f>
        <v>0.5</v>
      </c>
      <c r="M78" s="4131">
        <f>+'Maj Techno Summ'!J29</f>
        <v>0.50559168797731502</v>
      </c>
      <c r="N78" s="4129">
        <f>+'Maj Techno Summ'!K29</f>
        <v>0.5</v>
      </c>
      <c r="O78" s="4110">
        <f>+'Maj Techno Summ'!L29</f>
        <v>0.5</v>
      </c>
      <c r="P78" s="4132">
        <f>+'Maj Techno Summ'!M29</f>
        <v>0.5</v>
      </c>
      <c r="Q78" s="4133">
        <f>+'Maj Techno Summ'!N29</f>
        <v>0.50365612661147108</v>
      </c>
      <c r="R78" s="4129">
        <f>+'Maj Techno Summ'!O29</f>
        <v>0.5</v>
      </c>
      <c r="S78" s="4110">
        <f>+'Maj Techno Summ'!P29</f>
        <v>0.5</v>
      </c>
      <c r="T78" s="4130">
        <f>+'Maj Techno Summ'!Q29</f>
        <v>0.5</v>
      </c>
      <c r="U78" s="4131">
        <f>+'Maj Techno Summ'!R29</f>
        <v>0.50268701403061089</v>
      </c>
      <c r="V78" s="4129">
        <f>+'Maj Techno Summ'!S29</f>
        <v>0.5</v>
      </c>
      <c r="W78" s="4110">
        <f>+'Maj Techno Summ'!T29</f>
        <v>0.5</v>
      </c>
      <c r="X78" s="4130">
        <f>+'Maj Techno Summ'!U29</f>
        <v>0.5</v>
      </c>
      <c r="Y78" s="4131">
        <f>+'Maj Techno Summ'!V29</f>
        <v>0.50215253126357673</v>
      </c>
      <c r="Z78" s="4129">
        <f>+'Maj Techno Summ'!W29</f>
        <v>0.5</v>
      </c>
      <c r="AA78" s="4110">
        <f>+'Maj Techno Summ'!X29</f>
        <v>0.5</v>
      </c>
      <c r="AB78" s="4132">
        <f>+'Maj Techno Summ'!Y29</f>
        <v>0.5</v>
      </c>
      <c r="AC78" s="4132">
        <f>+'Maj Techno Summ'!Z29</f>
        <v>0.5</v>
      </c>
      <c r="AD78" s="4134">
        <f>+'Maj Techno Summ'!AA29</f>
        <v>0.5</v>
      </c>
      <c r="AE78" s="4135">
        <f>+'Maj Techno Summ'!AB29</f>
        <v>0.50180901165572001</v>
      </c>
      <c r="AF78" s="4129">
        <f>+'Maj Techno Summ'!AC29</f>
        <v>0.5</v>
      </c>
      <c r="AG78" s="4110">
        <f>+'Maj Techno Summ'!AD29</f>
        <v>0.5</v>
      </c>
      <c r="AH78" s="4130">
        <f>+'Maj Techno Summ'!AE29</f>
        <v>0.5</v>
      </c>
      <c r="AI78" s="4131">
        <f>+'Maj Techno Summ'!AF29</f>
        <v>0.50160648337018288</v>
      </c>
      <c r="AJ78" s="4129">
        <f>+'Maj Techno Summ'!AG29</f>
        <v>0.5</v>
      </c>
      <c r="AK78" s="4110">
        <f>+'Maj Techno Summ'!AH29</f>
        <v>0.46</v>
      </c>
      <c r="AL78" s="4130">
        <f>+'Maj Techno Summ'!AI29</f>
        <v>0.5</v>
      </c>
      <c r="AM78" s="4131">
        <f>+'Maj Techno Summ'!AJ29</f>
        <v>0.49638900615304415</v>
      </c>
      <c r="AN78" s="4129">
        <f>+'Maj Techno Summ'!AK29</f>
        <v>0.5</v>
      </c>
      <c r="AO78" s="4110">
        <f>+'Maj Techno Summ'!AL29</f>
        <v>0.49</v>
      </c>
      <c r="AP78" s="4132">
        <f>+'Maj Techno Summ'!AM29</f>
        <v>0.5</v>
      </c>
      <c r="AQ78" s="4132">
        <f>+'Maj Techno Summ'!AN29</f>
        <v>0.48208007551300947</v>
      </c>
      <c r="AR78" s="4130">
        <f>+'Maj Techno Summ'!AO29</f>
        <v>0.5</v>
      </c>
      <c r="AS78" s="4131">
        <f>+'Maj Techno Summ'!AP29</f>
        <v>0.49566372263523262</v>
      </c>
      <c r="AT78" s="4129">
        <f>+'Maj Techno Summ'!AQ29</f>
        <v>0.5</v>
      </c>
      <c r="AU78" s="4110">
        <f>+'Maj Techno Summ'!AR29</f>
        <v>0.5</v>
      </c>
      <c r="AV78" s="4130">
        <f>+'Maj Techno Summ'!AS29</f>
        <v>0.5</v>
      </c>
      <c r="AW78" s="4131">
        <f>+'Maj Techno Summ'!AT29</f>
        <v>0.49609506303643552</v>
      </c>
      <c r="AX78" s="4129">
        <f>+'Maj Techno Summ'!AU29</f>
        <v>0.5</v>
      </c>
      <c r="AY78" s="4110">
        <f>+'Maj Techno Summ'!AV29</f>
        <v>0.52</v>
      </c>
      <c r="AZ78" s="4130">
        <f>+'Maj Techno Summ'!AW29</f>
        <v>0.5</v>
      </c>
      <c r="BA78" s="4131">
        <f>+'Maj Techno Summ'!AX29</f>
        <v>0.49788019110591419</v>
      </c>
      <c r="BB78" s="4129">
        <f>+'Maj Techno Summ'!AY29</f>
        <v>0.5</v>
      </c>
      <c r="BC78" s="4110">
        <f>+'Maj Techno Summ'!AZ29</f>
        <v>0.5</v>
      </c>
      <c r="BD78" s="3998">
        <f>+'Maj Techno Summ'!BA29</f>
        <v>0.5</v>
      </c>
      <c r="BE78" s="3998">
        <f>+'Maj Techno Summ'!BB29</f>
        <v>0.50565536150682489</v>
      </c>
      <c r="BF78" s="3999">
        <f>+'Maj Techno Summ'!BC29</f>
        <v>0.5</v>
      </c>
      <c r="BG78" s="4000">
        <f>+'Maj Techno Summ'!BD29</f>
        <v>0.49396979738255292</v>
      </c>
      <c r="BH78" s="3995">
        <f>+'Maj Techno Summ'!BE29</f>
        <v>0.5</v>
      </c>
      <c r="BI78" s="3515">
        <f>+'Maj Techno Summ'!BF29</f>
        <v>0.49806828111764695</v>
      </c>
    </row>
    <row r="79" spans="3:61" ht="16.5" thickBot="1" x14ac:dyDescent="0.3">
      <c r="C79" s="4136" t="s">
        <v>1025</v>
      </c>
      <c r="D79" s="4137" t="s">
        <v>521</v>
      </c>
      <c r="E79" s="4138" t="s">
        <v>522</v>
      </c>
      <c r="F79" s="4139">
        <v>639.11266207165545</v>
      </c>
      <c r="G79" s="4140">
        <f>+'Maj Techno Summ'!D30</f>
        <v>832.79094265846709</v>
      </c>
      <c r="H79" s="4141">
        <f>+'Maj Techno Summ'!E30</f>
        <v>694.95531888890366</v>
      </c>
      <c r="I79" s="4142">
        <f>+'Maj Techno Summ'!F30</f>
        <v>802.23728490316716</v>
      </c>
      <c r="J79" s="4141">
        <f>+'Maj Techno Summ'!G30</f>
        <v>814.8825190968206</v>
      </c>
      <c r="K79" s="4142">
        <f>+'Maj Techno Summ'!H30</f>
        <v>799.42672946489506</v>
      </c>
      <c r="L79" s="4143">
        <f>+'Maj Techno Summ'!I30</f>
        <v>757.28646323437783</v>
      </c>
      <c r="M79" s="4144">
        <f>+'Maj Techno Summ'!J30</f>
        <v>801.00956840430183</v>
      </c>
      <c r="N79" s="4141">
        <f>+'Maj Techno Summ'!K30</f>
        <v>817.70562892885039</v>
      </c>
      <c r="O79" s="4142">
        <f>+'Maj Techno Summ'!L30</f>
        <v>850.75383150272273</v>
      </c>
      <c r="P79" s="4145">
        <f>+'Maj Techno Summ'!M30</f>
        <v>777.38374401888359</v>
      </c>
      <c r="Q79" s="4146">
        <f>+'Maj Techno Summ'!N30</f>
        <v>817.50351271666125</v>
      </c>
      <c r="R79" s="4141">
        <f>+'Maj Techno Summ'!O30</f>
        <v>802.355516552626</v>
      </c>
      <c r="S79" s="4142">
        <f>+'Maj Techno Summ'!P30</f>
        <v>858.73073141775944</v>
      </c>
      <c r="T79" s="4143">
        <f>+'Maj Techno Summ'!Q30</f>
        <v>783.80313054920907</v>
      </c>
      <c r="U79" s="4144">
        <f>+'Maj Techno Summ'!R30</f>
        <v>828.03209876207802</v>
      </c>
      <c r="V79" s="4141">
        <f>+'Maj Techno Summ'!S30</f>
        <v>803.0385660843109</v>
      </c>
      <c r="W79" s="4142">
        <f>+'Maj Techno Summ'!T30</f>
        <v>807.72736148331228</v>
      </c>
      <c r="X79" s="4143">
        <f>+'Maj Techno Summ'!U30</f>
        <v>787.73218533524084</v>
      </c>
      <c r="Y79" s="4144">
        <f>+'Maj Techno Summ'!V30</f>
        <v>823.91831080087229</v>
      </c>
      <c r="Z79" s="4141">
        <f>+'Maj Techno Summ'!W30</f>
        <v>444.87961481035342</v>
      </c>
      <c r="AA79" s="4142">
        <f>+'Maj Techno Summ'!X30</f>
        <v>800.50814464028986</v>
      </c>
      <c r="AB79" s="4145">
        <f>+'Maj Techno Summ'!Y30</f>
        <v>687.8136489984638</v>
      </c>
      <c r="AC79" s="4145">
        <f>+'Maj Techno Summ'!Z30</f>
        <v>822.67304970318651</v>
      </c>
      <c r="AD79" s="4147">
        <f>+'Maj Techno Summ'!AA30</f>
        <v>731.38442077247942</v>
      </c>
      <c r="AE79" s="4147">
        <f>+'Maj Techno Summ'!AB30</f>
        <v>820.10512624596629</v>
      </c>
      <c r="AF79" s="4141">
        <f>+'Maj Techno Summ'!AC30</f>
        <v>821.61133260872475</v>
      </c>
      <c r="AG79" s="4142">
        <f>+'Maj Techno Summ'!AD30</f>
        <v>627.19218779449864</v>
      </c>
      <c r="AH79" s="4143">
        <f>+'Maj Techno Summ'!AE30</f>
        <v>744.46730966175335</v>
      </c>
      <c r="AI79" s="4144">
        <f>+'Maj Techno Summ'!AF30</f>
        <v>792.25004263465803</v>
      </c>
      <c r="AJ79" s="4141">
        <f>+'Maj Techno Summ'!AG30</f>
        <v>825.17752502414544</v>
      </c>
      <c r="AK79" s="4142">
        <f>+'Maj Techno Summ'!AH30</f>
        <v>812.21648212896196</v>
      </c>
      <c r="AL79" s="4143">
        <f>+'Maj Techno Summ'!AI30</f>
        <v>754.37641511841468</v>
      </c>
      <c r="AM79" s="4144">
        <f>+'Maj Techno Summ'!AJ30</f>
        <v>794.70159566014627</v>
      </c>
      <c r="AN79" s="4141">
        <f>+'Maj Techno Summ'!AK30</f>
        <v>824.42828574909777</v>
      </c>
      <c r="AO79" s="4142">
        <f>+'Maj Techno Summ'!AL30</f>
        <v>805.04627302386416</v>
      </c>
      <c r="AP79" s="4145">
        <f>+'Maj Techno Summ'!AM30</f>
        <v>823.72805861312543</v>
      </c>
      <c r="AQ79" s="4145">
        <f>+'Maj Techno Summ'!AN30</f>
        <v>747.27457978871462</v>
      </c>
      <c r="AR79" s="4143">
        <f>+'Maj Techno Summ'!AO30</f>
        <v>762.2540856611472</v>
      </c>
      <c r="AS79" s="4144">
        <f>+'Maj Techno Summ'!AP30</f>
        <v>795.84740159449348</v>
      </c>
      <c r="AT79" s="4141">
        <f>+'Maj Techno Summ'!AQ30</f>
        <v>838.81244623945884</v>
      </c>
      <c r="AU79" s="4142">
        <f>+'Maj Techno Summ'!AR30</f>
        <v>789.63550917454529</v>
      </c>
      <c r="AV79" s="4143">
        <f>+'Maj Techno Summ'!AS30</f>
        <v>769.97763824618448</v>
      </c>
      <c r="AW79" s="4144">
        <f>+'Maj Techno Summ'!AT30</f>
        <v>795.21220137985392</v>
      </c>
      <c r="AX79" s="4141">
        <f>+'Maj Techno Summ'!AU30</f>
        <v>830.48772690547321</v>
      </c>
      <c r="AY79" s="4142">
        <f>+'Maj Techno Summ'!AV30</f>
        <v>707.99769922610335</v>
      </c>
      <c r="AZ79" s="4143">
        <f>+'Maj Techno Summ'!AW30</f>
        <v>775.0538767782889</v>
      </c>
      <c r="BA79" s="4144">
        <f>+'Maj Techno Summ'!AX30</f>
        <v>788.02755883178929</v>
      </c>
      <c r="BB79" s="4141">
        <f>+'Maj Techno Summ'!AY30</f>
        <v>839.77411141141556</v>
      </c>
      <c r="BC79" s="4142">
        <f>+'Maj Techno Summ'!AZ30</f>
        <v>837.34047478274499</v>
      </c>
      <c r="BD79" s="4039">
        <f>+'Maj Techno Summ'!BA30</f>
        <v>836.55358401556646</v>
      </c>
      <c r="BE79" s="4039">
        <f>+'Maj Techno Summ'!BB30</f>
        <v>780.49294118867783</v>
      </c>
      <c r="BF79" s="4037">
        <f>+'Maj Techno Summ'!BC30</f>
        <v>830.07564496772477</v>
      </c>
      <c r="BG79" s="4038">
        <f>+'Maj Techno Summ'!BD30</f>
        <v>763.66364360461557</v>
      </c>
      <c r="BH79" s="4034">
        <f>+'Maj Techno Summ'!BE30</f>
        <v>780.52297053068867</v>
      </c>
      <c r="BI79" s="3528">
        <f>+'Maj Techno Summ'!BF30</f>
        <v>792.13823578942788</v>
      </c>
    </row>
    <row r="80" spans="3:61" x14ac:dyDescent="0.25">
      <c r="T80" s="1192"/>
      <c r="U80" s="1192"/>
    </row>
  </sheetData>
  <mergeCells count="36">
    <mergeCell ref="C76:C78"/>
    <mergeCell ref="C4:C5"/>
    <mergeCell ref="X4:Y4"/>
    <mergeCell ref="C36:C51"/>
    <mergeCell ref="C53:C61"/>
    <mergeCell ref="H4:I4"/>
    <mergeCell ref="J4:K4"/>
    <mergeCell ref="N4:O4"/>
    <mergeCell ref="L4:M4"/>
    <mergeCell ref="C6:C27"/>
    <mergeCell ref="C28:C35"/>
    <mergeCell ref="P4:Q4"/>
    <mergeCell ref="C74:C75"/>
    <mergeCell ref="C62:C73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J259"/>
  <sheetViews>
    <sheetView zoomScaleNormal="100" workbookViewId="0">
      <pane xSplit="3" topLeftCell="E1" activePane="topRight" state="frozen"/>
      <selection pane="topRight" activeCell="E19" sqref="E19"/>
    </sheetView>
  </sheetViews>
  <sheetFormatPr defaultRowHeight="15.75" x14ac:dyDescent="0.25"/>
  <cols>
    <col min="2" max="2" width="79.140625" bestFit="1" customWidth="1"/>
    <col min="3" max="3" width="15.140625" customWidth="1"/>
    <col min="4" max="4" width="5.42578125" hidden="1" customWidth="1"/>
    <col min="5" max="5" width="13.28515625" customWidth="1"/>
    <col min="6" max="6" width="10" hidden="1" customWidth="1"/>
    <col min="7" max="7" width="10.7109375" hidden="1" customWidth="1"/>
    <col min="8" max="8" width="10" hidden="1" customWidth="1"/>
    <col min="9" max="9" width="10.7109375" hidden="1" customWidth="1"/>
    <col min="10" max="10" width="10" hidden="1" customWidth="1"/>
    <col min="11" max="11" width="10.7109375" hidden="1" customWidth="1"/>
    <col min="12" max="12" width="10" hidden="1" customWidth="1"/>
    <col min="13" max="13" width="10.85546875" style="142" hidden="1" customWidth="1"/>
    <col min="14" max="14" width="10" hidden="1" customWidth="1"/>
    <col min="15" max="15" width="10.7109375" style="90" hidden="1" customWidth="1"/>
    <col min="16" max="16" width="10" hidden="1" customWidth="1"/>
    <col min="17" max="17" width="10.7109375" hidden="1" customWidth="1"/>
    <col min="18" max="18" width="10" hidden="1" customWidth="1"/>
    <col min="19" max="19" width="10.7109375" hidden="1" customWidth="1"/>
    <col min="20" max="20" width="10" hidden="1" customWidth="1"/>
    <col min="21" max="21" width="12.28515625" style="589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4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4620" hidden="1" customWidth="1"/>
    <col min="30" max="30" width="10" hidden="1" customWidth="1"/>
    <col min="31" max="31" width="12.28515625" hidden="1" customWidth="1"/>
    <col min="32" max="32" width="5.425781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10.710937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14.140625" hidden="1" customWidth="1"/>
    <col min="48" max="48" width="9.140625" hidden="1" customWidth="1"/>
    <col min="49" max="49" width="12.28515625" style="31" hidden="1" customWidth="1"/>
    <col min="50" max="50" width="9.140625" hidden="1" customWidth="1"/>
    <col min="51" max="51" width="10.5703125" hidden="1" customWidth="1"/>
    <col min="52" max="52" width="9.140625" style="2841" hidden="1" customWidth="1"/>
    <col min="53" max="53" width="10.85546875" style="2841" hidden="1" customWidth="1"/>
    <col min="54" max="54" width="9.140625" style="2841" hidden="1" customWidth="1"/>
    <col min="55" max="55" width="12" style="2841" hidden="1" customWidth="1"/>
    <col min="56" max="56" width="9.140625" hidden="1" customWidth="1"/>
    <col min="57" max="57" width="11.140625" hidden="1" customWidth="1"/>
    <col min="58" max="58" width="10.5703125" bestFit="1" customWidth="1"/>
    <col min="59" max="60" width="9.140625" customWidth="1"/>
  </cols>
  <sheetData>
    <row r="1" spans="1:62" hidden="1" x14ac:dyDescent="0.25">
      <c r="B1" s="240"/>
      <c r="E1" s="521"/>
      <c r="F1" s="521"/>
      <c r="I1" s="596"/>
      <c r="J1" s="139"/>
      <c r="M1" s="2246"/>
      <c r="N1" s="139"/>
      <c r="Q1" s="596"/>
      <c r="R1" s="139"/>
      <c r="U1" s="4779"/>
      <c r="V1" s="139"/>
      <c r="W1" s="2095"/>
      <c r="X1" s="25"/>
      <c r="Y1" s="2246"/>
      <c r="AA1" s="427"/>
    </row>
    <row r="2" spans="1:62" ht="43.5" customHeight="1" thickBot="1" x14ac:dyDescent="0.3">
      <c r="A2" s="139"/>
      <c r="B2" s="7834" t="s">
        <v>1065</v>
      </c>
      <c r="C2" s="7834"/>
      <c r="D2" s="7834"/>
      <c r="E2" s="7834"/>
      <c r="F2" s="7834"/>
      <c r="G2" s="7834"/>
      <c r="H2" s="7834"/>
      <c r="I2" s="7834"/>
      <c r="J2" s="7834"/>
      <c r="K2" s="7834"/>
      <c r="L2" s="7834"/>
      <c r="M2" s="7834"/>
      <c r="N2" s="7834"/>
      <c r="O2" s="7834"/>
      <c r="P2" s="7834"/>
      <c r="Q2" s="7834"/>
      <c r="R2" s="7834"/>
      <c r="S2" s="7834"/>
      <c r="T2" s="7834"/>
      <c r="U2" s="7834"/>
      <c r="V2" s="7834"/>
      <c r="W2" s="7834"/>
      <c r="X2" s="7834"/>
      <c r="Y2" s="7834"/>
      <c r="Z2" s="7834"/>
      <c r="AA2" s="7834"/>
    </row>
    <row r="3" spans="1:62" ht="16.5" thickBot="1" x14ac:dyDescent="0.3">
      <c r="B3" s="7835" t="s">
        <v>171</v>
      </c>
      <c r="C3" s="7775" t="s">
        <v>172</v>
      </c>
      <c r="D3" s="7768" t="s">
        <v>2319</v>
      </c>
      <c r="E3" s="7838"/>
      <c r="F3" s="7768" t="s">
        <v>1956</v>
      </c>
      <c r="G3" s="7768"/>
      <c r="H3" s="7839" t="s">
        <v>14</v>
      </c>
      <c r="I3" s="7840"/>
      <c r="J3" s="7780" t="s">
        <v>1986</v>
      </c>
      <c r="K3" s="7777"/>
      <c r="L3" s="7841" t="s">
        <v>607</v>
      </c>
      <c r="M3" s="7842"/>
      <c r="N3" s="7780" t="s">
        <v>2008</v>
      </c>
      <c r="O3" s="7777"/>
      <c r="P3" s="7825" t="s">
        <v>17</v>
      </c>
      <c r="Q3" s="7767"/>
      <c r="R3" s="7780" t="s">
        <v>2011</v>
      </c>
      <c r="S3" s="7777"/>
      <c r="T3" s="7825" t="s">
        <v>18</v>
      </c>
      <c r="U3" s="7767"/>
      <c r="V3" s="7768" t="s">
        <v>2042</v>
      </c>
      <c r="W3" s="7768"/>
      <c r="X3" s="7841" t="s">
        <v>629</v>
      </c>
      <c r="Y3" s="7842"/>
      <c r="Z3" s="7814" t="s">
        <v>626</v>
      </c>
      <c r="AA3" s="7772"/>
      <c r="AB3" s="7780" t="s">
        <v>2067</v>
      </c>
      <c r="AC3" s="7777"/>
      <c r="AD3" s="7825" t="s">
        <v>24</v>
      </c>
      <c r="AE3" s="7767"/>
      <c r="AF3" s="7780" t="s">
        <v>2170</v>
      </c>
      <c r="AG3" s="7777"/>
      <c r="AH3" s="7825" t="s">
        <v>27</v>
      </c>
      <c r="AI3" s="7767"/>
      <c r="AJ3" s="7768" t="s">
        <v>2194</v>
      </c>
      <c r="AK3" s="7768"/>
      <c r="AL3" s="7769" t="s">
        <v>631</v>
      </c>
      <c r="AM3" s="7770"/>
      <c r="AN3" s="7825" t="s">
        <v>1575</v>
      </c>
      <c r="AO3" s="7767"/>
      <c r="AP3" s="7780" t="s">
        <v>2206</v>
      </c>
      <c r="AQ3" s="7777"/>
      <c r="AR3" s="7825" t="s">
        <v>28</v>
      </c>
      <c r="AS3" s="7767"/>
      <c r="AT3" s="7780" t="s">
        <v>2243</v>
      </c>
      <c r="AU3" s="7777"/>
      <c r="AV3" s="7825" t="s">
        <v>30</v>
      </c>
      <c r="AW3" s="7767"/>
      <c r="AX3" s="7780" t="s">
        <v>2261</v>
      </c>
      <c r="AY3" s="7777"/>
      <c r="AZ3" s="7769" t="s">
        <v>632</v>
      </c>
      <c r="BA3" s="7770"/>
      <c r="BB3" s="7814" t="s">
        <v>638</v>
      </c>
      <c r="BC3" s="7772"/>
      <c r="BD3" s="7825" t="s">
        <v>1984</v>
      </c>
      <c r="BE3" s="7767"/>
    </row>
    <row r="4" spans="1:62" ht="16.5" thickBot="1" x14ac:dyDescent="0.3">
      <c r="B4" s="7836"/>
      <c r="C4" s="7837"/>
      <c r="D4" s="515" t="s">
        <v>173</v>
      </c>
      <c r="E4" s="146" t="s">
        <v>174</v>
      </c>
      <c r="F4" s="515" t="s">
        <v>173</v>
      </c>
      <c r="G4" s="167" t="s">
        <v>174</v>
      </c>
      <c r="H4" s="1579" t="s">
        <v>173</v>
      </c>
      <c r="I4" s="1547" t="s">
        <v>174</v>
      </c>
      <c r="J4" s="966" t="s">
        <v>173</v>
      </c>
      <c r="K4" s="167" t="s">
        <v>174</v>
      </c>
      <c r="L4" s="2229" t="s">
        <v>173</v>
      </c>
      <c r="M4" s="2230" t="s">
        <v>174</v>
      </c>
      <c r="N4" s="966" t="s">
        <v>173</v>
      </c>
      <c r="O4" s="167" t="s">
        <v>174</v>
      </c>
      <c r="P4" s="136" t="s">
        <v>173</v>
      </c>
      <c r="Q4" s="152" t="s">
        <v>174</v>
      </c>
      <c r="R4" s="966" t="s">
        <v>173</v>
      </c>
      <c r="S4" s="167" t="s">
        <v>174</v>
      </c>
      <c r="T4" s="136" t="s">
        <v>173</v>
      </c>
      <c r="U4" s="5927" t="s">
        <v>174</v>
      </c>
      <c r="V4" s="966" t="s">
        <v>173</v>
      </c>
      <c r="W4" s="2204" t="s">
        <v>174</v>
      </c>
      <c r="X4" s="2840" t="s">
        <v>173</v>
      </c>
      <c r="Y4" s="2230" t="s">
        <v>174</v>
      </c>
      <c r="Z4" s="441" t="s">
        <v>173</v>
      </c>
      <c r="AA4" s="441" t="s">
        <v>174</v>
      </c>
      <c r="AB4" s="966" t="s">
        <v>173</v>
      </c>
      <c r="AC4" s="4622" t="s">
        <v>174</v>
      </c>
      <c r="AD4" s="2426" t="s">
        <v>173</v>
      </c>
      <c r="AE4" s="152" t="s">
        <v>174</v>
      </c>
      <c r="AF4" s="966" t="s">
        <v>173</v>
      </c>
      <c r="AG4" s="167" t="s">
        <v>174</v>
      </c>
      <c r="AH4" s="2473" t="s">
        <v>173</v>
      </c>
      <c r="AI4" s="152" t="s">
        <v>174</v>
      </c>
      <c r="AJ4" s="966" t="s">
        <v>173</v>
      </c>
      <c r="AK4" s="2529" t="s">
        <v>174</v>
      </c>
      <c r="AL4" s="2525" t="s">
        <v>173</v>
      </c>
      <c r="AM4" s="2230" t="s">
        <v>174</v>
      </c>
      <c r="AN4" s="2526" t="s">
        <v>173</v>
      </c>
      <c r="AO4" s="152" t="s">
        <v>174</v>
      </c>
      <c r="AP4" s="966" t="s">
        <v>173</v>
      </c>
      <c r="AQ4" s="167" t="s">
        <v>174</v>
      </c>
      <c r="AR4" s="2589" t="s">
        <v>173</v>
      </c>
      <c r="AS4" s="152" t="s">
        <v>174</v>
      </c>
      <c r="AT4" s="966" t="s">
        <v>173</v>
      </c>
      <c r="AU4" s="167" t="s">
        <v>174</v>
      </c>
      <c r="AV4" s="2635" t="s">
        <v>173</v>
      </c>
      <c r="AW4" s="152" t="s">
        <v>174</v>
      </c>
      <c r="AX4" s="966" t="s">
        <v>173</v>
      </c>
      <c r="AY4" s="167" t="s">
        <v>174</v>
      </c>
      <c r="AZ4" s="2838" t="s">
        <v>173</v>
      </c>
      <c r="BA4" s="2230" t="s">
        <v>174</v>
      </c>
      <c r="BB4" s="441" t="s">
        <v>173</v>
      </c>
      <c r="BC4" s="441" t="s">
        <v>174</v>
      </c>
      <c r="BD4" s="2839" t="s">
        <v>173</v>
      </c>
      <c r="BE4" s="152" t="s">
        <v>174</v>
      </c>
    </row>
    <row r="5" spans="1:62" ht="25.5" x14ac:dyDescent="0.25">
      <c r="A5" s="139"/>
      <c r="B5" s="3548" t="s">
        <v>1568</v>
      </c>
      <c r="C5" s="193"/>
      <c r="D5" s="7600"/>
      <c r="E5" s="2523">
        <f>+E6+E14+E16+E21+E12</f>
        <v>5965.35</v>
      </c>
      <c r="F5" s="564"/>
      <c r="G5" s="2523">
        <f>+G6+G14+G16+G21</f>
        <v>2704.9500000000007</v>
      </c>
      <c r="H5" s="1548"/>
      <c r="I5" s="1548">
        <f>+E5+G5</f>
        <v>8670.3000000000011</v>
      </c>
      <c r="J5" s="1054"/>
      <c r="K5" s="2523">
        <f>+K6+K14+K16+K21</f>
        <v>6803.8099999999995</v>
      </c>
      <c r="L5" s="749"/>
      <c r="M5" s="749">
        <f>+E5+G5+K5</f>
        <v>15474.11</v>
      </c>
      <c r="N5" s="1054"/>
      <c r="O5" s="7228">
        <f>+O6+O14+O16+O21</f>
        <v>3865.36</v>
      </c>
      <c r="P5" s="2422"/>
      <c r="Q5" s="1548">
        <f>+M5+O5</f>
        <v>19339.47</v>
      </c>
      <c r="R5" s="1054"/>
      <c r="S5" s="2523">
        <f>+S6+S14+S16+S21</f>
        <v>6257.93</v>
      </c>
      <c r="T5" s="2236"/>
      <c r="U5" s="1548">
        <f>+Q5+S5</f>
        <v>25597.4</v>
      </c>
      <c r="V5" s="967"/>
      <c r="W5" s="2523">
        <f>+W6+W14+W16+W21</f>
        <v>5182.59</v>
      </c>
      <c r="X5" s="749"/>
      <c r="Y5" s="749">
        <f>+O5+S5+W5</f>
        <v>15305.880000000001</v>
      </c>
      <c r="Z5" s="444"/>
      <c r="AA5" s="492">
        <f>M5+Y5</f>
        <v>30779.99</v>
      </c>
      <c r="AB5" s="2237"/>
      <c r="AC5" s="2523">
        <f>+AC6+AC14+AC16+AC21</f>
        <v>5221.92</v>
      </c>
      <c r="AD5" s="2422"/>
      <c r="AE5" s="2422">
        <f>AA5+AC5</f>
        <v>36001.910000000003</v>
      </c>
      <c r="AF5" s="2237"/>
      <c r="AG5" s="2523">
        <f>+AG6+AG14+AG16+AG21</f>
        <v>0</v>
      </c>
      <c r="AH5" s="2422"/>
      <c r="AI5" s="2422">
        <f t="shared" ref="AI5:AI20" si="0">+AE5+AG5</f>
        <v>36001.910000000003</v>
      </c>
      <c r="AJ5" s="2528"/>
      <c r="AK5" s="2523">
        <f>+AK6+AK14+AK16+AK21</f>
        <v>2959.9700000000003</v>
      </c>
      <c r="AL5" s="563"/>
      <c r="AM5" s="749">
        <f>+AC5+AG5+AK5</f>
        <v>8181.89</v>
      </c>
      <c r="AN5" s="2422"/>
      <c r="AO5" s="2422">
        <f>AI5+AK5</f>
        <v>38961.880000000005</v>
      </c>
      <c r="AP5" s="6648"/>
      <c r="AQ5" s="2523">
        <f>+AQ6+AQ14+AQ16+AQ21</f>
        <v>6204.6100000000006</v>
      </c>
      <c r="AR5" s="2422"/>
      <c r="AS5" s="2422">
        <f t="shared" ref="AS5:AS21" si="1">+AO5+AQ5</f>
        <v>45166.490000000005</v>
      </c>
      <c r="AT5" s="2237"/>
      <c r="AU5" s="2523">
        <f>+AU6+AU14+AU16+AU21</f>
        <v>3912.1100000000006</v>
      </c>
      <c r="AV5" s="2422"/>
      <c r="AW5" s="2422">
        <f t="shared" ref="AW5:AW21" si="2">+AS5+AU5</f>
        <v>49078.600000000006</v>
      </c>
      <c r="AX5" s="6957"/>
      <c r="AY5" s="2523">
        <f>+AY6+AY14+AY16+AY21+AY12</f>
        <v>3740.4</v>
      </c>
      <c r="AZ5" s="563"/>
      <c r="BA5" s="749">
        <f>+AQ5+AU5+AY5</f>
        <v>13857.12</v>
      </c>
      <c r="BB5" s="444"/>
      <c r="BC5" s="492">
        <f>BA5+AM5</f>
        <v>22039.010000000002</v>
      </c>
      <c r="BD5" s="2422"/>
      <c r="BE5" s="235">
        <f t="shared" ref="BE5:BE21" si="3">+AW5+AY5</f>
        <v>52819.000000000007</v>
      </c>
      <c r="BF5" s="1137"/>
      <c r="BI5" s="25"/>
      <c r="BJ5" s="25"/>
    </row>
    <row r="6" spans="1:62" ht="23.25" x14ac:dyDescent="0.25">
      <c r="A6" s="139"/>
      <c r="B6" s="2892" t="s">
        <v>1289</v>
      </c>
      <c r="C6" s="148" t="s">
        <v>352</v>
      </c>
      <c r="D6" s="2520">
        <f t="shared" ref="D6" si="4">+D7+D8</f>
        <v>0</v>
      </c>
      <c r="E6" s="2520">
        <f>+E7+E8</f>
        <v>3823.51</v>
      </c>
      <c r="F6" s="2520">
        <f t="shared" ref="F6:AF6" si="5">+F7+F8</f>
        <v>0</v>
      </c>
      <c r="G6" s="2520">
        <f>+G7+G8</f>
        <v>1764.7700000000004</v>
      </c>
      <c r="H6" s="2519"/>
      <c r="I6" s="1548">
        <f t="shared" ref="I6:I21" si="6">+E6+G6</f>
        <v>5588.2800000000007</v>
      </c>
      <c r="J6" s="2520">
        <f t="shared" si="5"/>
        <v>0</v>
      </c>
      <c r="K6" s="2520">
        <f>+K7+K8</f>
        <v>5738.21</v>
      </c>
      <c r="L6" s="1271"/>
      <c r="M6" s="749">
        <f t="shared" ref="M6:M22" si="7">+E6+G6+K6</f>
        <v>11326.490000000002</v>
      </c>
      <c r="N6" s="2520">
        <f t="shared" si="5"/>
        <v>0</v>
      </c>
      <c r="O6" s="2520">
        <f>+O7+O8</f>
        <v>3402.26</v>
      </c>
      <c r="P6" s="1495"/>
      <c r="Q6" s="1548">
        <f t="shared" ref="Q6:Q61" si="8">+M6+O6</f>
        <v>14728.750000000002</v>
      </c>
      <c r="R6" s="2520">
        <f t="shared" si="5"/>
        <v>0</v>
      </c>
      <c r="S6" s="2520">
        <f>+S7+S8</f>
        <v>3769.97</v>
      </c>
      <c r="T6" s="2519"/>
      <c r="U6" s="1548">
        <f t="shared" ref="U6:U61" si="9">+Q6+S6</f>
        <v>18498.72</v>
      </c>
      <c r="V6" s="2520">
        <f t="shared" si="5"/>
        <v>0</v>
      </c>
      <c r="W6" s="2520">
        <f>+W7+W8</f>
        <v>3271.59</v>
      </c>
      <c r="X6" s="1271"/>
      <c r="Y6" s="749">
        <f t="shared" ref="Y6:Y64" si="10">+O6+S6+W6</f>
        <v>10443.82</v>
      </c>
      <c r="Z6" s="444"/>
      <c r="AA6" s="492">
        <f t="shared" ref="AA6:AA64" si="11">M6+Y6</f>
        <v>21770.31</v>
      </c>
      <c r="AB6" s="2520">
        <f t="shared" si="5"/>
        <v>0</v>
      </c>
      <c r="AC6" s="2520">
        <f>+AC7+AC8</f>
        <v>3217.8199999999997</v>
      </c>
      <c r="AD6" s="1495"/>
      <c r="AE6" s="2422">
        <f t="shared" ref="AE6:AE14" si="12">AA6+AC6</f>
        <v>24988.13</v>
      </c>
      <c r="AF6" s="2520">
        <f t="shared" si="5"/>
        <v>0</v>
      </c>
      <c r="AG6" s="2520">
        <f>+AG7+AG8</f>
        <v>0</v>
      </c>
      <c r="AH6" s="1495"/>
      <c r="AI6" s="2422">
        <f t="shared" si="0"/>
        <v>24988.13</v>
      </c>
      <c r="AJ6" s="2520">
        <f t="shared" ref="AJ6" si="13">+AJ7+AJ8</f>
        <v>0</v>
      </c>
      <c r="AK6" s="2520">
        <f>+AK7+AK8</f>
        <v>2256.63</v>
      </c>
      <c r="AL6" s="2522"/>
      <c r="AM6" s="749">
        <f t="shared" ref="AM6:AM64" si="14">+AC6+AG6+AK6</f>
        <v>5474.45</v>
      </c>
      <c r="AN6" s="1495"/>
      <c r="AO6" s="2422">
        <f t="shared" ref="AO6:AO67" si="15">AI6+AK6</f>
        <v>27244.760000000002</v>
      </c>
      <c r="AP6" s="2520">
        <f t="shared" ref="AP6" si="16">+AP7+AP8</f>
        <v>0</v>
      </c>
      <c r="AQ6" s="2520">
        <f>+AQ7+AQ8</f>
        <v>4277.21</v>
      </c>
      <c r="AR6" s="1495"/>
      <c r="AS6" s="2422">
        <f t="shared" si="1"/>
        <v>31521.97</v>
      </c>
      <c r="AT6" s="2520">
        <f t="shared" ref="AT6" si="17">+AT7+AT8</f>
        <v>0</v>
      </c>
      <c r="AU6" s="2520">
        <f>+AU7+AU8</f>
        <v>3140.78</v>
      </c>
      <c r="AV6" s="2422"/>
      <c r="AW6" s="2422">
        <f t="shared" si="2"/>
        <v>34662.75</v>
      </c>
      <c r="AX6" s="2520">
        <f t="shared" ref="AX6" si="18">+AX7+AX8</f>
        <v>0</v>
      </c>
      <c r="AY6" s="2520">
        <f>+AY7+AY8</f>
        <v>1971.02</v>
      </c>
      <c r="AZ6" s="2522"/>
      <c r="BA6" s="749">
        <f t="shared" ref="BA6:BA61" si="19">+AQ6+AU6+AY6</f>
        <v>9389.01</v>
      </c>
      <c r="BB6" s="444"/>
      <c r="BC6" s="492">
        <f>BA6+AM6</f>
        <v>14863.46</v>
      </c>
      <c r="BD6" s="1495"/>
      <c r="BE6" s="235">
        <f t="shared" si="3"/>
        <v>36633.769999999997</v>
      </c>
      <c r="BF6" s="1137"/>
      <c r="BI6" s="25"/>
      <c r="BJ6" s="25"/>
    </row>
    <row r="7" spans="1:62" s="2503" customFormat="1" ht="18.75" x14ac:dyDescent="0.25">
      <c r="A7" s="139"/>
      <c r="B7" s="499" t="s">
        <v>1865</v>
      </c>
      <c r="C7" s="148" t="s">
        <v>352</v>
      </c>
      <c r="D7" s="589"/>
      <c r="E7" s="589">
        <v>1862.01</v>
      </c>
      <c r="F7" s="589"/>
      <c r="G7" s="589">
        <v>1764.7700000000004</v>
      </c>
      <c r="H7" s="1548"/>
      <c r="I7" s="1548">
        <f t="shared" si="6"/>
        <v>3626.7800000000007</v>
      </c>
      <c r="J7" s="589"/>
      <c r="K7" s="589">
        <v>1754.69</v>
      </c>
      <c r="L7" s="749"/>
      <c r="M7" s="749">
        <f t="shared" si="7"/>
        <v>5381.4700000000012</v>
      </c>
      <c r="N7" s="589"/>
      <c r="O7" s="589">
        <v>1441.38</v>
      </c>
      <c r="P7" s="2422"/>
      <c r="Q7" s="1548">
        <f t="shared" si="8"/>
        <v>6822.8500000000013</v>
      </c>
      <c r="R7" s="589"/>
      <c r="S7" s="589">
        <v>3769.97</v>
      </c>
      <c r="T7" s="2236"/>
      <c r="U7" s="1548">
        <f t="shared" si="9"/>
        <v>10592.820000000002</v>
      </c>
      <c r="V7" s="589"/>
      <c r="W7" s="589">
        <v>3271.59</v>
      </c>
      <c r="X7" s="749"/>
      <c r="Y7" s="749">
        <f t="shared" si="10"/>
        <v>8482.94</v>
      </c>
      <c r="Z7" s="444"/>
      <c r="AA7" s="492">
        <f t="shared" si="11"/>
        <v>13864.410000000002</v>
      </c>
      <c r="AB7" s="589"/>
      <c r="AC7" s="589">
        <v>601.74</v>
      </c>
      <c r="AD7" s="2422"/>
      <c r="AE7" s="2422">
        <f t="shared" si="12"/>
        <v>14466.150000000001</v>
      </c>
      <c r="AF7" s="589"/>
      <c r="AG7" s="589"/>
      <c r="AH7" s="2422"/>
      <c r="AI7" s="2422">
        <f t="shared" si="0"/>
        <v>14466.150000000001</v>
      </c>
      <c r="AJ7" s="589"/>
      <c r="AK7" s="589">
        <v>2256.63</v>
      </c>
      <c r="AL7" s="563"/>
      <c r="AM7" s="749">
        <f t="shared" si="14"/>
        <v>2858.37</v>
      </c>
      <c r="AN7" s="2422"/>
      <c r="AO7" s="2422">
        <f t="shared" si="15"/>
        <v>16722.780000000002</v>
      </c>
      <c r="AP7" s="589"/>
      <c r="AQ7" s="589">
        <v>4277.21</v>
      </c>
      <c r="AR7" s="2422"/>
      <c r="AS7" s="2422">
        <f t="shared" si="1"/>
        <v>20999.99</v>
      </c>
      <c r="AT7" s="589"/>
      <c r="AU7" s="589">
        <v>3140.78</v>
      </c>
      <c r="AV7" s="2422"/>
      <c r="AW7" s="2422">
        <f t="shared" si="2"/>
        <v>24140.77</v>
      </c>
      <c r="AX7" s="589"/>
      <c r="AY7" s="589">
        <v>1971.02</v>
      </c>
      <c r="AZ7" s="563"/>
      <c r="BA7" s="749">
        <f t="shared" si="19"/>
        <v>9389.01</v>
      </c>
      <c r="BB7" s="444"/>
      <c r="BC7" s="492">
        <f t="shared" ref="BC7:BC65" si="20">BA7+AM7</f>
        <v>12247.380000000001</v>
      </c>
      <c r="BD7" s="2422"/>
      <c r="BE7" s="235">
        <f t="shared" si="3"/>
        <v>26111.79</v>
      </c>
      <c r="BF7" s="1137"/>
      <c r="BI7" s="25"/>
      <c r="BJ7" s="25"/>
    </row>
    <row r="8" spans="1:62" s="2503" customFormat="1" ht="18.75" x14ac:dyDescent="0.25">
      <c r="A8" s="139"/>
      <c r="B8" s="499" t="s">
        <v>1569</v>
      </c>
      <c r="C8" s="148" t="s">
        <v>352</v>
      </c>
      <c r="D8" s="589">
        <f t="shared" ref="D8" si="21">+D9+D10</f>
        <v>0</v>
      </c>
      <c r="E8" s="589">
        <f>+E9+E10</f>
        <v>1961.5</v>
      </c>
      <c r="F8" s="589">
        <f t="shared" ref="F8:AF8" si="22">+F9+F10</f>
        <v>0</v>
      </c>
      <c r="G8" s="589">
        <f>+G9+G10</f>
        <v>0</v>
      </c>
      <c r="H8" s="1548"/>
      <c r="I8" s="1548">
        <f t="shared" si="6"/>
        <v>1961.5</v>
      </c>
      <c r="J8" s="589">
        <f t="shared" si="22"/>
        <v>0</v>
      </c>
      <c r="K8" s="589">
        <f>+K9+K10</f>
        <v>3983.52</v>
      </c>
      <c r="L8" s="749"/>
      <c r="M8" s="749">
        <f t="shared" si="7"/>
        <v>5945.02</v>
      </c>
      <c r="N8" s="589">
        <f t="shared" si="22"/>
        <v>0</v>
      </c>
      <c r="O8" s="589">
        <f>+O9+O10</f>
        <v>1960.88</v>
      </c>
      <c r="P8" s="2422"/>
      <c r="Q8" s="1548">
        <f t="shared" si="8"/>
        <v>7905.9000000000005</v>
      </c>
      <c r="R8" s="589">
        <f t="shared" si="22"/>
        <v>0</v>
      </c>
      <c r="S8" s="589">
        <f>+S9+S10</f>
        <v>0</v>
      </c>
      <c r="T8" s="2236"/>
      <c r="U8" s="1548">
        <f t="shared" si="9"/>
        <v>7905.9000000000005</v>
      </c>
      <c r="V8" s="589">
        <f t="shared" si="22"/>
        <v>0</v>
      </c>
      <c r="W8" s="589">
        <f>+W9+W10</f>
        <v>0</v>
      </c>
      <c r="X8" s="749"/>
      <c r="Y8" s="749">
        <f t="shared" si="10"/>
        <v>1960.88</v>
      </c>
      <c r="Z8" s="444"/>
      <c r="AA8" s="492">
        <f t="shared" si="11"/>
        <v>7905.9000000000005</v>
      </c>
      <c r="AB8" s="589">
        <f t="shared" si="22"/>
        <v>0</v>
      </c>
      <c r="AC8" s="589">
        <f>+AC9+AC10</f>
        <v>2616.08</v>
      </c>
      <c r="AD8" s="2422"/>
      <c r="AE8" s="2422">
        <f t="shared" si="12"/>
        <v>10521.98</v>
      </c>
      <c r="AF8" s="589">
        <f t="shared" si="22"/>
        <v>0</v>
      </c>
      <c r="AG8" s="589">
        <f>+AG9+AG10</f>
        <v>0</v>
      </c>
      <c r="AH8" s="2422"/>
      <c r="AI8" s="2422">
        <f t="shared" si="0"/>
        <v>10521.98</v>
      </c>
      <c r="AJ8" s="589">
        <f t="shared" ref="AJ8" si="23">+AJ9+AJ10</f>
        <v>0</v>
      </c>
      <c r="AK8" s="589">
        <f>+AK9+AK10</f>
        <v>0</v>
      </c>
      <c r="AL8" s="563"/>
      <c r="AM8" s="749">
        <f t="shared" si="14"/>
        <v>2616.08</v>
      </c>
      <c r="AN8" s="2422"/>
      <c r="AO8" s="2422">
        <f t="shared" si="15"/>
        <v>10521.98</v>
      </c>
      <c r="AP8" s="589">
        <f t="shared" ref="AP8" si="24">+AP9+AP10</f>
        <v>0</v>
      </c>
      <c r="AQ8" s="589">
        <f>+AQ9+AQ10</f>
        <v>0</v>
      </c>
      <c r="AR8" s="2422"/>
      <c r="AS8" s="2422">
        <f t="shared" si="1"/>
        <v>10521.98</v>
      </c>
      <c r="AT8" s="589">
        <f t="shared" ref="AT8" si="25">+AT9+AT10</f>
        <v>0</v>
      </c>
      <c r="AU8" s="589">
        <f>+AU9+AU10</f>
        <v>0</v>
      </c>
      <c r="AV8" s="2422"/>
      <c r="AW8" s="2422">
        <f t="shared" si="2"/>
        <v>10521.98</v>
      </c>
      <c r="AX8" s="589">
        <f t="shared" ref="AX8" si="26">+AX9+AX10</f>
        <v>0</v>
      </c>
      <c r="AY8" s="589">
        <f>+AY9+AY10</f>
        <v>0</v>
      </c>
      <c r="AZ8" s="563"/>
      <c r="BA8" s="749">
        <f t="shared" si="19"/>
        <v>0</v>
      </c>
      <c r="BB8" s="444"/>
      <c r="BC8" s="492">
        <f t="shared" si="20"/>
        <v>2616.08</v>
      </c>
      <c r="BD8" s="2422"/>
      <c r="BE8" s="235">
        <f t="shared" si="3"/>
        <v>10521.98</v>
      </c>
      <c r="BF8" s="1137"/>
      <c r="BI8" s="25"/>
      <c r="BJ8" s="25"/>
    </row>
    <row r="9" spans="1:62" s="2503" customFormat="1" ht="18.75" hidden="1" x14ac:dyDescent="0.25">
      <c r="A9" s="139"/>
      <c r="B9" s="2507" t="s">
        <v>1540</v>
      </c>
      <c r="C9" s="148" t="s">
        <v>352</v>
      </c>
      <c r="D9" s="564"/>
      <c r="E9" s="564"/>
      <c r="F9" s="564"/>
      <c r="G9" s="564"/>
      <c r="H9" s="1548"/>
      <c r="I9" s="1548">
        <f t="shared" si="6"/>
        <v>0</v>
      </c>
      <c r="J9" s="564"/>
      <c r="K9" s="564"/>
      <c r="L9" s="749"/>
      <c r="M9" s="749">
        <f t="shared" si="7"/>
        <v>0</v>
      </c>
      <c r="N9" s="564"/>
      <c r="O9" s="564"/>
      <c r="P9" s="2422"/>
      <c r="Q9" s="1548">
        <f t="shared" si="8"/>
        <v>0</v>
      </c>
      <c r="R9" s="564"/>
      <c r="S9" s="564"/>
      <c r="T9" s="2236"/>
      <c r="U9" s="1548">
        <f t="shared" si="9"/>
        <v>0</v>
      </c>
      <c r="V9" s="564"/>
      <c r="W9" s="564"/>
      <c r="X9" s="749"/>
      <c r="Y9" s="749">
        <f t="shared" si="10"/>
        <v>0</v>
      </c>
      <c r="Z9" s="444"/>
      <c r="AA9" s="492">
        <f t="shared" si="11"/>
        <v>0</v>
      </c>
      <c r="AB9" s="564"/>
      <c r="AC9" s="564"/>
      <c r="AD9" s="2422"/>
      <c r="AE9" s="2422">
        <f t="shared" si="12"/>
        <v>0</v>
      </c>
      <c r="AF9" s="564"/>
      <c r="AG9" s="564"/>
      <c r="AH9" s="2422"/>
      <c r="AI9" s="2422">
        <f t="shared" si="0"/>
        <v>0</v>
      </c>
      <c r="AJ9" s="564"/>
      <c r="AK9" s="564"/>
      <c r="AL9" s="563"/>
      <c r="AM9" s="749">
        <f t="shared" si="14"/>
        <v>0</v>
      </c>
      <c r="AN9" s="2422"/>
      <c r="AO9" s="2422">
        <f t="shared" si="15"/>
        <v>0</v>
      </c>
      <c r="AP9" s="564"/>
      <c r="AQ9" s="564"/>
      <c r="AR9" s="2422"/>
      <c r="AS9" s="2422">
        <f t="shared" si="1"/>
        <v>0</v>
      </c>
      <c r="AT9" s="564"/>
      <c r="AU9" s="564"/>
      <c r="AV9" s="2422"/>
      <c r="AW9" s="2422">
        <f t="shared" si="2"/>
        <v>0</v>
      </c>
      <c r="AX9" s="564"/>
      <c r="AY9" s="564"/>
      <c r="AZ9" s="563"/>
      <c r="BA9" s="749">
        <f t="shared" si="19"/>
        <v>0</v>
      </c>
      <c r="BB9" s="444"/>
      <c r="BC9" s="492">
        <f t="shared" si="20"/>
        <v>0</v>
      </c>
      <c r="BD9" s="2422"/>
      <c r="BE9" s="235">
        <f t="shared" si="3"/>
        <v>0</v>
      </c>
      <c r="BF9" s="1137"/>
      <c r="BI9" s="25"/>
      <c r="BJ9" s="25"/>
    </row>
    <row r="10" spans="1:62" s="2503" customFormat="1" ht="18.75" x14ac:dyDescent="0.25">
      <c r="A10" s="139"/>
      <c r="B10" s="2507" t="s">
        <v>1541</v>
      </c>
      <c r="C10" s="148" t="s">
        <v>352</v>
      </c>
      <c r="D10" s="564"/>
      <c r="E10" s="564">
        <v>1961.5</v>
      </c>
      <c r="F10" s="564"/>
      <c r="G10" s="564"/>
      <c r="H10" s="1548"/>
      <c r="I10" s="1548">
        <f t="shared" si="6"/>
        <v>1961.5</v>
      </c>
      <c r="J10" s="564"/>
      <c r="K10" s="564">
        <v>3983.52</v>
      </c>
      <c r="L10" s="749"/>
      <c r="M10" s="749">
        <f t="shared" si="7"/>
        <v>5945.02</v>
      </c>
      <c r="N10" s="564"/>
      <c r="O10" s="564">
        <v>1960.88</v>
      </c>
      <c r="P10" s="2422"/>
      <c r="Q10" s="1548">
        <f t="shared" si="8"/>
        <v>7905.9000000000005</v>
      </c>
      <c r="R10" s="564"/>
      <c r="S10" s="564"/>
      <c r="T10" s="2236"/>
      <c r="U10" s="1548">
        <f t="shared" si="9"/>
        <v>7905.9000000000005</v>
      </c>
      <c r="V10" s="564"/>
      <c r="W10" s="564"/>
      <c r="X10" s="749"/>
      <c r="Y10" s="749">
        <f t="shared" si="10"/>
        <v>1960.88</v>
      </c>
      <c r="Z10" s="444"/>
      <c r="AA10" s="492">
        <f t="shared" si="11"/>
        <v>7905.9000000000005</v>
      </c>
      <c r="AB10" s="564"/>
      <c r="AC10" s="564">
        <v>2616.08</v>
      </c>
      <c r="AD10" s="2422"/>
      <c r="AE10" s="2422">
        <f t="shared" si="12"/>
        <v>10521.98</v>
      </c>
      <c r="AF10" s="564"/>
      <c r="AG10" s="564"/>
      <c r="AH10" s="2422"/>
      <c r="AI10" s="2422">
        <f t="shared" si="0"/>
        <v>10521.98</v>
      </c>
      <c r="AJ10" s="564"/>
      <c r="AK10" s="564"/>
      <c r="AL10" s="563"/>
      <c r="AM10" s="749">
        <f t="shared" si="14"/>
        <v>2616.08</v>
      </c>
      <c r="AN10" s="2422"/>
      <c r="AO10" s="2422">
        <f t="shared" si="15"/>
        <v>10521.98</v>
      </c>
      <c r="AP10" s="564"/>
      <c r="AQ10" s="564"/>
      <c r="AR10" s="2422"/>
      <c r="AS10" s="2422">
        <f t="shared" si="1"/>
        <v>10521.98</v>
      </c>
      <c r="AT10" s="564"/>
      <c r="AU10" s="564"/>
      <c r="AV10" s="2422"/>
      <c r="AW10" s="2422">
        <f t="shared" si="2"/>
        <v>10521.98</v>
      </c>
      <c r="AX10" s="564"/>
      <c r="AY10" s="564"/>
      <c r="AZ10" s="563"/>
      <c r="BA10" s="749">
        <f t="shared" si="19"/>
        <v>0</v>
      </c>
      <c r="BB10" s="444"/>
      <c r="BC10" s="492">
        <f t="shared" si="20"/>
        <v>2616.08</v>
      </c>
      <c r="BD10" s="2422"/>
      <c r="BE10" s="235">
        <f t="shared" si="3"/>
        <v>10521.98</v>
      </c>
      <c r="BF10" s="1137"/>
      <c r="BI10" s="25"/>
      <c r="BJ10" s="25"/>
    </row>
    <row r="11" spans="1:62" s="2503" customFormat="1" ht="10.5" customHeight="1" x14ac:dyDescent="0.25">
      <c r="A11" s="139"/>
      <c r="B11" s="2521"/>
      <c r="C11" s="2504"/>
      <c r="D11" s="564"/>
      <c r="E11" s="564"/>
      <c r="F11" s="564"/>
      <c r="G11" s="564"/>
      <c r="H11" s="1548"/>
      <c r="I11" s="1548"/>
      <c r="J11" s="564"/>
      <c r="K11" s="564"/>
      <c r="L11" s="749"/>
      <c r="M11" s="749"/>
      <c r="N11" s="564"/>
      <c r="O11" s="564"/>
      <c r="P11" s="2422"/>
      <c r="Q11" s="1548">
        <f t="shared" si="8"/>
        <v>0</v>
      </c>
      <c r="R11" s="564"/>
      <c r="S11" s="564"/>
      <c r="T11" s="2236"/>
      <c r="U11" s="1548">
        <f t="shared" si="9"/>
        <v>0</v>
      </c>
      <c r="V11" s="564"/>
      <c r="W11" s="564"/>
      <c r="X11" s="749"/>
      <c r="Y11" s="749"/>
      <c r="Z11" s="444"/>
      <c r="AA11" s="492"/>
      <c r="AB11" s="564"/>
      <c r="AC11" s="564"/>
      <c r="AD11" s="2422"/>
      <c r="AE11" s="2422"/>
      <c r="AF11" s="564"/>
      <c r="AG11" s="564"/>
      <c r="AH11" s="2422"/>
      <c r="AI11" s="2422"/>
      <c r="AJ11" s="564"/>
      <c r="AK11" s="564"/>
      <c r="AL11" s="563"/>
      <c r="AM11" s="749"/>
      <c r="AN11" s="2422"/>
      <c r="AO11" s="2422"/>
      <c r="AP11" s="564"/>
      <c r="AQ11" s="564"/>
      <c r="AR11" s="2422"/>
      <c r="AS11" s="2422"/>
      <c r="AT11" s="564"/>
      <c r="AU11" s="564"/>
      <c r="AV11" s="2422"/>
      <c r="AW11" s="2422"/>
      <c r="AX11" s="564"/>
      <c r="AY11" s="564"/>
      <c r="AZ11" s="563"/>
      <c r="BA11" s="749"/>
      <c r="BB11" s="444"/>
      <c r="BC11" s="492"/>
      <c r="BD11" s="2422"/>
      <c r="BE11" s="235"/>
      <c r="BF11" s="1137"/>
      <c r="BI11" s="25"/>
      <c r="BJ11" s="25"/>
    </row>
    <row r="12" spans="1:62" s="4487" customFormat="1" ht="23.25" x14ac:dyDescent="0.25">
      <c r="A12" s="139"/>
      <c r="B12" s="2892" t="s">
        <v>2279</v>
      </c>
      <c r="C12" s="7017"/>
      <c r="D12" s="2520"/>
      <c r="E12" s="2520">
        <v>516.76</v>
      </c>
      <c r="F12" s="2520"/>
      <c r="G12" s="2520"/>
      <c r="H12" s="2519"/>
      <c r="I12" s="1548"/>
      <c r="J12" s="2520"/>
      <c r="K12" s="2520"/>
      <c r="L12" s="1271"/>
      <c r="M12" s="749"/>
      <c r="N12" s="2520"/>
      <c r="O12" s="2520"/>
      <c r="P12" s="1495"/>
      <c r="Q12" s="1548"/>
      <c r="R12" s="2520"/>
      <c r="S12" s="2520"/>
      <c r="T12" s="2519"/>
      <c r="U12" s="1548"/>
      <c r="V12" s="2520"/>
      <c r="W12" s="2520"/>
      <c r="X12" s="1271"/>
      <c r="Y12" s="749"/>
      <c r="Z12" s="444"/>
      <c r="AA12" s="492"/>
      <c r="AB12" s="2520"/>
      <c r="AC12" s="2520"/>
      <c r="AD12" s="1495"/>
      <c r="AE12" s="2422"/>
      <c r="AF12" s="2520"/>
      <c r="AG12" s="2520"/>
      <c r="AH12" s="1495"/>
      <c r="AI12" s="2422"/>
      <c r="AJ12" s="2520"/>
      <c r="AK12" s="2520"/>
      <c r="AL12" s="2522"/>
      <c r="AM12" s="749"/>
      <c r="AN12" s="1495"/>
      <c r="AO12" s="2422"/>
      <c r="AP12" s="2520"/>
      <c r="AQ12" s="2520"/>
      <c r="AR12" s="1495"/>
      <c r="AS12" s="2422"/>
      <c r="AT12" s="2520"/>
      <c r="AU12" s="2520"/>
      <c r="AV12" s="2422"/>
      <c r="AW12" s="2422"/>
      <c r="AX12" s="2520"/>
      <c r="AY12" s="2520">
        <v>186.41</v>
      </c>
      <c r="AZ12" s="2522"/>
      <c r="BA12" s="749">
        <f t="shared" ref="BA12" si="27">+AQ12+AU12+AY12</f>
        <v>186.41</v>
      </c>
      <c r="BB12" s="444"/>
      <c r="BC12" s="492">
        <f t="shared" ref="BC12" si="28">BA12+AM12</f>
        <v>186.41</v>
      </c>
      <c r="BD12" s="2422"/>
      <c r="BE12" s="235">
        <f t="shared" ref="BE12" si="29">+AW12+AY12</f>
        <v>186.41</v>
      </c>
      <c r="BF12" s="1137"/>
      <c r="BI12" s="25"/>
      <c r="BJ12" s="25"/>
    </row>
    <row r="13" spans="1:62" s="139" customFormat="1" ht="10.5" customHeight="1" x14ac:dyDescent="0.25">
      <c r="B13" s="7019"/>
      <c r="C13" s="7020"/>
      <c r="D13" s="6771"/>
      <c r="E13" s="6771"/>
      <c r="F13" s="6771"/>
      <c r="G13" s="6771"/>
      <c r="H13" s="6698"/>
      <c r="I13" s="6698"/>
      <c r="J13" s="6771"/>
      <c r="K13" s="6771"/>
      <c r="L13" s="6777"/>
      <c r="M13" s="6777"/>
      <c r="N13" s="6771"/>
      <c r="O13" s="6771"/>
      <c r="P13" s="6771"/>
      <c r="Q13" s="6698"/>
      <c r="R13" s="6771"/>
      <c r="S13" s="6771"/>
      <c r="T13" s="6698"/>
      <c r="U13" s="6698"/>
      <c r="V13" s="6771"/>
      <c r="W13" s="6771"/>
      <c r="X13" s="6777"/>
      <c r="Y13" s="6777"/>
      <c r="Z13" s="7021"/>
      <c r="AA13" s="6777"/>
      <c r="AB13" s="6771"/>
      <c r="AC13" s="6771"/>
      <c r="AD13" s="6771"/>
      <c r="AE13" s="6771"/>
      <c r="AF13" s="6771"/>
      <c r="AG13" s="6771"/>
      <c r="AH13" s="6771"/>
      <c r="AI13" s="6771"/>
      <c r="AJ13" s="6771"/>
      <c r="AK13" s="6771"/>
      <c r="AL13" s="7022"/>
      <c r="AM13" s="6777"/>
      <c r="AN13" s="6771"/>
      <c r="AO13" s="6771"/>
      <c r="AP13" s="6771"/>
      <c r="AQ13" s="6771"/>
      <c r="AR13" s="6771"/>
      <c r="AS13" s="6771"/>
      <c r="AT13" s="6771"/>
      <c r="AU13" s="6771"/>
      <c r="AV13" s="6771"/>
      <c r="AW13" s="6771"/>
      <c r="AX13" s="6771"/>
      <c r="AY13" s="6771"/>
      <c r="AZ13" s="7022"/>
      <c r="BA13" s="6777"/>
      <c r="BB13" s="7021"/>
      <c r="BC13" s="6777"/>
      <c r="BD13" s="6771"/>
      <c r="BE13" s="6777"/>
      <c r="BF13" s="1137"/>
      <c r="BI13" s="518"/>
      <c r="BJ13" s="518"/>
    </row>
    <row r="14" spans="1:62" s="2503" customFormat="1" ht="23.25" x14ac:dyDescent="0.25">
      <c r="A14" s="139"/>
      <c r="B14" s="2892" t="s">
        <v>1570</v>
      </c>
      <c r="C14" s="194"/>
      <c r="D14" s="2520"/>
      <c r="E14" s="2520"/>
      <c r="F14" s="2520"/>
      <c r="G14" s="2520">
        <v>299.72000000000003</v>
      </c>
      <c r="H14" s="2519"/>
      <c r="I14" s="1548">
        <f t="shared" si="6"/>
        <v>299.72000000000003</v>
      </c>
      <c r="J14" s="2520"/>
      <c r="K14" s="2520"/>
      <c r="L14" s="1271"/>
      <c r="M14" s="749">
        <f t="shared" si="7"/>
        <v>299.72000000000003</v>
      </c>
      <c r="N14" s="2520"/>
      <c r="O14" s="2520"/>
      <c r="P14" s="1495"/>
      <c r="Q14" s="1548">
        <f t="shared" si="8"/>
        <v>299.72000000000003</v>
      </c>
      <c r="R14" s="2520"/>
      <c r="S14" s="2520">
        <v>239.04</v>
      </c>
      <c r="T14" s="2519"/>
      <c r="U14" s="1548">
        <f t="shared" si="9"/>
        <v>538.76</v>
      </c>
      <c r="V14" s="2520"/>
      <c r="W14" s="2520">
        <v>497.22999999999996</v>
      </c>
      <c r="X14" s="1271"/>
      <c r="Y14" s="749">
        <f t="shared" si="10"/>
        <v>736.27</v>
      </c>
      <c r="Z14" s="444"/>
      <c r="AA14" s="492">
        <f t="shared" si="11"/>
        <v>1035.99</v>
      </c>
      <c r="AB14" s="2520"/>
      <c r="AC14" s="2520"/>
      <c r="AD14" s="1495"/>
      <c r="AE14" s="2422">
        <f t="shared" si="12"/>
        <v>1035.99</v>
      </c>
      <c r="AF14" s="2520"/>
      <c r="AG14" s="2520"/>
      <c r="AH14" s="1495"/>
      <c r="AI14" s="2422">
        <f t="shared" si="0"/>
        <v>1035.99</v>
      </c>
      <c r="AJ14" s="2520"/>
      <c r="AK14" s="2520"/>
      <c r="AL14" s="2522"/>
      <c r="AM14" s="749">
        <f t="shared" si="14"/>
        <v>0</v>
      </c>
      <c r="AN14" s="1495"/>
      <c r="AO14" s="2422">
        <f t="shared" si="15"/>
        <v>1035.99</v>
      </c>
      <c r="AP14" s="2520"/>
      <c r="AQ14" s="2520">
        <v>337.56</v>
      </c>
      <c r="AR14" s="1495"/>
      <c r="AS14" s="2422">
        <f t="shared" si="1"/>
        <v>1373.55</v>
      </c>
      <c r="AT14" s="2520"/>
      <c r="AU14" s="2520">
        <v>289.99</v>
      </c>
      <c r="AV14" s="1495"/>
      <c r="AW14" s="2422">
        <f t="shared" si="2"/>
        <v>1663.54</v>
      </c>
      <c r="AX14" s="2520"/>
      <c r="AY14" s="2520">
        <v>38.71</v>
      </c>
      <c r="AZ14" s="2522"/>
      <c r="BA14" s="749">
        <f t="shared" si="19"/>
        <v>666.26</v>
      </c>
      <c r="BB14" s="444"/>
      <c r="BC14" s="492">
        <f t="shared" si="20"/>
        <v>666.26</v>
      </c>
      <c r="BD14" s="1495"/>
      <c r="BE14" s="235">
        <f t="shared" si="3"/>
        <v>1702.25</v>
      </c>
      <c r="BF14" s="1137"/>
      <c r="BG14" s="25"/>
      <c r="BI14" s="25"/>
      <c r="BJ14" s="25"/>
    </row>
    <row r="15" spans="1:62" s="2503" customFormat="1" ht="18.75" x14ac:dyDescent="0.25">
      <c r="A15" s="139"/>
      <c r="B15" s="2518"/>
      <c r="C15" s="194"/>
      <c r="D15" s="7600"/>
      <c r="E15" s="7600"/>
      <c r="F15" s="2237"/>
      <c r="G15" s="5556"/>
      <c r="H15" s="1548"/>
      <c r="I15" s="1548"/>
      <c r="J15" s="2237"/>
      <c r="K15" s="5680"/>
      <c r="L15" s="749"/>
      <c r="M15" s="749"/>
      <c r="N15" s="2237"/>
      <c r="O15" s="7223"/>
      <c r="P15" s="2422"/>
      <c r="Q15" s="1548">
        <f t="shared" si="8"/>
        <v>0</v>
      </c>
      <c r="R15" s="2237"/>
      <c r="S15" s="5893"/>
      <c r="T15" s="2236"/>
      <c r="U15" s="1548">
        <f t="shared" si="9"/>
        <v>0</v>
      </c>
      <c r="V15" s="2237"/>
      <c r="W15" s="6007"/>
      <c r="X15" s="749"/>
      <c r="Y15" s="749"/>
      <c r="Z15" s="444"/>
      <c r="AA15" s="492"/>
      <c r="AB15" s="2237"/>
      <c r="AC15" s="6123"/>
      <c r="AD15" s="2422"/>
      <c r="AE15" s="2422"/>
      <c r="AF15" s="2237"/>
      <c r="AG15" s="6300"/>
      <c r="AH15" s="2422"/>
      <c r="AI15" s="2422"/>
      <c r="AJ15" s="2237"/>
      <c r="AK15" s="6549"/>
      <c r="AL15" s="563"/>
      <c r="AM15" s="749"/>
      <c r="AN15" s="2422"/>
      <c r="AO15" s="2422"/>
      <c r="AP15" s="6643"/>
      <c r="AQ15" s="6643"/>
      <c r="AR15" s="2422"/>
      <c r="AS15" s="2422"/>
      <c r="AT15" s="2237"/>
      <c r="AU15" s="6804"/>
      <c r="AV15" s="2422"/>
      <c r="AW15" s="2422"/>
      <c r="AX15" s="6957"/>
      <c r="AY15" s="6957"/>
      <c r="AZ15" s="563"/>
      <c r="BA15" s="749"/>
      <c r="BB15" s="444"/>
      <c r="BC15" s="492"/>
      <c r="BD15" s="2422"/>
      <c r="BE15" s="235"/>
      <c r="BF15" s="1137"/>
      <c r="BI15" s="25"/>
      <c r="BJ15" s="25"/>
    </row>
    <row r="16" spans="1:62" ht="23.25" x14ac:dyDescent="0.25">
      <c r="A16" s="139"/>
      <c r="B16" s="2892" t="s">
        <v>1571</v>
      </c>
      <c r="C16" s="148" t="s">
        <v>352</v>
      </c>
      <c r="D16" s="2520"/>
      <c r="E16" s="2520">
        <f>+E17+E19+E20</f>
        <v>1625.08</v>
      </c>
      <c r="F16" s="2520">
        <f>+F17+F19</f>
        <v>0</v>
      </c>
      <c r="G16" s="2520">
        <f>+G17+G19+G20</f>
        <v>640.46</v>
      </c>
      <c r="H16" s="2519"/>
      <c r="I16" s="1552">
        <f t="shared" si="6"/>
        <v>2265.54</v>
      </c>
      <c r="J16" s="2520"/>
      <c r="K16" s="2520">
        <f>+K17+K19+K20</f>
        <v>1065.5999999999999</v>
      </c>
      <c r="L16" s="1271"/>
      <c r="M16" s="749">
        <f t="shared" si="7"/>
        <v>3331.14</v>
      </c>
      <c r="N16" s="2520"/>
      <c r="O16" s="2520">
        <f>+O17+O19+O20</f>
        <v>463.1</v>
      </c>
      <c r="P16" s="1495"/>
      <c r="Q16" s="1548">
        <f t="shared" si="8"/>
        <v>3794.24</v>
      </c>
      <c r="R16" s="2520"/>
      <c r="S16" s="2520">
        <f>+S17+S19+S20</f>
        <v>2248.92</v>
      </c>
      <c r="T16" s="2519"/>
      <c r="U16" s="1548">
        <f t="shared" si="9"/>
        <v>6043.16</v>
      </c>
      <c r="V16" s="2520"/>
      <c r="W16" s="2520">
        <f>+W17+W19+W20</f>
        <v>1413.7700000000002</v>
      </c>
      <c r="X16" s="1271"/>
      <c r="Y16" s="749">
        <f t="shared" si="10"/>
        <v>4125.79</v>
      </c>
      <c r="Z16" s="444"/>
      <c r="AA16" s="492">
        <f t="shared" si="11"/>
        <v>7456.93</v>
      </c>
      <c r="AB16" s="2520"/>
      <c r="AC16" s="2520">
        <f>+AC17+AC19+AC20</f>
        <v>2004.1</v>
      </c>
      <c r="AD16" s="1495"/>
      <c r="AE16" s="2422">
        <f t="shared" ref="AE16:AE19" si="30">AA16+AC16</f>
        <v>9461.0300000000007</v>
      </c>
      <c r="AF16" s="2520"/>
      <c r="AG16" s="2520">
        <f>+AG17+AG19+AG20</f>
        <v>0</v>
      </c>
      <c r="AH16" s="1495"/>
      <c r="AI16" s="2422">
        <f t="shared" si="0"/>
        <v>9461.0300000000007</v>
      </c>
      <c r="AJ16" s="2520"/>
      <c r="AK16" s="2520">
        <f>+AK17+AK19+AK20</f>
        <v>703.34</v>
      </c>
      <c r="AL16" s="2522"/>
      <c r="AM16" s="749">
        <f t="shared" si="14"/>
        <v>2707.44</v>
      </c>
      <c r="AN16" s="1495"/>
      <c r="AO16" s="2422">
        <f t="shared" si="15"/>
        <v>10164.370000000001</v>
      </c>
      <c r="AP16" s="2520"/>
      <c r="AQ16" s="2520">
        <f>+AQ17+AQ19+AQ20</f>
        <v>1589.84</v>
      </c>
      <c r="AR16" s="1495"/>
      <c r="AS16" s="2422">
        <f t="shared" si="1"/>
        <v>11754.210000000001</v>
      </c>
      <c r="AT16" s="2520"/>
      <c r="AU16" s="2520">
        <f>+AU17+AU19+AU20</f>
        <v>481.34000000000003</v>
      </c>
      <c r="AV16" s="1495"/>
      <c r="AW16" s="2422">
        <f t="shared" si="2"/>
        <v>12235.550000000001</v>
      </c>
      <c r="AX16" s="2520"/>
      <c r="AY16" s="2520">
        <f>+AY17+AY19+AY20</f>
        <v>1544.2600000000002</v>
      </c>
      <c r="AZ16" s="2522"/>
      <c r="BA16" s="749">
        <f t="shared" si="19"/>
        <v>3615.44</v>
      </c>
      <c r="BB16" s="444"/>
      <c r="BC16" s="492">
        <f t="shared" si="20"/>
        <v>6322.88</v>
      </c>
      <c r="BD16" s="1495"/>
      <c r="BE16" s="235">
        <f>+AW16+AY16</f>
        <v>13779.810000000001</v>
      </c>
      <c r="BF16" s="1137"/>
      <c r="BI16" s="25"/>
      <c r="BJ16" s="25"/>
    </row>
    <row r="17" spans="1:62" s="2503" customFormat="1" ht="18.75" x14ac:dyDescent="0.25">
      <c r="A17" s="139"/>
      <c r="B17" s="499" t="s">
        <v>1865</v>
      </c>
      <c r="C17" s="148" t="s">
        <v>352</v>
      </c>
      <c r="D17" s="589"/>
      <c r="E17" s="589">
        <v>1625.08</v>
      </c>
      <c r="F17" s="589">
        <v>0</v>
      </c>
      <c r="G17" s="589">
        <v>640.46</v>
      </c>
      <c r="H17" s="1548"/>
      <c r="I17" s="1548">
        <f t="shared" si="6"/>
        <v>2265.54</v>
      </c>
      <c r="J17" s="589">
        <v>0</v>
      </c>
      <c r="K17" s="589">
        <v>1065.5999999999999</v>
      </c>
      <c r="L17" s="749"/>
      <c r="M17" s="749">
        <f t="shared" si="7"/>
        <v>3331.14</v>
      </c>
      <c r="N17" s="589">
        <v>0</v>
      </c>
      <c r="O17" s="589">
        <v>398.74</v>
      </c>
      <c r="P17" s="2422"/>
      <c r="Q17" s="1548">
        <f t="shared" si="8"/>
        <v>3729.88</v>
      </c>
      <c r="R17" s="589">
        <v>0</v>
      </c>
      <c r="S17" s="589">
        <v>353.2</v>
      </c>
      <c r="T17" s="2236"/>
      <c r="U17" s="1548">
        <f t="shared" si="9"/>
        <v>4083.08</v>
      </c>
      <c r="V17" s="589">
        <v>0</v>
      </c>
      <c r="W17" s="589">
        <v>453.39000000000004</v>
      </c>
      <c r="X17" s="749"/>
      <c r="Y17" s="749">
        <f t="shared" si="10"/>
        <v>1205.3300000000002</v>
      </c>
      <c r="Z17" s="444"/>
      <c r="AA17" s="492">
        <f t="shared" si="11"/>
        <v>4536.47</v>
      </c>
      <c r="AB17" s="589"/>
      <c r="AC17" s="589"/>
      <c r="AD17" s="2422"/>
      <c r="AE17" s="2422">
        <f t="shared" si="30"/>
        <v>4536.47</v>
      </c>
      <c r="AF17" s="589"/>
      <c r="AG17" s="589"/>
      <c r="AH17" s="2422"/>
      <c r="AI17" s="2422">
        <f t="shared" si="0"/>
        <v>4536.47</v>
      </c>
      <c r="AJ17" s="589">
        <v>0</v>
      </c>
      <c r="AK17" s="589">
        <v>703.34</v>
      </c>
      <c r="AL17" s="563"/>
      <c r="AM17" s="749">
        <f t="shared" si="14"/>
        <v>703.34</v>
      </c>
      <c r="AN17" s="2422"/>
      <c r="AO17" s="2422">
        <f t="shared" si="15"/>
        <v>5239.8100000000004</v>
      </c>
      <c r="AP17" s="589">
        <v>0</v>
      </c>
      <c r="AQ17" s="589">
        <v>1589.84</v>
      </c>
      <c r="AR17" s="2422"/>
      <c r="AS17" s="2422">
        <f t="shared" si="1"/>
        <v>6829.6500000000005</v>
      </c>
      <c r="AT17" s="589"/>
      <c r="AU17" s="589">
        <v>481.34000000000003</v>
      </c>
      <c r="AV17" s="2422"/>
      <c r="AW17" s="2422">
        <f t="shared" si="2"/>
        <v>7310.9900000000007</v>
      </c>
      <c r="AX17" s="589"/>
      <c r="AY17" s="589">
        <v>1544.2600000000002</v>
      </c>
      <c r="AZ17" s="563"/>
      <c r="BA17" s="749">
        <f t="shared" si="19"/>
        <v>3615.44</v>
      </c>
      <c r="BB17" s="444"/>
      <c r="BC17" s="492">
        <f t="shared" si="20"/>
        <v>4318.78</v>
      </c>
      <c r="BD17" s="2422"/>
      <c r="BE17" s="235">
        <f t="shared" si="3"/>
        <v>8855.25</v>
      </c>
      <c r="BF17" s="1137"/>
      <c r="BG17" s="25"/>
      <c r="BI17" s="25"/>
      <c r="BJ17" s="25"/>
    </row>
    <row r="18" spans="1:62" s="2879" customFormat="1" ht="18.75" x14ac:dyDescent="0.25">
      <c r="A18" s="139"/>
      <c r="B18" s="499" t="s">
        <v>1569</v>
      </c>
      <c r="C18" s="148" t="s">
        <v>352</v>
      </c>
      <c r="D18" s="2895">
        <f t="shared" ref="D18" si="31">+D20+D19</f>
        <v>0</v>
      </c>
      <c r="E18" s="2895">
        <f>+E20+E19</f>
        <v>0</v>
      </c>
      <c r="F18" s="2895">
        <f t="shared" ref="F18:BE18" si="32">+F20+F19</f>
        <v>0</v>
      </c>
      <c r="G18" s="2895">
        <f>+G20+G19</f>
        <v>0</v>
      </c>
      <c r="H18" s="2895">
        <f t="shared" si="32"/>
        <v>0</v>
      </c>
      <c r="I18" s="2895">
        <f t="shared" si="32"/>
        <v>0</v>
      </c>
      <c r="J18" s="2895">
        <f t="shared" si="32"/>
        <v>0</v>
      </c>
      <c r="K18" s="2895">
        <f>+K20+K19</f>
        <v>0</v>
      </c>
      <c r="L18" s="2895">
        <f t="shared" si="32"/>
        <v>0</v>
      </c>
      <c r="M18" s="2895">
        <f t="shared" si="32"/>
        <v>0</v>
      </c>
      <c r="N18" s="2895">
        <f t="shared" si="32"/>
        <v>0</v>
      </c>
      <c r="O18" s="2895">
        <f>+O20+O19</f>
        <v>64.36</v>
      </c>
      <c r="P18" s="2895">
        <f t="shared" si="32"/>
        <v>0</v>
      </c>
      <c r="Q18" s="1548">
        <f t="shared" si="8"/>
        <v>64.36</v>
      </c>
      <c r="R18" s="2895">
        <f t="shared" si="32"/>
        <v>0</v>
      </c>
      <c r="S18" s="2895">
        <f>+S20+S19</f>
        <v>1895.72</v>
      </c>
      <c r="T18" s="2895">
        <f t="shared" si="32"/>
        <v>0</v>
      </c>
      <c r="U18" s="1548">
        <f t="shared" si="9"/>
        <v>1960.08</v>
      </c>
      <c r="V18" s="2895">
        <f t="shared" si="32"/>
        <v>0</v>
      </c>
      <c r="W18" s="2895">
        <f>+W20+W19</f>
        <v>960.38000000000011</v>
      </c>
      <c r="X18" s="2895">
        <f t="shared" si="32"/>
        <v>0</v>
      </c>
      <c r="Y18" s="2895">
        <f t="shared" si="32"/>
        <v>2920.46</v>
      </c>
      <c r="Z18" s="2895">
        <f t="shared" si="32"/>
        <v>0</v>
      </c>
      <c r="AA18" s="2895">
        <f t="shared" si="32"/>
        <v>2920.46</v>
      </c>
      <c r="AB18" s="2895">
        <f t="shared" si="32"/>
        <v>0</v>
      </c>
      <c r="AC18" s="2895">
        <f>+AC20+AC19</f>
        <v>2004.1</v>
      </c>
      <c r="AD18" s="2895">
        <f t="shared" si="32"/>
        <v>0</v>
      </c>
      <c r="AE18" s="2895">
        <f t="shared" si="30"/>
        <v>4924.5599999999995</v>
      </c>
      <c r="AF18" s="2895">
        <f t="shared" si="32"/>
        <v>0</v>
      </c>
      <c r="AG18" s="2895">
        <f>+AG20+AG19</f>
        <v>0</v>
      </c>
      <c r="AH18" s="2895">
        <f t="shared" si="32"/>
        <v>0</v>
      </c>
      <c r="AI18" s="2895">
        <f t="shared" si="0"/>
        <v>4924.5599999999995</v>
      </c>
      <c r="AJ18" s="2895">
        <f t="shared" si="32"/>
        <v>0</v>
      </c>
      <c r="AK18" s="2895">
        <f>+AK20+AK19</f>
        <v>0</v>
      </c>
      <c r="AL18" s="2895">
        <f t="shared" si="32"/>
        <v>0</v>
      </c>
      <c r="AM18" s="2895">
        <f t="shared" si="32"/>
        <v>2004.1</v>
      </c>
      <c r="AN18" s="2895">
        <f t="shared" si="32"/>
        <v>0</v>
      </c>
      <c r="AO18" s="2895">
        <f t="shared" si="32"/>
        <v>4924.5600000000004</v>
      </c>
      <c r="AP18" s="2895">
        <f t="shared" ref="AP18" si="33">+AP20+AP19</f>
        <v>0</v>
      </c>
      <c r="AQ18" s="2895">
        <f>+AQ20+AQ19</f>
        <v>0</v>
      </c>
      <c r="AR18" s="2895">
        <f t="shared" si="32"/>
        <v>0</v>
      </c>
      <c r="AS18" s="2895">
        <f t="shared" si="32"/>
        <v>4924.5600000000004</v>
      </c>
      <c r="AT18" s="2895">
        <f t="shared" si="32"/>
        <v>0</v>
      </c>
      <c r="AU18" s="2895">
        <f>+AU20+AU19</f>
        <v>0</v>
      </c>
      <c r="AV18" s="2895">
        <f t="shared" si="32"/>
        <v>0</v>
      </c>
      <c r="AW18" s="2895">
        <f t="shared" ref="AW18:AX18" si="34">+AW20+AW19</f>
        <v>4924.5600000000004</v>
      </c>
      <c r="AX18" s="2895">
        <f t="shared" si="34"/>
        <v>0</v>
      </c>
      <c r="AY18" s="2895">
        <f>+AY20+AY19</f>
        <v>0</v>
      </c>
      <c r="AZ18" s="2895">
        <f t="shared" si="32"/>
        <v>0</v>
      </c>
      <c r="BA18" s="2895">
        <f t="shared" si="32"/>
        <v>0</v>
      </c>
      <c r="BB18" s="2895">
        <f t="shared" si="32"/>
        <v>0</v>
      </c>
      <c r="BC18" s="2895">
        <f t="shared" si="32"/>
        <v>2004.1</v>
      </c>
      <c r="BD18" s="2895">
        <f t="shared" si="32"/>
        <v>0</v>
      </c>
      <c r="BE18" s="235">
        <f t="shared" si="32"/>
        <v>4924.5600000000004</v>
      </c>
      <c r="BF18" s="1137"/>
      <c r="BI18" s="25"/>
      <c r="BJ18" s="25"/>
    </row>
    <row r="19" spans="1:62" s="2503" customFormat="1" ht="15.75" customHeight="1" x14ac:dyDescent="0.25">
      <c r="A19" s="139"/>
      <c r="B19" s="2507" t="s">
        <v>1541</v>
      </c>
      <c r="C19" s="148" t="s">
        <v>352</v>
      </c>
      <c r="D19" s="589"/>
      <c r="E19" s="589"/>
      <c r="F19" s="589"/>
      <c r="G19" s="589"/>
      <c r="H19" s="1548"/>
      <c r="I19" s="1548">
        <f t="shared" si="6"/>
        <v>0</v>
      </c>
      <c r="J19" s="589"/>
      <c r="K19" s="589"/>
      <c r="L19" s="749"/>
      <c r="M19" s="749">
        <f t="shared" si="7"/>
        <v>0</v>
      </c>
      <c r="N19" s="589"/>
      <c r="O19" s="589">
        <v>64.36</v>
      </c>
      <c r="P19" s="2422"/>
      <c r="Q19" s="1548">
        <f t="shared" si="8"/>
        <v>64.36</v>
      </c>
      <c r="R19" s="589"/>
      <c r="S19" s="589"/>
      <c r="T19" s="2236"/>
      <c r="U19" s="1548">
        <f t="shared" si="9"/>
        <v>64.36</v>
      </c>
      <c r="V19" s="589"/>
      <c r="W19" s="589">
        <v>960.38000000000011</v>
      </c>
      <c r="X19" s="749"/>
      <c r="Y19" s="749">
        <f t="shared" si="10"/>
        <v>1024.74</v>
      </c>
      <c r="Z19" s="444"/>
      <c r="AA19" s="492">
        <f t="shared" si="11"/>
        <v>1024.74</v>
      </c>
      <c r="AB19" s="589"/>
      <c r="AC19" s="589">
        <v>2004.1</v>
      </c>
      <c r="AD19" s="2422"/>
      <c r="AE19" s="2422">
        <f t="shared" si="30"/>
        <v>3028.84</v>
      </c>
      <c r="AF19" s="589"/>
      <c r="AG19" s="589"/>
      <c r="AH19" s="2422"/>
      <c r="AI19" s="2422">
        <f t="shared" si="0"/>
        <v>3028.84</v>
      </c>
      <c r="AJ19" s="589"/>
      <c r="AK19" s="589"/>
      <c r="AL19" s="563"/>
      <c r="AM19" s="749">
        <f t="shared" si="14"/>
        <v>2004.1</v>
      </c>
      <c r="AN19" s="2422"/>
      <c r="AO19" s="2422">
        <f t="shared" si="15"/>
        <v>3028.84</v>
      </c>
      <c r="AP19" s="589"/>
      <c r="AQ19" s="589"/>
      <c r="AR19" s="2422"/>
      <c r="AS19" s="2422">
        <f t="shared" si="1"/>
        <v>3028.84</v>
      </c>
      <c r="AT19" s="589"/>
      <c r="AU19" s="589"/>
      <c r="AV19" s="2422"/>
      <c r="AW19" s="2422">
        <f t="shared" si="2"/>
        <v>3028.84</v>
      </c>
      <c r="AX19" s="589"/>
      <c r="AY19" s="589"/>
      <c r="AZ19" s="563"/>
      <c r="BA19" s="749">
        <f t="shared" si="19"/>
        <v>0</v>
      </c>
      <c r="BB19" s="444"/>
      <c r="BC19" s="492">
        <f t="shared" si="20"/>
        <v>2004.1</v>
      </c>
      <c r="BD19" s="2422"/>
      <c r="BE19" s="235">
        <f t="shared" si="3"/>
        <v>3028.84</v>
      </c>
      <c r="BF19" s="1137"/>
      <c r="BI19" s="25"/>
      <c r="BJ19" s="25"/>
    </row>
    <row r="20" spans="1:62" s="2503" customFormat="1" ht="21" customHeight="1" thickBot="1" x14ac:dyDescent="0.3">
      <c r="A20" s="139"/>
      <c r="B20" s="2507" t="s">
        <v>1540</v>
      </c>
      <c r="C20" s="148" t="s">
        <v>352</v>
      </c>
      <c r="D20" s="7600"/>
      <c r="E20" s="7600"/>
      <c r="F20" s="2237"/>
      <c r="G20" s="5556"/>
      <c r="H20" s="1548"/>
      <c r="I20" s="1548">
        <f t="shared" si="6"/>
        <v>0</v>
      </c>
      <c r="J20" s="2237"/>
      <c r="K20" s="5680"/>
      <c r="L20" s="749"/>
      <c r="M20" s="749">
        <f t="shared" si="7"/>
        <v>0</v>
      </c>
      <c r="N20" s="2237"/>
      <c r="O20" s="7223"/>
      <c r="P20" s="2422"/>
      <c r="Q20" s="1548">
        <f t="shared" si="8"/>
        <v>0</v>
      </c>
      <c r="R20" s="2237"/>
      <c r="S20" s="5893">
        <v>1895.72</v>
      </c>
      <c r="T20" s="2236"/>
      <c r="U20" s="1548">
        <f t="shared" si="9"/>
        <v>1895.72</v>
      </c>
      <c r="V20" s="2237"/>
      <c r="W20" s="6007"/>
      <c r="X20" s="749"/>
      <c r="Y20" s="749">
        <f t="shared" si="10"/>
        <v>1895.72</v>
      </c>
      <c r="Z20" s="444"/>
      <c r="AA20" s="492">
        <f t="shared" si="11"/>
        <v>1895.72</v>
      </c>
      <c r="AB20" s="2237"/>
      <c r="AC20" s="6123"/>
      <c r="AD20" s="2422"/>
      <c r="AE20" s="2422">
        <f t="shared" ref="AE20:AE21" si="35">AA20+AC20</f>
        <v>1895.72</v>
      </c>
      <c r="AF20" s="2237"/>
      <c r="AG20" s="6300"/>
      <c r="AH20" s="2422"/>
      <c r="AI20" s="2422">
        <f t="shared" si="0"/>
        <v>1895.72</v>
      </c>
      <c r="AJ20" s="2237"/>
      <c r="AK20" s="6549"/>
      <c r="AL20" s="563"/>
      <c r="AM20" s="749">
        <f t="shared" si="14"/>
        <v>0</v>
      </c>
      <c r="AN20" s="2422"/>
      <c r="AO20" s="2422">
        <f t="shared" si="15"/>
        <v>1895.72</v>
      </c>
      <c r="AP20" s="6643"/>
      <c r="AQ20" s="6643"/>
      <c r="AR20" s="2422"/>
      <c r="AS20" s="2422">
        <f t="shared" si="1"/>
        <v>1895.72</v>
      </c>
      <c r="AT20" s="2237"/>
      <c r="AU20" s="6804"/>
      <c r="AV20" s="2422"/>
      <c r="AW20" s="2422">
        <f t="shared" si="2"/>
        <v>1895.72</v>
      </c>
      <c r="AX20" s="6957"/>
      <c r="AY20" s="6957"/>
      <c r="AZ20" s="563"/>
      <c r="BA20" s="749">
        <f t="shared" si="19"/>
        <v>0</v>
      </c>
      <c r="BB20" s="444"/>
      <c r="BC20" s="492">
        <f t="shared" ref="BC20" si="36">BA20+AM20</f>
        <v>0</v>
      </c>
      <c r="BD20" s="2422"/>
      <c r="BE20" s="235">
        <f t="shared" ref="BE20" si="37">+AW20+AY20</f>
        <v>1895.72</v>
      </c>
      <c r="BF20" s="1137"/>
      <c r="BI20" s="25"/>
      <c r="BJ20" s="25"/>
    </row>
    <row r="21" spans="1:62" ht="24" hidden="1" thickBot="1" x14ac:dyDescent="0.3">
      <c r="A21" s="31"/>
      <c r="B21" s="2892" t="s">
        <v>1572</v>
      </c>
      <c r="C21" s="148" t="s">
        <v>352</v>
      </c>
      <c r="D21" s="2520"/>
      <c r="E21" s="2520"/>
      <c r="F21" s="2520"/>
      <c r="G21" s="2520"/>
      <c r="H21" s="2519"/>
      <c r="I21" s="1548">
        <f t="shared" si="6"/>
        <v>0</v>
      </c>
      <c r="J21" s="2520"/>
      <c r="K21" s="2520"/>
      <c r="L21" s="1271"/>
      <c r="M21" s="749">
        <f t="shared" si="7"/>
        <v>0</v>
      </c>
      <c r="N21" s="2520"/>
      <c r="O21" s="2520"/>
      <c r="P21" s="1495"/>
      <c r="Q21" s="1548">
        <f t="shared" si="8"/>
        <v>0</v>
      </c>
      <c r="R21" s="2520"/>
      <c r="S21" s="2520"/>
      <c r="T21" s="2519"/>
      <c r="U21" s="1548">
        <f t="shared" si="9"/>
        <v>0</v>
      </c>
      <c r="V21" s="2520"/>
      <c r="W21" s="2520"/>
      <c r="X21" s="1271"/>
      <c r="Y21" s="749">
        <f t="shared" si="10"/>
        <v>0</v>
      </c>
      <c r="Z21" s="444"/>
      <c r="AA21" s="492">
        <f t="shared" si="11"/>
        <v>0</v>
      </c>
      <c r="AB21" s="2520"/>
      <c r="AC21" s="2520"/>
      <c r="AD21" s="1495"/>
      <c r="AE21" s="2422">
        <f t="shared" si="35"/>
        <v>0</v>
      </c>
      <c r="AF21" s="2520"/>
      <c r="AG21" s="2520"/>
      <c r="AH21" s="1495"/>
      <c r="AI21" s="2422">
        <f t="shared" ref="AI21" si="38">+AC21+W21+S21+O21+K21+E21+G21+AG21</f>
        <v>0</v>
      </c>
      <c r="AJ21" s="2520"/>
      <c r="AK21" s="2520"/>
      <c r="AL21" s="2522"/>
      <c r="AM21" s="749">
        <f t="shared" si="14"/>
        <v>0</v>
      </c>
      <c r="AN21" s="1495"/>
      <c r="AO21" s="2422">
        <f t="shared" si="15"/>
        <v>0</v>
      </c>
      <c r="AP21" s="2520"/>
      <c r="AQ21" s="2520"/>
      <c r="AR21" s="1495"/>
      <c r="AS21" s="2422">
        <f t="shared" si="1"/>
        <v>0</v>
      </c>
      <c r="AT21" s="2520"/>
      <c r="AU21" s="2520"/>
      <c r="AV21" s="1495"/>
      <c r="AW21" s="2422">
        <f t="shared" si="2"/>
        <v>0</v>
      </c>
      <c r="AX21" s="2520"/>
      <c r="AY21" s="2520"/>
      <c r="AZ21" s="2522"/>
      <c r="BA21" s="749">
        <f t="shared" si="19"/>
        <v>0</v>
      </c>
      <c r="BB21" s="444"/>
      <c r="BC21" s="492">
        <f t="shared" si="20"/>
        <v>0</v>
      </c>
      <c r="BD21" s="1495"/>
      <c r="BE21" s="235">
        <f t="shared" si="3"/>
        <v>0</v>
      </c>
      <c r="BF21" s="1137"/>
      <c r="BI21" s="25"/>
      <c r="BJ21" s="25"/>
    </row>
    <row r="22" spans="1:62" s="2503" customFormat="1" ht="16.5" hidden="1" thickBot="1" x14ac:dyDescent="0.3">
      <c r="A22" s="31"/>
      <c r="B22" s="1546"/>
      <c r="C22" s="148"/>
      <c r="D22" s="7600"/>
      <c r="E22" s="7600"/>
      <c r="F22" s="2237"/>
      <c r="G22" s="5556"/>
      <c r="H22" s="1548"/>
      <c r="I22" s="1548"/>
      <c r="J22" s="2237"/>
      <c r="K22" s="5680"/>
      <c r="L22" s="749"/>
      <c r="M22" s="749">
        <f t="shared" si="7"/>
        <v>0</v>
      </c>
      <c r="N22" s="2237"/>
      <c r="O22" s="7223"/>
      <c r="P22" s="2422"/>
      <c r="Q22" s="1548">
        <f t="shared" si="8"/>
        <v>0</v>
      </c>
      <c r="R22" s="2237"/>
      <c r="S22" s="5893"/>
      <c r="T22" s="2236"/>
      <c r="U22" s="1548">
        <f t="shared" si="9"/>
        <v>0</v>
      </c>
      <c r="V22" s="2237"/>
      <c r="W22" s="6007"/>
      <c r="X22" s="749"/>
      <c r="Y22" s="749"/>
      <c r="Z22" s="444"/>
      <c r="AA22" s="492"/>
      <c r="AB22" s="2237"/>
      <c r="AC22" s="6123"/>
      <c r="AD22" s="2422"/>
      <c r="AE22" s="2422"/>
      <c r="AF22" s="2237"/>
      <c r="AG22" s="6300"/>
      <c r="AH22" s="2422"/>
      <c r="AI22" s="2422"/>
      <c r="AJ22" s="2237"/>
      <c r="AK22" s="6549"/>
      <c r="AL22" s="563"/>
      <c r="AM22" s="749"/>
      <c r="AN22" s="2422"/>
      <c r="AO22" s="2422"/>
      <c r="AP22" s="6643"/>
      <c r="AQ22" s="6643"/>
      <c r="AR22" s="2422"/>
      <c r="AS22" s="2422"/>
      <c r="AT22" s="2237"/>
      <c r="AU22" s="6804"/>
      <c r="AV22" s="2422"/>
      <c r="AW22" s="2422"/>
      <c r="AX22" s="6957"/>
      <c r="AY22" s="6957"/>
      <c r="AZ22" s="563"/>
      <c r="BA22" s="749"/>
      <c r="BB22" s="444"/>
      <c r="BC22" s="492"/>
      <c r="BD22" s="2422"/>
      <c r="BE22" s="235"/>
      <c r="BF22" s="1137"/>
      <c r="BI22" s="25"/>
      <c r="BJ22" s="25"/>
    </row>
    <row r="23" spans="1:62" s="2503" customFormat="1" ht="25.5" x14ac:dyDescent="0.25">
      <c r="A23" s="31"/>
      <c r="B23" s="2506" t="s">
        <v>1573</v>
      </c>
      <c r="C23" s="148"/>
      <c r="D23" s="7600"/>
      <c r="E23" s="7600"/>
      <c r="F23" s="2237"/>
      <c r="G23" s="5556"/>
      <c r="H23" s="1548"/>
      <c r="I23" s="1548"/>
      <c r="J23" s="2237"/>
      <c r="K23" s="5680"/>
      <c r="L23" s="749"/>
      <c r="M23" s="749"/>
      <c r="N23" s="2237"/>
      <c r="O23" s="7223"/>
      <c r="P23" s="2422"/>
      <c r="Q23" s="1548">
        <f t="shared" si="8"/>
        <v>0</v>
      </c>
      <c r="R23" s="2237"/>
      <c r="S23" s="5893"/>
      <c r="T23" s="2236"/>
      <c r="U23" s="1548">
        <f t="shared" si="9"/>
        <v>0</v>
      </c>
      <c r="V23" s="2237"/>
      <c r="W23" s="6007"/>
      <c r="X23" s="749"/>
      <c r="Y23" s="749"/>
      <c r="Z23" s="444"/>
      <c r="AA23" s="492"/>
      <c r="AB23" s="2237"/>
      <c r="AC23" s="6123"/>
      <c r="AD23" s="2237"/>
      <c r="AE23" s="2236"/>
      <c r="AF23" s="2237"/>
      <c r="AG23" s="6300"/>
      <c r="AH23" s="2422"/>
      <c r="AI23" s="2422"/>
      <c r="AJ23" s="2237"/>
      <c r="AK23" s="6549"/>
      <c r="AL23" s="563"/>
      <c r="AM23" s="749"/>
      <c r="AN23" s="2422"/>
      <c r="AO23" s="2422"/>
      <c r="AP23" s="6643"/>
      <c r="AQ23" s="6643"/>
      <c r="AR23" s="2422"/>
      <c r="AS23" s="2422"/>
      <c r="AT23" s="2237"/>
      <c r="AU23" s="6804"/>
      <c r="AV23" s="2422"/>
      <c r="AW23" s="2422"/>
      <c r="AX23" s="6957"/>
      <c r="AY23" s="6957"/>
      <c r="AZ23" s="563"/>
      <c r="BA23" s="749"/>
      <c r="BB23" s="444"/>
      <c r="BC23" s="492"/>
      <c r="BD23" s="2422"/>
      <c r="BE23" s="235"/>
      <c r="BF23" s="1137"/>
      <c r="BI23" s="25"/>
      <c r="BJ23" s="25"/>
    </row>
    <row r="24" spans="1:62" ht="20.25" x14ac:dyDescent="0.25">
      <c r="A24" s="31"/>
      <c r="B24" s="695" t="s">
        <v>658</v>
      </c>
      <c r="C24" s="148"/>
      <c r="D24" s="7600"/>
      <c r="E24" s="7600"/>
      <c r="F24" s="1054"/>
      <c r="G24" s="5556"/>
      <c r="H24" s="1548"/>
      <c r="I24" s="1548"/>
      <c r="J24" s="1054"/>
      <c r="K24" s="5680"/>
      <c r="L24" s="749"/>
      <c r="M24" s="749"/>
      <c r="N24" s="1054"/>
      <c r="O24" s="7223"/>
      <c r="P24" s="2422"/>
      <c r="Q24" s="1548">
        <f t="shared" si="8"/>
        <v>0</v>
      </c>
      <c r="R24" s="1054"/>
      <c r="S24" s="5893"/>
      <c r="T24" s="2236"/>
      <c r="U24" s="1548">
        <f t="shared" si="9"/>
        <v>0</v>
      </c>
      <c r="V24" s="1054"/>
      <c r="W24" s="6007"/>
      <c r="X24" s="749"/>
      <c r="Y24" s="749"/>
      <c r="Z24" s="444"/>
      <c r="AA24" s="492"/>
      <c r="AB24" s="2237"/>
      <c r="AC24" s="6123"/>
      <c r="AD24" s="2237"/>
      <c r="AE24" s="2236"/>
      <c r="AF24" s="2237"/>
      <c r="AG24" s="6300"/>
      <c r="AH24" s="2422"/>
      <c r="AI24" s="2422"/>
      <c r="AJ24" s="2237"/>
      <c r="AK24" s="6549"/>
      <c r="AL24" s="563"/>
      <c r="AM24" s="749"/>
      <c r="AN24" s="2422"/>
      <c r="AO24" s="2422"/>
      <c r="AP24" s="6643"/>
      <c r="AQ24" s="6643"/>
      <c r="AR24" s="2422"/>
      <c r="AS24" s="2422"/>
      <c r="AT24" s="2237"/>
      <c r="AU24" s="6804"/>
      <c r="AV24" s="2422"/>
      <c r="AW24" s="2422"/>
      <c r="AX24" s="6957"/>
      <c r="AY24" s="6957"/>
      <c r="AZ24" s="563"/>
      <c r="BA24" s="749"/>
      <c r="BB24" s="444"/>
      <c r="BC24" s="492"/>
      <c r="BD24" s="2422"/>
      <c r="BE24" s="235"/>
      <c r="BF24" s="1137"/>
      <c r="BI24" s="25"/>
      <c r="BJ24" s="25"/>
    </row>
    <row r="25" spans="1:62" x14ac:dyDescent="0.25">
      <c r="A25" s="139"/>
      <c r="B25" s="696" t="s">
        <v>659</v>
      </c>
      <c r="C25" s="148" t="s">
        <v>352</v>
      </c>
      <c r="D25" s="1271"/>
      <c r="E25" s="1271">
        <f>+SUM(E26:E28)</f>
        <v>3763.2799999999997</v>
      </c>
      <c r="F25" s="1271"/>
      <c r="G25" s="1271">
        <f>+SUM(G26:G28)</f>
        <v>4257.2500000000009</v>
      </c>
      <c r="H25" s="1549"/>
      <c r="I25" s="1549">
        <f t="shared" ref="I25:I79" si="39">+E25+G25</f>
        <v>8020.5300000000007</v>
      </c>
      <c r="J25" s="1271"/>
      <c r="K25" s="1271">
        <f>+SUM(K26:K28)</f>
        <v>3733.8799999999997</v>
      </c>
      <c r="L25" s="1271"/>
      <c r="M25" s="2231">
        <f t="shared" ref="M25:M101" si="40">+E25+G25+K25</f>
        <v>11754.41</v>
      </c>
      <c r="N25" s="1271"/>
      <c r="O25" s="1271">
        <f>+SUM(O26:O28)</f>
        <v>3296.2</v>
      </c>
      <c r="P25" s="1271"/>
      <c r="Q25" s="1548">
        <f t="shared" si="8"/>
        <v>15050.61</v>
      </c>
      <c r="R25" s="1271"/>
      <c r="S25" s="1271">
        <f>+SUM(S26:S28)</f>
        <v>4139.91</v>
      </c>
      <c r="T25" s="1271"/>
      <c r="U25" s="1548">
        <f t="shared" si="9"/>
        <v>19190.52</v>
      </c>
      <c r="V25" s="1271"/>
      <c r="W25" s="1271">
        <f>+SUM(W26:W28)</f>
        <v>3638.23</v>
      </c>
      <c r="X25" s="1271"/>
      <c r="Y25" s="2231">
        <f t="shared" si="10"/>
        <v>11074.34</v>
      </c>
      <c r="Z25" s="1271"/>
      <c r="AA25" s="492">
        <f t="shared" si="11"/>
        <v>22828.75</v>
      </c>
      <c r="AB25" s="1271"/>
      <c r="AC25" s="1271">
        <f>+SUM(AC26:AC28)</f>
        <v>3772.73</v>
      </c>
      <c r="AD25" s="1271"/>
      <c r="AE25" s="1271">
        <f t="shared" ref="AE25:AE51" si="41">+AA25+AC25</f>
        <v>26601.48</v>
      </c>
      <c r="AF25" s="1271"/>
      <c r="AG25" s="1271">
        <f>+SUM(AG26:AG28)</f>
        <v>3250.18</v>
      </c>
      <c r="AH25" s="1271"/>
      <c r="AI25" s="1271">
        <f t="shared" ref="AI25:AI79" si="42">+AE25+AG25</f>
        <v>29851.66</v>
      </c>
      <c r="AJ25" s="1271"/>
      <c r="AK25" s="1271">
        <f>+SUM(AK26:AK28)</f>
        <v>3867.1499999999996</v>
      </c>
      <c r="AL25" s="1271"/>
      <c r="AM25" s="2231">
        <f t="shared" si="14"/>
        <v>10890.06</v>
      </c>
      <c r="AN25" s="1271"/>
      <c r="AO25" s="1271">
        <f t="shared" si="15"/>
        <v>33718.81</v>
      </c>
      <c r="AP25" s="1271"/>
      <c r="AQ25" s="1271">
        <f>+SUM(AQ26:AQ28)</f>
        <v>3801.7400000000002</v>
      </c>
      <c r="AR25" s="1271"/>
      <c r="AS25" s="1271">
        <f t="shared" ref="AS25:AS51" si="43">+AO25+AQ25</f>
        <v>37520.549999999996</v>
      </c>
      <c r="AT25" s="1271"/>
      <c r="AU25" s="1271">
        <f>+SUM(AU26:AU28)</f>
        <v>2739.5099999999989</v>
      </c>
      <c r="AV25" s="1271"/>
      <c r="AW25" s="1271">
        <f t="shared" ref="AW25:AW51" si="44">+AS25+AU25</f>
        <v>40260.06</v>
      </c>
      <c r="AX25" s="1271"/>
      <c r="AY25" s="1271">
        <f>+SUM(AY26:AY28)</f>
        <v>3821.0799999999995</v>
      </c>
      <c r="AZ25" s="1271"/>
      <c r="BA25" s="2231">
        <f t="shared" si="19"/>
        <v>10362.329999999998</v>
      </c>
      <c r="BB25" s="1271"/>
      <c r="BC25" s="492">
        <f t="shared" si="20"/>
        <v>21252.39</v>
      </c>
      <c r="BD25" s="1271"/>
      <c r="BE25" s="1271">
        <f t="shared" ref="BE25:BE51" si="45">+AW25+AY25</f>
        <v>44081.14</v>
      </c>
      <c r="BF25" s="1137"/>
      <c r="BI25" s="25"/>
      <c r="BJ25" s="25"/>
    </row>
    <row r="26" spans="1:62" x14ac:dyDescent="0.25">
      <c r="B26" s="8" t="s">
        <v>342</v>
      </c>
      <c r="C26" s="148" t="s">
        <v>352</v>
      </c>
      <c r="D26" s="1819"/>
      <c r="E26" s="1819">
        <v>832.58</v>
      </c>
      <c r="F26" s="1120"/>
      <c r="G26" s="1819">
        <v>634.84</v>
      </c>
      <c r="H26" s="1548"/>
      <c r="I26" s="1548">
        <f t="shared" si="39"/>
        <v>1467.42</v>
      </c>
      <c r="J26" s="1120"/>
      <c r="K26" s="1819">
        <v>496.04</v>
      </c>
      <c r="L26" s="189"/>
      <c r="M26" s="2231">
        <f t="shared" si="40"/>
        <v>1963.46</v>
      </c>
      <c r="N26" s="1120"/>
      <c r="O26" s="1819">
        <v>495.96000000000009</v>
      </c>
      <c r="P26" s="1120"/>
      <c r="Q26" s="1548">
        <f t="shared" si="8"/>
        <v>2459.42</v>
      </c>
      <c r="R26" s="1120"/>
      <c r="S26" s="1819">
        <v>614.64</v>
      </c>
      <c r="T26" s="1120"/>
      <c r="U26" s="1548">
        <f t="shared" si="9"/>
        <v>3074.06</v>
      </c>
      <c r="V26" s="1120"/>
      <c r="W26" s="1819">
        <v>499.5200000000001</v>
      </c>
      <c r="X26" s="189"/>
      <c r="Y26" s="2231">
        <f t="shared" si="10"/>
        <v>1610.1200000000003</v>
      </c>
      <c r="Z26" s="1819"/>
      <c r="AA26" s="513">
        <f t="shared" si="11"/>
        <v>3573.5800000000004</v>
      </c>
      <c r="AB26" s="1819"/>
      <c r="AC26" s="1819">
        <v>697.99</v>
      </c>
      <c r="AD26" s="1819"/>
      <c r="AE26" s="2422">
        <f t="shared" ref="AE26:AE28" si="46">AA26+AC26</f>
        <v>4271.5700000000006</v>
      </c>
      <c r="AF26" s="1819"/>
      <c r="AG26" s="1819">
        <v>417.66</v>
      </c>
      <c r="AH26" s="1819"/>
      <c r="AI26" s="2236">
        <f t="shared" si="42"/>
        <v>4689.2300000000005</v>
      </c>
      <c r="AJ26" s="1819"/>
      <c r="AK26" s="1819">
        <v>496.73</v>
      </c>
      <c r="AL26" s="1819"/>
      <c r="AM26" s="2231">
        <f t="shared" si="14"/>
        <v>1612.38</v>
      </c>
      <c r="AN26" s="1819"/>
      <c r="AO26" s="2236">
        <f t="shared" si="15"/>
        <v>5185.9600000000009</v>
      </c>
      <c r="AP26" s="1819"/>
      <c r="AQ26" s="1819">
        <v>317.53000000000003</v>
      </c>
      <c r="AR26" s="1819"/>
      <c r="AS26" s="2236">
        <f t="shared" si="43"/>
        <v>5503.4900000000007</v>
      </c>
      <c r="AT26" s="1819"/>
      <c r="AU26" s="1819">
        <v>395.65999999999991</v>
      </c>
      <c r="AV26" s="1819"/>
      <c r="AW26" s="5008">
        <f t="shared" si="44"/>
        <v>5899.1500000000005</v>
      </c>
      <c r="AX26" s="1819"/>
      <c r="AY26" s="1819">
        <v>654.19000000000017</v>
      </c>
      <c r="AZ26" s="1819"/>
      <c r="BA26" s="2231">
        <f t="shared" si="19"/>
        <v>1367.38</v>
      </c>
      <c r="BB26" s="1819"/>
      <c r="BC26" s="513">
        <f t="shared" si="20"/>
        <v>2979.76</v>
      </c>
      <c r="BD26" s="1819"/>
      <c r="BE26" s="352">
        <f t="shared" si="45"/>
        <v>6553.3400000000011</v>
      </c>
      <c r="BF26" s="1137"/>
      <c r="BI26" s="25"/>
      <c r="BJ26" s="25"/>
    </row>
    <row r="27" spans="1:62" x14ac:dyDescent="0.25">
      <c r="B27" s="8" t="s">
        <v>660</v>
      </c>
      <c r="C27" s="148" t="s">
        <v>352</v>
      </c>
      <c r="D27" s="1819"/>
      <c r="E27" s="1819">
        <v>2920.72</v>
      </c>
      <c r="F27" s="1120"/>
      <c r="G27" s="1819">
        <v>3622.4100000000012</v>
      </c>
      <c r="H27" s="1548"/>
      <c r="I27" s="1548">
        <f t="shared" si="39"/>
        <v>6543.130000000001</v>
      </c>
      <c r="J27" s="1120"/>
      <c r="K27" s="1819">
        <v>3227.91</v>
      </c>
      <c r="L27" s="189"/>
      <c r="M27" s="2231">
        <f t="shared" si="40"/>
        <v>9771.0400000000009</v>
      </c>
      <c r="N27" s="1120"/>
      <c r="O27" s="1819">
        <v>2790.2599999999998</v>
      </c>
      <c r="P27" s="1120"/>
      <c r="Q27" s="1548">
        <f t="shared" si="8"/>
        <v>12561.300000000001</v>
      </c>
      <c r="R27" s="1120"/>
      <c r="S27" s="1819">
        <v>3515.37</v>
      </c>
      <c r="T27" s="1120"/>
      <c r="U27" s="1548">
        <f t="shared" si="9"/>
        <v>16076.670000000002</v>
      </c>
      <c r="V27" s="1120"/>
      <c r="W27" s="1819">
        <v>3138.71</v>
      </c>
      <c r="X27" s="189"/>
      <c r="Y27" s="2231">
        <f t="shared" si="10"/>
        <v>9444.34</v>
      </c>
      <c r="Z27" s="1819"/>
      <c r="AA27" s="513">
        <f t="shared" si="11"/>
        <v>19215.38</v>
      </c>
      <c r="AB27" s="1819"/>
      <c r="AC27" s="1819">
        <v>3064.85</v>
      </c>
      <c r="AD27" s="1819"/>
      <c r="AE27" s="2422">
        <f t="shared" si="46"/>
        <v>22280.23</v>
      </c>
      <c r="AF27" s="1819"/>
      <c r="AG27" s="1819">
        <v>2832.52</v>
      </c>
      <c r="AH27" s="1819"/>
      <c r="AI27" s="2236">
        <f t="shared" si="42"/>
        <v>25112.75</v>
      </c>
      <c r="AJ27" s="1819"/>
      <c r="AK27" s="1819">
        <v>3360.43</v>
      </c>
      <c r="AL27" s="1819"/>
      <c r="AM27" s="2231">
        <f t="shared" si="14"/>
        <v>9257.7999999999993</v>
      </c>
      <c r="AN27" s="1819"/>
      <c r="AO27" s="2236">
        <f t="shared" si="15"/>
        <v>28473.18</v>
      </c>
      <c r="AP27" s="1819"/>
      <c r="AQ27" s="1819">
        <v>3474.2200000000003</v>
      </c>
      <c r="AR27" s="1819"/>
      <c r="AS27" s="2236">
        <f t="shared" si="43"/>
        <v>31947.4</v>
      </c>
      <c r="AT27" s="1819"/>
      <c r="AU27" s="1819">
        <v>2343.849999999999</v>
      </c>
      <c r="AV27" s="1819"/>
      <c r="AW27" s="5008">
        <f t="shared" si="44"/>
        <v>34291.25</v>
      </c>
      <c r="AX27" s="1819"/>
      <c r="AY27" s="1819">
        <v>3147.1299999999992</v>
      </c>
      <c r="AZ27" s="1819"/>
      <c r="BA27" s="2231">
        <f t="shared" si="19"/>
        <v>8965.1999999999989</v>
      </c>
      <c r="BB27" s="1819"/>
      <c r="BC27" s="513">
        <f t="shared" si="20"/>
        <v>18223</v>
      </c>
      <c r="BD27" s="1819"/>
      <c r="BE27" s="352">
        <f t="shared" si="45"/>
        <v>37438.379999999997</v>
      </c>
      <c r="BF27" s="1137"/>
      <c r="BI27" s="25"/>
      <c r="BJ27" s="25"/>
    </row>
    <row r="28" spans="1:62" x14ac:dyDescent="0.25">
      <c r="B28" s="8" t="s">
        <v>777</v>
      </c>
      <c r="C28" s="148" t="s">
        <v>352</v>
      </c>
      <c r="D28" s="1819"/>
      <c r="E28" s="1819">
        <v>9.98</v>
      </c>
      <c r="F28" s="1120"/>
      <c r="G28" s="1819"/>
      <c r="H28" s="1548"/>
      <c r="I28" s="1548">
        <f t="shared" si="39"/>
        <v>9.98</v>
      </c>
      <c r="J28" s="1120"/>
      <c r="K28" s="1819">
        <v>9.93</v>
      </c>
      <c r="L28" s="189"/>
      <c r="M28" s="2231">
        <f t="shared" si="40"/>
        <v>19.91</v>
      </c>
      <c r="N28" s="1120"/>
      <c r="O28" s="1819">
        <v>9.98</v>
      </c>
      <c r="P28" s="1120"/>
      <c r="Q28" s="1548">
        <f t="shared" si="8"/>
        <v>29.89</v>
      </c>
      <c r="R28" s="1120"/>
      <c r="S28" s="1819">
        <v>9.9</v>
      </c>
      <c r="T28" s="1120"/>
      <c r="U28" s="1548">
        <f t="shared" si="9"/>
        <v>39.79</v>
      </c>
      <c r="V28" s="1120"/>
      <c r="W28" s="1819"/>
      <c r="X28" s="189"/>
      <c r="Y28" s="2231">
        <f t="shared" si="10"/>
        <v>19.880000000000003</v>
      </c>
      <c r="Z28" s="1819"/>
      <c r="AA28" s="513">
        <f t="shared" si="11"/>
        <v>39.790000000000006</v>
      </c>
      <c r="AB28" s="1819"/>
      <c r="AC28" s="1819">
        <v>9.89</v>
      </c>
      <c r="AD28" s="1819"/>
      <c r="AE28" s="2422">
        <f t="shared" si="46"/>
        <v>49.680000000000007</v>
      </c>
      <c r="AF28" s="1819"/>
      <c r="AG28" s="1819"/>
      <c r="AH28" s="1819"/>
      <c r="AI28" s="2236">
        <f t="shared" si="42"/>
        <v>49.680000000000007</v>
      </c>
      <c r="AJ28" s="1819"/>
      <c r="AK28" s="1819">
        <v>9.99</v>
      </c>
      <c r="AL28" s="1819"/>
      <c r="AM28" s="2231">
        <f t="shared" si="14"/>
        <v>19.880000000000003</v>
      </c>
      <c r="AN28" s="1819"/>
      <c r="AO28" s="2236">
        <f t="shared" si="15"/>
        <v>59.670000000000009</v>
      </c>
      <c r="AP28" s="1819"/>
      <c r="AQ28" s="1819">
        <v>9.99</v>
      </c>
      <c r="AR28" s="1819"/>
      <c r="AS28" s="2236">
        <f t="shared" si="43"/>
        <v>69.660000000000011</v>
      </c>
      <c r="AT28" s="1819"/>
      <c r="AU28" s="1819"/>
      <c r="AV28" s="1819"/>
      <c r="AW28" s="5008">
        <f t="shared" si="44"/>
        <v>69.660000000000011</v>
      </c>
      <c r="AX28" s="1819"/>
      <c r="AY28" s="1819">
        <v>19.759999999999998</v>
      </c>
      <c r="AZ28" s="1819"/>
      <c r="BA28" s="2231">
        <f t="shared" si="19"/>
        <v>29.75</v>
      </c>
      <c r="BB28" s="1819"/>
      <c r="BC28" s="513">
        <f t="shared" si="20"/>
        <v>49.63</v>
      </c>
      <c r="BD28" s="1819"/>
      <c r="BE28" s="352">
        <f t="shared" si="45"/>
        <v>89.420000000000016</v>
      </c>
      <c r="BF28" s="1137"/>
      <c r="BI28" s="25"/>
      <c r="BJ28" s="25"/>
    </row>
    <row r="29" spans="1:62" x14ac:dyDescent="0.25">
      <c r="B29" s="696" t="s">
        <v>684</v>
      </c>
      <c r="C29" s="148" t="s">
        <v>352</v>
      </c>
      <c r="D29" s="1271"/>
      <c r="E29" s="1271">
        <v>912.68</v>
      </c>
      <c r="F29" s="1271"/>
      <c r="G29" s="1271"/>
      <c r="H29" s="1549"/>
      <c r="I29" s="1549">
        <f t="shared" si="39"/>
        <v>912.68</v>
      </c>
      <c r="J29" s="1271"/>
      <c r="K29" s="1271"/>
      <c r="L29" s="1271"/>
      <c r="M29" s="2231">
        <f t="shared" si="40"/>
        <v>912.68</v>
      </c>
      <c r="N29" s="1271"/>
      <c r="O29" s="1271"/>
      <c r="P29" s="1271"/>
      <c r="Q29" s="1548">
        <f t="shared" si="8"/>
        <v>912.68</v>
      </c>
      <c r="R29" s="1271"/>
      <c r="S29" s="1271"/>
      <c r="T29" s="1271"/>
      <c r="U29" s="1548">
        <f t="shared" si="9"/>
        <v>912.68</v>
      </c>
      <c r="V29" s="1224"/>
      <c r="W29" s="1271"/>
      <c r="X29" s="1271"/>
      <c r="Y29" s="2231">
        <f t="shared" si="10"/>
        <v>0</v>
      </c>
      <c r="Z29" s="1224"/>
      <c r="AA29" s="492">
        <f t="shared" si="11"/>
        <v>912.68</v>
      </c>
      <c r="AB29" s="1271"/>
      <c r="AC29" s="1271"/>
      <c r="AD29" s="1271"/>
      <c r="AE29" s="1271">
        <f t="shared" si="41"/>
        <v>912.68</v>
      </c>
      <c r="AF29" s="1271"/>
      <c r="AG29" s="1271">
        <v>161.78</v>
      </c>
      <c r="AH29" s="1271"/>
      <c r="AI29" s="1271">
        <f t="shared" si="42"/>
        <v>1074.46</v>
      </c>
      <c r="AJ29" s="1224"/>
      <c r="AK29" s="1271">
        <v>619.12</v>
      </c>
      <c r="AL29" s="1224"/>
      <c r="AM29" s="2231">
        <f t="shared" si="14"/>
        <v>780.9</v>
      </c>
      <c r="AN29" s="1271"/>
      <c r="AO29" s="1271">
        <f t="shared" si="15"/>
        <v>1693.58</v>
      </c>
      <c r="AP29" s="1224"/>
      <c r="AQ29" s="1271"/>
      <c r="AR29" s="1271"/>
      <c r="AS29" s="1271">
        <f t="shared" si="43"/>
        <v>1693.58</v>
      </c>
      <c r="AT29" s="1271"/>
      <c r="AU29" s="1271">
        <v>55.97</v>
      </c>
      <c r="AV29" s="1271"/>
      <c r="AW29" s="1271">
        <f t="shared" si="44"/>
        <v>1749.55</v>
      </c>
      <c r="AX29" s="1271"/>
      <c r="AY29" s="1271">
        <v>44.58</v>
      </c>
      <c r="AZ29" s="1224"/>
      <c r="BA29" s="2231">
        <f t="shared" si="19"/>
        <v>100.55</v>
      </c>
      <c r="BB29" s="1224"/>
      <c r="BC29" s="492">
        <f t="shared" si="20"/>
        <v>881.44999999999993</v>
      </c>
      <c r="BD29" s="1271"/>
      <c r="BE29" s="1271">
        <f t="shared" si="45"/>
        <v>1794.1299999999999</v>
      </c>
      <c r="BF29" s="1137"/>
      <c r="BI29" s="25"/>
      <c r="BJ29" s="25"/>
    </row>
    <row r="30" spans="1:62" x14ac:dyDescent="0.25">
      <c r="A30" s="139"/>
      <c r="B30" s="696" t="s">
        <v>633</v>
      </c>
      <c r="C30" s="194"/>
      <c r="D30" s="1271"/>
      <c r="E30" s="1271">
        <f>+SUM(E31:E40)</f>
        <v>0</v>
      </c>
      <c r="F30" s="1271"/>
      <c r="G30" s="1271">
        <f>+SUM(G31:G40)</f>
        <v>0</v>
      </c>
      <c r="H30" s="1549"/>
      <c r="I30" s="1549">
        <f t="shared" si="39"/>
        <v>0</v>
      </c>
      <c r="J30" s="1271"/>
      <c r="K30" s="1271">
        <f>+SUM(K31:K40)</f>
        <v>0</v>
      </c>
      <c r="L30" s="1271"/>
      <c r="M30" s="2231">
        <f t="shared" si="40"/>
        <v>0</v>
      </c>
      <c r="N30" s="1271"/>
      <c r="O30" s="1271">
        <f>+SUM(O31:O40)</f>
        <v>64.239999999999995</v>
      </c>
      <c r="P30" s="1271"/>
      <c r="Q30" s="1548">
        <f t="shared" si="8"/>
        <v>64.239999999999995</v>
      </c>
      <c r="R30" s="1271"/>
      <c r="S30" s="1271">
        <f>+SUM(S31:S40)</f>
        <v>362.28999999999996</v>
      </c>
      <c r="T30" s="1271"/>
      <c r="U30" s="1548">
        <f t="shared" si="9"/>
        <v>426.53</v>
      </c>
      <c r="V30" s="1271"/>
      <c r="W30" s="1271">
        <f>+SUM(W31:W40)</f>
        <v>361.07</v>
      </c>
      <c r="X30" s="1271"/>
      <c r="Y30" s="2231">
        <f t="shared" si="10"/>
        <v>787.59999999999991</v>
      </c>
      <c r="Z30" s="1271"/>
      <c r="AA30" s="492">
        <f t="shared" si="11"/>
        <v>787.59999999999991</v>
      </c>
      <c r="AB30" s="1271"/>
      <c r="AC30" s="1271">
        <f>+SUM(AC31:AC40)</f>
        <v>51.45</v>
      </c>
      <c r="AD30" s="1271"/>
      <c r="AE30" s="1271">
        <f t="shared" si="41"/>
        <v>839.05</v>
      </c>
      <c r="AF30" s="1271"/>
      <c r="AG30" s="1271">
        <f>+SUM(AG31:AG40)</f>
        <v>0</v>
      </c>
      <c r="AH30" s="1271"/>
      <c r="AI30" s="1271">
        <f t="shared" si="42"/>
        <v>839.05</v>
      </c>
      <c r="AJ30" s="1271"/>
      <c r="AK30" s="1271">
        <f>+SUM(AK31:AK40)</f>
        <v>77.87</v>
      </c>
      <c r="AL30" s="1271"/>
      <c r="AM30" s="2231">
        <f t="shared" si="14"/>
        <v>129.32</v>
      </c>
      <c r="AN30" s="1271"/>
      <c r="AO30" s="1271">
        <f t="shared" si="15"/>
        <v>916.92</v>
      </c>
      <c r="AP30" s="1271"/>
      <c r="AQ30" s="1271">
        <f>+SUM(AQ31:AQ40)</f>
        <v>135.05000000000001</v>
      </c>
      <c r="AR30" s="1271"/>
      <c r="AS30" s="1271">
        <f t="shared" si="43"/>
        <v>1051.97</v>
      </c>
      <c r="AT30" s="1271"/>
      <c r="AU30" s="1271">
        <f>+SUM(AU31:AU40)</f>
        <v>200.46</v>
      </c>
      <c r="AV30" s="1271"/>
      <c r="AW30" s="1271">
        <f t="shared" si="44"/>
        <v>1252.43</v>
      </c>
      <c r="AX30" s="1271"/>
      <c r="AY30" s="1271">
        <f>+SUM(AY31:AY40)</f>
        <v>0</v>
      </c>
      <c r="AZ30" s="1271"/>
      <c r="BA30" s="2231">
        <f t="shared" si="19"/>
        <v>335.51</v>
      </c>
      <c r="BB30" s="1271"/>
      <c r="BC30" s="492">
        <f t="shared" si="20"/>
        <v>464.83</v>
      </c>
      <c r="BD30" s="1271"/>
      <c r="BE30" s="1271">
        <f t="shared" si="45"/>
        <v>1252.43</v>
      </c>
      <c r="BF30" s="1137"/>
      <c r="BI30" s="25"/>
      <c r="BJ30" s="25"/>
    </row>
    <row r="31" spans="1:62" hidden="1" x14ac:dyDescent="0.25">
      <c r="B31" s="8" t="s">
        <v>799</v>
      </c>
      <c r="C31" s="148" t="s">
        <v>352</v>
      </c>
      <c r="D31" s="1819"/>
      <c r="E31" s="1819"/>
      <c r="F31" s="1120"/>
      <c r="G31" s="1819"/>
      <c r="H31" s="1548"/>
      <c r="I31" s="1548">
        <f t="shared" si="39"/>
        <v>0</v>
      </c>
      <c r="J31" s="1120"/>
      <c r="K31" s="1819"/>
      <c r="L31" s="189"/>
      <c r="M31" s="2231">
        <f t="shared" si="40"/>
        <v>0</v>
      </c>
      <c r="N31" s="1120"/>
      <c r="O31" s="1819">
        <v>23.4</v>
      </c>
      <c r="P31" s="1120"/>
      <c r="Q31" s="1548">
        <f t="shared" si="8"/>
        <v>23.4</v>
      </c>
      <c r="R31" s="1120"/>
      <c r="S31" s="1819">
        <v>45.92</v>
      </c>
      <c r="T31" s="1120"/>
      <c r="U31" s="1548">
        <f t="shared" si="9"/>
        <v>69.319999999999993</v>
      </c>
      <c r="V31" s="1120"/>
      <c r="W31" s="1819">
        <v>76.56</v>
      </c>
      <c r="X31" s="189"/>
      <c r="Y31" s="2231">
        <f t="shared" si="10"/>
        <v>145.88</v>
      </c>
      <c r="Z31" s="1819"/>
      <c r="AA31" s="513">
        <f t="shared" si="11"/>
        <v>145.88</v>
      </c>
      <c r="AB31" s="1819"/>
      <c r="AC31" s="1819">
        <v>19.38</v>
      </c>
      <c r="AD31" s="1819"/>
      <c r="AE31" s="2422">
        <f t="shared" ref="AE31:AE36" si="47">AA31+AC31</f>
        <v>165.26</v>
      </c>
      <c r="AF31" s="1819"/>
      <c r="AG31" s="1819"/>
      <c r="AH31" s="1819"/>
      <c r="AI31" s="2236">
        <f t="shared" si="42"/>
        <v>165.26</v>
      </c>
      <c r="AJ31" s="1819"/>
      <c r="AK31" s="1819"/>
      <c r="AL31" s="1819"/>
      <c r="AM31" s="2231">
        <f t="shared" si="14"/>
        <v>19.38</v>
      </c>
      <c r="AN31" s="1819"/>
      <c r="AO31" s="2236">
        <f t="shared" si="15"/>
        <v>165.26</v>
      </c>
      <c r="AP31" s="1819"/>
      <c r="AQ31" s="1819">
        <v>92.07</v>
      </c>
      <c r="AR31" s="1819"/>
      <c r="AS31" s="2236">
        <f t="shared" si="43"/>
        <v>257.33</v>
      </c>
      <c r="AT31" s="1819"/>
      <c r="AU31" s="1819"/>
      <c r="AV31" s="1819"/>
      <c r="AW31" s="5008">
        <f t="shared" si="44"/>
        <v>257.33</v>
      </c>
      <c r="AX31" s="1819"/>
      <c r="AY31" s="1819"/>
      <c r="AZ31" s="1819"/>
      <c r="BA31" s="2231">
        <f t="shared" si="19"/>
        <v>92.07</v>
      </c>
      <c r="BB31" s="1819"/>
      <c r="BC31" s="513">
        <f t="shared" si="20"/>
        <v>111.44999999999999</v>
      </c>
      <c r="BD31" s="1819"/>
      <c r="BE31" s="352">
        <f t="shared" si="45"/>
        <v>257.33</v>
      </c>
      <c r="BF31" s="1137"/>
      <c r="BI31" s="25"/>
      <c r="BJ31" s="25"/>
    </row>
    <row r="32" spans="1:62" hidden="1" x14ac:dyDescent="0.25">
      <c r="B32" s="8" t="s">
        <v>778</v>
      </c>
      <c r="C32" s="148" t="s">
        <v>352</v>
      </c>
      <c r="D32" s="1819"/>
      <c r="E32" s="1819"/>
      <c r="F32" s="1120"/>
      <c r="G32" s="1819"/>
      <c r="H32" s="1548"/>
      <c r="I32" s="1548">
        <f t="shared" si="39"/>
        <v>0</v>
      </c>
      <c r="J32" s="1120"/>
      <c r="K32" s="1819"/>
      <c r="L32" s="189"/>
      <c r="M32" s="2231">
        <f t="shared" si="40"/>
        <v>0</v>
      </c>
      <c r="N32" s="1120"/>
      <c r="O32" s="1819">
        <v>25.83</v>
      </c>
      <c r="P32" s="1120"/>
      <c r="Q32" s="1548">
        <f t="shared" si="8"/>
        <v>25.83</v>
      </c>
      <c r="R32" s="1120"/>
      <c r="S32" s="1819">
        <v>25.96</v>
      </c>
      <c r="T32" s="1120"/>
      <c r="U32" s="1548">
        <f t="shared" si="9"/>
        <v>51.79</v>
      </c>
      <c r="V32" s="1120"/>
      <c r="W32" s="1819">
        <v>81.59</v>
      </c>
      <c r="X32" s="189"/>
      <c r="Y32" s="2231">
        <f t="shared" si="10"/>
        <v>133.38</v>
      </c>
      <c r="Z32" s="1819"/>
      <c r="AA32" s="513">
        <f t="shared" si="11"/>
        <v>133.38</v>
      </c>
      <c r="AB32" s="1819"/>
      <c r="AC32" s="1819">
        <v>32.07</v>
      </c>
      <c r="AD32" s="1819"/>
      <c r="AE32" s="2422">
        <f t="shared" si="47"/>
        <v>165.45</v>
      </c>
      <c r="AF32" s="1819"/>
      <c r="AG32" s="1819"/>
      <c r="AH32" s="1819"/>
      <c r="AI32" s="2236">
        <f t="shared" si="42"/>
        <v>165.45</v>
      </c>
      <c r="AJ32" s="1819"/>
      <c r="AK32" s="1819"/>
      <c r="AL32" s="1819"/>
      <c r="AM32" s="2231">
        <f t="shared" si="14"/>
        <v>32.07</v>
      </c>
      <c r="AN32" s="1819"/>
      <c r="AO32" s="2236">
        <f t="shared" si="15"/>
        <v>165.45</v>
      </c>
      <c r="AP32" s="1819"/>
      <c r="AQ32" s="1819">
        <v>22.7</v>
      </c>
      <c r="AR32" s="1819"/>
      <c r="AS32" s="2236">
        <f t="shared" si="43"/>
        <v>188.14999999999998</v>
      </c>
      <c r="AT32" s="1819"/>
      <c r="AU32" s="1819">
        <v>159.32000000000002</v>
      </c>
      <c r="AV32" s="1819"/>
      <c r="AW32" s="5008">
        <f t="shared" si="44"/>
        <v>347.47</v>
      </c>
      <c r="AX32" s="1819"/>
      <c r="AY32" s="1819"/>
      <c r="AZ32" s="1819"/>
      <c r="BA32" s="2231">
        <f t="shared" si="19"/>
        <v>182.02</v>
      </c>
      <c r="BB32" s="1819"/>
      <c r="BC32" s="513">
        <f t="shared" si="20"/>
        <v>214.09</v>
      </c>
      <c r="BD32" s="1819"/>
      <c r="BE32" s="352">
        <f t="shared" si="45"/>
        <v>347.47</v>
      </c>
      <c r="BF32" s="1137"/>
      <c r="BI32" s="25"/>
      <c r="BJ32" s="25"/>
    </row>
    <row r="33" spans="1:62" hidden="1" x14ac:dyDescent="0.25">
      <c r="B33" s="8" t="s">
        <v>2033</v>
      </c>
      <c r="C33" s="148" t="s">
        <v>352</v>
      </c>
      <c r="D33" s="1819"/>
      <c r="E33" s="1819"/>
      <c r="F33" s="1120"/>
      <c r="G33" s="1819"/>
      <c r="H33" s="1548"/>
      <c r="I33" s="1548">
        <f t="shared" si="39"/>
        <v>0</v>
      </c>
      <c r="J33" s="1120"/>
      <c r="K33" s="1819"/>
      <c r="L33" s="189"/>
      <c r="M33" s="2231">
        <f t="shared" si="40"/>
        <v>0</v>
      </c>
      <c r="N33" s="1120"/>
      <c r="O33" s="1819"/>
      <c r="P33" s="1120"/>
      <c r="Q33" s="1548">
        <f t="shared" si="8"/>
        <v>0</v>
      </c>
      <c r="R33" s="1120"/>
      <c r="S33" s="1819">
        <v>276.02999999999997</v>
      </c>
      <c r="T33" s="1120"/>
      <c r="U33" s="1548">
        <f t="shared" si="9"/>
        <v>276.02999999999997</v>
      </c>
      <c r="V33" s="1120"/>
      <c r="W33" s="1819">
        <v>194.61</v>
      </c>
      <c r="X33" s="189"/>
      <c r="Y33" s="2231">
        <f t="shared" si="10"/>
        <v>470.64</v>
      </c>
      <c r="Z33" s="1819"/>
      <c r="AA33" s="513">
        <f t="shared" si="11"/>
        <v>470.64</v>
      </c>
      <c r="AB33" s="1819"/>
      <c r="AC33" s="1819"/>
      <c r="AD33" s="1819"/>
      <c r="AE33" s="2422">
        <f t="shared" si="47"/>
        <v>470.64</v>
      </c>
      <c r="AF33" s="1819"/>
      <c r="AG33" s="1819"/>
      <c r="AH33" s="1819"/>
      <c r="AI33" s="2236">
        <f t="shared" si="42"/>
        <v>470.64</v>
      </c>
      <c r="AJ33" s="1819"/>
      <c r="AK33" s="1819"/>
      <c r="AL33" s="1819"/>
      <c r="AM33" s="2231">
        <f t="shared" si="14"/>
        <v>0</v>
      </c>
      <c r="AN33" s="1819"/>
      <c r="AO33" s="2236">
        <f t="shared" si="15"/>
        <v>470.64</v>
      </c>
      <c r="AP33" s="1819"/>
      <c r="AQ33" s="1819"/>
      <c r="AR33" s="1819"/>
      <c r="AS33" s="2236">
        <f t="shared" si="43"/>
        <v>470.64</v>
      </c>
      <c r="AT33" s="1819"/>
      <c r="AU33" s="1819"/>
      <c r="AV33" s="1819"/>
      <c r="AW33" s="5008">
        <f t="shared" si="44"/>
        <v>470.64</v>
      </c>
      <c r="AX33" s="1819"/>
      <c r="AY33" s="1819"/>
      <c r="AZ33" s="1819"/>
      <c r="BA33" s="2231">
        <f t="shared" si="19"/>
        <v>0</v>
      </c>
      <c r="BB33" s="1819"/>
      <c r="BC33" s="513">
        <f t="shared" si="20"/>
        <v>0</v>
      </c>
      <c r="BD33" s="1819"/>
      <c r="BE33" s="352">
        <f t="shared" si="45"/>
        <v>470.64</v>
      </c>
      <c r="BF33" s="1137"/>
      <c r="BI33" s="25"/>
      <c r="BJ33" s="25"/>
    </row>
    <row r="34" spans="1:62" s="4487" customFormat="1" hidden="1" x14ac:dyDescent="0.25">
      <c r="B34" s="5170" t="s">
        <v>2250</v>
      </c>
      <c r="C34" s="6900" t="s">
        <v>352</v>
      </c>
      <c r="D34" s="6365"/>
      <c r="E34" s="6365"/>
      <c r="F34" s="6365"/>
      <c r="G34" s="6365"/>
      <c r="H34" s="6760"/>
      <c r="I34" s="6760"/>
      <c r="J34" s="6365"/>
      <c r="K34" s="6365"/>
      <c r="L34" s="6767"/>
      <c r="M34" s="6768"/>
      <c r="N34" s="6365"/>
      <c r="O34" s="6365"/>
      <c r="P34" s="6365"/>
      <c r="Q34" s="6760"/>
      <c r="R34" s="6365"/>
      <c r="S34" s="6365"/>
      <c r="T34" s="6365"/>
      <c r="U34" s="6760"/>
      <c r="V34" s="6365"/>
      <c r="W34" s="6365"/>
      <c r="X34" s="6767"/>
      <c r="Y34" s="6768"/>
      <c r="Z34" s="6365"/>
      <c r="AA34" s="6908"/>
      <c r="AB34" s="6365"/>
      <c r="AC34" s="6365"/>
      <c r="AD34" s="6365"/>
      <c r="AE34" s="6762"/>
      <c r="AF34" s="6365"/>
      <c r="AG34" s="6365"/>
      <c r="AH34" s="6365"/>
      <c r="AI34" s="6366"/>
      <c r="AJ34" s="6365"/>
      <c r="AK34" s="6365"/>
      <c r="AL34" s="6365"/>
      <c r="AM34" s="6768"/>
      <c r="AN34" s="6365"/>
      <c r="AO34" s="6366"/>
      <c r="AP34" s="6365"/>
      <c r="AQ34" s="6365"/>
      <c r="AR34" s="6365"/>
      <c r="AS34" s="6366"/>
      <c r="AT34" s="6365"/>
      <c r="AU34" s="6365">
        <v>2.95</v>
      </c>
      <c r="AV34" s="6365"/>
      <c r="AW34" s="6903">
        <f t="shared" si="44"/>
        <v>2.95</v>
      </c>
      <c r="AX34" s="6365"/>
      <c r="AY34" s="6365"/>
      <c r="AZ34" s="6365"/>
      <c r="BA34" s="2231">
        <f t="shared" ref="BA34" si="48">+AQ34+AU34+AY34</f>
        <v>2.95</v>
      </c>
      <c r="BB34" s="1819"/>
      <c r="BC34" s="513">
        <f t="shared" ref="BC34" si="49">BA34+AM34</f>
        <v>2.95</v>
      </c>
      <c r="BD34" s="1819"/>
      <c r="BE34" s="7066">
        <f t="shared" ref="BE34" si="50">+AW34+AY34</f>
        <v>2.95</v>
      </c>
      <c r="BF34" s="1137"/>
      <c r="BI34" s="25"/>
      <c r="BJ34" s="25"/>
    </row>
    <row r="35" spans="1:62" hidden="1" x14ac:dyDescent="0.25">
      <c r="B35" s="8" t="s">
        <v>2017</v>
      </c>
      <c r="C35" s="148" t="s">
        <v>352</v>
      </c>
      <c r="D35" s="1819"/>
      <c r="E35" s="1819"/>
      <c r="F35" s="1120"/>
      <c r="G35" s="1819"/>
      <c r="H35" s="1548"/>
      <c r="I35" s="1548">
        <f t="shared" si="39"/>
        <v>0</v>
      </c>
      <c r="J35" s="1120"/>
      <c r="K35" s="1819"/>
      <c r="L35" s="189"/>
      <c r="M35" s="2231">
        <f t="shared" si="40"/>
        <v>0</v>
      </c>
      <c r="N35" s="1120"/>
      <c r="O35" s="1819">
        <v>15.01</v>
      </c>
      <c r="P35" s="1120"/>
      <c r="Q35" s="1548">
        <f t="shared" si="8"/>
        <v>15.01</v>
      </c>
      <c r="R35" s="1120"/>
      <c r="S35" s="1819">
        <v>14.38</v>
      </c>
      <c r="T35" s="1120"/>
      <c r="U35" s="1548">
        <f t="shared" si="9"/>
        <v>29.39</v>
      </c>
      <c r="V35" s="1120"/>
      <c r="W35" s="1819">
        <v>6.81</v>
      </c>
      <c r="X35" s="189"/>
      <c r="Y35" s="2231">
        <f t="shared" si="10"/>
        <v>36.200000000000003</v>
      </c>
      <c r="Z35" s="1819"/>
      <c r="AA35" s="513">
        <f t="shared" si="11"/>
        <v>36.200000000000003</v>
      </c>
      <c r="AB35" s="1819"/>
      <c r="AC35" s="1819"/>
      <c r="AD35" s="1819"/>
      <c r="AE35" s="2422">
        <f t="shared" si="47"/>
        <v>36.200000000000003</v>
      </c>
      <c r="AF35" s="1819"/>
      <c r="AG35" s="1819"/>
      <c r="AH35" s="1819"/>
      <c r="AI35" s="2236">
        <f t="shared" si="42"/>
        <v>36.200000000000003</v>
      </c>
      <c r="AJ35" s="1819"/>
      <c r="AK35" s="1819"/>
      <c r="AL35" s="1819"/>
      <c r="AM35" s="2231">
        <f t="shared" si="14"/>
        <v>0</v>
      </c>
      <c r="AN35" s="1819"/>
      <c r="AO35" s="2236">
        <f t="shared" si="15"/>
        <v>36.200000000000003</v>
      </c>
      <c r="AP35" s="1819"/>
      <c r="AQ35" s="1819"/>
      <c r="AR35" s="1819"/>
      <c r="AS35" s="2236">
        <f t="shared" si="43"/>
        <v>36.200000000000003</v>
      </c>
      <c r="AT35" s="1819"/>
      <c r="AU35" s="1819"/>
      <c r="AV35" s="1819"/>
      <c r="AW35" s="5008">
        <f t="shared" si="44"/>
        <v>36.200000000000003</v>
      </c>
      <c r="AX35" s="1819"/>
      <c r="AY35" s="1819"/>
      <c r="AZ35" s="1819"/>
      <c r="BA35" s="2231">
        <f t="shared" si="19"/>
        <v>0</v>
      </c>
      <c r="BB35" s="1819"/>
      <c r="BC35" s="513">
        <f t="shared" si="20"/>
        <v>0</v>
      </c>
      <c r="BD35" s="1819"/>
      <c r="BE35" s="352">
        <f t="shared" si="45"/>
        <v>36.200000000000003</v>
      </c>
      <c r="BF35" s="1137"/>
      <c r="BI35" s="25"/>
      <c r="BJ35" s="25"/>
    </row>
    <row r="36" spans="1:62" ht="14.25" hidden="1" customHeight="1" x14ac:dyDescent="0.25">
      <c r="B36" s="8" t="s">
        <v>901</v>
      </c>
      <c r="C36" s="148" t="s">
        <v>352</v>
      </c>
      <c r="D36" s="565"/>
      <c r="E36" s="565"/>
      <c r="F36" s="565"/>
      <c r="G36" s="565"/>
      <c r="H36" s="1550"/>
      <c r="I36" s="1548">
        <f t="shared" si="39"/>
        <v>0</v>
      </c>
      <c r="J36" s="565"/>
      <c r="K36" s="565"/>
      <c r="L36" s="189"/>
      <c r="M36" s="2231">
        <f t="shared" si="40"/>
        <v>0</v>
      </c>
      <c r="N36" s="565"/>
      <c r="O36" s="565"/>
      <c r="P36" s="565"/>
      <c r="Q36" s="1548">
        <f t="shared" si="8"/>
        <v>0</v>
      </c>
      <c r="R36" s="565"/>
      <c r="S36" s="565"/>
      <c r="T36" s="565"/>
      <c r="U36" s="1548">
        <f t="shared" si="9"/>
        <v>0</v>
      </c>
      <c r="V36" s="565"/>
      <c r="W36" s="565"/>
      <c r="X36" s="189"/>
      <c r="Y36" s="2231">
        <f t="shared" si="10"/>
        <v>0</v>
      </c>
      <c r="Z36" s="1819"/>
      <c r="AA36" s="492">
        <f t="shared" si="11"/>
        <v>0</v>
      </c>
      <c r="AB36" s="565"/>
      <c r="AC36" s="565"/>
      <c r="AD36" s="565"/>
      <c r="AE36" s="2422">
        <f t="shared" si="47"/>
        <v>0</v>
      </c>
      <c r="AF36" s="565"/>
      <c r="AG36" s="565"/>
      <c r="AH36" s="565"/>
      <c r="AI36" s="2422">
        <f t="shared" si="42"/>
        <v>0</v>
      </c>
      <c r="AJ36" s="565"/>
      <c r="AK36" s="565"/>
      <c r="AL36" s="565"/>
      <c r="AM36" s="2231">
        <f t="shared" si="14"/>
        <v>0</v>
      </c>
      <c r="AN36" s="565"/>
      <c r="AO36" s="2422">
        <f t="shared" si="15"/>
        <v>0</v>
      </c>
      <c r="AP36" s="565"/>
      <c r="AQ36" s="565"/>
      <c r="AR36" s="565"/>
      <c r="AS36" s="2422">
        <f t="shared" si="43"/>
        <v>0</v>
      </c>
      <c r="AT36" s="565"/>
      <c r="AU36" s="565">
        <v>9.98</v>
      </c>
      <c r="AV36" s="565"/>
      <c r="AW36" s="2422">
        <f t="shared" si="44"/>
        <v>9.98</v>
      </c>
      <c r="AX36" s="565"/>
      <c r="AY36" s="565"/>
      <c r="AZ36" s="565"/>
      <c r="BA36" s="2231">
        <f t="shared" si="19"/>
        <v>9.98</v>
      </c>
      <c r="BB36" s="1819"/>
      <c r="BC36" s="492">
        <f t="shared" si="20"/>
        <v>9.98</v>
      </c>
      <c r="BD36" s="565"/>
      <c r="BE36" s="235">
        <f t="shared" si="45"/>
        <v>9.98</v>
      </c>
      <c r="BF36" s="1137"/>
      <c r="BI36" s="25"/>
      <c r="BJ36" s="25"/>
    </row>
    <row r="37" spans="1:62" s="2664" customFormat="1" hidden="1" x14ac:dyDescent="0.25">
      <c r="B37" s="8" t="s">
        <v>1605</v>
      </c>
      <c r="C37" s="2674" t="s">
        <v>352</v>
      </c>
      <c r="D37" s="2675"/>
      <c r="E37" s="2675"/>
      <c r="F37" s="2675"/>
      <c r="G37" s="2675"/>
      <c r="H37" s="2680"/>
      <c r="I37" s="1548">
        <f t="shared" si="39"/>
        <v>0</v>
      </c>
      <c r="J37" s="2675"/>
      <c r="K37" s="2675"/>
      <c r="L37" s="2677"/>
      <c r="M37" s="2231">
        <f t="shared" si="40"/>
        <v>0</v>
      </c>
      <c r="N37" s="2675"/>
      <c r="O37" s="2675"/>
      <c r="P37" s="2675"/>
      <c r="Q37" s="1548">
        <f t="shared" si="8"/>
        <v>0</v>
      </c>
      <c r="R37" s="2675"/>
      <c r="S37" s="2675"/>
      <c r="T37" s="2675"/>
      <c r="U37" s="1548">
        <f t="shared" si="9"/>
        <v>0</v>
      </c>
      <c r="V37" s="2675"/>
      <c r="W37" s="2675"/>
      <c r="X37" s="2677"/>
      <c r="Y37" s="2678">
        <f t="shared" si="10"/>
        <v>0</v>
      </c>
      <c r="Z37" s="2656"/>
      <c r="AA37" s="492">
        <f t="shared" si="11"/>
        <v>0</v>
      </c>
      <c r="AB37" s="2675"/>
      <c r="AC37" s="2675"/>
      <c r="AD37" s="2675"/>
      <c r="AE37" s="2681"/>
      <c r="AF37" s="2675"/>
      <c r="AG37" s="2675"/>
      <c r="AH37" s="2675"/>
      <c r="AI37" s="2681">
        <f t="shared" si="42"/>
        <v>0</v>
      </c>
      <c r="AJ37" s="2675"/>
      <c r="AK37" s="2675">
        <v>77.87</v>
      </c>
      <c r="AL37" s="2675"/>
      <c r="AM37" s="2678">
        <f t="shared" si="14"/>
        <v>77.87</v>
      </c>
      <c r="AN37" s="2675"/>
      <c r="AO37" s="2422">
        <f t="shared" si="15"/>
        <v>77.87</v>
      </c>
      <c r="AP37" s="2675"/>
      <c r="AQ37" s="2675"/>
      <c r="AR37" s="2675"/>
      <c r="AS37" s="2422">
        <f t="shared" si="43"/>
        <v>77.87</v>
      </c>
      <c r="AT37" s="2675"/>
      <c r="AU37" s="2675"/>
      <c r="AV37" s="2675"/>
      <c r="AW37" s="2422">
        <f t="shared" si="44"/>
        <v>77.87</v>
      </c>
      <c r="AX37" s="2675"/>
      <c r="AY37" s="2675"/>
      <c r="AZ37" s="2675"/>
      <c r="BA37" s="2678">
        <f t="shared" si="19"/>
        <v>0</v>
      </c>
      <c r="BB37" s="2656"/>
      <c r="BC37" s="492">
        <f t="shared" si="20"/>
        <v>77.87</v>
      </c>
      <c r="BD37" s="2675"/>
      <c r="BE37" s="235">
        <f t="shared" si="45"/>
        <v>77.87</v>
      </c>
      <c r="BF37" s="1137"/>
      <c r="BI37" s="25"/>
      <c r="BJ37" s="25"/>
    </row>
    <row r="38" spans="1:62" s="4487" customFormat="1" hidden="1" x14ac:dyDescent="0.25">
      <c r="B38" s="5170" t="s">
        <v>2221</v>
      </c>
      <c r="C38" s="6901" t="s">
        <v>352</v>
      </c>
      <c r="D38" s="6755"/>
      <c r="E38" s="6755"/>
      <c r="F38" s="6755"/>
      <c r="G38" s="6755"/>
      <c r="H38" s="6756"/>
      <c r="I38" s="6760"/>
      <c r="J38" s="6755"/>
      <c r="K38" s="6755"/>
      <c r="L38" s="6767"/>
      <c r="M38" s="6768"/>
      <c r="N38" s="6755"/>
      <c r="O38" s="6755"/>
      <c r="P38" s="6755"/>
      <c r="Q38" s="6760"/>
      <c r="R38" s="6755"/>
      <c r="S38" s="6755"/>
      <c r="T38" s="6755"/>
      <c r="U38" s="6760"/>
      <c r="V38" s="6755"/>
      <c r="W38" s="6755"/>
      <c r="X38" s="6767"/>
      <c r="Y38" s="6768"/>
      <c r="Z38" s="6365"/>
      <c r="AA38" s="6761"/>
      <c r="AB38" s="6755"/>
      <c r="AC38" s="6755"/>
      <c r="AD38" s="6755"/>
      <c r="AE38" s="6762"/>
      <c r="AF38" s="6755"/>
      <c r="AG38" s="6755"/>
      <c r="AH38" s="6755"/>
      <c r="AI38" s="6762"/>
      <c r="AJ38" s="6755"/>
      <c r="AK38" s="6755"/>
      <c r="AL38" s="6755"/>
      <c r="AM38" s="6768"/>
      <c r="AN38" s="6755"/>
      <c r="AO38" s="6762"/>
      <c r="AP38" s="6755"/>
      <c r="AQ38" s="6755">
        <v>20.28</v>
      </c>
      <c r="AR38" s="6755"/>
      <c r="AS38" s="2422">
        <f t="shared" si="43"/>
        <v>20.28</v>
      </c>
      <c r="AT38" s="6755"/>
      <c r="AU38" s="6755">
        <v>28.21</v>
      </c>
      <c r="AV38" s="6755"/>
      <c r="AW38" s="2422">
        <f t="shared" si="44"/>
        <v>48.49</v>
      </c>
      <c r="AX38" s="6755"/>
      <c r="AY38" s="6755"/>
      <c r="AZ38" s="6755"/>
      <c r="BA38" s="2678">
        <f t="shared" ref="BA38" si="51">+AQ38+AU38+AY38</f>
        <v>48.49</v>
      </c>
      <c r="BB38" s="2656"/>
      <c r="BC38" s="492">
        <f t="shared" ref="BC38" si="52">BA38+AM38</f>
        <v>48.49</v>
      </c>
      <c r="BD38" s="2675"/>
      <c r="BE38" s="235">
        <f t="shared" ref="BE38" si="53">+AW38+AY38</f>
        <v>48.49</v>
      </c>
      <c r="BF38" s="1137"/>
      <c r="BI38" s="25"/>
      <c r="BJ38" s="25"/>
    </row>
    <row r="39" spans="1:62" hidden="1" x14ac:dyDescent="0.25">
      <c r="A39" s="1646"/>
      <c r="B39" s="8" t="s">
        <v>1478</v>
      </c>
      <c r="C39" s="148" t="s">
        <v>352</v>
      </c>
      <c r="D39" s="565"/>
      <c r="E39" s="565"/>
      <c r="F39" s="565"/>
      <c r="G39" s="565"/>
      <c r="H39" s="1550"/>
      <c r="I39" s="1548">
        <f t="shared" si="39"/>
        <v>0</v>
      </c>
      <c r="J39" s="565"/>
      <c r="K39" s="565"/>
      <c r="L39" s="189"/>
      <c r="M39" s="2231">
        <f t="shared" si="40"/>
        <v>0</v>
      </c>
      <c r="N39" s="565"/>
      <c r="O39" s="565"/>
      <c r="P39" s="565"/>
      <c r="Q39" s="1548">
        <f t="shared" si="8"/>
        <v>0</v>
      </c>
      <c r="R39" s="565"/>
      <c r="S39" s="565"/>
      <c r="T39" s="565"/>
      <c r="U39" s="1548">
        <f t="shared" si="9"/>
        <v>0</v>
      </c>
      <c r="V39" s="565"/>
      <c r="W39" s="565">
        <v>0.5</v>
      </c>
      <c r="X39" s="189"/>
      <c r="Y39" s="2231">
        <f t="shared" si="10"/>
        <v>0.5</v>
      </c>
      <c r="Z39" s="1819"/>
      <c r="AA39" s="492">
        <f t="shared" si="11"/>
        <v>0.5</v>
      </c>
      <c r="AB39" s="565"/>
      <c r="AC39" s="565"/>
      <c r="AD39" s="565"/>
      <c r="AE39" s="2422">
        <f t="shared" si="41"/>
        <v>0.5</v>
      </c>
      <c r="AF39" s="565"/>
      <c r="AG39" s="565"/>
      <c r="AH39" s="565"/>
      <c r="AI39" s="2422">
        <f t="shared" si="42"/>
        <v>0.5</v>
      </c>
      <c r="AJ39" s="565"/>
      <c r="AK39" s="565"/>
      <c r="AL39" s="565"/>
      <c r="AM39" s="2231">
        <f t="shared" si="14"/>
        <v>0</v>
      </c>
      <c r="AN39" s="565"/>
      <c r="AO39" s="2422">
        <f t="shared" si="15"/>
        <v>0.5</v>
      </c>
      <c r="AP39" s="565"/>
      <c r="AQ39" s="565"/>
      <c r="AR39" s="565"/>
      <c r="AS39" s="2422">
        <f t="shared" si="43"/>
        <v>0.5</v>
      </c>
      <c r="AT39" s="565"/>
      <c r="AU39" s="565"/>
      <c r="AV39" s="565"/>
      <c r="AW39" s="2422">
        <f t="shared" si="44"/>
        <v>0.5</v>
      </c>
      <c r="AX39" s="565"/>
      <c r="AY39" s="565"/>
      <c r="AZ39" s="565"/>
      <c r="BA39" s="2231">
        <f t="shared" si="19"/>
        <v>0</v>
      </c>
      <c r="BB39" s="1819"/>
      <c r="BC39" s="492">
        <f t="shared" si="20"/>
        <v>0</v>
      </c>
      <c r="BD39" s="565"/>
      <c r="BE39" s="235">
        <f t="shared" si="45"/>
        <v>0.5</v>
      </c>
      <c r="BF39" s="1137"/>
      <c r="BI39" s="25"/>
      <c r="BJ39" s="25"/>
    </row>
    <row r="40" spans="1:62" hidden="1" x14ac:dyDescent="0.25">
      <c r="A40" s="1646"/>
      <c r="B40" s="8" t="s">
        <v>1477</v>
      </c>
      <c r="C40" s="148" t="s">
        <v>352</v>
      </c>
      <c r="D40" s="565"/>
      <c r="E40" s="565"/>
      <c r="F40" s="565"/>
      <c r="G40" s="565"/>
      <c r="H40" s="1550"/>
      <c r="I40" s="1548">
        <f t="shared" si="39"/>
        <v>0</v>
      </c>
      <c r="J40" s="565"/>
      <c r="K40" s="565"/>
      <c r="L40" s="189"/>
      <c r="M40" s="2231">
        <f t="shared" si="40"/>
        <v>0</v>
      </c>
      <c r="N40" s="565"/>
      <c r="O40" s="565"/>
      <c r="P40" s="565"/>
      <c r="Q40" s="1548">
        <f t="shared" si="8"/>
        <v>0</v>
      </c>
      <c r="R40" s="565"/>
      <c r="S40" s="565"/>
      <c r="T40" s="565"/>
      <c r="U40" s="1548">
        <f t="shared" si="9"/>
        <v>0</v>
      </c>
      <c r="V40" s="565"/>
      <c r="W40" s="565">
        <v>1</v>
      </c>
      <c r="X40" s="189"/>
      <c r="Y40" s="2231">
        <f t="shared" si="10"/>
        <v>1</v>
      </c>
      <c r="Z40" s="1819"/>
      <c r="AA40" s="492">
        <f t="shared" si="11"/>
        <v>1</v>
      </c>
      <c r="AB40" s="565"/>
      <c r="AC40" s="565"/>
      <c r="AD40" s="565"/>
      <c r="AE40" s="2422">
        <f t="shared" si="41"/>
        <v>1</v>
      </c>
      <c r="AF40" s="565"/>
      <c r="AG40" s="565"/>
      <c r="AH40" s="565"/>
      <c r="AI40" s="2422">
        <f t="shared" si="42"/>
        <v>1</v>
      </c>
      <c r="AJ40" s="565"/>
      <c r="AK40" s="565"/>
      <c r="AL40" s="565"/>
      <c r="AM40" s="2231">
        <f t="shared" si="14"/>
        <v>0</v>
      </c>
      <c r="AN40" s="565"/>
      <c r="AO40" s="2422">
        <f t="shared" si="15"/>
        <v>1</v>
      </c>
      <c r="AP40" s="565"/>
      <c r="AQ40" s="565"/>
      <c r="AR40" s="565"/>
      <c r="AS40" s="2422">
        <f t="shared" si="43"/>
        <v>1</v>
      </c>
      <c r="AT40" s="565"/>
      <c r="AU40" s="565"/>
      <c r="AV40" s="565"/>
      <c r="AW40" s="2422">
        <f t="shared" si="44"/>
        <v>1</v>
      </c>
      <c r="AX40" s="565"/>
      <c r="AY40" s="565"/>
      <c r="AZ40" s="565"/>
      <c r="BA40" s="2231">
        <f t="shared" si="19"/>
        <v>0</v>
      </c>
      <c r="BB40" s="1819"/>
      <c r="BC40" s="492">
        <f t="shared" si="20"/>
        <v>0</v>
      </c>
      <c r="BD40" s="565"/>
      <c r="BE40" s="235">
        <f t="shared" si="45"/>
        <v>1</v>
      </c>
      <c r="BF40" s="1137"/>
      <c r="BI40" s="25"/>
      <c r="BJ40" s="25"/>
    </row>
    <row r="41" spans="1:62" x14ac:dyDescent="0.25">
      <c r="A41" s="139"/>
      <c r="B41" s="696" t="s">
        <v>685</v>
      </c>
      <c r="C41" s="194"/>
      <c r="D41" s="1271"/>
      <c r="E41" s="1271">
        <f>+SUM(E42:E45)</f>
        <v>1287.4299999999998</v>
      </c>
      <c r="F41" s="1271"/>
      <c r="G41" s="1271">
        <f>+SUM(G42:G45)</f>
        <v>106.08</v>
      </c>
      <c r="H41" s="1549"/>
      <c r="I41" s="1549">
        <f t="shared" si="39"/>
        <v>1393.5099999999998</v>
      </c>
      <c r="J41" s="1271"/>
      <c r="K41" s="1271">
        <f>+SUM(K42:K45)</f>
        <v>10.09</v>
      </c>
      <c r="L41" s="1271"/>
      <c r="M41" s="2231">
        <f t="shared" si="40"/>
        <v>1403.5999999999997</v>
      </c>
      <c r="N41" s="1271"/>
      <c r="O41" s="1271">
        <f>+SUM(O42:O45)</f>
        <v>1010.86</v>
      </c>
      <c r="P41" s="1271"/>
      <c r="Q41" s="1548">
        <f t="shared" si="8"/>
        <v>2414.4599999999996</v>
      </c>
      <c r="R41" s="1271"/>
      <c r="S41" s="1271">
        <f>+SUM(S42:S45)</f>
        <v>496.32</v>
      </c>
      <c r="T41" s="1271"/>
      <c r="U41" s="1548">
        <f t="shared" si="9"/>
        <v>2910.7799999999997</v>
      </c>
      <c r="V41" s="1271"/>
      <c r="W41" s="1271">
        <f>+SUM(W42:W45)</f>
        <v>598.43000000000006</v>
      </c>
      <c r="X41" s="1271"/>
      <c r="Y41" s="2231">
        <f t="shared" si="10"/>
        <v>2105.61</v>
      </c>
      <c r="Z41" s="1271"/>
      <c r="AA41" s="492">
        <f t="shared" si="11"/>
        <v>3509.21</v>
      </c>
      <c r="AB41" s="1271"/>
      <c r="AC41" s="1271">
        <f>+SUM(AC42:AC45)</f>
        <v>422.38</v>
      </c>
      <c r="AD41" s="1271"/>
      <c r="AE41" s="1271">
        <f t="shared" si="41"/>
        <v>3931.59</v>
      </c>
      <c r="AF41" s="1271"/>
      <c r="AG41" s="1271">
        <f>+SUM(AG42:AG45)</f>
        <v>1498.65</v>
      </c>
      <c r="AH41" s="1271"/>
      <c r="AI41" s="1271">
        <f t="shared" si="42"/>
        <v>5430.24</v>
      </c>
      <c r="AJ41" s="1271"/>
      <c r="AK41" s="1271">
        <f>+SUM(AK42:AK45)</f>
        <v>1993.44</v>
      </c>
      <c r="AL41" s="1271"/>
      <c r="AM41" s="2231">
        <f t="shared" si="14"/>
        <v>3914.4700000000003</v>
      </c>
      <c r="AN41" s="1271"/>
      <c r="AO41" s="1271">
        <f t="shared" si="15"/>
        <v>7423.68</v>
      </c>
      <c r="AP41" s="1271"/>
      <c r="AQ41" s="1271">
        <f>+SUM(AQ42:AQ45)</f>
        <v>2530.9499999999998</v>
      </c>
      <c r="AR41" s="1271"/>
      <c r="AS41" s="1271">
        <f t="shared" si="43"/>
        <v>9954.630000000001</v>
      </c>
      <c r="AT41" s="1271"/>
      <c r="AU41" s="1271">
        <f>+SUM(AU42:AU45)</f>
        <v>951.22000000000014</v>
      </c>
      <c r="AV41" s="1271"/>
      <c r="AW41" s="1271">
        <f t="shared" si="44"/>
        <v>10905.85</v>
      </c>
      <c r="AX41" s="1271"/>
      <c r="AY41" s="1271">
        <f>+SUM(AY42:AY45)</f>
        <v>1690.7299999999998</v>
      </c>
      <c r="AZ41" s="1271"/>
      <c r="BA41" s="2231">
        <f t="shared" si="19"/>
        <v>5172.8999999999996</v>
      </c>
      <c r="BB41" s="1271"/>
      <c r="BC41" s="492">
        <f t="shared" si="20"/>
        <v>9087.369999999999</v>
      </c>
      <c r="BD41" s="1271"/>
      <c r="BE41" s="1271">
        <f t="shared" si="45"/>
        <v>12596.58</v>
      </c>
      <c r="BF41" s="1137"/>
      <c r="BI41" s="25"/>
      <c r="BJ41" s="25"/>
    </row>
    <row r="42" spans="1:62" x14ac:dyDescent="0.25">
      <c r="B42" s="8" t="s">
        <v>1056</v>
      </c>
      <c r="C42" s="148" t="s">
        <v>352</v>
      </c>
      <c r="D42" s="565"/>
      <c r="E42" s="565">
        <v>763.17</v>
      </c>
      <c r="F42" s="565"/>
      <c r="G42" s="565"/>
      <c r="H42" s="1550"/>
      <c r="I42" s="1550">
        <f t="shared" si="39"/>
        <v>763.17</v>
      </c>
      <c r="J42" s="565"/>
      <c r="K42" s="565"/>
      <c r="L42" s="189"/>
      <c r="M42" s="2231">
        <f t="shared" si="40"/>
        <v>763.17</v>
      </c>
      <c r="N42" s="565"/>
      <c r="O42" s="565"/>
      <c r="P42" s="565"/>
      <c r="Q42" s="1548">
        <f t="shared" si="8"/>
        <v>763.17</v>
      </c>
      <c r="R42" s="565"/>
      <c r="S42" s="565"/>
      <c r="T42" s="565"/>
      <c r="U42" s="1548">
        <f t="shared" si="9"/>
        <v>763.17</v>
      </c>
      <c r="V42" s="565"/>
      <c r="W42" s="565">
        <v>239.28</v>
      </c>
      <c r="X42" s="189"/>
      <c r="Y42" s="2231">
        <f t="shared" si="10"/>
        <v>239.28</v>
      </c>
      <c r="Z42" s="565"/>
      <c r="AA42" s="492">
        <f t="shared" si="11"/>
        <v>1002.4499999999999</v>
      </c>
      <c r="AB42" s="565"/>
      <c r="AC42" s="565">
        <v>260.27</v>
      </c>
      <c r="AD42" s="565"/>
      <c r="AE42" s="2422">
        <f t="shared" si="41"/>
        <v>1262.7199999999998</v>
      </c>
      <c r="AF42" s="565"/>
      <c r="AG42" s="565">
        <v>1000</v>
      </c>
      <c r="AH42" s="565"/>
      <c r="AI42" s="2422">
        <f t="shared" si="42"/>
        <v>2262.7199999999998</v>
      </c>
      <c r="AJ42" s="565"/>
      <c r="AK42" s="565">
        <v>499.89</v>
      </c>
      <c r="AL42" s="565"/>
      <c r="AM42" s="2231">
        <f t="shared" si="14"/>
        <v>1760.1599999999999</v>
      </c>
      <c r="AN42" s="565"/>
      <c r="AO42" s="2422">
        <f t="shared" si="15"/>
        <v>2762.6099999999997</v>
      </c>
      <c r="AP42" s="565"/>
      <c r="AQ42" s="565">
        <v>997.06000000000017</v>
      </c>
      <c r="AR42" s="565"/>
      <c r="AS42" s="2422">
        <f t="shared" si="43"/>
        <v>3759.67</v>
      </c>
      <c r="AT42" s="565"/>
      <c r="AU42" s="565"/>
      <c r="AV42" s="565"/>
      <c r="AW42" s="2422">
        <f t="shared" si="44"/>
        <v>3759.67</v>
      </c>
      <c r="AX42" s="565"/>
      <c r="AY42" s="565">
        <v>999.50999999999976</v>
      </c>
      <c r="AZ42" s="565"/>
      <c r="BA42" s="2231">
        <f t="shared" si="19"/>
        <v>1996.57</v>
      </c>
      <c r="BB42" s="565"/>
      <c r="BC42" s="492">
        <f t="shared" si="20"/>
        <v>3756.7299999999996</v>
      </c>
      <c r="BD42" s="565"/>
      <c r="BE42" s="235">
        <f t="shared" si="45"/>
        <v>4759.18</v>
      </c>
      <c r="BF42" s="1137"/>
      <c r="BI42" s="25"/>
      <c r="BJ42" s="25"/>
    </row>
    <row r="43" spans="1:62" x14ac:dyDescent="0.25">
      <c r="B43" s="8" t="s">
        <v>1370</v>
      </c>
      <c r="C43" s="148" t="s">
        <v>352</v>
      </c>
      <c r="D43" s="565"/>
      <c r="E43" s="565">
        <v>25.01</v>
      </c>
      <c r="F43" s="565"/>
      <c r="G43" s="565">
        <v>19.7</v>
      </c>
      <c r="H43" s="1550"/>
      <c r="I43" s="1550">
        <f t="shared" si="39"/>
        <v>44.71</v>
      </c>
      <c r="J43" s="565"/>
      <c r="K43" s="565"/>
      <c r="L43" s="189"/>
      <c r="M43" s="2231">
        <f t="shared" si="40"/>
        <v>44.71</v>
      </c>
      <c r="N43" s="565"/>
      <c r="O43" s="565">
        <v>14.46</v>
      </c>
      <c r="P43" s="565"/>
      <c r="Q43" s="1548">
        <f t="shared" si="8"/>
        <v>59.17</v>
      </c>
      <c r="R43" s="565"/>
      <c r="S43" s="565"/>
      <c r="T43" s="565"/>
      <c r="U43" s="1548">
        <f t="shared" si="9"/>
        <v>59.17</v>
      </c>
      <c r="V43" s="565"/>
      <c r="W43" s="565">
        <v>23.98</v>
      </c>
      <c r="X43" s="189"/>
      <c r="Y43" s="2231">
        <f t="shared" si="10"/>
        <v>38.44</v>
      </c>
      <c r="Z43" s="565"/>
      <c r="AA43" s="492">
        <f t="shared" si="11"/>
        <v>83.15</v>
      </c>
      <c r="AB43" s="565"/>
      <c r="AC43" s="565"/>
      <c r="AD43" s="565"/>
      <c r="AE43" s="2422">
        <f t="shared" si="41"/>
        <v>83.15</v>
      </c>
      <c r="AF43" s="565"/>
      <c r="AG43" s="565"/>
      <c r="AH43" s="565"/>
      <c r="AI43" s="2422">
        <f t="shared" si="42"/>
        <v>83.15</v>
      </c>
      <c r="AJ43" s="565"/>
      <c r="AK43" s="565"/>
      <c r="AL43" s="565"/>
      <c r="AM43" s="2231">
        <f t="shared" si="14"/>
        <v>0</v>
      </c>
      <c r="AN43" s="565"/>
      <c r="AO43" s="2422">
        <f t="shared" si="15"/>
        <v>83.15</v>
      </c>
      <c r="AP43" s="565"/>
      <c r="AQ43" s="565">
        <v>36.82</v>
      </c>
      <c r="AR43" s="565"/>
      <c r="AS43" s="2422">
        <f t="shared" si="43"/>
        <v>119.97</v>
      </c>
      <c r="AT43" s="565"/>
      <c r="AU43" s="565">
        <v>416.56000000000006</v>
      </c>
      <c r="AV43" s="565"/>
      <c r="AW43" s="2422">
        <f t="shared" si="44"/>
        <v>536.53000000000009</v>
      </c>
      <c r="AX43" s="565"/>
      <c r="AY43" s="565">
        <v>64.63</v>
      </c>
      <c r="AZ43" s="565"/>
      <c r="BA43" s="2231">
        <f t="shared" si="19"/>
        <v>518.01</v>
      </c>
      <c r="BB43" s="565"/>
      <c r="BC43" s="492">
        <f t="shared" si="20"/>
        <v>518.01</v>
      </c>
      <c r="BD43" s="565"/>
      <c r="BE43" s="235">
        <f t="shared" si="45"/>
        <v>601.16000000000008</v>
      </c>
      <c r="BF43" s="1137"/>
      <c r="BI43" s="25"/>
      <c r="BJ43" s="25"/>
    </row>
    <row r="44" spans="1:62" ht="15.75" hidden="1" customHeight="1" x14ac:dyDescent="0.25">
      <c r="B44" s="8" t="s">
        <v>1288</v>
      </c>
      <c r="C44" s="148" t="s">
        <v>352</v>
      </c>
      <c r="D44" s="565"/>
      <c r="E44" s="565"/>
      <c r="F44" s="565"/>
      <c r="G44" s="565">
        <v>86.38</v>
      </c>
      <c r="H44" s="1550"/>
      <c r="I44" s="1550">
        <f t="shared" si="39"/>
        <v>86.38</v>
      </c>
      <c r="J44" s="565"/>
      <c r="K44" s="565">
        <v>10.09</v>
      </c>
      <c r="L44" s="189"/>
      <c r="M44" s="2231">
        <f t="shared" si="40"/>
        <v>96.47</v>
      </c>
      <c r="N44" s="565"/>
      <c r="O44" s="565"/>
      <c r="P44" s="565"/>
      <c r="Q44" s="1548">
        <f t="shared" si="8"/>
        <v>96.47</v>
      </c>
      <c r="R44" s="565"/>
      <c r="S44" s="565"/>
      <c r="T44" s="565"/>
      <c r="U44" s="1548">
        <f t="shared" si="9"/>
        <v>96.47</v>
      </c>
      <c r="V44" s="565"/>
      <c r="W44" s="565"/>
      <c r="X44" s="189"/>
      <c r="Y44" s="2231">
        <f t="shared" si="10"/>
        <v>0</v>
      </c>
      <c r="Z44" s="565"/>
      <c r="AA44" s="492">
        <f t="shared" si="11"/>
        <v>96.47</v>
      </c>
      <c r="AB44" s="565"/>
      <c r="AC44" s="565"/>
      <c r="AD44" s="565"/>
      <c r="AE44" s="2422">
        <f t="shared" si="41"/>
        <v>96.47</v>
      </c>
      <c r="AF44" s="565"/>
      <c r="AG44" s="565"/>
      <c r="AH44" s="565"/>
      <c r="AI44" s="2422">
        <f t="shared" si="42"/>
        <v>96.47</v>
      </c>
      <c r="AJ44" s="565"/>
      <c r="AK44" s="565"/>
      <c r="AL44" s="565"/>
      <c r="AM44" s="2231">
        <f t="shared" si="14"/>
        <v>0</v>
      </c>
      <c r="AN44" s="565"/>
      <c r="AO44" s="2422">
        <f t="shared" si="15"/>
        <v>96.47</v>
      </c>
      <c r="AP44" s="565"/>
      <c r="AQ44" s="565"/>
      <c r="AR44" s="565"/>
      <c r="AS44" s="2422">
        <f t="shared" si="43"/>
        <v>96.47</v>
      </c>
      <c r="AT44" s="565"/>
      <c r="AU44" s="565">
        <v>35.590000000000003</v>
      </c>
      <c r="AV44" s="565"/>
      <c r="AW44" s="2422">
        <f t="shared" si="44"/>
        <v>132.06</v>
      </c>
      <c r="AX44" s="565"/>
      <c r="AY44" s="565">
        <v>127.03</v>
      </c>
      <c r="AZ44" s="565"/>
      <c r="BA44" s="2231">
        <f t="shared" si="19"/>
        <v>162.62</v>
      </c>
      <c r="BB44" s="565"/>
      <c r="BC44" s="492">
        <f t="shared" si="20"/>
        <v>162.62</v>
      </c>
      <c r="BD44" s="565"/>
      <c r="BE44" s="235">
        <f t="shared" si="45"/>
        <v>259.09000000000003</v>
      </c>
      <c r="BF44" s="1137"/>
      <c r="BI44" s="25"/>
      <c r="BJ44" s="25"/>
    </row>
    <row r="45" spans="1:62" x14ac:dyDescent="0.25">
      <c r="A45" s="139"/>
      <c r="B45" s="8" t="s">
        <v>686</v>
      </c>
      <c r="C45" s="148" t="s">
        <v>352</v>
      </c>
      <c r="D45" s="1819"/>
      <c r="E45" s="565">
        <v>499.25</v>
      </c>
      <c r="F45" s="1120"/>
      <c r="G45" s="1819"/>
      <c r="H45" s="1548"/>
      <c r="I45" s="1548">
        <f t="shared" si="39"/>
        <v>499.25</v>
      </c>
      <c r="J45" s="1120"/>
      <c r="K45" s="1819"/>
      <c r="L45" s="189"/>
      <c r="M45" s="2231">
        <f t="shared" si="40"/>
        <v>499.25</v>
      </c>
      <c r="N45" s="1120"/>
      <c r="O45" s="1819">
        <v>996.4</v>
      </c>
      <c r="P45" s="1120"/>
      <c r="Q45" s="1548">
        <f t="shared" si="8"/>
        <v>1495.65</v>
      </c>
      <c r="R45" s="1120"/>
      <c r="S45" s="1819">
        <v>496.32</v>
      </c>
      <c r="T45" s="1120"/>
      <c r="U45" s="1548">
        <f t="shared" si="9"/>
        <v>1991.97</v>
      </c>
      <c r="V45" s="1120"/>
      <c r="W45" s="1819">
        <v>335.17</v>
      </c>
      <c r="X45" s="189"/>
      <c r="Y45" s="2231">
        <f t="shared" si="10"/>
        <v>1827.89</v>
      </c>
      <c r="Z45" s="1819"/>
      <c r="AA45" s="513">
        <f t="shared" si="11"/>
        <v>2327.1400000000003</v>
      </c>
      <c r="AB45" s="1819"/>
      <c r="AC45" s="1819">
        <v>162.11000000000001</v>
      </c>
      <c r="AD45" s="1819"/>
      <c r="AE45" s="2236">
        <f t="shared" si="41"/>
        <v>2489.2500000000005</v>
      </c>
      <c r="AF45" s="1819"/>
      <c r="AG45" s="1819">
        <v>498.65</v>
      </c>
      <c r="AH45" s="1819"/>
      <c r="AI45" s="2236">
        <f t="shared" si="42"/>
        <v>2987.9000000000005</v>
      </c>
      <c r="AJ45" s="1819"/>
      <c r="AK45" s="1819">
        <v>1493.55</v>
      </c>
      <c r="AL45" s="1819"/>
      <c r="AM45" s="2231">
        <f t="shared" si="14"/>
        <v>2154.31</v>
      </c>
      <c r="AN45" s="1819"/>
      <c r="AO45" s="2236">
        <f t="shared" si="15"/>
        <v>4481.4500000000007</v>
      </c>
      <c r="AP45" s="1819"/>
      <c r="AQ45" s="1819">
        <v>1497.07</v>
      </c>
      <c r="AR45" s="1819"/>
      <c r="AS45" s="2236">
        <f t="shared" si="43"/>
        <v>5978.52</v>
      </c>
      <c r="AT45" s="1819"/>
      <c r="AU45" s="1819">
        <v>499.07000000000005</v>
      </c>
      <c r="AV45" s="1819"/>
      <c r="AW45" s="5008">
        <f t="shared" si="44"/>
        <v>6477.59</v>
      </c>
      <c r="AX45" s="1819"/>
      <c r="AY45" s="1819">
        <v>499.56</v>
      </c>
      <c r="AZ45" s="1819"/>
      <c r="BA45" s="2231">
        <f t="shared" si="19"/>
        <v>2495.6999999999998</v>
      </c>
      <c r="BB45" s="1819"/>
      <c r="BC45" s="513">
        <f t="shared" si="20"/>
        <v>4650.01</v>
      </c>
      <c r="BD45" s="1819"/>
      <c r="BE45" s="352">
        <f t="shared" si="45"/>
        <v>6977.1500000000005</v>
      </c>
      <c r="BF45" s="1137"/>
      <c r="BI45" s="25"/>
      <c r="BJ45" s="25"/>
    </row>
    <row r="46" spans="1:62" x14ac:dyDescent="0.25">
      <c r="B46" s="696" t="s">
        <v>687</v>
      </c>
      <c r="C46" s="194"/>
      <c r="D46" s="1271"/>
      <c r="E46" s="1271">
        <f>+SUM(E47:E50)</f>
        <v>74.989999999999995</v>
      </c>
      <c r="F46" s="1271"/>
      <c r="G46" s="1271">
        <f>+SUM(G47:G50)</f>
        <v>0</v>
      </c>
      <c r="H46" s="1549"/>
      <c r="I46" s="1549">
        <f t="shared" si="39"/>
        <v>74.989999999999995</v>
      </c>
      <c r="J46" s="1271"/>
      <c r="K46" s="1271">
        <f>+SUM(K47:K50)</f>
        <v>44.959999999999994</v>
      </c>
      <c r="L46" s="1271"/>
      <c r="M46" s="2231">
        <f t="shared" si="40"/>
        <v>119.94999999999999</v>
      </c>
      <c r="N46" s="1271"/>
      <c r="O46" s="1271">
        <f>+SUM(O47:O50)</f>
        <v>52.61</v>
      </c>
      <c r="P46" s="1271"/>
      <c r="Q46" s="1548">
        <f t="shared" si="8"/>
        <v>172.56</v>
      </c>
      <c r="R46" s="1271"/>
      <c r="S46" s="1271">
        <f>+SUM(S47:S50)</f>
        <v>0</v>
      </c>
      <c r="T46" s="1271"/>
      <c r="U46" s="1548">
        <f t="shared" si="9"/>
        <v>172.56</v>
      </c>
      <c r="V46" s="1271"/>
      <c r="W46" s="1271">
        <f>+SUM(W47:W50)</f>
        <v>0</v>
      </c>
      <c r="X46" s="1271"/>
      <c r="Y46" s="2231">
        <f t="shared" si="10"/>
        <v>52.61</v>
      </c>
      <c r="Z46" s="1271"/>
      <c r="AA46" s="492">
        <f t="shared" si="11"/>
        <v>172.56</v>
      </c>
      <c r="AB46" s="1271"/>
      <c r="AC46" s="1271">
        <f>+SUM(AC47:AC50)</f>
        <v>24.98</v>
      </c>
      <c r="AD46" s="1271"/>
      <c r="AE46" s="1271">
        <f t="shared" si="41"/>
        <v>197.54</v>
      </c>
      <c r="AF46" s="1271"/>
      <c r="AG46" s="1271">
        <f>+SUM(AG47:AG50)</f>
        <v>49.98</v>
      </c>
      <c r="AH46" s="1271"/>
      <c r="AI46" s="1271">
        <f t="shared" si="42"/>
        <v>247.51999999999998</v>
      </c>
      <c r="AJ46" s="1271"/>
      <c r="AK46" s="1271">
        <f>+SUM(AK47:AK50)</f>
        <v>50.06</v>
      </c>
      <c r="AL46" s="1271"/>
      <c r="AM46" s="2231">
        <f t="shared" si="14"/>
        <v>125.02</v>
      </c>
      <c r="AN46" s="1271"/>
      <c r="AO46" s="1271">
        <f t="shared" si="15"/>
        <v>297.58</v>
      </c>
      <c r="AP46" s="1271"/>
      <c r="AQ46" s="1271">
        <f>+SUM(AQ47:AQ50)</f>
        <v>115.35</v>
      </c>
      <c r="AR46" s="1271"/>
      <c r="AS46" s="1271">
        <f t="shared" si="43"/>
        <v>412.92999999999995</v>
      </c>
      <c r="AT46" s="1271"/>
      <c r="AU46" s="1271">
        <f>+SUM(AU47:AU50)</f>
        <v>59.489999999999995</v>
      </c>
      <c r="AV46" s="1271"/>
      <c r="AW46" s="1271">
        <f t="shared" si="44"/>
        <v>472.41999999999996</v>
      </c>
      <c r="AX46" s="1271"/>
      <c r="AY46" s="1271">
        <f>+SUM(AY47:AY50)</f>
        <v>19.98</v>
      </c>
      <c r="AZ46" s="1271"/>
      <c r="BA46" s="2231">
        <f t="shared" si="19"/>
        <v>194.81999999999996</v>
      </c>
      <c r="BB46" s="1271"/>
      <c r="BC46" s="492">
        <f t="shared" si="20"/>
        <v>319.83999999999997</v>
      </c>
      <c r="BD46" s="1271"/>
      <c r="BE46" s="1271">
        <f t="shared" si="45"/>
        <v>492.4</v>
      </c>
      <c r="BF46" s="1137"/>
      <c r="BI46" s="25"/>
      <c r="BJ46" s="25"/>
    </row>
    <row r="47" spans="1:62" x14ac:dyDescent="0.25">
      <c r="B47" s="8" t="s">
        <v>872</v>
      </c>
      <c r="C47" s="148" t="s">
        <v>352</v>
      </c>
      <c r="D47" s="1819"/>
      <c r="E47" s="1819">
        <v>24.99</v>
      </c>
      <c r="F47" s="1120"/>
      <c r="G47" s="1819"/>
      <c r="H47" s="1548"/>
      <c r="I47" s="1548">
        <f t="shared" si="39"/>
        <v>24.99</v>
      </c>
      <c r="J47" s="1120"/>
      <c r="K47" s="1819"/>
      <c r="L47" s="189"/>
      <c r="M47" s="1070">
        <f t="shared" si="40"/>
        <v>24.99</v>
      </c>
      <c r="N47" s="1120"/>
      <c r="O47" s="1819">
        <v>24.99</v>
      </c>
      <c r="P47" s="1120"/>
      <c r="Q47" s="1548">
        <f t="shared" si="8"/>
        <v>49.98</v>
      </c>
      <c r="R47" s="1120"/>
      <c r="S47" s="1819"/>
      <c r="T47" s="1120"/>
      <c r="U47" s="1548">
        <f t="shared" si="9"/>
        <v>49.98</v>
      </c>
      <c r="V47" s="1120"/>
      <c r="W47" s="1819"/>
      <c r="X47" s="189"/>
      <c r="Y47" s="1070">
        <f t="shared" si="10"/>
        <v>24.99</v>
      </c>
      <c r="Z47" s="1819"/>
      <c r="AA47" s="513">
        <f t="shared" si="11"/>
        <v>49.98</v>
      </c>
      <c r="AB47" s="1819"/>
      <c r="AC47" s="1819">
        <v>24.98</v>
      </c>
      <c r="AD47" s="1819"/>
      <c r="AE47" s="2236">
        <f t="shared" si="41"/>
        <v>74.959999999999994</v>
      </c>
      <c r="AF47" s="1819"/>
      <c r="AG47" s="1819"/>
      <c r="AH47" s="1819"/>
      <c r="AI47" s="2236">
        <f t="shared" si="42"/>
        <v>74.959999999999994</v>
      </c>
      <c r="AJ47" s="1819"/>
      <c r="AK47" s="1819">
        <v>24.99</v>
      </c>
      <c r="AL47" s="1819"/>
      <c r="AM47" s="1070">
        <f t="shared" si="14"/>
        <v>49.97</v>
      </c>
      <c r="AN47" s="1819"/>
      <c r="AO47" s="2236">
        <f t="shared" si="15"/>
        <v>99.949999999999989</v>
      </c>
      <c r="AP47" s="1819"/>
      <c r="AQ47" s="1819">
        <v>24.95</v>
      </c>
      <c r="AR47" s="1819"/>
      <c r="AS47" s="2236">
        <f t="shared" si="43"/>
        <v>124.89999999999999</v>
      </c>
      <c r="AT47" s="1819"/>
      <c r="AU47" s="1819">
        <v>24.98</v>
      </c>
      <c r="AV47" s="1819"/>
      <c r="AW47" s="5008">
        <f t="shared" si="44"/>
        <v>149.88</v>
      </c>
      <c r="AX47" s="1819"/>
      <c r="AY47" s="1819"/>
      <c r="AZ47" s="1819"/>
      <c r="BA47" s="1070">
        <f t="shared" si="19"/>
        <v>49.93</v>
      </c>
      <c r="BB47" s="1819"/>
      <c r="BC47" s="513">
        <f t="shared" si="20"/>
        <v>99.9</v>
      </c>
      <c r="BD47" s="1819"/>
      <c r="BE47" s="352">
        <f t="shared" si="45"/>
        <v>149.88</v>
      </c>
      <c r="BF47" s="1137"/>
      <c r="BI47" s="25"/>
      <c r="BJ47" s="25"/>
    </row>
    <row r="48" spans="1:62" hidden="1" x14ac:dyDescent="0.25">
      <c r="B48" s="8" t="s">
        <v>1218</v>
      </c>
      <c r="C48" s="148" t="s">
        <v>352</v>
      </c>
      <c r="D48" s="1819"/>
      <c r="E48" s="1819"/>
      <c r="F48" s="1120"/>
      <c r="G48" s="1819"/>
      <c r="H48" s="1548"/>
      <c r="I48" s="1548">
        <f t="shared" si="39"/>
        <v>0</v>
      </c>
      <c r="J48" s="1120"/>
      <c r="K48" s="1819"/>
      <c r="L48" s="189"/>
      <c r="M48" s="1070">
        <f t="shared" si="40"/>
        <v>0</v>
      </c>
      <c r="N48" s="1120"/>
      <c r="O48" s="1819"/>
      <c r="P48" s="1120"/>
      <c r="Q48" s="1548">
        <f t="shared" si="8"/>
        <v>0</v>
      </c>
      <c r="R48" s="1120"/>
      <c r="S48" s="1819"/>
      <c r="T48" s="1120"/>
      <c r="U48" s="1548">
        <f t="shared" si="9"/>
        <v>0</v>
      </c>
      <c r="V48" s="1120"/>
      <c r="W48" s="1819"/>
      <c r="X48" s="189"/>
      <c r="Y48" s="1070">
        <f t="shared" si="10"/>
        <v>0</v>
      </c>
      <c r="Z48" s="1819"/>
      <c r="AA48" s="513">
        <f t="shared" si="11"/>
        <v>0</v>
      </c>
      <c r="AB48" s="1819"/>
      <c r="AC48" s="1819"/>
      <c r="AD48" s="1819"/>
      <c r="AE48" s="2236">
        <f t="shared" si="41"/>
        <v>0</v>
      </c>
      <c r="AF48" s="1819"/>
      <c r="AG48" s="1819"/>
      <c r="AH48" s="1819"/>
      <c r="AI48" s="2236">
        <f t="shared" si="42"/>
        <v>0</v>
      </c>
      <c r="AJ48" s="1819"/>
      <c r="AK48" s="1819"/>
      <c r="AL48" s="1819"/>
      <c r="AM48" s="1070">
        <f t="shared" si="14"/>
        <v>0</v>
      </c>
      <c r="AN48" s="1819"/>
      <c r="AO48" s="2236">
        <f t="shared" si="15"/>
        <v>0</v>
      </c>
      <c r="AP48" s="1819"/>
      <c r="AQ48" s="1819"/>
      <c r="AR48" s="1819"/>
      <c r="AS48" s="2236">
        <f t="shared" si="43"/>
        <v>0</v>
      </c>
      <c r="AT48" s="1819"/>
      <c r="AU48" s="1819"/>
      <c r="AV48" s="1819"/>
      <c r="AW48" s="5008">
        <f t="shared" si="44"/>
        <v>0</v>
      </c>
      <c r="AX48" s="1819"/>
      <c r="AY48" s="1819"/>
      <c r="AZ48" s="1819"/>
      <c r="BA48" s="1070">
        <f t="shared" si="19"/>
        <v>0</v>
      </c>
      <c r="BB48" s="1819"/>
      <c r="BC48" s="513">
        <f t="shared" si="20"/>
        <v>0</v>
      </c>
      <c r="BD48" s="1819"/>
      <c r="BE48" s="352">
        <f t="shared" si="45"/>
        <v>0</v>
      </c>
      <c r="BF48" s="1137"/>
      <c r="BI48" s="25"/>
      <c r="BJ48" s="25"/>
    </row>
    <row r="49" spans="1:62" hidden="1" x14ac:dyDescent="0.25">
      <c r="A49" s="1646"/>
      <c r="B49" s="8" t="s">
        <v>1479</v>
      </c>
      <c r="C49" s="148" t="s">
        <v>352</v>
      </c>
      <c r="D49" s="1819"/>
      <c r="E49" s="1819"/>
      <c r="F49" s="1645"/>
      <c r="G49" s="1819"/>
      <c r="H49" s="1548"/>
      <c r="I49" s="1548">
        <f t="shared" si="39"/>
        <v>0</v>
      </c>
      <c r="J49" s="1645"/>
      <c r="K49" s="1819">
        <v>19.989999999999998</v>
      </c>
      <c r="L49" s="189"/>
      <c r="M49" s="1070">
        <f t="shared" si="40"/>
        <v>19.989999999999998</v>
      </c>
      <c r="N49" s="1645"/>
      <c r="O49" s="1819"/>
      <c r="P49" s="1645"/>
      <c r="Q49" s="1548">
        <f t="shared" si="8"/>
        <v>19.989999999999998</v>
      </c>
      <c r="R49" s="1645"/>
      <c r="S49" s="1819"/>
      <c r="T49" s="1645"/>
      <c r="U49" s="1548">
        <f t="shared" si="9"/>
        <v>19.989999999999998</v>
      </c>
      <c r="V49" s="1645"/>
      <c r="W49" s="1819"/>
      <c r="X49" s="189"/>
      <c r="Y49" s="1070">
        <f t="shared" si="10"/>
        <v>0</v>
      </c>
      <c r="Z49" s="1819"/>
      <c r="AA49" s="513">
        <f t="shared" si="11"/>
        <v>19.989999999999998</v>
      </c>
      <c r="AB49" s="1819"/>
      <c r="AC49" s="1819"/>
      <c r="AD49" s="1819"/>
      <c r="AE49" s="2236">
        <f t="shared" si="41"/>
        <v>19.989999999999998</v>
      </c>
      <c r="AF49" s="1819"/>
      <c r="AG49" s="1819"/>
      <c r="AH49" s="1819"/>
      <c r="AI49" s="2236">
        <f t="shared" si="42"/>
        <v>19.989999999999998</v>
      </c>
      <c r="AJ49" s="1819"/>
      <c r="AK49" s="1819">
        <v>25.07</v>
      </c>
      <c r="AL49" s="1819"/>
      <c r="AM49" s="1070">
        <f t="shared" si="14"/>
        <v>25.07</v>
      </c>
      <c r="AN49" s="1819"/>
      <c r="AO49" s="2236">
        <f t="shared" si="15"/>
        <v>45.06</v>
      </c>
      <c r="AP49" s="1819"/>
      <c r="AQ49" s="1819">
        <v>24.93</v>
      </c>
      <c r="AR49" s="1819"/>
      <c r="AS49" s="2236">
        <f t="shared" si="43"/>
        <v>69.990000000000009</v>
      </c>
      <c r="AT49" s="1819"/>
      <c r="AU49" s="1819"/>
      <c r="AV49" s="1819"/>
      <c r="AW49" s="5008">
        <f t="shared" si="44"/>
        <v>69.990000000000009</v>
      </c>
      <c r="AX49" s="1819"/>
      <c r="AY49" s="1819">
        <v>19.98</v>
      </c>
      <c r="AZ49" s="1819"/>
      <c r="BA49" s="1070">
        <f t="shared" si="19"/>
        <v>44.91</v>
      </c>
      <c r="BB49" s="1819"/>
      <c r="BC49" s="513">
        <f t="shared" si="20"/>
        <v>69.97999999999999</v>
      </c>
      <c r="BD49" s="1819"/>
      <c r="BE49" s="352">
        <f t="shared" si="45"/>
        <v>89.970000000000013</v>
      </c>
      <c r="BF49" s="1137"/>
      <c r="BI49" s="25"/>
      <c r="BJ49" s="25"/>
    </row>
    <row r="50" spans="1:62" x14ac:dyDescent="0.25">
      <c r="A50" s="139"/>
      <c r="B50" s="8" t="s">
        <v>621</v>
      </c>
      <c r="C50" s="148" t="s">
        <v>352</v>
      </c>
      <c r="D50" s="1819"/>
      <c r="E50" s="1819">
        <v>50</v>
      </c>
      <c r="F50" s="1120"/>
      <c r="G50" s="1819"/>
      <c r="H50" s="1548"/>
      <c r="I50" s="1548">
        <f t="shared" si="39"/>
        <v>50</v>
      </c>
      <c r="J50" s="1120"/>
      <c r="K50" s="1819">
        <v>24.97</v>
      </c>
      <c r="L50" s="189"/>
      <c r="M50" s="1070">
        <f t="shared" si="40"/>
        <v>74.97</v>
      </c>
      <c r="N50" s="1120"/>
      <c r="O50" s="1819">
        <v>27.62</v>
      </c>
      <c r="P50" s="1120"/>
      <c r="Q50" s="1548">
        <f t="shared" si="8"/>
        <v>102.59</v>
      </c>
      <c r="R50" s="1120"/>
      <c r="S50" s="1819"/>
      <c r="T50" s="1120"/>
      <c r="U50" s="1548">
        <f t="shared" si="9"/>
        <v>102.59</v>
      </c>
      <c r="V50" s="1120"/>
      <c r="W50" s="1819"/>
      <c r="X50" s="189"/>
      <c r="Y50" s="1070">
        <f t="shared" si="10"/>
        <v>27.62</v>
      </c>
      <c r="Z50" s="1819"/>
      <c r="AA50" s="513">
        <f t="shared" si="11"/>
        <v>102.59</v>
      </c>
      <c r="AB50" s="1819"/>
      <c r="AC50" s="1819"/>
      <c r="AD50" s="1819"/>
      <c r="AE50" s="2236">
        <f t="shared" si="41"/>
        <v>102.59</v>
      </c>
      <c r="AF50" s="1819"/>
      <c r="AG50" s="1819">
        <v>49.98</v>
      </c>
      <c r="AH50" s="1819"/>
      <c r="AI50" s="2236">
        <f t="shared" si="42"/>
        <v>152.57</v>
      </c>
      <c r="AJ50" s="1819"/>
      <c r="AK50" s="1819"/>
      <c r="AL50" s="1819"/>
      <c r="AM50" s="1070">
        <f t="shared" si="14"/>
        <v>49.98</v>
      </c>
      <c r="AN50" s="1819"/>
      <c r="AO50" s="2236">
        <f t="shared" si="15"/>
        <v>152.57</v>
      </c>
      <c r="AP50" s="1819"/>
      <c r="AQ50" s="1819">
        <v>65.47</v>
      </c>
      <c r="AR50" s="1819"/>
      <c r="AS50" s="2236">
        <f t="shared" si="43"/>
        <v>218.04</v>
      </c>
      <c r="AT50" s="1819"/>
      <c r="AU50" s="1819">
        <v>34.51</v>
      </c>
      <c r="AV50" s="1819"/>
      <c r="AW50" s="5008">
        <f t="shared" si="44"/>
        <v>252.54999999999998</v>
      </c>
      <c r="AX50" s="1819"/>
      <c r="AY50" s="1819"/>
      <c r="AZ50" s="1819"/>
      <c r="BA50" s="1070">
        <f t="shared" si="19"/>
        <v>99.97999999999999</v>
      </c>
      <c r="BB50" s="1819"/>
      <c r="BC50" s="513">
        <f t="shared" si="20"/>
        <v>149.95999999999998</v>
      </c>
      <c r="BD50" s="1819"/>
      <c r="BE50" s="352">
        <f t="shared" si="45"/>
        <v>252.54999999999998</v>
      </c>
      <c r="BF50" s="1137"/>
      <c r="BI50" s="25"/>
      <c r="BJ50" s="25"/>
    </row>
    <row r="51" spans="1:62" x14ac:dyDescent="0.25">
      <c r="B51" s="696" t="s">
        <v>640</v>
      </c>
      <c r="C51" s="194"/>
      <c r="D51" s="1271"/>
      <c r="E51" s="1271">
        <f>+SUM(E52:E56)</f>
        <v>49.57</v>
      </c>
      <c r="F51" s="1271">
        <f>+SUM(F52:F56)</f>
        <v>0</v>
      </c>
      <c r="G51" s="1271">
        <f>+SUM(G52:G56)</f>
        <v>21.57</v>
      </c>
      <c r="H51" s="1549">
        <f>+SUM(H52:H56)</f>
        <v>0</v>
      </c>
      <c r="I51" s="1549">
        <f t="shared" si="39"/>
        <v>71.14</v>
      </c>
      <c r="J51" s="1271"/>
      <c r="K51" s="1271">
        <f>+SUM(K52:K56)</f>
        <v>0</v>
      </c>
      <c r="L51" s="1271"/>
      <c r="M51" s="2231">
        <f t="shared" si="40"/>
        <v>71.14</v>
      </c>
      <c r="N51" s="1271"/>
      <c r="O51" s="1271">
        <f>+SUM(O52:O56)</f>
        <v>18.39</v>
      </c>
      <c r="P51" s="1271"/>
      <c r="Q51" s="1548">
        <f t="shared" si="8"/>
        <v>89.53</v>
      </c>
      <c r="R51" s="1271"/>
      <c r="S51" s="1271">
        <f>+SUM(S52:S56)</f>
        <v>138.43</v>
      </c>
      <c r="T51" s="1271"/>
      <c r="U51" s="1548">
        <f t="shared" si="9"/>
        <v>227.96</v>
      </c>
      <c r="V51" s="1271"/>
      <c r="W51" s="1271">
        <f>+SUM(W52:W56)</f>
        <v>381.20999999999992</v>
      </c>
      <c r="X51" s="1271"/>
      <c r="Y51" s="2231">
        <f t="shared" si="10"/>
        <v>538.03</v>
      </c>
      <c r="Z51" s="1271"/>
      <c r="AA51" s="492">
        <f t="shared" si="11"/>
        <v>609.16999999999996</v>
      </c>
      <c r="AB51" s="1271"/>
      <c r="AC51" s="1271">
        <f>+SUM(AC52:AC56)</f>
        <v>285</v>
      </c>
      <c r="AD51" s="1271"/>
      <c r="AE51" s="1271">
        <f t="shared" si="41"/>
        <v>894.17</v>
      </c>
      <c r="AF51" s="1271"/>
      <c r="AG51" s="1271">
        <f>+SUM(AG52:AG56)</f>
        <v>244.22</v>
      </c>
      <c r="AH51" s="1271"/>
      <c r="AI51" s="1271">
        <f t="shared" si="42"/>
        <v>1138.3899999999999</v>
      </c>
      <c r="AJ51" s="1271"/>
      <c r="AK51" s="1271">
        <f>+SUM(AK52:AK56)</f>
        <v>416.07000000000005</v>
      </c>
      <c r="AL51" s="1271"/>
      <c r="AM51" s="2231">
        <f t="shared" si="14"/>
        <v>945.29000000000008</v>
      </c>
      <c r="AN51" s="1271"/>
      <c r="AO51" s="1271">
        <f t="shared" si="15"/>
        <v>1554.46</v>
      </c>
      <c r="AP51" s="1271"/>
      <c r="AQ51" s="1271">
        <f>+SUM(AQ52:AQ56)</f>
        <v>630.79000000000008</v>
      </c>
      <c r="AR51" s="1271"/>
      <c r="AS51" s="1271">
        <f t="shared" si="43"/>
        <v>2185.25</v>
      </c>
      <c r="AT51" s="1271"/>
      <c r="AU51" s="1271">
        <f>+SUM(AU52:AU56)</f>
        <v>71.78</v>
      </c>
      <c r="AV51" s="1271"/>
      <c r="AW51" s="1271">
        <f t="shared" si="44"/>
        <v>2257.0300000000002</v>
      </c>
      <c r="AX51" s="1271"/>
      <c r="AY51" s="1271">
        <f>+SUM(AY52:AY56)</f>
        <v>630.38</v>
      </c>
      <c r="AZ51" s="1271"/>
      <c r="BA51" s="2231">
        <f t="shared" si="19"/>
        <v>1332.95</v>
      </c>
      <c r="BB51" s="1271"/>
      <c r="BC51" s="492">
        <f t="shared" si="20"/>
        <v>2278.2400000000002</v>
      </c>
      <c r="BD51" s="1271"/>
      <c r="BE51" s="1271">
        <f t="shared" si="45"/>
        <v>2887.4100000000003</v>
      </c>
      <c r="BF51" s="1137"/>
      <c r="BI51" s="25"/>
      <c r="BJ51" s="25"/>
    </row>
    <row r="52" spans="1:62" hidden="1" x14ac:dyDescent="0.25">
      <c r="B52" s="8" t="s">
        <v>1373</v>
      </c>
      <c r="C52" s="194" t="s">
        <v>352</v>
      </c>
      <c r="D52" s="1271"/>
      <c r="E52" s="1057"/>
      <c r="F52" s="1057"/>
      <c r="G52" s="1057">
        <v>21.57</v>
      </c>
      <c r="H52" s="1549"/>
      <c r="I52" s="1549">
        <f t="shared" si="39"/>
        <v>21.57</v>
      </c>
      <c r="J52" s="1057"/>
      <c r="K52" s="1057"/>
      <c r="L52" s="1271"/>
      <c r="M52" s="1070">
        <f t="shared" si="40"/>
        <v>21.57</v>
      </c>
      <c r="N52" s="1271"/>
      <c r="O52" s="1057">
        <v>18.39</v>
      </c>
      <c r="P52" s="1271"/>
      <c r="Q52" s="1548">
        <f t="shared" si="8"/>
        <v>39.96</v>
      </c>
      <c r="R52" s="1271"/>
      <c r="S52" s="1057"/>
      <c r="T52" s="1271"/>
      <c r="U52" s="1548">
        <f t="shared" si="9"/>
        <v>39.96</v>
      </c>
      <c r="V52" s="1271"/>
      <c r="W52" s="1057"/>
      <c r="X52" s="1271"/>
      <c r="Y52" s="1070">
        <f t="shared" si="10"/>
        <v>18.39</v>
      </c>
      <c r="Z52" s="1271"/>
      <c r="AA52" s="492">
        <f t="shared" si="11"/>
        <v>39.96</v>
      </c>
      <c r="AB52" s="1271"/>
      <c r="AC52" s="1057"/>
      <c r="AD52" s="1271"/>
      <c r="AE52" s="235">
        <f>AA52+AC52</f>
        <v>39.96</v>
      </c>
      <c r="AF52" s="1271"/>
      <c r="AG52" s="1057"/>
      <c r="AH52" s="1271"/>
      <c r="AI52" s="235">
        <f t="shared" si="42"/>
        <v>39.96</v>
      </c>
      <c r="AJ52" s="1271"/>
      <c r="AK52" s="1057"/>
      <c r="AL52" s="1271"/>
      <c r="AM52" s="1070">
        <f t="shared" si="14"/>
        <v>0</v>
      </c>
      <c r="AN52" s="1271"/>
      <c r="AO52" s="235">
        <f t="shared" si="15"/>
        <v>39.96</v>
      </c>
      <c r="AP52" s="1271"/>
      <c r="AQ52" s="1057"/>
      <c r="AR52" s="1271"/>
      <c r="AS52" s="235">
        <f t="shared" ref="AS52:AS56" si="54">AO52+AQ52</f>
        <v>39.96</v>
      </c>
      <c r="AT52" s="1271"/>
      <c r="AU52" s="1057"/>
      <c r="AV52" s="1271"/>
      <c r="AW52" s="235">
        <f t="shared" ref="AW52:AW56" si="55">AS52+AU52</f>
        <v>39.96</v>
      </c>
      <c r="AX52" s="1271"/>
      <c r="AY52" s="1057">
        <v>108.64</v>
      </c>
      <c r="AZ52" s="1271"/>
      <c r="BA52" s="1070">
        <f t="shared" si="19"/>
        <v>108.64</v>
      </c>
      <c r="BB52" s="1271"/>
      <c r="BC52" s="492">
        <f t="shared" si="20"/>
        <v>108.64</v>
      </c>
      <c r="BD52" s="1271"/>
      <c r="BE52" s="235">
        <f t="shared" ref="BE52:BE56" si="56">AW52+AY52</f>
        <v>148.6</v>
      </c>
      <c r="BF52" s="1137"/>
      <c r="BI52" s="25"/>
      <c r="BJ52" s="25"/>
    </row>
    <row r="53" spans="1:62" s="4487" customFormat="1" hidden="1" x14ac:dyDescent="0.25">
      <c r="B53" s="5170" t="s">
        <v>2224</v>
      </c>
      <c r="C53" s="6776"/>
      <c r="D53" s="6765"/>
      <c r="E53" s="6777"/>
      <c r="F53" s="6777"/>
      <c r="G53" s="6777"/>
      <c r="H53" s="6766"/>
      <c r="I53" s="6766"/>
      <c r="J53" s="6777"/>
      <c r="K53" s="6777"/>
      <c r="L53" s="6765"/>
      <c r="M53" s="6759"/>
      <c r="N53" s="6765"/>
      <c r="O53" s="6777"/>
      <c r="P53" s="6765"/>
      <c r="Q53" s="6760"/>
      <c r="R53" s="6765"/>
      <c r="S53" s="6777"/>
      <c r="T53" s="6765"/>
      <c r="U53" s="6760"/>
      <c r="V53" s="6765"/>
      <c r="W53" s="6777"/>
      <c r="X53" s="6765"/>
      <c r="Y53" s="6759"/>
      <c r="Z53" s="6765"/>
      <c r="AA53" s="6761"/>
      <c r="AB53" s="6765"/>
      <c r="AC53" s="6777"/>
      <c r="AD53" s="6765"/>
      <c r="AE53" s="6763"/>
      <c r="AF53" s="6765"/>
      <c r="AG53" s="6777"/>
      <c r="AH53" s="6765"/>
      <c r="AI53" s="6763"/>
      <c r="AJ53" s="6765"/>
      <c r="AK53" s="6777"/>
      <c r="AL53" s="6765"/>
      <c r="AM53" s="6759"/>
      <c r="AN53" s="6765"/>
      <c r="AO53" s="6763"/>
      <c r="AP53" s="6765"/>
      <c r="AQ53" s="6777">
        <v>19.84</v>
      </c>
      <c r="AR53" s="6765"/>
      <c r="AS53" s="235">
        <f t="shared" si="54"/>
        <v>19.84</v>
      </c>
      <c r="AT53" s="6765"/>
      <c r="AU53" s="6777"/>
      <c r="AV53" s="6765"/>
      <c r="AW53" s="235">
        <f t="shared" si="55"/>
        <v>19.84</v>
      </c>
      <c r="AX53" s="6765"/>
      <c r="AY53" s="6777"/>
      <c r="AZ53" s="6765"/>
      <c r="BA53" s="1070">
        <f t="shared" ref="BA53" si="57">+AQ53+AU53+AY53</f>
        <v>19.84</v>
      </c>
      <c r="BB53" s="1271"/>
      <c r="BC53" s="492">
        <f t="shared" ref="BC53" si="58">BA53+AM53</f>
        <v>19.84</v>
      </c>
      <c r="BD53" s="1271"/>
      <c r="BE53" s="235">
        <f t="shared" si="56"/>
        <v>19.84</v>
      </c>
      <c r="BF53" s="1137"/>
      <c r="BI53" s="25"/>
      <c r="BJ53" s="25"/>
    </row>
    <row r="54" spans="1:62" hidden="1" x14ac:dyDescent="0.25">
      <c r="B54" s="8" t="s">
        <v>1407</v>
      </c>
      <c r="C54" s="194" t="s">
        <v>352</v>
      </c>
      <c r="D54" s="1271"/>
      <c r="E54" s="1057"/>
      <c r="F54" s="1057"/>
      <c r="G54" s="1057"/>
      <c r="H54" s="1549"/>
      <c r="I54" s="1549">
        <f t="shared" si="39"/>
        <v>0</v>
      </c>
      <c r="J54" s="1057"/>
      <c r="K54" s="1057"/>
      <c r="L54" s="1271"/>
      <c r="M54" s="1070">
        <f t="shared" si="40"/>
        <v>0</v>
      </c>
      <c r="N54" s="1271"/>
      <c r="O54" s="1057"/>
      <c r="P54" s="1271"/>
      <c r="Q54" s="1548">
        <f t="shared" si="8"/>
        <v>0</v>
      </c>
      <c r="R54" s="1271"/>
      <c r="S54" s="1057"/>
      <c r="T54" s="1271"/>
      <c r="U54" s="1548">
        <f t="shared" si="9"/>
        <v>0</v>
      </c>
      <c r="V54" s="1271"/>
      <c r="W54" s="1057"/>
      <c r="X54" s="1271"/>
      <c r="Y54" s="1070">
        <f t="shared" si="10"/>
        <v>0</v>
      </c>
      <c r="Z54" s="1271"/>
      <c r="AA54" s="492">
        <f t="shared" si="11"/>
        <v>0</v>
      </c>
      <c r="AB54" s="1271"/>
      <c r="AC54" s="1057"/>
      <c r="AD54" s="1271"/>
      <c r="AE54" s="235">
        <f>AA54+AC54</f>
        <v>0</v>
      </c>
      <c r="AF54" s="1271"/>
      <c r="AG54" s="1057"/>
      <c r="AH54" s="1271"/>
      <c r="AI54" s="235">
        <f t="shared" si="42"/>
        <v>0</v>
      </c>
      <c r="AJ54" s="1271"/>
      <c r="AK54" s="1057"/>
      <c r="AL54" s="1271"/>
      <c r="AM54" s="1070">
        <f t="shared" si="14"/>
        <v>0</v>
      </c>
      <c r="AN54" s="1271"/>
      <c r="AO54" s="235">
        <f t="shared" si="15"/>
        <v>0</v>
      </c>
      <c r="AP54" s="1271"/>
      <c r="AQ54" s="1057"/>
      <c r="AR54" s="1271"/>
      <c r="AS54" s="235">
        <f t="shared" si="54"/>
        <v>0</v>
      </c>
      <c r="AT54" s="1271"/>
      <c r="AU54" s="1057">
        <v>42.510000000000005</v>
      </c>
      <c r="AV54" s="1271"/>
      <c r="AW54" s="235">
        <f t="shared" si="55"/>
        <v>42.510000000000005</v>
      </c>
      <c r="AX54" s="1271"/>
      <c r="AY54" s="1057">
        <v>22.6</v>
      </c>
      <c r="AZ54" s="1271"/>
      <c r="BA54" s="1070">
        <f t="shared" si="19"/>
        <v>65.110000000000014</v>
      </c>
      <c r="BB54" s="1271"/>
      <c r="BC54" s="492">
        <f t="shared" si="20"/>
        <v>65.110000000000014</v>
      </c>
      <c r="BD54" s="1271"/>
      <c r="BE54" s="235">
        <f t="shared" si="56"/>
        <v>65.110000000000014</v>
      </c>
      <c r="BF54" s="1137"/>
      <c r="BI54" s="25"/>
      <c r="BJ54" s="25"/>
    </row>
    <row r="55" spans="1:62" s="2095" customFormat="1" x14ac:dyDescent="0.25">
      <c r="B55" s="8" t="s">
        <v>2059</v>
      </c>
      <c r="C55" s="194" t="s">
        <v>352</v>
      </c>
      <c r="D55" s="1271"/>
      <c r="E55" s="1057">
        <v>49.57</v>
      </c>
      <c r="F55" s="1057"/>
      <c r="G55" s="1057"/>
      <c r="H55" s="1549"/>
      <c r="I55" s="1549">
        <f t="shared" ref="I55:I56" si="59">+E55+G55</f>
        <v>49.57</v>
      </c>
      <c r="J55" s="1057"/>
      <c r="K55" s="1057"/>
      <c r="L55" s="1271"/>
      <c r="M55" s="1070">
        <f t="shared" si="40"/>
        <v>49.57</v>
      </c>
      <c r="N55" s="1271"/>
      <c r="O55" s="1057"/>
      <c r="P55" s="1271"/>
      <c r="Q55" s="1548">
        <f t="shared" si="8"/>
        <v>49.57</v>
      </c>
      <c r="R55" s="1271"/>
      <c r="S55" s="1057"/>
      <c r="T55" s="1271"/>
      <c r="U55" s="1548">
        <f t="shared" si="9"/>
        <v>49.57</v>
      </c>
      <c r="V55" s="1271"/>
      <c r="W55" s="1057">
        <v>19.89</v>
      </c>
      <c r="X55" s="1271"/>
      <c r="Y55" s="1070">
        <f t="shared" si="10"/>
        <v>19.89</v>
      </c>
      <c r="Z55" s="1271"/>
      <c r="AA55" s="492">
        <f t="shared" si="11"/>
        <v>69.460000000000008</v>
      </c>
      <c r="AB55" s="1271"/>
      <c r="AC55" s="1057"/>
      <c r="AD55" s="1271"/>
      <c r="AE55" s="235">
        <f>AA55+AC55</f>
        <v>69.460000000000008</v>
      </c>
      <c r="AF55" s="1271"/>
      <c r="AG55" s="1057">
        <v>29.76</v>
      </c>
      <c r="AH55" s="1271"/>
      <c r="AI55" s="235">
        <f t="shared" si="42"/>
        <v>99.220000000000013</v>
      </c>
      <c r="AJ55" s="1271"/>
      <c r="AK55" s="1057">
        <v>29.6</v>
      </c>
      <c r="AL55" s="1271"/>
      <c r="AM55" s="1070">
        <f t="shared" si="14"/>
        <v>59.36</v>
      </c>
      <c r="AN55" s="1271"/>
      <c r="AO55" s="235">
        <f t="shared" si="15"/>
        <v>128.82000000000002</v>
      </c>
      <c r="AP55" s="1271"/>
      <c r="AQ55" s="1057"/>
      <c r="AR55" s="1271"/>
      <c r="AS55" s="235">
        <f t="shared" si="54"/>
        <v>128.82000000000002</v>
      </c>
      <c r="AT55" s="1271"/>
      <c r="AU55" s="1057">
        <v>29.27</v>
      </c>
      <c r="AV55" s="1271"/>
      <c r="AW55" s="235">
        <f t="shared" si="55"/>
        <v>158.09000000000003</v>
      </c>
      <c r="AX55" s="1271"/>
      <c r="AY55" s="1057"/>
      <c r="AZ55" s="1271"/>
      <c r="BA55" s="1070">
        <f t="shared" si="19"/>
        <v>29.27</v>
      </c>
      <c r="BB55" s="1271"/>
      <c r="BC55" s="492">
        <f t="shared" si="20"/>
        <v>88.63</v>
      </c>
      <c r="BD55" s="1271"/>
      <c r="BE55" s="235">
        <f t="shared" si="56"/>
        <v>158.09000000000003</v>
      </c>
      <c r="BF55" s="1137"/>
      <c r="BI55" s="25"/>
      <c r="BJ55" s="25"/>
    </row>
    <row r="56" spans="1:62" s="2095" customFormat="1" hidden="1" x14ac:dyDescent="0.25">
      <c r="B56" s="8" t="s">
        <v>1530</v>
      </c>
      <c r="C56" s="194" t="s">
        <v>352</v>
      </c>
      <c r="D56" s="1271"/>
      <c r="E56" s="1057"/>
      <c r="F56" s="1057"/>
      <c r="G56" s="1057"/>
      <c r="H56" s="1549"/>
      <c r="I56" s="1549">
        <f t="shared" si="59"/>
        <v>0</v>
      </c>
      <c r="J56" s="1057"/>
      <c r="K56" s="1057"/>
      <c r="L56" s="1271"/>
      <c r="M56" s="1070">
        <f t="shared" si="40"/>
        <v>0</v>
      </c>
      <c r="N56" s="1271"/>
      <c r="O56" s="1057"/>
      <c r="P56" s="1271"/>
      <c r="Q56" s="1548">
        <f t="shared" si="8"/>
        <v>0</v>
      </c>
      <c r="R56" s="1271"/>
      <c r="S56" s="1057">
        <v>138.43</v>
      </c>
      <c r="T56" s="1271"/>
      <c r="U56" s="1548">
        <f t="shared" si="9"/>
        <v>138.43</v>
      </c>
      <c r="V56" s="1271"/>
      <c r="W56" s="1057">
        <v>361.31999999999994</v>
      </c>
      <c r="X56" s="1271"/>
      <c r="Y56" s="1070">
        <f t="shared" si="10"/>
        <v>499.74999999999994</v>
      </c>
      <c r="Z56" s="1271"/>
      <c r="AA56" s="492">
        <f t="shared" si="11"/>
        <v>499.74999999999994</v>
      </c>
      <c r="AB56" s="1271"/>
      <c r="AC56" s="1057">
        <v>285</v>
      </c>
      <c r="AD56" s="1271"/>
      <c r="AE56" s="235">
        <f>AA56+AC56</f>
        <v>784.75</v>
      </c>
      <c r="AF56" s="1271"/>
      <c r="AG56" s="1057">
        <v>214.46</v>
      </c>
      <c r="AH56" s="1271"/>
      <c r="AI56" s="235">
        <f t="shared" si="42"/>
        <v>999.21</v>
      </c>
      <c r="AJ56" s="1271"/>
      <c r="AK56" s="1057">
        <v>386.47</v>
      </c>
      <c r="AL56" s="1271"/>
      <c r="AM56" s="1070">
        <f t="shared" si="14"/>
        <v>885.93000000000006</v>
      </c>
      <c r="AN56" s="1271"/>
      <c r="AO56" s="235">
        <f t="shared" si="15"/>
        <v>1385.68</v>
      </c>
      <c r="AP56" s="1271"/>
      <c r="AQ56" s="1057">
        <v>610.95000000000005</v>
      </c>
      <c r="AR56" s="1271"/>
      <c r="AS56" s="235">
        <f t="shared" si="54"/>
        <v>1996.63</v>
      </c>
      <c r="AT56" s="1271"/>
      <c r="AU56" s="1057"/>
      <c r="AV56" s="1271"/>
      <c r="AW56" s="235">
        <f t="shared" si="55"/>
        <v>1996.63</v>
      </c>
      <c r="AX56" s="1271"/>
      <c r="AY56" s="1057">
        <v>499.14</v>
      </c>
      <c r="AZ56" s="1271"/>
      <c r="BA56" s="1070">
        <f t="shared" si="19"/>
        <v>1110.0900000000001</v>
      </c>
      <c r="BB56" s="1271"/>
      <c r="BC56" s="492">
        <f t="shared" si="20"/>
        <v>1996.0200000000002</v>
      </c>
      <c r="BD56" s="1271"/>
      <c r="BE56" s="235">
        <f t="shared" si="56"/>
        <v>2495.77</v>
      </c>
      <c r="BF56" s="1137"/>
      <c r="BI56" s="25"/>
      <c r="BJ56" s="25"/>
    </row>
    <row r="57" spans="1:62" x14ac:dyDescent="0.25">
      <c r="B57" s="696" t="s">
        <v>661</v>
      </c>
      <c r="C57" s="194"/>
      <c r="D57" s="1271"/>
      <c r="E57" s="1271">
        <f>+SUM(E58:E96)</f>
        <v>1135.8800000000001</v>
      </c>
      <c r="F57" s="1271"/>
      <c r="G57" s="1271">
        <f>+SUM(G58:G96)</f>
        <v>5868.0199999999995</v>
      </c>
      <c r="H57" s="1549"/>
      <c r="I57" s="1549">
        <f t="shared" si="39"/>
        <v>7003.9</v>
      </c>
      <c r="J57" s="1271"/>
      <c r="K57" s="1271">
        <f>+SUM(K58:K96)</f>
        <v>5083.7900000000009</v>
      </c>
      <c r="L57" s="1271"/>
      <c r="M57" s="2231">
        <f t="shared" si="40"/>
        <v>12087.69</v>
      </c>
      <c r="N57" s="1271"/>
      <c r="O57" s="1271">
        <f>+SUM(O58:O96)</f>
        <v>4821.8800000000019</v>
      </c>
      <c r="P57" s="1271"/>
      <c r="Q57" s="1548">
        <f t="shared" si="8"/>
        <v>16909.570000000003</v>
      </c>
      <c r="R57" s="1271"/>
      <c r="S57" s="1271">
        <f>+SUM(S58:S96)</f>
        <v>2666.23</v>
      </c>
      <c r="T57" s="1271"/>
      <c r="U57" s="1548">
        <f t="shared" si="9"/>
        <v>19575.800000000003</v>
      </c>
      <c r="V57" s="1271"/>
      <c r="W57" s="1271">
        <f>+SUM(W58:W96)</f>
        <v>2568.4000000000005</v>
      </c>
      <c r="X57" s="1271"/>
      <c r="Y57" s="2231">
        <f t="shared" si="10"/>
        <v>10056.510000000002</v>
      </c>
      <c r="Z57" s="1271"/>
      <c r="AA57" s="492">
        <f t="shared" si="11"/>
        <v>22144.200000000004</v>
      </c>
      <c r="AB57" s="1271"/>
      <c r="AC57" s="1271">
        <f>+SUM(AC58:AC96)</f>
        <v>5110.1400000000003</v>
      </c>
      <c r="AD57" s="1271"/>
      <c r="AE57" s="1271">
        <f t="shared" ref="AE57:AE96" si="60">+AA57+AC57</f>
        <v>27254.340000000004</v>
      </c>
      <c r="AF57" s="1271"/>
      <c r="AG57" s="1271">
        <f>+SUM(AG58:AG96)</f>
        <v>8437.7000000000007</v>
      </c>
      <c r="AH57" s="1271"/>
      <c r="AI57" s="1271">
        <f t="shared" si="42"/>
        <v>35692.040000000008</v>
      </c>
      <c r="AJ57" s="1271"/>
      <c r="AK57" s="1271">
        <f>+SUM(AK58:AK96)</f>
        <v>4102.4399999999996</v>
      </c>
      <c r="AL57" s="1271"/>
      <c r="AM57" s="2231">
        <f t="shared" si="14"/>
        <v>17650.28</v>
      </c>
      <c r="AN57" s="1271"/>
      <c r="AO57" s="1271">
        <f t="shared" si="15"/>
        <v>39794.48000000001</v>
      </c>
      <c r="AP57" s="1271"/>
      <c r="AQ57" s="1271">
        <f>+SUM(AQ58:AQ96)</f>
        <v>2464.0500000000002</v>
      </c>
      <c r="AR57" s="1271"/>
      <c r="AS57" s="1271">
        <f t="shared" ref="AS57:AS93" si="61">+AO57+AQ57</f>
        <v>42258.530000000013</v>
      </c>
      <c r="AT57" s="1271"/>
      <c r="AU57" s="1271">
        <f>+SUM(AU58:AU96)</f>
        <v>1348.69</v>
      </c>
      <c r="AV57" s="1271"/>
      <c r="AW57" s="1271">
        <f t="shared" ref="AW57:AW100" si="62">+AS57+AU57</f>
        <v>43607.220000000016</v>
      </c>
      <c r="AX57" s="1271"/>
      <c r="AY57" s="1271">
        <f>+SUM(AY58:AY96)</f>
        <v>1644.88</v>
      </c>
      <c r="AZ57" s="1271"/>
      <c r="BA57" s="2231">
        <f t="shared" si="19"/>
        <v>5457.6200000000008</v>
      </c>
      <c r="BB57" s="1271"/>
      <c r="BC57" s="492">
        <f t="shared" si="20"/>
        <v>23107.9</v>
      </c>
      <c r="BD57" s="1271"/>
      <c r="BE57" s="1271">
        <f t="shared" ref="BE57:BE68" si="63">+AW57+AY57</f>
        <v>45252.100000000013</v>
      </c>
      <c r="BF57" s="1137"/>
      <c r="BI57" s="25"/>
      <c r="BJ57" s="25"/>
    </row>
    <row r="58" spans="1:62" x14ac:dyDescent="0.25">
      <c r="B58" s="8" t="s">
        <v>639</v>
      </c>
      <c r="C58" s="148" t="s">
        <v>352</v>
      </c>
      <c r="D58" s="328"/>
      <c r="E58" s="328">
        <v>469.06</v>
      </c>
      <c r="F58" s="328"/>
      <c r="G58" s="328">
        <v>546.28</v>
      </c>
      <c r="H58" s="1551"/>
      <c r="I58" s="1551">
        <f t="shared" si="39"/>
        <v>1015.3399999999999</v>
      </c>
      <c r="J58" s="328"/>
      <c r="K58" s="328">
        <v>401.94</v>
      </c>
      <c r="L58" s="2232"/>
      <c r="M58" s="1070">
        <f t="shared" si="40"/>
        <v>1417.28</v>
      </c>
      <c r="N58" s="328"/>
      <c r="O58" s="343">
        <v>276.52999999999997</v>
      </c>
      <c r="P58" s="328"/>
      <c r="Q58" s="1548">
        <f t="shared" si="8"/>
        <v>1693.81</v>
      </c>
      <c r="R58" s="328"/>
      <c r="S58" s="328">
        <v>258.63</v>
      </c>
      <c r="T58" s="328"/>
      <c r="U58" s="1548">
        <f t="shared" si="9"/>
        <v>1952.44</v>
      </c>
      <c r="V58" s="328"/>
      <c r="W58" s="328">
        <v>251.28999999999996</v>
      </c>
      <c r="X58" s="2232"/>
      <c r="Y58" s="1070">
        <f t="shared" si="10"/>
        <v>786.44999999999993</v>
      </c>
      <c r="Z58" s="328"/>
      <c r="AA58" s="2843">
        <f t="shared" si="11"/>
        <v>2203.73</v>
      </c>
      <c r="AB58" s="328"/>
      <c r="AC58" s="328">
        <v>383.17</v>
      </c>
      <c r="AD58" s="328"/>
      <c r="AE58" s="1599">
        <f t="shared" si="60"/>
        <v>2586.9</v>
      </c>
      <c r="AF58" s="328"/>
      <c r="AG58" s="328">
        <v>469.26</v>
      </c>
      <c r="AH58" s="328"/>
      <c r="AI58" s="1599">
        <f t="shared" si="42"/>
        <v>3056.16</v>
      </c>
      <c r="AJ58" s="328"/>
      <c r="AK58" s="328">
        <v>623.94000000000005</v>
      </c>
      <c r="AL58" s="328"/>
      <c r="AM58" s="1070">
        <f t="shared" si="14"/>
        <v>1476.3700000000001</v>
      </c>
      <c r="AN58" s="328"/>
      <c r="AO58" s="1599">
        <f t="shared" si="15"/>
        <v>3680.1</v>
      </c>
      <c r="AP58" s="328"/>
      <c r="AQ58" s="328">
        <v>413.71</v>
      </c>
      <c r="AR58" s="328"/>
      <c r="AS58" s="1599">
        <f t="shared" si="61"/>
        <v>4093.81</v>
      </c>
      <c r="AT58" s="328"/>
      <c r="AU58" s="328">
        <v>580.66000000000008</v>
      </c>
      <c r="AV58" s="328"/>
      <c r="AW58" s="1599">
        <f t="shared" si="62"/>
        <v>4674.47</v>
      </c>
      <c r="AX58" s="328"/>
      <c r="AY58" s="328">
        <v>380.54000000000008</v>
      </c>
      <c r="AZ58" s="328"/>
      <c r="BA58" s="1070">
        <f t="shared" si="19"/>
        <v>1374.9100000000003</v>
      </c>
      <c r="BB58" s="328"/>
      <c r="BC58" s="2843">
        <f t="shared" si="20"/>
        <v>2851.2800000000007</v>
      </c>
      <c r="BD58" s="328"/>
      <c r="BE58" s="2765">
        <f t="shared" si="63"/>
        <v>5055.01</v>
      </c>
      <c r="BF58" s="1137"/>
      <c r="BI58" s="25"/>
      <c r="BJ58" s="25"/>
    </row>
    <row r="59" spans="1:62" ht="15.6" customHeight="1" x14ac:dyDescent="0.25">
      <c r="B59" s="8" t="s">
        <v>1967</v>
      </c>
      <c r="C59" s="148" t="s">
        <v>352</v>
      </c>
      <c r="D59" s="1819"/>
      <c r="E59" s="1819">
        <v>100</v>
      </c>
      <c r="F59" s="1120"/>
      <c r="G59" s="1819">
        <v>400</v>
      </c>
      <c r="H59" s="1548"/>
      <c r="I59" s="1551">
        <f t="shared" si="39"/>
        <v>500</v>
      </c>
      <c r="J59" s="1120"/>
      <c r="K59" s="1819"/>
      <c r="L59" s="189"/>
      <c r="M59" s="1070">
        <f t="shared" si="40"/>
        <v>500</v>
      </c>
      <c r="N59" s="1120"/>
      <c r="O59" s="1819">
        <v>650</v>
      </c>
      <c r="P59" s="1120"/>
      <c r="Q59" s="1548">
        <f t="shared" si="8"/>
        <v>1150</v>
      </c>
      <c r="R59" s="1120"/>
      <c r="S59" s="1819"/>
      <c r="T59" s="1120"/>
      <c r="U59" s="1548">
        <f t="shared" si="9"/>
        <v>1150</v>
      </c>
      <c r="V59" s="1120"/>
      <c r="W59" s="1819"/>
      <c r="X59" s="189"/>
      <c r="Y59" s="1070">
        <f t="shared" si="10"/>
        <v>650</v>
      </c>
      <c r="Z59" s="1819"/>
      <c r="AA59" s="513">
        <f t="shared" si="11"/>
        <v>1150</v>
      </c>
      <c r="AB59" s="1819"/>
      <c r="AC59" s="1819"/>
      <c r="AD59" s="1819"/>
      <c r="AE59" s="1599">
        <f t="shared" si="60"/>
        <v>1150</v>
      </c>
      <c r="AF59" s="1819"/>
      <c r="AG59" s="1819"/>
      <c r="AH59" s="1819"/>
      <c r="AI59" s="2236">
        <f t="shared" si="42"/>
        <v>1150</v>
      </c>
      <c r="AJ59" s="1819"/>
      <c r="AK59" s="1819"/>
      <c r="AL59" s="1819"/>
      <c r="AM59" s="1070">
        <f t="shared" si="14"/>
        <v>0</v>
      </c>
      <c r="AN59" s="1819"/>
      <c r="AO59" s="1599">
        <f t="shared" si="15"/>
        <v>1150</v>
      </c>
      <c r="AP59" s="1819"/>
      <c r="AQ59" s="1819"/>
      <c r="AR59" s="1819"/>
      <c r="AS59" s="1599">
        <f t="shared" si="61"/>
        <v>1150</v>
      </c>
      <c r="AT59" s="1819"/>
      <c r="AU59" s="1819"/>
      <c r="AV59" s="1819"/>
      <c r="AW59" s="1599">
        <f t="shared" si="62"/>
        <v>1150</v>
      </c>
      <c r="AX59" s="1819"/>
      <c r="AY59" s="1819"/>
      <c r="AZ59" s="1819"/>
      <c r="BA59" s="1070">
        <f t="shared" si="19"/>
        <v>0</v>
      </c>
      <c r="BB59" s="1819"/>
      <c r="BC59" s="513">
        <f t="shared" si="20"/>
        <v>0</v>
      </c>
      <c r="BD59" s="1819"/>
      <c r="BE59" s="352">
        <f t="shared" si="63"/>
        <v>1150</v>
      </c>
      <c r="BF59" s="1137"/>
      <c r="BI59" s="25"/>
      <c r="BJ59" s="25"/>
    </row>
    <row r="60" spans="1:62" ht="15.6" hidden="1" customHeight="1" x14ac:dyDescent="0.25">
      <c r="B60" s="8" t="s">
        <v>1326</v>
      </c>
      <c r="C60" s="148" t="s">
        <v>352</v>
      </c>
      <c r="D60" s="1819"/>
      <c r="E60" s="1819"/>
      <c r="F60" s="1120"/>
      <c r="G60" s="1819">
        <v>500</v>
      </c>
      <c r="H60" s="1548"/>
      <c r="I60" s="1551">
        <f t="shared" si="39"/>
        <v>500</v>
      </c>
      <c r="J60" s="1120"/>
      <c r="K60" s="1819"/>
      <c r="L60" s="189"/>
      <c r="M60" s="1070">
        <f t="shared" si="40"/>
        <v>500</v>
      </c>
      <c r="N60" s="1120"/>
      <c r="O60" s="1819"/>
      <c r="P60" s="1120"/>
      <c r="Q60" s="1548">
        <f t="shared" si="8"/>
        <v>500</v>
      </c>
      <c r="R60" s="1120"/>
      <c r="S60" s="1819">
        <v>500</v>
      </c>
      <c r="T60" s="1120"/>
      <c r="U60" s="1548">
        <f t="shared" si="9"/>
        <v>1000</v>
      </c>
      <c r="V60" s="1120"/>
      <c r="W60" s="1819"/>
      <c r="X60" s="189"/>
      <c r="Y60" s="1070">
        <f t="shared" si="10"/>
        <v>500</v>
      </c>
      <c r="Z60" s="1819"/>
      <c r="AA60" s="513">
        <f t="shared" si="11"/>
        <v>1000</v>
      </c>
      <c r="AB60" s="1819"/>
      <c r="AC60" s="1819"/>
      <c r="AD60" s="1819"/>
      <c r="AE60" s="1599">
        <f t="shared" si="60"/>
        <v>1000</v>
      </c>
      <c r="AF60" s="1819"/>
      <c r="AG60" s="1819">
        <v>945</v>
      </c>
      <c r="AH60" s="1819"/>
      <c r="AI60" s="4625">
        <f t="shared" si="42"/>
        <v>1945</v>
      </c>
      <c r="AJ60" s="1819"/>
      <c r="AK60" s="1819">
        <v>240</v>
      </c>
      <c r="AL60" s="1819"/>
      <c r="AM60" s="1070">
        <f t="shared" si="14"/>
        <v>1185</v>
      </c>
      <c r="AN60" s="1819"/>
      <c r="AO60" s="1599">
        <f t="shared" si="15"/>
        <v>2185</v>
      </c>
      <c r="AP60" s="1819"/>
      <c r="AQ60" s="1819">
        <v>260</v>
      </c>
      <c r="AR60" s="1819"/>
      <c r="AS60" s="1599">
        <f t="shared" si="61"/>
        <v>2445</v>
      </c>
      <c r="AT60" s="1819"/>
      <c r="AU60" s="1819"/>
      <c r="AV60" s="1819"/>
      <c r="AW60" s="1599">
        <f t="shared" si="62"/>
        <v>2445</v>
      </c>
      <c r="AX60" s="1819"/>
      <c r="AY60" s="1819">
        <v>624</v>
      </c>
      <c r="AZ60" s="1819"/>
      <c r="BA60" s="1070">
        <f t="shared" si="19"/>
        <v>884</v>
      </c>
      <c r="BB60" s="1819"/>
      <c r="BC60" s="513">
        <f t="shared" si="20"/>
        <v>2069</v>
      </c>
      <c r="BD60" s="1819"/>
      <c r="BE60" s="352">
        <f t="shared" si="63"/>
        <v>3069</v>
      </c>
      <c r="BF60" s="1137"/>
      <c r="BI60" s="25"/>
      <c r="BJ60" s="25"/>
    </row>
    <row r="61" spans="1:62" ht="15.6" customHeight="1" x14ac:dyDescent="0.25">
      <c r="B61" s="8" t="s">
        <v>1325</v>
      </c>
      <c r="C61" s="148" t="s">
        <v>352</v>
      </c>
      <c r="D61" s="1819"/>
      <c r="E61" s="1819">
        <v>49.8</v>
      </c>
      <c r="F61" s="1120"/>
      <c r="G61" s="1819">
        <v>41.86</v>
      </c>
      <c r="H61" s="1548"/>
      <c r="I61" s="1551">
        <f t="shared" si="39"/>
        <v>91.66</v>
      </c>
      <c r="J61" s="1120"/>
      <c r="K61" s="1819">
        <v>84.42</v>
      </c>
      <c r="L61" s="189"/>
      <c r="M61" s="1070">
        <f t="shared" si="40"/>
        <v>176.07999999999998</v>
      </c>
      <c r="N61" s="1120"/>
      <c r="O61" s="1819">
        <v>15.57</v>
      </c>
      <c r="P61" s="1120"/>
      <c r="Q61" s="1548">
        <f t="shared" si="8"/>
        <v>191.64999999999998</v>
      </c>
      <c r="R61" s="1120"/>
      <c r="S61" s="1819"/>
      <c r="T61" s="1120"/>
      <c r="U61" s="1548">
        <f t="shared" si="9"/>
        <v>191.64999999999998</v>
      </c>
      <c r="V61" s="1120"/>
      <c r="W61" s="1819">
        <v>49.900000000000006</v>
      </c>
      <c r="X61" s="189"/>
      <c r="Y61" s="1070">
        <f t="shared" si="10"/>
        <v>65.47</v>
      </c>
      <c r="Z61" s="1819"/>
      <c r="AA61" s="513">
        <f t="shared" si="11"/>
        <v>241.54999999999998</v>
      </c>
      <c r="AB61" s="1819"/>
      <c r="AC61" s="1819"/>
      <c r="AD61" s="1819"/>
      <c r="AE61" s="1599">
        <f t="shared" si="60"/>
        <v>241.54999999999998</v>
      </c>
      <c r="AF61" s="1819"/>
      <c r="AG61" s="1819"/>
      <c r="AH61" s="1819"/>
      <c r="AI61" s="4625">
        <f t="shared" si="42"/>
        <v>241.54999999999998</v>
      </c>
      <c r="AJ61" s="1819"/>
      <c r="AK61" s="1819"/>
      <c r="AL61" s="1819"/>
      <c r="AM61" s="1070">
        <f t="shared" si="14"/>
        <v>0</v>
      </c>
      <c r="AN61" s="1819"/>
      <c r="AO61" s="1599">
        <f t="shared" si="15"/>
        <v>241.54999999999998</v>
      </c>
      <c r="AP61" s="1819"/>
      <c r="AQ61" s="1819">
        <v>99.929999999999993</v>
      </c>
      <c r="AR61" s="1819"/>
      <c r="AS61" s="1599">
        <f t="shared" si="61"/>
        <v>341.47999999999996</v>
      </c>
      <c r="AT61" s="1819"/>
      <c r="AU61" s="1819">
        <v>27.51</v>
      </c>
      <c r="AV61" s="1819"/>
      <c r="AW61" s="1599">
        <f t="shared" si="62"/>
        <v>368.98999999999995</v>
      </c>
      <c r="AX61" s="1819"/>
      <c r="AY61" s="1819">
        <v>22.46</v>
      </c>
      <c r="AZ61" s="1819"/>
      <c r="BA61" s="1070">
        <f t="shared" si="19"/>
        <v>149.9</v>
      </c>
      <c r="BB61" s="1819"/>
      <c r="BC61" s="513">
        <f t="shared" si="20"/>
        <v>149.9</v>
      </c>
      <c r="BD61" s="1819"/>
      <c r="BE61" s="352">
        <f t="shared" si="63"/>
        <v>391.44999999999993</v>
      </c>
      <c r="BF61" s="1137"/>
      <c r="BI61" s="25"/>
      <c r="BJ61" s="25"/>
    </row>
    <row r="62" spans="1:62" s="4233" customFormat="1" ht="15.6" customHeight="1" x14ac:dyDescent="0.25">
      <c r="B62" s="8" t="s">
        <v>1787</v>
      </c>
      <c r="C62" s="4388"/>
      <c r="D62" s="7604"/>
      <c r="E62" s="7604">
        <v>171</v>
      </c>
      <c r="F62" s="4381"/>
      <c r="G62" s="5561"/>
      <c r="H62" s="3583"/>
      <c r="I62" s="1551">
        <f t="shared" si="39"/>
        <v>171</v>
      </c>
      <c r="J62" s="4381"/>
      <c r="K62" s="5695"/>
      <c r="L62" s="2894"/>
      <c r="M62" s="1070">
        <f t="shared" si="40"/>
        <v>171</v>
      </c>
      <c r="N62" s="4381"/>
      <c r="O62" s="7227">
        <v>16</v>
      </c>
      <c r="P62" s="4381"/>
      <c r="Q62" s="1548">
        <f t="shared" ref="Q62:Q129" si="64">+M62+O62</f>
        <v>187</v>
      </c>
      <c r="R62" s="4381"/>
      <c r="S62" s="5902"/>
      <c r="T62" s="4381"/>
      <c r="U62" s="1548">
        <f t="shared" ref="U62:U113" si="65">+Q62+S62</f>
        <v>187</v>
      </c>
      <c r="V62" s="4381"/>
      <c r="W62" s="6021"/>
      <c r="X62" s="2894"/>
      <c r="Y62" s="1070">
        <f t="shared" si="10"/>
        <v>16</v>
      </c>
      <c r="Z62" s="4381"/>
      <c r="AA62" s="513">
        <f t="shared" si="11"/>
        <v>187</v>
      </c>
      <c r="AB62" s="4381"/>
      <c r="AC62" s="6126">
        <v>95</v>
      </c>
      <c r="AD62" s="4381"/>
      <c r="AE62" s="1599">
        <f t="shared" si="60"/>
        <v>282</v>
      </c>
      <c r="AF62" s="4381"/>
      <c r="AG62" s="6318"/>
      <c r="AH62" s="4381"/>
      <c r="AI62" s="4625">
        <f t="shared" si="42"/>
        <v>282</v>
      </c>
      <c r="AJ62" s="4381"/>
      <c r="AK62" s="6557"/>
      <c r="AL62" s="4381"/>
      <c r="AM62" s="1070">
        <f t="shared" si="14"/>
        <v>95</v>
      </c>
      <c r="AN62" s="4381"/>
      <c r="AO62" s="1599">
        <f t="shared" si="15"/>
        <v>282</v>
      </c>
      <c r="AP62" s="6657"/>
      <c r="AQ62" s="6657"/>
      <c r="AR62" s="4381"/>
      <c r="AS62" s="1599">
        <f t="shared" si="61"/>
        <v>282</v>
      </c>
      <c r="AT62" s="4381"/>
      <c r="AU62" s="6808">
        <v>1</v>
      </c>
      <c r="AV62" s="4381"/>
      <c r="AW62" s="1599">
        <f t="shared" si="62"/>
        <v>283</v>
      </c>
      <c r="AX62" s="6966"/>
      <c r="AY62" s="6966">
        <v>16</v>
      </c>
      <c r="AZ62" s="4381"/>
      <c r="BA62" s="1070">
        <f t="shared" ref="BA62:BA64" si="66">+AQ62+AU62+AY62</f>
        <v>17</v>
      </c>
      <c r="BB62" s="1819"/>
      <c r="BC62" s="513">
        <f t="shared" ref="BC62:BC64" si="67">BA62+AM62</f>
        <v>112</v>
      </c>
      <c r="BD62" s="4381"/>
      <c r="BE62" s="5102">
        <f t="shared" si="63"/>
        <v>299</v>
      </c>
      <c r="BF62" s="1137"/>
      <c r="BI62" s="25"/>
      <c r="BJ62" s="25"/>
    </row>
    <row r="63" spans="1:62" s="4233" customFormat="1" ht="15.6" hidden="1" customHeight="1" x14ac:dyDescent="0.25">
      <c r="B63" s="8" t="s">
        <v>1814</v>
      </c>
      <c r="C63" s="4388" t="s">
        <v>352</v>
      </c>
      <c r="D63" s="7604"/>
      <c r="E63" s="7604"/>
      <c r="F63" s="4381"/>
      <c r="G63" s="5561"/>
      <c r="H63" s="3583"/>
      <c r="I63" s="1551">
        <f t="shared" si="39"/>
        <v>0</v>
      </c>
      <c r="J63" s="4381"/>
      <c r="K63" s="5695"/>
      <c r="L63" s="2894"/>
      <c r="M63" s="1070">
        <f t="shared" si="40"/>
        <v>0</v>
      </c>
      <c r="N63" s="4381"/>
      <c r="O63" s="7227">
        <v>7</v>
      </c>
      <c r="P63" s="4381"/>
      <c r="Q63" s="1548">
        <f t="shared" si="64"/>
        <v>7</v>
      </c>
      <c r="R63" s="4381"/>
      <c r="S63" s="5902"/>
      <c r="T63" s="4381"/>
      <c r="U63" s="1548">
        <f t="shared" si="65"/>
        <v>7</v>
      </c>
      <c r="V63" s="4381"/>
      <c r="W63" s="6021"/>
      <c r="X63" s="2894"/>
      <c r="Y63" s="1070">
        <f t="shared" si="10"/>
        <v>7</v>
      </c>
      <c r="Z63" s="4381"/>
      <c r="AA63" s="513">
        <f t="shared" si="11"/>
        <v>7</v>
      </c>
      <c r="AB63" s="4381"/>
      <c r="AC63" s="6126">
        <v>3</v>
      </c>
      <c r="AD63" s="4381"/>
      <c r="AE63" s="1599">
        <f t="shared" si="60"/>
        <v>10</v>
      </c>
      <c r="AF63" s="4381"/>
      <c r="AG63" s="6318"/>
      <c r="AH63" s="4381"/>
      <c r="AI63" s="4625">
        <f t="shared" si="42"/>
        <v>10</v>
      </c>
      <c r="AJ63" s="4381"/>
      <c r="AK63" s="6585">
        <v>15</v>
      </c>
      <c r="AL63" s="4381"/>
      <c r="AM63" s="1070">
        <f t="shared" si="14"/>
        <v>18</v>
      </c>
      <c r="AN63" s="4381"/>
      <c r="AO63" s="1599">
        <f t="shared" si="15"/>
        <v>25</v>
      </c>
      <c r="AP63" s="6657"/>
      <c r="AQ63" s="6657"/>
      <c r="AR63" s="4381"/>
      <c r="AS63" s="1599">
        <f t="shared" si="61"/>
        <v>25</v>
      </c>
      <c r="AT63" s="4381"/>
      <c r="AU63" s="6808"/>
      <c r="AV63" s="4381"/>
      <c r="AW63" s="1599">
        <f t="shared" si="62"/>
        <v>25</v>
      </c>
      <c r="AX63" s="6966"/>
      <c r="AY63" s="6966"/>
      <c r="AZ63" s="4381"/>
      <c r="BA63" s="1070">
        <f t="shared" si="66"/>
        <v>0</v>
      </c>
      <c r="BB63" s="1819"/>
      <c r="BC63" s="513">
        <f t="shared" si="67"/>
        <v>18</v>
      </c>
      <c r="BD63" s="4381"/>
      <c r="BE63" s="5102">
        <f t="shared" si="63"/>
        <v>25</v>
      </c>
      <c r="BF63" s="1137"/>
      <c r="BI63" s="25"/>
      <c r="BJ63" s="25"/>
    </row>
    <row r="64" spans="1:62" s="2493" customFormat="1" ht="15.6" customHeight="1" x14ac:dyDescent="0.25">
      <c r="B64" s="3550" t="s">
        <v>1714</v>
      </c>
      <c r="C64" s="148" t="s">
        <v>352</v>
      </c>
      <c r="D64" s="1819"/>
      <c r="E64" s="1819">
        <v>119</v>
      </c>
      <c r="F64" s="1819"/>
      <c r="G64" s="1819"/>
      <c r="H64" s="1548"/>
      <c r="I64" s="1551">
        <f t="shared" si="39"/>
        <v>119</v>
      </c>
      <c r="J64" s="1819"/>
      <c r="K64" s="1819"/>
      <c r="L64" s="189"/>
      <c r="M64" s="1070">
        <f t="shared" si="40"/>
        <v>119</v>
      </c>
      <c r="N64" s="1819"/>
      <c r="O64" s="1819">
        <v>206</v>
      </c>
      <c r="P64" s="1819"/>
      <c r="Q64" s="1548">
        <f t="shared" si="64"/>
        <v>325</v>
      </c>
      <c r="R64" s="1819"/>
      <c r="S64" s="1819">
        <v>23</v>
      </c>
      <c r="T64" s="1819"/>
      <c r="U64" s="1548">
        <f t="shared" si="65"/>
        <v>348</v>
      </c>
      <c r="V64" s="1819"/>
      <c r="W64" s="1819"/>
      <c r="X64" s="189"/>
      <c r="Y64" s="1070">
        <f t="shared" si="10"/>
        <v>229</v>
      </c>
      <c r="Z64" s="1819"/>
      <c r="AA64" s="513">
        <f t="shared" si="11"/>
        <v>348</v>
      </c>
      <c r="AB64" s="1819"/>
      <c r="AC64" s="1819"/>
      <c r="AD64" s="1819"/>
      <c r="AE64" s="1599">
        <f t="shared" si="60"/>
        <v>348</v>
      </c>
      <c r="AF64" s="1819"/>
      <c r="AG64" s="1819"/>
      <c r="AH64" s="1819"/>
      <c r="AI64" s="4625">
        <f t="shared" si="42"/>
        <v>348</v>
      </c>
      <c r="AJ64" s="1819"/>
      <c r="AK64" s="1819"/>
      <c r="AL64" s="1819"/>
      <c r="AM64" s="1070">
        <f t="shared" si="14"/>
        <v>0</v>
      </c>
      <c r="AN64" s="1819"/>
      <c r="AO64" s="1599">
        <f t="shared" si="15"/>
        <v>348</v>
      </c>
      <c r="AP64" s="1819"/>
      <c r="AQ64" s="1819"/>
      <c r="AR64" s="1819"/>
      <c r="AS64" s="1599">
        <f t="shared" si="61"/>
        <v>348</v>
      </c>
      <c r="AT64" s="1819"/>
      <c r="AU64" s="1819"/>
      <c r="AV64" s="1819"/>
      <c r="AW64" s="1599">
        <f t="shared" si="62"/>
        <v>348</v>
      </c>
      <c r="AX64" s="1819"/>
      <c r="AY64" s="1819">
        <v>159</v>
      </c>
      <c r="AZ64" s="1819"/>
      <c r="BA64" s="1070">
        <f t="shared" si="66"/>
        <v>159</v>
      </c>
      <c r="BB64" s="1819"/>
      <c r="BC64" s="513">
        <f t="shared" si="67"/>
        <v>159</v>
      </c>
      <c r="BD64" s="1819"/>
      <c r="BE64" s="352">
        <f t="shared" si="63"/>
        <v>507</v>
      </c>
      <c r="BF64" s="1137"/>
      <c r="BI64" s="25"/>
      <c r="BJ64" s="25"/>
    </row>
    <row r="65" spans="2:62" s="2564" customFormat="1" ht="15.6" hidden="1" customHeight="1" x14ac:dyDescent="0.25">
      <c r="B65" s="8" t="s">
        <v>1843</v>
      </c>
      <c r="C65" s="4158" t="s">
        <v>352</v>
      </c>
      <c r="D65" s="1819"/>
      <c r="E65" s="1819"/>
      <c r="F65" s="1819"/>
      <c r="G65" s="1819">
        <v>23.98</v>
      </c>
      <c r="H65" s="1548"/>
      <c r="I65" s="1551">
        <f t="shared" si="39"/>
        <v>23.98</v>
      </c>
      <c r="J65" s="1819"/>
      <c r="K65" s="1819">
        <v>28.62</v>
      </c>
      <c r="L65" s="189"/>
      <c r="M65" s="1070">
        <f t="shared" si="40"/>
        <v>52.6</v>
      </c>
      <c r="N65" s="1819"/>
      <c r="O65" s="1819">
        <v>66.609999999999985</v>
      </c>
      <c r="P65" s="1819"/>
      <c r="Q65" s="1548">
        <f t="shared" si="64"/>
        <v>119.20999999999998</v>
      </c>
      <c r="R65" s="1819"/>
      <c r="S65" s="1819">
        <v>39.630000000000003</v>
      </c>
      <c r="T65" s="1819"/>
      <c r="U65" s="1548">
        <f t="shared" si="65"/>
        <v>158.83999999999997</v>
      </c>
      <c r="V65" s="1819"/>
      <c r="W65" s="1819">
        <v>20.159999999999997</v>
      </c>
      <c r="X65" s="189"/>
      <c r="Y65" s="1070">
        <f t="shared" ref="Y65" si="68">+O65+S65+W65</f>
        <v>126.39999999999998</v>
      </c>
      <c r="Z65" s="1819"/>
      <c r="AA65" s="513">
        <f t="shared" ref="AA65:AA136" si="69">M65+Y65</f>
        <v>178.99999999999997</v>
      </c>
      <c r="AB65" s="1819"/>
      <c r="AC65" s="1819">
        <v>7.07</v>
      </c>
      <c r="AD65" s="1819"/>
      <c r="AE65" s="1599">
        <f t="shared" si="60"/>
        <v>186.06999999999996</v>
      </c>
      <c r="AF65" s="1819"/>
      <c r="AG65" s="1819">
        <v>14.83</v>
      </c>
      <c r="AH65" s="1819"/>
      <c r="AI65" s="4625">
        <f t="shared" si="42"/>
        <v>200.89999999999998</v>
      </c>
      <c r="AJ65" s="1819"/>
      <c r="AK65" s="1819">
        <v>34.61</v>
      </c>
      <c r="AL65" s="1819"/>
      <c r="AM65" s="1070">
        <f t="shared" ref="AM65:AM70" si="70">+AC65+AG65+AK65</f>
        <v>56.51</v>
      </c>
      <c r="AN65" s="1819"/>
      <c r="AO65" s="1599">
        <f t="shared" si="15"/>
        <v>235.51</v>
      </c>
      <c r="AP65" s="1819"/>
      <c r="AQ65" s="1819">
        <v>26.040000000000003</v>
      </c>
      <c r="AR65" s="1819"/>
      <c r="AS65" s="1599">
        <f t="shared" si="61"/>
        <v>261.55</v>
      </c>
      <c r="AT65" s="1819"/>
      <c r="AU65" s="1819">
        <v>11.51</v>
      </c>
      <c r="AV65" s="1819"/>
      <c r="AW65" s="1599">
        <f t="shared" si="62"/>
        <v>273.06</v>
      </c>
      <c r="AX65" s="1819"/>
      <c r="AY65" s="1819">
        <v>9.16</v>
      </c>
      <c r="AZ65" s="1819"/>
      <c r="BA65" s="1070">
        <f t="shared" ref="BA65:BA136" si="71">+AQ65+AU65+AY65</f>
        <v>46.710000000000008</v>
      </c>
      <c r="BB65" s="1819"/>
      <c r="BC65" s="513">
        <f t="shared" si="20"/>
        <v>103.22</v>
      </c>
      <c r="BD65" s="1819"/>
      <c r="BE65" s="352">
        <f t="shared" si="63"/>
        <v>282.22000000000003</v>
      </c>
      <c r="BF65" s="1137"/>
      <c r="BI65" s="25"/>
      <c r="BJ65" s="25"/>
    </row>
    <row r="66" spans="2:62" s="2448" customFormat="1" ht="15.6" hidden="1" customHeight="1" x14ac:dyDescent="0.25">
      <c r="B66" s="8" t="s">
        <v>1553</v>
      </c>
      <c r="C66" s="4158" t="s">
        <v>352</v>
      </c>
      <c r="D66" s="1819"/>
      <c r="E66" s="1819"/>
      <c r="F66" s="1819"/>
      <c r="G66" s="1819"/>
      <c r="H66" s="1548"/>
      <c r="I66" s="1551">
        <f t="shared" si="39"/>
        <v>0</v>
      </c>
      <c r="J66" s="1819"/>
      <c r="K66" s="1819"/>
      <c r="L66" s="189"/>
      <c r="M66" s="1070">
        <f t="shared" si="40"/>
        <v>0</v>
      </c>
      <c r="N66" s="1819"/>
      <c r="O66" s="1819"/>
      <c r="P66" s="1819"/>
      <c r="Q66" s="1548">
        <f t="shared" si="64"/>
        <v>0</v>
      </c>
      <c r="R66" s="1819"/>
      <c r="S66" s="1819"/>
      <c r="T66" s="1819"/>
      <c r="U66" s="1548">
        <f t="shared" si="65"/>
        <v>0</v>
      </c>
      <c r="V66" s="1819"/>
      <c r="W66" s="1819">
        <v>2.5</v>
      </c>
      <c r="X66" s="189"/>
      <c r="Y66" s="1070">
        <f t="shared" ref="Y66:Y136" si="72">+O66+S66+W66</f>
        <v>2.5</v>
      </c>
      <c r="Z66" s="1819"/>
      <c r="AA66" s="513">
        <f t="shared" si="69"/>
        <v>2.5</v>
      </c>
      <c r="AB66" s="1819"/>
      <c r="AC66" s="1819"/>
      <c r="AD66" s="1819"/>
      <c r="AE66" s="1599">
        <f t="shared" si="60"/>
        <v>2.5</v>
      </c>
      <c r="AF66" s="1819"/>
      <c r="AG66" s="1819"/>
      <c r="AH66" s="1819"/>
      <c r="AI66" s="4625">
        <f t="shared" si="42"/>
        <v>2.5</v>
      </c>
      <c r="AJ66" s="1819"/>
      <c r="AK66" s="1819"/>
      <c r="AL66" s="1819"/>
      <c r="AM66" s="1070">
        <f t="shared" si="70"/>
        <v>0</v>
      </c>
      <c r="AN66" s="1819"/>
      <c r="AO66" s="1599">
        <f t="shared" si="15"/>
        <v>2.5</v>
      </c>
      <c r="AP66" s="1819"/>
      <c r="AQ66" s="1819">
        <v>19.989999999999998</v>
      </c>
      <c r="AR66" s="1819"/>
      <c r="AS66" s="1599">
        <f t="shared" si="61"/>
        <v>22.49</v>
      </c>
      <c r="AT66" s="1819"/>
      <c r="AU66" s="1819"/>
      <c r="AV66" s="1819"/>
      <c r="AW66" s="1599">
        <f t="shared" si="62"/>
        <v>22.49</v>
      </c>
      <c r="AX66" s="1819"/>
      <c r="AY66" s="1819"/>
      <c r="AZ66" s="1819"/>
      <c r="BA66" s="1070">
        <f t="shared" si="71"/>
        <v>19.989999999999998</v>
      </c>
      <c r="BB66" s="1819"/>
      <c r="BC66" s="513">
        <f t="shared" ref="BC66:BC137" si="73">BA66+AM66</f>
        <v>19.989999999999998</v>
      </c>
      <c r="BD66" s="1819"/>
      <c r="BE66" s="352">
        <f t="shared" si="63"/>
        <v>22.49</v>
      </c>
      <c r="BF66" s="1137"/>
      <c r="BI66" s="25"/>
      <c r="BJ66" s="25"/>
    </row>
    <row r="67" spans="2:62" ht="15.6" hidden="1" customHeight="1" x14ac:dyDescent="0.25">
      <c r="B67" s="3550" t="s">
        <v>1324</v>
      </c>
      <c r="C67" s="742" t="s">
        <v>352</v>
      </c>
      <c r="D67" s="1819"/>
      <c r="E67" s="7602"/>
      <c r="F67" s="1121"/>
      <c r="G67" s="5559"/>
      <c r="H67" s="3551"/>
      <c r="I67" s="1551">
        <f t="shared" si="39"/>
        <v>0</v>
      </c>
      <c r="J67" s="1120"/>
      <c r="K67" s="5764">
        <v>499.28</v>
      </c>
      <c r="L67" s="189"/>
      <c r="M67" s="1070">
        <f t="shared" si="40"/>
        <v>499.28</v>
      </c>
      <c r="N67" s="1120"/>
      <c r="O67" s="7225"/>
      <c r="P67" s="1120"/>
      <c r="Q67" s="1548">
        <f t="shared" si="64"/>
        <v>499.28</v>
      </c>
      <c r="R67" s="1120"/>
      <c r="S67" s="5961">
        <v>498.38</v>
      </c>
      <c r="T67" s="1120"/>
      <c r="U67" s="1548">
        <f t="shared" si="65"/>
        <v>997.66</v>
      </c>
      <c r="V67" s="1120"/>
      <c r="W67" s="6019"/>
      <c r="X67" s="189"/>
      <c r="Y67" s="1070">
        <f t="shared" si="72"/>
        <v>498.38</v>
      </c>
      <c r="Z67" s="1819"/>
      <c r="AA67" s="513">
        <f t="shared" si="69"/>
        <v>997.66</v>
      </c>
      <c r="AB67" s="1819"/>
      <c r="AC67" s="6194">
        <v>228.4</v>
      </c>
      <c r="AD67" s="1819"/>
      <c r="AE67" s="1599">
        <f t="shared" si="60"/>
        <v>1226.06</v>
      </c>
      <c r="AF67" s="1819"/>
      <c r="AG67" s="6354">
        <v>1771.32</v>
      </c>
      <c r="AH67" s="1819"/>
      <c r="AI67" s="4625">
        <f t="shared" si="42"/>
        <v>2997.38</v>
      </c>
      <c r="AJ67" s="1819"/>
      <c r="AK67" s="6583">
        <v>1999.91</v>
      </c>
      <c r="AL67" s="1819"/>
      <c r="AM67" s="1070">
        <f t="shared" si="70"/>
        <v>3999.63</v>
      </c>
      <c r="AN67" s="1819"/>
      <c r="AO67" s="1599">
        <f t="shared" si="15"/>
        <v>4997.29</v>
      </c>
      <c r="AP67" s="1819"/>
      <c r="AQ67" s="6653">
        <v>353.26</v>
      </c>
      <c r="AR67" s="1819"/>
      <c r="AS67" s="1599">
        <f t="shared" si="61"/>
        <v>5350.55</v>
      </c>
      <c r="AT67" s="1819"/>
      <c r="AU67" s="6806"/>
      <c r="AV67" s="1819"/>
      <c r="AW67" s="1599">
        <f t="shared" si="62"/>
        <v>5350.55</v>
      </c>
      <c r="AX67" s="1819"/>
      <c r="AY67" s="6962"/>
      <c r="AZ67" s="1819"/>
      <c r="BA67" s="1070">
        <f t="shared" si="71"/>
        <v>353.26</v>
      </c>
      <c r="BB67" s="1819"/>
      <c r="BC67" s="513">
        <f t="shared" si="73"/>
        <v>4352.8900000000003</v>
      </c>
      <c r="BD67" s="1819"/>
      <c r="BE67" s="352">
        <f t="shared" si="63"/>
        <v>5350.55</v>
      </c>
      <c r="BF67" s="1137"/>
      <c r="BI67" s="25"/>
      <c r="BJ67" s="25"/>
    </row>
    <row r="68" spans="2:62" ht="15.6" hidden="1" customHeight="1" x14ac:dyDescent="0.25">
      <c r="B68" s="8" t="s">
        <v>1371</v>
      </c>
      <c r="C68" s="148" t="s">
        <v>352</v>
      </c>
      <c r="D68" s="1819"/>
      <c r="E68" s="1819"/>
      <c r="F68" s="1120"/>
      <c r="G68" s="1819">
        <v>618.07000000000005</v>
      </c>
      <c r="H68" s="1548"/>
      <c r="I68" s="1551">
        <f t="shared" si="39"/>
        <v>618.07000000000005</v>
      </c>
      <c r="J68" s="1120"/>
      <c r="K68" s="1819">
        <v>2504.23</v>
      </c>
      <c r="L68" s="189"/>
      <c r="M68" s="1070">
        <f t="shared" si="40"/>
        <v>3122.3</v>
      </c>
      <c r="N68" s="1120"/>
      <c r="O68" s="1819">
        <v>1876.0100000000011</v>
      </c>
      <c r="P68" s="1120"/>
      <c r="Q68" s="1548">
        <f t="shared" si="64"/>
        <v>4998.3100000000013</v>
      </c>
      <c r="R68" s="1120"/>
      <c r="S68" s="1819"/>
      <c r="T68" s="1120"/>
      <c r="U68" s="1548">
        <f t="shared" si="65"/>
        <v>4998.3100000000013</v>
      </c>
      <c r="V68" s="1120"/>
      <c r="W68" s="1819"/>
      <c r="X68" s="189"/>
      <c r="Y68" s="1070">
        <f t="shared" si="72"/>
        <v>1876.0100000000011</v>
      </c>
      <c r="Z68" s="1819"/>
      <c r="AA68" s="513">
        <f t="shared" si="69"/>
        <v>4998.3100000000013</v>
      </c>
      <c r="AB68" s="1819"/>
      <c r="AC68" s="1819">
        <v>997.59</v>
      </c>
      <c r="AD68" s="1819"/>
      <c r="AE68" s="1599">
        <f t="shared" si="60"/>
        <v>5995.9000000000015</v>
      </c>
      <c r="AF68" s="1819"/>
      <c r="AG68" s="1819">
        <v>4999.29</v>
      </c>
      <c r="AH68" s="1819"/>
      <c r="AI68" s="4625">
        <f t="shared" si="42"/>
        <v>10995.190000000002</v>
      </c>
      <c r="AJ68" s="1819"/>
      <c r="AK68" s="1819"/>
      <c r="AL68" s="1819"/>
      <c r="AM68" s="1070">
        <f t="shared" si="70"/>
        <v>5996.88</v>
      </c>
      <c r="AN68" s="1819"/>
      <c r="AO68" s="1599">
        <f t="shared" ref="AO68:AO95" si="74">AI68+AK68</f>
        <v>10995.190000000002</v>
      </c>
      <c r="AP68" s="1819"/>
      <c r="AQ68" s="1819"/>
      <c r="AR68" s="1819"/>
      <c r="AS68" s="1599">
        <f t="shared" si="61"/>
        <v>10995.190000000002</v>
      </c>
      <c r="AT68" s="1819"/>
      <c r="AU68" s="1819"/>
      <c r="AV68" s="1819"/>
      <c r="AW68" s="1599">
        <f t="shared" si="62"/>
        <v>10995.190000000002</v>
      </c>
      <c r="AX68" s="1819"/>
      <c r="AY68" s="1819"/>
      <c r="AZ68" s="1819"/>
      <c r="BA68" s="1070">
        <f t="shared" si="71"/>
        <v>0</v>
      </c>
      <c r="BB68" s="1819"/>
      <c r="BC68" s="513">
        <f t="shared" si="73"/>
        <v>5996.88</v>
      </c>
      <c r="BD68" s="1819"/>
      <c r="BE68" s="352">
        <f t="shared" si="63"/>
        <v>10995.190000000002</v>
      </c>
      <c r="BF68" s="1137"/>
      <c r="BI68" s="25"/>
      <c r="BJ68" s="25"/>
    </row>
    <row r="69" spans="2:62" s="4487" customFormat="1" ht="15.6" customHeight="1" x14ac:dyDescent="0.25">
      <c r="B69" s="5170" t="s">
        <v>2252</v>
      </c>
      <c r="C69" s="6900" t="s">
        <v>352</v>
      </c>
      <c r="D69" s="6365"/>
      <c r="E69" s="6365">
        <v>6.78</v>
      </c>
      <c r="F69" s="6365"/>
      <c r="G69" s="6365"/>
      <c r="H69" s="6760"/>
      <c r="I69" s="6910"/>
      <c r="J69" s="6365"/>
      <c r="K69" s="6365"/>
      <c r="L69" s="6767"/>
      <c r="M69" s="6759"/>
      <c r="N69" s="6365"/>
      <c r="O69" s="6365"/>
      <c r="P69" s="6365"/>
      <c r="Q69" s="6760"/>
      <c r="R69" s="6365"/>
      <c r="S69" s="6365"/>
      <c r="T69" s="6365"/>
      <c r="U69" s="6760"/>
      <c r="V69" s="6365"/>
      <c r="W69" s="6365"/>
      <c r="X69" s="6767"/>
      <c r="Y69" s="6759"/>
      <c r="Z69" s="6365"/>
      <c r="AA69" s="6908"/>
      <c r="AB69" s="6365"/>
      <c r="AC69" s="6365"/>
      <c r="AD69" s="6365"/>
      <c r="AE69" s="6775"/>
      <c r="AF69" s="6365"/>
      <c r="AG69" s="6365"/>
      <c r="AH69" s="6365"/>
      <c r="AI69" s="6366"/>
      <c r="AJ69" s="6365"/>
      <c r="AK69" s="6365"/>
      <c r="AL69" s="6365"/>
      <c r="AM69" s="6759"/>
      <c r="AN69" s="6365"/>
      <c r="AO69" s="6775"/>
      <c r="AP69" s="6365"/>
      <c r="AQ69" s="6365"/>
      <c r="AR69" s="6365"/>
      <c r="AS69" s="6775"/>
      <c r="AT69" s="6365"/>
      <c r="AU69" s="6365">
        <v>12.23</v>
      </c>
      <c r="AV69" s="6365"/>
      <c r="AW69" s="1599">
        <f t="shared" si="62"/>
        <v>12.23</v>
      </c>
      <c r="AX69" s="6365"/>
      <c r="AY69" s="6365"/>
      <c r="AZ69" s="6365"/>
      <c r="BA69" s="1070">
        <f t="shared" ref="BA69:BA73" si="75">+AQ69+AU69+AY69</f>
        <v>12.23</v>
      </c>
      <c r="BB69" s="1819"/>
      <c r="BC69" s="513">
        <f t="shared" ref="BC69:BC73" si="76">BA69+AM69</f>
        <v>12.23</v>
      </c>
      <c r="BD69" s="1819"/>
      <c r="BE69" s="7018">
        <f t="shared" ref="BE69:BE73" si="77">+AW69+AY69</f>
        <v>12.23</v>
      </c>
      <c r="BF69" s="1137"/>
      <c r="BI69" s="25"/>
      <c r="BJ69" s="25"/>
    </row>
    <row r="70" spans="2:62" ht="15.6" hidden="1" customHeight="1" x14ac:dyDescent="0.25">
      <c r="B70" s="8" t="s">
        <v>1237</v>
      </c>
      <c r="C70" s="148" t="s">
        <v>352</v>
      </c>
      <c r="D70" s="1819"/>
      <c r="E70" s="1819"/>
      <c r="F70" s="1120"/>
      <c r="G70" s="1819"/>
      <c r="H70" s="1548"/>
      <c r="I70" s="1551">
        <f t="shared" si="39"/>
        <v>0</v>
      </c>
      <c r="J70" s="1120"/>
      <c r="K70" s="1819">
        <v>44</v>
      </c>
      <c r="L70" s="189"/>
      <c r="M70" s="1070">
        <f t="shared" si="40"/>
        <v>44</v>
      </c>
      <c r="N70" s="1120"/>
      <c r="O70" s="1819">
        <v>55</v>
      </c>
      <c r="P70" s="1120"/>
      <c r="Q70" s="1548">
        <f t="shared" si="64"/>
        <v>99</v>
      </c>
      <c r="R70" s="1120"/>
      <c r="S70" s="1819"/>
      <c r="T70" s="1120"/>
      <c r="U70" s="1548">
        <f t="shared" si="65"/>
        <v>99</v>
      </c>
      <c r="V70" s="1120"/>
      <c r="W70" s="1819"/>
      <c r="X70" s="189"/>
      <c r="Y70" s="1070">
        <f t="shared" si="72"/>
        <v>55</v>
      </c>
      <c r="Z70" s="1819"/>
      <c r="AA70" s="513">
        <f t="shared" si="69"/>
        <v>99</v>
      </c>
      <c r="AB70" s="1819"/>
      <c r="AC70" s="1819"/>
      <c r="AD70" s="1819"/>
      <c r="AE70" s="1599">
        <f t="shared" si="60"/>
        <v>99</v>
      </c>
      <c r="AF70" s="1819"/>
      <c r="AG70" s="1819"/>
      <c r="AH70" s="1819"/>
      <c r="AI70" s="4625">
        <f t="shared" si="42"/>
        <v>99</v>
      </c>
      <c r="AJ70" s="1819"/>
      <c r="AK70" s="1819">
        <v>228</v>
      </c>
      <c r="AL70" s="1819"/>
      <c r="AM70" s="1070">
        <f t="shared" si="70"/>
        <v>228</v>
      </c>
      <c r="AN70" s="1819"/>
      <c r="AO70" s="1599">
        <f t="shared" si="74"/>
        <v>327</v>
      </c>
      <c r="AP70" s="1819"/>
      <c r="AQ70" s="1819"/>
      <c r="AR70" s="1819"/>
      <c r="AS70" s="1599">
        <f t="shared" si="61"/>
        <v>327</v>
      </c>
      <c r="AT70" s="1819"/>
      <c r="AU70" s="1819">
        <v>30</v>
      </c>
      <c r="AV70" s="1819"/>
      <c r="AW70" s="1599">
        <f t="shared" si="62"/>
        <v>357</v>
      </c>
      <c r="AX70" s="1819"/>
      <c r="AY70" s="1819">
        <v>50</v>
      </c>
      <c r="AZ70" s="1819"/>
      <c r="BA70" s="1070">
        <f t="shared" si="75"/>
        <v>80</v>
      </c>
      <c r="BB70" s="1819"/>
      <c r="BC70" s="513">
        <f t="shared" si="76"/>
        <v>308</v>
      </c>
      <c r="BD70" s="1819"/>
      <c r="BE70" s="7018">
        <f t="shared" si="77"/>
        <v>407</v>
      </c>
      <c r="BF70" s="1137"/>
      <c r="BI70" s="25"/>
      <c r="BJ70" s="25"/>
    </row>
    <row r="71" spans="2:62" s="4487" customFormat="1" ht="15.6" customHeight="1" x14ac:dyDescent="0.25">
      <c r="B71" s="5170" t="s">
        <v>2263</v>
      </c>
      <c r="C71" s="7017" t="s">
        <v>352</v>
      </c>
      <c r="D71" s="6365"/>
      <c r="E71" s="6365">
        <v>114.64</v>
      </c>
      <c r="F71" s="6365"/>
      <c r="G71" s="6365"/>
      <c r="H71" s="6760"/>
      <c r="I71" s="6910"/>
      <c r="J71" s="6365"/>
      <c r="K71" s="6365"/>
      <c r="L71" s="6767"/>
      <c r="M71" s="6759"/>
      <c r="N71" s="6365"/>
      <c r="O71" s="6365"/>
      <c r="P71" s="6365"/>
      <c r="Q71" s="6760"/>
      <c r="R71" s="6365"/>
      <c r="S71" s="6365"/>
      <c r="T71" s="6365"/>
      <c r="U71" s="6760"/>
      <c r="V71" s="6365"/>
      <c r="W71" s="6365"/>
      <c r="X71" s="6767"/>
      <c r="Y71" s="6759"/>
      <c r="Z71" s="6365"/>
      <c r="AA71" s="6908"/>
      <c r="AB71" s="6365"/>
      <c r="AC71" s="6365"/>
      <c r="AD71" s="6365"/>
      <c r="AE71" s="6775"/>
      <c r="AF71" s="6365"/>
      <c r="AG71" s="6365"/>
      <c r="AH71" s="6365"/>
      <c r="AI71" s="6366"/>
      <c r="AJ71" s="6365"/>
      <c r="AK71" s="6365"/>
      <c r="AL71" s="6365"/>
      <c r="AM71" s="6759"/>
      <c r="AN71" s="6365"/>
      <c r="AO71" s="6775"/>
      <c r="AP71" s="6365"/>
      <c r="AQ71" s="6365"/>
      <c r="AR71" s="6365"/>
      <c r="AS71" s="6775"/>
      <c r="AT71" s="6365"/>
      <c r="AU71" s="6365"/>
      <c r="AV71" s="6365"/>
      <c r="AW71" s="6775"/>
      <c r="AX71" s="6365"/>
      <c r="AY71" s="6365">
        <v>64.959999999999994</v>
      </c>
      <c r="AZ71" s="6365"/>
      <c r="BA71" s="1070">
        <f t="shared" si="75"/>
        <v>64.959999999999994</v>
      </c>
      <c r="BB71" s="1819"/>
      <c r="BC71" s="513">
        <f t="shared" si="76"/>
        <v>64.959999999999994</v>
      </c>
      <c r="BD71" s="1819"/>
      <c r="BE71" s="7018">
        <f t="shared" si="77"/>
        <v>64.959999999999994</v>
      </c>
      <c r="BF71" s="1137"/>
      <c r="BI71" s="25"/>
      <c r="BJ71" s="25"/>
    </row>
    <row r="72" spans="2:62" s="4487" customFormat="1" ht="15.6" hidden="1" customHeight="1" x14ac:dyDescent="0.25">
      <c r="B72" s="5170" t="s">
        <v>2254</v>
      </c>
      <c r="C72" s="6900" t="s">
        <v>352</v>
      </c>
      <c r="D72" s="6365"/>
      <c r="E72" s="6365"/>
      <c r="F72" s="6365"/>
      <c r="G72" s="6365"/>
      <c r="H72" s="6760"/>
      <c r="I72" s="6910"/>
      <c r="J72" s="6365"/>
      <c r="K72" s="6365"/>
      <c r="L72" s="6767"/>
      <c r="M72" s="6759"/>
      <c r="N72" s="6365"/>
      <c r="O72" s="6365"/>
      <c r="P72" s="6365"/>
      <c r="Q72" s="6760"/>
      <c r="R72" s="6365"/>
      <c r="S72" s="6365"/>
      <c r="T72" s="6365"/>
      <c r="U72" s="6760"/>
      <c r="V72" s="6365"/>
      <c r="W72" s="6365"/>
      <c r="X72" s="6767"/>
      <c r="Y72" s="6759"/>
      <c r="Z72" s="6365"/>
      <c r="AA72" s="6908"/>
      <c r="AB72" s="6365"/>
      <c r="AC72" s="6365"/>
      <c r="AD72" s="6365"/>
      <c r="AE72" s="6775"/>
      <c r="AF72" s="6365"/>
      <c r="AG72" s="6365"/>
      <c r="AH72" s="6365"/>
      <c r="AI72" s="6366"/>
      <c r="AJ72" s="6365"/>
      <c r="AK72" s="6365"/>
      <c r="AL72" s="6365"/>
      <c r="AM72" s="6759"/>
      <c r="AN72" s="6365"/>
      <c r="AO72" s="6775"/>
      <c r="AP72" s="6365"/>
      <c r="AQ72" s="6365"/>
      <c r="AR72" s="6365"/>
      <c r="AS72" s="1599">
        <f t="shared" si="61"/>
        <v>0</v>
      </c>
      <c r="AT72" s="6365"/>
      <c r="AU72" s="6365">
        <v>3</v>
      </c>
      <c r="AV72" s="6365"/>
      <c r="AW72" s="1599">
        <f t="shared" si="62"/>
        <v>3</v>
      </c>
      <c r="AX72" s="6365"/>
      <c r="AY72" s="6365"/>
      <c r="AZ72" s="6365"/>
      <c r="BA72" s="1070">
        <f t="shared" si="75"/>
        <v>3</v>
      </c>
      <c r="BB72" s="1819"/>
      <c r="BC72" s="513">
        <f t="shared" si="76"/>
        <v>3</v>
      </c>
      <c r="BD72" s="1819"/>
      <c r="BE72" s="7018">
        <f t="shared" si="77"/>
        <v>3</v>
      </c>
      <c r="BF72" s="1137"/>
      <c r="BI72" s="25"/>
      <c r="BJ72" s="25"/>
    </row>
    <row r="73" spans="2:62" s="4487" customFormat="1" ht="15.6" hidden="1" customHeight="1" x14ac:dyDescent="0.25">
      <c r="B73" s="5170" t="s">
        <v>2253</v>
      </c>
      <c r="C73" s="6900" t="s">
        <v>352</v>
      </c>
      <c r="D73" s="6365"/>
      <c r="E73" s="6365"/>
      <c r="F73" s="6365"/>
      <c r="G73" s="6365"/>
      <c r="H73" s="6760"/>
      <c r="I73" s="6910"/>
      <c r="J73" s="6365"/>
      <c r="K73" s="6365"/>
      <c r="L73" s="6767"/>
      <c r="M73" s="6759"/>
      <c r="N73" s="6365"/>
      <c r="O73" s="6365"/>
      <c r="P73" s="6365"/>
      <c r="Q73" s="6760"/>
      <c r="R73" s="6365"/>
      <c r="S73" s="6365"/>
      <c r="T73" s="6365"/>
      <c r="U73" s="6760"/>
      <c r="V73" s="6365"/>
      <c r="W73" s="6365"/>
      <c r="X73" s="6767"/>
      <c r="Y73" s="6759"/>
      <c r="Z73" s="6365"/>
      <c r="AA73" s="6908"/>
      <c r="AB73" s="6365"/>
      <c r="AC73" s="6365"/>
      <c r="AD73" s="6365"/>
      <c r="AE73" s="6775"/>
      <c r="AF73" s="6365"/>
      <c r="AG73" s="6365"/>
      <c r="AH73" s="6365"/>
      <c r="AI73" s="6366"/>
      <c r="AJ73" s="6365"/>
      <c r="AK73" s="6365"/>
      <c r="AL73" s="6365"/>
      <c r="AM73" s="6759"/>
      <c r="AN73" s="6365"/>
      <c r="AO73" s="6775"/>
      <c r="AP73" s="6365"/>
      <c r="AQ73" s="6365"/>
      <c r="AR73" s="6365"/>
      <c r="AS73" s="1599">
        <f t="shared" si="61"/>
        <v>0</v>
      </c>
      <c r="AT73" s="6365"/>
      <c r="AU73" s="6365">
        <v>1.35</v>
      </c>
      <c r="AV73" s="6365"/>
      <c r="AW73" s="1599">
        <f t="shared" si="62"/>
        <v>1.35</v>
      </c>
      <c r="AX73" s="6365"/>
      <c r="AY73" s="6365"/>
      <c r="AZ73" s="6365"/>
      <c r="BA73" s="1070">
        <f t="shared" si="75"/>
        <v>1.35</v>
      </c>
      <c r="BB73" s="1819"/>
      <c r="BC73" s="513">
        <f t="shared" si="76"/>
        <v>1.35</v>
      </c>
      <c r="BD73" s="1819"/>
      <c r="BE73" s="7018">
        <f t="shared" si="77"/>
        <v>1.35</v>
      </c>
      <c r="BF73" s="1137"/>
      <c r="BI73" s="25"/>
      <c r="BJ73" s="25"/>
    </row>
    <row r="74" spans="2:62" ht="15.6" hidden="1" customHeight="1" x14ac:dyDescent="0.25">
      <c r="B74" s="8" t="s">
        <v>1406</v>
      </c>
      <c r="C74" s="148" t="s">
        <v>352</v>
      </c>
      <c r="D74" s="1819"/>
      <c r="E74" s="1819"/>
      <c r="F74" s="1120"/>
      <c r="G74" s="1819">
        <v>140</v>
      </c>
      <c r="H74" s="1548"/>
      <c r="I74" s="1551">
        <f t="shared" si="39"/>
        <v>140</v>
      </c>
      <c r="J74" s="1120"/>
      <c r="K74" s="1819"/>
      <c r="L74" s="189"/>
      <c r="M74" s="1070">
        <f t="shared" si="40"/>
        <v>140</v>
      </c>
      <c r="N74" s="1120"/>
      <c r="O74" s="1819"/>
      <c r="P74" s="1120"/>
      <c r="Q74" s="1548">
        <f t="shared" si="64"/>
        <v>140</v>
      </c>
      <c r="R74" s="1120"/>
      <c r="S74" s="1819"/>
      <c r="T74" s="1120"/>
      <c r="U74" s="1548">
        <f t="shared" si="65"/>
        <v>140</v>
      </c>
      <c r="V74" s="1120"/>
      <c r="W74" s="1819"/>
      <c r="X74" s="189"/>
      <c r="Y74" s="1070">
        <f t="shared" si="72"/>
        <v>0</v>
      </c>
      <c r="Z74" s="1819"/>
      <c r="AA74" s="513">
        <f t="shared" si="69"/>
        <v>140</v>
      </c>
      <c r="AB74" s="1819"/>
      <c r="AC74" s="1819"/>
      <c r="AD74" s="1819"/>
      <c r="AE74" s="1599">
        <f t="shared" si="60"/>
        <v>140</v>
      </c>
      <c r="AF74" s="1819"/>
      <c r="AG74" s="1819"/>
      <c r="AH74" s="1819"/>
      <c r="AI74" s="4625">
        <f t="shared" si="42"/>
        <v>140</v>
      </c>
      <c r="AJ74" s="1819"/>
      <c r="AK74" s="1819"/>
      <c r="AL74" s="1819"/>
      <c r="AM74" s="1070">
        <f t="shared" ref="AM74:AM136" si="78">+AC74+AG74+AK74</f>
        <v>0</v>
      </c>
      <c r="AN74" s="1819"/>
      <c r="AO74" s="1599">
        <f t="shared" si="74"/>
        <v>140</v>
      </c>
      <c r="AP74" s="1819"/>
      <c r="AQ74" s="1819"/>
      <c r="AR74" s="1819"/>
      <c r="AS74" s="1599">
        <f t="shared" si="61"/>
        <v>140</v>
      </c>
      <c r="AT74" s="1819"/>
      <c r="AU74" s="1819"/>
      <c r="AV74" s="1819"/>
      <c r="AW74" s="1599">
        <f t="shared" si="62"/>
        <v>140</v>
      </c>
      <c r="AX74" s="1819"/>
      <c r="AY74" s="1819"/>
      <c r="AZ74" s="1819"/>
      <c r="BA74" s="1070">
        <f t="shared" si="71"/>
        <v>0</v>
      </c>
      <c r="BB74" s="1819"/>
      <c r="BC74" s="513">
        <f t="shared" si="73"/>
        <v>0</v>
      </c>
      <c r="BD74" s="1819"/>
      <c r="BE74" s="352">
        <f t="shared" ref="BE74:BE83" si="79">+AW74+AY74</f>
        <v>140</v>
      </c>
      <c r="BF74" s="1137"/>
      <c r="BI74" s="25"/>
      <c r="BJ74" s="25"/>
    </row>
    <row r="75" spans="2:62" ht="15.6" hidden="1" customHeight="1" x14ac:dyDescent="0.25">
      <c r="B75" s="8" t="s">
        <v>1405</v>
      </c>
      <c r="C75" s="148" t="s">
        <v>352</v>
      </c>
      <c r="D75" s="1819"/>
      <c r="E75" s="1819"/>
      <c r="F75" s="1120"/>
      <c r="G75" s="1819"/>
      <c r="H75" s="1548"/>
      <c r="I75" s="1551">
        <f t="shared" si="39"/>
        <v>0</v>
      </c>
      <c r="J75" s="1120"/>
      <c r="K75" s="1819"/>
      <c r="L75" s="189"/>
      <c r="M75" s="1070">
        <f t="shared" si="40"/>
        <v>0</v>
      </c>
      <c r="N75" s="1120"/>
      <c r="O75" s="1819"/>
      <c r="P75" s="1120"/>
      <c r="Q75" s="1548">
        <f t="shared" si="64"/>
        <v>0</v>
      </c>
      <c r="R75" s="1120"/>
      <c r="S75" s="1819"/>
      <c r="T75" s="1120"/>
      <c r="U75" s="1548">
        <f t="shared" si="65"/>
        <v>0</v>
      </c>
      <c r="V75" s="1120"/>
      <c r="W75" s="1819"/>
      <c r="X75" s="189"/>
      <c r="Y75" s="1070">
        <f t="shared" si="72"/>
        <v>0</v>
      </c>
      <c r="Z75" s="1819"/>
      <c r="AA75" s="513">
        <f t="shared" si="69"/>
        <v>0</v>
      </c>
      <c r="AB75" s="1819"/>
      <c r="AC75" s="1819">
        <v>150</v>
      </c>
      <c r="AD75" s="1819"/>
      <c r="AE75" s="1599">
        <f t="shared" si="60"/>
        <v>150</v>
      </c>
      <c r="AF75" s="1819"/>
      <c r="AG75" s="1819"/>
      <c r="AH75" s="1819"/>
      <c r="AI75" s="4625">
        <f t="shared" si="42"/>
        <v>150</v>
      </c>
      <c r="AJ75" s="1819"/>
      <c r="AK75" s="1819"/>
      <c r="AL75" s="1819"/>
      <c r="AM75" s="1070">
        <f t="shared" si="78"/>
        <v>150</v>
      </c>
      <c r="AN75" s="1819"/>
      <c r="AO75" s="1599">
        <f t="shared" si="74"/>
        <v>150</v>
      </c>
      <c r="AP75" s="1819"/>
      <c r="AQ75" s="1819"/>
      <c r="AR75" s="1819"/>
      <c r="AS75" s="1599">
        <f t="shared" si="61"/>
        <v>150</v>
      </c>
      <c r="AT75" s="1819"/>
      <c r="AU75" s="1819"/>
      <c r="AV75" s="1819"/>
      <c r="AW75" s="1599">
        <f t="shared" si="62"/>
        <v>150</v>
      </c>
      <c r="AX75" s="1819"/>
      <c r="AY75" s="1819">
        <v>60</v>
      </c>
      <c r="AZ75" s="1819"/>
      <c r="BA75" s="1070">
        <f t="shared" si="71"/>
        <v>60</v>
      </c>
      <c r="BB75" s="1819"/>
      <c r="BC75" s="513">
        <f t="shared" si="73"/>
        <v>210</v>
      </c>
      <c r="BD75" s="1819"/>
      <c r="BE75" s="352">
        <f t="shared" si="79"/>
        <v>210</v>
      </c>
      <c r="BF75" s="1137"/>
      <c r="BI75" s="25"/>
      <c r="BJ75" s="25"/>
    </row>
    <row r="76" spans="2:62" ht="15.6" hidden="1" customHeight="1" x14ac:dyDescent="0.25">
      <c r="B76" s="8" t="s">
        <v>1811</v>
      </c>
      <c r="C76" s="148" t="s">
        <v>352</v>
      </c>
      <c r="D76" s="1819"/>
      <c r="E76" s="1819"/>
      <c r="F76" s="1120"/>
      <c r="G76" s="1819"/>
      <c r="H76" s="1548"/>
      <c r="I76" s="1551">
        <f t="shared" si="39"/>
        <v>0</v>
      </c>
      <c r="J76" s="1120"/>
      <c r="K76" s="1819"/>
      <c r="L76" s="189"/>
      <c r="M76" s="1070">
        <f t="shared" si="40"/>
        <v>0</v>
      </c>
      <c r="N76" s="1120"/>
      <c r="O76" s="1819"/>
      <c r="P76" s="1120"/>
      <c r="Q76" s="1548">
        <f t="shared" si="64"/>
        <v>0</v>
      </c>
      <c r="R76" s="1120"/>
      <c r="S76" s="1819"/>
      <c r="T76" s="1120"/>
      <c r="U76" s="1548">
        <f t="shared" si="65"/>
        <v>0</v>
      </c>
      <c r="V76" s="1120"/>
      <c r="W76" s="1819"/>
      <c r="X76" s="189"/>
      <c r="Y76" s="1070">
        <f t="shared" si="72"/>
        <v>0</v>
      </c>
      <c r="Z76" s="1819"/>
      <c r="AA76" s="513">
        <f t="shared" si="69"/>
        <v>0</v>
      </c>
      <c r="AB76" s="1819"/>
      <c r="AC76" s="1819"/>
      <c r="AD76" s="1819"/>
      <c r="AE76" s="1599">
        <f t="shared" si="60"/>
        <v>0</v>
      </c>
      <c r="AF76" s="1819"/>
      <c r="AG76" s="1819">
        <v>1</v>
      </c>
      <c r="AH76" s="1819"/>
      <c r="AI76" s="4625">
        <f t="shared" si="42"/>
        <v>1</v>
      </c>
      <c r="AJ76" s="1819"/>
      <c r="AK76" s="1819"/>
      <c r="AL76" s="1819"/>
      <c r="AM76" s="1070">
        <f t="shared" si="78"/>
        <v>1</v>
      </c>
      <c r="AN76" s="1819"/>
      <c r="AO76" s="1599">
        <f t="shared" si="74"/>
        <v>1</v>
      </c>
      <c r="AP76" s="1819"/>
      <c r="AQ76" s="1819"/>
      <c r="AR76" s="1819"/>
      <c r="AS76" s="1599">
        <f t="shared" si="61"/>
        <v>1</v>
      </c>
      <c r="AT76" s="1819"/>
      <c r="AU76" s="1819">
        <v>1</v>
      </c>
      <c r="AV76" s="1819"/>
      <c r="AW76" s="1599">
        <f t="shared" si="62"/>
        <v>2</v>
      </c>
      <c r="AX76" s="1819"/>
      <c r="AY76" s="1819"/>
      <c r="AZ76" s="1819"/>
      <c r="BA76" s="1070">
        <f t="shared" si="71"/>
        <v>1</v>
      </c>
      <c r="BB76" s="1819"/>
      <c r="BC76" s="513">
        <f t="shared" si="73"/>
        <v>2</v>
      </c>
      <c r="BD76" s="1819"/>
      <c r="BE76" s="352">
        <f t="shared" si="79"/>
        <v>2</v>
      </c>
      <c r="BF76" s="1137"/>
      <c r="BI76" s="25"/>
      <c r="BJ76" s="25"/>
    </row>
    <row r="77" spans="2:62" hidden="1" x14ac:dyDescent="0.25">
      <c r="B77" s="8" t="s">
        <v>1085</v>
      </c>
      <c r="C77" s="148" t="s">
        <v>352</v>
      </c>
      <c r="D77" s="1819"/>
      <c r="E77" s="1819"/>
      <c r="F77" s="1120"/>
      <c r="G77" s="1819"/>
      <c r="H77" s="1548"/>
      <c r="I77" s="1551">
        <f t="shared" si="39"/>
        <v>0</v>
      </c>
      <c r="J77" s="1120"/>
      <c r="K77" s="1819">
        <v>292</v>
      </c>
      <c r="L77" s="189"/>
      <c r="M77" s="1070">
        <f t="shared" si="40"/>
        <v>292</v>
      </c>
      <c r="N77" s="1120"/>
      <c r="O77" s="1819"/>
      <c r="P77" s="1120"/>
      <c r="Q77" s="1548">
        <f t="shared" si="64"/>
        <v>292</v>
      </c>
      <c r="R77" s="1120"/>
      <c r="S77" s="1819">
        <v>440</v>
      </c>
      <c r="T77" s="1120"/>
      <c r="U77" s="1548">
        <f t="shared" si="65"/>
        <v>732</v>
      </c>
      <c r="V77" s="1120"/>
      <c r="W77" s="1819">
        <v>401</v>
      </c>
      <c r="X77" s="189"/>
      <c r="Y77" s="1070">
        <f t="shared" si="72"/>
        <v>841</v>
      </c>
      <c r="Z77" s="1819"/>
      <c r="AA77" s="513">
        <f t="shared" si="69"/>
        <v>1133</v>
      </c>
      <c r="AB77" s="1819"/>
      <c r="AC77" s="1819"/>
      <c r="AD77" s="1819"/>
      <c r="AE77" s="1599">
        <f t="shared" si="60"/>
        <v>1133</v>
      </c>
      <c r="AF77" s="1819"/>
      <c r="AG77" s="1819"/>
      <c r="AH77" s="1819"/>
      <c r="AI77" s="4625">
        <f t="shared" si="42"/>
        <v>1133</v>
      </c>
      <c r="AJ77" s="1819"/>
      <c r="AK77" s="1819"/>
      <c r="AL77" s="1819"/>
      <c r="AM77" s="1070">
        <f t="shared" si="78"/>
        <v>0</v>
      </c>
      <c r="AN77" s="1819"/>
      <c r="AO77" s="1599">
        <f t="shared" si="74"/>
        <v>1133</v>
      </c>
      <c r="AP77" s="1819"/>
      <c r="AQ77" s="1819">
        <v>185</v>
      </c>
      <c r="AR77" s="1819"/>
      <c r="AS77" s="1599">
        <f t="shared" si="61"/>
        <v>1318</v>
      </c>
      <c r="AT77" s="1819"/>
      <c r="AU77" s="1819">
        <v>334</v>
      </c>
      <c r="AV77" s="1819"/>
      <c r="AW77" s="1599">
        <f t="shared" si="62"/>
        <v>1652</v>
      </c>
      <c r="AX77" s="1819"/>
      <c r="AY77" s="1819">
        <v>92</v>
      </c>
      <c r="AZ77" s="1819"/>
      <c r="BA77" s="1070">
        <f t="shared" si="71"/>
        <v>611</v>
      </c>
      <c r="BB77" s="1819"/>
      <c r="BC77" s="513">
        <f t="shared" si="73"/>
        <v>611</v>
      </c>
      <c r="BD77" s="1819"/>
      <c r="BE77" s="352">
        <f t="shared" si="79"/>
        <v>1744</v>
      </c>
      <c r="BF77" s="1137"/>
      <c r="BI77" s="25"/>
      <c r="BJ77" s="25"/>
    </row>
    <row r="78" spans="2:62" s="2664" customFormat="1" hidden="1" x14ac:dyDescent="0.25">
      <c r="B78" s="8" t="s">
        <v>1771</v>
      </c>
      <c r="C78" s="2674" t="s">
        <v>352</v>
      </c>
      <c r="D78" s="1819"/>
      <c r="E78" s="2656"/>
      <c r="F78" s="2656"/>
      <c r="G78" s="2656">
        <v>3476.7399999999993</v>
      </c>
      <c r="H78" s="2676"/>
      <c r="I78" s="1551">
        <f t="shared" si="39"/>
        <v>3476.7399999999993</v>
      </c>
      <c r="J78" s="2656"/>
      <c r="K78" s="2656">
        <v>154.28</v>
      </c>
      <c r="L78" s="2677"/>
      <c r="M78" s="1070">
        <f t="shared" si="40"/>
        <v>3631.0199999999995</v>
      </c>
      <c r="N78" s="2656"/>
      <c r="O78" s="2656">
        <v>1365.8100000000002</v>
      </c>
      <c r="P78" s="2656"/>
      <c r="Q78" s="1548">
        <f t="shared" si="64"/>
        <v>4996.83</v>
      </c>
      <c r="R78" s="2656"/>
      <c r="S78" s="2656">
        <v>592.26</v>
      </c>
      <c r="T78" s="2656"/>
      <c r="U78" s="1548">
        <f t="shared" si="65"/>
        <v>5589.09</v>
      </c>
      <c r="V78" s="2656"/>
      <c r="W78" s="2656">
        <v>1501.4700000000005</v>
      </c>
      <c r="X78" s="2677"/>
      <c r="Y78" s="2682">
        <f t="shared" si="72"/>
        <v>3459.5400000000009</v>
      </c>
      <c r="Z78" s="2656"/>
      <c r="AA78" s="513">
        <f t="shared" si="69"/>
        <v>7090.56</v>
      </c>
      <c r="AB78" s="2656"/>
      <c r="AC78" s="2656">
        <v>2905.36</v>
      </c>
      <c r="AD78" s="2656"/>
      <c r="AE78" s="1599">
        <f t="shared" si="60"/>
        <v>9995.92</v>
      </c>
      <c r="AF78" s="2656"/>
      <c r="AG78" s="2656"/>
      <c r="AH78" s="2656"/>
      <c r="AI78" s="4625">
        <f t="shared" si="42"/>
        <v>9995.92</v>
      </c>
      <c r="AJ78" s="2656"/>
      <c r="AK78" s="2656"/>
      <c r="AL78" s="2656"/>
      <c r="AM78" s="2682">
        <f t="shared" si="78"/>
        <v>2905.36</v>
      </c>
      <c r="AN78" s="2656"/>
      <c r="AO78" s="1599">
        <f t="shared" si="74"/>
        <v>9995.92</v>
      </c>
      <c r="AP78" s="2656"/>
      <c r="AQ78" s="2656"/>
      <c r="AR78" s="2656"/>
      <c r="AS78" s="1599">
        <f t="shared" si="61"/>
        <v>9995.92</v>
      </c>
      <c r="AT78" s="1819"/>
      <c r="AU78" s="2656"/>
      <c r="AV78" s="1819"/>
      <c r="AW78" s="1599">
        <f t="shared" si="62"/>
        <v>9995.92</v>
      </c>
      <c r="AX78" s="1819"/>
      <c r="AY78" s="2656"/>
      <c r="AZ78" s="2656"/>
      <c r="BA78" s="2682">
        <f t="shared" si="71"/>
        <v>0</v>
      </c>
      <c r="BB78" s="2656"/>
      <c r="BC78" s="513">
        <f t="shared" si="73"/>
        <v>2905.36</v>
      </c>
      <c r="BD78" s="1819"/>
      <c r="BE78" s="352">
        <f t="shared" si="79"/>
        <v>9995.92</v>
      </c>
      <c r="BF78" s="1137"/>
      <c r="BI78" s="25"/>
      <c r="BJ78" s="25"/>
    </row>
    <row r="79" spans="2:62" s="2448" customFormat="1" hidden="1" x14ac:dyDescent="0.25">
      <c r="B79" s="8" t="s">
        <v>1944</v>
      </c>
      <c r="C79" s="148" t="s">
        <v>352</v>
      </c>
      <c r="D79" s="1819"/>
      <c r="E79" s="1819"/>
      <c r="F79" s="1819"/>
      <c r="G79" s="1819">
        <v>23.849999999999998</v>
      </c>
      <c r="H79" s="1548"/>
      <c r="I79" s="1551">
        <f t="shared" si="39"/>
        <v>23.849999999999998</v>
      </c>
      <c r="J79" s="1819"/>
      <c r="K79" s="1819">
        <v>6.09</v>
      </c>
      <c r="L79" s="189"/>
      <c r="M79" s="1070">
        <f t="shared" si="40"/>
        <v>29.939999999999998</v>
      </c>
      <c r="N79" s="1819"/>
      <c r="O79" s="1819"/>
      <c r="P79" s="1819"/>
      <c r="Q79" s="1548">
        <f t="shared" si="64"/>
        <v>29.939999999999998</v>
      </c>
      <c r="R79" s="1819"/>
      <c r="S79" s="1819"/>
      <c r="T79" s="1819"/>
      <c r="U79" s="1548">
        <f t="shared" si="65"/>
        <v>29.939999999999998</v>
      </c>
      <c r="V79" s="1819"/>
      <c r="W79" s="1819"/>
      <c r="X79" s="189"/>
      <c r="Y79" s="1070">
        <f t="shared" si="72"/>
        <v>0</v>
      </c>
      <c r="Z79" s="1819"/>
      <c r="AA79" s="513">
        <f t="shared" si="69"/>
        <v>29.939999999999998</v>
      </c>
      <c r="AB79" s="1819"/>
      <c r="AC79" s="1819"/>
      <c r="AD79" s="1819"/>
      <c r="AE79" s="1599">
        <f t="shared" si="60"/>
        <v>29.939999999999998</v>
      </c>
      <c r="AF79" s="1819"/>
      <c r="AG79" s="1819"/>
      <c r="AH79" s="1819"/>
      <c r="AI79" s="4625">
        <f t="shared" si="42"/>
        <v>29.939999999999998</v>
      </c>
      <c r="AJ79" s="1819"/>
      <c r="AK79" s="1819"/>
      <c r="AL79" s="1819"/>
      <c r="AM79" s="1070">
        <f t="shared" si="78"/>
        <v>0</v>
      </c>
      <c r="AN79" s="1819"/>
      <c r="AO79" s="1599">
        <f t="shared" si="74"/>
        <v>29.939999999999998</v>
      </c>
      <c r="AP79" s="1819"/>
      <c r="AQ79" s="1819"/>
      <c r="AR79" s="1819"/>
      <c r="AS79" s="1599">
        <f t="shared" si="61"/>
        <v>29.939999999999998</v>
      </c>
      <c r="AT79" s="1819"/>
      <c r="AU79" s="1819"/>
      <c r="AV79" s="1819"/>
      <c r="AW79" s="1599">
        <f t="shared" si="62"/>
        <v>29.939999999999998</v>
      </c>
      <c r="AX79" s="1819"/>
      <c r="AY79" s="1819"/>
      <c r="AZ79" s="1819"/>
      <c r="BA79" s="1070">
        <f t="shared" si="71"/>
        <v>0</v>
      </c>
      <c r="BB79" s="1819"/>
      <c r="BC79" s="513">
        <f t="shared" si="73"/>
        <v>0</v>
      </c>
      <c r="BD79" s="1819"/>
      <c r="BE79" s="352">
        <f t="shared" si="79"/>
        <v>29.939999999999998</v>
      </c>
      <c r="BF79" s="1137"/>
      <c r="BI79" s="25"/>
      <c r="BJ79" s="25"/>
    </row>
    <row r="80" spans="2:62" x14ac:dyDescent="0.25">
      <c r="B80" s="8" t="s">
        <v>2000</v>
      </c>
      <c r="C80" s="148" t="s">
        <v>352</v>
      </c>
      <c r="D80" s="1819"/>
      <c r="E80" s="1819">
        <v>46.54</v>
      </c>
      <c r="F80" s="1120"/>
      <c r="G80" s="1819"/>
      <c r="H80" s="1548"/>
      <c r="I80" s="1551">
        <f t="shared" ref="I80:I83" si="80">+E80+G80</f>
        <v>46.54</v>
      </c>
      <c r="J80" s="1120"/>
      <c r="K80" s="1819">
        <v>14.73</v>
      </c>
      <c r="L80" s="189"/>
      <c r="M80" s="1070">
        <f t="shared" si="40"/>
        <v>61.269999999999996</v>
      </c>
      <c r="N80" s="1120"/>
      <c r="O80" s="1819">
        <v>159.13000000000002</v>
      </c>
      <c r="P80" s="1120"/>
      <c r="Q80" s="1548">
        <f t="shared" si="64"/>
        <v>220.40000000000003</v>
      </c>
      <c r="R80" s="1120"/>
      <c r="S80" s="1819">
        <v>14.78</v>
      </c>
      <c r="T80" s="1120"/>
      <c r="U80" s="1548">
        <f t="shared" si="65"/>
        <v>235.18000000000004</v>
      </c>
      <c r="V80" s="1120"/>
      <c r="W80" s="1819">
        <v>39.56</v>
      </c>
      <c r="X80" s="189"/>
      <c r="Y80" s="1070">
        <f t="shared" si="72"/>
        <v>213.47000000000003</v>
      </c>
      <c r="Z80" s="1819"/>
      <c r="AA80" s="513">
        <f t="shared" si="69"/>
        <v>274.74</v>
      </c>
      <c r="AB80" s="1819"/>
      <c r="AC80" s="1819"/>
      <c r="AD80" s="1819"/>
      <c r="AE80" s="1599">
        <f t="shared" si="60"/>
        <v>274.74</v>
      </c>
      <c r="AF80" s="1819"/>
      <c r="AG80" s="1819"/>
      <c r="AH80" s="1819"/>
      <c r="AI80" s="4625">
        <f t="shared" ref="AI80:AI99" si="81">+AE80+AG80</f>
        <v>274.74</v>
      </c>
      <c r="AJ80" s="1819"/>
      <c r="AK80" s="1819">
        <v>34.53</v>
      </c>
      <c r="AL80" s="1819"/>
      <c r="AM80" s="1070">
        <f t="shared" si="78"/>
        <v>34.53</v>
      </c>
      <c r="AN80" s="1819"/>
      <c r="AO80" s="1599">
        <f t="shared" si="74"/>
        <v>309.27</v>
      </c>
      <c r="AP80" s="1819"/>
      <c r="AQ80" s="1819">
        <v>45.94</v>
      </c>
      <c r="AR80" s="1819"/>
      <c r="AS80" s="1599">
        <f t="shared" si="61"/>
        <v>355.21</v>
      </c>
      <c r="AT80" s="1819"/>
      <c r="AU80" s="1819">
        <v>19.059999999999999</v>
      </c>
      <c r="AV80" s="1819"/>
      <c r="AW80" s="1599">
        <f t="shared" si="62"/>
        <v>374.27</v>
      </c>
      <c r="AX80" s="1819"/>
      <c r="AY80" s="1819">
        <v>114.3</v>
      </c>
      <c r="AZ80" s="1819"/>
      <c r="BA80" s="1070">
        <f t="shared" si="71"/>
        <v>179.3</v>
      </c>
      <c r="BB80" s="1819"/>
      <c r="BC80" s="513">
        <f t="shared" si="73"/>
        <v>213.83</v>
      </c>
      <c r="BD80" s="1819"/>
      <c r="BE80" s="352">
        <f t="shared" si="79"/>
        <v>488.57</v>
      </c>
      <c r="BF80" s="1137"/>
      <c r="BI80" s="25"/>
      <c r="BJ80" s="25"/>
    </row>
    <row r="81" spans="1:62" s="4487" customFormat="1" hidden="1" x14ac:dyDescent="0.25">
      <c r="B81" s="5170" t="s">
        <v>2255</v>
      </c>
      <c r="C81" s="7598" t="s">
        <v>352</v>
      </c>
      <c r="D81" s="6365"/>
      <c r="E81" s="6365"/>
      <c r="F81" s="6365"/>
      <c r="G81" s="6365"/>
      <c r="H81" s="6760"/>
      <c r="I81" s="6910"/>
      <c r="J81" s="6365"/>
      <c r="K81" s="6365"/>
      <c r="L81" s="6767"/>
      <c r="M81" s="6759"/>
      <c r="N81" s="6365"/>
      <c r="O81" s="6365"/>
      <c r="P81" s="6365"/>
      <c r="Q81" s="6760"/>
      <c r="R81" s="6365"/>
      <c r="S81" s="6365"/>
      <c r="T81" s="6365"/>
      <c r="U81" s="6760"/>
      <c r="V81" s="6365"/>
      <c r="W81" s="6365"/>
      <c r="X81" s="6767"/>
      <c r="Y81" s="6759"/>
      <c r="Z81" s="6365"/>
      <c r="AA81" s="6908"/>
      <c r="AB81" s="6365"/>
      <c r="AC81" s="6365"/>
      <c r="AD81" s="6365"/>
      <c r="AE81" s="6775"/>
      <c r="AF81" s="6365"/>
      <c r="AG81" s="6365"/>
      <c r="AH81" s="6365"/>
      <c r="AI81" s="6366"/>
      <c r="AJ81" s="6365"/>
      <c r="AK81" s="6365"/>
      <c r="AL81" s="6365"/>
      <c r="AM81" s="6759"/>
      <c r="AN81" s="6365"/>
      <c r="AO81" s="6775"/>
      <c r="AP81" s="6365"/>
      <c r="AQ81" s="6365"/>
      <c r="AR81" s="6365"/>
      <c r="AS81" s="6775"/>
      <c r="AT81" s="6365"/>
      <c r="AU81" s="6365">
        <v>6.67</v>
      </c>
      <c r="AV81" s="6365"/>
      <c r="AW81" s="1599">
        <f t="shared" si="62"/>
        <v>6.67</v>
      </c>
      <c r="AX81" s="6365"/>
      <c r="AY81" s="6365">
        <v>8.2200000000000006</v>
      </c>
      <c r="AZ81" s="6365"/>
      <c r="BA81" s="1070">
        <f t="shared" ref="BA81" si="82">+AQ81+AU81+AY81</f>
        <v>14.89</v>
      </c>
      <c r="BB81" s="1819"/>
      <c r="BC81" s="513">
        <f t="shared" ref="BC81" si="83">BA81+AM81</f>
        <v>14.89</v>
      </c>
      <c r="BD81" s="1819"/>
      <c r="BE81" s="7018">
        <f t="shared" ref="BE81" si="84">+AW81+AY81</f>
        <v>14.89</v>
      </c>
      <c r="BF81" s="1137"/>
      <c r="BI81" s="25"/>
      <c r="BJ81" s="25"/>
    </row>
    <row r="82" spans="1:62" ht="18" customHeight="1" x14ac:dyDescent="0.25">
      <c r="B82" s="8" t="s">
        <v>1812</v>
      </c>
      <c r="C82" s="148" t="s">
        <v>352</v>
      </c>
      <c r="D82" s="1819"/>
      <c r="E82" s="1819">
        <v>29.65</v>
      </c>
      <c r="F82" s="1120"/>
      <c r="G82" s="1819"/>
      <c r="H82" s="1548"/>
      <c r="I82" s="1551">
        <f t="shared" si="80"/>
        <v>29.65</v>
      </c>
      <c r="J82" s="1120"/>
      <c r="K82" s="1819">
        <v>129.52000000000001</v>
      </c>
      <c r="L82" s="189"/>
      <c r="M82" s="1070">
        <f t="shared" si="40"/>
        <v>159.17000000000002</v>
      </c>
      <c r="N82" s="1120"/>
      <c r="O82" s="1819"/>
      <c r="P82" s="1120"/>
      <c r="Q82" s="1548">
        <f t="shared" si="64"/>
        <v>159.17000000000002</v>
      </c>
      <c r="R82" s="1120"/>
      <c r="S82" s="1819">
        <v>14.98</v>
      </c>
      <c r="T82" s="1120"/>
      <c r="U82" s="1548">
        <f t="shared" si="65"/>
        <v>174.15</v>
      </c>
      <c r="V82" s="1120"/>
      <c r="W82" s="1819"/>
      <c r="X82" s="189"/>
      <c r="Y82" s="1070">
        <f t="shared" si="72"/>
        <v>14.98</v>
      </c>
      <c r="Z82" s="1819"/>
      <c r="AA82" s="513">
        <f t="shared" si="69"/>
        <v>174.15</v>
      </c>
      <c r="AB82" s="1819"/>
      <c r="AC82" s="1819"/>
      <c r="AD82" s="1819"/>
      <c r="AE82" s="1599">
        <f t="shared" si="60"/>
        <v>174.15</v>
      </c>
      <c r="AF82" s="1819"/>
      <c r="AG82" s="1819"/>
      <c r="AH82" s="1819"/>
      <c r="AI82" s="4625">
        <f t="shared" si="81"/>
        <v>174.15</v>
      </c>
      <c r="AJ82" s="1819"/>
      <c r="AK82" s="1819">
        <v>19.64</v>
      </c>
      <c r="AL82" s="1819"/>
      <c r="AM82" s="1070">
        <f t="shared" si="78"/>
        <v>19.64</v>
      </c>
      <c r="AN82" s="1819"/>
      <c r="AO82" s="1599">
        <f t="shared" si="74"/>
        <v>193.79000000000002</v>
      </c>
      <c r="AP82" s="1819"/>
      <c r="AQ82" s="1819">
        <v>19.559999999999999</v>
      </c>
      <c r="AR82" s="1819"/>
      <c r="AS82" s="1599">
        <f t="shared" si="61"/>
        <v>213.35000000000002</v>
      </c>
      <c r="AT82" s="1819"/>
      <c r="AU82" s="1819"/>
      <c r="AV82" s="1819"/>
      <c r="AW82" s="1599">
        <f t="shared" si="62"/>
        <v>213.35000000000002</v>
      </c>
      <c r="AX82" s="1819"/>
      <c r="AY82" s="1819"/>
      <c r="AZ82" s="1819"/>
      <c r="BA82" s="1070">
        <f t="shared" si="71"/>
        <v>19.559999999999999</v>
      </c>
      <c r="BB82" s="1819"/>
      <c r="BC82" s="513">
        <f t="shared" si="73"/>
        <v>39.200000000000003</v>
      </c>
      <c r="BD82" s="1819"/>
      <c r="BE82" s="352">
        <f t="shared" si="79"/>
        <v>213.35000000000002</v>
      </c>
      <c r="BF82" s="1137"/>
      <c r="BI82" s="25"/>
      <c r="BJ82" s="25"/>
    </row>
    <row r="83" spans="1:62" hidden="1" x14ac:dyDescent="0.25">
      <c r="B83" s="8" t="s">
        <v>1372</v>
      </c>
      <c r="C83" s="148" t="s">
        <v>352</v>
      </c>
      <c r="D83" s="1819"/>
      <c r="E83" s="1819"/>
      <c r="F83" s="1120"/>
      <c r="G83" s="1819"/>
      <c r="H83" s="1548"/>
      <c r="I83" s="1551">
        <f t="shared" si="80"/>
        <v>0</v>
      </c>
      <c r="J83" s="1120"/>
      <c r="K83" s="1819">
        <v>14.13</v>
      </c>
      <c r="L83" s="189"/>
      <c r="M83" s="1070">
        <f t="shared" si="40"/>
        <v>14.13</v>
      </c>
      <c r="N83" s="1120"/>
      <c r="O83" s="1819">
        <v>15.509999999999998</v>
      </c>
      <c r="P83" s="1120"/>
      <c r="Q83" s="1548">
        <f t="shared" si="64"/>
        <v>29.64</v>
      </c>
      <c r="R83" s="1120"/>
      <c r="S83" s="1819"/>
      <c r="T83" s="1120"/>
      <c r="U83" s="1548">
        <f t="shared" si="65"/>
        <v>29.64</v>
      </c>
      <c r="V83" s="1120"/>
      <c r="W83" s="1819"/>
      <c r="X83" s="189"/>
      <c r="Y83" s="1070">
        <f t="shared" si="72"/>
        <v>15.509999999999998</v>
      </c>
      <c r="Z83" s="1819"/>
      <c r="AA83" s="513">
        <f t="shared" si="69"/>
        <v>29.64</v>
      </c>
      <c r="AB83" s="1819"/>
      <c r="AC83" s="1819"/>
      <c r="AD83" s="1819"/>
      <c r="AE83" s="1599">
        <f t="shared" si="60"/>
        <v>29.64</v>
      </c>
      <c r="AF83" s="1819"/>
      <c r="AG83" s="1819"/>
      <c r="AH83" s="1819"/>
      <c r="AI83" s="4625">
        <f t="shared" si="81"/>
        <v>29.64</v>
      </c>
      <c r="AJ83" s="1819"/>
      <c r="AK83" s="1819">
        <v>15.81</v>
      </c>
      <c r="AL83" s="1819"/>
      <c r="AM83" s="1070">
        <f t="shared" si="78"/>
        <v>15.81</v>
      </c>
      <c r="AN83" s="1819"/>
      <c r="AO83" s="1599">
        <f t="shared" si="74"/>
        <v>45.45</v>
      </c>
      <c r="AP83" s="1819"/>
      <c r="AQ83" s="1819"/>
      <c r="AR83" s="1819"/>
      <c r="AS83" s="1599">
        <f t="shared" si="61"/>
        <v>45.45</v>
      </c>
      <c r="AT83" s="1819"/>
      <c r="AU83" s="1819">
        <v>14.069999999999999</v>
      </c>
      <c r="AV83" s="1819"/>
      <c r="AW83" s="1599">
        <f t="shared" si="62"/>
        <v>59.52</v>
      </c>
      <c r="AX83" s="1819"/>
      <c r="AY83" s="1819">
        <v>9.85</v>
      </c>
      <c r="AZ83" s="1819"/>
      <c r="BA83" s="1070">
        <f t="shared" si="71"/>
        <v>23.919999999999998</v>
      </c>
      <c r="BB83" s="1819"/>
      <c r="BC83" s="513">
        <f t="shared" si="73"/>
        <v>39.729999999999997</v>
      </c>
      <c r="BD83" s="1819"/>
      <c r="BE83" s="352">
        <f t="shared" si="79"/>
        <v>69.37</v>
      </c>
      <c r="BF83" s="1137"/>
      <c r="BI83" s="25"/>
      <c r="BJ83" s="25"/>
    </row>
    <row r="84" spans="1:62" s="4487" customFormat="1" hidden="1" x14ac:dyDescent="0.25">
      <c r="B84" s="5170" t="s">
        <v>2251</v>
      </c>
      <c r="C84" s="6900" t="s">
        <v>352</v>
      </c>
      <c r="D84" s="6365"/>
      <c r="E84" s="6365"/>
      <c r="F84" s="6365"/>
      <c r="G84" s="6365"/>
      <c r="H84" s="6760"/>
      <c r="I84" s="6910"/>
      <c r="J84" s="6365"/>
      <c r="K84" s="6365"/>
      <c r="L84" s="6767"/>
      <c r="M84" s="6759"/>
      <c r="N84" s="6365"/>
      <c r="O84" s="6365"/>
      <c r="P84" s="6365"/>
      <c r="Q84" s="6760"/>
      <c r="R84" s="6365"/>
      <c r="S84" s="6365"/>
      <c r="T84" s="6365"/>
      <c r="U84" s="6760"/>
      <c r="V84" s="6365"/>
      <c r="W84" s="6365"/>
      <c r="X84" s="6767"/>
      <c r="Y84" s="6759"/>
      <c r="Z84" s="6365"/>
      <c r="AA84" s="6908"/>
      <c r="AB84" s="6365"/>
      <c r="AC84" s="6365"/>
      <c r="AD84" s="6365"/>
      <c r="AE84" s="6775"/>
      <c r="AF84" s="6365"/>
      <c r="AG84" s="6365"/>
      <c r="AH84" s="6365"/>
      <c r="AI84" s="6366"/>
      <c r="AJ84" s="6365"/>
      <c r="AK84" s="6365"/>
      <c r="AL84" s="6365"/>
      <c r="AM84" s="6759"/>
      <c r="AN84" s="6365"/>
      <c r="AO84" s="6775"/>
      <c r="AP84" s="6365"/>
      <c r="AQ84" s="6365"/>
      <c r="AR84" s="6365"/>
      <c r="AS84" s="6775"/>
      <c r="AT84" s="6365"/>
      <c r="AU84" s="6365">
        <v>110</v>
      </c>
      <c r="AV84" s="6365"/>
      <c r="AW84" s="1599">
        <f t="shared" si="62"/>
        <v>110</v>
      </c>
      <c r="AX84" s="6365"/>
      <c r="AY84" s="6365"/>
      <c r="AZ84" s="6365"/>
      <c r="BA84" s="1070">
        <f t="shared" ref="BA84" si="85">+AQ84+AU84+AY84</f>
        <v>110</v>
      </c>
      <c r="BB84" s="1819"/>
      <c r="BC84" s="513">
        <f t="shared" ref="BC84" si="86">BA84+AM84</f>
        <v>110</v>
      </c>
      <c r="BD84" s="1819"/>
      <c r="BE84" s="7018">
        <f t="shared" ref="BE84" si="87">+AW84+AY84</f>
        <v>110</v>
      </c>
      <c r="BF84" s="1137"/>
      <c r="BI84" s="25"/>
      <c r="BJ84" s="25"/>
    </row>
    <row r="85" spans="1:62" hidden="1" x14ac:dyDescent="0.25">
      <c r="B85" s="8" t="s">
        <v>1968</v>
      </c>
      <c r="C85" s="148" t="s">
        <v>352</v>
      </c>
      <c r="D85" s="565"/>
      <c r="E85" s="565"/>
      <c r="F85" s="565"/>
      <c r="G85" s="565">
        <v>60.040000000000006</v>
      </c>
      <c r="H85" s="1550"/>
      <c r="I85" s="1548">
        <f t="shared" ref="I85:I110" si="88">+E85+G85</f>
        <v>60.040000000000006</v>
      </c>
      <c r="J85" s="565"/>
      <c r="K85" s="565"/>
      <c r="L85" s="189"/>
      <c r="M85" s="1070">
        <f t="shared" si="40"/>
        <v>60.040000000000006</v>
      </c>
      <c r="N85" s="565"/>
      <c r="O85" s="565"/>
      <c r="P85" s="565"/>
      <c r="Q85" s="1548">
        <f t="shared" si="64"/>
        <v>60.040000000000006</v>
      </c>
      <c r="R85" s="565"/>
      <c r="S85" s="565">
        <v>8.83</v>
      </c>
      <c r="T85" s="565"/>
      <c r="U85" s="1548">
        <f t="shared" si="65"/>
        <v>68.87</v>
      </c>
      <c r="V85" s="565"/>
      <c r="W85" s="565"/>
      <c r="X85" s="189"/>
      <c r="Y85" s="1070">
        <f t="shared" si="72"/>
        <v>8.83</v>
      </c>
      <c r="Z85" s="565"/>
      <c r="AA85" s="492">
        <f t="shared" si="69"/>
        <v>68.87</v>
      </c>
      <c r="AB85" s="565"/>
      <c r="AC85" s="565"/>
      <c r="AD85" s="565"/>
      <c r="AE85" s="1599">
        <f t="shared" si="60"/>
        <v>68.87</v>
      </c>
      <c r="AF85" s="565"/>
      <c r="AG85" s="565"/>
      <c r="AH85" s="565"/>
      <c r="AI85" s="4625">
        <f t="shared" si="81"/>
        <v>68.87</v>
      </c>
      <c r="AJ85" s="565"/>
      <c r="AK85" s="565"/>
      <c r="AL85" s="565"/>
      <c r="AM85" s="1070">
        <f t="shared" si="78"/>
        <v>0</v>
      </c>
      <c r="AN85" s="565"/>
      <c r="AO85" s="1599">
        <f t="shared" si="74"/>
        <v>68.87</v>
      </c>
      <c r="AP85" s="565"/>
      <c r="AQ85" s="565"/>
      <c r="AR85" s="565"/>
      <c r="AS85" s="1599">
        <f t="shared" si="61"/>
        <v>68.87</v>
      </c>
      <c r="AT85" s="565"/>
      <c r="AU85" s="565"/>
      <c r="AV85" s="565"/>
      <c r="AW85" s="1599">
        <f t="shared" si="62"/>
        <v>68.87</v>
      </c>
      <c r="AX85" s="565"/>
      <c r="AY85" s="565"/>
      <c r="AZ85" s="565"/>
      <c r="BA85" s="1070">
        <f t="shared" si="71"/>
        <v>0</v>
      </c>
      <c r="BB85" s="565"/>
      <c r="BC85" s="492">
        <f t="shared" si="73"/>
        <v>0</v>
      </c>
      <c r="BD85" s="565"/>
      <c r="BE85" s="235">
        <f>+AW85+AY85</f>
        <v>68.87</v>
      </c>
      <c r="BF85" s="1137"/>
      <c r="BI85" s="25"/>
      <c r="BJ85" s="25"/>
    </row>
    <row r="86" spans="1:62" s="4487" customFormat="1" hidden="1" x14ac:dyDescent="0.25">
      <c r="B86" s="5170" t="s">
        <v>2223</v>
      </c>
      <c r="C86" s="6900" t="s">
        <v>352</v>
      </c>
      <c r="D86" s="6755"/>
      <c r="E86" s="6755"/>
      <c r="F86" s="6755"/>
      <c r="G86" s="6755"/>
      <c r="H86" s="6756"/>
      <c r="I86" s="6760"/>
      <c r="J86" s="6755"/>
      <c r="K86" s="6755"/>
      <c r="L86" s="6767"/>
      <c r="M86" s="6759"/>
      <c r="N86" s="6755"/>
      <c r="O86" s="6755"/>
      <c r="P86" s="6755"/>
      <c r="Q86" s="6760"/>
      <c r="R86" s="6755"/>
      <c r="S86" s="6755"/>
      <c r="T86" s="6755"/>
      <c r="U86" s="6760"/>
      <c r="V86" s="6755"/>
      <c r="W86" s="6755"/>
      <c r="X86" s="6767"/>
      <c r="Y86" s="6759"/>
      <c r="Z86" s="6755"/>
      <c r="AA86" s="6761"/>
      <c r="AB86" s="6755"/>
      <c r="AC86" s="6755"/>
      <c r="AD86" s="6755"/>
      <c r="AE86" s="6775"/>
      <c r="AF86" s="6755"/>
      <c r="AG86" s="6755"/>
      <c r="AH86" s="6755"/>
      <c r="AI86" s="6366"/>
      <c r="AJ86" s="6755"/>
      <c r="AK86" s="6755"/>
      <c r="AL86" s="6755"/>
      <c r="AM86" s="6759"/>
      <c r="AN86" s="6755"/>
      <c r="AO86" s="6775"/>
      <c r="AP86" s="6755"/>
      <c r="AQ86" s="6755">
        <v>898.86</v>
      </c>
      <c r="AR86" s="6755"/>
      <c r="AS86" s="1599">
        <f t="shared" si="61"/>
        <v>898.86</v>
      </c>
      <c r="AT86" s="6755"/>
      <c r="AU86" s="6755">
        <v>100.53</v>
      </c>
      <c r="AV86" s="6755"/>
      <c r="AW86" s="1599">
        <f t="shared" si="62"/>
        <v>999.39</v>
      </c>
      <c r="AX86" s="6755"/>
      <c r="AY86" s="6755"/>
      <c r="AZ86" s="6755"/>
      <c r="BA86" s="1070">
        <f t="shared" si="71"/>
        <v>999.39</v>
      </c>
      <c r="BB86" s="6755"/>
      <c r="BC86" s="492">
        <f t="shared" si="73"/>
        <v>999.39</v>
      </c>
      <c r="BD86" s="6755"/>
      <c r="BE86" s="235">
        <f t="shared" ref="BE86:BE87" si="89">+AW86+AY86</f>
        <v>999.39</v>
      </c>
      <c r="BF86" s="1137"/>
      <c r="BI86" s="25"/>
      <c r="BJ86" s="25"/>
    </row>
    <row r="87" spans="1:62" s="4487" customFormat="1" hidden="1" x14ac:dyDescent="0.25">
      <c r="B87" s="5170" t="s">
        <v>2222</v>
      </c>
      <c r="C87" s="6900" t="s">
        <v>352</v>
      </c>
      <c r="D87" s="6755"/>
      <c r="E87" s="6755"/>
      <c r="F87" s="6755"/>
      <c r="G87" s="6755"/>
      <c r="H87" s="6756"/>
      <c r="I87" s="6760"/>
      <c r="J87" s="6755"/>
      <c r="K87" s="6755"/>
      <c r="L87" s="6767"/>
      <c r="M87" s="6759"/>
      <c r="N87" s="6755"/>
      <c r="O87" s="6755"/>
      <c r="P87" s="6755"/>
      <c r="Q87" s="6760"/>
      <c r="R87" s="6755"/>
      <c r="S87" s="6755"/>
      <c r="T87" s="6755"/>
      <c r="U87" s="6760"/>
      <c r="V87" s="6755"/>
      <c r="W87" s="6755"/>
      <c r="X87" s="6767"/>
      <c r="Y87" s="6759"/>
      <c r="Z87" s="6755"/>
      <c r="AA87" s="6761"/>
      <c r="AB87" s="6755"/>
      <c r="AC87" s="6755"/>
      <c r="AD87" s="6755"/>
      <c r="AE87" s="6775"/>
      <c r="AF87" s="6755"/>
      <c r="AG87" s="6755"/>
      <c r="AH87" s="6755"/>
      <c r="AI87" s="6366"/>
      <c r="AJ87" s="6755"/>
      <c r="AK87" s="6755"/>
      <c r="AL87" s="6755"/>
      <c r="AM87" s="6759"/>
      <c r="AN87" s="6755"/>
      <c r="AO87" s="6775"/>
      <c r="AP87" s="6755"/>
      <c r="AQ87" s="6755">
        <v>4.42</v>
      </c>
      <c r="AR87" s="6755"/>
      <c r="AS87" s="1599">
        <f t="shared" si="61"/>
        <v>4.42</v>
      </c>
      <c r="AT87" s="6755"/>
      <c r="AU87" s="6755"/>
      <c r="AV87" s="6755"/>
      <c r="AW87" s="1599">
        <f t="shared" si="62"/>
        <v>4.42</v>
      </c>
      <c r="AX87" s="6755"/>
      <c r="AY87" s="6755"/>
      <c r="AZ87" s="6755"/>
      <c r="BA87" s="1070">
        <f t="shared" si="71"/>
        <v>4.42</v>
      </c>
      <c r="BB87" s="6755"/>
      <c r="BC87" s="492">
        <f t="shared" si="73"/>
        <v>4.42</v>
      </c>
      <c r="BD87" s="6755"/>
      <c r="BE87" s="235">
        <f t="shared" si="89"/>
        <v>4.42</v>
      </c>
      <c r="BF87" s="1137"/>
      <c r="BI87" s="25"/>
      <c r="BJ87" s="25"/>
    </row>
    <row r="88" spans="1:62" s="4487" customFormat="1" hidden="1" x14ac:dyDescent="0.25">
      <c r="B88" s="8" t="s">
        <v>2034</v>
      </c>
      <c r="C88" s="4610" t="s">
        <v>352</v>
      </c>
      <c r="D88" s="4614"/>
      <c r="E88" s="4614"/>
      <c r="F88" s="4614"/>
      <c r="G88" s="4614"/>
      <c r="H88" s="4615"/>
      <c r="I88" s="1548">
        <f t="shared" si="88"/>
        <v>0</v>
      </c>
      <c r="J88" s="4614"/>
      <c r="K88" s="4614"/>
      <c r="L88" s="4619"/>
      <c r="M88" s="1070">
        <f t="shared" si="40"/>
        <v>0</v>
      </c>
      <c r="N88" s="4614"/>
      <c r="O88" s="4614"/>
      <c r="P88" s="4614"/>
      <c r="Q88" s="1548">
        <f t="shared" si="64"/>
        <v>0</v>
      </c>
      <c r="R88" s="4614"/>
      <c r="S88" s="4614">
        <v>14.8</v>
      </c>
      <c r="T88" s="4614"/>
      <c r="U88" s="1548">
        <f t="shared" si="65"/>
        <v>14.8</v>
      </c>
      <c r="V88" s="4614"/>
      <c r="W88" s="4614"/>
      <c r="X88" s="4619"/>
      <c r="Y88" s="1070">
        <f t="shared" ref="Y88" si="90">+O88+S88+W88</f>
        <v>14.8</v>
      </c>
      <c r="Z88" s="565"/>
      <c r="AA88" s="492">
        <f t="shared" ref="AA88" si="91">M88+Y88</f>
        <v>14.8</v>
      </c>
      <c r="AB88" s="4614"/>
      <c r="AC88" s="4614"/>
      <c r="AD88" s="4614"/>
      <c r="AE88" s="1599">
        <f t="shared" si="60"/>
        <v>14.8</v>
      </c>
      <c r="AF88" s="4614"/>
      <c r="AG88" s="4614"/>
      <c r="AH88" s="4614"/>
      <c r="AI88" s="4625">
        <f t="shared" si="81"/>
        <v>14.8</v>
      </c>
      <c r="AJ88" s="4614"/>
      <c r="AK88" s="4614"/>
      <c r="AL88" s="4614"/>
      <c r="AM88" s="1070">
        <f t="shared" si="78"/>
        <v>0</v>
      </c>
      <c r="AN88" s="4614"/>
      <c r="AO88" s="1599">
        <f t="shared" si="74"/>
        <v>14.8</v>
      </c>
      <c r="AP88" s="4614"/>
      <c r="AQ88" s="4614"/>
      <c r="AR88" s="4614"/>
      <c r="AS88" s="1599">
        <f t="shared" si="61"/>
        <v>14.8</v>
      </c>
      <c r="AT88" s="4614"/>
      <c r="AU88" s="4614"/>
      <c r="AV88" s="4614"/>
      <c r="AW88" s="1599">
        <f t="shared" si="62"/>
        <v>14.8</v>
      </c>
      <c r="AX88" s="4614"/>
      <c r="AY88" s="4614"/>
      <c r="AZ88" s="4614"/>
      <c r="BA88" s="1070">
        <f t="shared" ref="BA88:BA89" si="92">+AQ88+AU88+AY88</f>
        <v>0</v>
      </c>
      <c r="BB88" s="565"/>
      <c r="BC88" s="492">
        <f t="shared" ref="BC88:BC89" si="93">BA88+AM88</f>
        <v>0</v>
      </c>
      <c r="BD88" s="4614"/>
      <c r="BE88" s="235">
        <f t="shared" ref="BE88:BE89" si="94">+AW88+AY88</f>
        <v>14.8</v>
      </c>
      <c r="BF88" s="1137"/>
      <c r="BI88" s="25"/>
      <c r="BJ88" s="25"/>
    </row>
    <row r="89" spans="1:62" hidden="1" x14ac:dyDescent="0.25">
      <c r="A89" s="1646"/>
      <c r="B89" s="8" t="s">
        <v>2035</v>
      </c>
      <c r="C89" s="148" t="s">
        <v>352</v>
      </c>
      <c r="D89" s="565"/>
      <c r="E89" s="565"/>
      <c r="F89" s="565"/>
      <c r="G89" s="565"/>
      <c r="H89" s="1550"/>
      <c r="I89" s="1548">
        <f t="shared" si="88"/>
        <v>0</v>
      </c>
      <c r="J89" s="565"/>
      <c r="K89" s="565"/>
      <c r="L89" s="189"/>
      <c r="M89" s="1070">
        <f t="shared" si="40"/>
        <v>0</v>
      </c>
      <c r="N89" s="565"/>
      <c r="O89" s="565"/>
      <c r="P89" s="565"/>
      <c r="Q89" s="1548">
        <f t="shared" si="64"/>
        <v>0</v>
      </c>
      <c r="R89" s="565"/>
      <c r="S89" s="565">
        <v>49.83</v>
      </c>
      <c r="T89" s="565"/>
      <c r="U89" s="1548">
        <f t="shared" si="65"/>
        <v>49.83</v>
      </c>
      <c r="V89" s="565"/>
      <c r="W89" s="565"/>
      <c r="X89" s="189"/>
      <c r="Y89" s="1070">
        <f t="shared" si="72"/>
        <v>49.83</v>
      </c>
      <c r="Z89" s="565"/>
      <c r="AA89" s="492">
        <f t="shared" si="69"/>
        <v>49.83</v>
      </c>
      <c r="AB89" s="565"/>
      <c r="AC89" s="565"/>
      <c r="AD89" s="565"/>
      <c r="AE89" s="1599">
        <f t="shared" si="60"/>
        <v>49.83</v>
      </c>
      <c r="AF89" s="565"/>
      <c r="AG89" s="565"/>
      <c r="AH89" s="565"/>
      <c r="AI89" s="4625">
        <f t="shared" si="81"/>
        <v>49.83</v>
      </c>
      <c r="AJ89" s="565"/>
      <c r="AK89" s="565"/>
      <c r="AL89" s="565"/>
      <c r="AM89" s="1070">
        <f t="shared" si="78"/>
        <v>0</v>
      </c>
      <c r="AN89" s="565"/>
      <c r="AO89" s="1599">
        <f t="shared" si="74"/>
        <v>49.83</v>
      </c>
      <c r="AP89" s="565"/>
      <c r="AQ89" s="565"/>
      <c r="AR89" s="565"/>
      <c r="AS89" s="1599">
        <f t="shared" si="61"/>
        <v>49.83</v>
      </c>
      <c r="AT89" s="565"/>
      <c r="AU89" s="565">
        <v>59.17</v>
      </c>
      <c r="AV89" s="565"/>
      <c r="AW89" s="1599">
        <f t="shared" si="62"/>
        <v>109</v>
      </c>
      <c r="AX89" s="565"/>
      <c r="AY89" s="565"/>
      <c r="AZ89" s="565"/>
      <c r="BA89" s="1070">
        <f t="shared" si="92"/>
        <v>59.17</v>
      </c>
      <c r="BB89" s="565"/>
      <c r="BC89" s="492">
        <f t="shared" si="93"/>
        <v>59.17</v>
      </c>
      <c r="BD89" s="565"/>
      <c r="BE89" s="235">
        <f t="shared" si="94"/>
        <v>109</v>
      </c>
      <c r="BF89" s="1137"/>
      <c r="BI89" s="25"/>
      <c r="BJ89" s="25"/>
    </row>
    <row r="90" spans="1:62" hidden="1" x14ac:dyDescent="0.25">
      <c r="B90" s="8" t="s">
        <v>1714</v>
      </c>
      <c r="C90" s="148" t="s">
        <v>352</v>
      </c>
      <c r="D90" s="1819"/>
      <c r="E90" s="1819"/>
      <c r="F90" s="1120"/>
      <c r="G90" s="1819">
        <v>3</v>
      </c>
      <c r="H90" s="1548"/>
      <c r="I90" s="1548">
        <f t="shared" si="88"/>
        <v>3</v>
      </c>
      <c r="J90" s="1120"/>
      <c r="K90" s="1819">
        <v>13</v>
      </c>
      <c r="L90" s="189"/>
      <c r="M90" s="1070">
        <f t="shared" si="40"/>
        <v>16</v>
      </c>
      <c r="N90" s="1120"/>
      <c r="O90" s="1819"/>
      <c r="P90" s="1120"/>
      <c r="Q90" s="1548">
        <f t="shared" si="64"/>
        <v>16</v>
      </c>
      <c r="R90" s="1120"/>
      <c r="S90" s="1819"/>
      <c r="T90" s="1120"/>
      <c r="U90" s="1548">
        <f t="shared" si="65"/>
        <v>16</v>
      </c>
      <c r="V90" s="1120"/>
      <c r="W90" s="1819">
        <v>82</v>
      </c>
      <c r="X90" s="189"/>
      <c r="Y90" s="1070">
        <f t="shared" si="72"/>
        <v>82</v>
      </c>
      <c r="Z90" s="1819"/>
      <c r="AA90" s="513">
        <f t="shared" si="69"/>
        <v>98</v>
      </c>
      <c r="AB90" s="1819"/>
      <c r="AC90" s="1819">
        <v>182</v>
      </c>
      <c r="AD90" s="1819"/>
      <c r="AE90" s="1599">
        <f t="shared" si="60"/>
        <v>280</v>
      </c>
      <c r="AF90" s="1819"/>
      <c r="AG90" s="1819">
        <v>237</v>
      </c>
      <c r="AH90" s="1819"/>
      <c r="AI90" s="4625">
        <f t="shared" si="81"/>
        <v>517</v>
      </c>
      <c r="AJ90" s="1819"/>
      <c r="AK90" s="1819">
        <v>862</v>
      </c>
      <c r="AL90" s="1819"/>
      <c r="AM90" s="1070">
        <f t="shared" si="78"/>
        <v>1281</v>
      </c>
      <c r="AN90" s="1819"/>
      <c r="AO90" s="1599">
        <f t="shared" si="74"/>
        <v>1379</v>
      </c>
      <c r="AP90" s="1819"/>
      <c r="AQ90" s="1819">
        <v>118</v>
      </c>
      <c r="AR90" s="1819"/>
      <c r="AS90" s="1599">
        <f t="shared" si="61"/>
        <v>1497</v>
      </c>
      <c r="AT90" s="1819"/>
      <c r="AU90" s="1819">
        <v>10</v>
      </c>
      <c r="AV90" s="1819"/>
      <c r="AW90" s="1599">
        <f t="shared" si="62"/>
        <v>1507</v>
      </c>
      <c r="AX90" s="1819"/>
      <c r="AY90" s="1819"/>
      <c r="AZ90" s="1819"/>
      <c r="BA90" s="1070">
        <f t="shared" si="71"/>
        <v>128</v>
      </c>
      <c r="BB90" s="1819"/>
      <c r="BC90" s="513">
        <f t="shared" si="73"/>
        <v>1409</v>
      </c>
      <c r="BD90" s="1819"/>
      <c r="BE90" s="352">
        <f t="shared" ref="BE90:BE100" si="95">+AW90+AY90</f>
        <v>1507</v>
      </c>
      <c r="BF90" s="1137"/>
      <c r="BI90" s="25"/>
      <c r="BJ90" s="25"/>
    </row>
    <row r="91" spans="1:62" x14ac:dyDescent="0.25">
      <c r="B91" s="8" t="s">
        <v>1074</v>
      </c>
      <c r="C91" s="148" t="s">
        <v>352</v>
      </c>
      <c r="D91" s="565"/>
      <c r="E91" s="565">
        <v>14.74</v>
      </c>
      <c r="F91" s="565"/>
      <c r="G91" s="565">
        <v>34.200000000000003</v>
      </c>
      <c r="H91" s="1550"/>
      <c r="I91" s="1548">
        <f t="shared" si="88"/>
        <v>48.940000000000005</v>
      </c>
      <c r="J91" s="565"/>
      <c r="K91" s="565">
        <v>15.6</v>
      </c>
      <c r="L91" s="189"/>
      <c r="M91" s="1070">
        <f t="shared" si="40"/>
        <v>64.540000000000006</v>
      </c>
      <c r="N91" s="565"/>
      <c r="O91" s="565">
        <v>37.17</v>
      </c>
      <c r="P91" s="565"/>
      <c r="Q91" s="1548">
        <f t="shared" si="64"/>
        <v>101.71000000000001</v>
      </c>
      <c r="R91" s="565"/>
      <c r="S91" s="565">
        <v>12.67</v>
      </c>
      <c r="T91" s="565"/>
      <c r="U91" s="1548">
        <f t="shared" si="65"/>
        <v>114.38000000000001</v>
      </c>
      <c r="V91" s="565"/>
      <c r="W91" s="565">
        <v>19.990000000000002</v>
      </c>
      <c r="X91" s="189"/>
      <c r="Y91" s="1070">
        <f t="shared" si="72"/>
        <v>69.830000000000013</v>
      </c>
      <c r="Z91" s="565"/>
      <c r="AA91" s="492">
        <f t="shared" si="69"/>
        <v>134.37</v>
      </c>
      <c r="AB91" s="565"/>
      <c r="AC91" s="565">
        <v>2.38</v>
      </c>
      <c r="AD91" s="565"/>
      <c r="AE91" s="1599">
        <f t="shared" si="60"/>
        <v>136.75</v>
      </c>
      <c r="AF91" s="565"/>
      <c r="AG91" s="565"/>
      <c r="AH91" s="565"/>
      <c r="AI91" s="4625">
        <f t="shared" si="81"/>
        <v>136.75</v>
      </c>
      <c r="AJ91" s="565"/>
      <c r="AK91" s="565">
        <v>2.14</v>
      </c>
      <c r="AL91" s="565"/>
      <c r="AM91" s="1070">
        <f t="shared" si="78"/>
        <v>4.5199999999999996</v>
      </c>
      <c r="AN91" s="565"/>
      <c r="AO91" s="1599">
        <f t="shared" si="74"/>
        <v>138.88999999999999</v>
      </c>
      <c r="AP91" s="565"/>
      <c r="AQ91" s="565">
        <v>12.36</v>
      </c>
      <c r="AR91" s="565"/>
      <c r="AS91" s="1599">
        <f t="shared" si="61"/>
        <v>151.25</v>
      </c>
      <c r="AT91" s="565"/>
      <c r="AU91" s="565">
        <v>12.43</v>
      </c>
      <c r="AV91" s="565"/>
      <c r="AW91" s="1599">
        <f t="shared" si="62"/>
        <v>163.68</v>
      </c>
      <c r="AX91" s="565"/>
      <c r="AY91" s="565"/>
      <c r="AZ91" s="565"/>
      <c r="BA91" s="1070">
        <f t="shared" si="71"/>
        <v>24.79</v>
      </c>
      <c r="BB91" s="565"/>
      <c r="BC91" s="492">
        <f t="shared" si="73"/>
        <v>29.31</v>
      </c>
      <c r="BD91" s="565"/>
      <c r="BE91" s="235">
        <f t="shared" si="95"/>
        <v>163.68</v>
      </c>
      <c r="BF91" s="1137"/>
      <c r="BI91" s="25"/>
      <c r="BJ91" s="25"/>
    </row>
    <row r="92" spans="1:62" ht="15.75" hidden="1" customHeight="1" x14ac:dyDescent="0.25">
      <c r="A92" s="139"/>
      <c r="B92" s="8" t="s">
        <v>634</v>
      </c>
      <c r="C92" s="148" t="s">
        <v>352</v>
      </c>
      <c r="D92" s="1819"/>
      <c r="E92" s="1819"/>
      <c r="F92" s="1120"/>
      <c r="G92" s="1819"/>
      <c r="H92" s="1548"/>
      <c r="I92" s="1548">
        <f t="shared" si="88"/>
        <v>0</v>
      </c>
      <c r="J92" s="1120"/>
      <c r="K92" s="1819">
        <v>881.95</v>
      </c>
      <c r="L92" s="189"/>
      <c r="M92" s="1070">
        <f t="shared" si="40"/>
        <v>881.95</v>
      </c>
      <c r="N92" s="1120"/>
      <c r="O92" s="1819">
        <v>75.539999999999992</v>
      </c>
      <c r="P92" s="1120"/>
      <c r="Q92" s="1548">
        <f t="shared" si="64"/>
        <v>957.49</v>
      </c>
      <c r="R92" s="1120"/>
      <c r="S92" s="1819"/>
      <c r="T92" s="1120"/>
      <c r="U92" s="1548">
        <f t="shared" si="65"/>
        <v>957.49</v>
      </c>
      <c r="V92" s="1120"/>
      <c r="W92" s="1819"/>
      <c r="X92" s="189"/>
      <c r="Y92" s="1070">
        <f t="shared" si="72"/>
        <v>75.539999999999992</v>
      </c>
      <c r="Z92" s="1819"/>
      <c r="AA92" s="513">
        <f t="shared" si="69"/>
        <v>957.49</v>
      </c>
      <c r="AB92" s="1819"/>
      <c r="AC92" s="1819"/>
      <c r="AD92" s="1819"/>
      <c r="AE92" s="1599">
        <f t="shared" si="60"/>
        <v>957.49</v>
      </c>
      <c r="AF92" s="1819"/>
      <c r="AG92" s="1819"/>
      <c r="AH92" s="1819"/>
      <c r="AI92" s="4625">
        <f t="shared" si="81"/>
        <v>957.49</v>
      </c>
      <c r="AJ92" s="1819"/>
      <c r="AK92" s="1819"/>
      <c r="AL92" s="1819"/>
      <c r="AM92" s="1070">
        <f t="shared" si="78"/>
        <v>0</v>
      </c>
      <c r="AN92" s="1819"/>
      <c r="AO92" s="1599">
        <f t="shared" si="74"/>
        <v>957.49</v>
      </c>
      <c r="AP92" s="1819"/>
      <c r="AQ92" s="1819"/>
      <c r="AR92" s="1819"/>
      <c r="AS92" s="1599">
        <f t="shared" si="61"/>
        <v>957.49</v>
      </c>
      <c r="AT92" s="1819"/>
      <c r="AU92" s="1819"/>
      <c r="AV92" s="1819"/>
      <c r="AW92" s="1599">
        <f t="shared" si="62"/>
        <v>957.49</v>
      </c>
      <c r="AX92" s="1819"/>
      <c r="AY92" s="1819"/>
      <c r="AZ92" s="1819"/>
      <c r="BA92" s="1070">
        <f t="shared" si="71"/>
        <v>0</v>
      </c>
      <c r="BB92" s="1819"/>
      <c r="BC92" s="513">
        <f t="shared" si="73"/>
        <v>0</v>
      </c>
      <c r="BD92" s="1819"/>
      <c r="BE92" s="352">
        <f t="shared" si="95"/>
        <v>957.49</v>
      </c>
      <c r="BF92" s="1137"/>
      <c r="BI92" s="25"/>
      <c r="BJ92" s="25"/>
    </row>
    <row r="93" spans="1:62" s="2095" customFormat="1" ht="15.75" hidden="1" customHeight="1" x14ac:dyDescent="0.25">
      <c r="A93" s="139"/>
      <c r="B93" s="8" t="s">
        <v>2196</v>
      </c>
      <c r="C93" s="148" t="s">
        <v>352</v>
      </c>
      <c r="D93" s="1819"/>
      <c r="E93" s="1819"/>
      <c r="F93" s="1819"/>
      <c r="G93" s="1819"/>
      <c r="H93" s="1548"/>
      <c r="I93" s="1548">
        <f t="shared" ref="I93:I96" si="96">+E93+G93</f>
        <v>0</v>
      </c>
      <c r="J93" s="1819"/>
      <c r="K93" s="1819"/>
      <c r="L93" s="189"/>
      <c r="M93" s="1070">
        <f t="shared" si="40"/>
        <v>0</v>
      </c>
      <c r="N93" s="1819"/>
      <c r="O93" s="1819"/>
      <c r="P93" s="1819"/>
      <c r="Q93" s="1548">
        <f t="shared" si="64"/>
        <v>0</v>
      </c>
      <c r="R93" s="1819"/>
      <c r="S93" s="1819"/>
      <c r="T93" s="1819"/>
      <c r="U93" s="1548">
        <f t="shared" si="65"/>
        <v>0</v>
      </c>
      <c r="V93" s="1819"/>
      <c r="W93" s="1819"/>
      <c r="X93" s="189"/>
      <c r="Y93" s="1070">
        <f t="shared" si="72"/>
        <v>0</v>
      </c>
      <c r="Z93" s="1819"/>
      <c r="AA93" s="513">
        <f t="shared" si="69"/>
        <v>0</v>
      </c>
      <c r="AB93" s="1819"/>
      <c r="AC93" s="1819"/>
      <c r="AD93" s="1819"/>
      <c r="AE93" s="1599">
        <f t="shared" si="60"/>
        <v>0</v>
      </c>
      <c r="AF93" s="1819"/>
      <c r="AG93" s="1819"/>
      <c r="AH93" s="1819"/>
      <c r="AI93" s="2236">
        <f t="shared" si="81"/>
        <v>0</v>
      </c>
      <c r="AJ93" s="1819"/>
      <c r="AK93" s="1819">
        <v>9.3699999999999992</v>
      </c>
      <c r="AL93" s="1819"/>
      <c r="AM93" s="1070">
        <f t="shared" si="78"/>
        <v>9.3699999999999992</v>
      </c>
      <c r="AN93" s="1819"/>
      <c r="AO93" s="1599">
        <f t="shared" si="74"/>
        <v>9.3699999999999992</v>
      </c>
      <c r="AP93" s="1819"/>
      <c r="AQ93" s="1819">
        <v>6.98</v>
      </c>
      <c r="AR93" s="1819"/>
      <c r="AS93" s="1599">
        <f t="shared" si="61"/>
        <v>16.350000000000001</v>
      </c>
      <c r="AT93" s="1819"/>
      <c r="AU93" s="1819"/>
      <c r="AV93" s="1819"/>
      <c r="AW93" s="1599">
        <f t="shared" si="62"/>
        <v>16.350000000000001</v>
      </c>
      <c r="AX93" s="1819"/>
      <c r="AY93" s="1819"/>
      <c r="AZ93" s="1819"/>
      <c r="BA93" s="1070">
        <f t="shared" si="71"/>
        <v>6.98</v>
      </c>
      <c r="BB93" s="1819"/>
      <c r="BC93" s="513">
        <f t="shared" si="73"/>
        <v>16.350000000000001</v>
      </c>
      <c r="BD93" s="1819"/>
      <c r="BE93" s="352">
        <f t="shared" si="95"/>
        <v>16.350000000000001</v>
      </c>
      <c r="BF93" s="1137"/>
      <c r="BI93" s="25"/>
      <c r="BJ93" s="25"/>
    </row>
    <row r="94" spans="1:62" s="2095" customFormat="1" ht="15.75" hidden="1" customHeight="1" x14ac:dyDescent="0.25">
      <c r="A94" s="139"/>
      <c r="B94" s="8" t="s">
        <v>843</v>
      </c>
      <c r="C94" s="148" t="s">
        <v>352</v>
      </c>
      <c r="D94" s="1819"/>
      <c r="E94" s="1819"/>
      <c r="F94" s="1819"/>
      <c r="G94" s="1819"/>
      <c r="H94" s="1548"/>
      <c r="I94" s="1548">
        <f t="shared" si="96"/>
        <v>0</v>
      </c>
      <c r="J94" s="1819"/>
      <c r="K94" s="1819"/>
      <c r="L94" s="189"/>
      <c r="M94" s="1070">
        <f t="shared" si="40"/>
        <v>0</v>
      </c>
      <c r="N94" s="1819"/>
      <c r="O94" s="1819"/>
      <c r="P94" s="1819"/>
      <c r="Q94" s="1548">
        <f t="shared" si="64"/>
        <v>0</v>
      </c>
      <c r="R94" s="1819"/>
      <c r="S94" s="1819"/>
      <c r="T94" s="1819"/>
      <c r="U94" s="1548">
        <f t="shared" si="65"/>
        <v>0</v>
      </c>
      <c r="V94" s="1819"/>
      <c r="W94" s="1819"/>
      <c r="X94" s="189"/>
      <c r="Y94" s="1070">
        <f t="shared" si="72"/>
        <v>0</v>
      </c>
      <c r="Z94" s="1819"/>
      <c r="AA94" s="513">
        <f t="shared" si="69"/>
        <v>0</v>
      </c>
      <c r="AB94" s="1819"/>
      <c r="AC94" s="1819">
        <v>156.16999999999999</v>
      </c>
      <c r="AD94" s="1819"/>
      <c r="AE94" s="1599">
        <f t="shared" si="60"/>
        <v>156.16999999999999</v>
      </c>
      <c r="AF94" s="1819"/>
      <c r="AG94" s="1819"/>
      <c r="AH94" s="1819"/>
      <c r="AI94" s="2236">
        <f t="shared" si="81"/>
        <v>156.16999999999999</v>
      </c>
      <c r="AJ94" s="1819"/>
      <c r="AK94" s="1819"/>
      <c r="AL94" s="1819"/>
      <c r="AM94" s="1070">
        <f t="shared" si="78"/>
        <v>156.16999999999999</v>
      </c>
      <c r="AN94" s="1819"/>
      <c r="AO94" s="1599">
        <f t="shared" si="74"/>
        <v>156.16999999999999</v>
      </c>
      <c r="AP94" s="1819"/>
      <c r="AQ94" s="1819"/>
      <c r="AR94" s="1819"/>
      <c r="AS94" s="2236">
        <f t="shared" ref="AS94:AS100" si="97">+AO94+AQ94</f>
        <v>156.16999999999999</v>
      </c>
      <c r="AT94" s="1819"/>
      <c r="AU94" s="1819"/>
      <c r="AV94" s="1819"/>
      <c r="AW94" s="5008">
        <f t="shared" si="62"/>
        <v>156.16999999999999</v>
      </c>
      <c r="AX94" s="1819"/>
      <c r="AY94" s="1819"/>
      <c r="AZ94" s="1819"/>
      <c r="BA94" s="1070">
        <f t="shared" si="71"/>
        <v>0</v>
      </c>
      <c r="BB94" s="1819"/>
      <c r="BC94" s="513">
        <f t="shared" si="73"/>
        <v>156.16999999999999</v>
      </c>
      <c r="BD94" s="1819"/>
      <c r="BE94" s="352">
        <f t="shared" si="95"/>
        <v>156.16999999999999</v>
      </c>
      <c r="BF94" s="1137"/>
      <c r="BI94" s="25"/>
      <c r="BJ94" s="25"/>
    </row>
    <row r="95" spans="1:62" s="2493" customFormat="1" ht="15.75" hidden="1" customHeight="1" x14ac:dyDescent="0.25">
      <c r="A95" s="139"/>
      <c r="B95" s="8" t="s">
        <v>1813</v>
      </c>
      <c r="C95" s="148" t="s">
        <v>352</v>
      </c>
      <c r="D95" s="1819"/>
      <c r="E95" s="1819"/>
      <c r="F95" s="1819"/>
      <c r="G95" s="1819"/>
      <c r="H95" s="1548"/>
      <c r="I95" s="1548">
        <f t="shared" si="96"/>
        <v>0</v>
      </c>
      <c r="J95" s="1819"/>
      <c r="K95" s="1819"/>
      <c r="L95" s="189"/>
      <c r="M95" s="1070">
        <f t="shared" si="40"/>
        <v>0</v>
      </c>
      <c r="N95" s="1819"/>
      <c r="O95" s="1819"/>
      <c r="P95" s="1819"/>
      <c r="Q95" s="1548">
        <f t="shared" si="64"/>
        <v>0</v>
      </c>
      <c r="R95" s="1819"/>
      <c r="S95" s="1819">
        <v>198.44</v>
      </c>
      <c r="T95" s="1819"/>
      <c r="U95" s="1548">
        <f t="shared" si="65"/>
        <v>198.44</v>
      </c>
      <c r="V95" s="1819"/>
      <c r="W95" s="1819">
        <v>200.53</v>
      </c>
      <c r="X95" s="189"/>
      <c r="Y95" s="1070">
        <f t="shared" si="72"/>
        <v>398.97</v>
      </c>
      <c r="Z95" s="1819"/>
      <c r="AA95" s="513">
        <f t="shared" si="69"/>
        <v>398.97</v>
      </c>
      <c r="AB95" s="1819"/>
      <c r="AC95" s="1819"/>
      <c r="AD95" s="1819"/>
      <c r="AE95" s="1599">
        <f t="shared" si="60"/>
        <v>398.97</v>
      </c>
      <c r="AF95" s="1819"/>
      <c r="AG95" s="1819"/>
      <c r="AH95" s="1819"/>
      <c r="AI95" s="2236">
        <f t="shared" si="81"/>
        <v>398.97</v>
      </c>
      <c r="AJ95" s="1819"/>
      <c r="AK95" s="1819"/>
      <c r="AL95" s="1819"/>
      <c r="AM95" s="1070">
        <f t="shared" si="78"/>
        <v>0</v>
      </c>
      <c r="AN95" s="1819"/>
      <c r="AO95" s="1599">
        <f t="shared" si="74"/>
        <v>398.97</v>
      </c>
      <c r="AP95" s="1819"/>
      <c r="AQ95" s="1819"/>
      <c r="AR95" s="1819"/>
      <c r="AS95" s="2236">
        <f t="shared" si="97"/>
        <v>398.97</v>
      </c>
      <c r="AT95" s="1819"/>
      <c r="AU95" s="1819"/>
      <c r="AV95" s="1819"/>
      <c r="AW95" s="5008">
        <f t="shared" si="62"/>
        <v>398.97</v>
      </c>
      <c r="AX95" s="1819"/>
      <c r="AY95" s="1819"/>
      <c r="AZ95" s="1819"/>
      <c r="BA95" s="1070">
        <f t="shared" si="71"/>
        <v>0</v>
      </c>
      <c r="BB95" s="1819"/>
      <c r="BC95" s="513">
        <f t="shared" si="73"/>
        <v>0</v>
      </c>
      <c r="BD95" s="1819"/>
      <c r="BE95" s="352">
        <f t="shared" si="95"/>
        <v>398.97</v>
      </c>
      <c r="BF95" s="1137"/>
      <c r="BI95" s="25"/>
      <c r="BJ95" s="25"/>
    </row>
    <row r="96" spans="1:62" ht="15.75" customHeight="1" x14ac:dyDescent="0.25">
      <c r="A96" s="139"/>
      <c r="B96" s="8" t="s">
        <v>2195</v>
      </c>
      <c r="C96" s="148" t="s">
        <v>352</v>
      </c>
      <c r="D96" s="1819"/>
      <c r="E96" s="1819">
        <v>14.67</v>
      </c>
      <c r="F96" s="1819"/>
      <c r="G96" s="1819"/>
      <c r="H96" s="1548"/>
      <c r="I96" s="1548">
        <f t="shared" si="96"/>
        <v>14.67</v>
      </c>
      <c r="J96" s="1819"/>
      <c r="K96" s="1819"/>
      <c r="L96" s="189"/>
      <c r="M96" s="1070">
        <f t="shared" si="40"/>
        <v>14.67</v>
      </c>
      <c r="N96" s="1819"/>
      <c r="O96" s="1819"/>
      <c r="P96" s="1819"/>
      <c r="Q96" s="1548">
        <f t="shared" si="64"/>
        <v>14.67</v>
      </c>
      <c r="R96" s="1819"/>
      <c r="S96" s="1819"/>
      <c r="T96" s="1819"/>
      <c r="U96" s="1548">
        <f t="shared" si="65"/>
        <v>14.67</v>
      </c>
      <c r="V96" s="1819"/>
      <c r="W96" s="1819"/>
      <c r="X96" s="189"/>
      <c r="Y96" s="1070">
        <f t="shared" si="72"/>
        <v>0</v>
      </c>
      <c r="Z96" s="1819"/>
      <c r="AA96" s="513">
        <f t="shared" si="69"/>
        <v>14.67</v>
      </c>
      <c r="AB96" s="1819"/>
      <c r="AC96" s="1819"/>
      <c r="AD96" s="1819"/>
      <c r="AE96" s="1599">
        <f t="shared" si="60"/>
        <v>14.67</v>
      </c>
      <c r="AF96" s="1819"/>
      <c r="AG96" s="1819"/>
      <c r="AH96" s="1819"/>
      <c r="AI96" s="2236">
        <f t="shared" si="81"/>
        <v>14.67</v>
      </c>
      <c r="AJ96" s="1819"/>
      <c r="AK96" s="1819">
        <v>17.489999999999998</v>
      </c>
      <c r="AL96" s="1819"/>
      <c r="AM96" s="1070">
        <f t="shared" si="78"/>
        <v>17.489999999999998</v>
      </c>
      <c r="AN96" s="1819"/>
      <c r="AO96" s="2236">
        <f t="shared" ref="AO96:AO140" si="98">AI96+AK96</f>
        <v>32.159999999999997</v>
      </c>
      <c r="AP96" s="1819"/>
      <c r="AQ96" s="1819"/>
      <c r="AR96" s="1819"/>
      <c r="AS96" s="2236">
        <f t="shared" si="97"/>
        <v>32.159999999999997</v>
      </c>
      <c r="AT96" s="1819"/>
      <c r="AU96" s="1819">
        <v>14.5</v>
      </c>
      <c r="AV96" s="1819"/>
      <c r="AW96" s="5008">
        <f t="shared" si="62"/>
        <v>46.66</v>
      </c>
      <c r="AX96" s="1819"/>
      <c r="AY96" s="1819">
        <v>34.39</v>
      </c>
      <c r="AZ96" s="1819"/>
      <c r="BA96" s="1070">
        <f t="shared" si="71"/>
        <v>48.89</v>
      </c>
      <c r="BB96" s="1819"/>
      <c r="BC96" s="513">
        <f t="shared" si="73"/>
        <v>66.38</v>
      </c>
      <c r="BD96" s="1819"/>
      <c r="BE96" s="352">
        <f t="shared" si="95"/>
        <v>81.05</v>
      </c>
      <c r="BF96" s="1137"/>
      <c r="BI96" s="25"/>
      <c r="BJ96" s="25"/>
    </row>
    <row r="97" spans="1:62" x14ac:dyDescent="0.25">
      <c r="A97" s="139"/>
      <c r="B97" s="696" t="s">
        <v>951</v>
      </c>
      <c r="C97" s="194" t="s">
        <v>352</v>
      </c>
      <c r="D97" s="1271"/>
      <c r="E97" s="1271">
        <f>+E98+E99</f>
        <v>296.7</v>
      </c>
      <c r="F97" s="1271"/>
      <c r="G97" s="1271">
        <f>+G98+G99</f>
        <v>2497.5899999999997</v>
      </c>
      <c r="H97" s="1549"/>
      <c r="I97" s="1549">
        <f t="shared" si="88"/>
        <v>2794.2899999999995</v>
      </c>
      <c r="J97" s="1271"/>
      <c r="K97" s="1271">
        <f>+K98+K99</f>
        <v>996.79</v>
      </c>
      <c r="L97" s="1271"/>
      <c r="M97" s="2231">
        <f t="shared" si="40"/>
        <v>3791.0799999999995</v>
      </c>
      <c r="N97" s="1271"/>
      <c r="O97" s="1271">
        <f>+O98+O99</f>
        <v>900.29000000000019</v>
      </c>
      <c r="P97" s="1271"/>
      <c r="Q97" s="1548">
        <f t="shared" si="64"/>
        <v>4691.37</v>
      </c>
      <c r="R97" s="1271"/>
      <c r="S97" s="1271">
        <f>+S98+S99</f>
        <v>98.82</v>
      </c>
      <c r="T97" s="1271"/>
      <c r="U97" s="1548">
        <f t="shared" si="65"/>
        <v>4790.1899999999996</v>
      </c>
      <c r="V97" s="1271"/>
      <c r="W97" s="1271">
        <f>+W98+W99</f>
        <v>199.97</v>
      </c>
      <c r="X97" s="1271"/>
      <c r="Y97" s="2231">
        <f t="shared" si="72"/>
        <v>1199.0800000000002</v>
      </c>
      <c r="Z97" s="1271"/>
      <c r="AA97" s="492">
        <f t="shared" si="69"/>
        <v>4990.16</v>
      </c>
      <c r="AB97" s="1271"/>
      <c r="AC97" s="1271">
        <f>+AC98+AC99</f>
        <v>696.92</v>
      </c>
      <c r="AD97" s="1271"/>
      <c r="AE97" s="1271">
        <f t="shared" ref="AE97:AE99" si="99">+AA97+AC97</f>
        <v>5687.08</v>
      </c>
      <c r="AF97" s="1271"/>
      <c r="AG97" s="1271">
        <f>+AG98+AG99</f>
        <v>1596.1</v>
      </c>
      <c r="AH97" s="1271"/>
      <c r="AI97" s="1271">
        <f t="shared" si="81"/>
        <v>7283.18</v>
      </c>
      <c r="AJ97" s="1271"/>
      <c r="AK97" s="1271">
        <f>+AK98+AK99</f>
        <v>298.72000000000003</v>
      </c>
      <c r="AL97" s="1271"/>
      <c r="AM97" s="2231">
        <f t="shared" si="78"/>
        <v>2591.7399999999998</v>
      </c>
      <c r="AN97" s="1271"/>
      <c r="AO97" s="1271">
        <f t="shared" si="98"/>
        <v>7581.9000000000005</v>
      </c>
      <c r="AP97" s="1271"/>
      <c r="AQ97" s="1271">
        <f>+AQ98+AQ99</f>
        <v>99.25</v>
      </c>
      <c r="AR97" s="1271"/>
      <c r="AS97" s="1271">
        <f t="shared" si="97"/>
        <v>7681.1500000000005</v>
      </c>
      <c r="AT97" s="1271"/>
      <c r="AU97" s="1271">
        <f>+AU98+AU99</f>
        <v>647.95000000000016</v>
      </c>
      <c r="AV97" s="1271"/>
      <c r="AW97" s="1271">
        <f t="shared" si="62"/>
        <v>8329.1</v>
      </c>
      <c r="AX97" s="1271"/>
      <c r="AY97" s="1271">
        <f>+AY98+AY99</f>
        <v>99.5</v>
      </c>
      <c r="AZ97" s="1271"/>
      <c r="BA97" s="2231">
        <f t="shared" si="71"/>
        <v>846.70000000000016</v>
      </c>
      <c r="BB97" s="1271"/>
      <c r="BC97" s="492">
        <f t="shared" si="73"/>
        <v>3438.44</v>
      </c>
      <c r="BD97" s="1271"/>
      <c r="BE97" s="1271">
        <f t="shared" si="95"/>
        <v>8428.6</v>
      </c>
      <c r="BF97" s="1137"/>
      <c r="BI97" s="25"/>
      <c r="BJ97" s="25"/>
    </row>
    <row r="98" spans="1:62" ht="20.25" x14ac:dyDescent="0.25">
      <c r="A98" s="139"/>
      <c r="B98" s="697" t="s">
        <v>22</v>
      </c>
      <c r="C98" s="194" t="s">
        <v>352</v>
      </c>
      <c r="D98" s="1819"/>
      <c r="E98" s="1819"/>
      <c r="F98" s="1120"/>
      <c r="G98" s="1819"/>
      <c r="H98" s="1548"/>
      <c r="I98" s="1548">
        <f t="shared" si="88"/>
        <v>0</v>
      </c>
      <c r="J98" s="1120"/>
      <c r="K98" s="1819"/>
      <c r="L98" s="189"/>
      <c r="M98" s="2231">
        <f t="shared" si="40"/>
        <v>0</v>
      </c>
      <c r="N98" s="1120"/>
      <c r="O98" s="1819"/>
      <c r="P98" s="1120"/>
      <c r="Q98" s="1548">
        <f t="shared" si="64"/>
        <v>0</v>
      </c>
      <c r="R98" s="1120"/>
      <c r="S98" s="1819"/>
      <c r="T98" s="1120"/>
      <c r="U98" s="1548">
        <f t="shared" si="65"/>
        <v>0</v>
      </c>
      <c r="V98" s="1120"/>
      <c r="W98" s="1819"/>
      <c r="X98" s="189"/>
      <c r="Y98" s="2231">
        <f t="shared" si="72"/>
        <v>0</v>
      </c>
      <c r="Z98" s="1819"/>
      <c r="AA98" s="513">
        <f t="shared" si="69"/>
        <v>0</v>
      </c>
      <c r="AB98" s="1819"/>
      <c r="AC98" s="1819"/>
      <c r="AD98" s="1819"/>
      <c r="AE98" s="2236">
        <f t="shared" si="99"/>
        <v>0</v>
      </c>
      <c r="AF98" s="1819"/>
      <c r="AG98" s="1819"/>
      <c r="AH98" s="1819"/>
      <c r="AI98" s="2236">
        <f t="shared" si="81"/>
        <v>0</v>
      </c>
      <c r="AJ98" s="1819"/>
      <c r="AK98" s="1819"/>
      <c r="AL98" s="1819"/>
      <c r="AM98" s="2231">
        <f t="shared" si="78"/>
        <v>0</v>
      </c>
      <c r="AN98" s="1819"/>
      <c r="AO98" s="2236">
        <f t="shared" si="98"/>
        <v>0</v>
      </c>
      <c r="AP98" s="1819"/>
      <c r="AQ98" s="1819"/>
      <c r="AR98" s="1819"/>
      <c r="AS98" s="2236">
        <f t="shared" si="97"/>
        <v>0</v>
      </c>
      <c r="AT98" s="1819"/>
      <c r="AU98" s="1819"/>
      <c r="AV98" s="1819"/>
      <c r="AW98" s="5008">
        <f t="shared" si="62"/>
        <v>0</v>
      </c>
      <c r="AX98" s="1819"/>
      <c r="AY98" s="1819"/>
      <c r="AZ98" s="1819"/>
      <c r="BA98" s="2231">
        <f t="shared" si="71"/>
        <v>0</v>
      </c>
      <c r="BB98" s="1819"/>
      <c r="BC98" s="513">
        <f t="shared" si="73"/>
        <v>0</v>
      </c>
      <c r="BD98" s="1819"/>
      <c r="BE98" s="352">
        <f t="shared" si="95"/>
        <v>0</v>
      </c>
      <c r="BF98" s="1137"/>
      <c r="BI98" s="25"/>
      <c r="BJ98" s="25"/>
    </row>
    <row r="99" spans="1:62" ht="21" thickBot="1" x14ac:dyDescent="0.3">
      <c r="B99" s="3559" t="s">
        <v>23</v>
      </c>
      <c r="C99" s="3558" t="s">
        <v>352</v>
      </c>
      <c r="D99" s="1819"/>
      <c r="E99" s="7603">
        <v>296.7</v>
      </c>
      <c r="F99" s="3178"/>
      <c r="G99" s="5560">
        <v>2497.5899999999997</v>
      </c>
      <c r="H99" s="3549"/>
      <c r="I99" s="3549">
        <f t="shared" si="88"/>
        <v>2794.2899999999995</v>
      </c>
      <c r="J99" s="1120"/>
      <c r="K99" s="5765">
        <v>996.79</v>
      </c>
      <c r="L99" s="189"/>
      <c r="M99" s="2231">
        <f t="shared" si="40"/>
        <v>3791.0799999999995</v>
      </c>
      <c r="N99" s="1120"/>
      <c r="O99" s="7226">
        <v>900.29000000000019</v>
      </c>
      <c r="P99" s="1120"/>
      <c r="Q99" s="1548">
        <f t="shared" si="64"/>
        <v>4691.37</v>
      </c>
      <c r="R99" s="1120"/>
      <c r="S99" s="5963">
        <v>98.82</v>
      </c>
      <c r="T99" s="1120"/>
      <c r="U99" s="1548">
        <f t="shared" si="65"/>
        <v>4790.1899999999996</v>
      </c>
      <c r="V99" s="1120"/>
      <c r="W99" s="6020">
        <v>199.97</v>
      </c>
      <c r="X99" s="189"/>
      <c r="Y99" s="2231">
        <f t="shared" si="72"/>
        <v>1199.0800000000002</v>
      </c>
      <c r="Z99" s="1819"/>
      <c r="AA99" s="513">
        <f t="shared" si="69"/>
        <v>4990.16</v>
      </c>
      <c r="AB99" s="1819"/>
      <c r="AC99" s="6195">
        <v>696.92</v>
      </c>
      <c r="AD99" s="1819"/>
      <c r="AE99" s="2236">
        <f t="shared" si="99"/>
        <v>5687.08</v>
      </c>
      <c r="AF99" s="1819"/>
      <c r="AG99" s="6355">
        <v>1596.1</v>
      </c>
      <c r="AH99" s="1819"/>
      <c r="AI99" s="2236">
        <f t="shared" si="81"/>
        <v>7283.18</v>
      </c>
      <c r="AJ99" s="1819"/>
      <c r="AK99" s="6584">
        <v>298.72000000000003</v>
      </c>
      <c r="AL99" s="1819"/>
      <c r="AM99" s="2231">
        <f t="shared" si="78"/>
        <v>2591.7399999999998</v>
      </c>
      <c r="AN99" s="1819"/>
      <c r="AO99" s="2236">
        <f t="shared" si="98"/>
        <v>7581.9000000000005</v>
      </c>
      <c r="AP99" s="1819"/>
      <c r="AQ99" s="6656">
        <v>99.25</v>
      </c>
      <c r="AR99" s="1819"/>
      <c r="AS99" s="2236">
        <f t="shared" si="97"/>
        <v>7681.1500000000005</v>
      </c>
      <c r="AT99" s="1819"/>
      <c r="AU99" s="6807">
        <v>647.95000000000016</v>
      </c>
      <c r="AV99" s="1819"/>
      <c r="AW99" s="5008">
        <f t="shared" si="62"/>
        <v>8329.1</v>
      </c>
      <c r="AX99" s="1819"/>
      <c r="AY99" s="6965">
        <v>99.5</v>
      </c>
      <c r="AZ99" s="1819"/>
      <c r="BA99" s="2231">
        <f t="shared" si="71"/>
        <v>846.70000000000016</v>
      </c>
      <c r="BB99" s="1819"/>
      <c r="BC99" s="513">
        <f t="shared" si="73"/>
        <v>3438.44</v>
      </c>
      <c r="BD99" s="1819"/>
      <c r="BE99" s="352">
        <f t="shared" si="95"/>
        <v>8428.6</v>
      </c>
      <c r="BF99" s="1137"/>
      <c r="BI99" s="25"/>
      <c r="BJ99" s="25"/>
    </row>
    <row r="100" spans="1:62" ht="16.5" thickBot="1" x14ac:dyDescent="0.3">
      <c r="A100" s="139"/>
      <c r="B100" s="3556" t="s">
        <v>1230</v>
      </c>
      <c r="C100" s="739" t="s">
        <v>352</v>
      </c>
      <c r="D100" s="1819"/>
      <c r="E100" s="3288"/>
      <c r="F100" s="3288"/>
      <c r="G100" s="3288"/>
      <c r="H100" s="3552"/>
      <c r="I100" s="3557">
        <f>+E100+G100</f>
        <v>0</v>
      </c>
      <c r="J100" s="1580"/>
      <c r="K100" s="3288"/>
      <c r="L100" s="189"/>
      <c r="M100" s="2231">
        <f t="shared" si="40"/>
        <v>0</v>
      </c>
      <c r="N100" s="1120"/>
      <c r="O100" s="3288">
        <v>3071.800000000002</v>
      </c>
      <c r="P100" s="1120"/>
      <c r="Q100" s="1548">
        <f t="shared" si="64"/>
        <v>3071.800000000002</v>
      </c>
      <c r="R100" s="1120"/>
      <c r="S100" s="3288">
        <v>4523.51</v>
      </c>
      <c r="T100" s="1120"/>
      <c r="U100" s="1548">
        <f t="shared" si="65"/>
        <v>7595.3100000000022</v>
      </c>
      <c r="V100" s="1120"/>
      <c r="W100" s="3288">
        <v>8437.6100000000024</v>
      </c>
      <c r="X100" s="189"/>
      <c r="Y100" s="2231">
        <f t="shared" si="72"/>
        <v>16032.920000000006</v>
      </c>
      <c r="Z100" s="1819"/>
      <c r="AA100" s="513">
        <f t="shared" si="69"/>
        <v>16032.920000000006</v>
      </c>
      <c r="AB100" s="1819"/>
      <c r="AC100" s="3288">
        <v>15050.02</v>
      </c>
      <c r="AD100" s="1819"/>
      <c r="AE100" s="2236">
        <f t="shared" ref="AE100" si="100">+AA100+AC100</f>
        <v>31082.940000000006</v>
      </c>
      <c r="AF100" s="1819"/>
      <c r="AG100" s="3288">
        <v>11706.12</v>
      </c>
      <c r="AH100" s="1819"/>
      <c r="AI100" s="2236">
        <f t="shared" ref="AI100:AI110" si="101">+AE100+AG100</f>
        <v>42789.060000000005</v>
      </c>
      <c r="AJ100" s="1819"/>
      <c r="AK100" s="3288">
        <v>6843.46</v>
      </c>
      <c r="AL100" s="1819"/>
      <c r="AM100" s="2231">
        <f t="shared" si="78"/>
        <v>33599.599999999999</v>
      </c>
      <c r="AN100" s="1819"/>
      <c r="AO100" s="2236">
        <f t="shared" si="98"/>
        <v>49632.520000000004</v>
      </c>
      <c r="AP100" s="1819"/>
      <c r="AQ100" s="3288">
        <v>6263.2699999999968</v>
      </c>
      <c r="AR100" s="1819"/>
      <c r="AS100" s="2236">
        <f t="shared" si="97"/>
        <v>55895.79</v>
      </c>
      <c r="AT100" s="1819"/>
      <c r="AU100" s="3288"/>
      <c r="AV100" s="1819"/>
      <c r="AW100" s="5008">
        <f t="shared" si="62"/>
        <v>55895.79</v>
      </c>
      <c r="AX100" s="1819"/>
      <c r="AY100" s="3288"/>
      <c r="AZ100" s="1819"/>
      <c r="BA100" s="2231">
        <f t="shared" si="71"/>
        <v>6263.2699999999968</v>
      </c>
      <c r="BB100" s="1819"/>
      <c r="BC100" s="513">
        <f t="shared" si="73"/>
        <v>39862.869999999995</v>
      </c>
      <c r="BD100" s="1819"/>
      <c r="BE100" s="352">
        <f t="shared" si="95"/>
        <v>55895.79</v>
      </c>
      <c r="BF100" s="1137"/>
      <c r="BI100" s="25"/>
      <c r="BJ100" s="25"/>
    </row>
    <row r="101" spans="1:62" x14ac:dyDescent="0.25">
      <c r="A101" s="139"/>
      <c r="B101" s="3553" t="s">
        <v>884</v>
      </c>
      <c r="C101" s="214"/>
      <c r="D101" s="1271"/>
      <c r="E101" s="3554">
        <f>+E102+E103+E105+E104</f>
        <v>5243.17</v>
      </c>
      <c r="F101" s="3554"/>
      <c r="G101" s="3554">
        <f>+G102+G103+G105+G104</f>
        <v>9134.2500000000018</v>
      </c>
      <c r="H101" s="3555"/>
      <c r="I101" s="3555">
        <f>+I102+I103+I105+I104</f>
        <v>14377.420000000002</v>
      </c>
      <c r="J101" s="1271"/>
      <c r="K101" s="3554">
        <f>+K102+K103+K105+K104</f>
        <v>3441.08</v>
      </c>
      <c r="L101" s="1271"/>
      <c r="M101" s="2231">
        <f t="shared" si="40"/>
        <v>17818.5</v>
      </c>
      <c r="N101" s="1271"/>
      <c r="O101" s="3554">
        <f>+O102+O103+O105+O104</f>
        <v>12321.94</v>
      </c>
      <c r="P101" s="1271"/>
      <c r="Q101" s="1548">
        <f t="shared" si="64"/>
        <v>30140.440000000002</v>
      </c>
      <c r="R101" s="1271"/>
      <c r="S101" s="3554">
        <f>+S102+S103+S105+S104</f>
        <v>175.21</v>
      </c>
      <c r="T101" s="1271">
        <f>+T102+T103+T105+T104</f>
        <v>0</v>
      </c>
      <c r="U101" s="1548">
        <f t="shared" si="65"/>
        <v>30315.65</v>
      </c>
      <c r="V101" s="1271">
        <f>+V102+V103+V105+V104</f>
        <v>0</v>
      </c>
      <c r="W101" s="3554">
        <f>+W102+W103+W105+W104</f>
        <v>10771.1</v>
      </c>
      <c r="X101" s="1271"/>
      <c r="Y101" s="2231">
        <f t="shared" si="72"/>
        <v>23268.25</v>
      </c>
      <c r="Z101" s="1271"/>
      <c r="AA101" s="492">
        <f t="shared" si="69"/>
        <v>41086.75</v>
      </c>
      <c r="AB101" s="1271"/>
      <c r="AC101" s="3554">
        <f>+AC102+AC103+AC105+AC104</f>
        <v>1727.19</v>
      </c>
      <c r="AD101" s="1271">
        <f>+AD102+AD103+AD105+AD104</f>
        <v>0</v>
      </c>
      <c r="AE101" s="1271">
        <f>+AE102+AE103+AE105+AE104</f>
        <v>42813.94</v>
      </c>
      <c r="AF101" s="1271"/>
      <c r="AG101" s="3554">
        <f>+AG102+AG103+AG105+AG104</f>
        <v>10528.789999999999</v>
      </c>
      <c r="AH101" s="1271">
        <f>+AH102+AH103+AH105+AH104</f>
        <v>0</v>
      </c>
      <c r="AI101" s="1271">
        <f t="shared" si="101"/>
        <v>53342.73</v>
      </c>
      <c r="AJ101" s="1271">
        <f>+AJ102+AJ103+AJ105+AJ104</f>
        <v>0</v>
      </c>
      <c r="AK101" s="3554">
        <f>+AK102+AK103+AK105+AK104</f>
        <v>11967.74</v>
      </c>
      <c r="AL101" s="1271"/>
      <c r="AM101" s="2231">
        <f t="shared" si="78"/>
        <v>24223.72</v>
      </c>
      <c r="AN101" s="1271">
        <f>+AN102+AN103+AN105+AN104</f>
        <v>0</v>
      </c>
      <c r="AO101" s="1271">
        <f t="shared" si="98"/>
        <v>65310.47</v>
      </c>
      <c r="AP101" s="1271">
        <f>+AP102+AP103+AP105+AP104</f>
        <v>0</v>
      </c>
      <c r="AQ101" s="3554">
        <f>+AQ102+AQ103+AQ105+AQ104</f>
        <v>18122.189999999999</v>
      </c>
      <c r="AR101" s="1271">
        <f>+AR102+AR103+AR105+AR104</f>
        <v>0</v>
      </c>
      <c r="AS101" s="1271">
        <f>+AS102+AS103+AS105+AS104</f>
        <v>83432.659999999989</v>
      </c>
      <c r="AT101" s="1271"/>
      <c r="AU101" s="3554">
        <f>+AU102+AU103+AU105+AU104</f>
        <v>14453.559999999998</v>
      </c>
      <c r="AV101" s="1271">
        <f>+AV102+AV103+AV105+AV104</f>
        <v>0</v>
      </c>
      <c r="AW101" s="1271">
        <f>+AW102+AW103+AW105+AW104</f>
        <v>97886.219999999987</v>
      </c>
      <c r="AX101" s="1271"/>
      <c r="AY101" s="3554">
        <f>+AY102+AY103+AY105+AY104</f>
        <v>4921.9299999999994</v>
      </c>
      <c r="AZ101" s="1271"/>
      <c r="BA101" s="2231">
        <f t="shared" si="71"/>
        <v>37497.679999999993</v>
      </c>
      <c r="BB101" s="1271"/>
      <c r="BC101" s="492">
        <f t="shared" si="73"/>
        <v>61721.399999999994</v>
      </c>
      <c r="BD101" s="1271">
        <f>+BD102+BD103+BD105+BD104</f>
        <v>0</v>
      </c>
      <c r="BE101" s="1271">
        <f>+BE102+BE103+BE105+BE104</f>
        <v>102808.15</v>
      </c>
      <c r="BF101" s="1137"/>
      <c r="BI101" s="25"/>
      <c r="BJ101" s="25"/>
    </row>
    <row r="102" spans="1:62" x14ac:dyDescent="0.25">
      <c r="B102" s="8" t="s">
        <v>911</v>
      </c>
      <c r="C102" s="148" t="s">
        <v>352</v>
      </c>
      <c r="D102" s="7600"/>
      <c r="E102" s="7600">
        <v>3762.94</v>
      </c>
      <c r="F102" s="1054"/>
      <c r="G102" s="5556">
        <v>6134.4500000000007</v>
      </c>
      <c r="H102" s="1548"/>
      <c r="I102" s="1548">
        <f t="shared" si="88"/>
        <v>9897.3900000000012</v>
      </c>
      <c r="J102" s="1054"/>
      <c r="K102" s="5761">
        <v>3441.08</v>
      </c>
      <c r="L102" s="1057"/>
      <c r="M102" s="2231">
        <f t="shared" ref="M102:M110" si="102">+E102+G102+K102</f>
        <v>13338.470000000001</v>
      </c>
      <c r="N102" s="1054"/>
      <c r="O102" s="7223">
        <v>7462.4800000000014</v>
      </c>
      <c r="P102" s="1054"/>
      <c r="Q102" s="1548">
        <f t="shared" si="64"/>
        <v>20800.950000000004</v>
      </c>
      <c r="R102" s="1054"/>
      <c r="S102" s="5958">
        <v>36.89</v>
      </c>
      <c r="T102" s="1054"/>
      <c r="U102" s="1548">
        <f t="shared" si="65"/>
        <v>20837.840000000004</v>
      </c>
      <c r="V102" s="1054"/>
      <c r="W102" s="6007">
        <v>7271.5400000000009</v>
      </c>
      <c r="X102" s="1057"/>
      <c r="Y102" s="2231">
        <f t="shared" si="72"/>
        <v>14770.910000000003</v>
      </c>
      <c r="Z102" s="2237"/>
      <c r="AA102" s="513">
        <f t="shared" si="69"/>
        <v>28109.380000000005</v>
      </c>
      <c r="AB102" s="2237"/>
      <c r="AC102" s="6192">
        <v>227.29</v>
      </c>
      <c r="AD102" s="2237"/>
      <c r="AE102" s="2236">
        <f t="shared" ref="AE102:AE105" si="103">+AA102+AC102</f>
        <v>28336.670000000006</v>
      </c>
      <c r="AF102" s="2237"/>
      <c r="AG102" s="6351">
        <v>7499.21</v>
      </c>
      <c r="AH102" s="2237"/>
      <c r="AI102" s="2236">
        <f t="shared" si="101"/>
        <v>35835.880000000005</v>
      </c>
      <c r="AJ102" s="2237"/>
      <c r="AK102" s="6581">
        <v>7498.31</v>
      </c>
      <c r="AL102" s="2237"/>
      <c r="AM102" s="2231">
        <f t="shared" si="78"/>
        <v>15224.810000000001</v>
      </c>
      <c r="AN102" s="2237"/>
      <c r="AO102" s="2236">
        <f t="shared" si="98"/>
        <v>43334.19</v>
      </c>
      <c r="AP102" s="6643"/>
      <c r="AQ102" s="6643">
        <v>5623.5899999999983</v>
      </c>
      <c r="AR102" s="2237"/>
      <c r="AS102" s="4988">
        <f t="shared" ref="AS102:AS105" si="104">+AO102+AQ102</f>
        <v>48957.78</v>
      </c>
      <c r="AT102" s="2237"/>
      <c r="AU102" s="6804">
        <v>5113.6299999999992</v>
      </c>
      <c r="AV102" s="2237"/>
      <c r="AW102" s="5008">
        <f t="shared" ref="AW102:AW107" si="105">+AS102+AU102</f>
        <v>54071.409999999996</v>
      </c>
      <c r="AX102" s="6957"/>
      <c r="AY102" s="6957">
        <v>1762.6700000000003</v>
      </c>
      <c r="AZ102" s="2237"/>
      <c r="BA102" s="2231">
        <f t="shared" si="71"/>
        <v>12499.889999999998</v>
      </c>
      <c r="BB102" s="2237"/>
      <c r="BC102" s="513">
        <f t="shared" si="73"/>
        <v>27724.699999999997</v>
      </c>
      <c r="BD102" s="2237"/>
      <c r="BE102" s="352">
        <f t="shared" ref="BE102:BE105" si="106">+AW102+AY102</f>
        <v>55834.079999999994</v>
      </c>
      <c r="BF102" s="1137"/>
      <c r="BI102" s="25"/>
      <c r="BJ102" s="25"/>
    </row>
    <row r="103" spans="1:62" x14ac:dyDescent="0.25">
      <c r="A103" s="139"/>
      <c r="B103" s="8" t="s">
        <v>1226</v>
      </c>
      <c r="C103" s="148" t="s">
        <v>352</v>
      </c>
      <c r="D103" s="7600"/>
      <c r="E103" s="7600">
        <v>1480.23</v>
      </c>
      <c r="F103" s="1054"/>
      <c r="G103" s="5556">
        <v>2999.8000000000011</v>
      </c>
      <c r="H103" s="1548"/>
      <c r="I103" s="1548">
        <f t="shared" si="88"/>
        <v>4480.0300000000007</v>
      </c>
      <c r="J103" s="1054"/>
      <c r="K103" s="5680"/>
      <c r="L103" s="1057"/>
      <c r="M103" s="2231">
        <f t="shared" si="102"/>
        <v>4480.0300000000007</v>
      </c>
      <c r="N103" s="1054"/>
      <c r="O103" s="7223">
        <v>2456.2199999999998</v>
      </c>
      <c r="P103" s="1054"/>
      <c r="Q103" s="1548">
        <f t="shared" si="64"/>
        <v>6936.25</v>
      </c>
      <c r="R103" s="1054"/>
      <c r="S103" s="5958">
        <v>42.35</v>
      </c>
      <c r="T103" s="1054"/>
      <c r="U103" s="1548">
        <f t="shared" si="65"/>
        <v>6978.6</v>
      </c>
      <c r="V103" s="1054"/>
      <c r="W103" s="6007">
        <v>2499.7500000000009</v>
      </c>
      <c r="X103" s="1057"/>
      <c r="Y103" s="2231">
        <f t="shared" si="72"/>
        <v>4998.3200000000006</v>
      </c>
      <c r="Z103" s="2237"/>
      <c r="AA103" s="513">
        <f t="shared" si="69"/>
        <v>9478.3500000000022</v>
      </c>
      <c r="AB103" s="2237"/>
      <c r="AC103" s="6123"/>
      <c r="AD103" s="2237"/>
      <c r="AE103" s="2236">
        <f t="shared" si="103"/>
        <v>9478.3500000000022</v>
      </c>
      <c r="AF103" s="2237"/>
      <c r="AG103" s="6351">
        <v>2499.4499999999998</v>
      </c>
      <c r="AH103" s="2237"/>
      <c r="AI103" s="2236">
        <f t="shared" si="101"/>
        <v>11977.800000000003</v>
      </c>
      <c r="AJ103" s="2237"/>
      <c r="AK103" s="6581">
        <v>2499.71</v>
      </c>
      <c r="AL103" s="2237"/>
      <c r="AM103" s="2231">
        <f t="shared" si="78"/>
        <v>4999.16</v>
      </c>
      <c r="AN103" s="2237"/>
      <c r="AO103" s="2236">
        <f t="shared" si="98"/>
        <v>14477.510000000002</v>
      </c>
      <c r="AP103" s="6643"/>
      <c r="AQ103" s="6643">
        <v>2499.9199999999996</v>
      </c>
      <c r="AR103" s="2237"/>
      <c r="AS103" s="4988">
        <f t="shared" si="104"/>
        <v>16977.43</v>
      </c>
      <c r="AT103" s="2237"/>
      <c r="AU103" s="6804">
        <v>2499.7399999999998</v>
      </c>
      <c r="AV103" s="2237"/>
      <c r="AW103" s="5008">
        <f t="shared" si="105"/>
        <v>19477.169999999998</v>
      </c>
      <c r="AX103" s="6957"/>
      <c r="AY103" s="6957"/>
      <c r="AZ103" s="2237"/>
      <c r="BA103" s="2231">
        <f t="shared" si="71"/>
        <v>4999.66</v>
      </c>
      <c r="BB103" s="2237"/>
      <c r="BC103" s="513">
        <f t="shared" si="73"/>
        <v>9998.82</v>
      </c>
      <c r="BD103" s="2237"/>
      <c r="BE103" s="352">
        <f t="shared" si="106"/>
        <v>19477.169999999998</v>
      </c>
      <c r="BF103" s="1137"/>
      <c r="BI103" s="25"/>
      <c r="BJ103" s="25"/>
    </row>
    <row r="104" spans="1:62" hidden="1" x14ac:dyDescent="0.25">
      <c r="A104" s="139"/>
      <c r="B104" s="8" t="s">
        <v>1310</v>
      </c>
      <c r="C104" s="148" t="s">
        <v>352</v>
      </c>
      <c r="D104" s="7600"/>
      <c r="E104" s="7600"/>
      <c r="F104" s="1054"/>
      <c r="G104" s="5556"/>
      <c r="H104" s="1548"/>
      <c r="I104" s="1548">
        <f t="shared" si="88"/>
        <v>0</v>
      </c>
      <c r="J104" s="1054"/>
      <c r="K104" s="5680"/>
      <c r="L104" s="1057"/>
      <c r="M104" s="2231">
        <f t="shared" si="102"/>
        <v>0</v>
      </c>
      <c r="N104" s="1054"/>
      <c r="O104" s="7223">
        <v>2403.2400000000002</v>
      </c>
      <c r="P104" s="1054"/>
      <c r="Q104" s="1548">
        <f t="shared" si="64"/>
        <v>2403.2400000000002</v>
      </c>
      <c r="R104" s="1054"/>
      <c r="S104" s="5958">
        <v>95.97</v>
      </c>
      <c r="T104" s="1054"/>
      <c r="U104" s="1548">
        <f t="shared" si="65"/>
        <v>2499.21</v>
      </c>
      <c r="V104" s="1054"/>
      <c r="W104" s="6007">
        <v>999.81</v>
      </c>
      <c r="X104" s="1057"/>
      <c r="Y104" s="2231">
        <f t="shared" si="72"/>
        <v>3499.02</v>
      </c>
      <c r="Z104" s="2237"/>
      <c r="AA104" s="513">
        <f t="shared" si="69"/>
        <v>3499.02</v>
      </c>
      <c r="AB104" s="2237"/>
      <c r="AC104" s="6192">
        <v>1499.9</v>
      </c>
      <c r="AD104" s="2237"/>
      <c r="AE104" s="2236">
        <f t="shared" si="103"/>
        <v>4998.92</v>
      </c>
      <c r="AF104" s="2237"/>
      <c r="AG104" s="6351">
        <v>530.13</v>
      </c>
      <c r="AH104" s="2237"/>
      <c r="AI104" s="2236">
        <f t="shared" si="101"/>
        <v>5529.05</v>
      </c>
      <c r="AJ104" s="2237"/>
      <c r="AK104" s="6581">
        <v>1969.72</v>
      </c>
      <c r="AL104" s="2237"/>
      <c r="AM104" s="2231">
        <f t="shared" si="78"/>
        <v>3999.75</v>
      </c>
      <c r="AN104" s="2237"/>
      <c r="AO104" s="2236">
        <f t="shared" si="98"/>
        <v>7498.77</v>
      </c>
      <c r="AP104" s="6643"/>
      <c r="AQ104" s="6643">
        <v>9998.68</v>
      </c>
      <c r="AR104" s="2237"/>
      <c r="AS104" s="2236">
        <f t="shared" si="104"/>
        <v>17497.45</v>
      </c>
      <c r="AT104" s="2237"/>
      <c r="AU104" s="6804">
        <v>6840.1899999999987</v>
      </c>
      <c r="AV104" s="2237"/>
      <c r="AW104" s="5008">
        <f t="shared" si="105"/>
        <v>24337.64</v>
      </c>
      <c r="AX104" s="6957"/>
      <c r="AY104" s="6957">
        <v>3159.2599999999993</v>
      </c>
      <c r="AZ104" s="2237"/>
      <c r="BA104" s="2231">
        <f t="shared" si="71"/>
        <v>19998.129999999997</v>
      </c>
      <c r="BB104" s="2237"/>
      <c r="BC104" s="513">
        <f t="shared" si="73"/>
        <v>23997.879999999997</v>
      </c>
      <c r="BD104" s="2237"/>
      <c r="BE104" s="352">
        <f t="shared" si="106"/>
        <v>27496.899999999998</v>
      </c>
      <c r="BF104" s="1137"/>
      <c r="BI104" s="25"/>
      <c r="BJ104" s="25"/>
    </row>
    <row r="105" spans="1:62" hidden="1" x14ac:dyDescent="0.25">
      <c r="A105" s="139"/>
      <c r="B105" s="8" t="s">
        <v>1238</v>
      </c>
      <c r="C105" s="148" t="s">
        <v>352</v>
      </c>
      <c r="D105" s="1820"/>
      <c r="E105" s="1820"/>
      <c r="F105" s="431"/>
      <c r="G105" s="1820"/>
      <c r="H105" s="1552"/>
      <c r="I105" s="1552">
        <f t="shared" si="88"/>
        <v>0</v>
      </c>
      <c r="J105" s="431"/>
      <c r="K105" s="1820"/>
      <c r="L105" s="1057"/>
      <c r="M105" s="2231">
        <f t="shared" si="102"/>
        <v>0</v>
      </c>
      <c r="N105" s="431"/>
      <c r="O105" s="1820"/>
      <c r="P105" s="431"/>
      <c r="Q105" s="1548">
        <f t="shared" si="64"/>
        <v>0</v>
      </c>
      <c r="R105" s="431"/>
      <c r="S105" s="1820"/>
      <c r="T105" s="431"/>
      <c r="U105" s="1548">
        <f t="shared" si="65"/>
        <v>0</v>
      </c>
      <c r="V105" s="431"/>
      <c r="W105" s="1820"/>
      <c r="X105" s="1057"/>
      <c r="Y105" s="2231">
        <f t="shared" si="72"/>
        <v>0</v>
      </c>
      <c r="Z105" s="1820"/>
      <c r="AA105" s="513">
        <f t="shared" si="69"/>
        <v>0</v>
      </c>
      <c r="AB105" s="1820"/>
      <c r="AC105" s="1820"/>
      <c r="AD105" s="1820"/>
      <c r="AE105" s="352">
        <f t="shared" si="103"/>
        <v>0</v>
      </c>
      <c r="AF105" s="1820"/>
      <c r="AG105" s="1820"/>
      <c r="AH105" s="1820"/>
      <c r="AI105" s="352">
        <f t="shared" si="101"/>
        <v>0</v>
      </c>
      <c r="AJ105" s="1820"/>
      <c r="AK105" s="1820"/>
      <c r="AL105" s="1820"/>
      <c r="AM105" s="2231">
        <f t="shared" si="78"/>
        <v>0</v>
      </c>
      <c r="AN105" s="1820"/>
      <c r="AO105" s="352">
        <f t="shared" si="98"/>
        <v>0</v>
      </c>
      <c r="AP105" s="1820"/>
      <c r="AQ105" s="1820"/>
      <c r="AR105" s="1820"/>
      <c r="AS105" s="352">
        <f t="shared" si="104"/>
        <v>0</v>
      </c>
      <c r="AT105" s="1820"/>
      <c r="AU105" s="1820"/>
      <c r="AV105" s="1820"/>
      <c r="AW105" s="5009">
        <f t="shared" si="105"/>
        <v>0</v>
      </c>
      <c r="AX105" s="1820"/>
      <c r="AY105" s="1820"/>
      <c r="AZ105" s="1820"/>
      <c r="BA105" s="2231">
        <f t="shared" si="71"/>
        <v>0</v>
      </c>
      <c r="BB105" s="1820"/>
      <c r="BC105" s="513">
        <f t="shared" si="73"/>
        <v>0</v>
      </c>
      <c r="BD105" s="1820"/>
      <c r="BE105" s="352">
        <f t="shared" si="106"/>
        <v>0</v>
      </c>
      <c r="BF105" s="1137"/>
      <c r="BI105" s="25"/>
      <c r="BJ105" s="25"/>
    </row>
    <row r="106" spans="1:62" x14ac:dyDescent="0.25">
      <c r="A106" s="139"/>
      <c r="B106" s="696" t="s">
        <v>760</v>
      </c>
      <c r="C106" s="148" t="s">
        <v>352</v>
      </c>
      <c r="D106" s="1819"/>
      <c r="E106" s="1271">
        <v>10746.62</v>
      </c>
      <c r="F106" s="1120"/>
      <c r="G106" s="1271">
        <v>9682.7800000000043</v>
      </c>
      <c r="H106" s="1548"/>
      <c r="I106" s="1549">
        <f>+E106+G106</f>
        <v>20429.400000000005</v>
      </c>
      <c r="J106" s="1120"/>
      <c r="K106" s="1271">
        <v>10995.34</v>
      </c>
      <c r="L106" s="189"/>
      <c r="M106" s="2231">
        <f t="shared" si="102"/>
        <v>31424.740000000005</v>
      </c>
      <c r="N106" s="1120"/>
      <c r="O106" s="1271">
        <v>7669.560000000004</v>
      </c>
      <c r="P106" s="1120"/>
      <c r="Q106" s="1548">
        <f t="shared" si="64"/>
        <v>39094.30000000001</v>
      </c>
      <c r="R106" s="1120"/>
      <c r="S106" s="1271">
        <v>9528.32</v>
      </c>
      <c r="T106" s="1120"/>
      <c r="U106" s="1548">
        <f t="shared" si="65"/>
        <v>48622.62000000001</v>
      </c>
      <c r="V106" s="1120"/>
      <c r="W106" s="1271">
        <v>1893.0800000000002</v>
      </c>
      <c r="X106" s="189"/>
      <c r="Y106" s="2231">
        <f t="shared" si="72"/>
        <v>19090.960000000006</v>
      </c>
      <c r="Z106" s="1819"/>
      <c r="AA106" s="492">
        <f t="shared" si="69"/>
        <v>50515.700000000012</v>
      </c>
      <c r="AB106" s="1819"/>
      <c r="AC106" s="1271"/>
      <c r="AD106" s="1819"/>
      <c r="AE106" s="1271">
        <f>+AA106+AC106</f>
        <v>50515.700000000012</v>
      </c>
      <c r="AF106" s="1819"/>
      <c r="AG106" s="1271">
        <v>9014.26</v>
      </c>
      <c r="AH106" s="1819"/>
      <c r="AI106" s="1271">
        <f t="shared" si="101"/>
        <v>59529.960000000014</v>
      </c>
      <c r="AJ106" s="1819"/>
      <c r="AK106" s="1271">
        <v>6343.67</v>
      </c>
      <c r="AL106" s="1819"/>
      <c r="AM106" s="2231">
        <f t="shared" si="78"/>
        <v>15357.93</v>
      </c>
      <c r="AN106" s="1819"/>
      <c r="AO106" s="1271">
        <f t="shared" si="98"/>
        <v>65873.630000000019</v>
      </c>
      <c r="AP106" s="1819"/>
      <c r="AQ106" s="1271">
        <v>3157.06</v>
      </c>
      <c r="AR106" s="1819"/>
      <c r="AS106" s="1271">
        <f>+AO106+AQ106</f>
        <v>69030.690000000017</v>
      </c>
      <c r="AT106" s="1819"/>
      <c r="AU106" s="1271">
        <v>13556.819999999998</v>
      </c>
      <c r="AV106" s="1819"/>
      <c r="AW106" s="1271">
        <f>+AS106+AU106</f>
        <v>82587.510000000009</v>
      </c>
      <c r="AX106" s="1819"/>
      <c r="AY106" s="1271">
        <v>7994.9599999999982</v>
      </c>
      <c r="AZ106" s="1819"/>
      <c r="BA106" s="2231">
        <f t="shared" si="71"/>
        <v>24708.839999999997</v>
      </c>
      <c r="BB106" s="1819"/>
      <c r="BC106" s="492">
        <f t="shared" si="73"/>
        <v>40066.769999999997</v>
      </c>
      <c r="BD106" s="1819"/>
      <c r="BE106" s="1271">
        <f>+AW106+AY106</f>
        <v>90582.47</v>
      </c>
      <c r="BF106" s="1137"/>
      <c r="BI106" s="25"/>
      <c r="BJ106" s="25"/>
    </row>
    <row r="107" spans="1:62" s="4487" customFormat="1" x14ac:dyDescent="0.25">
      <c r="A107" s="139"/>
      <c r="B107" s="5811" t="s">
        <v>2219</v>
      </c>
      <c r="C107" s="6754"/>
      <c r="D107" s="6365"/>
      <c r="E107" s="6765"/>
      <c r="F107" s="6365"/>
      <c r="G107" s="6765"/>
      <c r="H107" s="6760"/>
      <c r="I107" s="6766"/>
      <c r="J107" s="6365"/>
      <c r="K107" s="6765"/>
      <c r="L107" s="6767"/>
      <c r="M107" s="6768"/>
      <c r="N107" s="6365"/>
      <c r="O107" s="6765"/>
      <c r="P107" s="6365"/>
      <c r="Q107" s="6760"/>
      <c r="R107" s="6365"/>
      <c r="S107" s="6765"/>
      <c r="T107" s="6365"/>
      <c r="U107" s="6760"/>
      <c r="V107" s="6365"/>
      <c r="W107" s="6765"/>
      <c r="X107" s="6767"/>
      <c r="Y107" s="6768"/>
      <c r="Z107" s="6365"/>
      <c r="AA107" s="6761"/>
      <c r="AB107" s="6365"/>
      <c r="AC107" s="6765"/>
      <c r="AD107" s="6365"/>
      <c r="AE107" s="6765"/>
      <c r="AF107" s="6365"/>
      <c r="AG107" s="6765"/>
      <c r="AH107" s="6365"/>
      <c r="AI107" s="6765"/>
      <c r="AJ107" s="6365"/>
      <c r="AK107" s="6765"/>
      <c r="AL107" s="6365"/>
      <c r="AM107" s="2231">
        <f t="shared" si="78"/>
        <v>0</v>
      </c>
      <c r="AN107" s="6365"/>
      <c r="AO107" s="1271">
        <f t="shared" si="98"/>
        <v>0</v>
      </c>
      <c r="AP107" s="6365"/>
      <c r="AQ107" s="6765">
        <v>36.299999999999997</v>
      </c>
      <c r="AR107" s="6365"/>
      <c r="AS107" s="1271">
        <f>+AO107+AQ107</f>
        <v>36.299999999999997</v>
      </c>
      <c r="AT107" s="6365"/>
      <c r="AU107" s="6765"/>
      <c r="AV107" s="6365"/>
      <c r="AW107" s="6765">
        <f t="shared" si="105"/>
        <v>36.299999999999997</v>
      </c>
      <c r="AX107" s="6365"/>
      <c r="AY107" s="6765"/>
      <c r="AZ107" s="6365"/>
      <c r="BA107" s="2231">
        <f t="shared" ref="BA107" si="107">+AQ107+AU107+AY107</f>
        <v>36.299999999999997</v>
      </c>
      <c r="BB107" s="1819"/>
      <c r="BC107" s="492">
        <f t="shared" ref="BC107" si="108">BA107+AM107</f>
        <v>36.299999999999997</v>
      </c>
      <c r="BD107" s="1819"/>
      <c r="BE107" s="1271">
        <f>+AW107+AY107</f>
        <v>36.299999999999997</v>
      </c>
      <c r="BF107" s="1137">
        <f>BE107+BE108</f>
        <v>1021240.16</v>
      </c>
      <c r="BI107" s="25"/>
      <c r="BJ107" s="25"/>
    </row>
    <row r="108" spans="1:62" x14ac:dyDescent="0.25">
      <c r="A108" s="139"/>
      <c r="B108" s="696" t="s">
        <v>662</v>
      </c>
      <c r="C108" s="423"/>
      <c r="D108" s="1271"/>
      <c r="E108" s="1271">
        <f>+E109+E110</f>
        <v>69244.98</v>
      </c>
      <c r="F108" s="1271"/>
      <c r="G108" s="1271">
        <f>+G109+G110</f>
        <v>83444.700000000012</v>
      </c>
      <c r="H108" s="1549"/>
      <c r="I108" s="1549">
        <f t="shared" si="88"/>
        <v>152689.68</v>
      </c>
      <c r="J108" s="1271"/>
      <c r="K108" s="1271">
        <f>+K109+K110</f>
        <v>77025.87</v>
      </c>
      <c r="L108" s="1271"/>
      <c r="M108" s="2231">
        <f t="shared" si="102"/>
        <v>229715.55</v>
      </c>
      <c r="N108" s="1271"/>
      <c r="O108" s="1271">
        <f>+O109+O110</f>
        <v>101956.98999999999</v>
      </c>
      <c r="P108" s="1271"/>
      <c r="Q108" s="1548">
        <f t="shared" si="64"/>
        <v>331672.53999999998</v>
      </c>
      <c r="R108" s="1271"/>
      <c r="S108" s="1271">
        <f>+S109+S110</f>
        <v>82745.340000000011</v>
      </c>
      <c r="T108" s="1271"/>
      <c r="U108" s="1548">
        <f t="shared" si="65"/>
        <v>414417.88</v>
      </c>
      <c r="V108" s="1271"/>
      <c r="W108" s="1271">
        <f>+W109+W110</f>
        <v>87643.580000000016</v>
      </c>
      <c r="X108" s="1271"/>
      <c r="Y108" s="2231">
        <f t="shared" si="72"/>
        <v>272345.91000000003</v>
      </c>
      <c r="Z108" s="1271"/>
      <c r="AA108" s="492">
        <f t="shared" si="69"/>
        <v>502061.46</v>
      </c>
      <c r="AB108" s="1271"/>
      <c r="AC108" s="1271">
        <f>+AC109+AC110</f>
        <v>66279.149999999994</v>
      </c>
      <c r="AD108" s="1271"/>
      <c r="AE108" s="1271">
        <f t="shared" ref="AE108:AE110" si="109">+AA108+AC108</f>
        <v>568340.61</v>
      </c>
      <c r="AF108" s="1271"/>
      <c r="AG108" s="1271">
        <f>+AG109+AG110</f>
        <v>97341.3</v>
      </c>
      <c r="AH108" s="1271"/>
      <c r="AI108" s="1271">
        <f t="shared" si="101"/>
        <v>665681.91</v>
      </c>
      <c r="AJ108" s="1271"/>
      <c r="AK108" s="1271">
        <f>+AK109+AK110</f>
        <v>106037.09</v>
      </c>
      <c r="AL108" s="1271"/>
      <c r="AM108" s="2231">
        <f t="shared" si="78"/>
        <v>269657.54000000004</v>
      </c>
      <c r="AN108" s="1271"/>
      <c r="AO108" s="1271">
        <f t="shared" si="98"/>
        <v>771719</v>
      </c>
      <c r="AP108" s="1271"/>
      <c r="AQ108" s="1271">
        <f>+AQ109+AQ110</f>
        <v>88820.24</v>
      </c>
      <c r="AR108" s="1271"/>
      <c r="AS108" s="1271">
        <f t="shared" ref="AS108:AS110" si="110">+AO108+AQ108</f>
        <v>860539.24</v>
      </c>
      <c r="AT108" s="1271"/>
      <c r="AU108" s="1271">
        <f>+AU109+AU110</f>
        <v>77713.41</v>
      </c>
      <c r="AV108" s="1271"/>
      <c r="AW108" s="1271">
        <f t="shared" ref="AW108:AW110" si="111">+AS108+AU108</f>
        <v>938252.65</v>
      </c>
      <c r="AX108" s="1271"/>
      <c r="AY108" s="1271">
        <f>+AY109+AY110</f>
        <v>82951.210000000006</v>
      </c>
      <c r="AZ108" s="1271"/>
      <c r="BA108" s="2231">
        <f t="shared" si="71"/>
        <v>249484.86000000004</v>
      </c>
      <c r="BB108" s="1271"/>
      <c r="BC108" s="492">
        <f t="shared" si="73"/>
        <v>519142.40000000008</v>
      </c>
      <c r="BD108" s="1271"/>
      <c r="BE108" s="1271">
        <f t="shared" ref="BE108:BE110" si="112">+AW108+AY108</f>
        <v>1021203.86</v>
      </c>
      <c r="BF108" s="1137"/>
      <c r="BI108" s="25"/>
      <c r="BJ108" s="25"/>
    </row>
    <row r="109" spans="1:62" ht="20.25" x14ac:dyDescent="0.25">
      <c r="A109" s="139"/>
      <c r="B109" s="697" t="s">
        <v>22</v>
      </c>
      <c r="C109" s="241" t="s">
        <v>352</v>
      </c>
      <c r="D109" s="564"/>
      <c r="E109" s="564">
        <v>63621.86</v>
      </c>
      <c r="F109" s="564"/>
      <c r="G109" s="564">
        <v>57946.42</v>
      </c>
      <c r="H109" s="1550"/>
      <c r="I109" s="1550">
        <f t="shared" si="88"/>
        <v>121568.28</v>
      </c>
      <c r="J109" s="564"/>
      <c r="K109" s="564">
        <v>62604.31</v>
      </c>
      <c r="L109" s="1057"/>
      <c r="M109" s="2231">
        <f t="shared" si="102"/>
        <v>184172.59</v>
      </c>
      <c r="N109" s="564"/>
      <c r="O109" s="564">
        <v>79355.429999999993</v>
      </c>
      <c r="P109" s="564"/>
      <c r="Q109" s="1548">
        <f t="shared" si="64"/>
        <v>263528.02</v>
      </c>
      <c r="R109" s="564"/>
      <c r="S109" s="564">
        <v>80730.63</v>
      </c>
      <c r="T109" s="564"/>
      <c r="U109" s="1548">
        <f t="shared" si="65"/>
        <v>344258.65</v>
      </c>
      <c r="V109" s="564"/>
      <c r="W109" s="564">
        <v>87052.140000000014</v>
      </c>
      <c r="X109" s="1057"/>
      <c r="Y109" s="2231">
        <f t="shared" si="72"/>
        <v>247138.2</v>
      </c>
      <c r="Z109" s="564"/>
      <c r="AA109" s="492">
        <f t="shared" si="69"/>
        <v>431310.79000000004</v>
      </c>
      <c r="AB109" s="564"/>
      <c r="AC109" s="564">
        <v>66279.149999999994</v>
      </c>
      <c r="AD109" s="564"/>
      <c r="AE109" s="2422">
        <f t="shared" si="109"/>
        <v>497589.94000000006</v>
      </c>
      <c r="AF109" s="564"/>
      <c r="AG109" s="564">
        <v>96513.77</v>
      </c>
      <c r="AH109" s="564"/>
      <c r="AI109" s="2422">
        <f t="shared" si="101"/>
        <v>594103.71000000008</v>
      </c>
      <c r="AJ109" s="564"/>
      <c r="AK109" s="564">
        <v>97997.65</v>
      </c>
      <c r="AL109" s="564"/>
      <c r="AM109" s="2231">
        <f t="shared" si="78"/>
        <v>260790.56999999998</v>
      </c>
      <c r="AN109" s="564"/>
      <c r="AO109" s="2422">
        <f t="shared" si="98"/>
        <v>692101.3600000001</v>
      </c>
      <c r="AP109" s="564"/>
      <c r="AQ109" s="564">
        <v>73563.25</v>
      </c>
      <c r="AR109" s="564"/>
      <c r="AS109" s="2422">
        <f t="shared" si="110"/>
        <v>765664.6100000001</v>
      </c>
      <c r="AT109" s="564"/>
      <c r="AU109" s="564">
        <v>72969.84</v>
      </c>
      <c r="AV109" s="564"/>
      <c r="AW109" s="2422">
        <f t="shared" si="111"/>
        <v>838634.45000000007</v>
      </c>
      <c r="AX109" s="564"/>
      <c r="AY109" s="564">
        <v>79465.22</v>
      </c>
      <c r="AZ109" s="564"/>
      <c r="BA109" s="2231">
        <f t="shared" si="71"/>
        <v>225998.31</v>
      </c>
      <c r="BB109" s="564"/>
      <c r="BC109" s="492">
        <f t="shared" si="73"/>
        <v>486788.88</v>
      </c>
      <c r="BD109" s="564"/>
      <c r="BE109" s="235">
        <f t="shared" si="112"/>
        <v>918099.67</v>
      </c>
      <c r="BF109" s="1137"/>
      <c r="BI109" s="25"/>
      <c r="BJ109" s="25"/>
    </row>
    <row r="110" spans="1:62" ht="21" thickBot="1" x14ac:dyDescent="0.3">
      <c r="B110" s="697" t="s">
        <v>23</v>
      </c>
      <c r="C110" s="424" t="s">
        <v>352</v>
      </c>
      <c r="D110" s="564"/>
      <c r="E110" s="564">
        <v>5623.12</v>
      </c>
      <c r="F110" s="564"/>
      <c r="G110" s="564">
        <v>25498.280000000006</v>
      </c>
      <c r="H110" s="1550"/>
      <c r="I110" s="1550">
        <f t="shared" si="88"/>
        <v>31121.400000000005</v>
      </c>
      <c r="J110" s="564"/>
      <c r="K110" s="564">
        <v>14421.56</v>
      </c>
      <c r="L110" s="1057"/>
      <c r="M110" s="2231">
        <f t="shared" si="102"/>
        <v>45542.960000000006</v>
      </c>
      <c r="N110" s="564"/>
      <c r="O110" s="564">
        <v>22601.559999999994</v>
      </c>
      <c r="P110" s="564"/>
      <c r="Q110" s="1548">
        <f t="shared" si="64"/>
        <v>68144.52</v>
      </c>
      <c r="R110" s="564"/>
      <c r="S110" s="564">
        <v>2014.71</v>
      </c>
      <c r="T110" s="564"/>
      <c r="U110" s="1548">
        <f t="shared" si="65"/>
        <v>70159.23000000001</v>
      </c>
      <c r="V110" s="564"/>
      <c r="W110" s="564">
        <v>591.43999999999994</v>
      </c>
      <c r="X110" s="1057"/>
      <c r="Y110" s="2231">
        <f t="shared" si="72"/>
        <v>25207.709999999992</v>
      </c>
      <c r="Z110" s="564"/>
      <c r="AA110" s="492">
        <f t="shared" si="69"/>
        <v>70750.67</v>
      </c>
      <c r="AB110" s="564"/>
      <c r="AC110" s="564"/>
      <c r="AD110" s="564"/>
      <c r="AE110" s="2422">
        <f t="shared" si="109"/>
        <v>70750.67</v>
      </c>
      <c r="AF110" s="564"/>
      <c r="AG110" s="564">
        <v>827.53</v>
      </c>
      <c r="AH110" s="564"/>
      <c r="AI110" s="2422">
        <f t="shared" si="101"/>
        <v>71578.2</v>
      </c>
      <c r="AJ110" s="564"/>
      <c r="AK110" s="564">
        <v>8039.44</v>
      </c>
      <c r="AL110" s="564"/>
      <c r="AM110" s="2231">
        <f t="shared" si="78"/>
        <v>8866.9699999999993</v>
      </c>
      <c r="AN110" s="564"/>
      <c r="AO110" s="2422">
        <f t="shared" si="98"/>
        <v>79617.64</v>
      </c>
      <c r="AP110" s="564"/>
      <c r="AQ110" s="564">
        <v>15256.990000000011</v>
      </c>
      <c r="AR110" s="564"/>
      <c r="AS110" s="2422">
        <f t="shared" si="110"/>
        <v>94874.63</v>
      </c>
      <c r="AT110" s="564"/>
      <c r="AU110" s="564">
        <v>4743.5700000000006</v>
      </c>
      <c r="AV110" s="564"/>
      <c r="AW110" s="2422">
        <f t="shared" si="111"/>
        <v>99618.200000000012</v>
      </c>
      <c r="AX110" s="564"/>
      <c r="AY110" s="564">
        <v>3485.9899999999993</v>
      </c>
      <c r="AZ110" s="564"/>
      <c r="BA110" s="2231">
        <f t="shared" si="71"/>
        <v>23486.55000000001</v>
      </c>
      <c r="BB110" s="564"/>
      <c r="BC110" s="492">
        <f t="shared" si="73"/>
        <v>32353.520000000011</v>
      </c>
      <c r="BD110" s="564"/>
      <c r="BE110" s="235">
        <f t="shared" si="112"/>
        <v>103104.19000000002</v>
      </c>
      <c r="BF110" s="1137"/>
      <c r="BI110" s="25"/>
      <c r="BJ110" s="25"/>
    </row>
    <row r="111" spans="1:62" s="4487" customFormat="1" ht="21" thickBot="1" x14ac:dyDescent="0.3">
      <c r="B111" s="3560" t="s">
        <v>761</v>
      </c>
      <c r="C111" s="3561"/>
      <c r="D111" s="7600"/>
      <c r="E111" s="3562"/>
      <c r="F111" s="3562"/>
      <c r="G111" s="3562"/>
      <c r="H111" s="3563"/>
      <c r="I111" s="3564"/>
      <c r="J111" s="3469"/>
      <c r="K111" s="3562"/>
      <c r="L111" s="1057"/>
      <c r="M111" s="2231"/>
      <c r="N111" s="1054"/>
      <c r="O111" s="3562"/>
      <c r="P111" s="1054"/>
      <c r="Q111" s="1548">
        <f>+M111+O111</f>
        <v>0</v>
      </c>
      <c r="R111" s="1054"/>
      <c r="S111" s="3562"/>
      <c r="T111" s="1054"/>
      <c r="U111" s="1548">
        <f>+Q111+S111</f>
        <v>0</v>
      </c>
      <c r="V111" s="1054"/>
      <c r="W111" s="3562"/>
      <c r="X111" s="1057"/>
      <c r="Y111" s="2231"/>
      <c r="Z111" s="2237"/>
      <c r="AA111" s="513"/>
      <c r="AB111" s="2237"/>
      <c r="AC111" s="3562"/>
      <c r="AD111" s="2237"/>
      <c r="AE111" s="6196"/>
      <c r="AF111" s="2237"/>
      <c r="AG111" s="3562"/>
      <c r="AH111" s="2237"/>
      <c r="AI111" s="2236"/>
      <c r="AJ111" s="2237"/>
      <c r="AK111" s="3562"/>
      <c r="AL111" s="2237"/>
      <c r="AM111" s="2231"/>
      <c r="AN111" s="2237"/>
      <c r="AO111" s="2236"/>
      <c r="AP111" s="6643"/>
      <c r="AQ111" s="3562"/>
      <c r="AR111" s="2237"/>
      <c r="AS111" s="2236"/>
      <c r="AT111" s="2237"/>
      <c r="AU111" s="3562"/>
      <c r="AV111" s="2237"/>
      <c r="AW111" s="5008"/>
      <c r="AX111" s="6957"/>
      <c r="AY111" s="3562"/>
      <c r="AZ111" s="2237"/>
      <c r="BA111" s="2231"/>
      <c r="BB111" s="2237"/>
      <c r="BC111" s="513"/>
      <c r="BD111" s="2237"/>
      <c r="BE111" s="352"/>
      <c r="BF111" s="1137"/>
      <c r="BI111" s="25"/>
      <c r="BJ111" s="25"/>
    </row>
    <row r="112" spans="1:62" s="4487" customFormat="1" ht="16.5" thickBot="1" x14ac:dyDescent="0.3">
      <c r="B112" s="3625" t="s">
        <v>762</v>
      </c>
      <c r="C112" s="739" t="s">
        <v>352</v>
      </c>
      <c r="D112" s="1819"/>
      <c r="E112" s="3288">
        <v>39.06</v>
      </c>
      <c r="F112" s="3288"/>
      <c r="G112" s="3288">
        <v>40.770000000000003</v>
      </c>
      <c r="H112" s="3552"/>
      <c r="I112" s="3557">
        <f>+E112+G112</f>
        <v>79.830000000000013</v>
      </c>
      <c r="J112" s="1580"/>
      <c r="K112" s="3288">
        <v>41.716000000000001</v>
      </c>
      <c r="L112" s="189"/>
      <c r="M112" s="2231">
        <f>+E112+G112+K112</f>
        <v>121.54600000000002</v>
      </c>
      <c r="N112" s="1120"/>
      <c r="O112" s="3288">
        <v>21.33</v>
      </c>
      <c r="P112" s="1120"/>
      <c r="Q112" s="1548">
        <f>+M112+O112</f>
        <v>142.87600000000003</v>
      </c>
      <c r="R112" s="1120"/>
      <c r="S112" s="3288">
        <v>35.173000000000002</v>
      </c>
      <c r="T112" s="1120"/>
      <c r="U112" s="1548">
        <f>+Q112+S112</f>
        <v>178.04900000000004</v>
      </c>
      <c r="V112" s="1120"/>
      <c r="W112" s="3288">
        <v>50.9</v>
      </c>
      <c r="X112" s="189"/>
      <c r="Y112" s="2231">
        <f>+O112+S112+W112</f>
        <v>107.40299999999999</v>
      </c>
      <c r="Z112" s="1819"/>
      <c r="AA112" s="513">
        <f>M112+Y112</f>
        <v>228.94900000000001</v>
      </c>
      <c r="AB112" s="1819"/>
      <c r="AC112" s="3288">
        <v>50.28</v>
      </c>
      <c r="AD112" s="1819"/>
      <c r="AE112" s="2236">
        <f>+AA112+AC112</f>
        <v>279.22900000000004</v>
      </c>
      <c r="AF112" s="1819"/>
      <c r="AG112" s="3288">
        <v>38.286999999999999</v>
      </c>
      <c r="AH112" s="1819"/>
      <c r="AI112" s="2236">
        <f>+AE112+AG112</f>
        <v>317.51600000000002</v>
      </c>
      <c r="AJ112" s="1819"/>
      <c r="AK112" s="3288">
        <v>37.97</v>
      </c>
      <c r="AL112" s="1819"/>
      <c r="AM112" s="2231">
        <f>+AC112+AG112+AK112</f>
        <v>126.53700000000001</v>
      </c>
      <c r="AN112" s="1819"/>
      <c r="AO112" s="2236">
        <f>AI112+AK112</f>
        <v>355.48599999999999</v>
      </c>
      <c r="AP112" s="1819"/>
      <c r="AQ112" s="3288">
        <v>44.19</v>
      </c>
      <c r="AR112" s="1819"/>
      <c r="AS112" s="2236">
        <f>+AO112+AQ112</f>
        <v>399.67599999999999</v>
      </c>
      <c r="AT112" s="1819"/>
      <c r="AU112" s="3288">
        <v>50.17</v>
      </c>
      <c r="AV112" s="1819"/>
      <c r="AW112" s="5008">
        <f>+AS112+AU112</f>
        <v>449.846</v>
      </c>
      <c r="AX112" s="1819"/>
      <c r="AY112" s="3288">
        <v>31.11</v>
      </c>
      <c r="AZ112" s="1819"/>
      <c r="BA112" s="2231">
        <f>+AQ112+AU112+AY112</f>
        <v>125.47</v>
      </c>
      <c r="BB112" s="1819"/>
      <c r="BC112" s="513">
        <f>BA112+AM112</f>
        <v>252.00700000000001</v>
      </c>
      <c r="BD112" s="1819"/>
      <c r="BE112" s="352">
        <f>+AW112+AY112</f>
        <v>480.95600000000002</v>
      </c>
      <c r="BF112" s="1137"/>
      <c r="BI112" s="25"/>
      <c r="BJ112" s="25"/>
    </row>
    <row r="113" spans="1:62" ht="21" thickBot="1" x14ac:dyDescent="0.3">
      <c r="A113" s="139"/>
      <c r="B113" s="7832" t="s">
        <v>2280</v>
      </c>
      <c r="C113" s="7833"/>
      <c r="D113" s="1272">
        <f t="shared" ref="D113:O113" si="113">+D25+D29+D30+D41+D46+D51+D57+D100+D101+D106+D110+D97+D107+D108-D110+D112</f>
        <v>0</v>
      </c>
      <c r="E113" s="1272">
        <f t="shared" si="113"/>
        <v>92794.36</v>
      </c>
      <c r="F113" s="1272">
        <f t="shared" si="113"/>
        <v>0</v>
      </c>
      <c r="G113" s="1272">
        <f t="shared" si="113"/>
        <v>115053.01000000002</v>
      </c>
      <c r="H113" s="1272">
        <f t="shared" si="113"/>
        <v>0</v>
      </c>
      <c r="I113" s="1272">
        <f t="shared" si="113"/>
        <v>207847.37</v>
      </c>
      <c r="J113" s="1272">
        <f t="shared" si="113"/>
        <v>0</v>
      </c>
      <c r="K113" s="1272">
        <f t="shared" si="113"/>
        <v>101373.51599999999</v>
      </c>
      <c r="L113" s="1272">
        <f t="shared" si="113"/>
        <v>0</v>
      </c>
      <c r="M113" s="1272">
        <f t="shared" si="113"/>
        <v>309220.88599999994</v>
      </c>
      <c r="N113" s="1272">
        <f t="shared" si="113"/>
        <v>0</v>
      </c>
      <c r="O113" s="1272">
        <f t="shared" si="113"/>
        <v>135206.09</v>
      </c>
      <c r="P113" s="1272">
        <f>+P25+P29+P30+P41+P46+P51+P57+P99+P112+P100+P101+P106+P110</f>
        <v>0</v>
      </c>
      <c r="Q113" s="1548">
        <f t="shared" si="64"/>
        <v>444426.97599999991</v>
      </c>
      <c r="R113" s="1272">
        <f>+R25+R29+R30+R41+R46+R51+R57+R99+R112+R100+R101+R106+R110</f>
        <v>0</v>
      </c>
      <c r="S113" s="1272">
        <f>+S25+S29+S30+S41+S46+S51+S57+S100+S101+S106+S110+S97+S107+S108-S110+S112</f>
        <v>104909.553</v>
      </c>
      <c r="T113" s="1272">
        <f>+T25+T29+T30+T41+T46+T51+T57+T99+T112+T100+T101+T106+T110</f>
        <v>0</v>
      </c>
      <c r="U113" s="1548">
        <f t="shared" si="65"/>
        <v>549336.52899999986</v>
      </c>
      <c r="V113" s="1272">
        <f>+V25+V29+V30+V41+V46+V51+V57+V99+V112+V100+V101+V106+V110</f>
        <v>0</v>
      </c>
      <c r="W113" s="1272">
        <f t="shared" ref="W113:BE113" si="114">+W25+W29+W30+W41+W46+W51+W57+W100+W101+W106+W110+W97+W107+W108-W110+W112</f>
        <v>116543.58000000002</v>
      </c>
      <c r="X113" s="1272">
        <f t="shared" si="114"/>
        <v>0</v>
      </c>
      <c r="Y113" s="1272">
        <f t="shared" si="114"/>
        <v>356659.22300000006</v>
      </c>
      <c r="Z113" s="1272">
        <f t="shared" si="114"/>
        <v>0</v>
      </c>
      <c r="AA113" s="1272">
        <f t="shared" si="114"/>
        <v>665880.10900000005</v>
      </c>
      <c r="AB113" s="1272">
        <f t="shared" si="114"/>
        <v>0</v>
      </c>
      <c r="AC113" s="1272">
        <f t="shared" si="114"/>
        <v>93470.239999999991</v>
      </c>
      <c r="AD113" s="1272">
        <f t="shared" si="114"/>
        <v>0</v>
      </c>
      <c r="AE113" s="1272">
        <f t="shared" si="114"/>
        <v>759350.34900000005</v>
      </c>
      <c r="AF113" s="1272">
        <f t="shared" si="114"/>
        <v>0</v>
      </c>
      <c r="AG113" s="1272">
        <f t="shared" si="114"/>
        <v>143867.36700000003</v>
      </c>
      <c r="AH113" s="1272">
        <f t="shared" si="114"/>
        <v>0</v>
      </c>
      <c r="AI113" s="1272">
        <f t="shared" si="114"/>
        <v>903217.71600000013</v>
      </c>
      <c r="AJ113" s="1272">
        <f t="shared" si="114"/>
        <v>0</v>
      </c>
      <c r="AK113" s="1272">
        <f t="shared" si="114"/>
        <v>142654.79999999999</v>
      </c>
      <c r="AL113" s="1272">
        <f t="shared" si="114"/>
        <v>0</v>
      </c>
      <c r="AM113" s="1272">
        <f t="shared" si="114"/>
        <v>379992.40700000006</v>
      </c>
      <c r="AN113" s="1272">
        <f t="shared" si="114"/>
        <v>0</v>
      </c>
      <c r="AO113" s="1272">
        <f t="shared" si="114"/>
        <v>1045872.5160000002</v>
      </c>
      <c r="AP113" s="1272">
        <f t="shared" si="114"/>
        <v>0</v>
      </c>
      <c r="AQ113" s="1272">
        <f t="shared" si="114"/>
        <v>126220.43000000001</v>
      </c>
      <c r="AR113" s="1272">
        <f t="shared" si="114"/>
        <v>0</v>
      </c>
      <c r="AS113" s="1272">
        <f t="shared" si="114"/>
        <v>1172092.946</v>
      </c>
      <c r="AT113" s="1272">
        <f t="shared" si="114"/>
        <v>0</v>
      </c>
      <c r="AU113" s="1272">
        <f t="shared" si="114"/>
        <v>111849.02999999998</v>
      </c>
      <c r="AV113" s="1272">
        <f t="shared" si="114"/>
        <v>0</v>
      </c>
      <c r="AW113" s="1272">
        <f t="shared" si="114"/>
        <v>1283941.976</v>
      </c>
      <c r="AX113" s="1272">
        <f t="shared" si="114"/>
        <v>0</v>
      </c>
      <c r="AY113" s="1272">
        <f t="shared" si="114"/>
        <v>103850.34</v>
      </c>
      <c r="AZ113" s="1272">
        <f t="shared" si="114"/>
        <v>0</v>
      </c>
      <c r="BA113" s="1272">
        <f t="shared" si="114"/>
        <v>341919.8</v>
      </c>
      <c r="BB113" s="1272">
        <f t="shared" si="114"/>
        <v>0</v>
      </c>
      <c r="BC113" s="1272">
        <f t="shared" si="114"/>
        <v>721912.20700000005</v>
      </c>
      <c r="BD113" s="1272">
        <f t="shared" si="114"/>
        <v>0</v>
      </c>
      <c r="BE113" s="1272">
        <f t="shared" si="114"/>
        <v>1387792.3159999999</v>
      </c>
      <c r="BF113" s="1137"/>
      <c r="BI113" s="25"/>
      <c r="BJ113" s="25"/>
    </row>
    <row r="114" spans="1:62" s="4487" customFormat="1" ht="15" x14ac:dyDescent="0.25">
      <c r="A114" s="139"/>
      <c r="O114" s="90"/>
      <c r="BG114" s="1137"/>
      <c r="BI114" s="25"/>
      <c r="BJ114" s="25"/>
    </row>
    <row r="115" spans="1:62" s="2879" customFormat="1" thickBot="1" x14ac:dyDescent="0.3">
      <c r="A115" s="139"/>
      <c r="B115" s="4487"/>
      <c r="C115" s="4487"/>
      <c r="D115" s="4487"/>
      <c r="E115" s="4487"/>
      <c r="F115" s="4487"/>
      <c r="G115" s="4487"/>
      <c r="H115" s="4487"/>
      <c r="I115" s="4487"/>
      <c r="J115" s="4487"/>
      <c r="K115" s="4487"/>
      <c r="L115" s="4487"/>
      <c r="M115" s="4487"/>
      <c r="N115" s="4487"/>
      <c r="O115" s="90"/>
      <c r="P115" s="4487"/>
      <c r="Q115" s="4487"/>
      <c r="R115" s="4487"/>
      <c r="S115" s="4487"/>
      <c r="T115" s="4487"/>
      <c r="U115" s="4487"/>
      <c r="V115" s="4487"/>
      <c r="W115" s="4487"/>
      <c r="X115" s="4487"/>
      <c r="Y115" s="4487"/>
      <c r="Z115" s="4487"/>
      <c r="AA115" s="4487"/>
      <c r="AB115" s="4487"/>
      <c r="AC115" s="25"/>
      <c r="AD115" s="4487"/>
      <c r="AE115" s="4487"/>
      <c r="AF115" s="4487"/>
      <c r="AG115" s="4487"/>
      <c r="AH115" s="4487"/>
      <c r="AI115" s="4487"/>
      <c r="AJ115" s="4487"/>
      <c r="AK115" s="4487"/>
      <c r="AL115" s="4487"/>
      <c r="AM115" s="4487"/>
      <c r="AN115" s="4487"/>
      <c r="AO115" s="4487"/>
      <c r="AP115" s="4487"/>
      <c r="AQ115" s="4487"/>
      <c r="AR115" s="4487"/>
      <c r="AS115" s="4487"/>
      <c r="AT115" s="4487"/>
      <c r="AU115" s="4487"/>
      <c r="AV115" s="4487"/>
      <c r="AW115" s="4487"/>
      <c r="AX115" s="4487"/>
      <c r="AY115" s="4487"/>
      <c r="AZ115" s="4487"/>
      <c r="BA115" s="4487"/>
      <c r="BB115" s="4487"/>
      <c r="BC115" s="4487"/>
      <c r="BD115" s="4487"/>
      <c r="BE115" s="4487"/>
      <c r="BF115" s="4487"/>
      <c r="BG115" s="4487"/>
      <c r="BI115" s="25"/>
      <c r="BJ115" s="25"/>
    </row>
    <row r="116" spans="1:62" ht="25.5" x14ac:dyDescent="0.25">
      <c r="B116" s="3065" t="s">
        <v>1043</v>
      </c>
      <c r="C116" s="2898"/>
      <c r="D116" s="2899"/>
      <c r="E116" s="2899"/>
      <c r="F116" s="2900"/>
      <c r="G116" s="2899"/>
      <c r="H116" s="2899"/>
      <c r="I116" s="2899"/>
      <c r="J116" s="2899"/>
      <c r="K116" s="2899"/>
      <c r="L116" s="2900"/>
      <c r="M116" s="2901"/>
      <c r="N116" s="2900"/>
      <c r="O116" s="7229"/>
      <c r="P116" s="2899"/>
      <c r="Q116" s="2899"/>
      <c r="R116" s="2899"/>
      <c r="S116" s="2899"/>
      <c r="T116" s="2899"/>
      <c r="U116" s="2899"/>
      <c r="V116" s="2899"/>
      <c r="W116" s="2899"/>
      <c r="X116" s="2900"/>
      <c r="Y116" s="2901"/>
      <c r="Z116" s="2900"/>
      <c r="AA116" s="2902"/>
      <c r="AB116" s="2900"/>
      <c r="AC116" s="2899"/>
      <c r="AD116" s="2899"/>
      <c r="AE116" s="2899"/>
      <c r="AF116" s="2899"/>
      <c r="AG116" s="2899"/>
      <c r="AH116" s="2899"/>
      <c r="AI116" s="2899"/>
      <c r="AJ116" s="2899"/>
      <c r="AK116" s="2899"/>
      <c r="AL116" s="2900"/>
      <c r="AM116" s="2901"/>
      <c r="AN116" s="2900"/>
      <c r="AO116" s="2900"/>
      <c r="AP116" s="2899"/>
      <c r="AQ116" s="2899"/>
      <c r="AR116" s="2899"/>
      <c r="AS116" s="2899"/>
      <c r="AT116" s="2899"/>
      <c r="AU116" s="2899"/>
      <c r="AV116" s="2900"/>
      <c r="AW116" s="2899"/>
      <c r="AX116" s="2899"/>
      <c r="AY116" s="2899"/>
      <c r="AZ116" s="2900"/>
      <c r="BA116" s="2901"/>
      <c r="BB116" s="2900"/>
      <c r="BC116" s="2902"/>
      <c r="BD116" s="2900"/>
      <c r="BE116" s="2903"/>
      <c r="BF116" s="1137"/>
      <c r="BI116" s="25"/>
      <c r="BJ116" s="25"/>
    </row>
    <row r="117" spans="1:62" hidden="1" x14ac:dyDescent="0.25">
      <c r="B117" s="696" t="s">
        <v>1039</v>
      </c>
      <c r="C117" s="2893" t="s">
        <v>352</v>
      </c>
      <c r="D117" s="2904"/>
      <c r="E117" s="2904">
        <f>+E118+E119+E120</f>
        <v>0</v>
      </c>
      <c r="F117" s="2904"/>
      <c r="G117" s="2904">
        <f>+G118+G119+G120</f>
        <v>0</v>
      </c>
      <c r="H117" s="2905"/>
      <c r="I117" s="2905">
        <f t="shared" ref="I117:I159" si="115">+E117+G117</f>
        <v>0</v>
      </c>
      <c r="J117" s="2904"/>
      <c r="K117" s="2904">
        <f>+K118+K119+K120</f>
        <v>0</v>
      </c>
      <c r="L117" s="2904"/>
      <c r="M117" s="2906">
        <f t="shared" ref="M117:M131" si="116">+E117+G117+K117</f>
        <v>0</v>
      </c>
      <c r="N117" s="2904"/>
      <c r="O117" s="2904">
        <f>+O118+O119+O120</f>
        <v>0</v>
      </c>
      <c r="P117" s="2904"/>
      <c r="Q117" s="1548">
        <f t="shared" si="64"/>
        <v>0</v>
      </c>
      <c r="R117" s="2904"/>
      <c r="S117" s="2904">
        <f>+S118+S119+S120</f>
        <v>0</v>
      </c>
      <c r="T117" s="2904"/>
      <c r="U117" s="2908">
        <f t="shared" ref="U117:U170" si="117">+Q117+S117</f>
        <v>0</v>
      </c>
      <c r="V117" s="2904"/>
      <c r="W117" s="2904">
        <f>+W118+W119+W120</f>
        <v>0</v>
      </c>
      <c r="X117" s="2904"/>
      <c r="Y117" s="2906">
        <f t="shared" si="72"/>
        <v>0</v>
      </c>
      <c r="Z117" s="2904"/>
      <c r="AA117" s="2897">
        <f t="shared" si="69"/>
        <v>0</v>
      </c>
      <c r="AB117" s="2904"/>
      <c r="AC117" s="2904">
        <f>+AC118+AC119+AC120</f>
        <v>0</v>
      </c>
      <c r="AD117" s="2904"/>
      <c r="AE117" s="2904">
        <f t="shared" ref="AE117:AE132" si="118">+AA117+AC117</f>
        <v>0</v>
      </c>
      <c r="AF117" s="2904"/>
      <c r="AG117" s="2904">
        <f>+AG118+AG119+AG120</f>
        <v>0</v>
      </c>
      <c r="AH117" s="2904"/>
      <c r="AI117" s="2904">
        <f t="shared" ref="AI117:AI124" si="119">+AE117+AG117</f>
        <v>0</v>
      </c>
      <c r="AJ117" s="2904"/>
      <c r="AK117" s="2904">
        <f>+AK118+AK119+AK120</f>
        <v>0</v>
      </c>
      <c r="AL117" s="2904"/>
      <c r="AM117" s="2906">
        <f t="shared" si="78"/>
        <v>0</v>
      </c>
      <c r="AN117" s="2904"/>
      <c r="AO117" s="2904">
        <f t="shared" si="98"/>
        <v>0</v>
      </c>
      <c r="AP117" s="2904"/>
      <c r="AQ117" s="2904">
        <f>+AQ118+AQ119+AQ120</f>
        <v>0</v>
      </c>
      <c r="AR117" s="2904"/>
      <c r="AS117" s="2904">
        <f t="shared" ref="AS117:AS120" si="120">+AO117+AQ117</f>
        <v>0</v>
      </c>
      <c r="AT117" s="2904"/>
      <c r="AU117" s="2904">
        <f>+AU118+AU119+AU120</f>
        <v>0</v>
      </c>
      <c r="AV117" s="2904"/>
      <c r="AW117" s="2904">
        <f t="shared" ref="AW117:AW120" si="121">+AS117+AU117</f>
        <v>0</v>
      </c>
      <c r="AX117" s="2904"/>
      <c r="AY117" s="2904">
        <f>+AY118+AY119+AY120</f>
        <v>0</v>
      </c>
      <c r="AZ117" s="2904"/>
      <c r="BA117" s="2906">
        <f t="shared" si="71"/>
        <v>0</v>
      </c>
      <c r="BB117" s="2904"/>
      <c r="BC117" s="2897">
        <f t="shared" si="73"/>
        <v>0</v>
      </c>
      <c r="BD117" s="2904"/>
      <c r="BE117" s="2517">
        <f t="shared" ref="BE117:BE120" si="122">+AW117+AY117</f>
        <v>0</v>
      </c>
      <c r="BF117" s="1137"/>
      <c r="BI117" s="25"/>
      <c r="BJ117" s="25"/>
    </row>
    <row r="118" spans="1:62" hidden="1" x14ac:dyDescent="0.25">
      <c r="B118" s="694" t="s">
        <v>1040</v>
      </c>
      <c r="C118" s="2893" t="s">
        <v>352</v>
      </c>
      <c r="D118" s="2907"/>
      <c r="E118" s="2907"/>
      <c r="F118" s="2907"/>
      <c r="G118" s="2907"/>
      <c r="H118" s="2908"/>
      <c r="I118" s="2908">
        <f t="shared" si="115"/>
        <v>0</v>
      </c>
      <c r="J118" s="2907"/>
      <c r="K118" s="2907"/>
      <c r="L118" s="2907"/>
      <c r="M118" s="2909">
        <f t="shared" si="116"/>
        <v>0</v>
      </c>
      <c r="N118" s="2907"/>
      <c r="O118" s="2907"/>
      <c r="P118" s="2907"/>
      <c r="Q118" s="1548">
        <f t="shared" si="64"/>
        <v>0</v>
      </c>
      <c r="R118" s="2907"/>
      <c r="S118" s="2907"/>
      <c r="T118" s="2907"/>
      <c r="U118" s="2908">
        <f t="shared" si="117"/>
        <v>0</v>
      </c>
      <c r="V118" s="2907"/>
      <c r="W118" s="2907"/>
      <c r="X118" s="2907"/>
      <c r="Y118" s="2909">
        <f t="shared" si="72"/>
        <v>0</v>
      </c>
      <c r="Z118" s="2907"/>
      <c r="AA118" s="2897">
        <f t="shared" si="69"/>
        <v>0</v>
      </c>
      <c r="AB118" s="2907"/>
      <c r="AC118" s="2907"/>
      <c r="AD118" s="2907"/>
      <c r="AE118" s="2896">
        <f t="shared" si="118"/>
        <v>0</v>
      </c>
      <c r="AF118" s="2907"/>
      <c r="AG118" s="2907"/>
      <c r="AH118" s="2907"/>
      <c r="AI118" s="2896">
        <f t="shared" si="119"/>
        <v>0</v>
      </c>
      <c r="AJ118" s="2907"/>
      <c r="AK118" s="2907"/>
      <c r="AL118" s="2907"/>
      <c r="AM118" s="2909">
        <f t="shared" si="78"/>
        <v>0</v>
      </c>
      <c r="AN118" s="2907"/>
      <c r="AO118" s="2896">
        <f t="shared" si="98"/>
        <v>0</v>
      </c>
      <c r="AP118" s="2907"/>
      <c r="AQ118" s="2907"/>
      <c r="AR118" s="2907"/>
      <c r="AS118" s="2896">
        <f t="shared" si="120"/>
        <v>0</v>
      </c>
      <c r="AT118" s="2907"/>
      <c r="AU118" s="2907"/>
      <c r="AV118" s="2907"/>
      <c r="AW118" s="5010">
        <f t="shared" si="121"/>
        <v>0</v>
      </c>
      <c r="AX118" s="2907"/>
      <c r="AY118" s="2907"/>
      <c r="AZ118" s="2907"/>
      <c r="BA118" s="2909">
        <f t="shared" si="71"/>
        <v>0</v>
      </c>
      <c r="BB118" s="2907"/>
      <c r="BC118" s="2897">
        <f t="shared" si="73"/>
        <v>0</v>
      </c>
      <c r="BD118" s="2907"/>
      <c r="BE118" s="171">
        <f t="shared" si="122"/>
        <v>0</v>
      </c>
      <c r="BF118" s="1137"/>
      <c r="BI118" s="25"/>
      <c r="BJ118" s="25"/>
    </row>
    <row r="119" spans="1:62" hidden="1" x14ac:dyDescent="0.25">
      <c r="B119" s="694" t="s">
        <v>1041</v>
      </c>
      <c r="C119" s="2893" t="s">
        <v>352</v>
      </c>
      <c r="D119" s="2907"/>
      <c r="E119" s="2907"/>
      <c r="F119" s="2907"/>
      <c r="G119" s="2907"/>
      <c r="H119" s="2908"/>
      <c r="I119" s="2908">
        <f t="shared" si="115"/>
        <v>0</v>
      </c>
      <c r="J119" s="2907"/>
      <c r="K119" s="2907"/>
      <c r="L119" s="2907"/>
      <c r="M119" s="2909">
        <f t="shared" si="116"/>
        <v>0</v>
      </c>
      <c r="N119" s="2907"/>
      <c r="O119" s="2907"/>
      <c r="P119" s="2907"/>
      <c r="Q119" s="1548">
        <f t="shared" si="64"/>
        <v>0</v>
      </c>
      <c r="R119" s="2907"/>
      <c r="S119" s="2907"/>
      <c r="T119" s="2907"/>
      <c r="U119" s="2908">
        <f t="shared" si="117"/>
        <v>0</v>
      </c>
      <c r="V119" s="2907"/>
      <c r="W119" s="2907"/>
      <c r="X119" s="2907"/>
      <c r="Y119" s="2909">
        <f t="shared" si="72"/>
        <v>0</v>
      </c>
      <c r="Z119" s="2907"/>
      <c r="AA119" s="2897">
        <f t="shared" si="69"/>
        <v>0</v>
      </c>
      <c r="AB119" s="2907"/>
      <c r="AC119" s="2907"/>
      <c r="AD119" s="2907"/>
      <c r="AE119" s="2896">
        <f t="shared" si="118"/>
        <v>0</v>
      </c>
      <c r="AF119" s="2907"/>
      <c r="AG119" s="2907"/>
      <c r="AH119" s="2907"/>
      <c r="AI119" s="2896">
        <f t="shared" si="119"/>
        <v>0</v>
      </c>
      <c r="AJ119" s="2907"/>
      <c r="AK119" s="2907"/>
      <c r="AL119" s="2907"/>
      <c r="AM119" s="2909">
        <f t="shared" si="78"/>
        <v>0</v>
      </c>
      <c r="AN119" s="2907"/>
      <c r="AO119" s="2896">
        <f t="shared" si="98"/>
        <v>0</v>
      </c>
      <c r="AP119" s="2907"/>
      <c r="AQ119" s="2907"/>
      <c r="AR119" s="2907"/>
      <c r="AS119" s="2896">
        <f t="shared" si="120"/>
        <v>0</v>
      </c>
      <c r="AT119" s="2907"/>
      <c r="AU119" s="2907"/>
      <c r="AV119" s="2907"/>
      <c r="AW119" s="5010">
        <f t="shared" si="121"/>
        <v>0</v>
      </c>
      <c r="AX119" s="2907"/>
      <c r="AY119" s="2907"/>
      <c r="AZ119" s="2907"/>
      <c r="BA119" s="2909">
        <f t="shared" si="71"/>
        <v>0</v>
      </c>
      <c r="BB119" s="2907"/>
      <c r="BC119" s="2897">
        <f t="shared" si="73"/>
        <v>0</v>
      </c>
      <c r="BD119" s="2907"/>
      <c r="BE119" s="171">
        <f t="shared" si="122"/>
        <v>0</v>
      </c>
      <c r="BF119" s="1137"/>
      <c r="BI119" s="25"/>
      <c r="BJ119" s="25"/>
    </row>
    <row r="120" spans="1:62" hidden="1" x14ac:dyDescent="0.25">
      <c r="B120" s="694" t="s">
        <v>1081</v>
      </c>
      <c r="C120" s="2893" t="s">
        <v>352</v>
      </c>
      <c r="D120" s="2907"/>
      <c r="E120" s="2907"/>
      <c r="F120" s="2907"/>
      <c r="G120" s="2907"/>
      <c r="H120" s="2908"/>
      <c r="I120" s="2908">
        <f t="shared" si="115"/>
        <v>0</v>
      </c>
      <c r="J120" s="2907"/>
      <c r="K120" s="2907"/>
      <c r="L120" s="2907"/>
      <c r="M120" s="2909">
        <f t="shared" si="116"/>
        <v>0</v>
      </c>
      <c r="N120" s="2907"/>
      <c r="O120" s="2907"/>
      <c r="P120" s="2907"/>
      <c r="Q120" s="1548">
        <f t="shared" si="64"/>
        <v>0</v>
      </c>
      <c r="R120" s="2907"/>
      <c r="S120" s="2907"/>
      <c r="T120" s="2907"/>
      <c r="U120" s="2908">
        <f t="shared" si="117"/>
        <v>0</v>
      </c>
      <c r="V120" s="2907"/>
      <c r="W120" s="2907"/>
      <c r="X120" s="2907"/>
      <c r="Y120" s="2909">
        <f t="shared" si="72"/>
        <v>0</v>
      </c>
      <c r="Z120" s="2907"/>
      <c r="AA120" s="2897">
        <f t="shared" si="69"/>
        <v>0</v>
      </c>
      <c r="AB120" s="2907"/>
      <c r="AC120" s="2907"/>
      <c r="AD120" s="2907"/>
      <c r="AE120" s="2896">
        <f t="shared" si="118"/>
        <v>0</v>
      </c>
      <c r="AF120" s="2907"/>
      <c r="AG120" s="2907"/>
      <c r="AH120" s="2907"/>
      <c r="AI120" s="2896">
        <f t="shared" si="119"/>
        <v>0</v>
      </c>
      <c r="AJ120" s="2907"/>
      <c r="AK120" s="2907"/>
      <c r="AL120" s="2907"/>
      <c r="AM120" s="2909">
        <f t="shared" si="78"/>
        <v>0</v>
      </c>
      <c r="AN120" s="2907"/>
      <c r="AO120" s="2896">
        <f t="shared" si="98"/>
        <v>0</v>
      </c>
      <c r="AP120" s="2907"/>
      <c r="AQ120" s="2907"/>
      <c r="AR120" s="2907"/>
      <c r="AS120" s="2896">
        <f t="shared" si="120"/>
        <v>0</v>
      </c>
      <c r="AT120" s="2907"/>
      <c r="AU120" s="2907"/>
      <c r="AV120" s="2907"/>
      <c r="AW120" s="5010">
        <f t="shared" si="121"/>
        <v>0</v>
      </c>
      <c r="AX120" s="2907"/>
      <c r="AY120" s="2907"/>
      <c r="AZ120" s="2907"/>
      <c r="BA120" s="2909">
        <f t="shared" si="71"/>
        <v>0</v>
      </c>
      <c r="BB120" s="2907"/>
      <c r="BC120" s="2897">
        <f t="shared" si="73"/>
        <v>0</v>
      </c>
      <c r="BD120" s="2907"/>
      <c r="BE120" s="171">
        <f t="shared" si="122"/>
        <v>0</v>
      </c>
      <c r="BF120" s="1137"/>
      <c r="BI120" s="25"/>
      <c r="BJ120" s="25"/>
    </row>
    <row r="121" spans="1:62" hidden="1" x14ac:dyDescent="0.25">
      <c r="B121" s="696" t="s">
        <v>1103</v>
      </c>
      <c r="C121" s="2893"/>
      <c r="D121" s="2904">
        <f t="shared" ref="D121" si="123">+D122+D123</f>
        <v>0</v>
      </c>
      <c r="E121" s="2904">
        <f>+E122+E123</f>
        <v>0</v>
      </c>
      <c r="F121" s="2904">
        <f t="shared" ref="F121:AI121" si="124">+F122+F123</f>
        <v>0</v>
      </c>
      <c r="G121" s="2904">
        <f>+G122+G123</f>
        <v>0</v>
      </c>
      <c r="H121" s="2904">
        <f t="shared" si="124"/>
        <v>0</v>
      </c>
      <c r="I121" s="2904">
        <f t="shared" si="124"/>
        <v>0</v>
      </c>
      <c r="J121" s="2904">
        <f t="shared" si="124"/>
        <v>0</v>
      </c>
      <c r="K121" s="2904">
        <f>+K122+K123</f>
        <v>0</v>
      </c>
      <c r="L121" s="2904">
        <f t="shared" si="124"/>
        <v>0</v>
      </c>
      <c r="M121" s="2904">
        <f t="shared" si="124"/>
        <v>0</v>
      </c>
      <c r="N121" s="2904">
        <f t="shared" si="124"/>
        <v>0</v>
      </c>
      <c r="O121" s="2904">
        <f>+O122+O123</f>
        <v>0</v>
      </c>
      <c r="P121" s="2904">
        <f t="shared" si="124"/>
        <v>0</v>
      </c>
      <c r="Q121" s="1548">
        <f t="shared" si="64"/>
        <v>0</v>
      </c>
      <c r="R121" s="2904">
        <f t="shared" si="124"/>
        <v>0</v>
      </c>
      <c r="S121" s="2904">
        <f>+S122+S123</f>
        <v>0</v>
      </c>
      <c r="T121" s="2904">
        <f t="shared" si="124"/>
        <v>0</v>
      </c>
      <c r="U121" s="5928">
        <f t="shared" si="124"/>
        <v>0</v>
      </c>
      <c r="V121" s="2904">
        <f t="shared" si="124"/>
        <v>0</v>
      </c>
      <c r="W121" s="2904">
        <f>+W122+W123</f>
        <v>0</v>
      </c>
      <c r="X121" s="2904">
        <f t="shared" si="124"/>
        <v>0</v>
      </c>
      <c r="Y121" s="2904">
        <f t="shared" si="72"/>
        <v>0</v>
      </c>
      <c r="Z121" s="2904">
        <f t="shared" si="124"/>
        <v>0</v>
      </c>
      <c r="AA121" s="2897">
        <f t="shared" si="69"/>
        <v>0</v>
      </c>
      <c r="AB121" s="2904">
        <f t="shared" si="124"/>
        <v>0</v>
      </c>
      <c r="AC121" s="2904">
        <f>+AC122+AC123</f>
        <v>0</v>
      </c>
      <c r="AD121" s="2904">
        <f t="shared" si="124"/>
        <v>0</v>
      </c>
      <c r="AE121" s="2904">
        <f t="shared" si="124"/>
        <v>0</v>
      </c>
      <c r="AF121" s="2904">
        <f t="shared" si="124"/>
        <v>0</v>
      </c>
      <c r="AG121" s="2904">
        <f>+AG122+AG123</f>
        <v>0</v>
      </c>
      <c r="AH121" s="2904">
        <f t="shared" si="124"/>
        <v>0</v>
      </c>
      <c r="AI121" s="2904">
        <f t="shared" si="124"/>
        <v>0</v>
      </c>
      <c r="AJ121" s="2904">
        <f t="shared" ref="AJ121:AN121" si="125">+AJ122+AJ123</f>
        <v>0</v>
      </c>
      <c r="AK121" s="2904">
        <f>+AK122+AK123</f>
        <v>0</v>
      </c>
      <c r="AL121" s="2904">
        <f t="shared" si="125"/>
        <v>0</v>
      </c>
      <c r="AM121" s="2904">
        <f t="shared" si="78"/>
        <v>0</v>
      </c>
      <c r="AN121" s="2904">
        <f t="shared" si="125"/>
        <v>0</v>
      </c>
      <c r="AO121" s="2904">
        <f t="shared" si="98"/>
        <v>0</v>
      </c>
      <c r="AP121" s="2904">
        <f t="shared" ref="AP121" si="126">+AP122+AP123</f>
        <v>0</v>
      </c>
      <c r="AQ121" s="2904">
        <f>+AQ122+AQ123</f>
        <v>0</v>
      </c>
      <c r="AR121" s="2904">
        <f t="shared" ref="AR121:AS121" si="127">+AR122+AR123</f>
        <v>0</v>
      </c>
      <c r="AS121" s="2904">
        <f t="shared" si="127"/>
        <v>0</v>
      </c>
      <c r="AT121" s="2904">
        <f t="shared" ref="AT121:AW121" si="128">+AT122+AT123</f>
        <v>0</v>
      </c>
      <c r="AU121" s="2904">
        <f>+AU122+AU123</f>
        <v>0</v>
      </c>
      <c r="AV121" s="2904">
        <f t="shared" si="128"/>
        <v>0</v>
      </c>
      <c r="AW121" s="2904">
        <f t="shared" si="128"/>
        <v>0</v>
      </c>
      <c r="AX121" s="2904">
        <f t="shared" ref="AX121" si="129">+AX122+AX123</f>
        <v>0</v>
      </c>
      <c r="AY121" s="2904">
        <f>+AY122+AY123</f>
        <v>0</v>
      </c>
      <c r="AZ121" s="2904">
        <f t="shared" ref="AZ121:BE121" si="130">+AZ122+AZ123</f>
        <v>0</v>
      </c>
      <c r="BA121" s="2904">
        <f t="shared" si="71"/>
        <v>0</v>
      </c>
      <c r="BB121" s="2904">
        <f t="shared" si="130"/>
        <v>0</v>
      </c>
      <c r="BC121" s="2897">
        <f t="shared" si="73"/>
        <v>0</v>
      </c>
      <c r="BD121" s="2904">
        <f t="shared" si="130"/>
        <v>0</v>
      </c>
      <c r="BE121" s="2517">
        <f t="shared" si="130"/>
        <v>0</v>
      </c>
      <c r="BF121" s="1137"/>
      <c r="BI121" s="25"/>
      <c r="BJ121" s="25"/>
    </row>
    <row r="122" spans="1:62" hidden="1" x14ac:dyDescent="0.25">
      <c r="B122" s="694" t="s">
        <v>1327</v>
      </c>
      <c r="C122" s="2893" t="s">
        <v>352</v>
      </c>
      <c r="D122" s="2907"/>
      <c r="E122" s="2907"/>
      <c r="F122" s="2907"/>
      <c r="G122" s="2907"/>
      <c r="H122" s="2908"/>
      <c r="I122" s="2908">
        <f t="shared" si="115"/>
        <v>0</v>
      </c>
      <c r="J122" s="2907"/>
      <c r="K122" s="2907"/>
      <c r="L122" s="2907"/>
      <c r="M122" s="2909">
        <f t="shared" si="116"/>
        <v>0</v>
      </c>
      <c r="N122" s="2907"/>
      <c r="O122" s="2907"/>
      <c r="P122" s="2907"/>
      <c r="Q122" s="1548">
        <f t="shared" si="64"/>
        <v>0</v>
      </c>
      <c r="R122" s="2907"/>
      <c r="S122" s="2907"/>
      <c r="T122" s="2907"/>
      <c r="U122" s="2908">
        <f t="shared" si="117"/>
        <v>0</v>
      </c>
      <c r="V122" s="2907"/>
      <c r="W122" s="2907"/>
      <c r="X122" s="2907"/>
      <c r="Y122" s="2909">
        <f t="shared" si="72"/>
        <v>0</v>
      </c>
      <c r="Z122" s="2907"/>
      <c r="AA122" s="2897">
        <f t="shared" si="69"/>
        <v>0</v>
      </c>
      <c r="AB122" s="2907"/>
      <c r="AC122" s="2907"/>
      <c r="AD122" s="2907"/>
      <c r="AE122" s="2896">
        <f t="shared" si="118"/>
        <v>0</v>
      </c>
      <c r="AF122" s="2907"/>
      <c r="AG122" s="2907"/>
      <c r="AH122" s="2907"/>
      <c r="AI122" s="2896">
        <f t="shared" si="119"/>
        <v>0</v>
      </c>
      <c r="AJ122" s="2907"/>
      <c r="AK122" s="2907"/>
      <c r="AL122" s="2907"/>
      <c r="AM122" s="2909">
        <f t="shared" si="78"/>
        <v>0</v>
      </c>
      <c r="AN122" s="2907"/>
      <c r="AO122" s="2896">
        <f t="shared" si="98"/>
        <v>0</v>
      </c>
      <c r="AP122" s="2907"/>
      <c r="AQ122" s="2907"/>
      <c r="AR122" s="2907"/>
      <c r="AS122" s="2896">
        <f t="shared" ref="AS122:AS123" si="131">+AO122+AQ122</f>
        <v>0</v>
      </c>
      <c r="AT122" s="2907"/>
      <c r="AU122" s="2907"/>
      <c r="AV122" s="2907"/>
      <c r="AW122" s="5010">
        <f t="shared" ref="AW122:AW123" si="132">+AS122+AU122</f>
        <v>0</v>
      </c>
      <c r="AX122" s="2907"/>
      <c r="AY122" s="2907"/>
      <c r="AZ122" s="2907"/>
      <c r="BA122" s="2909">
        <f t="shared" si="71"/>
        <v>0</v>
      </c>
      <c r="BB122" s="2907"/>
      <c r="BC122" s="2897">
        <f t="shared" si="73"/>
        <v>0</v>
      </c>
      <c r="BD122" s="2907"/>
      <c r="BE122" s="171">
        <f t="shared" ref="BE122:BE124" si="133">+AW122+AY122</f>
        <v>0</v>
      </c>
      <c r="BF122" s="1137"/>
      <c r="BI122" s="25"/>
      <c r="BJ122" s="25"/>
    </row>
    <row r="123" spans="1:62" hidden="1" x14ac:dyDescent="0.25">
      <c r="B123" s="694" t="s">
        <v>1231</v>
      </c>
      <c r="C123" s="2893" t="s">
        <v>352</v>
      </c>
      <c r="D123" s="2907"/>
      <c r="E123" s="2907"/>
      <c r="F123" s="2907"/>
      <c r="G123" s="2907"/>
      <c r="H123" s="2908"/>
      <c r="I123" s="2908">
        <f t="shared" si="115"/>
        <v>0</v>
      </c>
      <c r="J123" s="2907"/>
      <c r="K123" s="2907"/>
      <c r="L123" s="2907"/>
      <c r="M123" s="2909">
        <f t="shared" si="116"/>
        <v>0</v>
      </c>
      <c r="N123" s="2907"/>
      <c r="O123" s="2907"/>
      <c r="P123" s="2907"/>
      <c r="Q123" s="1548">
        <f t="shared" si="64"/>
        <v>0</v>
      </c>
      <c r="R123" s="2907"/>
      <c r="S123" s="2907"/>
      <c r="T123" s="2907"/>
      <c r="U123" s="2908">
        <f t="shared" si="117"/>
        <v>0</v>
      </c>
      <c r="V123" s="2907"/>
      <c r="W123" s="2907"/>
      <c r="X123" s="2907"/>
      <c r="Y123" s="2909">
        <f t="shared" si="72"/>
        <v>0</v>
      </c>
      <c r="Z123" s="2907"/>
      <c r="AA123" s="2897">
        <f t="shared" si="69"/>
        <v>0</v>
      </c>
      <c r="AB123" s="2907"/>
      <c r="AC123" s="2907"/>
      <c r="AD123" s="2907"/>
      <c r="AE123" s="2896">
        <f t="shared" si="118"/>
        <v>0</v>
      </c>
      <c r="AF123" s="2907"/>
      <c r="AG123" s="2907"/>
      <c r="AH123" s="2907"/>
      <c r="AI123" s="2896">
        <f t="shared" si="119"/>
        <v>0</v>
      </c>
      <c r="AJ123" s="2907"/>
      <c r="AK123" s="2907"/>
      <c r="AL123" s="2907"/>
      <c r="AM123" s="2909">
        <f t="shared" si="78"/>
        <v>0</v>
      </c>
      <c r="AN123" s="2907"/>
      <c r="AO123" s="2896">
        <f t="shared" si="98"/>
        <v>0</v>
      </c>
      <c r="AP123" s="2907"/>
      <c r="AQ123" s="2907"/>
      <c r="AR123" s="2907"/>
      <c r="AS123" s="2896">
        <f t="shared" si="131"/>
        <v>0</v>
      </c>
      <c r="AT123" s="2907"/>
      <c r="AU123" s="2907"/>
      <c r="AV123" s="2907"/>
      <c r="AW123" s="5010">
        <f t="shared" si="132"/>
        <v>0</v>
      </c>
      <c r="AX123" s="2907"/>
      <c r="AY123" s="2907"/>
      <c r="AZ123" s="2907"/>
      <c r="BA123" s="2909">
        <f t="shared" si="71"/>
        <v>0</v>
      </c>
      <c r="BB123" s="2907"/>
      <c r="BC123" s="2897">
        <f t="shared" si="73"/>
        <v>0</v>
      </c>
      <c r="BD123" s="2907"/>
      <c r="BE123" s="171">
        <f t="shared" si="133"/>
        <v>0</v>
      </c>
      <c r="BF123" s="1137"/>
      <c r="BI123" s="25"/>
      <c r="BJ123" s="25"/>
    </row>
    <row r="124" spans="1:62" s="4487" customFormat="1" hidden="1" x14ac:dyDescent="0.25">
      <c r="B124" s="5811" t="s">
        <v>2001</v>
      </c>
      <c r="C124" s="5799"/>
      <c r="D124" s="2904"/>
      <c r="E124" s="2904"/>
      <c r="F124" s="2904"/>
      <c r="G124" s="2904"/>
      <c r="H124" s="2904"/>
      <c r="I124" s="2904"/>
      <c r="J124" s="2904"/>
      <c r="K124" s="2904">
        <v>2500</v>
      </c>
      <c r="L124" s="2904"/>
      <c r="M124" s="2904">
        <f>I124+K124</f>
        <v>2500</v>
      </c>
      <c r="N124" s="2904"/>
      <c r="O124" s="2904">
        <v>7430</v>
      </c>
      <c r="P124" s="2904"/>
      <c r="Q124" s="1548">
        <f t="shared" si="64"/>
        <v>9930</v>
      </c>
      <c r="R124" s="2904"/>
      <c r="S124" s="2904">
        <v>2070</v>
      </c>
      <c r="T124" s="2904"/>
      <c r="U124" s="1548">
        <f t="shared" si="117"/>
        <v>12000</v>
      </c>
      <c r="V124" s="2904"/>
      <c r="W124" s="2904"/>
      <c r="X124" s="2904"/>
      <c r="Y124" s="2904">
        <f t="shared" ref="Y124" si="134">+O124+S124+W124</f>
        <v>9500</v>
      </c>
      <c r="Z124" s="2904">
        <f t="shared" ref="D124:BE128" si="135">+Z125</f>
        <v>0</v>
      </c>
      <c r="AA124" s="2904">
        <f t="shared" ref="AA124" si="136">M124+Y124</f>
        <v>12000</v>
      </c>
      <c r="AB124" s="2904"/>
      <c r="AC124" s="2904"/>
      <c r="AD124" s="2904"/>
      <c r="AE124" s="2904">
        <f t="shared" si="118"/>
        <v>12000</v>
      </c>
      <c r="AF124" s="2904"/>
      <c r="AG124" s="2904"/>
      <c r="AH124" s="2904"/>
      <c r="AI124" s="2904">
        <f t="shared" si="119"/>
        <v>12000</v>
      </c>
      <c r="AJ124" s="2904"/>
      <c r="AK124" s="2904">
        <v>1500</v>
      </c>
      <c r="AL124" s="2904"/>
      <c r="AM124" s="2904">
        <f t="shared" ref="AM124" si="137">+AC124+AG124+AK124</f>
        <v>1500</v>
      </c>
      <c r="AN124" s="2904">
        <f t="shared" si="135"/>
        <v>0</v>
      </c>
      <c r="AO124" s="2904">
        <f t="shared" ref="AO124" si="138">AI124+AK124</f>
        <v>13500</v>
      </c>
      <c r="AP124" s="2904"/>
      <c r="AQ124" s="2904"/>
      <c r="AR124" s="2904"/>
      <c r="AS124" s="2904">
        <f t="shared" ref="AS124:AS128" si="139">+AO124+AQ124</f>
        <v>13500</v>
      </c>
      <c r="AT124" s="2904"/>
      <c r="AU124" s="2904"/>
      <c r="AV124" s="2904"/>
      <c r="AW124" s="2904">
        <f t="shared" ref="AW124:AW128" si="140">+AS124+AU124</f>
        <v>13500</v>
      </c>
      <c r="AX124" s="2904"/>
      <c r="AY124" s="2904"/>
      <c r="AZ124" s="2904"/>
      <c r="BA124" s="2904">
        <f t="shared" ref="BA124" si="141">+AQ124+AU124+AY124</f>
        <v>0</v>
      </c>
      <c r="BB124" s="2904"/>
      <c r="BC124" s="2904">
        <f t="shared" ref="BC124" si="142">BA124+AM124</f>
        <v>1500</v>
      </c>
      <c r="BD124" s="2904"/>
      <c r="BE124" s="2904">
        <f t="shared" si="133"/>
        <v>13500</v>
      </c>
      <c r="BF124" s="1137"/>
      <c r="BI124" s="25"/>
      <c r="BJ124" s="25"/>
    </row>
    <row r="125" spans="1:62" hidden="1" x14ac:dyDescent="0.25">
      <c r="B125" s="696" t="s">
        <v>912</v>
      </c>
      <c r="C125" s="2893" t="s">
        <v>352</v>
      </c>
      <c r="D125" s="2904">
        <f t="shared" si="135"/>
        <v>0</v>
      </c>
      <c r="E125" s="2904">
        <f>+E126</f>
        <v>0</v>
      </c>
      <c r="F125" s="2904">
        <f t="shared" si="135"/>
        <v>0</v>
      </c>
      <c r="G125" s="2904">
        <f>+G126</f>
        <v>0</v>
      </c>
      <c r="H125" s="2904">
        <f t="shared" si="135"/>
        <v>0</v>
      </c>
      <c r="I125" s="2904">
        <f t="shared" si="135"/>
        <v>0</v>
      </c>
      <c r="J125" s="2904">
        <f t="shared" si="135"/>
        <v>0</v>
      </c>
      <c r="K125" s="2904">
        <f>+K126</f>
        <v>10.38</v>
      </c>
      <c r="L125" s="2904">
        <f t="shared" si="135"/>
        <v>0</v>
      </c>
      <c r="M125" s="2904">
        <f t="shared" si="135"/>
        <v>10.38</v>
      </c>
      <c r="N125" s="2904">
        <f t="shared" si="135"/>
        <v>0</v>
      </c>
      <c r="O125" s="2904">
        <f>+O126</f>
        <v>10.34</v>
      </c>
      <c r="P125" s="2904">
        <f t="shared" si="135"/>
        <v>0</v>
      </c>
      <c r="Q125" s="1548">
        <f t="shared" si="64"/>
        <v>20.72</v>
      </c>
      <c r="R125" s="2904">
        <f t="shared" si="135"/>
        <v>0</v>
      </c>
      <c r="S125" s="2904">
        <f>+S126</f>
        <v>14.13</v>
      </c>
      <c r="T125" s="2904">
        <f t="shared" si="135"/>
        <v>0</v>
      </c>
      <c r="U125" s="1548">
        <f t="shared" si="117"/>
        <v>34.85</v>
      </c>
      <c r="V125" s="2904">
        <f t="shared" si="135"/>
        <v>0</v>
      </c>
      <c r="W125" s="2904">
        <f>+W126</f>
        <v>0</v>
      </c>
      <c r="X125" s="2904">
        <f t="shared" si="135"/>
        <v>0</v>
      </c>
      <c r="Y125" s="2904">
        <f t="shared" si="72"/>
        <v>24.47</v>
      </c>
      <c r="Z125" s="2904">
        <f t="shared" si="135"/>
        <v>0</v>
      </c>
      <c r="AA125" s="2897">
        <f t="shared" si="69"/>
        <v>34.85</v>
      </c>
      <c r="AB125" s="2904">
        <f t="shared" si="135"/>
        <v>0</v>
      </c>
      <c r="AC125" s="2904">
        <f>+AC126</f>
        <v>0</v>
      </c>
      <c r="AD125" s="2904">
        <f t="shared" si="135"/>
        <v>0</v>
      </c>
      <c r="AE125" s="2904">
        <f t="shared" si="135"/>
        <v>34.85</v>
      </c>
      <c r="AF125" s="2904">
        <f t="shared" si="135"/>
        <v>0</v>
      </c>
      <c r="AG125" s="2904">
        <f>+AG126</f>
        <v>0</v>
      </c>
      <c r="AH125" s="2904">
        <f t="shared" si="135"/>
        <v>0</v>
      </c>
      <c r="AI125" s="2904">
        <f t="shared" ref="AI125:AI132" si="143">+AE125+AG125</f>
        <v>34.85</v>
      </c>
      <c r="AJ125" s="2904">
        <f t="shared" si="135"/>
        <v>0</v>
      </c>
      <c r="AK125" s="2904">
        <f>+AK126</f>
        <v>0</v>
      </c>
      <c r="AL125" s="2904">
        <f t="shared" si="135"/>
        <v>0</v>
      </c>
      <c r="AM125" s="2904">
        <f t="shared" si="78"/>
        <v>0</v>
      </c>
      <c r="AN125" s="2904">
        <f t="shared" si="135"/>
        <v>0</v>
      </c>
      <c r="AO125" s="2904">
        <f t="shared" si="98"/>
        <v>34.85</v>
      </c>
      <c r="AP125" s="2904">
        <f t="shared" si="135"/>
        <v>0</v>
      </c>
      <c r="AQ125" s="2904">
        <f>+AQ126</f>
        <v>0</v>
      </c>
      <c r="AR125" s="2904">
        <f t="shared" si="135"/>
        <v>0</v>
      </c>
      <c r="AS125" s="2904">
        <f t="shared" si="135"/>
        <v>34.85</v>
      </c>
      <c r="AT125" s="2904">
        <f t="shared" si="135"/>
        <v>0</v>
      </c>
      <c r="AU125" s="2904">
        <f>+AU126</f>
        <v>0</v>
      </c>
      <c r="AV125" s="2904">
        <f t="shared" si="135"/>
        <v>0</v>
      </c>
      <c r="AW125" s="2904">
        <f t="shared" si="135"/>
        <v>34.85</v>
      </c>
      <c r="AX125" s="2904">
        <f t="shared" si="135"/>
        <v>0</v>
      </c>
      <c r="AY125" s="2904">
        <f>+AY126</f>
        <v>0</v>
      </c>
      <c r="AZ125" s="2904">
        <f t="shared" si="135"/>
        <v>0</v>
      </c>
      <c r="BA125" s="2904">
        <f t="shared" si="71"/>
        <v>0</v>
      </c>
      <c r="BB125" s="2904">
        <f t="shared" si="135"/>
        <v>0</v>
      </c>
      <c r="BC125" s="2897">
        <f t="shared" si="73"/>
        <v>0</v>
      </c>
      <c r="BD125" s="2904">
        <f t="shared" si="135"/>
        <v>0</v>
      </c>
      <c r="BE125" s="2517">
        <f t="shared" si="135"/>
        <v>34.85</v>
      </c>
      <c r="BF125" s="1137"/>
      <c r="BI125" s="25"/>
      <c r="BJ125" s="25"/>
    </row>
    <row r="126" spans="1:62" hidden="1" x14ac:dyDescent="0.25">
      <c r="B126" s="8" t="s">
        <v>843</v>
      </c>
      <c r="C126" s="2893" t="s">
        <v>352</v>
      </c>
      <c r="D126" s="2907"/>
      <c r="E126" s="2907"/>
      <c r="F126" s="2907"/>
      <c r="G126" s="2907"/>
      <c r="H126" s="2908"/>
      <c r="I126" s="2908">
        <f t="shared" si="115"/>
        <v>0</v>
      </c>
      <c r="J126" s="2907"/>
      <c r="K126" s="2907">
        <v>10.38</v>
      </c>
      <c r="L126" s="2907"/>
      <c r="M126" s="2909">
        <f t="shared" si="116"/>
        <v>10.38</v>
      </c>
      <c r="N126" s="2907"/>
      <c r="O126" s="2907">
        <v>10.34</v>
      </c>
      <c r="P126" s="2907"/>
      <c r="Q126" s="1548">
        <f t="shared" si="64"/>
        <v>20.72</v>
      </c>
      <c r="R126" s="2907"/>
      <c r="S126" s="2907">
        <v>14.13</v>
      </c>
      <c r="T126" s="2907"/>
      <c r="U126" s="1548">
        <f t="shared" si="117"/>
        <v>34.85</v>
      </c>
      <c r="V126" s="2907"/>
      <c r="W126" s="2907"/>
      <c r="X126" s="2907"/>
      <c r="Y126" s="2909">
        <f t="shared" si="72"/>
        <v>24.47</v>
      </c>
      <c r="Z126" s="2907"/>
      <c r="AA126" s="2897">
        <f t="shared" si="69"/>
        <v>34.85</v>
      </c>
      <c r="AB126" s="2907"/>
      <c r="AC126" s="2907"/>
      <c r="AD126" s="2907"/>
      <c r="AE126" s="2896">
        <f t="shared" si="118"/>
        <v>34.85</v>
      </c>
      <c r="AF126" s="2907"/>
      <c r="AG126" s="2907"/>
      <c r="AH126" s="2907"/>
      <c r="AI126" s="2896">
        <f t="shared" si="143"/>
        <v>34.85</v>
      </c>
      <c r="AJ126" s="2907"/>
      <c r="AK126" s="2907"/>
      <c r="AL126" s="2907"/>
      <c r="AM126" s="2909">
        <f t="shared" si="78"/>
        <v>0</v>
      </c>
      <c r="AN126" s="2907"/>
      <c r="AO126" s="2896">
        <f t="shared" si="98"/>
        <v>34.85</v>
      </c>
      <c r="AP126" s="2907"/>
      <c r="AQ126" s="2907"/>
      <c r="AR126" s="2907"/>
      <c r="AS126" s="2896">
        <f t="shared" si="139"/>
        <v>34.85</v>
      </c>
      <c r="AT126" s="2907"/>
      <c r="AU126" s="2907"/>
      <c r="AV126" s="2907"/>
      <c r="AW126" s="5010">
        <f t="shared" si="140"/>
        <v>34.85</v>
      </c>
      <c r="AX126" s="2907"/>
      <c r="AY126" s="2907"/>
      <c r="AZ126" s="2907"/>
      <c r="BA126" s="2909">
        <f t="shared" si="71"/>
        <v>0</v>
      </c>
      <c r="BB126" s="2907"/>
      <c r="BC126" s="2897">
        <f t="shared" si="73"/>
        <v>0</v>
      </c>
      <c r="BD126" s="2907"/>
      <c r="BE126" s="171">
        <f t="shared" ref="BE126:BE128" si="144">+AW126+AY126</f>
        <v>34.85</v>
      </c>
      <c r="BF126" s="1137"/>
      <c r="BI126" s="25"/>
      <c r="BJ126" s="25"/>
    </row>
    <row r="127" spans="1:62" s="4487" customFormat="1" hidden="1" x14ac:dyDescent="0.25">
      <c r="B127" s="696" t="s">
        <v>640</v>
      </c>
      <c r="C127" s="5624" t="s">
        <v>352</v>
      </c>
      <c r="D127" s="2904"/>
      <c r="E127" s="2904">
        <f>+E128</f>
        <v>0</v>
      </c>
      <c r="F127" s="2904">
        <f t="shared" si="135"/>
        <v>0</v>
      </c>
      <c r="G127" s="2904">
        <f>+G128</f>
        <v>21.759999999999998</v>
      </c>
      <c r="H127" s="2904"/>
      <c r="I127" s="2904">
        <f t="shared" si="115"/>
        <v>21.759999999999998</v>
      </c>
      <c r="J127" s="2904"/>
      <c r="K127" s="2904">
        <f>+K128</f>
        <v>10.97</v>
      </c>
      <c r="L127" s="2904"/>
      <c r="M127" s="2904">
        <f>+M128</f>
        <v>32.729999999999997</v>
      </c>
      <c r="N127" s="2904"/>
      <c r="O127" s="2904">
        <f>+O128</f>
        <v>0</v>
      </c>
      <c r="P127" s="2904"/>
      <c r="Q127" s="1548">
        <f t="shared" si="64"/>
        <v>32.729999999999997</v>
      </c>
      <c r="R127" s="2904"/>
      <c r="S127" s="2904">
        <f>+S128</f>
        <v>8.2799999999999994</v>
      </c>
      <c r="T127" s="2904"/>
      <c r="U127" s="1548">
        <f t="shared" si="117"/>
        <v>41.01</v>
      </c>
      <c r="V127" s="2904"/>
      <c r="W127" s="2904">
        <f>+W128</f>
        <v>0</v>
      </c>
      <c r="X127" s="2904"/>
      <c r="Y127" s="2909">
        <f t="shared" ref="Y127:Y128" si="145">+O127+S127+W127</f>
        <v>8.2799999999999994</v>
      </c>
      <c r="Z127" s="2907"/>
      <c r="AA127" s="2897">
        <f t="shared" ref="AA127:AA128" si="146">M127+Y127</f>
        <v>41.01</v>
      </c>
      <c r="AB127" s="2904"/>
      <c r="AC127" s="2904">
        <f>+AC128</f>
        <v>0</v>
      </c>
      <c r="AD127" s="2904"/>
      <c r="AE127" s="2904">
        <f t="shared" si="118"/>
        <v>41.01</v>
      </c>
      <c r="AF127" s="2904"/>
      <c r="AG127" s="2904">
        <f>+AG128</f>
        <v>0</v>
      </c>
      <c r="AH127" s="2904"/>
      <c r="AI127" s="2904">
        <f t="shared" si="143"/>
        <v>41.01</v>
      </c>
      <c r="AJ127" s="2904"/>
      <c r="AK127" s="2904">
        <f>+AK128</f>
        <v>12.45</v>
      </c>
      <c r="AL127" s="2904"/>
      <c r="AM127" s="2904">
        <f t="shared" ref="AM127:AM128" si="147">+AC127+AG127+AK127</f>
        <v>12.45</v>
      </c>
      <c r="AN127" s="2904">
        <f t="shared" si="135"/>
        <v>0</v>
      </c>
      <c r="AO127" s="2904">
        <f t="shared" ref="AO127:AO128" si="148">AI127+AK127</f>
        <v>53.459999999999994</v>
      </c>
      <c r="AP127" s="2904"/>
      <c r="AQ127" s="2904">
        <f>+AQ128</f>
        <v>0</v>
      </c>
      <c r="AR127" s="2904"/>
      <c r="AS127" s="2904"/>
      <c r="AT127" s="2904"/>
      <c r="AU127" s="2904">
        <f>+AU128</f>
        <v>12.16</v>
      </c>
      <c r="AV127" s="2904"/>
      <c r="AW127" s="2904">
        <f>AW128</f>
        <v>65.61999999999999</v>
      </c>
      <c r="AX127" s="2904"/>
      <c r="AY127" s="2904">
        <f>+AY128</f>
        <v>0</v>
      </c>
      <c r="AZ127" s="2904"/>
      <c r="BA127" s="2904">
        <f t="shared" ref="BA127:BA128" si="149">+AQ127+AU127+AY127</f>
        <v>12.16</v>
      </c>
      <c r="BB127" s="2904"/>
      <c r="BC127" s="2897">
        <f t="shared" ref="BC127:BC128" si="150">BA127+AM127</f>
        <v>24.61</v>
      </c>
      <c r="BD127" s="2904"/>
      <c r="BE127" s="2517">
        <f t="shared" si="144"/>
        <v>65.61999999999999</v>
      </c>
      <c r="BF127" s="1137"/>
      <c r="BI127" s="25"/>
      <c r="BJ127" s="25"/>
    </row>
    <row r="128" spans="1:62" s="4487" customFormat="1" hidden="1" x14ac:dyDescent="0.25">
      <c r="B128" s="5170" t="s">
        <v>1969</v>
      </c>
      <c r="C128" s="5647" t="s">
        <v>352</v>
      </c>
      <c r="D128" s="5648"/>
      <c r="E128" s="5648"/>
      <c r="F128" s="5648"/>
      <c r="G128" s="5648">
        <v>21.759999999999998</v>
      </c>
      <c r="H128" s="5649"/>
      <c r="I128" s="2908">
        <f t="shared" si="115"/>
        <v>21.759999999999998</v>
      </c>
      <c r="J128" s="5648"/>
      <c r="K128" s="5648">
        <v>10.97</v>
      </c>
      <c r="L128" s="5648"/>
      <c r="M128" s="2909">
        <f t="shared" si="116"/>
        <v>32.729999999999997</v>
      </c>
      <c r="N128" s="5648"/>
      <c r="O128" s="5648"/>
      <c r="P128" s="5648"/>
      <c r="Q128" s="1548">
        <f t="shared" si="64"/>
        <v>32.729999999999997</v>
      </c>
      <c r="R128" s="5648"/>
      <c r="S128" s="5648">
        <v>8.2799999999999994</v>
      </c>
      <c r="T128" s="5648"/>
      <c r="U128" s="1548">
        <f t="shared" si="117"/>
        <v>41.01</v>
      </c>
      <c r="V128" s="5648"/>
      <c r="W128" s="5648"/>
      <c r="X128" s="5648"/>
      <c r="Y128" s="2909">
        <f t="shared" si="145"/>
        <v>8.2799999999999994</v>
      </c>
      <c r="Z128" s="2907"/>
      <c r="AA128" s="2897">
        <f t="shared" si="146"/>
        <v>41.01</v>
      </c>
      <c r="AB128" s="5648"/>
      <c r="AC128" s="5648"/>
      <c r="AD128" s="5648"/>
      <c r="AE128" s="5652">
        <f t="shared" si="118"/>
        <v>41.01</v>
      </c>
      <c r="AF128" s="5648"/>
      <c r="AG128" s="5648"/>
      <c r="AH128" s="5648"/>
      <c r="AI128" s="5652">
        <f t="shared" si="143"/>
        <v>41.01</v>
      </c>
      <c r="AJ128" s="5648"/>
      <c r="AK128" s="5648">
        <v>12.45</v>
      </c>
      <c r="AL128" s="5648"/>
      <c r="AM128" s="5650">
        <f t="shared" si="147"/>
        <v>12.45</v>
      </c>
      <c r="AN128" s="5648">
        <f t="shared" si="135"/>
        <v>0</v>
      </c>
      <c r="AO128" s="5652">
        <f t="shared" si="148"/>
        <v>53.459999999999994</v>
      </c>
      <c r="AP128" s="5648"/>
      <c r="AQ128" s="5648"/>
      <c r="AR128" s="5648"/>
      <c r="AS128" s="5652">
        <f t="shared" si="139"/>
        <v>53.459999999999994</v>
      </c>
      <c r="AT128" s="5648"/>
      <c r="AU128" s="5648">
        <v>12.16</v>
      </c>
      <c r="AV128" s="5648"/>
      <c r="AW128" s="5652">
        <f t="shared" si="140"/>
        <v>65.61999999999999</v>
      </c>
      <c r="AX128" s="5648"/>
      <c r="AY128" s="5648"/>
      <c r="AZ128" s="5648"/>
      <c r="BA128" s="5650">
        <f t="shared" si="149"/>
        <v>12.16</v>
      </c>
      <c r="BB128" s="5648"/>
      <c r="BC128" s="5651">
        <f t="shared" si="150"/>
        <v>24.61</v>
      </c>
      <c r="BD128" s="5648"/>
      <c r="BE128" s="5653">
        <f t="shared" si="144"/>
        <v>65.61999999999999</v>
      </c>
      <c r="BF128" s="1137"/>
      <c r="BI128" s="25"/>
      <c r="BJ128" s="25"/>
    </row>
    <row r="129" spans="1:62" x14ac:dyDescent="0.25">
      <c r="B129" s="696" t="s">
        <v>1278</v>
      </c>
      <c r="C129" s="2893" t="s">
        <v>352</v>
      </c>
      <c r="D129" s="2904">
        <f t="shared" ref="D129:BE129" si="151">+D130</f>
        <v>0</v>
      </c>
      <c r="E129" s="2904">
        <f>+E130</f>
        <v>205</v>
      </c>
      <c r="F129" s="2904">
        <f t="shared" si="151"/>
        <v>0</v>
      </c>
      <c r="G129" s="2904">
        <f>+G130</f>
        <v>0</v>
      </c>
      <c r="H129" s="2904">
        <f t="shared" si="151"/>
        <v>0</v>
      </c>
      <c r="I129" s="2904">
        <f t="shared" si="151"/>
        <v>205</v>
      </c>
      <c r="J129" s="2904">
        <f t="shared" si="151"/>
        <v>0</v>
      </c>
      <c r="K129" s="2904">
        <f>+K130</f>
        <v>0</v>
      </c>
      <c r="L129" s="2904">
        <f t="shared" si="151"/>
        <v>0</v>
      </c>
      <c r="M129" s="2904">
        <f t="shared" si="151"/>
        <v>205</v>
      </c>
      <c r="N129" s="2904">
        <f t="shared" si="151"/>
        <v>0</v>
      </c>
      <c r="O129" s="2904">
        <f>+O130</f>
        <v>0</v>
      </c>
      <c r="P129" s="2904">
        <f t="shared" si="151"/>
        <v>0</v>
      </c>
      <c r="Q129" s="1548">
        <f t="shared" si="64"/>
        <v>205</v>
      </c>
      <c r="R129" s="2904">
        <f t="shared" si="151"/>
        <v>0</v>
      </c>
      <c r="S129" s="2904">
        <f>+S130</f>
        <v>0</v>
      </c>
      <c r="T129" s="2904">
        <f t="shared" si="151"/>
        <v>0</v>
      </c>
      <c r="U129" s="1548">
        <f t="shared" si="117"/>
        <v>205</v>
      </c>
      <c r="V129" s="2904">
        <f t="shared" si="151"/>
        <v>0</v>
      </c>
      <c r="W129" s="2904">
        <f>+W130</f>
        <v>0</v>
      </c>
      <c r="X129" s="2904">
        <f t="shared" si="151"/>
        <v>0</v>
      </c>
      <c r="Y129" s="2904">
        <f t="shared" si="72"/>
        <v>0</v>
      </c>
      <c r="Z129" s="2904">
        <f t="shared" si="151"/>
        <v>0</v>
      </c>
      <c r="AA129" s="2897">
        <f t="shared" si="69"/>
        <v>205</v>
      </c>
      <c r="AB129" s="2904">
        <f t="shared" si="151"/>
        <v>0</v>
      </c>
      <c r="AC129" s="2904">
        <f>+AC130</f>
        <v>0</v>
      </c>
      <c r="AD129" s="2904">
        <f t="shared" si="151"/>
        <v>0</v>
      </c>
      <c r="AE129" s="2904">
        <f t="shared" si="151"/>
        <v>205</v>
      </c>
      <c r="AF129" s="2904">
        <f t="shared" si="151"/>
        <v>0</v>
      </c>
      <c r="AG129" s="2904">
        <f>+AG130</f>
        <v>0</v>
      </c>
      <c r="AH129" s="2904">
        <f t="shared" si="151"/>
        <v>0</v>
      </c>
      <c r="AI129" s="2904">
        <f t="shared" si="143"/>
        <v>205</v>
      </c>
      <c r="AJ129" s="2904">
        <f t="shared" si="151"/>
        <v>0</v>
      </c>
      <c r="AK129" s="2904">
        <f>+AK130</f>
        <v>0</v>
      </c>
      <c r="AL129" s="2904">
        <f t="shared" si="151"/>
        <v>0</v>
      </c>
      <c r="AM129" s="2904">
        <f t="shared" si="78"/>
        <v>0</v>
      </c>
      <c r="AN129" s="2904">
        <f t="shared" si="151"/>
        <v>0</v>
      </c>
      <c r="AO129" s="2904">
        <f t="shared" si="98"/>
        <v>205</v>
      </c>
      <c r="AP129" s="2904">
        <f t="shared" si="151"/>
        <v>0</v>
      </c>
      <c r="AQ129" s="2904">
        <f>+AQ130</f>
        <v>0</v>
      </c>
      <c r="AR129" s="2904">
        <f t="shared" si="151"/>
        <v>0</v>
      </c>
      <c r="AS129" s="2904">
        <f t="shared" si="151"/>
        <v>205</v>
      </c>
      <c r="AT129" s="2904">
        <f t="shared" si="151"/>
        <v>0</v>
      </c>
      <c r="AU129" s="2904">
        <f>+AU130</f>
        <v>916.35</v>
      </c>
      <c r="AV129" s="2904">
        <f t="shared" si="151"/>
        <v>0</v>
      </c>
      <c r="AW129" s="2904">
        <f t="shared" si="151"/>
        <v>1121.3499999999999</v>
      </c>
      <c r="AX129" s="2904">
        <f t="shared" si="151"/>
        <v>0</v>
      </c>
      <c r="AY129" s="2904">
        <f>+AY130</f>
        <v>207.05</v>
      </c>
      <c r="AZ129" s="2904">
        <f t="shared" si="151"/>
        <v>0</v>
      </c>
      <c r="BA129" s="2904">
        <f t="shared" si="71"/>
        <v>1123.4000000000001</v>
      </c>
      <c r="BB129" s="2904">
        <f t="shared" si="151"/>
        <v>0</v>
      </c>
      <c r="BC129" s="2897">
        <f t="shared" si="73"/>
        <v>1123.4000000000001</v>
      </c>
      <c r="BD129" s="2904">
        <f t="shared" si="151"/>
        <v>0</v>
      </c>
      <c r="BE129" s="2517">
        <f t="shared" si="151"/>
        <v>1328.3999999999999</v>
      </c>
      <c r="BF129" s="1137"/>
      <c r="BI129" s="25"/>
      <c r="BJ129" s="25"/>
    </row>
    <row r="130" spans="1:62" x14ac:dyDescent="0.25">
      <c r="B130" s="8" t="s">
        <v>1279</v>
      </c>
      <c r="C130" s="2893" t="s">
        <v>352</v>
      </c>
      <c r="D130" s="2907"/>
      <c r="E130" s="2907">
        <v>205</v>
      </c>
      <c r="F130" s="2907"/>
      <c r="G130" s="2907"/>
      <c r="H130" s="2908"/>
      <c r="I130" s="2908">
        <f t="shared" si="115"/>
        <v>205</v>
      </c>
      <c r="J130" s="2907"/>
      <c r="K130" s="2907"/>
      <c r="L130" s="2907"/>
      <c r="M130" s="2909">
        <f t="shared" si="116"/>
        <v>205</v>
      </c>
      <c r="N130" s="2907"/>
      <c r="O130" s="2907"/>
      <c r="P130" s="2907"/>
      <c r="Q130" s="1548">
        <f t="shared" ref="Q130:Q192" si="152">+M130+O130</f>
        <v>205</v>
      </c>
      <c r="R130" s="2907"/>
      <c r="S130" s="2907"/>
      <c r="T130" s="2907"/>
      <c r="U130" s="1548">
        <f t="shared" si="117"/>
        <v>205</v>
      </c>
      <c r="V130" s="2907"/>
      <c r="W130" s="2907"/>
      <c r="X130" s="2907"/>
      <c r="Y130" s="2909">
        <f t="shared" si="72"/>
        <v>0</v>
      </c>
      <c r="Z130" s="2907"/>
      <c r="AA130" s="2897">
        <f t="shared" si="69"/>
        <v>205</v>
      </c>
      <c r="AB130" s="2907"/>
      <c r="AC130" s="2907"/>
      <c r="AD130" s="2907"/>
      <c r="AE130" s="2896">
        <f t="shared" si="118"/>
        <v>205</v>
      </c>
      <c r="AF130" s="2907"/>
      <c r="AG130" s="2907"/>
      <c r="AH130" s="2907"/>
      <c r="AI130" s="2896">
        <f t="shared" si="143"/>
        <v>205</v>
      </c>
      <c r="AJ130" s="2907"/>
      <c r="AK130" s="2907"/>
      <c r="AL130" s="2907"/>
      <c r="AM130" s="2909">
        <f t="shared" si="78"/>
        <v>0</v>
      </c>
      <c r="AN130" s="2907"/>
      <c r="AO130" s="2896">
        <f t="shared" si="98"/>
        <v>205</v>
      </c>
      <c r="AP130" s="2907"/>
      <c r="AQ130" s="2907"/>
      <c r="AR130" s="2907"/>
      <c r="AS130" s="2896">
        <f t="shared" ref="AS130:AS131" si="153">+AO130+AQ130</f>
        <v>205</v>
      </c>
      <c r="AT130" s="2907"/>
      <c r="AU130" s="2907">
        <v>916.35</v>
      </c>
      <c r="AV130" s="2907"/>
      <c r="AW130" s="5010">
        <f t="shared" ref="AW130:AW131" si="154">+AS130+AU130</f>
        <v>1121.3499999999999</v>
      </c>
      <c r="AX130" s="2907"/>
      <c r="AY130" s="2907">
        <v>207.05</v>
      </c>
      <c r="AZ130" s="2907"/>
      <c r="BA130" s="2909">
        <f t="shared" si="71"/>
        <v>1123.4000000000001</v>
      </c>
      <c r="BB130" s="2907"/>
      <c r="BC130" s="2897">
        <f t="shared" si="73"/>
        <v>1123.4000000000001</v>
      </c>
      <c r="BD130" s="2907"/>
      <c r="BE130" s="171">
        <f t="shared" ref="BE130:BE131" si="155">+AW130+AY130</f>
        <v>1328.3999999999999</v>
      </c>
      <c r="BF130" s="1137"/>
      <c r="BI130" s="25"/>
      <c r="BJ130" s="25"/>
    </row>
    <row r="131" spans="1:62" ht="16.5" thickBot="1" x14ac:dyDescent="0.3">
      <c r="A131" s="139"/>
      <c r="B131" s="696" t="s">
        <v>1042</v>
      </c>
      <c r="C131" s="2893" t="s">
        <v>352</v>
      </c>
      <c r="D131" s="2910"/>
      <c r="E131" s="2910">
        <v>11.77</v>
      </c>
      <c r="F131" s="2910"/>
      <c r="G131" s="2910">
        <v>8.7800000000000011</v>
      </c>
      <c r="H131" s="2910"/>
      <c r="I131" s="2910">
        <f t="shared" si="115"/>
        <v>20.55</v>
      </c>
      <c r="J131" s="2910"/>
      <c r="K131" s="2910"/>
      <c r="L131" s="2910"/>
      <c r="M131" s="2911">
        <f t="shared" si="116"/>
        <v>20.55</v>
      </c>
      <c r="N131" s="2910"/>
      <c r="O131" s="2910"/>
      <c r="P131" s="2910"/>
      <c r="Q131" s="1548">
        <f t="shared" si="152"/>
        <v>20.55</v>
      </c>
      <c r="R131" s="2910"/>
      <c r="S131" s="2910">
        <v>7.29</v>
      </c>
      <c r="T131" s="2910"/>
      <c r="U131" s="1548">
        <f t="shared" si="117"/>
        <v>27.84</v>
      </c>
      <c r="V131" s="2910"/>
      <c r="W131" s="2910">
        <v>7.8</v>
      </c>
      <c r="X131" s="2910"/>
      <c r="Y131" s="2911">
        <f t="shared" si="72"/>
        <v>15.09</v>
      </c>
      <c r="Z131" s="2910"/>
      <c r="AA131" s="2912">
        <f t="shared" si="69"/>
        <v>35.64</v>
      </c>
      <c r="AB131" s="2910"/>
      <c r="AC131" s="2910"/>
      <c r="AD131" s="2910"/>
      <c r="AE131" s="2910">
        <f t="shared" si="118"/>
        <v>35.64</v>
      </c>
      <c r="AF131" s="2910"/>
      <c r="AG131" s="2910"/>
      <c r="AH131" s="2910"/>
      <c r="AI131" s="2910">
        <f t="shared" si="143"/>
        <v>35.64</v>
      </c>
      <c r="AJ131" s="2910"/>
      <c r="AK131" s="2910">
        <v>14.73</v>
      </c>
      <c r="AL131" s="2910"/>
      <c r="AM131" s="2911">
        <f t="shared" si="78"/>
        <v>14.73</v>
      </c>
      <c r="AN131" s="2910"/>
      <c r="AO131" s="2910">
        <f t="shared" si="98"/>
        <v>50.370000000000005</v>
      </c>
      <c r="AP131" s="2910"/>
      <c r="AQ131" s="2910">
        <v>34.56</v>
      </c>
      <c r="AR131" s="2910"/>
      <c r="AS131" s="2910">
        <f t="shared" si="153"/>
        <v>84.93</v>
      </c>
      <c r="AT131" s="2910"/>
      <c r="AU131" s="2910"/>
      <c r="AV131" s="2910"/>
      <c r="AW131" s="2910">
        <f t="shared" si="154"/>
        <v>84.93</v>
      </c>
      <c r="AX131" s="2910"/>
      <c r="AY131" s="2910"/>
      <c r="AZ131" s="2910"/>
      <c r="BA131" s="2911">
        <f t="shared" si="71"/>
        <v>34.56</v>
      </c>
      <c r="BB131" s="2910"/>
      <c r="BC131" s="2912">
        <f t="shared" si="73"/>
        <v>49.290000000000006</v>
      </c>
      <c r="BD131" s="2910"/>
      <c r="BE131" s="2913">
        <f t="shared" si="155"/>
        <v>84.93</v>
      </c>
      <c r="BF131" s="1137"/>
      <c r="BI131" s="25"/>
      <c r="BJ131" s="25"/>
    </row>
    <row r="132" spans="1:62" ht="26.25" thickBot="1" x14ac:dyDescent="0.3">
      <c r="A132" s="139"/>
      <c r="B132" s="7830" t="s">
        <v>1045</v>
      </c>
      <c r="C132" s="7831"/>
      <c r="D132" s="1272">
        <f t="shared" ref="D132" si="156">+D117+D121+D125+D129+D131+D127+D124</f>
        <v>0</v>
      </c>
      <c r="E132" s="1272">
        <f>+E117+E121+E125+E129+E131+E127+E124</f>
        <v>216.77</v>
      </c>
      <c r="F132" s="1272">
        <f t="shared" ref="F132:H132" si="157">+F117+F121+F125+F129+F131</f>
        <v>0</v>
      </c>
      <c r="G132" s="1272">
        <f>+G117+G121+G125+G129+G131+G127+G124</f>
        <v>30.54</v>
      </c>
      <c r="H132" s="1272">
        <f t="shared" si="157"/>
        <v>0</v>
      </c>
      <c r="I132" s="1272">
        <f>+I117+I121+I125+I129+I131+I127+I124</f>
        <v>247.31</v>
      </c>
      <c r="J132" s="1272">
        <f t="shared" ref="J132:AL132" si="158">+J117+J121+J125+J129+J131+J127</f>
        <v>0</v>
      </c>
      <c r="K132" s="1272">
        <f>+K117+K121+K125+K129+K131+K127+K124</f>
        <v>2521.35</v>
      </c>
      <c r="L132" s="1272">
        <f t="shared" si="158"/>
        <v>0</v>
      </c>
      <c r="M132" s="1272">
        <f>+M117+M121+M125+M129+M131+M127+M124</f>
        <v>2768.66</v>
      </c>
      <c r="N132" s="1272">
        <f t="shared" si="158"/>
        <v>0</v>
      </c>
      <c r="O132" s="1272">
        <f>+O117+O121+O125+O129+O131+O127+O124</f>
        <v>7440.34</v>
      </c>
      <c r="P132" s="1272">
        <f t="shared" si="158"/>
        <v>0</v>
      </c>
      <c r="Q132" s="1548">
        <f t="shared" si="152"/>
        <v>10209</v>
      </c>
      <c r="R132" s="1272">
        <f t="shared" si="158"/>
        <v>0</v>
      </c>
      <c r="S132" s="1272">
        <f>+S117+S121+S125+S129+S131+S127+S124</f>
        <v>2099.6999999999998</v>
      </c>
      <c r="T132" s="1272">
        <f t="shared" si="158"/>
        <v>0</v>
      </c>
      <c r="U132" s="1548">
        <f t="shared" si="117"/>
        <v>12308.7</v>
      </c>
      <c r="V132" s="1272">
        <f t="shared" si="158"/>
        <v>0</v>
      </c>
      <c r="W132" s="1272">
        <f>+W117+W121+W125+W129+W131+W127+W124</f>
        <v>7.8</v>
      </c>
      <c r="X132" s="1272">
        <f t="shared" si="158"/>
        <v>0</v>
      </c>
      <c r="Y132" s="1272">
        <f t="shared" ref="Y132" si="159">+O132+S132+W132</f>
        <v>9547.84</v>
      </c>
      <c r="Z132" s="1272"/>
      <c r="AA132" s="1272">
        <f t="shared" ref="AA132" si="160">M132+Y132</f>
        <v>12316.5</v>
      </c>
      <c r="AB132" s="1272">
        <f t="shared" si="158"/>
        <v>0</v>
      </c>
      <c r="AC132" s="1272">
        <f>+AC117+AC121+AC125+AC129+AC131+AC127+AC124</f>
        <v>0</v>
      </c>
      <c r="AD132" s="1272">
        <f t="shared" si="158"/>
        <v>0</v>
      </c>
      <c r="AE132" s="1272">
        <f t="shared" si="118"/>
        <v>12316.5</v>
      </c>
      <c r="AF132" s="1272">
        <f t="shared" si="158"/>
        <v>0</v>
      </c>
      <c r="AG132" s="1272">
        <f>+AG117+AG121+AG125+AG129+AG131+AG127+AG124</f>
        <v>0</v>
      </c>
      <c r="AH132" s="1272">
        <f t="shared" si="158"/>
        <v>0</v>
      </c>
      <c r="AI132" s="1272">
        <f t="shared" si="143"/>
        <v>12316.5</v>
      </c>
      <c r="AJ132" s="1272">
        <f t="shared" si="158"/>
        <v>0</v>
      </c>
      <c r="AK132" s="1272">
        <f>+AK117+AK121+AK125+AK129+AK131+AK127+AK124</f>
        <v>1527.18</v>
      </c>
      <c r="AL132" s="1272">
        <f t="shared" si="158"/>
        <v>0</v>
      </c>
      <c r="AM132" s="1272">
        <f t="shared" ref="AM132:BE132" si="161">+AM117+AM121+AM125+AM129+AM131+AM127+AM124</f>
        <v>1527.18</v>
      </c>
      <c r="AN132" s="1272">
        <f t="shared" si="161"/>
        <v>0</v>
      </c>
      <c r="AO132" s="1272">
        <f t="shared" si="161"/>
        <v>13843.68</v>
      </c>
      <c r="AP132" s="1272">
        <f t="shared" ref="AP132" si="162">+AP117+AP121+AP125+AP129+AP131+AP127</f>
        <v>0</v>
      </c>
      <c r="AQ132" s="1272">
        <f>+AQ117+AQ121+AQ125+AQ129+AQ131+AQ127+AQ124</f>
        <v>34.56</v>
      </c>
      <c r="AR132" s="1272">
        <f t="shared" si="161"/>
        <v>0</v>
      </c>
      <c r="AS132" s="1272">
        <f t="shared" si="161"/>
        <v>13824.78</v>
      </c>
      <c r="AT132" s="1272">
        <f t="shared" si="161"/>
        <v>0</v>
      </c>
      <c r="AU132" s="1272">
        <f>+AU117+AU121+AU125+AU129+AU131+AU127+AU124</f>
        <v>928.51</v>
      </c>
      <c r="AV132" s="1272">
        <f t="shared" si="161"/>
        <v>0</v>
      </c>
      <c r="AW132" s="1272">
        <f t="shared" si="161"/>
        <v>14806.75</v>
      </c>
      <c r="AX132" s="1272">
        <f t="shared" ref="AX132" si="163">+AX117+AX121+AX125+AX129+AX131+AX127+AX124</f>
        <v>0</v>
      </c>
      <c r="AY132" s="1272">
        <f>+AY117+AY121+AY125+AY129+AY131+AY127+AY124</f>
        <v>207.05</v>
      </c>
      <c r="AZ132" s="1272">
        <f t="shared" si="161"/>
        <v>0</v>
      </c>
      <c r="BA132" s="1272">
        <f t="shared" si="161"/>
        <v>1170.1200000000001</v>
      </c>
      <c r="BB132" s="1272">
        <f t="shared" si="161"/>
        <v>0</v>
      </c>
      <c r="BC132" s="1272">
        <f t="shared" si="161"/>
        <v>2697.3</v>
      </c>
      <c r="BD132" s="1272">
        <f t="shared" si="161"/>
        <v>0</v>
      </c>
      <c r="BE132" s="1272">
        <f t="shared" si="161"/>
        <v>15013.8</v>
      </c>
      <c r="BF132" s="1137"/>
      <c r="BI132" s="25"/>
      <c r="BJ132" s="25"/>
    </row>
    <row r="133" spans="1:62" ht="21" thickBot="1" x14ac:dyDescent="0.3">
      <c r="A133" s="139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112"/>
      <c r="P133" s="25"/>
      <c r="Q133" s="1624"/>
      <c r="R133" s="25"/>
      <c r="S133" s="25"/>
      <c r="T133" s="25"/>
      <c r="U133" s="4152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1137"/>
      <c r="BI133" s="25"/>
      <c r="BJ133" s="25"/>
    </row>
    <row r="134" spans="1:62" ht="26.25" thickBot="1" x14ac:dyDescent="0.3">
      <c r="B134" s="7828" t="s">
        <v>1066</v>
      </c>
      <c r="C134" s="7829"/>
      <c r="D134" s="564"/>
      <c r="E134" s="1037"/>
      <c r="F134" s="3573"/>
      <c r="G134" s="1037"/>
      <c r="H134" s="3574"/>
      <c r="I134" s="3575"/>
      <c r="J134" s="1615"/>
      <c r="K134" s="1037"/>
      <c r="L134" s="564"/>
      <c r="N134" s="564"/>
      <c r="O134" s="7230"/>
      <c r="P134" s="564"/>
      <c r="Q134" s="1624"/>
      <c r="R134" s="564"/>
      <c r="S134" s="1037"/>
      <c r="T134" s="4487"/>
      <c r="U134" s="3575"/>
      <c r="V134" s="564"/>
      <c r="W134" s="1037"/>
      <c r="X134" s="564"/>
      <c r="Z134" s="31"/>
      <c r="AA134" s="31"/>
      <c r="AB134" s="564"/>
      <c r="AC134" s="1037"/>
      <c r="AD134" s="4487"/>
      <c r="AE134" s="4487"/>
      <c r="AF134" s="564"/>
      <c r="AG134" s="1037"/>
      <c r="AH134" s="4487"/>
      <c r="AI134" s="4487"/>
      <c r="AJ134" s="564"/>
      <c r="AK134" s="1037"/>
      <c r="AL134" s="564"/>
      <c r="AM134" s="142"/>
      <c r="AN134" s="4487"/>
      <c r="AO134" s="4487"/>
      <c r="AP134" s="564"/>
      <c r="AQ134" s="1037"/>
      <c r="AR134" s="4487"/>
      <c r="AS134" s="4487"/>
      <c r="AT134" s="564"/>
      <c r="AU134" s="1037"/>
      <c r="AV134" s="4487"/>
      <c r="AW134" s="4487"/>
      <c r="AX134" s="564"/>
      <c r="AY134" s="1037"/>
      <c r="AZ134" s="31"/>
      <c r="BA134" s="142"/>
      <c r="BB134" s="31"/>
      <c r="BC134" s="31"/>
      <c r="BD134" s="31"/>
      <c r="BE134" s="31"/>
      <c r="BF134" s="1137"/>
      <c r="BI134" s="25"/>
      <c r="BJ134" s="25"/>
    </row>
    <row r="135" spans="1:62" ht="22.5" x14ac:dyDescent="0.25">
      <c r="B135" s="1039" t="s">
        <v>658</v>
      </c>
      <c r="C135" s="347"/>
      <c r="D135" s="379"/>
      <c r="E135" s="3041"/>
      <c r="F135" s="3041"/>
      <c r="G135" s="3041"/>
      <c r="H135" s="3576"/>
      <c r="I135" s="3577"/>
      <c r="J135" s="3565"/>
      <c r="K135" s="3041"/>
      <c r="L135" s="379"/>
      <c r="M135" s="2247"/>
      <c r="N135" s="379"/>
      <c r="O135" s="3041"/>
      <c r="P135" s="379"/>
      <c r="Q135" s="2899">
        <f t="shared" si="152"/>
        <v>0</v>
      </c>
      <c r="R135" s="379"/>
      <c r="S135" s="3041"/>
      <c r="T135" s="564"/>
      <c r="U135" s="3577"/>
      <c r="V135" s="379"/>
      <c r="W135" s="3041"/>
      <c r="X135" s="379"/>
      <c r="Y135" s="2247"/>
      <c r="Z135" s="379"/>
      <c r="AA135" s="492"/>
      <c r="AB135" s="379"/>
      <c r="AC135" s="3041"/>
      <c r="AD135" s="564"/>
      <c r="AE135" s="564"/>
      <c r="AF135" s="379"/>
      <c r="AG135" s="3041"/>
      <c r="AH135" s="564"/>
      <c r="AI135" s="564"/>
      <c r="AJ135" s="379"/>
      <c r="AK135" s="3041"/>
      <c r="AL135" s="379"/>
      <c r="AM135" s="2247"/>
      <c r="AN135" s="564"/>
      <c r="AO135" s="564"/>
      <c r="AP135" s="379"/>
      <c r="AQ135" s="3041"/>
      <c r="AR135" s="564"/>
      <c r="AS135" s="564"/>
      <c r="AT135" s="379"/>
      <c r="AU135" s="3041"/>
      <c r="AV135" s="564"/>
      <c r="AW135" s="564"/>
      <c r="AX135" s="379"/>
      <c r="AY135" s="3041"/>
      <c r="AZ135" s="379"/>
      <c r="BA135" s="2247">
        <f t="shared" si="71"/>
        <v>0</v>
      </c>
      <c r="BB135" s="379"/>
      <c r="BC135" s="492"/>
      <c r="BD135" s="564"/>
      <c r="BE135" s="1057"/>
      <c r="BF135" s="1137"/>
      <c r="BI135" s="25"/>
      <c r="BJ135" s="25"/>
    </row>
    <row r="136" spans="1:62" ht="18.75" hidden="1" customHeight="1" x14ac:dyDescent="0.25">
      <c r="B136" s="1629" t="s">
        <v>1257</v>
      </c>
      <c r="C136" s="5158" t="s">
        <v>352</v>
      </c>
      <c r="D136" s="565"/>
      <c r="E136" s="2907"/>
      <c r="F136" s="2907"/>
      <c r="G136" s="2907"/>
      <c r="H136" s="2908"/>
      <c r="I136" s="3578">
        <f t="shared" si="115"/>
        <v>0</v>
      </c>
      <c r="J136" s="3566"/>
      <c r="K136" s="2907"/>
      <c r="L136" s="565"/>
      <c r="M136" s="1070">
        <f t="shared" ref="M136:M170" si="164">+E136+G136+K136</f>
        <v>0</v>
      </c>
      <c r="N136" s="565"/>
      <c r="O136" s="2907"/>
      <c r="P136" s="565"/>
      <c r="Q136" s="1548">
        <f t="shared" si="152"/>
        <v>0</v>
      </c>
      <c r="R136" s="565"/>
      <c r="S136" s="2907"/>
      <c r="T136" s="379"/>
      <c r="U136" s="3578">
        <f t="shared" si="117"/>
        <v>0</v>
      </c>
      <c r="V136" s="565"/>
      <c r="W136" s="2907"/>
      <c r="X136" s="565"/>
      <c r="Y136" s="1070">
        <f t="shared" si="72"/>
        <v>0</v>
      </c>
      <c r="Z136" s="565"/>
      <c r="AA136" s="492">
        <f t="shared" si="69"/>
        <v>0</v>
      </c>
      <c r="AB136" s="565"/>
      <c r="AC136" s="2907"/>
      <c r="AD136" s="379"/>
      <c r="AE136" s="2422">
        <f t="shared" ref="AE136:AE156" si="165">+AA136+AC136</f>
        <v>0</v>
      </c>
      <c r="AF136" s="565"/>
      <c r="AG136" s="2907"/>
      <c r="AH136" s="379"/>
      <c r="AI136" s="2422">
        <f t="shared" ref="AI136:AI171" si="166">+AE136+AG136</f>
        <v>0</v>
      </c>
      <c r="AJ136" s="565"/>
      <c r="AK136" s="2907"/>
      <c r="AL136" s="565"/>
      <c r="AM136" s="1070">
        <f t="shared" si="78"/>
        <v>0</v>
      </c>
      <c r="AN136" s="379"/>
      <c r="AO136" s="2422">
        <f t="shared" si="98"/>
        <v>0</v>
      </c>
      <c r="AP136" s="565"/>
      <c r="AQ136" s="2907"/>
      <c r="AR136" s="379"/>
      <c r="AS136" s="2422">
        <f t="shared" ref="AS136:AS159" si="167">+AO136+AQ136</f>
        <v>0</v>
      </c>
      <c r="AT136" s="565"/>
      <c r="AU136" s="2907"/>
      <c r="AV136" s="379"/>
      <c r="AW136" s="2422">
        <f t="shared" ref="AW136:AW170" si="168">+AS136+AU136</f>
        <v>0</v>
      </c>
      <c r="AX136" s="565"/>
      <c r="AY136" s="2907"/>
      <c r="AZ136" s="565"/>
      <c r="BA136" s="1070">
        <f t="shared" si="71"/>
        <v>0</v>
      </c>
      <c r="BB136" s="565"/>
      <c r="BC136" s="492">
        <f t="shared" si="73"/>
        <v>0</v>
      </c>
      <c r="BD136" s="379"/>
      <c r="BE136" s="235">
        <f t="shared" ref="BE136:BE148" si="169">+AW136+AY136</f>
        <v>0</v>
      </c>
      <c r="BF136" s="1137"/>
      <c r="BI136" s="25"/>
      <c r="BJ136" s="25"/>
    </row>
    <row r="137" spans="1:62" ht="15.75" hidden="1" customHeight="1" x14ac:dyDescent="0.25">
      <c r="B137" s="1629" t="s">
        <v>1328</v>
      </c>
      <c r="C137" s="5158" t="s">
        <v>352</v>
      </c>
      <c r="D137" s="565"/>
      <c r="E137" s="2907"/>
      <c r="F137" s="2907"/>
      <c r="G137" s="2907"/>
      <c r="H137" s="2908"/>
      <c r="I137" s="3578">
        <f t="shared" si="115"/>
        <v>0</v>
      </c>
      <c r="J137" s="3566"/>
      <c r="K137" s="2907"/>
      <c r="L137" s="565"/>
      <c r="M137" s="1070">
        <f t="shared" si="164"/>
        <v>0</v>
      </c>
      <c r="N137" s="565"/>
      <c r="O137" s="2907"/>
      <c r="P137" s="565"/>
      <c r="Q137" s="1548">
        <f t="shared" si="152"/>
        <v>0</v>
      </c>
      <c r="R137" s="565"/>
      <c r="S137" s="2907"/>
      <c r="T137" s="565"/>
      <c r="U137" s="3578">
        <f t="shared" si="117"/>
        <v>0</v>
      </c>
      <c r="V137" s="565"/>
      <c r="W137" s="2907"/>
      <c r="X137" s="565"/>
      <c r="Y137" s="1070">
        <f t="shared" ref="Y137:Y192" si="170">+O137+S137+W137</f>
        <v>0</v>
      </c>
      <c r="Z137" s="565"/>
      <c r="AA137" s="492">
        <f t="shared" ref="AA137:AA192" si="171">M137+Y137</f>
        <v>0</v>
      </c>
      <c r="AB137" s="565"/>
      <c r="AC137" s="2907"/>
      <c r="AD137" s="565"/>
      <c r="AE137" s="2422">
        <f t="shared" si="165"/>
        <v>0</v>
      </c>
      <c r="AF137" s="565"/>
      <c r="AG137" s="2907"/>
      <c r="AH137" s="565"/>
      <c r="AI137" s="2422">
        <f t="shared" si="166"/>
        <v>0</v>
      </c>
      <c r="AJ137" s="565"/>
      <c r="AK137" s="2907"/>
      <c r="AL137" s="565"/>
      <c r="AM137" s="1070">
        <f t="shared" ref="AM137:AM175" si="172">+AC137+AG137+AK137</f>
        <v>0</v>
      </c>
      <c r="AN137" s="565"/>
      <c r="AO137" s="2422">
        <f t="shared" si="98"/>
        <v>0</v>
      </c>
      <c r="AP137" s="565"/>
      <c r="AQ137" s="2907"/>
      <c r="AR137" s="565"/>
      <c r="AS137" s="2422">
        <f t="shared" si="167"/>
        <v>0</v>
      </c>
      <c r="AT137" s="565"/>
      <c r="AU137" s="2907"/>
      <c r="AV137" s="565"/>
      <c r="AW137" s="2422">
        <f t="shared" si="168"/>
        <v>0</v>
      </c>
      <c r="AX137" s="565"/>
      <c r="AY137" s="2907"/>
      <c r="AZ137" s="565"/>
      <c r="BA137" s="1070">
        <f t="shared" ref="BA137:BA175" si="173">+AQ137+AU137+AY137</f>
        <v>0</v>
      </c>
      <c r="BB137" s="565"/>
      <c r="BC137" s="492">
        <f t="shared" si="73"/>
        <v>0</v>
      </c>
      <c r="BD137" s="565"/>
      <c r="BE137" s="235">
        <f t="shared" si="169"/>
        <v>0</v>
      </c>
      <c r="BF137" s="1137"/>
      <c r="BI137" s="25"/>
      <c r="BJ137" s="25"/>
    </row>
    <row r="138" spans="1:62" ht="15.75" hidden="1" customHeight="1" x14ac:dyDescent="0.25">
      <c r="B138" s="1629" t="s">
        <v>1374</v>
      </c>
      <c r="C138" s="5158" t="s">
        <v>352</v>
      </c>
      <c r="D138" s="565"/>
      <c r="E138" s="2907"/>
      <c r="F138" s="2907"/>
      <c r="G138" s="2907"/>
      <c r="H138" s="2908"/>
      <c r="I138" s="3578">
        <f t="shared" si="115"/>
        <v>0</v>
      </c>
      <c r="J138" s="3566"/>
      <c r="K138" s="2907"/>
      <c r="L138" s="565"/>
      <c r="M138" s="1070">
        <f t="shared" si="164"/>
        <v>0</v>
      </c>
      <c r="N138" s="565"/>
      <c r="O138" s="2907"/>
      <c r="P138" s="565"/>
      <c r="Q138" s="1548">
        <f t="shared" si="152"/>
        <v>0</v>
      </c>
      <c r="R138" s="565"/>
      <c r="S138" s="2907"/>
      <c r="T138" s="565"/>
      <c r="U138" s="3578">
        <f t="shared" si="117"/>
        <v>0</v>
      </c>
      <c r="V138" s="565"/>
      <c r="W138" s="2907"/>
      <c r="X138" s="565"/>
      <c r="Y138" s="1070">
        <f t="shared" si="170"/>
        <v>0</v>
      </c>
      <c r="Z138" s="565"/>
      <c r="AA138" s="492">
        <f t="shared" si="171"/>
        <v>0</v>
      </c>
      <c r="AB138" s="565"/>
      <c r="AC138" s="2907"/>
      <c r="AD138" s="565"/>
      <c r="AE138" s="2422">
        <f t="shared" si="165"/>
        <v>0</v>
      </c>
      <c r="AF138" s="565"/>
      <c r="AG138" s="2907"/>
      <c r="AH138" s="565"/>
      <c r="AI138" s="2422">
        <f t="shared" si="166"/>
        <v>0</v>
      </c>
      <c r="AJ138" s="565"/>
      <c r="AK138" s="2907"/>
      <c r="AL138" s="565"/>
      <c r="AM138" s="1070">
        <f t="shared" si="172"/>
        <v>0</v>
      </c>
      <c r="AN138" s="565"/>
      <c r="AO138" s="2422">
        <f t="shared" si="98"/>
        <v>0</v>
      </c>
      <c r="AP138" s="565"/>
      <c r="AQ138" s="2907"/>
      <c r="AR138" s="565"/>
      <c r="AS138" s="2422">
        <f t="shared" si="167"/>
        <v>0</v>
      </c>
      <c r="AT138" s="565"/>
      <c r="AU138" s="2907"/>
      <c r="AV138" s="565"/>
      <c r="AW138" s="2422">
        <f t="shared" si="168"/>
        <v>0</v>
      </c>
      <c r="AX138" s="565"/>
      <c r="AY138" s="2907"/>
      <c r="AZ138" s="565"/>
      <c r="BA138" s="1070">
        <f t="shared" si="173"/>
        <v>0</v>
      </c>
      <c r="BB138" s="565"/>
      <c r="BC138" s="492">
        <f t="shared" ref="BC138:BC175" si="174">BA138+AM138</f>
        <v>0</v>
      </c>
      <c r="BD138" s="565"/>
      <c r="BE138" s="235">
        <f t="shared" si="169"/>
        <v>0</v>
      </c>
      <c r="BF138" s="1137"/>
      <c r="BI138" s="25"/>
      <c r="BJ138" s="25"/>
    </row>
    <row r="139" spans="1:62" hidden="1" x14ac:dyDescent="0.25">
      <c r="B139" s="1629" t="s">
        <v>1375</v>
      </c>
      <c r="C139" s="5158" t="s">
        <v>352</v>
      </c>
      <c r="D139" s="565"/>
      <c r="E139" s="2907"/>
      <c r="F139" s="2907"/>
      <c r="G139" s="2907"/>
      <c r="H139" s="2908"/>
      <c r="I139" s="3578">
        <f t="shared" si="115"/>
        <v>0</v>
      </c>
      <c r="J139" s="3566"/>
      <c r="K139" s="2907"/>
      <c r="L139" s="565"/>
      <c r="M139" s="1070">
        <f t="shared" si="164"/>
        <v>0</v>
      </c>
      <c r="N139" s="565"/>
      <c r="O139" s="2907"/>
      <c r="P139" s="565"/>
      <c r="Q139" s="1548">
        <f t="shared" si="152"/>
        <v>0</v>
      </c>
      <c r="R139" s="565"/>
      <c r="S139" s="2907"/>
      <c r="T139" s="565"/>
      <c r="U139" s="3578">
        <f t="shared" si="117"/>
        <v>0</v>
      </c>
      <c r="V139" s="565"/>
      <c r="W139" s="2907"/>
      <c r="X139" s="565"/>
      <c r="Y139" s="1070">
        <f t="shared" si="170"/>
        <v>0</v>
      </c>
      <c r="Z139" s="565"/>
      <c r="AA139" s="492">
        <f t="shared" si="171"/>
        <v>0</v>
      </c>
      <c r="AB139" s="565"/>
      <c r="AC139" s="2907"/>
      <c r="AD139" s="565"/>
      <c r="AE139" s="2422">
        <f t="shared" si="165"/>
        <v>0</v>
      </c>
      <c r="AF139" s="565"/>
      <c r="AG139" s="2907"/>
      <c r="AH139" s="565"/>
      <c r="AI139" s="2422">
        <f t="shared" si="166"/>
        <v>0</v>
      </c>
      <c r="AJ139" s="565"/>
      <c r="AK139" s="2907"/>
      <c r="AL139" s="565"/>
      <c r="AM139" s="1070">
        <f t="shared" si="172"/>
        <v>0</v>
      </c>
      <c r="AN139" s="565"/>
      <c r="AO139" s="2422">
        <f t="shared" si="98"/>
        <v>0</v>
      </c>
      <c r="AP139" s="565"/>
      <c r="AQ139" s="2907"/>
      <c r="AR139" s="565"/>
      <c r="AS139" s="2422">
        <f t="shared" si="167"/>
        <v>0</v>
      </c>
      <c r="AT139" s="565"/>
      <c r="AU139" s="2907"/>
      <c r="AV139" s="565"/>
      <c r="AW139" s="2422">
        <f t="shared" si="168"/>
        <v>0</v>
      </c>
      <c r="AX139" s="565"/>
      <c r="AY139" s="2907"/>
      <c r="AZ139" s="565"/>
      <c r="BA139" s="1070">
        <f t="shared" si="173"/>
        <v>0</v>
      </c>
      <c r="BB139" s="565"/>
      <c r="BC139" s="492">
        <f t="shared" si="174"/>
        <v>0</v>
      </c>
      <c r="BD139" s="565"/>
      <c r="BE139" s="235">
        <f t="shared" si="169"/>
        <v>0</v>
      </c>
      <c r="BF139" s="1137"/>
      <c r="BI139" s="25"/>
      <c r="BJ139" s="25"/>
    </row>
    <row r="140" spans="1:62" ht="15.75" hidden="1" customHeight="1" x14ac:dyDescent="0.25">
      <c r="B140" s="1629" t="s">
        <v>2180</v>
      </c>
      <c r="C140" s="5158" t="s">
        <v>352</v>
      </c>
      <c r="D140" s="565"/>
      <c r="E140" s="2907"/>
      <c r="F140" s="2907"/>
      <c r="G140" s="2907"/>
      <c r="H140" s="2908"/>
      <c r="I140" s="3578">
        <f t="shared" si="115"/>
        <v>0</v>
      </c>
      <c r="J140" s="3566"/>
      <c r="K140" s="2907"/>
      <c r="L140" s="565"/>
      <c r="M140" s="1070">
        <f t="shared" si="164"/>
        <v>0</v>
      </c>
      <c r="N140" s="565"/>
      <c r="O140" s="2907"/>
      <c r="P140" s="565"/>
      <c r="Q140" s="1548">
        <f t="shared" si="152"/>
        <v>0</v>
      </c>
      <c r="R140" s="565"/>
      <c r="S140" s="2907"/>
      <c r="T140" s="565"/>
      <c r="U140" s="3578">
        <f t="shared" si="117"/>
        <v>0</v>
      </c>
      <c r="V140" s="565"/>
      <c r="W140" s="2907"/>
      <c r="X140" s="565"/>
      <c r="Y140" s="1070">
        <f t="shared" ref="Y140:Y148" si="175">+O140+S140+W140</f>
        <v>0</v>
      </c>
      <c r="Z140" s="565"/>
      <c r="AA140" s="492">
        <f t="shared" ref="AA140:AA148" si="176">M140+Y140</f>
        <v>0</v>
      </c>
      <c r="AB140" s="565"/>
      <c r="AC140" s="2907"/>
      <c r="AD140" s="565"/>
      <c r="AE140" s="2422">
        <f t="shared" si="165"/>
        <v>0</v>
      </c>
      <c r="AF140" s="565"/>
      <c r="AG140" s="2907">
        <v>1</v>
      </c>
      <c r="AH140" s="565"/>
      <c r="AI140" s="2422">
        <f t="shared" si="166"/>
        <v>1</v>
      </c>
      <c r="AJ140" s="565"/>
      <c r="AK140" s="2907"/>
      <c r="AL140" s="565"/>
      <c r="AM140" s="1070">
        <f t="shared" si="172"/>
        <v>1</v>
      </c>
      <c r="AN140" s="565"/>
      <c r="AO140" s="2422">
        <f t="shared" si="98"/>
        <v>1</v>
      </c>
      <c r="AP140" s="565"/>
      <c r="AQ140" s="2907"/>
      <c r="AR140" s="565"/>
      <c r="AS140" s="2422">
        <f t="shared" si="167"/>
        <v>1</v>
      </c>
      <c r="AT140" s="565"/>
      <c r="AU140" s="2907"/>
      <c r="AV140" s="565"/>
      <c r="AW140" s="2422">
        <f t="shared" si="168"/>
        <v>1</v>
      </c>
      <c r="AX140" s="565"/>
      <c r="AY140" s="2907"/>
      <c r="AZ140" s="565"/>
      <c r="BA140" s="1070">
        <f t="shared" si="173"/>
        <v>0</v>
      </c>
      <c r="BB140" s="565"/>
      <c r="BC140" s="492">
        <f t="shared" si="174"/>
        <v>1</v>
      </c>
      <c r="BD140" s="565"/>
      <c r="BE140" s="235">
        <f t="shared" si="169"/>
        <v>1</v>
      </c>
      <c r="BF140" s="1137"/>
      <c r="BI140" s="25"/>
      <c r="BJ140" s="25"/>
    </row>
    <row r="141" spans="1:62" ht="15.75" hidden="1" customHeight="1" x14ac:dyDescent="0.25">
      <c r="B141" s="1629" t="s">
        <v>1408</v>
      </c>
      <c r="C141" s="5158" t="s">
        <v>352</v>
      </c>
      <c r="D141" s="565"/>
      <c r="E141" s="2907"/>
      <c r="F141" s="2907"/>
      <c r="G141" s="2907"/>
      <c r="H141" s="2908"/>
      <c r="I141" s="3578">
        <f t="shared" si="115"/>
        <v>0</v>
      </c>
      <c r="J141" s="3566"/>
      <c r="K141" s="2907"/>
      <c r="L141" s="565"/>
      <c r="M141" s="1070">
        <f t="shared" si="164"/>
        <v>0</v>
      </c>
      <c r="N141" s="565"/>
      <c r="O141" s="2907"/>
      <c r="P141" s="565"/>
      <c r="Q141" s="1548">
        <f t="shared" si="152"/>
        <v>0</v>
      </c>
      <c r="R141" s="565"/>
      <c r="S141" s="2907"/>
      <c r="T141" s="565"/>
      <c r="U141" s="3578">
        <f t="shared" si="117"/>
        <v>0</v>
      </c>
      <c r="V141" s="565"/>
      <c r="W141" s="2907"/>
      <c r="X141" s="565"/>
      <c r="Y141" s="1070">
        <f t="shared" si="175"/>
        <v>0</v>
      </c>
      <c r="Z141" s="565"/>
      <c r="AA141" s="492">
        <f t="shared" si="176"/>
        <v>0</v>
      </c>
      <c r="AB141" s="565"/>
      <c r="AC141" s="2907"/>
      <c r="AD141" s="565"/>
      <c r="AE141" s="2422">
        <f t="shared" si="165"/>
        <v>0</v>
      </c>
      <c r="AF141" s="565"/>
      <c r="AG141" s="2907"/>
      <c r="AH141" s="565"/>
      <c r="AI141" s="2422">
        <f t="shared" si="166"/>
        <v>0</v>
      </c>
      <c r="AJ141" s="565"/>
      <c r="AK141" s="2907"/>
      <c r="AL141" s="565"/>
      <c r="AM141" s="1070">
        <f t="shared" ref="AM141:AM157" si="177">+AC141+AG141+AK141</f>
        <v>0</v>
      </c>
      <c r="AN141" s="565"/>
      <c r="AO141" s="2422">
        <f t="shared" ref="AO141:AO157" si="178">AI141+AK141</f>
        <v>0</v>
      </c>
      <c r="AP141" s="565"/>
      <c r="AQ141" s="2907"/>
      <c r="AR141" s="565"/>
      <c r="AS141" s="2422">
        <f t="shared" si="167"/>
        <v>0</v>
      </c>
      <c r="AT141" s="565"/>
      <c r="AU141" s="2907"/>
      <c r="AV141" s="565"/>
      <c r="AW141" s="2422">
        <f t="shared" si="168"/>
        <v>0</v>
      </c>
      <c r="AX141" s="565"/>
      <c r="AY141" s="2907"/>
      <c r="AZ141" s="565"/>
      <c r="BA141" s="1070">
        <f t="shared" si="173"/>
        <v>0</v>
      </c>
      <c r="BB141" s="565"/>
      <c r="BC141" s="492">
        <f t="shared" si="174"/>
        <v>0</v>
      </c>
      <c r="BD141" s="565"/>
      <c r="BE141" s="235">
        <f t="shared" si="169"/>
        <v>0</v>
      </c>
      <c r="BF141" s="1137"/>
      <c r="BI141" s="25"/>
      <c r="BJ141" s="25"/>
    </row>
    <row r="142" spans="1:62" ht="15.75" hidden="1" customHeight="1" x14ac:dyDescent="0.25">
      <c r="B142" s="1629" t="s">
        <v>1410</v>
      </c>
      <c r="C142" s="5158" t="s">
        <v>352</v>
      </c>
      <c r="D142" s="565"/>
      <c r="E142" s="2907"/>
      <c r="F142" s="2907"/>
      <c r="G142" s="2907"/>
      <c r="H142" s="2908"/>
      <c r="I142" s="3578">
        <f t="shared" si="115"/>
        <v>0</v>
      </c>
      <c r="J142" s="3566"/>
      <c r="K142" s="2907"/>
      <c r="L142" s="565"/>
      <c r="M142" s="1070">
        <f t="shared" si="164"/>
        <v>0</v>
      </c>
      <c r="N142" s="565"/>
      <c r="O142" s="2907"/>
      <c r="P142" s="565"/>
      <c r="Q142" s="1548">
        <f t="shared" si="152"/>
        <v>0</v>
      </c>
      <c r="R142" s="565"/>
      <c r="S142" s="2907"/>
      <c r="T142" s="565"/>
      <c r="U142" s="3578">
        <f t="shared" si="117"/>
        <v>0</v>
      </c>
      <c r="V142" s="565"/>
      <c r="W142" s="2907"/>
      <c r="X142" s="565"/>
      <c r="Y142" s="1070">
        <f t="shared" si="175"/>
        <v>0</v>
      </c>
      <c r="Z142" s="565"/>
      <c r="AA142" s="492">
        <f t="shared" si="176"/>
        <v>0</v>
      </c>
      <c r="AB142" s="565"/>
      <c r="AC142" s="2907"/>
      <c r="AD142" s="565"/>
      <c r="AE142" s="2422">
        <f t="shared" si="165"/>
        <v>0</v>
      </c>
      <c r="AF142" s="565"/>
      <c r="AG142" s="2907">
        <v>3.29</v>
      </c>
      <c r="AH142" s="565"/>
      <c r="AI142" s="2422">
        <f t="shared" si="166"/>
        <v>3.29</v>
      </c>
      <c r="AJ142" s="565"/>
      <c r="AK142" s="2907"/>
      <c r="AL142" s="565"/>
      <c r="AM142" s="1070">
        <f t="shared" si="177"/>
        <v>3.29</v>
      </c>
      <c r="AN142" s="565"/>
      <c r="AO142" s="2422">
        <f t="shared" si="178"/>
        <v>3.29</v>
      </c>
      <c r="AP142" s="565"/>
      <c r="AQ142" s="2907"/>
      <c r="AR142" s="565"/>
      <c r="AS142" s="2422">
        <f t="shared" si="167"/>
        <v>3.29</v>
      </c>
      <c r="AT142" s="565"/>
      <c r="AU142" s="2907"/>
      <c r="AV142" s="565"/>
      <c r="AW142" s="2422">
        <f t="shared" si="168"/>
        <v>3.29</v>
      </c>
      <c r="AX142" s="565"/>
      <c r="AY142" s="2907"/>
      <c r="AZ142" s="565"/>
      <c r="BA142" s="1070">
        <f t="shared" si="173"/>
        <v>0</v>
      </c>
      <c r="BB142" s="565"/>
      <c r="BC142" s="492">
        <f t="shared" si="174"/>
        <v>3.29</v>
      </c>
      <c r="BD142" s="565"/>
      <c r="BE142" s="235">
        <f t="shared" si="169"/>
        <v>3.29</v>
      </c>
      <c r="BF142" s="1137"/>
      <c r="BI142" s="25"/>
      <c r="BJ142" s="25"/>
    </row>
    <row r="143" spans="1:62" ht="15.75" hidden="1" customHeight="1" x14ac:dyDescent="0.25">
      <c r="B143" s="1629" t="s">
        <v>1453</v>
      </c>
      <c r="C143" s="5158" t="s">
        <v>352</v>
      </c>
      <c r="D143" s="565"/>
      <c r="E143" s="2907"/>
      <c r="F143" s="2907"/>
      <c r="G143" s="2907"/>
      <c r="H143" s="2908"/>
      <c r="I143" s="3578">
        <f t="shared" si="115"/>
        <v>0</v>
      </c>
      <c r="J143" s="3566"/>
      <c r="K143" s="2907"/>
      <c r="L143" s="565"/>
      <c r="M143" s="1070">
        <f t="shared" si="164"/>
        <v>0</v>
      </c>
      <c r="N143" s="565"/>
      <c r="O143" s="2907"/>
      <c r="P143" s="565"/>
      <c r="Q143" s="1548">
        <f t="shared" si="152"/>
        <v>0</v>
      </c>
      <c r="R143" s="565"/>
      <c r="S143" s="2907"/>
      <c r="T143" s="565"/>
      <c r="U143" s="3578">
        <f t="shared" si="117"/>
        <v>0</v>
      </c>
      <c r="V143" s="565"/>
      <c r="W143" s="2907"/>
      <c r="X143" s="565"/>
      <c r="Y143" s="1070">
        <f t="shared" si="175"/>
        <v>0</v>
      </c>
      <c r="Z143" s="565"/>
      <c r="AA143" s="492">
        <f t="shared" si="176"/>
        <v>0</v>
      </c>
      <c r="AB143" s="565"/>
      <c r="AC143" s="2907"/>
      <c r="AD143" s="565"/>
      <c r="AE143" s="2422">
        <f t="shared" si="165"/>
        <v>0</v>
      </c>
      <c r="AF143" s="565"/>
      <c r="AG143" s="2907"/>
      <c r="AH143" s="565"/>
      <c r="AI143" s="2422">
        <f t="shared" si="166"/>
        <v>0</v>
      </c>
      <c r="AJ143" s="565"/>
      <c r="AK143" s="2907"/>
      <c r="AL143" s="565"/>
      <c r="AM143" s="1070">
        <f t="shared" si="177"/>
        <v>0</v>
      </c>
      <c r="AN143" s="565"/>
      <c r="AO143" s="2422">
        <f t="shared" si="178"/>
        <v>0</v>
      </c>
      <c r="AP143" s="565"/>
      <c r="AQ143" s="2907"/>
      <c r="AR143" s="565"/>
      <c r="AS143" s="2422">
        <f t="shared" si="167"/>
        <v>0</v>
      </c>
      <c r="AT143" s="565"/>
      <c r="AU143" s="2907"/>
      <c r="AV143" s="565"/>
      <c r="AW143" s="2422">
        <f t="shared" si="168"/>
        <v>0</v>
      </c>
      <c r="AX143" s="565"/>
      <c r="AY143" s="2907">
        <v>16</v>
      </c>
      <c r="AZ143" s="565"/>
      <c r="BA143" s="1070">
        <f t="shared" si="173"/>
        <v>16</v>
      </c>
      <c r="BB143" s="565"/>
      <c r="BC143" s="492">
        <f t="shared" si="174"/>
        <v>16</v>
      </c>
      <c r="BD143" s="565"/>
      <c r="BE143" s="235">
        <f t="shared" si="169"/>
        <v>16</v>
      </c>
      <c r="BF143" s="1137"/>
      <c r="BI143" s="25"/>
      <c r="BJ143" s="25"/>
    </row>
    <row r="144" spans="1:62" s="4487" customFormat="1" ht="15.75" hidden="1" customHeight="1" x14ac:dyDescent="0.25">
      <c r="B144" s="6753" t="s">
        <v>2215</v>
      </c>
      <c r="C144" s="7599" t="s">
        <v>352</v>
      </c>
      <c r="D144" s="6755"/>
      <c r="E144" s="6755"/>
      <c r="F144" s="6755"/>
      <c r="G144" s="6755"/>
      <c r="H144" s="6756"/>
      <c r="I144" s="6757"/>
      <c r="J144" s="6758"/>
      <c r="K144" s="6755"/>
      <c r="L144" s="6755"/>
      <c r="M144" s="6759"/>
      <c r="N144" s="6755"/>
      <c r="O144" s="6755"/>
      <c r="P144" s="6755"/>
      <c r="Q144" s="6760"/>
      <c r="R144" s="6755"/>
      <c r="S144" s="6755"/>
      <c r="T144" s="6755"/>
      <c r="U144" s="6757"/>
      <c r="V144" s="6755"/>
      <c r="W144" s="6755"/>
      <c r="X144" s="6755"/>
      <c r="Y144" s="6759"/>
      <c r="Z144" s="6755"/>
      <c r="AA144" s="6761"/>
      <c r="AB144" s="6755"/>
      <c r="AC144" s="6755"/>
      <c r="AD144" s="6755"/>
      <c r="AE144" s="6762"/>
      <c r="AF144" s="6755"/>
      <c r="AG144" s="6755"/>
      <c r="AH144" s="6755"/>
      <c r="AI144" s="6762"/>
      <c r="AJ144" s="6755"/>
      <c r="AK144" s="6755"/>
      <c r="AL144" s="6755"/>
      <c r="AM144" s="6759"/>
      <c r="AN144" s="6755"/>
      <c r="AO144" s="6762"/>
      <c r="AP144" s="6755"/>
      <c r="AQ144" s="6755">
        <v>58.4</v>
      </c>
      <c r="AR144" s="6755"/>
      <c r="AS144" s="2422">
        <f t="shared" si="167"/>
        <v>58.4</v>
      </c>
      <c r="AT144" s="6755"/>
      <c r="AU144" s="6755">
        <v>40.909999999999997</v>
      </c>
      <c r="AV144" s="6755"/>
      <c r="AW144" s="2422">
        <f t="shared" si="168"/>
        <v>99.31</v>
      </c>
      <c r="AX144" s="6755"/>
      <c r="AY144" s="6755"/>
      <c r="AZ144" s="6755"/>
      <c r="BA144" s="1070">
        <f t="shared" ref="BA144" si="179">+AQ144+AU144+AY144</f>
        <v>99.31</v>
      </c>
      <c r="BB144" s="565"/>
      <c r="BC144" s="492">
        <f t="shared" ref="BC144" si="180">BA144+AM144</f>
        <v>99.31</v>
      </c>
      <c r="BD144" s="565"/>
      <c r="BE144" s="235">
        <f t="shared" ref="BE144" si="181">+AW144+AY144</f>
        <v>99.31</v>
      </c>
      <c r="BF144" s="1137"/>
      <c r="BI144" s="25"/>
      <c r="BJ144" s="25"/>
    </row>
    <row r="145" spans="2:62" s="4487" customFormat="1" ht="15.75" hidden="1" customHeight="1" x14ac:dyDescent="0.25">
      <c r="B145" s="6753" t="s">
        <v>2249</v>
      </c>
      <c r="C145" s="7599" t="s">
        <v>352</v>
      </c>
      <c r="D145" s="6755"/>
      <c r="E145" s="6755"/>
      <c r="F145" s="6755"/>
      <c r="G145" s="6755"/>
      <c r="H145" s="6756"/>
      <c r="I145" s="6757"/>
      <c r="J145" s="6758"/>
      <c r="K145" s="6755"/>
      <c r="L145" s="6755"/>
      <c r="M145" s="6759"/>
      <c r="N145" s="6755"/>
      <c r="O145" s="6755"/>
      <c r="P145" s="6755"/>
      <c r="Q145" s="6760"/>
      <c r="R145" s="6755"/>
      <c r="S145" s="6755"/>
      <c r="T145" s="6755"/>
      <c r="U145" s="6757"/>
      <c r="V145" s="6755"/>
      <c r="W145" s="6755"/>
      <c r="X145" s="6755"/>
      <c r="Y145" s="6759"/>
      <c r="Z145" s="6755"/>
      <c r="AA145" s="6761"/>
      <c r="AB145" s="6755"/>
      <c r="AC145" s="6755"/>
      <c r="AD145" s="6755"/>
      <c r="AE145" s="6762"/>
      <c r="AF145" s="6755"/>
      <c r="AG145" s="6755"/>
      <c r="AH145" s="6755"/>
      <c r="AI145" s="6762"/>
      <c r="AJ145" s="6755"/>
      <c r="AK145" s="6755"/>
      <c r="AL145" s="6755"/>
      <c r="AM145" s="6759"/>
      <c r="AN145" s="6755"/>
      <c r="AO145" s="6762"/>
      <c r="AP145" s="6755"/>
      <c r="AQ145" s="6755"/>
      <c r="AR145" s="6755"/>
      <c r="AS145" s="6762"/>
      <c r="AT145" s="6755"/>
      <c r="AU145" s="6755">
        <v>13.401999999999999</v>
      </c>
      <c r="AV145" s="6755"/>
      <c r="AW145" s="2422">
        <f t="shared" si="168"/>
        <v>13.401999999999999</v>
      </c>
      <c r="AX145" s="6755"/>
      <c r="AY145" s="6755"/>
      <c r="AZ145" s="6755"/>
      <c r="BA145" s="1070">
        <f t="shared" ref="BA145" si="182">+AQ145+AU145+AY145</f>
        <v>13.401999999999999</v>
      </c>
      <c r="BB145" s="565"/>
      <c r="BC145" s="492">
        <f t="shared" ref="BC145" si="183">BA145+AM145</f>
        <v>13.401999999999999</v>
      </c>
      <c r="BD145" s="565"/>
      <c r="BE145" s="235">
        <f t="shared" ref="BE145" si="184">+AW145+AY145</f>
        <v>13.401999999999999</v>
      </c>
      <c r="BF145" s="1137"/>
      <c r="BI145" s="25"/>
      <c r="BJ145" s="25"/>
    </row>
    <row r="146" spans="2:62" s="4487" customFormat="1" ht="15.75" hidden="1" customHeight="1" x14ac:dyDescent="0.25">
      <c r="B146" s="6753" t="s">
        <v>2218</v>
      </c>
      <c r="C146" s="7599" t="s">
        <v>352</v>
      </c>
      <c r="D146" s="6755"/>
      <c r="E146" s="6755"/>
      <c r="F146" s="6755"/>
      <c r="G146" s="6755"/>
      <c r="H146" s="6756"/>
      <c r="I146" s="6757"/>
      <c r="J146" s="6758"/>
      <c r="K146" s="6755"/>
      <c r="L146" s="6755"/>
      <c r="M146" s="6759"/>
      <c r="N146" s="6755"/>
      <c r="O146" s="6755"/>
      <c r="P146" s="6755"/>
      <c r="Q146" s="6760"/>
      <c r="R146" s="6755"/>
      <c r="S146" s="6755"/>
      <c r="T146" s="6755"/>
      <c r="U146" s="6757"/>
      <c r="V146" s="6755"/>
      <c r="W146" s="6755"/>
      <c r="X146" s="6755"/>
      <c r="Y146" s="6759"/>
      <c r="Z146" s="6755"/>
      <c r="AA146" s="6761"/>
      <c r="AB146" s="6755"/>
      <c r="AC146" s="6755"/>
      <c r="AD146" s="6755"/>
      <c r="AE146" s="6762"/>
      <c r="AF146" s="6755"/>
      <c r="AG146" s="6755"/>
      <c r="AH146" s="6755"/>
      <c r="AI146" s="6762"/>
      <c r="AJ146" s="6755"/>
      <c r="AK146" s="6755"/>
      <c r="AL146" s="6755"/>
      <c r="AM146" s="6759"/>
      <c r="AN146" s="6755"/>
      <c r="AO146" s="6762"/>
      <c r="AP146" s="6755"/>
      <c r="AQ146" s="6755">
        <v>2900</v>
      </c>
      <c r="AR146" s="6755"/>
      <c r="AS146" s="2422">
        <f t="shared" si="167"/>
        <v>2900</v>
      </c>
      <c r="AT146" s="6755"/>
      <c r="AU146" s="6755"/>
      <c r="AV146" s="6755"/>
      <c r="AW146" s="2422">
        <f t="shared" si="168"/>
        <v>2900</v>
      </c>
      <c r="AX146" s="6755"/>
      <c r="AY146" s="6755"/>
      <c r="AZ146" s="6755"/>
      <c r="BA146" s="1070">
        <f t="shared" ref="BA146" si="185">+AQ146+AU146+AY146</f>
        <v>2900</v>
      </c>
      <c r="BB146" s="565"/>
      <c r="BC146" s="492">
        <f t="shared" ref="BC146" si="186">BA146+AM146</f>
        <v>2900</v>
      </c>
      <c r="BD146" s="565"/>
      <c r="BE146" s="235">
        <f t="shared" ref="BE146" si="187">+AW146+AY146</f>
        <v>2900</v>
      </c>
      <c r="BF146" s="1137"/>
      <c r="BI146" s="25"/>
      <c r="BJ146" s="25"/>
    </row>
    <row r="147" spans="2:62" s="4487" customFormat="1" hidden="1" x14ac:dyDescent="0.25">
      <c r="B147" s="6753" t="s">
        <v>2217</v>
      </c>
      <c r="C147" s="7599" t="s">
        <v>352</v>
      </c>
      <c r="D147" s="6755"/>
      <c r="E147" s="6755"/>
      <c r="F147" s="6755"/>
      <c r="G147" s="6755"/>
      <c r="H147" s="6756"/>
      <c r="I147" s="6757"/>
      <c r="J147" s="6758"/>
      <c r="K147" s="6755"/>
      <c r="L147" s="6755"/>
      <c r="M147" s="6759"/>
      <c r="N147" s="6755"/>
      <c r="O147" s="6755"/>
      <c r="P147" s="6755"/>
      <c r="Q147" s="6760"/>
      <c r="R147" s="6755"/>
      <c r="S147" s="6755"/>
      <c r="T147" s="6755"/>
      <c r="U147" s="6757"/>
      <c r="V147" s="6755"/>
      <c r="W147" s="6755"/>
      <c r="X147" s="6755"/>
      <c r="Y147" s="6759"/>
      <c r="Z147" s="6755"/>
      <c r="AA147" s="6761"/>
      <c r="AB147" s="6755"/>
      <c r="AC147" s="6755"/>
      <c r="AD147" s="6755"/>
      <c r="AE147" s="6762"/>
      <c r="AF147" s="6755"/>
      <c r="AG147" s="6755"/>
      <c r="AH147" s="6755"/>
      <c r="AI147" s="6762"/>
      <c r="AJ147" s="6755"/>
      <c r="AK147" s="6755"/>
      <c r="AL147" s="6755"/>
      <c r="AM147" s="6759"/>
      <c r="AN147" s="6755"/>
      <c r="AO147" s="6762"/>
      <c r="AP147" s="6755"/>
      <c r="AQ147" s="6755">
        <v>46.86</v>
      </c>
      <c r="AR147" s="6755"/>
      <c r="AS147" s="2422">
        <f t="shared" si="167"/>
        <v>46.86</v>
      </c>
      <c r="AT147" s="6755"/>
      <c r="AU147" s="6755">
        <v>60</v>
      </c>
      <c r="AV147" s="6755"/>
      <c r="AW147" s="2422">
        <f t="shared" si="168"/>
        <v>106.86</v>
      </c>
      <c r="AX147" s="6755"/>
      <c r="AY147" s="6755">
        <v>24.58</v>
      </c>
      <c r="AZ147" s="6755"/>
      <c r="BA147" s="1070">
        <f t="shared" ref="BA147" si="188">+AQ147+AU147+AY147</f>
        <v>131.44</v>
      </c>
      <c r="BB147" s="565"/>
      <c r="BC147" s="492">
        <f t="shared" ref="BC147" si="189">BA147+AM147</f>
        <v>131.44</v>
      </c>
      <c r="BD147" s="565"/>
      <c r="BE147" s="235">
        <f t="shared" ref="BE147" si="190">+AW147+AY147</f>
        <v>131.44</v>
      </c>
      <c r="BF147" s="1137"/>
      <c r="BI147" s="25"/>
      <c r="BJ147" s="25"/>
    </row>
    <row r="148" spans="2:62" ht="18.75" hidden="1" customHeight="1" x14ac:dyDescent="0.25">
      <c r="B148" s="1629" t="s">
        <v>2061</v>
      </c>
      <c r="C148" s="5158" t="s">
        <v>352</v>
      </c>
      <c r="D148" s="565"/>
      <c r="E148" s="2907"/>
      <c r="F148" s="2907"/>
      <c r="G148" s="2907"/>
      <c r="H148" s="2908"/>
      <c r="I148" s="3578">
        <f t="shared" si="115"/>
        <v>0</v>
      </c>
      <c r="J148" s="3566"/>
      <c r="K148" s="2907"/>
      <c r="L148" s="565"/>
      <c r="M148" s="1070">
        <f t="shared" si="164"/>
        <v>0</v>
      </c>
      <c r="N148" s="565"/>
      <c r="O148" s="2907"/>
      <c r="P148" s="565"/>
      <c r="Q148" s="1548">
        <f t="shared" si="152"/>
        <v>0</v>
      </c>
      <c r="R148" s="565"/>
      <c r="S148" s="2907"/>
      <c r="T148" s="565"/>
      <c r="U148" s="3578">
        <f t="shared" si="117"/>
        <v>0</v>
      </c>
      <c r="V148" s="565"/>
      <c r="W148" s="2907">
        <v>9.89</v>
      </c>
      <c r="X148" s="565"/>
      <c r="Y148" s="1070">
        <f t="shared" si="175"/>
        <v>9.89</v>
      </c>
      <c r="Z148" s="565"/>
      <c r="AA148" s="492">
        <f t="shared" si="176"/>
        <v>9.89</v>
      </c>
      <c r="AB148" s="565"/>
      <c r="AC148" s="2907"/>
      <c r="AD148" s="565"/>
      <c r="AE148" s="2422">
        <f t="shared" si="165"/>
        <v>9.89</v>
      </c>
      <c r="AF148" s="565"/>
      <c r="AG148" s="2907"/>
      <c r="AH148" s="565"/>
      <c r="AI148" s="2422">
        <f t="shared" si="166"/>
        <v>9.89</v>
      </c>
      <c r="AJ148" s="565"/>
      <c r="AK148" s="2907"/>
      <c r="AL148" s="565"/>
      <c r="AM148" s="1070">
        <f t="shared" si="177"/>
        <v>0</v>
      </c>
      <c r="AN148" s="565"/>
      <c r="AO148" s="2422">
        <f t="shared" si="178"/>
        <v>9.89</v>
      </c>
      <c r="AP148" s="565"/>
      <c r="AQ148" s="2907"/>
      <c r="AR148" s="565"/>
      <c r="AS148" s="2422">
        <f t="shared" si="167"/>
        <v>9.89</v>
      </c>
      <c r="AT148" s="565"/>
      <c r="AU148" s="2907"/>
      <c r="AV148" s="565"/>
      <c r="AW148" s="2422">
        <f t="shared" si="168"/>
        <v>9.89</v>
      </c>
      <c r="AX148" s="565"/>
      <c r="AY148" s="2907"/>
      <c r="AZ148" s="565"/>
      <c r="BA148" s="1070">
        <f t="shared" si="173"/>
        <v>0</v>
      </c>
      <c r="BB148" s="565"/>
      <c r="BC148" s="492">
        <f t="shared" si="174"/>
        <v>0</v>
      </c>
      <c r="BD148" s="565"/>
      <c r="BE148" s="235">
        <f t="shared" si="169"/>
        <v>9.89</v>
      </c>
      <c r="BF148" s="1137"/>
      <c r="BI148" s="25"/>
      <c r="BJ148" s="25"/>
    </row>
    <row r="149" spans="2:62" s="4487" customFormat="1" ht="18.75" customHeight="1" x14ac:dyDescent="0.25">
      <c r="B149" s="1629" t="s">
        <v>2337</v>
      </c>
      <c r="C149" s="7599" t="s">
        <v>352</v>
      </c>
      <c r="D149" s="7614"/>
      <c r="E149" s="7614">
        <v>1.82</v>
      </c>
      <c r="F149" s="7614"/>
      <c r="G149" s="7614"/>
      <c r="H149" s="7615"/>
      <c r="I149" s="6757"/>
      <c r="J149" s="7616"/>
      <c r="K149" s="7614"/>
      <c r="L149" s="7614"/>
      <c r="M149" s="7606"/>
      <c r="N149" s="7614"/>
      <c r="O149" s="7614"/>
      <c r="P149" s="7614"/>
      <c r="Q149" s="7108"/>
      <c r="R149" s="7614"/>
      <c r="S149" s="7614"/>
      <c r="T149" s="7614"/>
      <c r="U149" s="6757"/>
      <c r="V149" s="7614"/>
      <c r="W149" s="7614"/>
      <c r="X149" s="7614"/>
      <c r="Y149" s="7606"/>
      <c r="Z149" s="7614"/>
      <c r="AA149" s="7475"/>
      <c r="AB149" s="7614"/>
      <c r="AC149" s="7614"/>
      <c r="AD149" s="7614"/>
      <c r="AE149" s="7605"/>
      <c r="AF149" s="7614"/>
      <c r="AG149" s="7614"/>
      <c r="AH149" s="7614"/>
      <c r="AI149" s="7605"/>
      <c r="AJ149" s="7614"/>
      <c r="AK149" s="7614"/>
      <c r="AL149" s="7614"/>
      <c r="AM149" s="7606"/>
      <c r="AN149" s="7614"/>
      <c r="AO149" s="7605"/>
      <c r="AP149" s="7614"/>
      <c r="AQ149" s="7614"/>
      <c r="AR149" s="7614"/>
      <c r="AS149" s="7605"/>
      <c r="AT149" s="7614"/>
      <c r="AU149" s="7614"/>
      <c r="AV149" s="7614"/>
      <c r="AW149" s="7605"/>
      <c r="AX149" s="7614"/>
      <c r="AY149" s="7614"/>
      <c r="AZ149" s="7614"/>
      <c r="BA149" s="7606"/>
      <c r="BB149" s="7614"/>
      <c r="BC149" s="7475"/>
      <c r="BD149" s="7614"/>
      <c r="BE149" s="7298"/>
      <c r="BF149" s="1137"/>
      <c r="BI149" s="25"/>
      <c r="BJ149" s="25"/>
    </row>
    <row r="150" spans="2:62" hidden="1" x14ac:dyDescent="0.25">
      <c r="B150" s="1629" t="s">
        <v>843</v>
      </c>
      <c r="C150" s="5158" t="s">
        <v>352</v>
      </c>
      <c r="D150" s="565"/>
      <c r="E150" s="2907"/>
      <c r="F150" s="2907"/>
      <c r="G150" s="2907"/>
      <c r="H150" s="2908"/>
      <c r="I150" s="3578">
        <f t="shared" si="115"/>
        <v>0</v>
      </c>
      <c r="J150" s="3566"/>
      <c r="K150" s="2907"/>
      <c r="L150" s="565"/>
      <c r="M150" s="1070">
        <f t="shared" si="164"/>
        <v>0</v>
      </c>
      <c r="N150" s="565"/>
      <c r="O150" s="2907"/>
      <c r="P150" s="565"/>
      <c r="Q150" s="1548">
        <f t="shared" si="152"/>
        <v>0</v>
      </c>
      <c r="R150" s="565"/>
      <c r="S150" s="2907"/>
      <c r="T150" s="565"/>
      <c r="U150" s="3578">
        <f t="shared" si="117"/>
        <v>0</v>
      </c>
      <c r="V150" s="565"/>
      <c r="W150" s="2907">
        <v>27.2</v>
      </c>
      <c r="X150" s="565"/>
      <c r="Y150" s="1070">
        <f t="shared" si="170"/>
        <v>27.2</v>
      </c>
      <c r="Z150" s="565"/>
      <c r="AA150" s="765">
        <f t="shared" si="171"/>
        <v>27.2</v>
      </c>
      <c r="AB150" s="565"/>
      <c r="AC150" s="2907"/>
      <c r="AD150" s="565"/>
      <c r="AE150" s="2422">
        <f t="shared" si="165"/>
        <v>27.2</v>
      </c>
      <c r="AF150" s="565"/>
      <c r="AG150" s="2907"/>
      <c r="AH150" s="565"/>
      <c r="AI150" s="2422">
        <f t="shared" si="166"/>
        <v>27.2</v>
      </c>
      <c r="AJ150" s="565"/>
      <c r="AK150" s="2907"/>
      <c r="AL150" s="565"/>
      <c r="AM150" s="1070">
        <f t="shared" si="177"/>
        <v>0</v>
      </c>
      <c r="AN150" s="565"/>
      <c r="AO150" s="2422">
        <f t="shared" si="178"/>
        <v>27.2</v>
      </c>
      <c r="AP150" s="565"/>
      <c r="AQ150" s="2907"/>
      <c r="AR150" s="565"/>
      <c r="AS150" s="2422">
        <f t="shared" si="167"/>
        <v>27.2</v>
      </c>
      <c r="AT150" s="565"/>
      <c r="AU150" s="2907"/>
      <c r="AV150" s="565"/>
      <c r="AW150" s="2422">
        <f t="shared" si="168"/>
        <v>27.2</v>
      </c>
      <c r="AX150" s="565"/>
      <c r="AY150" s="2907"/>
      <c r="AZ150" s="565"/>
      <c r="BA150" s="1070">
        <f t="shared" si="173"/>
        <v>0</v>
      </c>
      <c r="BB150" s="565"/>
      <c r="BC150" s="492">
        <f t="shared" si="174"/>
        <v>0</v>
      </c>
      <c r="BD150" s="565"/>
      <c r="BE150" s="235">
        <f>+AW150+AY150</f>
        <v>27.2</v>
      </c>
      <c r="BF150" s="1137"/>
      <c r="BI150" s="25"/>
      <c r="BJ150" s="25"/>
    </row>
    <row r="151" spans="2:62" s="4487" customFormat="1" hidden="1" x14ac:dyDescent="0.25">
      <c r="B151" s="6753" t="s">
        <v>2216</v>
      </c>
      <c r="C151" s="6750" t="s">
        <v>352</v>
      </c>
      <c r="D151" s="6755"/>
      <c r="E151" s="6755"/>
      <c r="F151" s="6755"/>
      <c r="G151" s="6755"/>
      <c r="H151" s="6756"/>
      <c r="I151" s="6757"/>
      <c r="J151" s="6758"/>
      <c r="K151" s="6755"/>
      <c r="L151" s="6755"/>
      <c r="M151" s="6759"/>
      <c r="N151" s="6755"/>
      <c r="O151" s="6755"/>
      <c r="P151" s="6755"/>
      <c r="Q151" s="6760"/>
      <c r="R151" s="6755"/>
      <c r="S151" s="6755"/>
      <c r="T151" s="6755"/>
      <c r="U151" s="6757"/>
      <c r="V151" s="6755"/>
      <c r="W151" s="6755"/>
      <c r="X151" s="6755"/>
      <c r="Y151" s="6759"/>
      <c r="Z151" s="6755"/>
      <c r="AA151" s="6764"/>
      <c r="AB151" s="6755"/>
      <c r="AC151" s="6755"/>
      <c r="AD151" s="6755"/>
      <c r="AE151" s="6762"/>
      <c r="AF151" s="6755"/>
      <c r="AG151" s="6755"/>
      <c r="AH151" s="6755"/>
      <c r="AI151" s="6762"/>
      <c r="AJ151" s="6755"/>
      <c r="AK151" s="6755"/>
      <c r="AL151" s="6755"/>
      <c r="AM151" s="6759"/>
      <c r="AN151" s="6755"/>
      <c r="AO151" s="6762"/>
      <c r="AP151" s="6755"/>
      <c r="AQ151" s="6755">
        <v>2500</v>
      </c>
      <c r="AR151" s="6755"/>
      <c r="AS151" s="2422">
        <f t="shared" si="167"/>
        <v>2500</v>
      </c>
      <c r="AT151" s="6755"/>
      <c r="AU151" s="6755">
        <v>499</v>
      </c>
      <c r="AV151" s="6755"/>
      <c r="AW151" s="2422">
        <f t="shared" si="168"/>
        <v>2999</v>
      </c>
      <c r="AX151" s="6755"/>
      <c r="AY151" s="6755"/>
      <c r="AZ151" s="6755"/>
      <c r="BA151" s="1070">
        <f t="shared" ref="BA151" si="191">+AQ151+AU151+AY151</f>
        <v>2999</v>
      </c>
      <c r="BB151" s="565"/>
      <c r="BC151" s="492">
        <f t="shared" ref="BC151" si="192">BA151+AM151</f>
        <v>2999</v>
      </c>
      <c r="BD151" s="565"/>
      <c r="BE151" s="235">
        <f>+AW151+AY151</f>
        <v>2999</v>
      </c>
      <c r="BF151" s="1137"/>
      <c r="BI151" s="25"/>
      <c r="BJ151" s="25"/>
    </row>
    <row r="152" spans="2:62" hidden="1" x14ac:dyDescent="0.25">
      <c r="B152" s="1629" t="s">
        <v>1409</v>
      </c>
      <c r="C152" s="5158" t="s">
        <v>352</v>
      </c>
      <c r="D152" s="565"/>
      <c r="E152" s="2907"/>
      <c r="F152" s="2907"/>
      <c r="G152" s="2907"/>
      <c r="H152" s="2908"/>
      <c r="I152" s="3578">
        <f t="shared" si="115"/>
        <v>0</v>
      </c>
      <c r="J152" s="3566"/>
      <c r="K152" s="2907"/>
      <c r="L152" s="565"/>
      <c r="M152" s="1070">
        <f t="shared" si="164"/>
        <v>0</v>
      </c>
      <c r="N152" s="565"/>
      <c r="O152" s="2907"/>
      <c r="P152" s="565"/>
      <c r="Q152" s="1548">
        <f t="shared" si="152"/>
        <v>0</v>
      </c>
      <c r="R152" s="565"/>
      <c r="S152" s="2907"/>
      <c r="T152" s="565"/>
      <c r="U152" s="3578">
        <f t="shared" si="117"/>
        <v>0</v>
      </c>
      <c r="V152" s="565"/>
      <c r="W152" s="2907"/>
      <c r="X152" s="565"/>
      <c r="Y152" s="1070">
        <f t="shared" si="170"/>
        <v>0</v>
      </c>
      <c r="Z152" s="565"/>
      <c r="AA152" s="492">
        <f t="shared" si="171"/>
        <v>0</v>
      </c>
      <c r="AB152" s="565"/>
      <c r="AC152" s="2907"/>
      <c r="AD152" s="565"/>
      <c r="AE152" s="2422">
        <f t="shared" si="165"/>
        <v>0</v>
      </c>
      <c r="AF152" s="565"/>
      <c r="AG152" s="2907"/>
      <c r="AH152" s="565"/>
      <c r="AI152" s="2422">
        <f t="shared" si="166"/>
        <v>0</v>
      </c>
      <c r="AJ152" s="565"/>
      <c r="AK152" s="2907">
        <v>34.31</v>
      </c>
      <c r="AL152" s="565"/>
      <c r="AM152" s="1070">
        <f t="shared" si="177"/>
        <v>34.31</v>
      </c>
      <c r="AN152" s="565"/>
      <c r="AO152" s="2422">
        <f t="shared" si="178"/>
        <v>34.31</v>
      </c>
      <c r="AP152" s="565"/>
      <c r="AQ152" s="2907"/>
      <c r="AR152" s="565"/>
      <c r="AS152" s="2422">
        <f t="shared" si="167"/>
        <v>34.31</v>
      </c>
      <c r="AT152" s="565"/>
      <c r="AU152" s="2907"/>
      <c r="AV152" s="565"/>
      <c r="AW152" s="2422">
        <f t="shared" si="168"/>
        <v>34.31</v>
      </c>
      <c r="AX152" s="565"/>
      <c r="AY152" s="2907"/>
      <c r="AZ152" s="565"/>
      <c r="BA152" s="1070">
        <f t="shared" si="173"/>
        <v>0</v>
      </c>
      <c r="BB152" s="565"/>
      <c r="BC152" s="492">
        <f t="shared" si="174"/>
        <v>34.31</v>
      </c>
      <c r="BD152" s="565"/>
      <c r="BE152" s="235">
        <f t="shared" ref="BE152:BE170" si="193">+AW152+AY152</f>
        <v>34.31</v>
      </c>
      <c r="BF152" s="1137"/>
      <c r="BI152" s="25"/>
      <c r="BJ152" s="25"/>
    </row>
    <row r="153" spans="2:62" s="4487" customFormat="1" hidden="1" x14ac:dyDescent="0.25">
      <c r="B153" s="6753" t="s">
        <v>2000</v>
      </c>
      <c r="C153" s="6902" t="s">
        <v>352</v>
      </c>
      <c r="D153" s="6755"/>
      <c r="E153" s="6755"/>
      <c r="F153" s="6755"/>
      <c r="G153" s="6755"/>
      <c r="H153" s="6756"/>
      <c r="I153" s="6757"/>
      <c r="J153" s="6758"/>
      <c r="K153" s="6755"/>
      <c r="L153" s="6755"/>
      <c r="M153" s="6759"/>
      <c r="N153" s="6755"/>
      <c r="O153" s="6755"/>
      <c r="P153" s="6755"/>
      <c r="Q153" s="6760"/>
      <c r="R153" s="6755"/>
      <c r="S153" s="6755"/>
      <c r="T153" s="6755"/>
      <c r="U153" s="6757"/>
      <c r="V153" s="6755"/>
      <c r="W153" s="6755"/>
      <c r="X153" s="6755"/>
      <c r="Y153" s="6759"/>
      <c r="Z153" s="6755"/>
      <c r="AA153" s="6761"/>
      <c r="AB153" s="6755"/>
      <c r="AC153" s="6755"/>
      <c r="AD153" s="6755"/>
      <c r="AE153" s="6762"/>
      <c r="AF153" s="6755"/>
      <c r="AG153" s="6755"/>
      <c r="AH153" s="6755"/>
      <c r="AI153" s="6762"/>
      <c r="AJ153" s="6755"/>
      <c r="AK153" s="6755"/>
      <c r="AL153" s="6755"/>
      <c r="AM153" s="6759"/>
      <c r="AN153" s="6755"/>
      <c r="AO153" s="6762"/>
      <c r="AP153" s="6755"/>
      <c r="AQ153" s="6755">
        <v>19.36</v>
      </c>
      <c r="AR153" s="6755"/>
      <c r="AS153" s="2422">
        <f t="shared" si="167"/>
        <v>19.36</v>
      </c>
      <c r="AT153" s="6755"/>
      <c r="AU153" s="6755"/>
      <c r="AV153" s="6755"/>
      <c r="AW153" s="2422">
        <f t="shared" si="168"/>
        <v>19.36</v>
      </c>
      <c r="AX153" s="6755"/>
      <c r="AY153" s="6755"/>
      <c r="AZ153" s="6755"/>
      <c r="BA153" s="1070">
        <f t="shared" ref="BA153" si="194">+AQ153+AU153+AY153</f>
        <v>19.36</v>
      </c>
      <c r="BB153" s="565"/>
      <c r="BC153" s="492">
        <f t="shared" ref="BC153" si="195">BA153+AM153</f>
        <v>19.36</v>
      </c>
      <c r="BD153" s="565"/>
      <c r="BE153" s="235">
        <f t="shared" ref="BE153" si="196">+AW153+AY153</f>
        <v>19.36</v>
      </c>
      <c r="BF153" s="1137"/>
      <c r="BI153" s="25"/>
      <c r="BJ153" s="25"/>
    </row>
    <row r="154" spans="2:62" s="2564" customFormat="1" hidden="1" x14ac:dyDescent="0.25">
      <c r="B154" s="1629" t="s">
        <v>1844</v>
      </c>
      <c r="C154" s="5158" t="s">
        <v>352</v>
      </c>
      <c r="D154" s="565"/>
      <c r="E154" s="2907"/>
      <c r="F154" s="2907"/>
      <c r="G154" s="2907">
        <v>0.41</v>
      </c>
      <c r="H154" s="2908"/>
      <c r="I154" s="3578">
        <f t="shared" si="115"/>
        <v>0.41</v>
      </c>
      <c r="J154" s="3566"/>
      <c r="K154" s="2907">
        <v>0.41</v>
      </c>
      <c r="L154" s="565"/>
      <c r="M154" s="1070">
        <f t="shared" si="164"/>
        <v>0.82</v>
      </c>
      <c r="N154" s="565"/>
      <c r="O154" s="2907">
        <v>0.41</v>
      </c>
      <c r="P154" s="565"/>
      <c r="Q154" s="1548">
        <f t="shared" si="152"/>
        <v>1.23</v>
      </c>
      <c r="R154" s="565"/>
      <c r="S154" s="2907">
        <v>0.41</v>
      </c>
      <c r="T154" s="565"/>
      <c r="U154" s="3578">
        <f t="shared" si="117"/>
        <v>1.64</v>
      </c>
      <c r="V154" s="565"/>
      <c r="W154" s="2907">
        <v>0.41</v>
      </c>
      <c r="X154" s="565"/>
      <c r="Y154" s="1070">
        <f t="shared" si="170"/>
        <v>1.23</v>
      </c>
      <c r="Z154" s="565"/>
      <c r="AA154" s="492">
        <f t="shared" si="171"/>
        <v>2.0499999999999998</v>
      </c>
      <c r="AB154" s="565"/>
      <c r="AC154" s="2907"/>
      <c r="AD154" s="565"/>
      <c r="AE154" s="2422">
        <f t="shared" si="165"/>
        <v>2.0499999999999998</v>
      </c>
      <c r="AF154" s="565"/>
      <c r="AG154" s="2907"/>
      <c r="AH154" s="565"/>
      <c r="AI154" s="2422">
        <f t="shared" si="166"/>
        <v>2.0499999999999998</v>
      </c>
      <c r="AJ154" s="565"/>
      <c r="AK154" s="2907"/>
      <c r="AL154" s="565"/>
      <c r="AM154" s="1070">
        <f t="shared" si="177"/>
        <v>0</v>
      </c>
      <c r="AN154" s="565"/>
      <c r="AO154" s="2422">
        <f t="shared" si="178"/>
        <v>2.0499999999999998</v>
      </c>
      <c r="AP154" s="565"/>
      <c r="AQ154" s="2907"/>
      <c r="AR154" s="565"/>
      <c r="AS154" s="2422">
        <f t="shared" si="167"/>
        <v>2.0499999999999998</v>
      </c>
      <c r="AT154" s="565"/>
      <c r="AU154" s="2907"/>
      <c r="AV154" s="565"/>
      <c r="AW154" s="2422">
        <f t="shared" si="168"/>
        <v>2.0499999999999998</v>
      </c>
      <c r="AX154" s="565"/>
      <c r="AY154" s="2907"/>
      <c r="AZ154" s="565"/>
      <c r="BA154" s="1070">
        <f t="shared" si="173"/>
        <v>0</v>
      </c>
      <c r="BB154" s="565"/>
      <c r="BC154" s="492">
        <f t="shared" si="174"/>
        <v>0</v>
      </c>
      <c r="BD154" s="565"/>
      <c r="BE154" s="235">
        <f t="shared" si="193"/>
        <v>2.0499999999999998</v>
      </c>
      <c r="BF154" s="1137"/>
      <c r="BI154" s="25"/>
      <c r="BJ154" s="25"/>
    </row>
    <row r="155" spans="2:62" hidden="1" x14ac:dyDescent="0.25">
      <c r="B155" s="1629" t="s">
        <v>2197</v>
      </c>
      <c r="C155" s="5158" t="s">
        <v>352</v>
      </c>
      <c r="D155" s="565"/>
      <c r="E155" s="2907"/>
      <c r="F155" s="2907"/>
      <c r="G155" s="2907"/>
      <c r="H155" s="2908"/>
      <c r="I155" s="3578">
        <f t="shared" si="115"/>
        <v>0</v>
      </c>
      <c r="J155" s="3566"/>
      <c r="K155" s="2907"/>
      <c r="L155" s="565"/>
      <c r="M155" s="1070">
        <f t="shared" si="164"/>
        <v>0</v>
      </c>
      <c r="N155" s="565"/>
      <c r="O155" s="2907"/>
      <c r="P155" s="565"/>
      <c r="Q155" s="1548">
        <f t="shared" si="152"/>
        <v>0</v>
      </c>
      <c r="R155" s="565"/>
      <c r="S155" s="2907"/>
      <c r="T155" s="565"/>
      <c r="U155" s="3578">
        <f t="shared" si="117"/>
        <v>0</v>
      </c>
      <c r="V155" s="565"/>
      <c r="W155" s="2907"/>
      <c r="X155" s="565"/>
      <c r="Y155" s="1070">
        <f t="shared" si="170"/>
        <v>0</v>
      </c>
      <c r="Z155" s="565"/>
      <c r="AA155" s="492">
        <f t="shared" si="171"/>
        <v>0</v>
      </c>
      <c r="AB155" s="565"/>
      <c r="AC155" s="2907"/>
      <c r="AD155" s="565"/>
      <c r="AE155" s="2422">
        <f t="shared" si="165"/>
        <v>0</v>
      </c>
      <c r="AF155" s="565"/>
      <c r="AG155" s="2907"/>
      <c r="AH155" s="565"/>
      <c r="AI155" s="2422">
        <f t="shared" si="166"/>
        <v>0</v>
      </c>
      <c r="AJ155" s="565"/>
      <c r="AK155" s="2907">
        <v>14.68</v>
      </c>
      <c r="AL155" s="565"/>
      <c r="AM155" s="1070">
        <f t="shared" si="177"/>
        <v>14.68</v>
      </c>
      <c r="AN155" s="565"/>
      <c r="AO155" s="2422">
        <f t="shared" si="178"/>
        <v>14.68</v>
      </c>
      <c r="AP155" s="565"/>
      <c r="AQ155" s="2907"/>
      <c r="AR155" s="565"/>
      <c r="AS155" s="2422">
        <f t="shared" si="167"/>
        <v>14.68</v>
      </c>
      <c r="AT155" s="565"/>
      <c r="AU155" s="2907"/>
      <c r="AV155" s="565"/>
      <c r="AW155" s="2422">
        <f t="shared" si="168"/>
        <v>14.68</v>
      </c>
      <c r="AX155" s="565"/>
      <c r="AY155" s="2907"/>
      <c r="AZ155" s="565"/>
      <c r="BA155" s="1070">
        <f t="shared" si="173"/>
        <v>0</v>
      </c>
      <c r="BB155" s="565"/>
      <c r="BC155" s="492">
        <f t="shared" si="174"/>
        <v>14.68</v>
      </c>
      <c r="BD155" s="565"/>
      <c r="BE155" s="235">
        <f t="shared" si="193"/>
        <v>14.68</v>
      </c>
      <c r="BF155" s="1137"/>
      <c r="BI155" s="25"/>
      <c r="BJ155" s="25"/>
    </row>
    <row r="156" spans="2:62" s="2493" customFormat="1" hidden="1" x14ac:dyDescent="0.25">
      <c r="B156" s="1629" t="s">
        <v>2062</v>
      </c>
      <c r="C156" s="5158" t="s">
        <v>352</v>
      </c>
      <c r="D156" s="565"/>
      <c r="E156" s="2907"/>
      <c r="F156" s="2907"/>
      <c r="G156" s="2907"/>
      <c r="H156" s="2908"/>
      <c r="I156" s="3578">
        <f t="shared" si="115"/>
        <v>0</v>
      </c>
      <c r="J156" s="3566"/>
      <c r="K156" s="2907"/>
      <c r="L156" s="565"/>
      <c r="M156" s="1070">
        <f t="shared" si="164"/>
        <v>0</v>
      </c>
      <c r="N156" s="565"/>
      <c r="O156" s="2907"/>
      <c r="P156" s="565"/>
      <c r="Q156" s="1548">
        <f t="shared" si="152"/>
        <v>0</v>
      </c>
      <c r="R156" s="565"/>
      <c r="S156" s="2907"/>
      <c r="T156" s="565"/>
      <c r="U156" s="3578">
        <f t="shared" si="117"/>
        <v>0</v>
      </c>
      <c r="V156" s="565"/>
      <c r="W156" s="2907">
        <v>24.3</v>
      </c>
      <c r="X156" s="565"/>
      <c r="Y156" s="1070">
        <f t="shared" si="170"/>
        <v>24.3</v>
      </c>
      <c r="Z156" s="565"/>
      <c r="AA156" s="492">
        <f t="shared" si="171"/>
        <v>24.3</v>
      </c>
      <c r="AB156" s="565"/>
      <c r="AC156" s="2907">
        <v>69.524000000000001</v>
      </c>
      <c r="AD156" s="565"/>
      <c r="AE156" s="2422">
        <f t="shared" si="165"/>
        <v>93.823999999999998</v>
      </c>
      <c r="AF156" s="565"/>
      <c r="AG156" s="2907"/>
      <c r="AH156" s="565"/>
      <c r="AI156" s="2422">
        <f t="shared" si="166"/>
        <v>93.823999999999998</v>
      </c>
      <c r="AJ156" s="565"/>
      <c r="AK156" s="2907">
        <v>96.010999999999996</v>
      </c>
      <c r="AL156" s="565"/>
      <c r="AM156" s="1070">
        <f t="shared" si="177"/>
        <v>165.535</v>
      </c>
      <c r="AN156" s="565"/>
      <c r="AO156" s="2422">
        <f t="shared" si="178"/>
        <v>189.83499999999998</v>
      </c>
      <c r="AP156" s="565"/>
      <c r="AQ156" s="2907">
        <v>93.967999999999989</v>
      </c>
      <c r="AR156" s="565"/>
      <c r="AS156" s="2422">
        <f t="shared" si="167"/>
        <v>283.803</v>
      </c>
      <c r="AT156" s="565"/>
      <c r="AU156" s="2907"/>
      <c r="AV156" s="565"/>
      <c r="AW156" s="2422">
        <f t="shared" si="168"/>
        <v>283.803</v>
      </c>
      <c r="AX156" s="565"/>
      <c r="AY156" s="2907"/>
      <c r="AZ156" s="565"/>
      <c r="BA156" s="1070">
        <f t="shared" si="173"/>
        <v>93.967999999999989</v>
      </c>
      <c r="BB156" s="565"/>
      <c r="BC156" s="492">
        <f t="shared" si="174"/>
        <v>259.50299999999999</v>
      </c>
      <c r="BD156" s="565"/>
      <c r="BE156" s="235">
        <f t="shared" si="193"/>
        <v>283.803</v>
      </c>
      <c r="BF156" s="1137"/>
      <c r="BI156" s="25"/>
      <c r="BJ156" s="25"/>
    </row>
    <row r="157" spans="2:62" s="2095" customFormat="1" hidden="1" x14ac:dyDescent="0.25">
      <c r="B157" s="1629" t="s">
        <v>2060</v>
      </c>
      <c r="C157" s="2893" t="s">
        <v>352</v>
      </c>
      <c r="D157" s="565"/>
      <c r="E157" s="2907"/>
      <c r="F157" s="2907"/>
      <c r="G157" s="2907"/>
      <c r="H157" s="2908"/>
      <c r="I157" s="3578">
        <f t="shared" si="115"/>
        <v>0</v>
      </c>
      <c r="J157" s="3566"/>
      <c r="K157" s="2907"/>
      <c r="L157" s="565"/>
      <c r="M157" s="1070">
        <f t="shared" si="164"/>
        <v>0</v>
      </c>
      <c r="N157" s="565"/>
      <c r="O157" s="2907"/>
      <c r="P157" s="565"/>
      <c r="Q157" s="1548">
        <f t="shared" si="152"/>
        <v>0</v>
      </c>
      <c r="R157" s="565"/>
      <c r="S157" s="2907"/>
      <c r="T157" s="565"/>
      <c r="U157" s="3578">
        <f t="shared" si="117"/>
        <v>0</v>
      </c>
      <c r="V157" s="565"/>
      <c r="W157" s="2907">
        <v>19.77</v>
      </c>
      <c r="X157" s="565"/>
      <c r="Y157" s="1070">
        <f t="shared" si="170"/>
        <v>19.77</v>
      </c>
      <c r="Z157" s="565"/>
      <c r="AA157" s="492">
        <f t="shared" si="171"/>
        <v>19.77</v>
      </c>
      <c r="AB157" s="565"/>
      <c r="AC157" s="2907"/>
      <c r="AD157" s="565"/>
      <c r="AE157" s="2422">
        <f t="shared" ref="AE157" si="197">+AA157+AC157</f>
        <v>19.77</v>
      </c>
      <c r="AF157" s="565"/>
      <c r="AG157" s="2907"/>
      <c r="AH157" s="565"/>
      <c r="AI157" s="2422">
        <f t="shared" si="166"/>
        <v>19.77</v>
      </c>
      <c r="AJ157" s="565"/>
      <c r="AK157" s="2907"/>
      <c r="AL157" s="565"/>
      <c r="AM157" s="1070">
        <f t="shared" si="177"/>
        <v>0</v>
      </c>
      <c r="AN157" s="565"/>
      <c r="AO157" s="2422">
        <f t="shared" si="178"/>
        <v>19.77</v>
      </c>
      <c r="AP157" s="565"/>
      <c r="AQ157" s="2907"/>
      <c r="AR157" s="565"/>
      <c r="AS157" s="2422">
        <f t="shared" si="167"/>
        <v>19.77</v>
      </c>
      <c r="AT157" s="565"/>
      <c r="AU157" s="2907">
        <v>14.41</v>
      </c>
      <c r="AV157" s="565"/>
      <c r="AW157" s="2422">
        <f t="shared" si="168"/>
        <v>34.18</v>
      </c>
      <c r="AX157" s="565"/>
      <c r="AY157" s="2907"/>
      <c r="AZ157" s="565"/>
      <c r="BA157" s="1070">
        <f t="shared" si="173"/>
        <v>14.41</v>
      </c>
      <c r="BB157" s="565"/>
      <c r="BC157" s="492">
        <f t="shared" si="174"/>
        <v>14.41</v>
      </c>
      <c r="BD157" s="565"/>
      <c r="BE157" s="235">
        <f t="shared" si="193"/>
        <v>34.18</v>
      </c>
      <c r="BF157" s="1137"/>
      <c r="BI157" s="25"/>
      <c r="BJ157" s="25"/>
    </row>
    <row r="158" spans="2:62" s="4487" customFormat="1" hidden="1" x14ac:dyDescent="0.25">
      <c r="B158" s="6753" t="s">
        <v>2268</v>
      </c>
      <c r="C158" s="7599" t="s">
        <v>352</v>
      </c>
      <c r="D158" s="6755"/>
      <c r="E158" s="6755"/>
      <c r="F158" s="6755"/>
      <c r="G158" s="6755"/>
      <c r="H158" s="6756"/>
      <c r="I158" s="6757"/>
      <c r="J158" s="6758"/>
      <c r="K158" s="6755"/>
      <c r="L158" s="6755"/>
      <c r="M158" s="6759"/>
      <c r="N158" s="6755"/>
      <c r="O158" s="6755"/>
      <c r="P158" s="6755"/>
      <c r="Q158" s="6760"/>
      <c r="R158" s="6755"/>
      <c r="S158" s="6755"/>
      <c r="T158" s="6755"/>
      <c r="U158" s="6757"/>
      <c r="V158" s="6755"/>
      <c r="W158" s="6755"/>
      <c r="X158" s="6755"/>
      <c r="Y158" s="6759"/>
      <c r="Z158" s="6755"/>
      <c r="AA158" s="6761"/>
      <c r="AB158" s="6755"/>
      <c r="AC158" s="6755"/>
      <c r="AD158" s="6755"/>
      <c r="AE158" s="6762"/>
      <c r="AF158" s="6755"/>
      <c r="AG158" s="6755"/>
      <c r="AH158" s="6755"/>
      <c r="AI158" s="6762"/>
      <c r="AJ158" s="6755"/>
      <c r="AK158" s="6755"/>
      <c r="AL158" s="6755"/>
      <c r="AM158" s="6759"/>
      <c r="AN158" s="6755"/>
      <c r="AO158" s="6762"/>
      <c r="AP158" s="6755"/>
      <c r="AQ158" s="6755"/>
      <c r="AR158" s="6755"/>
      <c r="AS158" s="6762"/>
      <c r="AT158" s="6755"/>
      <c r="AU158" s="6755"/>
      <c r="AV158" s="6755"/>
      <c r="AW158" s="6762"/>
      <c r="AX158" s="6755"/>
      <c r="AY158" s="6755">
        <v>1</v>
      </c>
      <c r="AZ158" s="6755"/>
      <c r="BA158" s="1070">
        <f t="shared" ref="BA158" si="198">+AQ158+AU158+AY158</f>
        <v>1</v>
      </c>
      <c r="BB158" s="565"/>
      <c r="BC158" s="492">
        <f t="shared" ref="BC158" si="199">BA158+AM158</f>
        <v>1</v>
      </c>
      <c r="BD158" s="565"/>
      <c r="BE158" s="235">
        <f t="shared" ref="BE158" si="200">+AW158+AY158</f>
        <v>1</v>
      </c>
      <c r="BF158" s="1137"/>
      <c r="BI158" s="25"/>
      <c r="BJ158" s="25"/>
    </row>
    <row r="159" spans="2:62" hidden="1" x14ac:dyDescent="0.25">
      <c r="B159" s="1629" t="s">
        <v>1225</v>
      </c>
      <c r="C159" s="2893" t="s">
        <v>352</v>
      </c>
      <c r="D159" s="1271"/>
      <c r="E159" s="2907"/>
      <c r="F159" s="2907"/>
      <c r="G159" s="2907"/>
      <c r="H159" s="2908"/>
      <c r="I159" s="3578">
        <f t="shared" si="115"/>
        <v>0</v>
      </c>
      <c r="J159" s="3566"/>
      <c r="K159" s="2907"/>
      <c r="L159" s="565"/>
      <c r="M159" s="1070">
        <f t="shared" si="164"/>
        <v>0</v>
      </c>
      <c r="N159" s="565"/>
      <c r="O159" s="2907"/>
      <c r="P159" s="565"/>
      <c r="Q159" s="1548">
        <f t="shared" si="152"/>
        <v>0</v>
      </c>
      <c r="R159" s="1271"/>
      <c r="S159" s="2907">
        <v>990.53</v>
      </c>
      <c r="T159" s="565"/>
      <c r="U159" s="3578">
        <f t="shared" si="117"/>
        <v>990.53</v>
      </c>
      <c r="V159" s="1271"/>
      <c r="W159" s="2907">
        <v>881.71</v>
      </c>
      <c r="X159" s="565"/>
      <c r="Y159" s="1070">
        <f t="shared" si="170"/>
        <v>1872.24</v>
      </c>
      <c r="Z159" s="565"/>
      <c r="AA159" s="492">
        <f t="shared" si="171"/>
        <v>1872.24</v>
      </c>
      <c r="AB159" s="1271"/>
      <c r="AC159" s="2907">
        <v>98.21</v>
      </c>
      <c r="AD159" s="565"/>
      <c r="AE159" s="2422">
        <f t="shared" ref="AE159:AE170" si="201">+AA159+AC159</f>
        <v>1970.45</v>
      </c>
      <c r="AF159" s="1271"/>
      <c r="AG159" s="2907">
        <v>377.04</v>
      </c>
      <c r="AH159" s="565"/>
      <c r="AI159" s="2422">
        <f t="shared" si="166"/>
        <v>2347.4900000000002</v>
      </c>
      <c r="AJ159" s="1271"/>
      <c r="AK159" s="2907"/>
      <c r="AL159" s="1271"/>
      <c r="AM159" s="1070">
        <f t="shared" si="172"/>
        <v>475.25</v>
      </c>
      <c r="AN159" s="565"/>
      <c r="AO159" s="2422">
        <f t="shared" ref="AO159:AO175" si="202">AI159+AK159</f>
        <v>2347.4900000000002</v>
      </c>
      <c r="AP159" s="1271"/>
      <c r="AQ159" s="2907"/>
      <c r="AR159" s="565"/>
      <c r="AS159" s="2422">
        <f t="shared" si="167"/>
        <v>2347.4900000000002</v>
      </c>
      <c r="AT159" s="1271"/>
      <c r="AU159" s="2907"/>
      <c r="AV159" s="565"/>
      <c r="AW159" s="2422">
        <f t="shared" si="168"/>
        <v>2347.4900000000002</v>
      </c>
      <c r="AX159" s="1271"/>
      <c r="AY159" s="2907"/>
      <c r="AZ159" s="1271"/>
      <c r="BA159" s="1070">
        <f t="shared" si="173"/>
        <v>0</v>
      </c>
      <c r="BB159" s="565"/>
      <c r="BC159" s="492">
        <f t="shared" si="174"/>
        <v>475.25</v>
      </c>
      <c r="BD159" s="565"/>
      <c r="BE159" s="235">
        <f t="shared" si="193"/>
        <v>2347.4900000000002</v>
      </c>
      <c r="BF159" s="1137"/>
      <c r="BI159" s="25"/>
      <c r="BJ159" s="25"/>
    </row>
    <row r="160" spans="2:62" x14ac:dyDescent="0.25">
      <c r="B160" s="3579" t="s">
        <v>1044</v>
      </c>
      <c r="C160" s="3470" t="s">
        <v>352</v>
      </c>
      <c r="D160" s="565"/>
      <c r="E160" s="2904">
        <f>+E161+E162</f>
        <v>1985.4099999999999</v>
      </c>
      <c r="F160" s="2904"/>
      <c r="G160" s="2904">
        <f>+G161+G162</f>
        <v>2363.3899999999994</v>
      </c>
      <c r="H160" s="2905"/>
      <c r="I160" s="3580">
        <f t="shared" ref="I160:I170" si="203">+E160+G160</f>
        <v>4348.7999999999993</v>
      </c>
      <c r="J160" s="3567"/>
      <c r="K160" s="2904">
        <f>+K161+K162</f>
        <v>1740.03</v>
      </c>
      <c r="L160" s="1271"/>
      <c r="M160" s="2231">
        <f t="shared" si="164"/>
        <v>6088.829999999999</v>
      </c>
      <c r="N160" s="1271"/>
      <c r="O160" s="2904">
        <f>+O161+O162</f>
        <v>1795.7100000000003</v>
      </c>
      <c r="P160" s="1271"/>
      <c r="Q160" s="1548">
        <f t="shared" si="152"/>
        <v>7884.5399999999991</v>
      </c>
      <c r="R160" s="565"/>
      <c r="S160" s="2904">
        <f>+S161+S162</f>
        <v>2242.7199999999998</v>
      </c>
      <c r="T160" s="1271"/>
      <c r="U160" s="3578">
        <f t="shared" si="117"/>
        <v>10127.259999999998</v>
      </c>
      <c r="V160" s="565"/>
      <c r="W160" s="2904">
        <f>+W161+W162</f>
        <v>2195.0300000000002</v>
      </c>
      <c r="X160" s="1271"/>
      <c r="Y160" s="2231">
        <f t="shared" si="170"/>
        <v>6233.4600000000009</v>
      </c>
      <c r="Z160" s="189"/>
      <c r="AA160" s="492">
        <f t="shared" si="171"/>
        <v>12322.29</v>
      </c>
      <c r="AB160" s="565"/>
      <c r="AC160" s="2904">
        <f>+AC161+AC162</f>
        <v>1789.28</v>
      </c>
      <c r="AD160" s="1271"/>
      <c r="AE160" s="1271">
        <f t="shared" si="201"/>
        <v>14111.570000000002</v>
      </c>
      <c r="AF160" s="565"/>
      <c r="AG160" s="2904">
        <f>+AG161+AG162</f>
        <v>2248.61</v>
      </c>
      <c r="AH160" s="1271"/>
      <c r="AI160" s="1271">
        <f t="shared" si="166"/>
        <v>16360.180000000002</v>
      </c>
      <c r="AJ160" s="565"/>
      <c r="AK160" s="2904">
        <f>+AK161+AK162</f>
        <v>2496.41</v>
      </c>
      <c r="AL160" s="565"/>
      <c r="AM160" s="2231">
        <f t="shared" si="172"/>
        <v>6534.3</v>
      </c>
      <c r="AN160" s="1271"/>
      <c r="AO160" s="1271">
        <f t="shared" si="202"/>
        <v>18856.590000000004</v>
      </c>
      <c r="AP160" s="565"/>
      <c r="AQ160" s="2904">
        <f>+AQ161+AQ162</f>
        <v>2182.02</v>
      </c>
      <c r="AR160" s="1271"/>
      <c r="AS160" s="1271">
        <f t="shared" ref="AS160:AS170" si="204">+AO160+AQ160</f>
        <v>21038.610000000004</v>
      </c>
      <c r="AT160" s="565"/>
      <c r="AU160" s="2904">
        <f>+AU161+AU162</f>
        <v>2194.7799999999993</v>
      </c>
      <c r="AV160" s="1271"/>
      <c r="AW160" s="1271">
        <f t="shared" si="168"/>
        <v>23233.390000000003</v>
      </c>
      <c r="AX160" s="565"/>
      <c r="AY160" s="2904">
        <f>+AY161+AY162</f>
        <v>2484.5900000000006</v>
      </c>
      <c r="AZ160" s="565"/>
      <c r="BA160" s="2231">
        <f t="shared" si="173"/>
        <v>6861.3899999999994</v>
      </c>
      <c r="BB160" s="189"/>
      <c r="BC160" s="492">
        <f t="shared" si="174"/>
        <v>13395.689999999999</v>
      </c>
      <c r="BD160" s="1271"/>
      <c r="BE160" s="1271">
        <f t="shared" si="193"/>
        <v>25717.980000000003</v>
      </c>
      <c r="BF160" s="1137"/>
      <c r="BI160" s="25"/>
      <c r="BJ160" s="25"/>
    </row>
    <row r="161" spans="1:62" x14ac:dyDescent="0.25">
      <c r="B161" s="1759" t="s">
        <v>1067</v>
      </c>
      <c r="C161" s="2893" t="s">
        <v>352</v>
      </c>
      <c r="D161" s="1057"/>
      <c r="E161" s="2907">
        <v>1693.77</v>
      </c>
      <c r="F161" s="2907"/>
      <c r="G161" s="2907">
        <v>2316.2999999999993</v>
      </c>
      <c r="H161" s="2908"/>
      <c r="I161" s="3578">
        <f t="shared" si="203"/>
        <v>4010.0699999999993</v>
      </c>
      <c r="J161" s="3566"/>
      <c r="K161" s="2907">
        <v>1493.97</v>
      </c>
      <c r="L161" s="565"/>
      <c r="M161" s="1070">
        <f t="shared" si="164"/>
        <v>5504.0399999999991</v>
      </c>
      <c r="N161" s="565"/>
      <c r="O161" s="2907">
        <v>1795.7100000000003</v>
      </c>
      <c r="P161" s="565"/>
      <c r="Q161" s="1548">
        <f t="shared" si="152"/>
        <v>7299.7499999999991</v>
      </c>
      <c r="R161" s="1057"/>
      <c r="S161" s="2907">
        <v>1943.35</v>
      </c>
      <c r="T161" s="565"/>
      <c r="U161" s="3578">
        <f t="shared" si="117"/>
        <v>9243.0999999999985</v>
      </c>
      <c r="V161" s="1057"/>
      <c r="W161" s="2907">
        <v>2195.0300000000002</v>
      </c>
      <c r="X161" s="565"/>
      <c r="Y161" s="1070">
        <f t="shared" si="170"/>
        <v>5934.09</v>
      </c>
      <c r="Z161" s="565"/>
      <c r="AA161" s="492">
        <f t="shared" si="171"/>
        <v>11438.13</v>
      </c>
      <c r="AB161" s="1057"/>
      <c r="AC161" s="2907">
        <v>1789.28</v>
      </c>
      <c r="AD161" s="565"/>
      <c r="AE161" s="2422">
        <f t="shared" si="201"/>
        <v>13227.41</v>
      </c>
      <c r="AF161" s="1057"/>
      <c r="AG161" s="2907">
        <v>1948.72</v>
      </c>
      <c r="AH161" s="565"/>
      <c r="AI161" s="2422">
        <f t="shared" si="166"/>
        <v>15176.13</v>
      </c>
      <c r="AJ161" s="1057"/>
      <c r="AK161" s="2907">
        <v>2496.41</v>
      </c>
      <c r="AL161" s="1057"/>
      <c r="AM161" s="1070">
        <f t="shared" si="172"/>
        <v>6234.41</v>
      </c>
      <c r="AN161" s="565"/>
      <c r="AO161" s="2422">
        <f t="shared" si="202"/>
        <v>17672.54</v>
      </c>
      <c r="AP161" s="1057"/>
      <c r="AQ161" s="2907">
        <v>2182.02</v>
      </c>
      <c r="AR161" s="565"/>
      <c r="AS161" s="2422">
        <f t="shared" si="204"/>
        <v>19854.560000000001</v>
      </c>
      <c r="AT161" s="1057"/>
      <c r="AU161" s="2907">
        <v>2194.7799999999993</v>
      </c>
      <c r="AV161" s="565"/>
      <c r="AW161" s="2422">
        <f t="shared" si="168"/>
        <v>22049.34</v>
      </c>
      <c r="AX161" s="1057"/>
      <c r="AY161" s="2907">
        <v>2484.5900000000006</v>
      </c>
      <c r="AZ161" s="1057"/>
      <c r="BA161" s="1070">
        <f t="shared" si="173"/>
        <v>6861.3899999999994</v>
      </c>
      <c r="BB161" s="565"/>
      <c r="BC161" s="492">
        <f t="shared" si="174"/>
        <v>13095.8</v>
      </c>
      <c r="BD161" s="565"/>
      <c r="BE161" s="235">
        <f t="shared" si="193"/>
        <v>24533.93</v>
      </c>
      <c r="BF161" s="1137"/>
      <c r="BI161" s="25"/>
      <c r="BJ161" s="25"/>
    </row>
    <row r="162" spans="1:62" x14ac:dyDescent="0.25">
      <c r="B162" s="1759" t="s">
        <v>1068</v>
      </c>
      <c r="C162" s="2893" t="s">
        <v>352</v>
      </c>
      <c r="D162" s="328"/>
      <c r="E162" s="3268">
        <v>291.64</v>
      </c>
      <c r="F162" s="3268"/>
      <c r="G162" s="3268">
        <v>47.09</v>
      </c>
      <c r="H162" s="2905"/>
      <c r="I162" s="3580">
        <f t="shared" si="203"/>
        <v>338.73</v>
      </c>
      <c r="J162" s="1867"/>
      <c r="K162" s="3268">
        <v>246.06</v>
      </c>
      <c r="L162" s="1057"/>
      <c r="M162" s="1070">
        <f t="shared" si="164"/>
        <v>584.79</v>
      </c>
      <c r="N162" s="1057"/>
      <c r="O162" s="3268"/>
      <c r="P162" s="1057"/>
      <c r="Q162" s="1548">
        <f t="shared" si="152"/>
        <v>584.79</v>
      </c>
      <c r="R162" s="328"/>
      <c r="S162" s="3268">
        <v>299.37</v>
      </c>
      <c r="T162" s="1057"/>
      <c r="U162" s="3578">
        <f t="shared" si="117"/>
        <v>884.16</v>
      </c>
      <c r="V162" s="328"/>
      <c r="W162" s="3268"/>
      <c r="X162" s="1057"/>
      <c r="Y162" s="1070">
        <f t="shared" si="170"/>
        <v>299.37</v>
      </c>
      <c r="Z162" s="565"/>
      <c r="AA162" s="492">
        <f t="shared" si="171"/>
        <v>884.16</v>
      </c>
      <c r="AB162" s="328"/>
      <c r="AC162" s="3268"/>
      <c r="AD162" s="1057"/>
      <c r="AE162" s="2422">
        <f t="shared" si="201"/>
        <v>884.16</v>
      </c>
      <c r="AF162" s="328"/>
      <c r="AG162" s="3268">
        <v>299.89</v>
      </c>
      <c r="AH162" s="1057"/>
      <c r="AI162" s="2422">
        <f t="shared" si="166"/>
        <v>1184.05</v>
      </c>
      <c r="AJ162" s="328"/>
      <c r="AK162" s="3268"/>
      <c r="AL162" s="328"/>
      <c r="AM162" s="1070">
        <f t="shared" si="172"/>
        <v>299.89</v>
      </c>
      <c r="AN162" s="1057"/>
      <c r="AO162" s="2422">
        <f t="shared" si="202"/>
        <v>1184.05</v>
      </c>
      <c r="AP162" s="328"/>
      <c r="AQ162" s="3268"/>
      <c r="AR162" s="1057"/>
      <c r="AS162" s="2422">
        <f t="shared" si="204"/>
        <v>1184.05</v>
      </c>
      <c r="AT162" s="328"/>
      <c r="AU162" s="3268"/>
      <c r="AV162" s="1057"/>
      <c r="AW162" s="2422">
        <f t="shared" si="168"/>
        <v>1184.05</v>
      </c>
      <c r="AX162" s="328"/>
      <c r="AY162" s="3268"/>
      <c r="AZ162" s="328"/>
      <c r="BA162" s="1070">
        <f t="shared" si="173"/>
        <v>0</v>
      </c>
      <c r="BB162" s="565"/>
      <c r="BC162" s="492">
        <f t="shared" si="174"/>
        <v>299.89</v>
      </c>
      <c r="BD162" s="1057"/>
      <c r="BE162" s="235">
        <f t="shared" si="193"/>
        <v>1184.05</v>
      </c>
      <c r="BF162" s="1137"/>
      <c r="BI162" s="25"/>
      <c r="BJ162" s="25"/>
    </row>
    <row r="163" spans="1:62" s="4487" customFormat="1" ht="16.5" thickBot="1" x14ac:dyDescent="0.3">
      <c r="B163" s="7028" t="s">
        <v>2267</v>
      </c>
      <c r="C163" s="7023" t="s">
        <v>352</v>
      </c>
      <c r="D163" s="7027"/>
      <c r="E163" s="6777">
        <v>95.97</v>
      </c>
      <c r="F163" s="6777"/>
      <c r="G163" s="6777"/>
      <c r="H163" s="6766"/>
      <c r="I163" s="7025"/>
      <c r="J163" s="7026"/>
      <c r="K163" s="6777"/>
      <c r="L163" s="6777"/>
      <c r="M163" s="6759"/>
      <c r="N163" s="6777"/>
      <c r="O163" s="6777"/>
      <c r="P163" s="6777"/>
      <c r="Q163" s="6760"/>
      <c r="R163" s="7027"/>
      <c r="S163" s="6777"/>
      <c r="T163" s="6777"/>
      <c r="U163" s="6757"/>
      <c r="V163" s="7027"/>
      <c r="W163" s="6777"/>
      <c r="X163" s="6777"/>
      <c r="Y163" s="6759"/>
      <c r="Z163" s="6755"/>
      <c r="AA163" s="6761"/>
      <c r="AB163" s="7027"/>
      <c r="AC163" s="6777"/>
      <c r="AD163" s="6777"/>
      <c r="AE163" s="6762"/>
      <c r="AF163" s="7027"/>
      <c r="AG163" s="6777"/>
      <c r="AH163" s="6777"/>
      <c r="AI163" s="6762"/>
      <c r="AJ163" s="7027"/>
      <c r="AK163" s="6777"/>
      <c r="AL163" s="7027"/>
      <c r="AM163" s="6759"/>
      <c r="AN163" s="6777"/>
      <c r="AO163" s="6762"/>
      <c r="AP163" s="7027"/>
      <c r="AQ163" s="6777"/>
      <c r="AR163" s="6777"/>
      <c r="AS163" s="6762"/>
      <c r="AT163" s="7027"/>
      <c r="AU163" s="6777"/>
      <c r="AV163" s="6777"/>
      <c r="AW163" s="6762"/>
      <c r="AX163" s="7027"/>
      <c r="AY163" s="6777">
        <v>139.88</v>
      </c>
      <c r="AZ163" s="7027"/>
      <c r="BA163" s="1070">
        <f t="shared" ref="BA163" si="205">+AQ163+AU163+AY163</f>
        <v>139.88</v>
      </c>
      <c r="BB163" s="565"/>
      <c r="BC163" s="492">
        <f t="shared" ref="BC163" si="206">BA163+AM163</f>
        <v>139.88</v>
      </c>
      <c r="BD163" s="1057"/>
      <c r="BE163" s="235">
        <f t="shared" ref="BE163" si="207">+AW163+AY163</f>
        <v>139.88</v>
      </c>
      <c r="BF163" s="1137"/>
      <c r="BI163" s="25"/>
      <c r="BJ163" s="25"/>
    </row>
    <row r="164" spans="1:62" hidden="1" x14ac:dyDescent="0.25">
      <c r="B164" s="3699" t="s">
        <v>2266</v>
      </c>
      <c r="C164" s="2893" t="s">
        <v>352</v>
      </c>
      <c r="D164" s="328"/>
      <c r="E164" s="3268"/>
      <c r="F164" s="3268"/>
      <c r="G164" s="3268"/>
      <c r="H164" s="2905"/>
      <c r="I164" s="3581">
        <f t="shared" si="203"/>
        <v>0</v>
      </c>
      <c r="J164" s="1867"/>
      <c r="K164" s="3268"/>
      <c r="L164" s="1057"/>
      <c r="M164" s="1070">
        <f t="shared" si="164"/>
        <v>0</v>
      </c>
      <c r="N164" s="1057"/>
      <c r="O164" s="3268">
        <v>29.34</v>
      </c>
      <c r="P164" s="1057"/>
      <c r="Q164" s="1548">
        <f t="shared" si="152"/>
        <v>29.34</v>
      </c>
      <c r="R164" s="328"/>
      <c r="S164" s="3268"/>
      <c r="T164" s="1057"/>
      <c r="U164" s="3578">
        <f t="shared" si="117"/>
        <v>29.34</v>
      </c>
      <c r="V164" s="328"/>
      <c r="W164" s="3268"/>
      <c r="X164" s="1057"/>
      <c r="Y164" s="1070">
        <f t="shared" si="170"/>
        <v>29.34</v>
      </c>
      <c r="Z164" s="565"/>
      <c r="AA164" s="492">
        <f t="shared" si="171"/>
        <v>29.34</v>
      </c>
      <c r="AB164" s="328"/>
      <c r="AC164" s="3268"/>
      <c r="AD164" s="1057"/>
      <c r="AE164" s="2422">
        <f t="shared" si="201"/>
        <v>29.34</v>
      </c>
      <c r="AF164" s="328"/>
      <c r="AG164" s="3268"/>
      <c r="AH164" s="1057"/>
      <c r="AI164" s="2422">
        <f t="shared" si="166"/>
        <v>29.34</v>
      </c>
      <c r="AJ164" s="328"/>
      <c r="AK164" s="3268"/>
      <c r="AL164" s="328"/>
      <c r="AM164" s="1070">
        <f t="shared" si="172"/>
        <v>0</v>
      </c>
      <c r="AN164" s="1057"/>
      <c r="AO164" s="2422">
        <f t="shared" si="202"/>
        <v>29.34</v>
      </c>
      <c r="AP164" s="328"/>
      <c r="AQ164" s="3268"/>
      <c r="AR164" s="1057"/>
      <c r="AS164" s="2422">
        <f t="shared" si="204"/>
        <v>29.34</v>
      </c>
      <c r="AT164" s="328"/>
      <c r="AU164" s="3268"/>
      <c r="AV164" s="1057"/>
      <c r="AW164" s="2422">
        <f t="shared" si="168"/>
        <v>29.34</v>
      </c>
      <c r="AX164" s="328"/>
      <c r="AY164" s="3268"/>
      <c r="AZ164" s="328"/>
      <c r="BA164" s="1070">
        <f t="shared" si="173"/>
        <v>0</v>
      </c>
      <c r="BB164" s="565"/>
      <c r="BC164" s="492">
        <f t="shared" si="174"/>
        <v>0</v>
      </c>
      <c r="BD164" s="1057"/>
      <c r="BE164" s="235">
        <f t="shared" si="193"/>
        <v>29.34</v>
      </c>
      <c r="BF164" s="1137"/>
      <c r="BI164" s="25"/>
      <c r="BJ164" s="25"/>
    </row>
    <row r="165" spans="1:62" hidden="1" x14ac:dyDescent="0.25">
      <c r="A165" s="1646"/>
      <c r="B165" s="1629" t="s">
        <v>2016</v>
      </c>
      <c r="C165" s="2893" t="s">
        <v>352</v>
      </c>
      <c r="D165" s="7600"/>
      <c r="E165" s="3073"/>
      <c r="F165" s="3073"/>
      <c r="G165" s="3073"/>
      <c r="H165" s="3582"/>
      <c r="I165" s="3581">
        <f t="shared" si="203"/>
        <v>0</v>
      </c>
      <c r="J165" s="3568"/>
      <c r="K165" s="3073"/>
      <c r="L165" s="328"/>
      <c r="M165" s="1070">
        <f t="shared" si="164"/>
        <v>0</v>
      </c>
      <c r="N165" s="328"/>
      <c r="O165" s="2978">
        <v>30</v>
      </c>
      <c r="P165" s="328"/>
      <c r="Q165" s="1548">
        <f t="shared" si="152"/>
        <v>30</v>
      </c>
      <c r="R165" s="1054"/>
      <c r="S165" s="3073"/>
      <c r="T165" s="328"/>
      <c r="U165" s="3578">
        <f t="shared" si="117"/>
        <v>30</v>
      </c>
      <c r="V165" s="1054"/>
      <c r="W165" s="3073"/>
      <c r="X165" s="328"/>
      <c r="Y165" s="1070">
        <f t="shared" si="170"/>
        <v>30</v>
      </c>
      <c r="Z165" s="565"/>
      <c r="AA165" s="492">
        <f t="shared" si="171"/>
        <v>30</v>
      </c>
      <c r="AB165" s="2237"/>
      <c r="AC165" s="3073"/>
      <c r="AD165" s="328"/>
      <c r="AE165" s="2422">
        <f t="shared" si="201"/>
        <v>30</v>
      </c>
      <c r="AF165" s="2237"/>
      <c r="AG165" s="3073"/>
      <c r="AH165" s="328"/>
      <c r="AI165" s="2422">
        <f t="shared" si="166"/>
        <v>30</v>
      </c>
      <c r="AJ165" s="2237"/>
      <c r="AK165" s="3073"/>
      <c r="AL165" s="2237"/>
      <c r="AM165" s="1070">
        <f t="shared" si="172"/>
        <v>0</v>
      </c>
      <c r="AN165" s="328"/>
      <c r="AO165" s="2422">
        <f t="shared" si="202"/>
        <v>30</v>
      </c>
      <c r="AP165" s="6643"/>
      <c r="AQ165" s="3073"/>
      <c r="AR165" s="328"/>
      <c r="AS165" s="2422">
        <f t="shared" si="204"/>
        <v>30</v>
      </c>
      <c r="AT165" s="2237"/>
      <c r="AU165" s="3073"/>
      <c r="AV165" s="328"/>
      <c r="AW165" s="2422">
        <f t="shared" si="168"/>
        <v>30</v>
      </c>
      <c r="AX165" s="6957"/>
      <c r="AY165" s="3073"/>
      <c r="AZ165" s="2237"/>
      <c r="BA165" s="1070">
        <f t="shared" si="173"/>
        <v>0</v>
      </c>
      <c r="BB165" s="565"/>
      <c r="BC165" s="492">
        <f t="shared" si="174"/>
        <v>0</v>
      </c>
      <c r="BD165" s="328"/>
      <c r="BE165" s="235">
        <f t="shared" si="193"/>
        <v>30</v>
      </c>
      <c r="BF165" s="1137"/>
      <c r="BI165" s="25"/>
      <c r="BJ165" s="25"/>
    </row>
    <row r="166" spans="1:62" s="4487" customFormat="1" hidden="1" x14ac:dyDescent="0.25">
      <c r="B166" s="6753" t="s">
        <v>2269</v>
      </c>
      <c r="C166" s="6754"/>
      <c r="D166" s="6698"/>
      <c r="E166" s="7027"/>
      <c r="F166" s="7027"/>
      <c r="G166" s="7027"/>
      <c r="H166" s="6910"/>
      <c r="I166" s="7029"/>
      <c r="J166" s="7030"/>
      <c r="K166" s="7027"/>
      <c r="L166" s="7027"/>
      <c r="M166" s="6759"/>
      <c r="N166" s="7027"/>
      <c r="O166" s="7231"/>
      <c r="P166" s="7027"/>
      <c r="Q166" s="6760"/>
      <c r="R166" s="6698"/>
      <c r="S166" s="7027"/>
      <c r="T166" s="7027"/>
      <c r="U166" s="6757"/>
      <c r="V166" s="6698"/>
      <c r="W166" s="7027"/>
      <c r="X166" s="7027"/>
      <c r="Y166" s="6759"/>
      <c r="Z166" s="6755"/>
      <c r="AA166" s="6761"/>
      <c r="AB166" s="6698"/>
      <c r="AC166" s="7027"/>
      <c r="AD166" s="7027"/>
      <c r="AE166" s="6762"/>
      <c r="AF166" s="6698"/>
      <c r="AG166" s="7027"/>
      <c r="AH166" s="7027"/>
      <c r="AI166" s="6762"/>
      <c r="AJ166" s="6698"/>
      <c r="AK166" s="7027"/>
      <c r="AL166" s="6698"/>
      <c r="AM166" s="6759"/>
      <c r="AN166" s="7027"/>
      <c r="AO166" s="6762"/>
      <c r="AP166" s="6698"/>
      <c r="AQ166" s="7027"/>
      <c r="AR166" s="7027"/>
      <c r="AS166" s="6762"/>
      <c r="AT166" s="6698"/>
      <c r="AU166" s="7027"/>
      <c r="AV166" s="7027"/>
      <c r="AW166" s="6762"/>
      <c r="AX166" s="6698"/>
      <c r="AY166" s="7027">
        <v>3</v>
      </c>
      <c r="AZ166" s="6698"/>
      <c r="BA166" s="1070">
        <f t="shared" si="173"/>
        <v>3</v>
      </c>
      <c r="BB166" s="6755"/>
      <c r="BC166" s="492">
        <f t="shared" si="174"/>
        <v>3</v>
      </c>
      <c r="BD166" s="7027"/>
      <c r="BE166" s="235">
        <f t="shared" si="193"/>
        <v>3</v>
      </c>
      <c r="BF166" s="1137"/>
      <c r="BI166" s="25"/>
      <c r="BJ166" s="25"/>
    </row>
    <row r="167" spans="1:62" s="2841" customFormat="1" hidden="1" x14ac:dyDescent="0.25">
      <c r="B167" s="1629" t="s">
        <v>2015</v>
      </c>
      <c r="C167" s="2893" t="s">
        <v>352</v>
      </c>
      <c r="D167" s="2662"/>
      <c r="E167" s="3073"/>
      <c r="F167" s="3073"/>
      <c r="G167" s="3073"/>
      <c r="H167" s="3582"/>
      <c r="I167" s="3581">
        <f t="shared" si="203"/>
        <v>0</v>
      </c>
      <c r="J167" s="3568"/>
      <c r="K167" s="3073"/>
      <c r="L167" s="2826"/>
      <c r="M167" s="1070">
        <f t="shared" si="164"/>
        <v>0</v>
      </c>
      <c r="N167" s="2826"/>
      <c r="O167" s="2978">
        <v>9.8800000000000008</v>
      </c>
      <c r="P167" s="2826"/>
      <c r="Q167" s="1548">
        <f t="shared" si="152"/>
        <v>9.8800000000000008</v>
      </c>
      <c r="R167" s="2662"/>
      <c r="S167" s="3073"/>
      <c r="T167" s="2826"/>
      <c r="U167" s="3578">
        <f t="shared" si="117"/>
        <v>9.8800000000000008</v>
      </c>
      <c r="V167" s="2662"/>
      <c r="W167" s="3073"/>
      <c r="X167" s="2826"/>
      <c r="Y167" s="2682">
        <f t="shared" si="170"/>
        <v>9.8800000000000008</v>
      </c>
      <c r="Z167" s="565"/>
      <c r="AA167" s="492">
        <f t="shared" si="171"/>
        <v>9.8800000000000008</v>
      </c>
      <c r="AB167" s="2662"/>
      <c r="AC167" s="3073"/>
      <c r="AD167" s="2826"/>
      <c r="AE167" s="2422">
        <f t="shared" si="201"/>
        <v>9.8800000000000008</v>
      </c>
      <c r="AF167" s="2662"/>
      <c r="AG167" s="3073"/>
      <c r="AH167" s="2826"/>
      <c r="AI167" s="2681">
        <f t="shared" si="166"/>
        <v>9.8800000000000008</v>
      </c>
      <c r="AJ167" s="2662"/>
      <c r="AK167" s="3073"/>
      <c r="AL167" s="2662"/>
      <c r="AM167" s="2682">
        <f t="shared" si="172"/>
        <v>0</v>
      </c>
      <c r="AN167" s="2826"/>
      <c r="AO167" s="2422">
        <f t="shared" si="202"/>
        <v>9.8800000000000008</v>
      </c>
      <c r="AP167" s="2662"/>
      <c r="AQ167" s="3073"/>
      <c r="AR167" s="2826"/>
      <c r="AS167" s="2422">
        <f t="shared" si="204"/>
        <v>9.8800000000000008</v>
      </c>
      <c r="AT167" s="2662"/>
      <c r="AU167" s="3073"/>
      <c r="AV167" s="2826"/>
      <c r="AW167" s="2422">
        <f t="shared" si="168"/>
        <v>9.8800000000000008</v>
      </c>
      <c r="AX167" s="2662"/>
      <c r="AY167" s="3073"/>
      <c r="AZ167" s="2662"/>
      <c r="BA167" s="2682">
        <f t="shared" si="173"/>
        <v>0</v>
      </c>
      <c r="BB167" s="565"/>
      <c r="BC167" s="492">
        <f t="shared" ref="BC167" si="208">BA167+AM167</f>
        <v>0</v>
      </c>
      <c r="BD167" s="328"/>
      <c r="BE167" s="235">
        <f t="shared" ref="BE167" si="209">+AW167+AY167</f>
        <v>9.8800000000000008</v>
      </c>
      <c r="BF167" s="1137"/>
      <c r="BI167" s="25"/>
      <c r="BJ167" s="25"/>
    </row>
    <row r="168" spans="1:62" hidden="1" x14ac:dyDescent="0.25">
      <c r="B168" s="1629" t="s">
        <v>1411</v>
      </c>
      <c r="C168" s="2893" t="s">
        <v>352</v>
      </c>
      <c r="D168" s="7600"/>
      <c r="E168" s="7601"/>
      <c r="F168" s="2945"/>
      <c r="G168" s="5558"/>
      <c r="H168" s="3583"/>
      <c r="I168" s="3581">
        <f t="shared" si="203"/>
        <v>0</v>
      </c>
      <c r="J168" s="3469"/>
      <c r="K168" s="5692"/>
      <c r="L168" s="1054"/>
      <c r="M168" s="1070">
        <f t="shared" si="164"/>
        <v>0</v>
      </c>
      <c r="N168" s="1054"/>
      <c r="O168" s="7224"/>
      <c r="P168" s="1054"/>
      <c r="Q168" s="1548">
        <f t="shared" si="152"/>
        <v>0</v>
      </c>
      <c r="R168" s="1054"/>
      <c r="S168" s="5962">
        <v>3.49</v>
      </c>
      <c r="T168" s="1054"/>
      <c r="U168" s="3578">
        <f t="shared" si="117"/>
        <v>3.49</v>
      </c>
      <c r="V168" s="1054"/>
      <c r="W168" s="6015"/>
      <c r="X168" s="2237"/>
      <c r="Y168" s="1070">
        <f t="shared" si="170"/>
        <v>3.49</v>
      </c>
      <c r="Z168" s="565"/>
      <c r="AA168" s="492">
        <f t="shared" si="171"/>
        <v>3.49</v>
      </c>
      <c r="AB168" s="2237"/>
      <c r="AC168" s="6125"/>
      <c r="AD168" s="2237"/>
      <c r="AE168" s="2422">
        <f t="shared" si="201"/>
        <v>3.49</v>
      </c>
      <c r="AF168" s="2237"/>
      <c r="AG168" s="6310"/>
      <c r="AH168" s="2237"/>
      <c r="AI168" s="2422">
        <f t="shared" si="166"/>
        <v>3.49</v>
      </c>
      <c r="AJ168" s="2237"/>
      <c r="AK168" s="6556"/>
      <c r="AL168" s="2237"/>
      <c r="AM168" s="1070">
        <f t="shared" si="172"/>
        <v>0</v>
      </c>
      <c r="AN168" s="2237"/>
      <c r="AO168" s="2422">
        <f t="shared" si="202"/>
        <v>3.49</v>
      </c>
      <c r="AP168" s="6643"/>
      <c r="AQ168" s="6655"/>
      <c r="AR168" s="2237"/>
      <c r="AS168" s="2422">
        <f t="shared" si="204"/>
        <v>3.49</v>
      </c>
      <c r="AT168" s="2237"/>
      <c r="AU168" s="6805"/>
      <c r="AV168" s="2237"/>
      <c r="AW168" s="2422">
        <f t="shared" si="168"/>
        <v>3.49</v>
      </c>
      <c r="AX168" s="6957"/>
      <c r="AY168" s="6964"/>
      <c r="AZ168" s="2237"/>
      <c r="BA168" s="1070">
        <f t="shared" si="173"/>
        <v>0</v>
      </c>
      <c r="BB168" s="565"/>
      <c r="BC168" s="492">
        <f t="shared" si="174"/>
        <v>0</v>
      </c>
      <c r="BD168" s="2237"/>
      <c r="BE168" s="235">
        <f t="shared" si="193"/>
        <v>3.49</v>
      </c>
      <c r="BF168" s="1137"/>
      <c r="BI168" s="25"/>
      <c r="BJ168" s="25"/>
    </row>
    <row r="169" spans="1:62" ht="16.5" hidden="1" thickBot="1" x14ac:dyDescent="0.3">
      <c r="B169" s="1629" t="s">
        <v>2037</v>
      </c>
      <c r="C169" s="2893" t="s">
        <v>352</v>
      </c>
      <c r="D169" s="1544"/>
      <c r="E169" s="7601"/>
      <c r="F169" s="2945"/>
      <c r="G169" s="5558"/>
      <c r="H169" s="3583"/>
      <c r="I169" s="3584">
        <f t="shared" si="203"/>
        <v>0</v>
      </c>
      <c r="J169" s="3469"/>
      <c r="K169" s="5692"/>
      <c r="L169" s="1054"/>
      <c r="M169" s="1070">
        <f t="shared" si="164"/>
        <v>0</v>
      </c>
      <c r="N169" s="1054"/>
      <c r="O169" s="7224"/>
      <c r="P169" s="1054"/>
      <c r="Q169" s="1548">
        <f t="shared" si="152"/>
        <v>0</v>
      </c>
      <c r="R169" s="1544"/>
      <c r="S169" s="5962">
        <v>8.86</v>
      </c>
      <c r="T169" s="1054"/>
      <c r="U169" s="3578">
        <f t="shared" si="117"/>
        <v>8.86</v>
      </c>
      <c r="V169" s="1544"/>
      <c r="W169" s="6015"/>
      <c r="X169" s="2237"/>
      <c r="Y169" s="1070">
        <f t="shared" si="170"/>
        <v>8.86</v>
      </c>
      <c r="Z169" s="565"/>
      <c r="AA169" s="492">
        <f t="shared" si="171"/>
        <v>8.86</v>
      </c>
      <c r="AB169" s="1544"/>
      <c r="AC169" s="6125"/>
      <c r="AD169" s="2237"/>
      <c r="AE169" s="2422">
        <f t="shared" si="201"/>
        <v>8.86</v>
      </c>
      <c r="AF169" s="1544"/>
      <c r="AG169" s="6310"/>
      <c r="AH169" s="2237"/>
      <c r="AI169" s="2422">
        <f t="shared" si="166"/>
        <v>8.86</v>
      </c>
      <c r="AJ169" s="1544"/>
      <c r="AK169" s="6556"/>
      <c r="AL169" s="1544"/>
      <c r="AM169" s="1070">
        <f t="shared" si="172"/>
        <v>0</v>
      </c>
      <c r="AN169" s="2237"/>
      <c r="AO169" s="2422">
        <f t="shared" si="202"/>
        <v>8.86</v>
      </c>
      <c r="AP169" s="1544"/>
      <c r="AQ169" s="6655"/>
      <c r="AR169" s="2237"/>
      <c r="AS169" s="2422">
        <f t="shared" si="204"/>
        <v>8.86</v>
      </c>
      <c r="AT169" s="1544"/>
      <c r="AU169" s="6805"/>
      <c r="AV169" s="2237"/>
      <c r="AW169" s="2422">
        <f t="shared" si="168"/>
        <v>8.86</v>
      </c>
      <c r="AX169" s="1544"/>
      <c r="AY169" s="6964"/>
      <c r="AZ169" s="1544"/>
      <c r="BA169" s="1070">
        <f t="shared" si="173"/>
        <v>0</v>
      </c>
      <c r="BB169" s="565"/>
      <c r="BC169" s="492">
        <f t="shared" si="174"/>
        <v>0</v>
      </c>
      <c r="BD169" s="2237"/>
      <c r="BE169" s="235">
        <f t="shared" si="193"/>
        <v>8.86</v>
      </c>
      <c r="BF169" s="1137"/>
      <c r="BI169" s="25"/>
      <c r="BJ169" s="25"/>
    </row>
    <row r="170" spans="1:62" ht="21" thickBot="1" x14ac:dyDescent="0.3">
      <c r="A170" s="139"/>
      <c r="B170" s="1647" t="s">
        <v>1069</v>
      </c>
      <c r="C170" s="3388" t="s">
        <v>352</v>
      </c>
      <c r="D170" s="1272"/>
      <c r="E170" s="1544">
        <v>121.79</v>
      </c>
      <c r="F170" s="1544"/>
      <c r="G170" s="1544">
        <v>155.13999999999999</v>
      </c>
      <c r="H170" s="1553"/>
      <c r="I170" s="1553">
        <f t="shared" si="203"/>
        <v>276.93</v>
      </c>
      <c r="J170" s="3569"/>
      <c r="K170" s="1544">
        <v>95.71</v>
      </c>
      <c r="L170" s="1544"/>
      <c r="M170" s="2231">
        <f t="shared" si="164"/>
        <v>372.64</v>
      </c>
      <c r="N170" s="1544"/>
      <c r="O170" s="1544">
        <v>119.42999999999999</v>
      </c>
      <c r="P170" s="1544"/>
      <c r="Q170" s="1548">
        <f t="shared" si="152"/>
        <v>492.07</v>
      </c>
      <c r="R170" s="1272"/>
      <c r="S170" s="1544">
        <v>148.55000000000001</v>
      </c>
      <c r="T170" s="1544"/>
      <c r="U170" s="3578">
        <f t="shared" si="117"/>
        <v>640.62</v>
      </c>
      <c r="V170" s="1272"/>
      <c r="W170" s="1544">
        <v>157.19</v>
      </c>
      <c r="X170" s="1544"/>
      <c r="Y170" s="2231">
        <f t="shared" si="170"/>
        <v>425.17</v>
      </c>
      <c r="Z170" s="565"/>
      <c r="AA170" s="2844">
        <f t="shared" si="171"/>
        <v>797.81</v>
      </c>
      <c r="AB170" s="1272"/>
      <c r="AC170" s="1544">
        <v>128.69999999999999</v>
      </c>
      <c r="AD170" s="1544"/>
      <c r="AE170" s="1600">
        <f t="shared" si="201"/>
        <v>926.51</v>
      </c>
      <c r="AF170" s="1272"/>
      <c r="AG170" s="1544">
        <v>122.87</v>
      </c>
      <c r="AH170" s="1544"/>
      <c r="AI170" s="1600">
        <f t="shared" si="166"/>
        <v>1049.3800000000001</v>
      </c>
      <c r="AJ170" s="1272"/>
      <c r="AK170" s="1544">
        <v>110.17</v>
      </c>
      <c r="AL170" s="1272"/>
      <c r="AM170" s="2231">
        <f t="shared" si="172"/>
        <v>361.74</v>
      </c>
      <c r="AN170" s="1544"/>
      <c r="AO170" s="1600">
        <f t="shared" si="202"/>
        <v>1159.5500000000002</v>
      </c>
      <c r="AP170" s="1272"/>
      <c r="AQ170" s="1544">
        <v>134.59</v>
      </c>
      <c r="AR170" s="1544"/>
      <c r="AS170" s="1600">
        <f t="shared" si="204"/>
        <v>1294.1400000000001</v>
      </c>
      <c r="AT170" s="1272"/>
      <c r="AU170" s="1544">
        <v>96.22</v>
      </c>
      <c r="AV170" s="1544"/>
      <c r="AW170" s="1600">
        <f t="shared" si="168"/>
        <v>1390.3600000000001</v>
      </c>
      <c r="AX170" s="1272"/>
      <c r="AY170" s="1544">
        <v>133.66999999999999</v>
      </c>
      <c r="AZ170" s="1272"/>
      <c r="BA170" s="2231">
        <f t="shared" si="173"/>
        <v>364.48</v>
      </c>
      <c r="BB170" s="565"/>
      <c r="BC170" s="2844">
        <f t="shared" si="174"/>
        <v>726.22</v>
      </c>
      <c r="BD170" s="1544"/>
      <c r="BE170" s="1600">
        <f t="shared" si="193"/>
        <v>1524.0300000000002</v>
      </c>
      <c r="BF170" s="1137"/>
      <c r="BI170" s="25"/>
      <c r="BJ170" s="25"/>
    </row>
    <row r="171" spans="1:62" ht="26.25" thickBot="1" x14ac:dyDescent="0.35">
      <c r="A171" s="500"/>
      <c r="B171" s="2508" t="s">
        <v>1201</v>
      </c>
      <c r="C171" s="2509" t="s">
        <v>352</v>
      </c>
      <c r="D171" s="2510">
        <f t="shared" ref="D171:E171" si="210">+SUM(D136:D170)-D160</f>
        <v>0</v>
      </c>
      <c r="E171" s="2510">
        <f t="shared" si="210"/>
        <v>2204.9899999999998</v>
      </c>
      <c r="F171" s="2510">
        <f t="shared" ref="F171:P171" si="211">+SUM(F136:F170)-F160</f>
        <v>0</v>
      </c>
      <c r="G171" s="2510">
        <f t="shared" si="211"/>
        <v>2518.9399999999996</v>
      </c>
      <c r="H171" s="2510">
        <f t="shared" si="211"/>
        <v>0</v>
      </c>
      <c r="I171" s="2510">
        <f t="shared" si="211"/>
        <v>4626.1399999999994</v>
      </c>
      <c r="J171" s="3570">
        <f t="shared" si="211"/>
        <v>0</v>
      </c>
      <c r="K171" s="2510">
        <f t="shared" si="211"/>
        <v>1836.1499999999999</v>
      </c>
      <c r="L171" s="2510">
        <f t="shared" si="211"/>
        <v>0</v>
      </c>
      <c r="M171" s="2511">
        <f t="shared" si="211"/>
        <v>6462.29</v>
      </c>
      <c r="N171" s="2510">
        <f t="shared" si="211"/>
        <v>0</v>
      </c>
      <c r="O171" s="2510">
        <f t="shared" si="211"/>
        <v>1984.7700000000007</v>
      </c>
      <c r="P171" s="2510">
        <f t="shared" si="211"/>
        <v>0</v>
      </c>
      <c r="Q171" s="1548">
        <f t="shared" si="152"/>
        <v>8447.0600000000013</v>
      </c>
      <c r="R171" s="2510">
        <f>+SUM(R136:R170)-R160</f>
        <v>0</v>
      </c>
      <c r="S171" s="2510">
        <f>+SUM(S136:S170)-S160</f>
        <v>3394.56</v>
      </c>
      <c r="T171" s="2510">
        <f>+SUM(T136:T170)-T160</f>
        <v>0</v>
      </c>
      <c r="U171" s="3578">
        <f t="shared" ref="U171:U192" si="212">+Q171+S171</f>
        <v>11841.62</v>
      </c>
      <c r="V171" s="2510">
        <f>+SUM(V136:V170)-V160</f>
        <v>0</v>
      </c>
      <c r="W171" s="2510">
        <f>+SUM(W136:W170)-W160</f>
        <v>3315.4999999999995</v>
      </c>
      <c r="X171" s="2510">
        <f>+SUM(X136:X170)-X160</f>
        <v>0</v>
      </c>
      <c r="Y171" s="2511">
        <f t="shared" si="170"/>
        <v>8694.83</v>
      </c>
      <c r="Z171" s="2510">
        <f>+SUM(Z136:Z170)-Z160</f>
        <v>0</v>
      </c>
      <c r="AA171" s="2845">
        <f t="shared" si="171"/>
        <v>15157.119999999999</v>
      </c>
      <c r="AB171" s="2510">
        <f t="shared" ref="AB171:AH171" si="213">+SUM(AB136:AB170)-AB160</f>
        <v>0</v>
      </c>
      <c r="AC171" s="2510">
        <f t="shared" si="213"/>
        <v>2085.7139999999999</v>
      </c>
      <c r="AD171" s="2510">
        <f t="shared" si="213"/>
        <v>0</v>
      </c>
      <c r="AE171" s="2510">
        <f t="shared" si="213"/>
        <v>17242.834000000003</v>
      </c>
      <c r="AF171" s="2510">
        <f t="shared" si="213"/>
        <v>0</v>
      </c>
      <c r="AG171" s="2510">
        <f t="shared" si="213"/>
        <v>2752.81</v>
      </c>
      <c r="AH171" s="2510">
        <f t="shared" si="213"/>
        <v>0</v>
      </c>
      <c r="AI171" s="2510">
        <f t="shared" si="166"/>
        <v>19995.644000000004</v>
      </c>
      <c r="AJ171" s="2510">
        <f>+SUM(AJ136:AJ170)-AJ160</f>
        <v>0</v>
      </c>
      <c r="AK171" s="2510">
        <f>+SUM(AK136:AK170)-AK160</f>
        <v>2751.5810000000001</v>
      </c>
      <c r="AL171" s="2510">
        <f>+SUM(AL136:AL170)-AL160</f>
        <v>0</v>
      </c>
      <c r="AM171" s="2511">
        <f t="shared" si="172"/>
        <v>7590.1049999999996</v>
      </c>
      <c r="AN171" s="2510">
        <f>+SUM(AN136:AN170)-AN160</f>
        <v>0</v>
      </c>
      <c r="AO171" s="2510">
        <f t="shared" si="202"/>
        <v>22747.225000000006</v>
      </c>
      <c r="AP171" s="2510">
        <f t="shared" ref="AP171:AZ171" si="214">+SUM(AP136:AP170)-AP160</f>
        <v>0</v>
      </c>
      <c r="AQ171" s="2510">
        <f t="shared" si="214"/>
        <v>7935.1980000000003</v>
      </c>
      <c r="AR171" s="2510">
        <f t="shared" si="214"/>
        <v>0</v>
      </c>
      <c r="AS171" s="2510">
        <f t="shared" si="214"/>
        <v>30682.422999999992</v>
      </c>
      <c r="AT171" s="2510">
        <f t="shared" si="214"/>
        <v>0</v>
      </c>
      <c r="AU171" s="2510">
        <f t="shared" si="214"/>
        <v>2918.7220000000002</v>
      </c>
      <c r="AV171" s="2510">
        <f t="shared" si="214"/>
        <v>0</v>
      </c>
      <c r="AW171" s="2510">
        <f t="shared" si="214"/>
        <v>33601.145000000004</v>
      </c>
      <c r="AX171" s="2510">
        <f t="shared" si="214"/>
        <v>0</v>
      </c>
      <c r="AY171" s="2510">
        <f t="shared" si="214"/>
        <v>2802.7200000000007</v>
      </c>
      <c r="AZ171" s="2510">
        <f t="shared" si="214"/>
        <v>0</v>
      </c>
      <c r="BA171" s="2511">
        <f t="shared" si="173"/>
        <v>13656.640000000001</v>
      </c>
      <c r="BB171" s="2510">
        <f>+SUM(BB136:BB170)-BB160</f>
        <v>0</v>
      </c>
      <c r="BC171" s="2845">
        <f t="shared" si="174"/>
        <v>21246.745000000003</v>
      </c>
      <c r="BD171" s="2510">
        <f>+SUM(BD136:BD170)-BD160</f>
        <v>0</v>
      </c>
      <c r="BE171" s="2510">
        <f>+SUM(BE136:BE170)-BE160</f>
        <v>36403.864999999991</v>
      </c>
      <c r="BF171" s="1137"/>
      <c r="BI171" s="25"/>
      <c r="BJ171" s="25"/>
    </row>
    <row r="172" spans="1:62" ht="22.5" x14ac:dyDescent="0.25">
      <c r="B172" s="2512" t="s">
        <v>657</v>
      </c>
      <c r="C172" s="193"/>
      <c r="D172" s="2515"/>
      <c r="E172" s="1598"/>
      <c r="F172" s="1598"/>
      <c r="G172" s="1598"/>
      <c r="H172" s="2513"/>
      <c r="I172" s="3585"/>
      <c r="J172" s="3571"/>
      <c r="K172" s="1598"/>
      <c r="L172" s="1598"/>
      <c r="M172" s="2514"/>
      <c r="N172" s="1598"/>
      <c r="O172" s="980"/>
      <c r="P172" s="1598"/>
      <c r="Q172" s="1548">
        <f t="shared" si="152"/>
        <v>0</v>
      </c>
      <c r="R172" s="2515"/>
      <c r="S172" s="1598"/>
      <c r="T172" s="1598"/>
      <c r="U172" s="3578">
        <f t="shared" si="212"/>
        <v>0</v>
      </c>
      <c r="V172" s="2515"/>
      <c r="W172" s="1598"/>
      <c r="X172" s="1598"/>
      <c r="Y172" s="2514"/>
      <c r="Z172" s="2766"/>
      <c r="AA172" s="2766"/>
      <c r="AB172" s="2515"/>
      <c r="AC172" s="1598"/>
      <c r="AD172" s="1598"/>
      <c r="AE172" s="1598"/>
      <c r="AF172" s="2515"/>
      <c r="AG172" s="1598"/>
      <c r="AH172" s="1598"/>
      <c r="AI172" s="2516"/>
      <c r="AJ172" s="2515"/>
      <c r="AK172" s="1598"/>
      <c r="AL172" s="1598"/>
      <c r="AM172" s="2514"/>
      <c r="AN172" s="1598"/>
      <c r="AO172" s="2516"/>
      <c r="AP172" s="2515"/>
      <c r="AQ172" s="1598"/>
      <c r="AR172" s="1598"/>
      <c r="AS172" s="2516"/>
      <c r="AT172" s="2515"/>
      <c r="AU172" s="1598"/>
      <c r="AV172" s="1598"/>
      <c r="AW172" s="2516"/>
      <c r="AX172" s="2515"/>
      <c r="AY172" s="1598"/>
      <c r="AZ172" s="2766"/>
      <c r="BA172" s="2514"/>
      <c r="BB172" s="2766"/>
      <c r="BC172" s="2766"/>
      <c r="BD172" s="2766"/>
      <c r="BE172" s="2766"/>
      <c r="BF172" s="1137"/>
      <c r="BI172" s="25"/>
      <c r="BJ172" s="25"/>
    </row>
    <row r="173" spans="1:62" ht="18.75" x14ac:dyDescent="0.25">
      <c r="B173" s="499" t="s">
        <v>60</v>
      </c>
      <c r="C173" s="3586" t="s">
        <v>352</v>
      </c>
      <c r="D173" s="564"/>
      <c r="E173" s="2904">
        <f>SUM(E174:E176)</f>
        <v>7429.69</v>
      </c>
      <c r="F173" s="2904"/>
      <c r="G173" s="2904">
        <f>SUM(G174:G175)</f>
        <v>0</v>
      </c>
      <c r="H173" s="2905"/>
      <c r="I173" s="3580">
        <f t="shared" ref="I173:I178" si="215">+E173+G173</f>
        <v>7429.69</v>
      </c>
      <c r="J173" s="3567"/>
      <c r="K173" s="2904">
        <f>SUM(K174:K175)</f>
        <v>0</v>
      </c>
      <c r="L173" s="1271"/>
      <c r="M173" s="749">
        <f t="shared" ref="M173:M192" si="216">+E173+G173+K173</f>
        <v>7429.69</v>
      </c>
      <c r="N173" s="1271"/>
      <c r="O173" s="2904">
        <f>SUM(O174:O175)</f>
        <v>0</v>
      </c>
      <c r="P173" s="1271"/>
      <c r="Q173" s="1548">
        <f t="shared" si="152"/>
        <v>7429.69</v>
      </c>
      <c r="R173" s="564"/>
      <c r="S173" s="2904">
        <f>SUM(S174:S175)</f>
        <v>0</v>
      </c>
      <c r="T173" s="1271"/>
      <c r="U173" s="3578">
        <f t="shared" si="212"/>
        <v>7429.69</v>
      </c>
      <c r="V173" s="564"/>
      <c r="W173" s="2904">
        <f>SUM(W174:W175)</f>
        <v>10521.720000000001</v>
      </c>
      <c r="X173" s="1271"/>
      <c r="Y173" s="749">
        <f t="shared" si="170"/>
        <v>10521.720000000001</v>
      </c>
      <c r="Z173" s="564"/>
      <c r="AA173" s="2846">
        <f t="shared" si="171"/>
        <v>17951.41</v>
      </c>
      <c r="AB173" s="564"/>
      <c r="AC173" s="2904">
        <f>SUM(AC174:AC175)</f>
        <v>0</v>
      </c>
      <c r="AD173" s="1271"/>
      <c r="AE173" s="1271">
        <f t="shared" ref="AE173:AE192" si="217">+AA173+AC173</f>
        <v>17951.41</v>
      </c>
      <c r="AF173" s="564"/>
      <c r="AG173" s="2904">
        <f>SUM(AG174:AG175)</f>
        <v>0</v>
      </c>
      <c r="AH173" s="1271"/>
      <c r="AI173" s="2517">
        <f t="shared" ref="AI173:AI192" si="218">+AE173+AG173</f>
        <v>17951.41</v>
      </c>
      <c r="AJ173" s="564"/>
      <c r="AK173" s="2904">
        <f>SUM(AK174:AK175)</f>
        <v>0</v>
      </c>
      <c r="AL173" s="564"/>
      <c r="AM173" s="749">
        <f t="shared" si="172"/>
        <v>0</v>
      </c>
      <c r="AN173" s="1271"/>
      <c r="AO173" s="2517">
        <f t="shared" si="202"/>
        <v>17951.41</v>
      </c>
      <c r="AP173" s="564"/>
      <c r="AQ173" s="2904">
        <f>SUM(AQ174:AQ175)</f>
        <v>3358.47</v>
      </c>
      <c r="AR173" s="1271"/>
      <c r="AS173" s="2517">
        <f t="shared" ref="AS173:AS192" si="219">+AO173+AQ173</f>
        <v>21309.88</v>
      </c>
      <c r="AT173" s="564"/>
      <c r="AU173" s="2904">
        <f>SUM(AU174:AU175)</f>
        <v>7172.4400000000005</v>
      </c>
      <c r="AV173" s="1271"/>
      <c r="AW173" s="2517">
        <f t="shared" ref="AW173:AW195" si="220">+AS173+AU173</f>
        <v>28482.32</v>
      </c>
      <c r="AX173" s="564"/>
      <c r="AY173" s="2904">
        <f>SUM(AY174:AY175)</f>
        <v>0</v>
      </c>
      <c r="AZ173" s="564"/>
      <c r="BA173" s="749">
        <f t="shared" si="173"/>
        <v>10530.91</v>
      </c>
      <c r="BB173" s="564"/>
      <c r="BC173" s="2846">
        <f t="shared" si="174"/>
        <v>10530.91</v>
      </c>
      <c r="BD173" s="1271"/>
      <c r="BE173" s="2517">
        <f t="shared" ref="BE173:BE179" si="221">+AW173+AY173</f>
        <v>28482.32</v>
      </c>
      <c r="BF173" s="1137"/>
      <c r="BI173" s="25"/>
      <c r="BJ173" s="25"/>
    </row>
    <row r="174" spans="1:62" hidden="1" x14ac:dyDescent="0.25">
      <c r="B174" s="8" t="s">
        <v>913</v>
      </c>
      <c r="C174" s="2893" t="s">
        <v>352</v>
      </c>
      <c r="D174" s="564"/>
      <c r="E174" s="2969"/>
      <c r="F174" s="2969"/>
      <c r="G174" s="2969"/>
      <c r="H174" s="2908"/>
      <c r="I174" s="3578">
        <f t="shared" si="215"/>
        <v>0</v>
      </c>
      <c r="J174" s="1615"/>
      <c r="K174" s="2969"/>
      <c r="L174" s="564"/>
      <c r="M174" s="749">
        <f t="shared" si="216"/>
        <v>0</v>
      </c>
      <c r="N174" s="564"/>
      <c r="O174" s="2969"/>
      <c r="P174" s="564"/>
      <c r="Q174" s="1548">
        <f t="shared" si="152"/>
        <v>0</v>
      </c>
      <c r="R174" s="564"/>
      <c r="S174" s="2969"/>
      <c r="T174" s="564"/>
      <c r="U174" s="3578">
        <f t="shared" si="212"/>
        <v>0</v>
      </c>
      <c r="V174" s="564"/>
      <c r="W174" s="2969"/>
      <c r="X174" s="564"/>
      <c r="Y174" s="749">
        <f t="shared" si="170"/>
        <v>0</v>
      </c>
      <c r="Z174" s="564"/>
      <c r="AA174" s="2846">
        <f t="shared" si="171"/>
        <v>0</v>
      </c>
      <c r="AB174" s="564"/>
      <c r="AC174" s="2969"/>
      <c r="AD174" s="564"/>
      <c r="AE174" s="2422">
        <f t="shared" si="217"/>
        <v>0</v>
      </c>
      <c r="AF174" s="564"/>
      <c r="AG174" s="2969"/>
      <c r="AH174" s="564"/>
      <c r="AI174" s="1100">
        <f t="shared" si="218"/>
        <v>0</v>
      </c>
      <c r="AJ174" s="564"/>
      <c r="AK174" s="2969"/>
      <c r="AL174" s="564"/>
      <c r="AM174" s="749">
        <f t="shared" si="172"/>
        <v>0</v>
      </c>
      <c r="AN174" s="564"/>
      <c r="AO174" s="1100">
        <f t="shared" si="202"/>
        <v>0</v>
      </c>
      <c r="AP174" s="564"/>
      <c r="AQ174" s="2969"/>
      <c r="AR174" s="564"/>
      <c r="AS174" s="1100">
        <f t="shared" si="219"/>
        <v>0</v>
      </c>
      <c r="AT174" s="564"/>
      <c r="AU174" s="2969"/>
      <c r="AV174" s="564"/>
      <c r="AW174" s="1100">
        <f t="shared" si="220"/>
        <v>0</v>
      </c>
      <c r="AX174" s="564"/>
      <c r="AY174" s="2969"/>
      <c r="AZ174" s="564"/>
      <c r="BA174" s="749">
        <f t="shared" si="173"/>
        <v>0</v>
      </c>
      <c r="BB174" s="564"/>
      <c r="BC174" s="2846">
        <f t="shared" si="174"/>
        <v>0</v>
      </c>
      <c r="BD174" s="564"/>
      <c r="BE174" s="171">
        <f t="shared" si="221"/>
        <v>0</v>
      </c>
      <c r="BF174" s="1137"/>
      <c r="BI174" s="25"/>
      <c r="BJ174" s="25"/>
    </row>
    <row r="175" spans="1:62" hidden="1" x14ac:dyDescent="0.25">
      <c r="B175" s="8" t="s">
        <v>806</v>
      </c>
      <c r="C175" s="2893" t="s">
        <v>352</v>
      </c>
      <c r="D175" s="564"/>
      <c r="E175" s="2969"/>
      <c r="F175" s="2969"/>
      <c r="G175" s="2969"/>
      <c r="H175" s="2908"/>
      <c r="I175" s="3578">
        <f t="shared" si="215"/>
        <v>0</v>
      </c>
      <c r="J175" s="1615"/>
      <c r="K175" s="2969"/>
      <c r="L175" s="564"/>
      <c r="M175" s="749">
        <f t="shared" si="216"/>
        <v>0</v>
      </c>
      <c r="N175" s="564"/>
      <c r="O175" s="2969"/>
      <c r="P175" s="564"/>
      <c r="Q175" s="1548">
        <f t="shared" si="152"/>
        <v>0</v>
      </c>
      <c r="R175" s="564"/>
      <c r="S175" s="2969"/>
      <c r="T175" s="564"/>
      <c r="U175" s="3578">
        <f t="shared" si="212"/>
        <v>0</v>
      </c>
      <c r="V175" s="564"/>
      <c r="W175" s="2969">
        <v>10521.720000000001</v>
      </c>
      <c r="X175" s="564"/>
      <c r="Y175" s="749">
        <f t="shared" si="170"/>
        <v>10521.720000000001</v>
      </c>
      <c r="Z175" s="564"/>
      <c r="AA175" s="2846">
        <f t="shared" si="171"/>
        <v>10521.720000000001</v>
      </c>
      <c r="AB175" s="564"/>
      <c r="AC175" s="2969"/>
      <c r="AD175" s="564"/>
      <c r="AE175" s="2422">
        <f t="shared" si="217"/>
        <v>10521.720000000001</v>
      </c>
      <c r="AF175" s="564"/>
      <c r="AG175" s="2969"/>
      <c r="AH175" s="564"/>
      <c r="AI175" s="171">
        <f t="shared" si="218"/>
        <v>10521.720000000001</v>
      </c>
      <c r="AJ175" s="564"/>
      <c r="AK175" s="2969"/>
      <c r="AL175" s="564"/>
      <c r="AM175" s="749">
        <f t="shared" si="172"/>
        <v>0</v>
      </c>
      <c r="AN175" s="564"/>
      <c r="AO175" s="1100">
        <f t="shared" si="202"/>
        <v>10521.720000000001</v>
      </c>
      <c r="AP175" s="564"/>
      <c r="AQ175" s="2969">
        <v>3358.47</v>
      </c>
      <c r="AR175" s="564"/>
      <c r="AS175" s="1100">
        <f t="shared" si="219"/>
        <v>13880.19</v>
      </c>
      <c r="AT175" s="564"/>
      <c r="AU175" s="2969">
        <v>7172.4400000000005</v>
      </c>
      <c r="AV175" s="564"/>
      <c r="AW175" s="1100">
        <f t="shared" si="220"/>
        <v>21052.63</v>
      </c>
      <c r="AX175" s="564"/>
      <c r="AY175" s="2969"/>
      <c r="AZ175" s="564"/>
      <c r="BA175" s="749">
        <f t="shared" si="173"/>
        <v>10530.91</v>
      </c>
      <c r="BB175" s="564"/>
      <c r="BC175" s="2846">
        <f t="shared" si="174"/>
        <v>10530.91</v>
      </c>
      <c r="BD175" s="564"/>
      <c r="BE175" s="171">
        <f t="shared" si="221"/>
        <v>21052.63</v>
      </c>
      <c r="BF175" s="1137"/>
      <c r="BI175" s="25"/>
      <c r="BJ175" s="25"/>
    </row>
    <row r="176" spans="1:62" s="4487" customFormat="1" hidden="1" x14ac:dyDescent="0.25">
      <c r="B176" s="8" t="s">
        <v>807</v>
      </c>
      <c r="C176" s="7599" t="s">
        <v>352</v>
      </c>
      <c r="D176" s="4616"/>
      <c r="E176" s="4616">
        <v>7429.69</v>
      </c>
      <c r="F176" s="4616"/>
      <c r="G176" s="4616"/>
      <c r="H176" s="4615"/>
      <c r="I176" s="3578"/>
      <c r="J176" s="4617"/>
      <c r="K176" s="4616"/>
      <c r="L176" s="4616"/>
      <c r="M176" s="4618"/>
      <c r="N176" s="4616"/>
      <c r="O176" s="4616"/>
      <c r="P176" s="4616"/>
      <c r="Q176" s="1548">
        <f t="shared" si="152"/>
        <v>0</v>
      </c>
      <c r="R176" s="4616"/>
      <c r="S176" s="4616"/>
      <c r="T176" s="4616"/>
      <c r="U176" s="3578">
        <f t="shared" si="212"/>
        <v>0</v>
      </c>
      <c r="V176" s="4616"/>
      <c r="W176" s="4616"/>
      <c r="X176" s="4616"/>
      <c r="Y176" s="4618"/>
      <c r="Z176" s="4616"/>
      <c r="AA176" s="2846"/>
      <c r="AB176" s="4616"/>
      <c r="AC176" s="4616"/>
      <c r="AD176" s="4616"/>
      <c r="AE176" s="2422">
        <f t="shared" si="217"/>
        <v>0</v>
      </c>
      <c r="AF176" s="4616"/>
      <c r="AG176" s="4616"/>
      <c r="AH176" s="4616"/>
      <c r="AI176" s="171">
        <f t="shared" si="218"/>
        <v>0</v>
      </c>
      <c r="AJ176" s="4616"/>
      <c r="AK176" s="4616"/>
      <c r="AL176" s="4616"/>
      <c r="AM176" s="749">
        <f t="shared" ref="AM176:AM192" si="222">+AC176+AG176+AK176</f>
        <v>0</v>
      </c>
      <c r="AN176" s="564"/>
      <c r="AO176" s="1100">
        <f t="shared" ref="AO176:AO192" si="223">AI176+AK176</f>
        <v>0</v>
      </c>
      <c r="AP176" s="4616"/>
      <c r="AQ176" s="4616"/>
      <c r="AR176" s="4616"/>
      <c r="AS176" s="1100">
        <f t="shared" si="219"/>
        <v>0</v>
      </c>
      <c r="AT176" s="4616"/>
      <c r="AU176" s="4616"/>
      <c r="AV176" s="4616"/>
      <c r="AW176" s="1100">
        <f t="shared" si="220"/>
        <v>0</v>
      </c>
      <c r="AX176" s="4616"/>
      <c r="AY176" s="4616"/>
      <c r="AZ176" s="4616"/>
      <c r="BA176" s="749">
        <f t="shared" ref="BA176:BA182" si="224">+AQ176+AU176+AY176</f>
        <v>0</v>
      </c>
      <c r="BB176" s="564"/>
      <c r="BC176" s="2846">
        <f t="shared" ref="BC176:BC179" si="225">BA176+AM176</f>
        <v>0</v>
      </c>
      <c r="BD176" s="4616"/>
      <c r="BE176" s="171">
        <f t="shared" si="221"/>
        <v>0</v>
      </c>
      <c r="BF176" s="1137"/>
      <c r="BI176" s="25"/>
      <c r="BJ176" s="25"/>
    </row>
    <row r="177" spans="2:62" s="2664" customFormat="1" x14ac:dyDescent="0.25">
      <c r="B177" s="1098" t="s">
        <v>1945</v>
      </c>
      <c r="C177" s="2893" t="s">
        <v>352</v>
      </c>
      <c r="D177" s="2683"/>
      <c r="E177" s="2969"/>
      <c r="F177" s="2969"/>
      <c r="G177" s="2969"/>
      <c r="H177" s="2908"/>
      <c r="I177" s="3578">
        <f t="shared" si="215"/>
        <v>0</v>
      </c>
      <c r="J177" s="1615"/>
      <c r="K177" s="2969"/>
      <c r="L177" s="2683"/>
      <c r="M177" s="749">
        <f t="shared" si="216"/>
        <v>0</v>
      </c>
      <c r="N177" s="2683"/>
      <c r="O177" s="2969"/>
      <c r="P177" s="2683"/>
      <c r="Q177" s="1548">
        <f t="shared" si="152"/>
        <v>0</v>
      </c>
      <c r="R177" s="2683"/>
      <c r="S177" s="2969"/>
      <c r="T177" s="2683"/>
      <c r="U177" s="3578">
        <f t="shared" si="212"/>
        <v>0</v>
      </c>
      <c r="V177" s="2683"/>
      <c r="W177" s="2969"/>
      <c r="X177" s="2683"/>
      <c r="Y177" s="749">
        <f t="shared" si="170"/>
        <v>0</v>
      </c>
      <c r="Z177" s="2683"/>
      <c r="AA177" s="2846">
        <f t="shared" si="171"/>
        <v>0</v>
      </c>
      <c r="AB177" s="2683"/>
      <c r="AC177" s="2969"/>
      <c r="AD177" s="2683"/>
      <c r="AE177" s="2422">
        <f t="shared" si="217"/>
        <v>0</v>
      </c>
      <c r="AF177" s="2683"/>
      <c r="AG177" s="2969"/>
      <c r="AH177" s="2683"/>
      <c r="AI177" s="171">
        <f t="shared" si="218"/>
        <v>0</v>
      </c>
      <c r="AJ177" s="2683"/>
      <c r="AK177" s="2969"/>
      <c r="AL177" s="2683"/>
      <c r="AM177" s="749">
        <f t="shared" si="222"/>
        <v>0</v>
      </c>
      <c r="AN177" s="564"/>
      <c r="AO177" s="1100">
        <f t="shared" si="223"/>
        <v>0</v>
      </c>
      <c r="AP177" s="2683"/>
      <c r="AQ177" s="2969"/>
      <c r="AR177" s="2683"/>
      <c r="AS177" s="1100">
        <f t="shared" si="219"/>
        <v>0</v>
      </c>
      <c r="AT177" s="2683"/>
      <c r="AU177" s="2969"/>
      <c r="AV177" s="2683"/>
      <c r="AW177" s="1100">
        <f t="shared" si="220"/>
        <v>0</v>
      </c>
      <c r="AX177" s="2683"/>
      <c r="AY177" s="2969"/>
      <c r="AZ177" s="2683"/>
      <c r="BA177" s="749">
        <f t="shared" si="224"/>
        <v>0</v>
      </c>
      <c r="BB177" s="564"/>
      <c r="BC177" s="2846">
        <f t="shared" si="225"/>
        <v>0</v>
      </c>
      <c r="BD177" s="2683"/>
      <c r="BE177" s="171">
        <f t="shared" si="221"/>
        <v>0</v>
      </c>
      <c r="BF177" s="1137"/>
      <c r="BI177" s="25"/>
      <c r="BJ177" s="25"/>
    </row>
    <row r="178" spans="2:62" ht="18.75" x14ac:dyDescent="0.25">
      <c r="B178" s="1098" t="s">
        <v>2036</v>
      </c>
      <c r="C178" s="3586" t="s">
        <v>352</v>
      </c>
      <c r="D178" s="589"/>
      <c r="E178" s="2895"/>
      <c r="F178" s="2895"/>
      <c r="G178" s="2895"/>
      <c r="H178" s="3587"/>
      <c r="I178" s="3588">
        <f t="shared" si="215"/>
        <v>0</v>
      </c>
      <c r="J178" s="693"/>
      <c r="K178" s="2895"/>
      <c r="L178" s="589"/>
      <c r="M178" s="749">
        <f t="shared" si="216"/>
        <v>0</v>
      </c>
      <c r="N178" s="589"/>
      <c r="O178" s="2895"/>
      <c r="P178" s="589"/>
      <c r="Q178" s="1548">
        <f t="shared" si="152"/>
        <v>0</v>
      </c>
      <c r="R178" s="589"/>
      <c r="S178" s="2895">
        <v>1453.58</v>
      </c>
      <c r="T178" s="589"/>
      <c r="U178" s="3578">
        <f t="shared" si="212"/>
        <v>1453.58</v>
      </c>
      <c r="V178" s="589"/>
      <c r="W178" s="2895">
        <v>965.44</v>
      </c>
      <c r="X178" s="589"/>
      <c r="Y178" s="749">
        <f t="shared" si="170"/>
        <v>2419.02</v>
      </c>
      <c r="Z178" s="589"/>
      <c r="AA178" s="2846">
        <f t="shared" si="171"/>
        <v>2419.02</v>
      </c>
      <c r="AB178" s="589"/>
      <c r="AC178" s="2895">
        <v>1928.54</v>
      </c>
      <c r="AD178" s="589"/>
      <c r="AE178" s="2422">
        <f t="shared" si="217"/>
        <v>4347.5599999999995</v>
      </c>
      <c r="AF178" s="589"/>
      <c r="AG178" s="2895"/>
      <c r="AH178" s="589"/>
      <c r="AI178" s="171">
        <f t="shared" si="218"/>
        <v>4347.5599999999995</v>
      </c>
      <c r="AJ178" s="589"/>
      <c r="AK178" s="2895">
        <v>384.66</v>
      </c>
      <c r="AL178" s="589"/>
      <c r="AM178" s="749">
        <f t="shared" si="222"/>
        <v>2313.1999999999998</v>
      </c>
      <c r="AN178" s="564"/>
      <c r="AO178" s="1100">
        <f t="shared" si="223"/>
        <v>4732.2199999999993</v>
      </c>
      <c r="AP178" s="589"/>
      <c r="AQ178" s="2895">
        <v>644.4</v>
      </c>
      <c r="AR178" s="589"/>
      <c r="AS178" s="1100">
        <f t="shared" si="219"/>
        <v>5376.619999999999</v>
      </c>
      <c r="AT178" s="589"/>
      <c r="AU178" s="2895"/>
      <c r="AV178" s="589"/>
      <c r="AW178" s="1100">
        <f t="shared" si="220"/>
        <v>5376.619999999999</v>
      </c>
      <c r="AX178" s="589"/>
      <c r="AY178" s="2895"/>
      <c r="AZ178" s="589"/>
      <c r="BA178" s="749">
        <f t="shared" si="224"/>
        <v>644.4</v>
      </c>
      <c r="BB178" s="564"/>
      <c r="BC178" s="2846">
        <f t="shared" si="225"/>
        <v>2957.6</v>
      </c>
      <c r="BD178" s="589"/>
      <c r="BE178" s="171">
        <f t="shared" si="221"/>
        <v>5376.619999999999</v>
      </c>
      <c r="BF178" s="1137"/>
      <c r="BI178" s="25"/>
      <c r="BJ178" s="25"/>
    </row>
    <row r="179" spans="2:62" s="2421" customFormat="1" ht="18.75" x14ac:dyDescent="0.25">
      <c r="B179" s="1098" t="s">
        <v>2080</v>
      </c>
      <c r="C179" s="3586" t="s">
        <v>352</v>
      </c>
      <c r="D179" s="589">
        <f t="shared" ref="D179:E179" si="226">D180+D181</f>
        <v>0</v>
      </c>
      <c r="E179" s="2895">
        <f t="shared" si="226"/>
        <v>1456.62</v>
      </c>
      <c r="F179" s="2895">
        <f t="shared" ref="F179:G179" si="227">F180+F181</f>
        <v>0</v>
      </c>
      <c r="G179" s="2895">
        <f t="shared" si="227"/>
        <v>485.28000000000003</v>
      </c>
      <c r="H179" s="3587"/>
      <c r="I179" s="3588">
        <f>+E179+G179</f>
        <v>1941.8999999999999</v>
      </c>
      <c r="J179" s="693"/>
      <c r="K179" s="2895">
        <f>K180+K181</f>
        <v>341.38</v>
      </c>
      <c r="L179" s="589"/>
      <c r="M179" s="749">
        <f t="shared" si="216"/>
        <v>2283.2799999999997</v>
      </c>
      <c r="N179" s="589"/>
      <c r="O179" s="2895"/>
      <c r="P179" s="589"/>
      <c r="Q179" s="1548">
        <f t="shared" si="152"/>
        <v>2283.2799999999997</v>
      </c>
      <c r="R179" s="589"/>
      <c r="S179" s="2895"/>
      <c r="T179" s="589"/>
      <c r="U179" s="3578">
        <f t="shared" si="212"/>
        <v>2283.2799999999997</v>
      </c>
      <c r="V179" s="589">
        <f>V180+V181</f>
        <v>0</v>
      </c>
      <c r="W179" s="2895">
        <f>W180+W181</f>
        <v>710.6</v>
      </c>
      <c r="X179" s="2895">
        <f>X180+X181</f>
        <v>0</v>
      </c>
      <c r="Y179" s="749">
        <f t="shared" si="170"/>
        <v>710.6</v>
      </c>
      <c r="Z179" s="589"/>
      <c r="AA179" s="2846">
        <f t="shared" si="171"/>
        <v>2993.8799999999997</v>
      </c>
      <c r="AB179" s="589">
        <f>AB180+AB181</f>
        <v>0</v>
      </c>
      <c r="AC179" s="2895">
        <f t="shared" ref="AC179:AD179" si="228">AC180+AC181</f>
        <v>246.74</v>
      </c>
      <c r="AD179" s="589">
        <f t="shared" si="228"/>
        <v>0</v>
      </c>
      <c r="AE179" s="2422">
        <f t="shared" si="217"/>
        <v>3240.62</v>
      </c>
      <c r="AF179" s="589">
        <f t="shared" ref="AF179:AH179" si="229">AF180+AF181</f>
        <v>0</v>
      </c>
      <c r="AG179" s="2895">
        <f t="shared" si="229"/>
        <v>554.14</v>
      </c>
      <c r="AH179" s="589">
        <f t="shared" si="229"/>
        <v>0</v>
      </c>
      <c r="AI179" s="171">
        <f t="shared" si="218"/>
        <v>3794.7599999999998</v>
      </c>
      <c r="AJ179" s="589">
        <f t="shared" ref="AJ179:AL179" si="230">AJ180+AJ181</f>
        <v>0</v>
      </c>
      <c r="AK179" s="2895">
        <f t="shared" si="230"/>
        <v>0</v>
      </c>
      <c r="AL179" s="589">
        <f t="shared" si="230"/>
        <v>0</v>
      </c>
      <c r="AM179" s="749">
        <f t="shared" si="222"/>
        <v>800.88</v>
      </c>
      <c r="AN179" s="564">
        <f>AN180+AN181</f>
        <v>0</v>
      </c>
      <c r="AO179" s="1100">
        <f t="shared" si="223"/>
        <v>3794.7599999999998</v>
      </c>
      <c r="AP179" s="589">
        <f t="shared" ref="AP179:AR179" si="231">AP180+AP181</f>
        <v>0</v>
      </c>
      <c r="AQ179" s="2895">
        <f t="shared" si="231"/>
        <v>445.67999999999995</v>
      </c>
      <c r="AR179" s="589">
        <f t="shared" si="231"/>
        <v>0</v>
      </c>
      <c r="AS179" s="1100">
        <f t="shared" si="219"/>
        <v>4240.4399999999996</v>
      </c>
      <c r="AT179" s="589">
        <f t="shared" ref="AT179:AV179" si="232">AT180+AT181</f>
        <v>0</v>
      </c>
      <c r="AU179" s="2895">
        <f t="shared" si="232"/>
        <v>385.56</v>
      </c>
      <c r="AV179" s="589">
        <f t="shared" si="232"/>
        <v>0</v>
      </c>
      <c r="AW179" s="1100">
        <f t="shared" si="220"/>
        <v>4626</v>
      </c>
      <c r="AX179" s="589">
        <f t="shared" ref="AX179:AZ179" si="233">AX180+AX181</f>
        <v>0</v>
      </c>
      <c r="AY179" s="2895">
        <f t="shared" si="233"/>
        <v>308.97999999999996</v>
      </c>
      <c r="AZ179" s="589">
        <f t="shared" si="233"/>
        <v>0</v>
      </c>
      <c r="BA179" s="749">
        <f t="shared" si="224"/>
        <v>1140.22</v>
      </c>
      <c r="BB179" s="564"/>
      <c r="BC179" s="2846">
        <f t="shared" si="225"/>
        <v>1941.1</v>
      </c>
      <c r="BD179" s="589"/>
      <c r="BE179" s="171">
        <f t="shared" si="221"/>
        <v>4934.9799999999996</v>
      </c>
      <c r="BF179" s="1137"/>
      <c r="BI179" s="25"/>
      <c r="BJ179" s="25"/>
    </row>
    <row r="180" spans="2:62" s="4487" customFormat="1" ht="18.75" x14ac:dyDescent="0.25">
      <c r="B180" s="7443" t="s">
        <v>1541</v>
      </c>
      <c r="C180" s="3586" t="s">
        <v>352</v>
      </c>
      <c r="D180" s="6896"/>
      <c r="E180" s="6896">
        <v>1087.8</v>
      </c>
      <c r="F180" s="6896"/>
      <c r="G180" s="6896"/>
      <c r="H180" s="6897"/>
      <c r="I180" s="6928"/>
      <c r="J180" s="3572"/>
      <c r="K180" s="6896"/>
      <c r="L180" s="6896"/>
      <c r="M180" s="7107">
        <f t="shared" si="216"/>
        <v>1087.8</v>
      </c>
      <c r="N180" s="6896"/>
      <c r="O180" s="6896"/>
      <c r="P180" s="6896"/>
      <c r="Q180" s="7108">
        <f t="shared" si="152"/>
        <v>1087.8</v>
      </c>
      <c r="R180" s="6896"/>
      <c r="S180" s="6896"/>
      <c r="T180" s="6896"/>
      <c r="U180" s="6757">
        <f t="shared" si="212"/>
        <v>1087.8</v>
      </c>
      <c r="V180" s="6896"/>
      <c r="W180" s="6896"/>
      <c r="X180" s="6896"/>
      <c r="Y180" s="7107">
        <f t="shared" si="170"/>
        <v>0</v>
      </c>
      <c r="Z180" s="6896"/>
      <c r="AA180" s="6899">
        <f t="shared" si="171"/>
        <v>1087.8</v>
      </c>
      <c r="AB180" s="6896"/>
      <c r="AC180" s="2895">
        <v>246.74</v>
      </c>
      <c r="AD180" s="6896"/>
      <c r="AE180" s="7333">
        <f t="shared" si="217"/>
        <v>1334.54</v>
      </c>
      <c r="AF180" s="6896"/>
      <c r="AG180" s="2895"/>
      <c r="AH180" s="6896"/>
      <c r="AI180" s="5653">
        <f t="shared" si="218"/>
        <v>1334.54</v>
      </c>
      <c r="AJ180" s="6896"/>
      <c r="AK180" s="6896"/>
      <c r="AL180" s="6896"/>
      <c r="AM180" s="7107">
        <f t="shared" si="222"/>
        <v>246.74</v>
      </c>
      <c r="AN180" s="7299"/>
      <c r="AO180" s="6774">
        <f t="shared" si="223"/>
        <v>1334.54</v>
      </c>
      <c r="AP180" s="6896"/>
      <c r="AQ180" s="6896"/>
      <c r="AR180" s="6896"/>
      <c r="AS180" s="6774">
        <f t="shared" si="219"/>
        <v>1334.54</v>
      </c>
      <c r="AT180" s="6896"/>
      <c r="AU180" s="6896"/>
      <c r="AV180" s="6896"/>
      <c r="AW180" s="6774">
        <f t="shared" si="220"/>
        <v>1334.54</v>
      </c>
      <c r="AX180" s="6896"/>
      <c r="AY180" s="6896"/>
      <c r="AZ180" s="6896"/>
      <c r="BA180" s="7107">
        <f t="shared" ref="BA180:BA181" si="234">+AQ180+AU180+AY180</f>
        <v>0</v>
      </c>
      <c r="BB180" s="7299"/>
      <c r="BC180" s="6899">
        <f t="shared" ref="BC180:BC181" si="235">BA180+AM180</f>
        <v>246.74</v>
      </c>
      <c r="BD180" s="7110"/>
      <c r="BE180" s="5653">
        <f t="shared" ref="BE180:BE181" si="236">+AW180+AY180</f>
        <v>1334.54</v>
      </c>
      <c r="BF180" s="1137"/>
      <c r="BI180" s="25"/>
      <c r="BJ180" s="25"/>
    </row>
    <row r="181" spans="2:62" s="4487" customFormat="1" ht="18.75" x14ac:dyDescent="0.25">
      <c r="B181" s="7443" t="s">
        <v>2288</v>
      </c>
      <c r="C181" s="3586" t="s">
        <v>352</v>
      </c>
      <c r="D181" s="6896"/>
      <c r="E181" s="2895">
        <v>368.82</v>
      </c>
      <c r="F181" s="6896"/>
      <c r="G181" s="6896">
        <v>485.28000000000003</v>
      </c>
      <c r="H181" s="6897"/>
      <c r="I181" s="6928"/>
      <c r="J181" s="3572"/>
      <c r="K181" s="2895">
        <v>341.38</v>
      </c>
      <c r="L181" s="6896"/>
      <c r="M181" s="7107">
        <f t="shared" si="216"/>
        <v>1195.48</v>
      </c>
      <c r="N181" s="6896"/>
      <c r="O181" s="6896"/>
      <c r="P181" s="6896"/>
      <c r="Q181" s="7108">
        <f t="shared" si="152"/>
        <v>1195.48</v>
      </c>
      <c r="R181" s="6896"/>
      <c r="S181" s="6896"/>
      <c r="T181" s="6896"/>
      <c r="U181" s="6757">
        <f t="shared" si="212"/>
        <v>1195.48</v>
      </c>
      <c r="V181" s="6896"/>
      <c r="W181" s="6896">
        <v>710.6</v>
      </c>
      <c r="X181" s="6896"/>
      <c r="Y181" s="7107">
        <f t="shared" si="170"/>
        <v>710.6</v>
      </c>
      <c r="Z181" s="6896"/>
      <c r="AA181" s="6899">
        <f t="shared" si="171"/>
        <v>1906.08</v>
      </c>
      <c r="AB181" s="6896"/>
      <c r="AC181" s="6896"/>
      <c r="AD181" s="6896"/>
      <c r="AE181" s="7333">
        <f t="shared" si="217"/>
        <v>1906.08</v>
      </c>
      <c r="AF181" s="6896"/>
      <c r="AG181" s="2895">
        <v>554.14</v>
      </c>
      <c r="AH181" s="6896"/>
      <c r="AI181" s="5653">
        <f t="shared" si="218"/>
        <v>2460.2199999999998</v>
      </c>
      <c r="AJ181" s="6896"/>
      <c r="AK181" s="6896"/>
      <c r="AL181" s="6896"/>
      <c r="AM181" s="7107">
        <f t="shared" si="222"/>
        <v>554.14</v>
      </c>
      <c r="AN181" s="7299"/>
      <c r="AO181" s="6774">
        <f t="shared" si="223"/>
        <v>2460.2199999999998</v>
      </c>
      <c r="AP181" s="6896"/>
      <c r="AQ181" s="2895">
        <v>445.67999999999995</v>
      </c>
      <c r="AR181" s="6896"/>
      <c r="AS181" s="6774">
        <f t="shared" si="219"/>
        <v>2905.8999999999996</v>
      </c>
      <c r="AT181" s="6896"/>
      <c r="AU181" s="2895">
        <v>385.56</v>
      </c>
      <c r="AV181" s="6896"/>
      <c r="AW181" s="6774">
        <f t="shared" si="220"/>
        <v>3291.4599999999996</v>
      </c>
      <c r="AX181" s="6896"/>
      <c r="AY181" s="2895">
        <v>308.97999999999996</v>
      </c>
      <c r="AZ181" s="6896"/>
      <c r="BA181" s="7107">
        <f t="shared" si="234"/>
        <v>1140.22</v>
      </c>
      <c r="BB181" s="7299"/>
      <c r="BC181" s="6899">
        <f t="shared" si="235"/>
        <v>1694.3600000000001</v>
      </c>
      <c r="BD181" s="7110"/>
      <c r="BE181" s="5653">
        <f t="shared" si="236"/>
        <v>3600.4399999999996</v>
      </c>
      <c r="BF181" s="1137"/>
      <c r="BI181" s="25"/>
      <c r="BJ181" s="25"/>
    </row>
    <row r="182" spans="2:62" s="3125" customFormat="1" ht="18.75" hidden="1" x14ac:dyDescent="0.25">
      <c r="B182" s="2684" t="s">
        <v>1278</v>
      </c>
      <c r="C182" s="3586" t="s">
        <v>352</v>
      </c>
      <c r="D182" s="3127">
        <f t="shared" ref="D182:E182" si="237">D183+D184+D185+D186+D187+D190</f>
        <v>0</v>
      </c>
      <c r="E182" s="3127">
        <f t="shared" si="237"/>
        <v>0</v>
      </c>
      <c r="F182" s="3127"/>
      <c r="G182" s="3127">
        <f t="shared" ref="G182:BB182" si="238">G183+G184+G185+G186+G187+G190</f>
        <v>0</v>
      </c>
      <c r="H182" s="3128">
        <f t="shared" si="238"/>
        <v>0</v>
      </c>
      <c r="I182" s="3588">
        <f t="shared" si="238"/>
        <v>0</v>
      </c>
      <c r="J182" s="3572">
        <f t="shared" si="238"/>
        <v>0</v>
      </c>
      <c r="K182" s="3127">
        <f t="shared" si="238"/>
        <v>0</v>
      </c>
      <c r="L182" s="3127">
        <f t="shared" si="238"/>
        <v>0</v>
      </c>
      <c r="M182" s="749">
        <f t="shared" si="216"/>
        <v>0</v>
      </c>
      <c r="N182" s="3127">
        <f t="shared" si="238"/>
        <v>0</v>
      </c>
      <c r="O182" s="3127">
        <f t="shared" si="238"/>
        <v>64.099999999999994</v>
      </c>
      <c r="P182" s="3127">
        <f t="shared" si="238"/>
        <v>0</v>
      </c>
      <c r="Q182" s="1548">
        <f t="shared" si="152"/>
        <v>64.099999999999994</v>
      </c>
      <c r="R182" s="3127">
        <f t="shared" si="238"/>
        <v>0</v>
      </c>
      <c r="S182" s="3127">
        <f t="shared" si="238"/>
        <v>1485.1599999999999</v>
      </c>
      <c r="T182" s="3127">
        <f t="shared" si="238"/>
        <v>0</v>
      </c>
      <c r="U182" s="3578">
        <f t="shared" si="212"/>
        <v>1549.2599999999998</v>
      </c>
      <c r="V182" s="3127">
        <f t="shared" si="238"/>
        <v>0</v>
      </c>
      <c r="W182" s="3127">
        <f t="shared" si="238"/>
        <v>693.72</v>
      </c>
      <c r="X182" s="3127">
        <f t="shared" si="238"/>
        <v>0</v>
      </c>
      <c r="Y182" s="749">
        <f t="shared" si="170"/>
        <v>2242.9799999999996</v>
      </c>
      <c r="Z182" s="3127">
        <f t="shared" si="238"/>
        <v>0</v>
      </c>
      <c r="AA182" s="2846">
        <f t="shared" si="171"/>
        <v>2242.9799999999996</v>
      </c>
      <c r="AB182" s="3127">
        <f t="shared" si="238"/>
        <v>0</v>
      </c>
      <c r="AC182" s="3127">
        <f t="shared" si="238"/>
        <v>747.81999999999994</v>
      </c>
      <c r="AD182" s="3127">
        <f t="shared" si="238"/>
        <v>0</v>
      </c>
      <c r="AE182" s="2422">
        <f t="shared" si="217"/>
        <v>2990.7999999999993</v>
      </c>
      <c r="AF182" s="3127">
        <f t="shared" si="238"/>
        <v>0</v>
      </c>
      <c r="AG182" s="3127">
        <f t="shared" si="238"/>
        <v>0</v>
      </c>
      <c r="AH182" s="3127">
        <f t="shared" si="238"/>
        <v>0</v>
      </c>
      <c r="AI182" s="171">
        <f t="shared" si="218"/>
        <v>2990.7999999999993</v>
      </c>
      <c r="AJ182" s="3127">
        <f t="shared" si="238"/>
        <v>0</v>
      </c>
      <c r="AK182" s="3127">
        <f t="shared" si="238"/>
        <v>244.1</v>
      </c>
      <c r="AL182" s="3127">
        <f t="shared" si="238"/>
        <v>0</v>
      </c>
      <c r="AM182" s="749">
        <f t="shared" si="222"/>
        <v>991.92</v>
      </c>
      <c r="AN182" s="564">
        <f t="shared" si="238"/>
        <v>0</v>
      </c>
      <c r="AO182" s="1100">
        <f t="shared" si="223"/>
        <v>3234.8999999999992</v>
      </c>
      <c r="AP182" s="3127">
        <f t="shared" si="238"/>
        <v>0</v>
      </c>
      <c r="AQ182" s="3127">
        <f t="shared" si="238"/>
        <v>0</v>
      </c>
      <c r="AR182" s="3127">
        <f t="shared" si="238"/>
        <v>0</v>
      </c>
      <c r="AS182" s="1100">
        <f t="shared" si="219"/>
        <v>3234.8999999999992</v>
      </c>
      <c r="AT182" s="3127">
        <f t="shared" si="238"/>
        <v>0</v>
      </c>
      <c r="AU182" s="3127">
        <f t="shared" si="238"/>
        <v>311.56</v>
      </c>
      <c r="AV182" s="3127">
        <f t="shared" si="238"/>
        <v>0</v>
      </c>
      <c r="AW182" s="1100">
        <f t="shared" si="220"/>
        <v>3546.4599999999991</v>
      </c>
      <c r="AX182" s="3127">
        <f t="shared" si="238"/>
        <v>0</v>
      </c>
      <c r="AY182" s="3127">
        <f t="shared" si="238"/>
        <v>0</v>
      </c>
      <c r="AZ182" s="3127">
        <f t="shared" si="238"/>
        <v>0</v>
      </c>
      <c r="BA182" s="749">
        <f t="shared" si="224"/>
        <v>311.56</v>
      </c>
      <c r="BB182" s="564" t="e">
        <f t="shared" si="238"/>
        <v>#REF!</v>
      </c>
      <c r="BC182" s="2846">
        <f t="shared" ref="BC182" si="239">BA182+AM182</f>
        <v>1303.48</v>
      </c>
      <c r="BD182" s="589"/>
      <c r="BE182" s="171">
        <f t="shared" ref="BE182" si="240">+AW182+AY182</f>
        <v>3546.4599999999991</v>
      </c>
      <c r="BF182" s="1137"/>
      <c r="BI182" s="25"/>
      <c r="BJ182" s="25"/>
    </row>
    <row r="183" spans="2:62" s="7297" customFormat="1" ht="18.75" hidden="1" x14ac:dyDescent="0.25">
      <c r="B183" s="1758" t="s">
        <v>2289</v>
      </c>
      <c r="C183" s="3041" t="s">
        <v>352</v>
      </c>
      <c r="D183" s="7328"/>
      <c r="E183" s="7328"/>
      <c r="F183" s="7328"/>
      <c r="G183" s="7328"/>
      <c r="H183" s="7329"/>
      <c r="I183" s="7330"/>
      <c r="J183" s="7331"/>
      <c r="K183" s="7328"/>
      <c r="L183" s="7328"/>
      <c r="M183" s="7091">
        <f t="shared" si="216"/>
        <v>0</v>
      </c>
      <c r="N183" s="7328"/>
      <c r="O183" s="7328"/>
      <c r="P183" s="7328"/>
      <c r="Q183" s="7108">
        <f t="shared" si="152"/>
        <v>0</v>
      </c>
      <c r="R183" s="7328"/>
      <c r="S183" s="7328">
        <v>189.18</v>
      </c>
      <c r="T183" s="7328"/>
      <c r="U183" s="6757">
        <f t="shared" si="212"/>
        <v>189.18</v>
      </c>
      <c r="V183" s="7328"/>
      <c r="W183" s="7328"/>
      <c r="X183" s="7328"/>
      <c r="Y183" s="7091">
        <f t="shared" si="170"/>
        <v>189.18</v>
      </c>
      <c r="Z183" s="7328"/>
      <c r="AA183" s="7332">
        <f t="shared" si="171"/>
        <v>189.18</v>
      </c>
      <c r="AB183" s="7328"/>
      <c r="AC183" s="7328"/>
      <c r="AD183" s="7328"/>
      <c r="AE183" s="7333">
        <f t="shared" si="217"/>
        <v>189.18</v>
      </c>
      <c r="AF183" s="7328"/>
      <c r="AG183" s="7328"/>
      <c r="AH183" s="7328"/>
      <c r="AI183" s="6774">
        <f t="shared" si="218"/>
        <v>189.18</v>
      </c>
      <c r="AJ183" s="7328"/>
      <c r="AK183" s="7328"/>
      <c r="AL183" s="7328"/>
      <c r="AM183" s="7091">
        <f t="shared" si="222"/>
        <v>0</v>
      </c>
      <c r="AN183" s="7299"/>
      <c r="AO183" s="6774">
        <f t="shared" si="223"/>
        <v>189.18</v>
      </c>
      <c r="AP183" s="7328"/>
      <c r="AQ183" s="7328"/>
      <c r="AR183" s="7328"/>
      <c r="AS183" s="6774">
        <f t="shared" si="219"/>
        <v>189.18</v>
      </c>
      <c r="AT183" s="7328"/>
      <c r="AU183" s="7328"/>
      <c r="AV183" s="7328"/>
      <c r="AW183" s="6774">
        <f t="shared" si="220"/>
        <v>189.18</v>
      </c>
      <c r="AX183" s="7328"/>
      <c r="AY183" s="7328"/>
      <c r="AZ183" s="7328"/>
      <c r="BA183" s="2449">
        <f t="shared" ref="BA183:BA186" si="241">+AQ183+AU183+AY183</f>
        <v>0</v>
      </c>
      <c r="BB183" s="564" t="e">
        <f t="shared" ref="BB183:BB184" si="242">BB184+BB185+BB186+BB187+BB188+BB191</f>
        <v>#REF!</v>
      </c>
      <c r="BC183" s="1083">
        <f t="shared" ref="BC183:BC186" si="243">BA183+AM183</f>
        <v>0</v>
      </c>
      <c r="BD183" s="3783"/>
      <c r="BE183" s="1100">
        <f t="shared" ref="BE183:BE186" si="244">+AW183+AY183</f>
        <v>189.18</v>
      </c>
      <c r="BF183" s="7334"/>
      <c r="BI183" s="4152"/>
      <c r="BJ183" s="4152"/>
    </row>
    <row r="184" spans="2:62" s="7297" customFormat="1" ht="18.75" hidden="1" x14ac:dyDescent="0.25">
      <c r="B184" s="1758" t="s">
        <v>2290</v>
      </c>
      <c r="C184" s="3041" t="s">
        <v>352</v>
      </c>
      <c r="D184" s="7328"/>
      <c r="E184" s="7328"/>
      <c r="F184" s="7328"/>
      <c r="G184" s="7328"/>
      <c r="H184" s="7329"/>
      <c r="I184" s="7330"/>
      <c r="J184" s="7331"/>
      <c r="K184" s="7328"/>
      <c r="L184" s="7328"/>
      <c r="M184" s="7091">
        <f t="shared" si="216"/>
        <v>0</v>
      </c>
      <c r="N184" s="7328"/>
      <c r="O184" s="7328"/>
      <c r="P184" s="7328"/>
      <c r="Q184" s="7108">
        <f t="shared" si="152"/>
        <v>0</v>
      </c>
      <c r="R184" s="7328"/>
      <c r="S184" s="7328">
        <v>185.9</v>
      </c>
      <c r="T184" s="7328"/>
      <c r="U184" s="6757">
        <f t="shared" si="212"/>
        <v>185.9</v>
      </c>
      <c r="V184" s="7328"/>
      <c r="W184" s="7328"/>
      <c r="X184" s="7328"/>
      <c r="Y184" s="7091">
        <f t="shared" si="170"/>
        <v>185.9</v>
      </c>
      <c r="Z184" s="7328"/>
      <c r="AA184" s="7332">
        <f t="shared" si="171"/>
        <v>185.9</v>
      </c>
      <c r="AB184" s="7328"/>
      <c r="AC184" s="7328"/>
      <c r="AD184" s="7328"/>
      <c r="AE184" s="7333">
        <f t="shared" si="217"/>
        <v>185.9</v>
      </c>
      <c r="AF184" s="7328"/>
      <c r="AG184" s="7328"/>
      <c r="AH184" s="7328"/>
      <c r="AI184" s="6774">
        <f t="shared" si="218"/>
        <v>185.9</v>
      </c>
      <c r="AJ184" s="7328"/>
      <c r="AK184" s="7328"/>
      <c r="AL184" s="7328"/>
      <c r="AM184" s="7091">
        <f t="shared" si="222"/>
        <v>0</v>
      </c>
      <c r="AN184" s="7299"/>
      <c r="AO184" s="6774">
        <f t="shared" si="223"/>
        <v>185.9</v>
      </c>
      <c r="AP184" s="7328"/>
      <c r="AQ184" s="7328"/>
      <c r="AR184" s="7328"/>
      <c r="AS184" s="6774">
        <f t="shared" si="219"/>
        <v>185.9</v>
      </c>
      <c r="AT184" s="7328"/>
      <c r="AU184" s="7328"/>
      <c r="AV184" s="7328"/>
      <c r="AW184" s="6774">
        <f t="shared" si="220"/>
        <v>185.9</v>
      </c>
      <c r="AX184" s="7328"/>
      <c r="AY184" s="7328"/>
      <c r="AZ184" s="7328"/>
      <c r="BA184" s="2449">
        <f t="shared" si="241"/>
        <v>0</v>
      </c>
      <c r="BB184" s="564" t="e">
        <f t="shared" si="242"/>
        <v>#REF!</v>
      </c>
      <c r="BC184" s="1083">
        <f t="shared" si="243"/>
        <v>0</v>
      </c>
      <c r="BD184" s="3783"/>
      <c r="BE184" s="1100">
        <f t="shared" si="244"/>
        <v>185.9</v>
      </c>
      <c r="BF184" s="7334"/>
      <c r="BI184" s="4152"/>
      <c r="BJ184" s="4152"/>
    </row>
    <row r="185" spans="2:62" s="7297" customFormat="1" ht="18.75" hidden="1" x14ac:dyDescent="0.25">
      <c r="B185" s="1758" t="s">
        <v>2291</v>
      </c>
      <c r="C185" s="3041" t="s">
        <v>352</v>
      </c>
      <c r="D185" s="7328"/>
      <c r="E185" s="7328"/>
      <c r="F185" s="7328"/>
      <c r="G185" s="7328"/>
      <c r="H185" s="7329"/>
      <c r="I185" s="7330"/>
      <c r="J185" s="7331"/>
      <c r="K185" s="7328"/>
      <c r="L185" s="7328"/>
      <c r="M185" s="7091">
        <f t="shared" si="216"/>
        <v>0</v>
      </c>
      <c r="N185" s="7328"/>
      <c r="O185" s="7328"/>
      <c r="P185" s="7328"/>
      <c r="Q185" s="7108">
        <f t="shared" si="152"/>
        <v>0</v>
      </c>
      <c r="R185" s="7328"/>
      <c r="S185" s="7328">
        <v>123.32</v>
      </c>
      <c r="T185" s="7328"/>
      <c r="U185" s="6757">
        <f t="shared" si="212"/>
        <v>123.32</v>
      </c>
      <c r="V185" s="7328"/>
      <c r="W185" s="7328"/>
      <c r="X185" s="7328"/>
      <c r="Y185" s="7091">
        <f t="shared" si="170"/>
        <v>123.32</v>
      </c>
      <c r="Z185" s="7328"/>
      <c r="AA185" s="7332">
        <f t="shared" si="171"/>
        <v>123.32</v>
      </c>
      <c r="AB185" s="7328"/>
      <c r="AC185" s="7328"/>
      <c r="AD185" s="7328"/>
      <c r="AE185" s="7333">
        <f t="shared" si="217"/>
        <v>123.32</v>
      </c>
      <c r="AF185" s="7328"/>
      <c r="AG185" s="7328"/>
      <c r="AH185" s="7328"/>
      <c r="AI185" s="6774">
        <f t="shared" si="218"/>
        <v>123.32</v>
      </c>
      <c r="AJ185" s="7328"/>
      <c r="AK185" s="7328"/>
      <c r="AL185" s="7328"/>
      <c r="AM185" s="7091">
        <f t="shared" si="222"/>
        <v>0</v>
      </c>
      <c r="AN185" s="7299"/>
      <c r="AO185" s="6774">
        <f t="shared" si="223"/>
        <v>123.32</v>
      </c>
      <c r="AP185" s="7328"/>
      <c r="AQ185" s="7328"/>
      <c r="AR185" s="7328"/>
      <c r="AS185" s="6774">
        <f t="shared" si="219"/>
        <v>123.32</v>
      </c>
      <c r="AT185" s="7328"/>
      <c r="AU185" s="7328"/>
      <c r="AV185" s="7328"/>
      <c r="AW185" s="6774">
        <f t="shared" si="220"/>
        <v>123.32</v>
      </c>
      <c r="AX185" s="7328"/>
      <c r="AY185" s="7328"/>
      <c r="AZ185" s="7328"/>
      <c r="BA185" s="2449">
        <f t="shared" si="241"/>
        <v>0</v>
      </c>
      <c r="BB185" s="564" t="e">
        <f>BB186+BB187+BB188+BB189+BB190+#REF!</f>
        <v>#REF!</v>
      </c>
      <c r="BC185" s="1083">
        <f t="shared" si="243"/>
        <v>0</v>
      </c>
      <c r="BD185" s="3783"/>
      <c r="BE185" s="1100">
        <f t="shared" si="244"/>
        <v>123.32</v>
      </c>
      <c r="BF185" s="7334"/>
      <c r="BI185" s="4152"/>
      <c r="BJ185" s="4152"/>
    </row>
    <row r="186" spans="2:62" s="7297" customFormat="1" ht="18.75" hidden="1" x14ac:dyDescent="0.25">
      <c r="B186" s="1758" t="s">
        <v>2292</v>
      </c>
      <c r="C186" s="3041" t="s">
        <v>352</v>
      </c>
      <c r="D186" s="7328"/>
      <c r="E186" s="7328"/>
      <c r="F186" s="7328"/>
      <c r="G186" s="7328"/>
      <c r="H186" s="7329"/>
      <c r="I186" s="7330"/>
      <c r="J186" s="7331"/>
      <c r="K186" s="7328"/>
      <c r="L186" s="7328"/>
      <c r="M186" s="7091">
        <f t="shared" si="216"/>
        <v>0</v>
      </c>
      <c r="N186" s="7328"/>
      <c r="O186" s="7328"/>
      <c r="P186" s="7328"/>
      <c r="Q186" s="7108">
        <f t="shared" si="152"/>
        <v>0</v>
      </c>
      <c r="R186" s="7328"/>
      <c r="S186" s="7328">
        <v>124.96000000000001</v>
      </c>
      <c r="T186" s="7328"/>
      <c r="U186" s="6757">
        <f t="shared" si="212"/>
        <v>124.96000000000001</v>
      </c>
      <c r="V186" s="7328"/>
      <c r="W186" s="7328">
        <v>128.78</v>
      </c>
      <c r="X186" s="7328"/>
      <c r="Y186" s="7091">
        <f t="shared" si="170"/>
        <v>253.74</v>
      </c>
      <c r="Z186" s="7328"/>
      <c r="AA186" s="7332">
        <f t="shared" si="171"/>
        <v>253.74</v>
      </c>
      <c r="AB186" s="7328"/>
      <c r="AC186" s="7328">
        <v>124.53999999999999</v>
      </c>
      <c r="AD186" s="7328"/>
      <c r="AE186" s="7333">
        <f t="shared" si="217"/>
        <v>378.28</v>
      </c>
      <c r="AF186" s="7328"/>
      <c r="AG186" s="7328"/>
      <c r="AH186" s="7328"/>
      <c r="AI186" s="6774">
        <f t="shared" si="218"/>
        <v>378.28</v>
      </c>
      <c r="AJ186" s="7328"/>
      <c r="AK186" s="7328"/>
      <c r="AL186" s="7328"/>
      <c r="AM186" s="7091">
        <f t="shared" si="222"/>
        <v>124.53999999999999</v>
      </c>
      <c r="AN186" s="7299"/>
      <c r="AO186" s="6774">
        <f t="shared" si="223"/>
        <v>378.28</v>
      </c>
      <c r="AP186" s="7328"/>
      <c r="AQ186" s="7328"/>
      <c r="AR186" s="7328"/>
      <c r="AS186" s="6774">
        <f t="shared" si="219"/>
        <v>378.28</v>
      </c>
      <c r="AT186" s="7328"/>
      <c r="AU186" s="7328"/>
      <c r="AV186" s="7328"/>
      <c r="AW186" s="6774">
        <f t="shared" si="220"/>
        <v>378.28</v>
      </c>
      <c r="AX186" s="7328"/>
      <c r="AY186" s="7328"/>
      <c r="AZ186" s="7328"/>
      <c r="BA186" s="2449">
        <f t="shared" si="241"/>
        <v>0</v>
      </c>
      <c r="BB186" s="564" t="e">
        <f>BB187+BB188+BB189+BB190+BB191+#REF!</f>
        <v>#REF!</v>
      </c>
      <c r="BC186" s="1083">
        <f t="shared" si="243"/>
        <v>124.53999999999999</v>
      </c>
      <c r="BD186" s="3783"/>
      <c r="BE186" s="1100">
        <f t="shared" si="244"/>
        <v>378.28</v>
      </c>
      <c r="BF186" s="7334"/>
      <c r="BI186" s="4152"/>
      <c r="BJ186" s="4152"/>
    </row>
    <row r="187" spans="2:62" s="7297" customFormat="1" ht="18.75" hidden="1" x14ac:dyDescent="0.25">
      <c r="B187" s="1758" t="s">
        <v>2286</v>
      </c>
      <c r="C187" s="3041" t="s">
        <v>352</v>
      </c>
      <c r="D187" s="6896">
        <f t="shared" ref="D187:E187" si="245">D188+D189</f>
        <v>0</v>
      </c>
      <c r="E187" s="6896">
        <f t="shared" si="245"/>
        <v>0</v>
      </c>
      <c r="F187" s="6896"/>
      <c r="G187" s="6896">
        <f t="shared" ref="G187:BE187" si="246">G188+G189</f>
        <v>0</v>
      </c>
      <c r="H187" s="6897">
        <f t="shared" si="246"/>
        <v>0</v>
      </c>
      <c r="I187" s="6928">
        <f t="shared" si="246"/>
        <v>0</v>
      </c>
      <c r="J187" s="3572">
        <f t="shared" si="246"/>
        <v>0</v>
      </c>
      <c r="K187" s="6896">
        <f t="shared" si="246"/>
        <v>0</v>
      </c>
      <c r="L187" s="6896">
        <f t="shared" si="246"/>
        <v>0</v>
      </c>
      <c r="M187" s="7107">
        <f t="shared" si="216"/>
        <v>0</v>
      </c>
      <c r="N187" s="6896">
        <f t="shared" si="246"/>
        <v>0</v>
      </c>
      <c r="O187" s="6896">
        <f t="shared" si="246"/>
        <v>0</v>
      </c>
      <c r="P187" s="6896">
        <f t="shared" si="246"/>
        <v>0</v>
      </c>
      <c r="Q187" s="7326">
        <f t="shared" si="152"/>
        <v>0</v>
      </c>
      <c r="R187" s="6896">
        <f t="shared" si="246"/>
        <v>0</v>
      </c>
      <c r="S187" s="6896">
        <f t="shared" si="246"/>
        <v>490.26</v>
      </c>
      <c r="T187" s="6896">
        <f t="shared" si="246"/>
        <v>0</v>
      </c>
      <c r="U187" s="7025">
        <f t="shared" si="212"/>
        <v>490.26</v>
      </c>
      <c r="V187" s="6896">
        <f t="shared" si="246"/>
        <v>0</v>
      </c>
      <c r="W187" s="6896">
        <f t="shared" si="246"/>
        <v>317.08000000000004</v>
      </c>
      <c r="X187" s="6896">
        <f t="shared" si="246"/>
        <v>0</v>
      </c>
      <c r="Y187" s="7107">
        <f t="shared" si="170"/>
        <v>807.34</v>
      </c>
      <c r="Z187" s="6896">
        <f t="shared" si="246"/>
        <v>0</v>
      </c>
      <c r="AA187" s="6899">
        <f t="shared" si="171"/>
        <v>807.34</v>
      </c>
      <c r="AB187" s="6896">
        <f t="shared" si="246"/>
        <v>0</v>
      </c>
      <c r="AC187" s="6896">
        <f t="shared" si="246"/>
        <v>312.26</v>
      </c>
      <c r="AD187" s="6896">
        <f t="shared" si="246"/>
        <v>0</v>
      </c>
      <c r="AE187" s="7298">
        <f t="shared" si="217"/>
        <v>1119.5999999999999</v>
      </c>
      <c r="AF187" s="6896">
        <f t="shared" si="246"/>
        <v>0</v>
      </c>
      <c r="AG187" s="6896">
        <f t="shared" si="246"/>
        <v>0</v>
      </c>
      <c r="AH187" s="6896">
        <f t="shared" si="246"/>
        <v>0</v>
      </c>
      <c r="AI187" s="5653">
        <f t="shared" si="218"/>
        <v>1119.5999999999999</v>
      </c>
      <c r="AJ187" s="6896">
        <f t="shared" si="246"/>
        <v>0</v>
      </c>
      <c r="AK187" s="6896">
        <f t="shared" si="246"/>
        <v>0</v>
      </c>
      <c r="AL187" s="6896">
        <f t="shared" si="246"/>
        <v>0</v>
      </c>
      <c r="AM187" s="7107">
        <f t="shared" si="222"/>
        <v>312.26</v>
      </c>
      <c r="AN187" s="7327">
        <f t="shared" si="246"/>
        <v>0</v>
      </c>
      <c r="AO187" s="5653">
        <f t="shared" si="223"/>
        <v>1119.5999999999999</v>
      </c>
      <c r="AP187" s="6896">
        <f t="shared" si="246"/>
        <v>0</v>
      </c>
      <c r="AQ187" s="6896">
        <f t="shared" si="246"/>
        <v>0</v>
      </c>
      <c r="AR187" s="6896">
        <f t="shared" si="246"/>
        <v>0</v>
      </c>
      <c r="AS187" s="5653">
        <f t="shared" si="219"/>
        <v>1119.5999999999999</v>
      </c>
      <c r="AT187" s="6896">
        <f t="shared" si="246"/>
        <v>0</v>
      </c>
      <c r="AU187" s="6896">
        <f t="shared" si="246"/>
        <v>0</v>
      </c>
      <c r="AV187" s="6896">
        <f t="shared" si="246"/>
        <v>0</v>
      </c>
      <c r="AW187" s="5653">
        <f t="shared" si="220"/>
        <v>1119.5999999999999</v>
      </c>
      <c r="AX187" s="6896">
        <f t="shared" si="246"/>
        <v>0</v>
      </c>
      <c r="AY187" s="6896">
        <f t="shared" si="246"/>
        <v>0</v>
      </c>
      <c r="AZ187" s="6896">
        <f t="shared" si="246"/>
        <v>0</v>
      </c>
      <c r="BA187" s="7107">
        <f t="shared" si="246"/>
        <v>0</v>
      </c>
      <c r="BB187" s="7327" t="e">
        <f t="shared" si="246"/>
        <v>#REF!</v>
      </c>
      <c r="BC187" s="6899">
        <f t="shared" si="246"/>
        <v>312.26</v>
      </c>
      <c r="BD187" s="6896">
        <f t="shared" si="246"/>
        <v>0</v>
      </c>
      <c r="BE187" s="5653">
        <f t="shared" si="246"/>
        <v>1119.6000000000001</v>
      </c>
      <c r="BF187" s="7334"/>
      <c r="BI187" s="4152"/>
      <c r="BJ187" s="4152"/>
    </row>
    <row r="188" spans="2:62" s="7297" customFormat="1" ht="18.75" hidden="1" x14ac:dyDescent="0.25">
      <c r="B188" s="1758" t="s">
        <v>1541</v>
      </c>
      <c r="C188" s="3586" t="s">
        <v>352</v>
      </c>
      <c r="D188" s="7328"/>
      <c r="E188" s="7328"/>
      <c r="F188" s="7328"/>
      <c r="G188" s="7328"/>
      <c r="H188" s="7329"/>
      <c r="I188" s="7330"/>
      <c r="J188" s="7331"/>
      <c r="K188" s="7328"/>
      <c r="L188" s="7328"/>
      <c r="M188" s="7091">
        <f t="shared" si="216"/>
        <v>0</v>
      </c>
      <c r="N188" s="7328"/>
      <c r="O188" s="7328"/>
      <c r="P188" s="7328"/>
      <c r="Q188" s="7108">
        <f t="shared" si="152"/>
        <v>0</v>
      </c>
      <c r="R188" s="7328"/>
      <c r="S188" s="7328">
        <v>125.22</v>
      </c>
      <c r="T188" s="7328"/>
      <c r="U188" s="6757">
        <f t="shared" si="212"/>
        <v>125.22</v>
      </c>
      <c r="V188" s="7328"/>
      <c r="W188" s="7328">
        <v>317.08000000000004</v>
      </c>
      <c r="X188" s="7328"/>
      <c r="Y188" s="7091">
        <f t="shared" si="170"/>
        <v>442.30000000000007</v>
      </c>
      <c r="Z188" s="7328"/>
      <c r="AA188" s="7332">
        <f t="shared" si="171"/>
        <v>442.30000000000007</v>
      </c>
      <c r="AB188" s="7328"/>
      <c r="AC188" s="7328">
        <v>312.26</v>
      </c>
      <c r="AD188" s="7328"/>
      <c r="AE188" s="7333">
        <f t="shared" si="217"/>
        <v>754.56000000000006</v>
      </c>
      <c r="AF188" s="7328"/>
      <c r="AG188" s="7328"/>
      <c r="AH188" s="7328"/>
      <c r="AI188" s="6774">
        <f t="shared" si="218"/>
        <v>754.56000000000006</v>
      </c>
      <c r="AJ188" s="7328"/>
      <c r="AK188" s="7328"/>
      <c r="AL188" s="7328"/>
      <c r="AM188" s="7091">
        <f t="shared" si="222"/>
        <v>312.26</v>
      </c>
      <c r="AN188" s="7299"/>
      <c r="AO188" s="6774">
        <f t="shared" si="223"/>
        <v>754.56000000000006</v>
      </c>
      <c r="AP188" s="7328"/>
      <c r="AQ188" s="7328"/>
      <c r="AR188" s="7328"/>
      <c r="AS188" s="6774">
        <f t="shared" si="219"/>
        <v>754.56000000000006</v>
      </c>
      <c r="AT188" s="7328"/>
      <c r="AU188" s="7328"/>
      <c r="AV188" s="7328"/>
      <c r="AW188" s="6774">
        <f t="shared" si="220"/>
        <v>754.56000000000006</v>
      </c>
      <c r="AX188" s="7328"/>
      <c r="AY188" s="7328"/>
      <c r="AZ188" s="7328"/>
      <c r="BA188" s="2449">
        <f t="shared" ref="BA188:BA189" si="247">+AQ188+AU188+AY188</f>
        <v>0</v>
      </c>
      <c r="BB188" s="564" t="e">
        <f>BB189+BB190+BB191+BB192+#REF!+BB195</f>
        <v>#REF!</v>
      </c>
      <c r="BC188" s="1083">
        <f t="shared" ref="BC188:BC189" si="248">BA188+AM188</f>
        <v>312.26</v>
      </c>
      <c r="BD188" s="3783"/>
      <c r="BE188" s="1100">
        <f t="shared" ref="BE188:BE189" si="249">+AW188+AY188</f>
        <v>754.56000000000006</v>
      </c>
      <c r="BF188" s="7334"/>
      <c r="BI188" s="4152"/>
      <c r="BJ188" s="4152"/>
    </row>
    <row r="189" spans="2:62" s="7297" customFormat="1" ht="18.75" hidden="1" x14ac:dyDescent="0.25">
      <c r="B189" s="1758" t="s">
        <v>2288</v>
      </c>
      <c r="C189" s="3586" t="s">
        <v>352</v>
      </c>
      <c r="D189" s="7328"/>
      <c r="E189" s="7328"/>
      <c r="F189" s="7328"/>
      <c r="G189" s="7328"/>
      <c r="H189" s="7329"/>
      <c r="I189" s="7330"/>
      <c r="J189" s="7331"/>
      <c r="K189" s="7328"/>
      <c r="L189" s="7328"/>
      <c r="M189" s="7091">
        <f t="shared" si="216"/>
        <v>0</v>
      </c>
      <c r="N189" s="7328"/>
      <c r="O189" s="7328"/>
      <c r="P189" s="7328"/>
      <c r="Q189" s="7108">
        <f t="shared" si="152"/>
        <v>0</v>
      </c>
      <c r="R189" s="7328"/>
      <c r="S189" s="7328">
        <v>365.04</v>
      </c>
      <c r="T189" s="7328"/>
      <c r="U189" s="6757">
        <f t="shared" si="212"/>
        <v>365.04</v>
      </c>
      <c r="V189" s="7328"/>
      <c r="W189" s="7328"/>
      <c r="X189" s="7328"/>
      <c r="Y189" s="7091">
        <f t="shared" si="170"/>
        <v>365.04</v>
      </c>
      <c r="Z189" s="7328"/>
      <c r="AA189" s="7332">
        <f t="shared" si="171"/>
        <v>365.04</v>
      </c>
      <c r="AB189" s="7328"/>
      <c r="AC189" s="7328"/>
      <c r="AD189" s="7328"/>
      <c r="AE189" s="7333">
        <f t="shared" si="217"/>
        <v>365.04</v>
      </c>
      <c r="AF189" s="7328"/>
      <c r="AG189" s="7328"/>
      <c r="AH189" s="7328"/>
      <c r="AI189" s="6774">
        <f t="shared" si="218"/>
        <v>365.04</v>
      </c>
      <c r="AJ189" s="7328"/>
      <c r="AK189" s="7328"/>
      <c r="AL189" s="7328"/>
      <c r="AM189" s="7091">
        <f t="shared" si="222"/>
        <v>0</v>
      </c>
      <c r="AN189" s="7299"/>
      <c r="AO189" s="6774">
        <f t="shared" si="223"/>
        <v>365.04</v>
      </c>
      <c r="AP189" s="7328"/>
      <c r="AQ189" s="7328"/>
      <c r="AR189" s="7328"/>
      <c r="AS189" s="6774">
        <f t="shared" si="219"/>
        <v>365.04</v>
      </c>
      <c r="AT189" s="7328"/>
      <c r="AU189" s="7328"/>
      <c r="AV189" s="7328"/>
      <c r="AW189" s="6774">
        <f t="shared" si="220"/>
        <v>365.04</v>
      </c>
      <c r="AX189" s="7328"/>
      <c r="AY189" s="7328"/>
      <c r="AZ189" s="7328"/>
      <c r="BA189" s="2449">
        <f t="shared" si="247"/>
        <v>0</v>
      </c>
      <c r="BB189" s="564" t="e">
        <f>BB190+BB191+BB192+#REF!+#REF!+BB196</f>
        <v>#REF!</v>
      </c>
      <c r="BC189" s="1083">
        <f t="shared" si="248"/>
        <v>0</v>
      </c>
      <c r="BD189" s="3783"/>
      <c r="BE189" s="1100">
        <f t="shared" si="249"/>
        <v>365.04</v>
      </c>
      <c r="BF189" s="7334"/>
      <c r="BI189" s="4152"/>
      <c r="BJ189" s="4152"/>
    </row>
    <row r="190" spans="2:62" s="4487" customFormat="1" ht="18.75" hidden="1" x14ac:dyDescent="0.25">
      <c r="B190" s="1758" t="s">
        <v>2287</v>
      </c>
      <c r="C190" s="3586" t="s">
        <v>352</v>
      </c>
      <c r="D190" s="6896">
        <f t="shared" ref="D190:E190" si="250">D191+D192</f>
        <v>0</v>
      </c>
      <c r="E190" s="6896">
        <f t="shared" si="250"/>
        <v>0</v>
      </c>
      <c r="F190" s="6896"/>
      <c r="G190" s="6896">
        <f t="shared" ref="G190:BE190" si="251">G191+G192</f>
        <v>0</v>
      </c>
      <c r="H190" s="6897">
        <f t="shared" si="251"/>
        <v>0</v>
      </c>
      <c r="I190" s="6928">
        <f t="shared" si="251"/>
        <v>0</v>
      </c>
      <c r="J190" s="3572">
        <f t="shared" si="251"/>
        <v>0</v>
      </c>
      <c r="K190" s="6896">
        <f t="shared" si="251"/>
        <v>0</v>
      </c>
      <c r="L190" s="6896">
        <f t="shared" si="251"/>
        <v>0</v>
      </c>
      <c r="M190" s="7107">
        <f t="shared" si="216"/>
        <v>0</v>
      </c>
      <c r="N190" s="6896">
        <f t="shared" si="251"/>
        <v>0</v>
      </c>
      <c r="O190" s="6896">
        <f t="shared" si="251"/>
        <v>64.099999999999994</v>
      </c>
      <c r="P190" s="6896">
        <f t="shared" si="251"/>
        <v>0</v>
      </c>
      <c r="Q190" s="7108">
        <f t="shared" si="152"/>
        <v>64.099999999999994</v>
      </c>
      <c r="R190" s="6896">
        <f t="shared" si="251"/>
        <v>0</v>
      </c>
      <c r="S190" s="6896">
        <f t="shared" si="251"/>
        <v>371.54</v>
      </c>
      <c r="T190" s="6896">
        <f t="shared" si="251"/>
        <v>0</v>
      </c>
      <c r="U190" s="6757">
        <f t="shared" si="212"/>
        <v>435.64</v>
      </c>
      <c r="V190" s="6896">
        <f t="shared" si="251"/>
        <v>0</v>
      </c>
      <c r="W190" s="6896">
        <f t="shared" si="251"/>
        <v>247.86</v>
      </c>
      <c r="X190" s="6896">
        <f t="shared" si="251"/>
        <v>0</v>
      </c>
      <c r="Y190" s="7107">
        <f t="shared" si="170"/>
        <v>683.5</v>
      </c>
      <c r="Z190" s="6896">
        <f t="shared" si="251"/>
        <v>0</v>
      </c>
      <c r="AA190" s="6899">
        <f t="shared" si="171"/>
        <v>683.5</v>
      </c>
      <c r="AB190" s="6896">
        <f t="shared" si="251"/>
        <v>0</v>
      </c>
      <c r="AC190" s="6896">
        <f t="shared" si="251"/>
        <v>311.02</v>
      </c>
      <c r="AD190" s="6896">
        <f t="shared" si="251"/>
        <v>0</v>
      </c>
      <c r="AE190" s="7298">
        <f t="shared" si="217"/>
        <v>994.52</v>
      </c>
      <c r="AF190" s="6896">
        <f t="shared" si="251"/>
        <v>0</v>
      </c>
      <c r="AG190" s="6896">
        <f t="shared" si="251"/>
        <v>0</v>
      </c>
      <c r="AH190" s="6896">
        <f t="shared" si="251"/>
        <v>0</v>
      </c>
      <c r="AI190" s="5653">
        <f t="shared" si="218"/>
        <v>994.52</v>
      </c>
      <c r="AJ190" s="6896">
        <f t="shared" si="251"/>
        <v>0</v>
      </c>
      <c r="AK190" s="6896">
        <f t="shared" si="251"/>
        <v>244.1</v>
      </c>
      <c r="AL190" s="6896">
        <f t="shared" si="251"/>
        <v>0</v>
      </c>
      <c r="AM190" s="7107">
        <f t="shared" si="222"/>
        <v>555.12</v>
      </c>
      <c r="AN190" s="7299">
        <f t="shared" si="251"/>
        <v>0</v>
      </c>
      <c r="AO190" s="6774">
        <f t="shared" si="223"/>
        <v>1238.6199999999999</v>
      </c>
      <c r="AP190" s="6896">
        <f t="shared" si="251"/>
        <v>0</v>
      </c>
      <c r="AQ190" s="6896">
        <f t="shared" si="251"/>
        <v>0</v>
      </c>
      <c r="AR190" s="6896">
        <f t="shared" si="251"/>
        <v>0</v>
      </c>
      <c r="AS190" s="6774">
        <f t="shared" si="219"/>
        <v>1238.6199999999999</v>
      </c>
      <c r="AT190" s="6896">
        <f t="shared" si="251"/>
        <v>0</v>
      </c>
      <c r="AU190" s="6896">
        <f t="shared" si="251"/>
        <v>311.56</v>
      </c>
      <c r="AV190" s="6896">
        <f t="shared" si="251"/>
        <v>0</v>
      </c>
      <c r="AW190" s="6774">
        <f t="shared" si="220"/>
        <v>1550.1799999999998</v>
      </c>
      <c r="AX190" s="6896">
        <f t="shared" si="251"/>
        <v>0</v>
      </c>
      <c r="AY190" s="6896">
        <f t="shared" si="251"/>
        <v>0</v>
      </c>
      <c r="AZ190" s="6896">
        <f t="shared" si="251"/>
        <v>0</v>
      </c>
      <c r="BA190" s="7107">
        <f t="shared" si="251"/>
        <v>311.56</v>
      </c>
      <c r="BB190" s="7299" t="e">
        <f t="shared" si="251"/>
        <v>#REF!</v>
      </c>
      <c r="BC190" s="6899">
        <f t="shared" si="251"/>
        <v>866.68000000000006</v>
      </c>
      <c r="BD190" s="6896">
        <f t="shared" si="251"/>
        <v>0</v>
      </c>
      <c r="BE190" s="5653">
        <f t="shared" si="251"/>
        <v>1550.18</v>
      </c>
      <c r="BF190" s="1137"/>
      <c r="BI190" s="25"/>
      <c r="BJ190" s="25"/>
    </row>
    <row r="191" spans="2:62" s="7297" customFormat="1" ht="18.75" hidden="1" x14ac:dyDescent="0.25">
      <c r="B191" s="1758" t="s">
        <v>1541</v>
      </c>
      <c r="C191" s="3586" t="s">
        <v>352</v>
      </c>
      <c r="D191" s="7328"/>
      <c r="E191" s="7328"/>
      <c r="F191" s="7328"/>
      <c r="G191" s="7328"/>
      <c r="H191" s="7329"/>
      <c r="I191" s="7330"/>
      <c r="J191" s="7331"/>
      <c r="K191" s="7328"/>
      <c r="L191" s="7328"/>
      <c r="M191" s="7091">
        <f t="shared" si="216"/>
        <v>0</v>
      </c>
      <c r="N191" s="7328"/>
      <c r="O191" s="7328">
        <v>64.099999999999994</v>
      </c>
      <c r="P191" s="7328"/>
      <c r="Q191" s="7108">
        <f t="shared" si="152"/>
        <v>64.099999999999994</v>
      </c>
      <c r="R191" s="7328"/>
      <c r="S191" s="7328">
        <v>125.38</v>
      </c>
      <c r="T191" s="7328"/>
      <c r="U191" s="6757">
        <f t="shared" si="212"/>
        <v>189.48</v>
      </c>
      <c r="V191" s="7328"/>
      <c r="W191" s="7328">
        <v>247.86</v>
      </c>
      <c r="X191" s="7328"/>
      <c r="Y191" s="7091">
        <f t="shared" si="170"/>
        <v>437.34000000000003</v>
      </c>
      <c r="Z191" s="7328"/>
      <c r="AA191" s="7332">
        <f t="shared" si="171"/>
        <v>437.34000000000003</v>
      </c>
      <c r="AB191" s="7328"/>
      <c r="AC191" s="7328">
        <v>311.02</v>
      </c>
      <c r="AD191" s="7328"/>
      <c r="AE191" s="7333">
        <f t="shared" si="217"/>
        <v>748.36</v>
      </c>
      <c r="AF191" s="7328"/>
      <c r="AG191" s="7328"/>
      <c r="AH191" s="7328"/>
      <c r="AI191" s="6774">
        <f t="shared" si="218"/>
        <v>748.36</v>
      </c>
      <c r="AJ191" s="7328"/>
      <c r="AK191" s="7328">
        <v>244.1</v>
      </c>
      <c r="AL191" s="7328"/>
      <c r="AM191" s="7091">
        <f t="shared" si="222"/>
        <v>555.12</v>
      </c>
      <c r="AN191" s="7299"/>
      <c r="AO191" s="6774">
        <f t="shared" si="223"/>
        <v>992.46</v>
      </c>
      <c r="AP191" s="7328"/>
      <c r="AQ191" s="7328"/>
      <c r="AR191" s="7328"/>
      <c r="AS191" s="6774">
        <f t="shared" si="219"/>
        <v>992.46</v>
      </c>
      <c r="AT191" s="7328"/>
      <c r="AU191" s="7328">
        <v>311.56</v>
      </c>
      <c r="AV191" s="7328"/>
      <c r="AW191" s="6774">
        <f t="shared" si="220"/>
        <v>1304.02</v>
      </c>
      <c r="AX191" s="7328"/>
      <c r="AY191" s="7328"/>
      <c r="AZ191" s="7328"/>
      <c r="BA191" s="2449">
        <f t="shared" ref="BA191:BA192" si="252">+AQ191+AU191+AY191</f>
        <v>311.56</v>
      </c>
      <c r="BB191" s="564" t="e">
        <f>BB192+#REF!+#REF!+BB194+BB195+BB198</f>
        <v>#REF!</v>
      </c>
      <c r="BC191" s="1083">
        <f t="shared" ref="BC191:BC192" si="253">BA191+AM191</f>
        <v>866.68000000000006</v>
      </c>
      <c r="BD191" s="3783"/>
      <c r="BE191" s="1100">
        <f t="shared" ref="BE191:BE192" si="254">+AW191+AY191</f>
        <v>1304.02</v>
      </c>
      <c r="BF191" s="7334"/>
      <c r="BI191" s="4152"/>
      <c r="BJ191" s="4152"/>
    </row>
    <row r="192" spans="2:62" s="7297" customFormat="1" ht="18.75" hidden="1" x14ac:dyDescent="0.25">
      <c r="B192" s="1758" t="s">
        <v>2288</v>
      </c>
      <c r="C192" s="3586" t="s">
        <v>352</v>
      </c>
      <c r="D192" s="7328"/>
      <c r="E192" s="7328"/>
      <c r="F192" s="7328"/>
      <c r="G192" s="7328"/>
      <c r="H192" s="7329"/>
      <c r="I192" s="7330"/>
      <c r="J192" s="7331"/>
      <c r="K192" s="7328"/>
      <c r="L192" s="7328"/>
      <c r="M192" s="7091">
        <f t="shared" si="216"/>
        <v>0</v>
      </c>
      <c r="N192" s="7328"/>
      <c r="O192" s="7328"/>
      <c r="P192" s="7328"/>
      <c r="Q192" s="7108">
        <f t="shared" si="152"/>
        <v>0</v>
      </c>
      <c r="R192" s="7328"/>
      <c r="S192" s="7328">
        <v>246.16000000000003</v>
      </c>
      <c r="T192" s="7328"/>
      <c r="U192" s="6757">
        <f t="shared" si="212"/>
        <v>246.16000000000003</v>
      </c>
      <c r="V192" s="7328"/>
      <c r="W192" s="7328"/>
      <c r="X192" s="7328"/>
      <c r="Y192" s="7091">
        <f t="shared" si="170"/>
        <v>246.16000000000003</v>
      </c>
      <c r="Z192" s="7328"/>
      <c r="AA192" s="7332">
        <f t="shared" si="171"/>
        <v>246.16000000000003</v>
      </c>
      <c r="AB192" s="7328"/>
      <c r="AC192" s="7328"/>
      <c r="AD192" s="7328"/>
      <c r="AE192" s="7333">
        <f t="shared" si="217"/>
        <v>246.16000000000003</v>
      </c>
      <c r="AF192" s="7328"/>
      <c r="AG192" s="7328"/>
      <c r="AH192" s="7328"/>
      <c r="AI192" s="6774">
        <f t="shared" si="218"/>
        <v>246.16000000000003</v>
      </c>
      <c r="AJ192" s="7328"/>
      <c r="AK192" s="7328"/>
      <c r="AL192" s="7328"/>
      <c r="AM192" s="7091">
        <f t="shared" si="222"/>
        <v>0</v>
      </c>
      <c r="AN192" s="7299"/>
      <c r="AO192" s="6774">
        <f t="shared" si="223"/>
        <v>246.16000000000003</v>
      </c>
      <c r="AP192" s="7328"/>
      <c r="AQ192" s="7328"/>
      <c r="AR192" s="7328"/>
      <c r="AS192" s="6774">
        <f t="shared" si="219"/>
        <v>246.16000000000003</v>
      </c>
      <c r="AT192" s="7328"/>
      <c r="AU192" s="7328"/>
      <c r="AV192" s="7328"/>
      <c r="AW192" s="6774">
        <f t="shared" si="220"/>
        <v>246.16000000000003</v>
      </c>
      <c r="AX192" s="7328"/>
      <c r="AY192" s="7328"/>
      <c r="AZ192" s="7328"/>
      <c r="BA192" s="2449">
        <f t="shared" si="252"/>
        <v>0</v>
      </c>
      <c r="BB192" s="564" t="e">
        <f>#REF!+#REF!+BB194+BB195+BB196+BB199</f>
        <v>#REF!</v>
      </c>
      <c r="BC192" s="1083">
        <f t="shared" si="253"/>
        <v>0</v>
      </c>
      <c r="BD192" s="3783"/>
      <c r="BE192" s="1100">
        <f t="shared" si="254"/>
        <v>246.16000000000003</v>
      </c>
      <c r="BF192" s="7334"/>
      <c r="BI192" s="4152"/>
      <c r="BJ192" s="4152"/>
    </row>
    <row r="193" spans="1:62" s="31" customFormat="1" ht="20.25" hidden="1" x14ac:dyDescent="0.25">
      <c r="B193" s="7430" t="s">
        <v>2297</v>
      </c>
      <c r="C193" s="7429"/>
      <c r="D193" s="6896">
        <f t="shared" ref="D193:E193" si="255">+D194+D195</f>
        <v>0</v>
      </c>
      <c r="E193" s="6896">
        <f t="shared" si="255"/>
        <v>0</v>
      </c>
      <c r="F193" s="6896">
        <f t="shared" ref="F193:BE193" si="256">+F194+F195</f>
        <v>0</v>
      </c>
      <c r="G193" s="6896">
        <f t="shared" si="256"/>
        <v>0</v>
      </c>
      <c r="H193" s="6896">
        <f t="shared" si="256"/>
        <v>0</v>
      </c>
      <c r="I193" s="6896">
        <f t="shared" si="256"/>
        <v>0</v>
      </c>
      <c r="J193" s="6896">
        <f t="shared" si="256"/>
        <v>0</v>
      </c>
      <c r="K193" s="6896">
        <f t="shared" si="256"/>
        <v>0</v>
      </c>
      <c r="L193" s="6896">
        <f t="shared" si="256"/>
        <v>0</v>
      </c>
      <c r="M193" s="6896">
        <f t="shared" si="256"/>
        <v>0</v>
      </c>
      <c r="N193" s="6896">
        <f t="shared" si="256"/>
        <v>0</v>
      </c>
      <c r="O193" s="6896">
        <f t="shared" si="256"/>
        <v>0</v>
      </c>
      <c r="P193" s="6896">
        <f t="shared" si="256"/>
        <v>0</v>
      </c>
      <c r="Q193" s="6896">
        <f t="shared" si="256"/>
        <v>0</v>
      </c>
      <c r="R193" s="6896">
        <f t="shared" si="256"/>
        <v>0</v>
      </c>
      <c r="S193" s="6896">
        <f t="shared" si="256"/>
        <v>0</v>
      </c>
      <c r="T193" s="6896">
        <f t="shared" si="256"/>
        <v>0</v>
      </c>
      <c r="U193" s="6896">
        <f t="shared" si="256"/>
        <v>0</v>
      </c>
      <c r="V193" s="6896">
        <f t="shared" si="256"/>
        <v>0</v>
      </c>
      <c r="W193" s="6896">
        <f t="shared" si="256"/>
        <v>0</v>
      </c>
      <c r="X193" s="6896">
        <f t="shared" si="256"/>
        <v>0</v>
      </c>
      <c r="Y193" s="6896">
        <f t="shared" si="256"/>
        <v>0</v>
      </c>
      <c r="Z193" s="6896">
        <f t="shared" si="256"/>
        <v>0</v>
      </c>
      <c r="AA193" s="6896">
        <f t="shared" si="256"/>
        <v>0</v>
      </c>
      <c r="AB193" s="6896">
        <f t="shared" si="256"/>
        <v>0</v>
      </c>
      <c r="AC193" s="6896">
        <f t="shared" si="256"/>
        <v>0</v>
      </c>
      <c r="AD193" s="6896">
        <f t="shared" si="256"/>
        <v>0</v>
      </c>
      <c r="AE193" s="6896">
        <f t="shared" si="256"/>
        <v>0</v>
      </c>
      <c r="AF193" s="6896">
        <f t="shared" si="256"/>
        <v>0</v>
      </c>
      <c r="AG193" s="6896">
        <f t="shared" si="256"/>
        <v>0</v>
      </c>
      <c r="AH193" s="6896">
        <f t="shared" si="256"/>
        <v>0</v>
      </c>
      <c r="AI193" s="6896">
        <f t="shared" si="256"/>
        <v>0</v>
      </c>
      <c r="AJ193" s="6896">
        <f t="shared" si="256"/>
        <v>0</v>
      </c>
      <c r="AK193" s="6896">
        <f t="shared" si="256"/>
        <v>0</v>
      </c>
      <c r="AL193" s="6896">
        <f t="shared" si="256"/>
        <v>0</v>
      </c>
      <c r="AM193" s="6896">
        <f t="shared" si="256"/>
        <v>0</v>
      </c>
      <c r="AN193" s="6896">
        <f t="shared" si="256"/>
        <v>0</v>
      </c>
      <c r="AO193" s="6896">
        <f t="shared" si="256"/>
        <v>0</v>
      </c>
      <c r="AP193" s="6896">
        <f t="shared" si="256"/>
        <v>0</v>
      </c>
      <c r="AQ193" s="6896">
        <f t="shared" si="256"/>
        <v>0</v>
      </c>
      <c r="AR193" s="6896">
        <f t="shared" si="256"/>
        <v>0</v>
      </c>
      <c r="AS193" s="6896">
        <f t="shared" si="256"/>
        <v>0</v>
      </c>
      <c r="AT193" s="6896">
        <f t="shared" si="256"/>
        <v>0</v>
      </c>
      <c r="AU193" s="6896">
        <f t="shared" si="256"/>
        <v>2022.0800000000002</v>
      </c>
      <c r="AV193" s="6896">
        <f t="shared" si="256"/>
        <v>0</v>
      </c>
      <c r="AW193" s="6896">
        <f t="shared" si="256"/>
        <v>2022.0800000000002</v>
      </c>
      <c r="AX193" s="6896">
        <f t="shared" si="256"/>
        <v>0</v>
      </c>
      <c r="AY193" s="6896">
        <f t="shared" si="256"/>
        <v>2066.8999999999996</v>
      </c>
      <c r="AZ193" s="6896">
        <f t="shared" si="256"/>
        <v>0</v>
      </c>
      <c r="BA193" s="6896">
        <f t="shared" si="256"/>
        <v>4088.9799999999996</v>
      </c>
      <c r="BB193" s="6896">
        <f t="shared" si="256"/>
        <v>0</v>
      </c>
      <c r="BC193" s="6896">
        <f t="shared" si="256"/>
        <v>4088.9799999999996</v>
      </c>
      <c r="BD193" s="6896">
        <f t="shared" si="256"/>
        <v>0</v>
      </c>
      <c r="BE193" s="6896">
        <f t="shared" si="256"/>
        <v>4088.9799999999996</v>
      </c>
      <c r="BF193" s="7432"/>
      <c r="BI193" s="7433"/>
      <c r="BJ193" s="7433"/>
    </row>
    <row r="194" spans="1:62" s="4487" customFormat="1" ht="18.75" hidden="1" x14ac:dyDescent="0.25">
      <c r="B194" s="7431" t="s">
        <v>2264</v>
      </c>
      <c r="C194" s="3126" t="s">
        <v>352</v>
      </c>
      <c r="D194" s="6896"/>
      <c r="E194" s="6896"/>
      <c r="F194" s="6896"/>
      <c r="G194" s="6896"/>
      <c r="H194" s="6897"/>
      <c r="I194" s="6757"/>
      <c r="J194" s="3572"/>
      <c r="K194" s="6896"/>
      <c r="L194" s="6896"/>
      <c r="M194" s="6898"/>
      <c r="N194" s="6896"/>
      <c r="O194" s="6896"/>
      <c r="P194" s="6896"/>
      <c r="Q194" s="6760"/>
      <c r="R194" s="6896"/>
      <c r="S194" s="6896"/>
      <c r="T194" s="6896"/>
      <c r="U194" s="6757"/>
      <c r="V194" s="6896"/>
      <c r="W194" s="6896"/>
      <c r="X194" s="6896"/>
      <c r="Y194" s="6898"/>
      <c r="Z194" s="6896"/>
      <c r="AA194" s="6899"/>
      <c r="AB194" s="6896"/>
      <c r="AC194" s="6896"/>
      <c r="AD194" s="6896"/>
      <c r="AE194" s="6763"/>
      <c r="AF194" s="6896"/>
      <c r="AG194" s="6896"/>
      <c r="AH194" s="6896"/>
      <c r="AI194" s="5653"/>
      <c r="AJ194" s="6896"/>
      <c r="AK194" s="6896"/>
      <c r="AL194" s="6896"/>
      <c r="AM194" s="6898"/>
      <c r="AN194" s="6771"/>
      <c r="AO194" s="6774"/>
      <c r="AP194" s="6896"/>
      <c r="AQ194" s="6896"/>
      <c r="AR194" s="6896"/>
      <c r="AS194" s="6774"/>
      <c r="AT194" s="6896"/>
      <c r="AU194" s="6896">
        <v>441.44</v>
      </c>
      <c r="AV194" s="6896"/>
      <c r="AW194" s="1100">
        <f t="shared" si="220"/>
        <v>441.44</v>
      </c>
      <c r="AX194" s="6896"/>
      <c r="AY194" s="6896">
        <v>296.89999999999998</v>
      </c>
      <c r="AZ194" s="6896"/>
      <c r="BA194" s="749">
        <f t="shared" ref="BA194:BA195" si="257">+AQ194+AU194+AY194</f>
        <v>738.33999999999992</v>
      </c>
      <c r="BB194" s="564"/>
      <c r="BC194" s="2846">
        <f t="shared" ref="BC194:BC195" si="258">BA194+AM194</f>
        <v>738.33999999999992</v>
      </c>
      <c r="BD194" s="2685"/>
      <c r="BE194" s="171">
        <f t="shared" ref="BE194:BE195" si="259">+AW194+AY194</f>
        <v>738.33999999999992</v>
      </c>
      <c r="BF194" s="1137"/>
      <c r="BI194" s="25"/>
      <c r="BJ194" s="25"/>
    </row>
    <row r="195" spans="1:62" s="4487" customFormat="1" ht="18.75" hidden="1" x14ac:dyDescent="0.25">
      <c r="B195" s="7431" t="s">
        <v>2265</v>
      </c>
      <c r="C195" s="3126" t="s">
        <v>352</v>
      </c>
      <c r="D195" s="6896"/>
      <c r="E195" s="6896"/>
      <c r="F195" s="6896"/>
      <c r="G195" s="6896"/>
      <c r="H195" s="6897"/>
      <c r="I195" s="6757"/>
      <c r="J195" s="3572"/>
      <c r="K195" s="6896"/>
      <c r="L195" s="6896"/>
      <c r="M195" s="6898"/>
      <c r="N195" s="6896"/>
      <c r="O195" s="6896"/>
      <c r="P195" s="6896"/>
      <c r="Q195" s="6760"/>
      <c r="R195" s="6896"/>
      <c r="S195" s="6896"/>
      <c r="T195" s="6896"/>
      <c r="U195" s="6757"/>
      <c r="V195" s="6896"/>
      <c r="W195" s="6896"/>
      <c r="X195" s="6896"/>
      <c r="Y195" s="6898"/>
      <c r="Z195" s="6896"/>
      <c r="AA195" s="6899"/>
      <c r="AB195" s="6896"/>
      <c r="AC195" s="6896"/>
      <c r="AD195" s="6896"/>
      <c r="AE195" s="6763"/>
      <c r="AF195" s="6896"/>
      <c r="AG195" s="6896"/>
      <c r="AH195" s="6896"/>
      <c r="AI195" s="5653"/>
      <c r="AJ195" s="6896"/>
      <c r="AK195" s="6896"/>
      <c r="AL195" s="6896"/>
      <c r="AM195" s="6898"/>
      <c r="AN195" s="6771"/>
      <c r="AO195" s="6774"/>
      <c r="AP195" s="6896"/>
      <c r="AQ195" s="6896"/>
      <c r="AR195" s="6896"/>
      <c r="AS195" s="6774"/>
      <c r="AT195" s="6896"/>
      <c r="AU195" s="6896">
        <v>1580.64</v>
      </c>
      <c r="AV195" s="6896"/>
      <c r="AW195" s="1100">
        <f t="shared" si="220"/>
        <v>1580.64</v>
      </c>
      <c r="AX195" s="6896"/>
      <c r="AY195" s="6896">
        <v>1769.9999999999998</v>
      </c>
      <c r="AZ195" s="6896"/>
      <c r="BA195" s="749">
        <f t="shared" si="257"/>
        <v>3350.64</v>
      </c>
      <c r="BB195" s="564"/>
      <c r="BC195" s="2846">
        <f t="shared" si="258"/>
        <v>3350.64</v>
      </c>
      <c r="BD195" s="2685"/>
      <c r="BE195" s="171">
        <f t="shared" si="259"/>
        <v>3350.64</v>
      </c>
      <c r="BF195" s="1137"/>
      <c r="BI195" s="25"/>
      <c r="BJ195" s="25"/>
    </row>
    <row r="196" spans="1:62" ht="16.5" thickBot="1" x14ac:dyDescent="0.3">
      <c r="A196" s="139"/>
      <c r="B196" s="313"/>
      <c r="C196" s="139"/>
      <c r="D196" s="4487"/>
      <c r="E196" s="4487"/>
      <c r="G196" s="4487"/>
      <c r="K196" s="4487"/>
      <c r="Q196" s="4487"/>
      <c r="S196" s="4487"/>
      <c r="W196" s="4487"/>
      <c r="X196" s="2841"/>
      <c r="Z196" s="2841"/>
      <c r="AA196" s="25"/>
      <c r="AB196" s="2427"/>
      <c r="AC196" s="4487"/>
      <c r="AD196" s="2427"/>
      <c r="AE196" s="2427"/>
      <c r="AF196" s="2474"/>
      <c r="AG196" s="4487"/>
      <c r="AH196" s="2474"/>
      <c r="AI196" s="2474"/>
      <c r="AJ196" s="2527"/>
      <c r="AK196" s="4487"/>
      <c r="AL196" s="2527"/>
      <c r="AM196" s="142"/>
      <c r="AN196" s="2527"/>
      <c r="AO196" s="2527"/>
      <c r="AP196" s="4487"/>
      <c r="AQ196" s="4487"/>
      <c r="AR196" s="2590"/>
      <c r="AS196" s="2590"/>
      <c r="AT196" s="2636"/>
      <c r="AU196" s="4487"/>
      <c r="AV196" s="2636"/>
      <c r="AW196" s="4487"/>
      <c r="AX196" s="4487"/>
      <c r="AY196" s="4487"/>
      <c r="BA196" s="142"/>
      <c r="BC196" s="25"/>
      <c r="BD196" s="2841"/>
      <c r="BE196" s="25"/>
      <c r="BF196" s="1137"/>
      <c r="BI196" s="25"/>
      <c r="BJ196" s="25"/>
    </row>
    <row r="197" spans="1:62" ht="25.5" customHeight="1" x14ac:dyDescent="0.25">
      <c r="A197" s="139"/>
      <c r="B197" s="7826" t="s">
        <v>1070</v>
      </c>
      <c r="C197" s="7827"/>
      <c r="D197" s="912"/>
      <c r="E197" s="3000"/>
      <c r="F197" s="3000"/>
      <c r="G197" s="3000"/>
      <c r="H197" s="3000"/>
      <c r="I197" s="3000"/>
      <c r="J197" s="3000"/>
      <c r="K197" s="3000"/>
      <c r="L197" s="3000"/>
      <c r="M197" s="3001"/>
      <c r="N197" s="3000"/>
      <c r="O197" s="7232"/>
      <c r="P197" s="3000"/>
      <c r="Q197" s="3000"/>
      <c r="R197" s="912"/>
      <c r="S197" s="3000"/>
      <c r="T197" s="3000"/>
      <c r="U197" s="4623"/>
      <c r="V197" s="912"/>
      <c r="W197" s="3000"/>
      <c r="X197" s="3000"/>
      <c r="Y197" s="3001"/>
      <c r="Z197" s="912"/>
      <c r="AA197" s="912"/>
      <c r="AB197" s="912"/>
      <c r="AC197" s="3000"/>
      <c r="AD197" s="3000"/>
      <c r="AE197" s="3002"/>
      <c r="AF197" s="912"/>
      <c r="AG197" s="3000"/>
      <c r="AH197" s="3000"/>
      <c r="AI197" s="3002"/>
      <c r="AJ197" s="912"/>
      <c r="AK197" s="3000"/>
      <c r="AL197" s="3000"/>
      <c r="AM197" s="3001"/>
      <c r="AN197" s="3000"/>
      <c r="AO197" s="3002"/>
      <c r="AP197" s="912"/>
      <c r="AQ197" s="3000"/>
      <c r="AR197" s="3000"/>
      <c r="AS197" s="3002"/>
      <c r="AT197" s="912"/>
      <c r="AU197" s="3000"/>
      <c r="AV197" s="3000"/>
      <c r="AW197" s="3002"/>
      <c r="AX197" s="912"/>
      <c r="AY197" s="3000"/>
      <c r="AZ197" s="912"/>
      <c r="BA197" s="3001"/>
      <c r="BB197" s="912"/>
      <c r="BC197" s="912"/>
      <c r="BD197" s="3000"/>
      <c r="BE197" s="3003"/>
      <c r="BF197" s="1137"/>
      <c r="BI197" s="25"/>
      <c r="BJ197" s="25"/>
    </row>
    <row r="198" spans="1:62" ht="18.75" customHeight="1" x14ac:dyDescent="0.25">
      <c r="A198" s="139"/>
      <c r="B198" s="5160" t="s">
        <v>340</v>
      </c>
      <c r="C198" s="5161" t="s">
        <v>352</v>
      </c>
      <c r="D198" s="5166">
        <f t="shared" ref="D198:E198" si="260">D199+D200+D201+D202</f>
        <v>0</v>
      </c>
      <c r="E198" s="5163">
        <f t="shared" si="260"/>
        <v>13558</v>
      </c>
      <c r="F198" s="5163">
        <v>0</v>
      </c>
      <c r="G198" s="5163">
        <f t="shared" ref="G198:AZ198" si="261">G199+G200+G201+G202</f>
        <v>2078.5</v>
      </c>
      <c r="H198" s="5164">
        <f t="shared" si="261"/>
        <v>0</v>
      </c>
      <c r="I198" s="3588">
        <f t="shared" si="261"/>
        <v>15636.5</v>
      </c>
      <c r="J198" s="5163">
        <f t="shared" si="261"/>
        <v>0</v>
      </c>
      <c r="K198" s="5163">
        <f t="shared" si="261"/>
        <v>0</v>
      </c>
      <c r="L198" s="5163">
        <f t="shared" si="261"/>
        <v>0</v>
      </c>
      <c r="M198" s="5165">
        <f t="shared" si="261"/>
        <v>15636.5</v>
      </c>
      <c r="N198" s="5163">
        <f t="shared" si="261"/>
        <v>0</v>
      </c>
      <c r="O198" s="5163">
        <f t="shared" si="261"/>
        <v>0</v>
      </c>
      <c r="P198" s="5163">
        <f t="shared" si="261"/>
        <v>0</v>
      </c>
      <c r="Q198" s="1548">
        <f t="shared" si="261"/>
        <v>15636.5</v>
      </c>
      <c r="R198" s="5166">
        <f t="shared" si="261"/>
        <v>0</v>
      </c>
      <c r="S198" s="5163">
        <f t="shared" si="261"/>
        <v>2542.38</v>
      </c>
      <c r="T198" s="5163">
        <f t="shared" si="261"/>
        <v>0</v>
      </c>
      <c r="U198" s="1548">
        <f t="shared" si="261"/>
        <v>18178.88</v>
      </c>
      <c r="V198" s="5166">
        <f t="shared" si="261"/>
        <v>0</v>
      </c>
      <c r="W198" s="5163">
        <f t="shared" ref="W198" si="262">W199+W200+W201+W202</f>
        <v>9859.31</v>
      </c>
      <c r="X198" s="5163">
        <f t="shared" si="261"/>
        <v>0</v>
      </c>
      <c r="Y198" s="5165">
        <f t="shared" ref="Y198:Y233" si="263">+O198+S198+W198</f>
        <v>12401.689999999999</v>
      </c>
      <c r="Z198" s="5167"/>
      <c r="AA198" s="5168">
        <f t="shared" ref="AA198:AA233" si="264">M198+Y198</f>
        <v>28038.19</v>
      </c>
      <c r="AB198" s="5166">
        <f t="shared" si="261"/>
        <v>0</v>
      </c>
      <c r="AC198" s="5163">
        <f t="shared" si="261"/>
        <v>4508.43</v>
      </c>
      <c r="AD198" s="5163">
        <f t="shared" si="261"/>
        <v>0</v>
      </c>
      <c r="AE198" s="5169">
        <f t="shared" ref="AE198:AE233" si="265">+AA198+AC198</f>
        <v>32546.62</v>
      </c>
      <c r="AF198" s="5166">
        <f t="shared" si="261"/>
        <v>0</v>
      </c>
      <c r="AG198" s="5163">
        <f t="shared" ref="AG198" si="266">AG199+AG200+AG201+AG202</f>
        <v>17443.419999999998</v>
      </c>
      <c r="AH198" s="5163">
        <f t="shared" si="261"/>
        <v>0</v>
      </c>
      <c r="AI198" s="5169">
        <f t="shared" ref="AI198:AI233" si="267">+AE198+AG198</f>
        <v>49990.039999999994</v>
      </c>
      <c r="AJ198" s="5166">
        <f t="shared" si="261"/>
        <v>0</v>
      </c>
      <c r="AK198" s="5163">
        <f t="shared" si="261"/>
        <v>22244.52</v>
      </c>
      <c r="AL198" s="5167">
        <f t="shared" si="261"/>
        <v>0</v>
      </c>
      <c r="AM198" s="5165">
        <f>AK198+AC198+AG198</f>
        <v>44196.369999999995</v>
      </c>
      <c r="AN198" s="5163">
        <f t="shared" si="261"/>
        <v>0</v>
      </c>
      <c r="AO198" s="5169">
        <f t="shared" ref="AO198:AO233" si="268">AI198+AK198</f>
        <v>72234.559999999998</v>
      </c>
      <c r="AP198" s="5166">
        <f t="shared" ref="AP198:AQ198" si="269">AP199+AP200+AP201+AP202</f>
        <v>0</v>
      </c>
      <c r="AQ198" s="5163">
        <f t="shared" si="269"/>
        <v>13342.22</v>
      </c>
      <c r="AR198" s="5163">
        <f t="shared" si="261"/>
        <v>0</v>
      </c>
      <c r="AS198" s="5169">
        <f t="shared" si="261"/>
        <v>85576.780000000013</v>
      </c>
      <c r="AT198" s="5166">
        <f t="shared" si="261"/>
        <v>0</v>
      </c>
      <c r="AU198" s="5163">
        <f t="shared" si="261"/>
        <v>15686.539999999999</v>
      </c>
      <c r="AV198" s="5163">
        <f t="shared" si="261"/>
        <v>0</v>
      </c>
      <c r="AW198" s="5169">
        <f t="shared" si="261"/>
        <v>101263.32</v>
      </c>
      <c r="AX198" s="5166">
        <f t="shared" ref="AX198:AY198" si="270">AX199+AX200+AX201+AX202</f>
        <v>0</v>
      </c>
      <c r="AY198" s="5163">
        <f t="shared" si="270"/>
        <v>10769.009999999993</v>
      </c>
      <c r="AZ198" s="5167">
        <f t="shared" si="261"/>
        <v>0</v>
      </c>
      <c r="BA198" s="5165">
        <f t="shared" ref="BA198:BA233" si="271">+AQ198+AU198+AY198</f>
        <v>39797.76999999999</v>
      </c>
      <c r="BB198" s="5167"/>
      <c r="BC198" s="5168">
        <f t="shared" ref="BC198:BC233" si="272">BA198+AM198</f>
        <v>83994.139999999985</v>
      </c>
      <c r="BD198" s="5163"/>
      <c r="BE198" s="5169">
        <f t="shared" ref="BE198:BE233" si="273">+AW198+AY198</f>
        <v>112032.33</v>
      </c>
      <c r="BF198" s="1137"/>
      <c r="BI198" s="25"/>
      <c r="BJ198" s="25"/>
    </row>
    <row r="199" spans="1:62" ht="15.75" customHeight="1" x14ac:dyDescent="0.25">
      <c r="A199" s="139"/>
      <c r="B199" s="5170" t="s">
        <v>807</v>
      </c>
      <c r="C199" s="5171" t="s">
        <v>352</v>
      </c>
      <c r="D199" s="5166"/>
      <c r="E199" s="5167">
        <v>13558</v>
      </c>
      <c r="F199" s="5167"/>
      <c r="G199" s="5167">
        <v>2078.5</v>
      </c>
      <c r="H199" s="5172"/>
      <c r="I199" s="3588">
        <f t="shared" ref="I199:I237" si="274">+E199+G199</f>
        <v>15636.5</v>
      </c>
      <c r="J199" s="5167"/>
      <c r="K199" s="5167"/>
      <c r="L199" s="5167"/>
      <c r="M199" s="5165">
        <f t="shared" ref="M199:M233" si="275">I199+K199</f>
        <v>15636.5</v>
      </c>
      <c r="N199" s="5167"/>
      <c r="O199" s="5167"/>
      <c r="P199" s="5167"/>
      <c r="Q199" s="1548">
        <f t="shared" ref="Q199:Q233" si="276">+M199+O199</f>
        <v>15636.5</v>
      </c>
      <c r="R199" s="5166"/>
      <c r="S199" s="5167">
        <v>0</v>
      </c>
      <c r="T199" s="5167"/>
      <c r="U199" s="1548">
        <f t="shared" ref="U199:U233" si="277">+Q199+S199</f>
        <v>15636.5</v>
      </c>
      <c r="V199" s="5166"/>
      <c r="W199" s="5167"/>
      <c r="X199" s="5167"/>
      <c r="Y199" s="5165">
        <f t="shared" si="263"/>
        <v>0</v>
      </c>
      <c r="Z199" s="5167"/>
      <c r="AA199" s="5173">
        <f t="shared" si="264"/>
        <v>15636.5</v>
      </c>
      <c r="AB199" s="5166"/>
      <c r="AC199" s="5167">
        <v>4508.43</v>
      </c>
      <c r="AD199" s="5167"/>
      <c r="AE199" s="5174">
        <f t="shared" si="265"/>
        <v>20144.93</v>
      </c>
      <c r="AF199" s="5166"/>
      <c r="AG199" s="5167">
        <v>15128.48</v>
      </c>
      <c r="AH199" s="5167"/>
      <c r="AI199" s="5174">
        <f t="shared" si="267"/>
        <v>35273.410000000003</v>
      </c>
      <c r="AJ199" s="5166"/>
      <c r="AK199" s="5167">
        <v>10865.68</v>
      </c>
      <c r="AL199" s="5167"/>
      <c r="AM199" s="5165">
        <f t="shared" ref="AM199:AM237" si="278">AK199+AC199+AG199</f>
        <v>30502.59</v>
      </c>
      <c r="AN199" s="5167"/>
      <c r="AO199" s="5174">
        <f t="shared" si="268"/>
        <v>46139.090000000004</v>
      </c>
      <c r="AP199" s="5166"/>
      <c r="AQ199" s="5167">
        <v>13342.22</v>
      </c>
      <c r="AR199" s="5167"/>
      <c r="AS199" s="5174">
        <f t="shared" ref="AS199:AS202" si="279">+AO199+AQ199</f>
        <v>59481.310000000005</v>
      </c>
      <c r="AT199" s="5166"/>
      <c r="AU199" s="5167">
        <v>13546.23</v>
      </c>
      <c r="AV199" s="5167"/>
      <c r="AW199" s="5174">
        <f t="shared" ref="AW199:AW202" si="280">+AS199+AU199</f>
        <v>73027.540000000008</v>
      </c>
      <c r="AX199" s="5166"/>
      <c r="AY199" s="5167">
        <v>10769.009999999993</v>
      </c>
      <c r="AZ199" s="5167"/>
      <c r="BA199" s="5165">
        <f t="shared" si="271"/>
        <v>37657.459999999992</v>
      </c>
      <c r="BB199" s="5167"/>
      <c r="BC199" s="5173">
        <f t="shared" si="272"/>
        <v>68160.049999999988</v>
      </c>
      <c r="BD199" s="5167"/>
      <c r="BE199" s="5175">
        <f t="shared" si="273"/>
        <v>83796.55</v>
      </c>
      <c r="BF199" s="1137"/>
      <c r="BI199" s="25"/>
      <c r="BJ199" s="25"/>
    </row>
    <row r="200" spans="1:62" ht="15.75" hidden="1" customHeight="1" x14ac:dyDescent="0.25">
      <c r="A200" s="139"/>
      <c r="B200" s="5170" t="s">
        <v>806</v>
      </c>
      <c r="C200" s="5171" t="s">
        <v>352</v>
      </c>
      <c r="D200" s="5166"/>
      <c r="E200" s="5167"/>
      <c r="F200" s="5167"/>
      <c r="G200" s="5167"/>
      <c r="H200" s="5172"/>
      <c r="I200" s="3588">
        <f t="shared" si="274"/>
        <v>0</v>
      </c>
      <c r="J200" s="5167"/>
      <c r="K200" s="5167"/>
      <c r="L200" s="5167"/>
      <c r="M200" s="5165">
        <f t="shared" si="275"/>
        <v>0</v>
      </c>
      <c r="N200" s="5167"/>
      <c r="O200" s="5167"/>
      <c r="P200" s="5167"/>
      <c r="Q200" s="1548">
        <f t="shared" si="276"/>
        <v>0</v>
      </c>
      <c r="R200" s="5166"/>
      <c r="S200" s="5167"/>
      <c r="T200" s="5167"/>
      <c r="U200" s="1548">
        <f t="shared" si="277"/>
        <v>0</v>
      </c>
      <c r="V200" s="5166"/>
      <c r="W200" s="5167">
        <v>4878.29</v>
      </c>
      <c r="X200" s="5167"/>
      <c r="Y200" s="5165">
        <f t="shared" si="263"/>
        <v>4878.29</v>
      </c>
      <c r="Z200" s="5167"/>
      <c r="AA200" s="5173">
        <f t="shared" si="264"/>
        <v>4878.29</v>
      </c>
      <c r="AB200" s="5166"/>
      <c r="AC200" s="5167"/>
      <c r="AD200" s="5167"/>
      <c r="AE200" s="5174">
        <f t="shared" si="265"/>
        <v>4878.29</v>
      </c>
      <c r="AF200" s="5166"/>
      <c r="AG200" s="5167"/>
      <c r="AH200" s="5167"/>
      <c r="AI200" s="5174">
        <f t="shared" si="267"/>
        <v>4878.29</v>
      </c>
      <c r="AJ200" s="5166"/>
      <c r="AK200" s="5167">
        <v>9344.0400000000009</v>
      </c>
      <c r="AL200" s="5167"/>
      <c r="AM200" s="5165">
        <f t="shared" si="278"/>
        <v>9344.0400000000009</v>
      </c>
      <c r="AN200" s="5167"/>
      <c r="AO200" s="5174">
        <f t="shared" si="268"/>
        <v>14222.330000000002</v>
      </c>
      <c r="AP200" s="5166"/>
      <c r="AQ200" s="5167"/>
      <c r="AR200" s="5167"/>
      <c r="AS200" s="5174">
        <f t="shared" si="279"/>
        <v>14222.330000000002</v>
      </c>
      <c r="AT200" s="5166"/>
      <c r="AU200" s="5167"/>
      <c r="AV200" s="5167"/>
      <c r="AW200" s="5174">
        <f t="shared" si="280"/>
        <v>14222.330000000002</v>
      </c>
      <c r="AX200" s="5166"/>
      <c r="AY200" s="5167"/>
      <c r="AZ200" s="5167"/>
      <c r="BA200" s="5165">
        <f t="shared" si="271"/>
        <v>0</v>
      </c>
      <c r="BB200" s="5167"/>
      <c r="BC200" s="5173">
        <f t="shared" si="272"/>
        <v>9344.0400000000009</v>
      </c>
      <c r="BD200" s="5167"/>
      <c r="BE200" s="5175">
        <f t="shared" si="273"/>
        <v>14222.330000000002</v>
      </c>
      <c r="BF200" s="1137"/>
      <c r="BI200" s="25"/>
      <c r="BJ200" s="25"/>
    </row>
    <row r="201" spans="1:62" ht="15.75" hidden="1" customHeight="1" x14ac:dyDescent="0.25">
      <c r="A201" s="139"/>
      <c r="B201" s="5170" t="s">
        <v>913</v>
      </c>
      <c r="C201" s="5171" t="s">
        <v>352</v>
      </c>
      <c r="D201" s="5166"/>
      <c r="E201" s="5167"/>
      <c r="F201" s="5167"/>
      <c r="G201" s="5167"/>
      <c r="H201" s="5167"/>
      <c r="I201" s="3588">
        <f t="shared" si="274"/>
        <v>0</v>
      </c>
      <c r="J201" s="5167"/>
      <c r="K201" s="5167"/>
      <c r="L201" s="5167"/>
      <c r="M201" s="5165">
        <f t="shared" si="275"/>
        <v>0</v>
      </c>
      <c r="N201" s="5167"/>
      <c r="O201" s="5167"/>
      <c r="P201" s="5167"/>
      <c r="Q201" s="1548">
        <f t="shared" si="276"/>
        <v>0</v>
      </c>
      <c r="R201" s="5166"/>
      <c r="S201" s="5167"/>
      <c r="T201" s="5167"/>
      <c r="U201" s="1548">
        <f t="shared" si="277"/>
        <v>0</v>
      </c>
      <c r="V201" s="5166"/>
      <c r="W201" s="5167">
        <v>2391.88</v>
      </c>
      <c r="X201" s="5167"/>
      <c r="Y201" s="5165">
        <f t="shared" si="263"/>
        <v>2391.88</v>
      </c>
      <c r="Z201" s="5167"/>
      <c r="AA201" s="5173">
        <f t="shared" si="264"/>
        <v>2391.88</v>
      </c>
      <c r="AB201" s="5166"/>
      <c r="AC201" s="5167"/>
      <c r="AD201" s="5167"/>
      <c r="AE201" s="5174">
        <f t="shared" si="265"/>
        <v>2391.88</v>
      </c>
      <c r="AF201" s="5166"/>
      <c r="AG201" s="5167"/>
      <c r="AH201" s="5167"/>
      <c r="AI201" s="5174">
        <f t="shared" si="267"/>
        <v>2391.88</v>
      </c>
      <c r="AJ201" s="5166"/>
      <c r="AK201" s="5167"/>
      <c r="AL201" s="5167"/>
      <c r="AM201" s="5165">
        <f t="shared" si="278"/>
        <v>0</v>
      </c>
      <c r="AN201" s="5167"/>
      <c r="AO201" s="5174">
        <f t="shared" si="268"/>
        <v>2391.88</v>
      </c>
      <c r="AP201" s="5166"/>
      <c r="AQ201" s="5167"/>
      <c r="AR201" s="5167"/>
      <c r="AS201" s="5174">
        <f t="shared" si="279"/>
        <v>2391.88</v>
      </c>
      <c r="AT201" s="5166"/>
      <c r="AU201" s="5167"/>
      <c r="AV201" s="5167"/>
      <c r="AW201" s="5174">
        <f t="shared" si="280"/>
        <v>2391.88</v>
      </c>
      <c r="AX201" s="5166"/>
      <c r="AY201" s="5167"/>
      <c r="AZ201" s="5167"/>
      <c r="BA201" s="5165">
        <f t="shared" si="271"/>
        <v>0</v>
      </c>
      <c r="BB201" s="5167"/>
      <c r="BC201" s="5173">
        <f t="shared" si="272"/>
        <v>0</v>
      </c>
      <c r="BD201" s="5167"/>
      <c r="BE201" s="5175">
        <f t="shared" si="273"/>
        <v>2391.88</v>
      </c>
      <c r="BF201" s="1137"/>
      <c r="BI201" s="25"/>
      <c r="BJ201" s="25"/>
    </row>
    <row r="202" spans="1:62" s="3130" customFormat="1" ht="15.75" hidden="1" customHeight="1" x14ac:dyDescent="0.25">
      <c r="A202" s="139"/>
      <c r="B202" s="5170" t="s">
        <v>1598</v>
      </c>
      <c r="C202" s="5171"/>
      <c r="D202" s="5166"/>
      <c r="E202" s="5167"/>
      <c r="F202" s="5167"/>
      <c r="G202" s="5167">
        <v>0</v>
      </c>
      <c r="H202" s="5167"/>
      <c r="I202" s="3588">
        <f t="shared" si="274"/>
        <v>0</v>
      </c>
      <c r="J202" s="5167"/>
      <c r="K202" s="5167"/>
      <c r="L202" s="5167"/>
      <c r="M202" s="5165">
        <f t="shared" si="275"/>
        <v>0</v>
      </c>
      <c r="N202" s="5167"/>
      <c r="O202" s="5167"/>
      <c r="P202" s="5167"/>
      <c r="Q202" s="1548">
        <f t="shared" si="276"/>
        <v>0</v>
      </c>
      <c r="R202" s="5166"/>
      <c r="S202" s="5167">
        <v>2542.38</v>
      </c>
      <c r="T202" s="5167"/>
      <c r="U202" s="1548">
        <f t="shared" si="277"/>
        <v>2542.38</v>
      </c>
      <c r="V202" s="5166"/>
      <c r="W202" s="5167">
        <v>2589.14</v>
      </c>
      <c r="X202" s="5167"/>
      <c r="Y202" s="5165">
        <f t="shared" si="263"/>
        <v>5131.5200000000004</v>
      </c>
      <c r="Z202" s="5167"/>
      <c r="AA202" s="5173">
        <f t="shared" si="264"/>
        <v>5131.5200000000004</v>
      </c>
      <c r="AB202" s="5166"/>
      <c r="AC202" s="5167"/>
      <c r="AD202" s="5167"/>
      <c r="AE202" s="5174">
        <f t="shared" si="265"/>
        <v>5131.5200000000004</v>
      </c>
      <c r="AF202" s="5166"/>
      <c r="AG202" s="5167">
        <v>2314.94</v>
      </c>
      <c r="AH202" s="5167"/>
      <c r="AI202" s="5174">
        <f t="shared" si="267"/>
        <v>7446.4600000000009</v>
      </c>
      <c r="AJ202" s="5166"/>
      <c r="AK202" s="5167">
        <v>2034.8</v>
      </c>
      <c r="AL202" s="5167"/>
      <c r="AM202" s="5165">
        <f t="shared" si="278"/>
        <v>4349.74</v>
      </c>
      <c r="AN202" s="5167"/>
      <c r="AO202" s="5174">
        <f t="shared" si="268"/>
        <v>9481.26</v>
      </c>
      <c r="AP202" s="5166"/>
      <c r="AQ202" s="5167"/>
      <c r="AR202" s="5167"/>
      <c r="AS202" s="5174">
        <f t="shared" si="279"/>
        <v>9481.26</v>
      </c>
      <c r="AT202" s="5166"/>
      <c r="AU202" s="5167">
        <v>2140.31</v>
      </c>
      <c r="AV202" s="5167"/>
      <c r="AW202" s="5174">
        <f t="shared" si="280"/>
        <v>11621.57</v>
      </c>
      <c r="AX202" s="5166"/>
      <c r="AY202" s="5167"/>
      <c r="AZ202" s="5167"/>
      <c r="BA202" s="5165">
        <f t="shared" si="271"/>
        <v>2140.31</v>
      </c>
      <c r="BB202" s="5167"/>
      <c r="BC202" s="5173">
        <f t="shared" si="272"/>
        <v>6490.0499999999993</v>
      </c>
      <c r="BD202" s="5167"/>
      <c r="BE202" s="5175">
        <f t="shared" si="273"/>
        <v>11621.57</v>
      </c>
      <c r="BF202" s="1137"/>
      <c r="BI202" s="25"/>
      <c r="BJ202" s="25"/>
    </row>
    <row r="203" spans="1:62" s="3130" customFormat="1" ht="18.75" hidden="1" customHeight="1" x14ac:dyDescent="0.25">
      <c r="A203" s="139"/>
      <c r="B203" s="5160" t="s">
        <v>26</v>
      </c>
      <c r="C203" s="5171"/>
      <c r="D203" s="5166">
        <f t="shared" ref="D203" si="281">D204+D205+D206</f>
        <v>0</v>
      </c>
      <c r="E203" s="5163">
        <f>E204+E205+E206</f>
        <v>0</v>
      </c>
      <c r="F203" s="5167">
        <f t="shared" ref="F203:AJ203" si="282">F204+F205+F206</f>
        <v>0</v>
      </c>
      <c r="G203" s="5163">
        <f t="shared" si="282"/>
        <v>0</v>
      </c>
      <c r="H203" s="5167">
        <f t="shared" si="282"/>
        <v>0</v>
      </c>
      <c r="I203" s="3588">
        <f t="shared" si="282"/>
        <v>0</v>
      </c>
      <c r="J203" s="5167">
        <f t="shared" si="282"/>
        <v>0</v>
      </c>
      <c r="K203" s="5163">
        <f t="shared" si="282"/>
        <v>0</v>
      </c>
      <c r="L203" s="5167">
        <f t="shared" si="282"/>
        <v>0</v>
      </c>
      <c r="M203" s="5165">
        <f t="shared" si="282"/>
        <v>0</v>
      </c>
      <c r="N203" s="5167">
        <f t="shared" si="282"/>
        <v>0</v>
      </c>
      <c r="O203" s="5163">
        <f t="shared" si="282"/>
        <v>2771.29</v>
      </c>
      <c r="P203" s="5167">
        <f t="shared" si="282"/>
        <v>0</v>
      </c>
      <c r="Q203" s="1548">
        <f t="shared" si="282"/>
        <v>2771.29</v>
      </c>
      <c r="R203" s="5166">
        <f t="shared" si="282"/>
        <v>0</v>
      </c>
      <c r="S203" s="5163">
        <f t="shared" si="282"/>
        <v>0</v>
      </c>
      <c r="T203" s="5167">
        <f t="shared" si="282"/>
        <v>0</v>
      </c>
      <c r="U203" s="1548">
        <f t="shared" si="282"/>
        <v>2771.29</v>
      </c>
      <c r="V203" s="5166">
        <f t="shared" si="282"/>
        <v>0</v>
      </c>
      <c r="W203" s="5163">
        <f t="shared" si="282"/>
        <v>3223</v>
      </c>
      <c r="X203" s="5167">
        <f t="shared" si="282"/>
        <v>0</v>
      </c>
      <c r="Y203" s="5165">
        <f t="shared" si="282"/>
        <v>5994.29</v>
      </c>
      <c r="Z203" s="5167">
        <f t="shared" si="282"/>
        <v>0</v>
      </c>
      <c r="AA203" s="5173">
        <f t="shared" si="282"/>
        <v>5994.29</v>
      </c>
      <c r="AB203" s="5166">
        <f t="shared" si="282"/>
        <v>0</v>
      </c>
      <c r="AC203" s="5163">
        <f t="shared" si="282"/>
        <v>0</v>
      </c>
      <c r="AD203" s="5167">
        <f t="shared" si="282"/>
        <v>0</v>
      </c>
      <c r="AE203" s="5174">
        <f t="shared" si="282"/>
        <v>5994.29</v>
      </c>
      <c r="AF203" s="5166">
        <f t="shared" si="282"/>
        <v>0</v>
      </c>
      <c r="AG203" s="5163">
        <f t="shared" si="282"/>
        <v>2863.49</v>
      </c>
      <c r="AH203" s="5167">
        <f t="shared" si="282"/>
        <v>0</v>
      </c>
      <c r="AI203" s="5174">
        <f t="shared" si="282"/>
        <v>8857.7799999999988</v>
      </c>
      <c r="AJ203" s="5166">
        <f t="shared" si="282"/>
        <v>0</v>
      </c>
      <c r="AK203" s="5163">
        <f>AK204+AK205+AK206</f>
        <v>3698.75</v>
      </c>
      <c r="AL203" s="5167">
        <f t="shared" ref="AL203:AZ203" si="283">AL204+AL205+AL206</f>
        <v>0</v>
      </c>
      <c r="AM203" s="5165">
        <f t="shared" si="278"/>
        <v>6562.24</v>
      </c>
      <c r="AN203" s="5167">
        <f t="shared" si="283"/>
        <v>0</v>
      </c>
      <c r="AO203" s="5174">
        <f t="shared" si="283"/>
        <v>12556.529999999999</v>
      </c>
      <c r="AP203" s="5166">
        <f t="shared" si="283"/>
        <v>0</v>
      </c>
      <c r="AQ203" s="5163">
        <f>AQ204+AQ205+AQ206</f>
        <v>2673.7</v>
      </c>
      <c r="AR203" s="5167">
        <f t="shared" si="283"/>
        <v>0</v>
      </c>
      <c r="AS203" s="5182">
        <f t="shared" si="283"/>
        <v>15230.229999999998</v>
      </c>
      <c r="AT203" s="5166">
        <f t="shared" si="283"/>
        <v>0</v>
      </c>
      <c r="AU203" s="5163">
        <f>AU204+AU205+AU206</f>
        <v>0</v>
      </c>
      <c r="AV203" s="5167">
        <f t="shared" si="283"/>
        <v>0</v>
      </c>
      <c r="AW203" s="5174">
        <f t="shared" si="283"/>
        <v>15230.229999999998</v>
      </c>
      <c r="AX203" s="5166">
        <f t="shared" ref="AX203" si="284">AX204+AX205+AX206</f>
        <v>0</v>
      </c>
      <c r="AY203" s="5163">
        <f>AY204+AY205+AY206</f>
        <v>0</v>
      </c>
      <c r="AZ203" s="5167">
        <f t="shared" si="283"/>
        <v>0</v>
      </c>
      <c r="BA203" s="5165">
        <f t="shared" si="271"/>
        <v>2673.7</v>
      </c>
      <c r="BB203" s="5167"/>
      <c r="BC203" s="5173">
        <f t="shared" si="272"/>
        <v>9235.9399999999987</v>
      </c>
      <c r="BD203" s="5167"/>
      <c r="BE203" s="5175">
        <f t="shared" si="273"/>
        <v>15230.229999999998</v>
      </c>
      <c r="BF203" s="1137"/>
      <c r="BI203" s="25"/>
      <c r="BJ203" s="25"/>
    </row>
    <row r="204" spans="1:62" s="3130" customFormat="1" ht="15.75" hidden="1" customHeight="1" x14ac:dyDescent="0.25">
      <c r="A204" s="139"/>
      <c r="B204" s="5170" t="s">
        <v>807</v>
      </c>
      <c r="C204" s="5171" t="s">
        <v>352</v>
      </c>
      <c r="D204" s="5166"/>
      <c r="E204" s="5167"/>
      <c r="F204" s="5167"/>
      <c r="G204" s="5167"/>
      <c r="H204" s="5167"/>
      <c r="I204" s="3588">
        <f t="shared" si="274"/>
        <v>0</v>
      </c>
      <c r="J204" s="5167"/>
      <c r="K204" s="5167"/>
      <c r="L204" s="5167"/>
      <c r="M204" s="5165">
        <f t="shared" si="275"/>
        <v>0</v>
      </c>
      <c r="N204" s="5167"/>
      <c r="O204" s="5167"/>
      <c r="P204" s="5167"/>
      <c r="Q204" s="1548">
        <f t="shared" si="276"/>
        <v>0</v>
      </c>
      <c r="R204" s="5166"/>
      <c r="S204" s="5167"/>
      <c r="T204" s="5167"/>
      <c r="U204" s="1548">
        <f t="shared" si="277"/>
        <v>0</v>
      </c>
      <c r="V204" s="5166"/>
      <c r="W204" s="5167"/>
      <c r="X204" s="5167"/>
      <c r="Y204" s="5165">
        <f t="shared" si="263"/>
        <v>0</v>
      </c>
      <c r="Z204" s="5167"/>
      <c r="AA204" s="5173">
        <f t="shared" si="264"/>
        <v>0</v>
      </c>
      <c r="AB204" s="5166"/>
      <c r="AC204" s="5167"/>
      <c r="AD204" s="5167"/>
      <c r="AE204" s="5174">
        <f t="shared" si="265"/>
        <v>0</v>
      </c>
      <c r="AF204" s="5166"/>
      <c r="AG204" s="5167"/>
      <c r="AH204" s="5167"/>
      <c r="AI204" s="5174">
        <f t="shared" si="267"/>
        <v>0</v>
      </c>
      <c r="AJ204" s="5166"/>
      <c r="AK204" s="5167"/>
      <c r="AL204" s="5167"/>
      <c r="AM204" s="5165">
        <f t="shared" si="278"/>
        <v>0</v>
      </c>
      <c r="AN204" s="5167"/>
      <c r="AO204" s="5174">
        <f t="shared" si="268"/>
        <v>0</v>
      </c>
      <c r="AP204" s="5166"/>
      <c r="AQ204" s="5167"/>
      <c r="AR204" s="5167"/>
      <c r="AS204" s="5174">
        <f t="shared" ref="AS204:AS206" si="285">+AO204+AQ204</f>
        <v>0</v>
      </c>
      <c r="AT204" s="5166"/>
      <c r="AU204" s="5167">
        <v>0</v>
      </c>
      <c r="AV204" s="5167"/>
      <c r="AW204" s="5174">
        <f t="shared" ref="AW204:AW206" si="286">+AS204+AU204</f>
        <v>0</v>
      </c>
      <c r="AX204" s="5166"/>
      <c r="AY204" s="5167"/>
      <c r="AZ204" s="5167"/>
      <c r="BA204" s="5165">
        <f t="shared" si="271"/>
        <v>0</v>
      </c>
      <c r="BB204" s="5167"/>
      <c r="BC204" s="5173">
        <f t="shared" si="272"/>
        <v>0</v>
      </c>
      <c r="BD204" s="5167"/>
      <c r="BE204" s="5175">
        <f t="shared" si="273"/>
        <v>0</v>
      </c>
      <c r="BF204" s="1137"/>
      <c r="BI204" s="25"/>
      <c r="BJ204" s="25"/>
    </row>
    <row r="205" spans="1:62" s="3130" customFormat="1" ht="15.75" hidden="1" customHeight="1" x14ac:dyDescent="0.25">
      <c r="A205" s="139"/>
      <c r="B205" s="5170" t="s">
        <v>806</v>
      </c>
      <c r="C205" s="5171" t="s">
        <v>352</v>
      </c>
      <c r="D205" s="5166"/>
      <c r="E205" s="5167"/>
      <c r="F205" s="5167"/>
      <c r="G205" s="5167"/>
      <c r="H205" s="5167"/>
      <c r="I205" s="3588">
        <f t="shared" si="274"/>
        <v>0</v>
      </c>
      <c r="J205" s="5167"/>
      <c r="K205" s="5167"/>
      <c r="L205" s="5167"/>
      <c r="M205" s="5165">
        <f t="shared" si="275"/>
        <v>0</v>
      </c>
      <c r="N205" s="5167"/>
      <c r="O205" s="5167">
        <v>2771.29</v>
      </c>
      <c r="P205" s="5167"/>
      <c r="Q205" s="1548">
        <f t="shared" si="276"/>
        <v>2771.29</v>
      </c>
      <c r="R205" s="5166"/>
      <c r="S205" s="5167"/>
      <c r="T205" s="5167"/>
      <c r="U205" s="1548">
        <f t="shared" si="277"/>
        <v>2771.29</v>
      </c>
      <c r="V205" s="5166"/>
      <c r="W205" s="5167">
        <v>3223</v>
      </c>
      <c r="X205" s="5167"/>
      <c r="Y205" s="5165">
        <f t="shared" si="263"/>
        <v>5994.29</v>
      </c>
      <c r="Z205" s="5167"/>
      <c r="AA205" s="5173">
        <f t="shared" si="264"/>
        <v>5994.29</v>
      </c>
      <c r="AB205" s="5166"/>
      <c r="AC205" s="5167"/>
      <c r="AD205" s="5167"/>
      <c r="AE205" s="5174">
        <f t="shared" si="265"/>
        <v>5994.29</v>
      </c>
      <c r="AF205" s="5166"/>
      <c r="AG205" s="5167">
        <v>2863.49</v>
      </c>
      <c r="AH205" s="5167"/>
      <c r="AI205" s="5174">
        <f t="shared" si="267"/>
        <v>8857.7799999999988</v>
      </c>
      <c r="AJ205" s="5166"/>
      <c r="AK205" s="5167">
        <v>262.06</v>
      </c>
      <c r="AL205" s="5167"/>
      <c r="AM205" s="5165">
        <f t="shared" si="278"/>
        <v>3125.5499999999997</v>
      </c>
      <c r="AN205" s="5167"/>
      <c r="AO205" s="5174">
        <f t="shared" si="268"/>
        <v>9119.8399999999983</v>
      </c>
      <c r="AP205" s="5166"/>
      <c r="AQ205" s="5167"/>
      <c r="AR205" s="5167"/>
      <c r="AS205" s="5174">
        <f t="shared" si="285"/>
        <v>9119.8399999999983</v>
      </c>
      <c r="AT205" s="5166"/>
      <c r="AU205" s="5167">
        <v>0</v>
      </c>
      <c r="AV205" s="5167"/>
      <c r="AW205" s="5174">
        <f t="shared" si="286"/>
        <v>9119.8399999999983</v>
      </c>
      <c r="AX205" s="5166"/>
      <c r="AY205" s="5167"/>
      <c r="AZ205" s="5167"/>
      <c r="BA205" s="5165">
        <f t="shared" si="271"/>
        <v>0</v>
      </c>
      <c r="BB205" s="5167"/>
      <c r="BC205" s="5173">
        <f t="shared" si="272"/>
        <v>3125.5499999999997</v>
      </c>
      <c r="BD205" s="5167"/>
      <c r="BE205" s="5175">
        <f t="shared" si="273"/>
        <v>9119.8399999999983</v>
      </c>
      <c r="BF205" s="1137"/>
      <c r="BI205" s="25"/>
      <c r="BJ205" s="25"/>
    </row>
    <row r="206" spans="1:62" s="3130" customFormat="1" ht="15.75" hidden="1" customHeight="1" x14ac:dyDescent="0.25">
      <c r="A206" s="139"/>
      <c r="B206" s="5170" t="s">
        <v>1071</v>
      </c>
      <c r="C206" s="5171"/>
      <c r="D206" s="5166"/>
      <c r="E206" s="5167"/>
      <c r="F206" s="5167"/>
      <c r="G206" s="5167"/>
      <c r="H206" s="5167"/>
      <c r="I206" s="3588">
        <f t="shared" si="274"/>
        <v>0</v>
      </c>
      <c r="J206" s="5167"/>
      <c r="K206" s="5167"/>
      <c r="L206" s="5167"/>
      <c r="M206" s="5165">
        <f t="shared" si="275"/>
        <v>0</v>
      </c>
      <c r="N206" s="5167"/>
      <c r="O206" s="5167"/>
      <c r="P206" s="5167"/>
      <c r="Q206" s="1548">
        <f t="shared" si="276"/>
        <v>0</v>
      </c>
      <c r="R206" s="5166"/>
      <c r="S206" s="5167"/>
      <c r="T206" s="5167"/>
      <c r="U206" s="1548">
        <f t="shared" si="277"/>
        <v>0</v>
      </c>
      <c r="V206" s="5166"/>
      <c r="W206" s="5167"/>
      <c r="X206" s="5167"/>
      <c r="Y206" s="5165">
        <f t="shared" si="263"/>
        <v>0</v>
      </c>
      <c r="Z206" s="5167"/>
      <c r="AA206" s="5173">
        <f t="shared" si="264"/>
        <v>0</v>
      </c>
      <c r="AB206" s="5166"/>
      <c r="AC206" s="5167"/>
      <c r="AD206" s="5167"/>
      <c r="AE206" s="5174">
        <f t="shared" si="265"/>
        <v>0</v>
      </c>
      <c r="AF206" s="5166"/>
      <c r="AG206" s="5167"/>
      <c r="AH206" s="5167"/>
      <c r="AI206" s="5174">
        <f t="shared" si="267"/>
        <v>0</v>
      </c>
      <c r="AJ206" s="5166"/>
      <c r="AK206" s="5167">
        <v>3436.69</v>
      </c>
      <c r="AL206" s="5167"/>
      <c r="AM206" s="5165">
        <f t="shared" si="278"/>
        <v>3436.69</v>
      </c>
      <c r="AN206" s="5167"/>
      <c r="AO206" s="5174">
        <f t="shared" si="268"/>
        <v>3436.69</v>
      </c>
      <c r="AP206" s="5166"/>
      <c r="AQ206" s="5167">
        <v>2673.7</v>
      </c>
      <c r="AR206" s="5167"/>
      <c r="AS206" s="5174">
        <f t="shared" si="285"/>
        <v>6110.3899999999994</v>
      </c>
      <c r="AT206" s="5166"/>
      <c r="AU206" s="5167">
        <v>0</v>
      </c>
      <c r="AV206" s="5167"/>
      <c r="AW206" s="5174">
        <f t="shared" si="286"/>
        <v>6110.3899999999994</v>
      </c>
      <c r="AX206" s="5166"/>
      <c r="AY206" s="5167"/>
      <c r="AZ206" s="5167"/>
      <c r="BA206" s="5165">
        <f t="shared" si="271"/>
        <v>2673.7</v>
      </c>
      <c r="BB206" s="5167"/>
      <c r="BC206" s="5173">
        <f t="shared" si="272"/>
        <v>6110.3899999999994</v>
      </c>
      <c r="BD206" s="5167"/>
      <c r="BE206" s="5175">
        <f t="shared" si="273"/>
        <v>6110.3899999999994</v>
      </c>
      <c r="BF206" s="1137"/>
      <c r="BI206" s="25"/>
      <c r="BJ206" s="25"/>
    </row>
    <row r="207" spans="1:62" ht="15.75" hidden="1" customHeight="1" x14ac:dyDescent="0.25">
      <c r="A207" s="139"/>
      <c r="B207" s="5160" t="s">
        <v>1311</v>
      </c>
      <c r="C207" s="5161"/>
      <c r="D207" s="5166"/>
      <c r="E207" s="5163">
        <v>0</v>
      </c>
      <c r="F207" s="5163">
        <v>0</v>
      </c>
      <c r="G207" s="5163">
        <v>0</v>
      </c>
      <c r="H207" s="5164">
        <v>0</v>
      </c>
      <c r="I207" s="3588">
        <f t="shared" si="274"/>
        <v>0</v>
      </c>
      <c r="J207" s="5163">
        <v>0</v>
      </c>
      <c r="K207" s="5163">
        <v>0</v>
      </c>
      <c r="L207" s="5163"/>
      <c r="M207" s="5165">
        <f t="shared" si="275"/>
        <v>0</v>
      </c>
      <c r="N207" s="5163"/>
      <c r="O207" s="5163">
        <v>0</v>
      </c>
      <c r="P207" s="5163">
        <v>0</v>
      </c>
      <c r="Q207" s="1548">
        <f t="shared" si="276"/>
        <v>0</v>
      </c>
      <c r="R207" s="5166">
        <v>0</v>
      </c>
      <c r="S207" s="5163">
        <v>0</v>
      </c>
      <c r="T207" s="5163">
        <v>0</v>
      </c>
      <c r="U207" s="1548">
        <f t="shared" si="277"/>
        <v>0</v>
      </c>
      <c r="V207" s="5166">
        <v>0</v>
      </c>
      <c r="W207" s="5163">
        <v>0</v>
      </c>
      <c r="X207" s="5163"/>
      <c r="Y207" s="5165">
        <f t="shared" si="263"/>
        <v>0</v>
      </c>
      <c r="Z207" s="5167"/>
      <c r="AA207" s="5168">
        <f t="shared" si="264"/>
        <v>0</v>
      </c>
      <c r="AB207" s="5166"/>
      <c r="AC207" s="5163">
        <v>0</v>
      </c>
      <c r="AD207" s="5163">
        <v>0</v>
      </c>
      <c r="AE207" s="5169">
        <f t="shared" si="265"/>
        <v>0</v>
      </c>
      <c r="AF207" s="5166">
        <v>0</v>
      </c>
      <c r="AG207" s="5163">
        <v>0</v>
      </c>
      <c r="AH207" s="5163">
        <v>0</v>
      </c>
      <c r="AI207" s="5169">
        <f t="shared" si="267"/>
        <v>0</v>
      </c>
      <c r="AJ207" s="5166">
        <v>0</v>
      </c>
      <c r="AK207" s="5163">
        <v>0</v>
      </c>
      <c r="AL207" s="5167"/>
      <c r="AM207" s="5165">
        <f t="shared" si="278"/>
        <v>0</v>
      </c>
      <c r="AN207" s="5167"/>
      <c r="AO207" s="5174">
        <f t="shared" si="268"/>
        <v>0</v>
      </c>
      <c r="AP207" s="5166">
        <v>0</v>
      </c>
      <c r="AQ207" s="5163">
        <v>0</v>
      </c>
      <c r="AR207" s="5163"/>
      <c r="AS207" s="5169">
        <v>0</v>
      </c>
      <c r="AT207" s="5166"/>
      <c r="AU207" s="5163">
        <v>0</v>
      </c>
      <c r="AV207" s="5163"/>
      <c r="AW207" s="5169">
        <v>0</v>
      </c>
      <c r="AX207" s="5166"/>
      <c r="AY207" s="5163">
        <v>0</v>
      </c>
      <c r="AZ207" s="5167"/>
      <c r="BA207" s="5165">
        <f t="shared" si="271"/>
        <v>0</v>
      </c>
      <c r="BB207" s="5167"/>
      <c r="BC207" s="5168">
        <f t="shared" si="272"/>
        <v>0</v>
      </c>
      <c r="BD207" s="5163"/>
      <c r="BE207" s="5169">
        <f t="shared" si="273"/>
        <v>0</v>
      </c>
      <c r="BF207" s="1137"/>
      <c r="BI207" s="25"/>
      <c r="BJ207" s="25"/>
    </row>
    <row r="208" spans="1:62" ht="15.75" hidden="1" customHeight="1" x14ac:dyDescent="0.25">
      <c r="A208" s="139"/>
      <c r="B208" s="5170" t="s">
        <v>1598</v>
      </c>
      <c r="C208" s="5171" t="s">
        <v>352</v>
      </c>
      <c r="D208" s="5166"/>
      <c r="E208" s="5167"/>
      <c r="F208" s="5167"/>
      <c r="G208" s="5167"/>
      <c r="H208" s="5167"/>
      <c r="I208" s="3588">
        <f t="shared" si="274"/>
        <v>0</v>
      </c>
      <c r="J208" s="5167"/>
      <c r="K208" s="5167"/>
      <c r="L208" s="5167"/>
      <c r="M208" s="5165">
        <f t="shared" si="275"/>
        <v>0</v>
      </c>
      <c r="N208" s="5167"/>
      <c r="O208" s="5167"/>
      <c r="P208" s="5167"/>
      <c r="Q208" s="1548">
        <f t="shared" si="276"/>
        <v>0</v>
      </c>
      <c r="R208" s="5166"/>
      <c r="S208" s="5167"/>
      <c r="T208" s="5167"/>
      <c r="U208" s="1548">
        <f t="shared" si="277"/>
        <v>0</v>
      </c>
      <c r="V208" s="5166"/>
      <c r="W208" s="5167"/>
      <c r="X208" s="5167"/>
      <c r="Y208" s="5165">
        <f t="shared" si="263"/>
        <v>0</v>
      </c>
      <c r="Z208" s="5167"/>
      <c r="AA208" s="5173">
        <f t="shared" si="264"/>
        <v>0</v>
      </c>
      <c r="AB208" s="5166"/>
      <c r="AC208" s="5167"/>
      <c r="AD208" s="5167"/>
      <c r="AE208" s="5174">
        <f t="shared" si="265"/>
        <v>0</v>
      </c>
      <c r="AF208" s="5166"/>
      <c r="AG208" s="5167"/>
      <c r="AH208" s="5167"/>
      <c r="AI208" s="5174">
        <f t="shared" si="267"/>
        <v>0</v>
      </c>
      <c r="AJ208" s="5166"/>
      <c r="AK208" s="5167"/>
      <c r="AL208" s="5167"/>
      <c r="AM208" s="5165">
        <f t="shared" si="278"/>
        <v>0</v>
      </c>
      <c r="AN208" s="5167"/>
      <c r="AO208" s="5174">
        <f t="shared" si="268"/>
        <v>0</v>
      </c>
      <c r="AP208" s="5166"/>
      <c r="AQ208" s="5167"/>
      <c r="AR208" s="5167"/>
      <c r="AS208" s="5174">
        <v>0</v>
      </c>
      <c r="AT208" s="5166"/>
      <c r="AU208" s="5167"/>
      <c r="AV208" s="5167"/>
      <c r="AW208" s="5174">
        <v>0</v>
      </c>
      <c r="AX208" s="5166"/>
      <c r="AY208" s="5167"/>
      <c r="AZ208" s="5167"/>
      <c r="BA208" s="5165">
        <f t="shared" si="271"/>
        <v>0</v>
      </c>
      <c r="BB208" s="5167"/>
      <c r="BC208" s="5173">
        <f t="shared" si="272"/>
        <v>0</v>
      </c>
      <c r="BD208" s="5167"/>
      <c r="BE208" s="5175">
        <f t="shared" si="273"/>
        <v>0</v>
      </c>
      <c r="BF208" s="1137"/>
      <c r="BI208" s="25"/>
      <c r="BJ208" s="25"/>
    </row>
    <row r="209" spans="1:62" ht="15.75" hidden="1" customHeight="1" x14ac:dyDescent="0.25">
      <c r="A209" s="139"/>
      <c r="B209" s="5160" t="s">
        <v>2006</v>
      </c>
      <c r="C209" s="5161"/>
      <c r="D209" s="5166"/>
      <c r="E209" s="5163">
        <f>SUM(E210:E213)</f>
        <v>0</v>
      </c>
      <c r="F209" s="5163">
        <v>0</v>
      </c>
      <c r="G209" s="5163">
        <f>SUM(G210:G213)</f>
        <v>154.88999999999999</v>
      </c>
      <c r="H209" s="5164">
        <v>0</v>
      </c>
      <c r="I209" s="3588">
        <f t="shared" si="274"/>
        <v>154.88999999999999</v>
      </c>
      <c r="J209" s="5163">
        <v>0</v>
      </c>
      <c r="K209" s="5163">
        <f>SUM(K210:K213)</f>
        <v>174.21</v>
      </c>
      <c r="L209" s="5163"/>
      <c r="M209" s="5165">
        <f t="shared" si="275"/>
        <v>329.1</v>
      </c>
      <c r="N209" s="5163"/>
      <c r="O209" s="5163">
        <f>SUM(O210:O213)</f>
        <v>0</v>
      </c>
      <c r="P209" s="5163">
        <v>0</v>
      </c>
      <c r="Q209" s="1548">
        <f t="shared" si="276"/>
        <v>329.1</v>
      </c>
      <c r="R209" s="5166">
        <v>0</v>
      </c>
      <c r="S209" s="5163">
        <f>SUM(S210:S213)</f>
        <v>0</v>
      </c>
      <c r="T209" s="5163">
        <v>0</v>
      </c>
      <c r="U209" s="1548">
        <f t="shared" si="277"/>
        <v>329.1</v>
      </c>
      <c r="V209" s="5166">
        <v>0</v>
      </c>
      <c r="W209" s="5163">
        <f>SUM(W210:W213)</f>
        <v>0</v>
      </c>
      <c r="X209" s="5163"/>
      <c r="Y209" s="5165">
        <f t="shared" si="263"/>
        <v>0</v>
      </c>
      <c r="Z209" s="5167"/>
      <c r="AA209" s="5168">
        <f t="shared" si="264"/>
        <v>329.1</v>
      </c>
      <c r="AB209" s="5166"/>
      <c r="AC209" s="5163">
        <f>SUM(AC210:AC213)</f>
        <v>0</v>
      </c>
      <c r="AD209" s="5163">
        <v>0</v>
      </c>
      <c r="AE209" s="5169">
        <f t="shared" si="265"/>
        <v>329.1</v>
      </c>
      <c r="AF209" s="5166">
        <v>0</v>
      </c>
      <c r="AG209" s="5163">
        <f>SUM(AG210:AG213)</f>
        <v>0</v>
      </c>
      <c r="AH209" s="5163">
        <v>0</v>
      </c>
      <c r="AI209" s="5169">
        <f t="shared" si="267"/>
        <v>329.1</v>
      </c>
      <c r="AJ209" s="5166">
        <v>0</v>
      </c>
      <c r="AK209" s="5163">
        <f>SUM(AK210:AK213)</f>
        <v>0</v>
      </c>
      <c r="AL209" s="5167"/>
      <c r="AM209" s="5165">
        <f t="shared" si="278"/>
        <v>0</v>
      </c>
      <c r="AN209" s="5167"/>
      <c r="AO209" s="5182">
        <f t="shared" si="268"/>
        <v>329.1</v>
      </c>
      <c r="AP209" s="5166">
        <v>0</v>
      </c>
      <c r="AQ209" s="5163">
        <f>SUM(AQ210:AQ213)</f>
        <v>0</v>
      </c>
      <c r="AR209" s="5163"/>
      <c r="AS209" s="5182">
        <f>AS212+AS213</f>
        <v>329.1</v>
      </c>
      <c r="AT209" s="5166"/>
      <c r="AU209" s="5163">
        <f>SUM(AU210:AU213)</f>
        <v>0</v>
      </c>
      <c r="AV209" s="5163"/>
      <c r="AW209" s="5169">
        <f>SUM(AW210:AW213)</f>
        <v>329.1</v>
      </c>
      <c r="AX209" s="5166"/>
      <c r="AY209" s="5163">
        <f>SUM(AY210:AY213)</f>
        <v>0</v>
      </c>
      <c r="AZ209" s="5167"/>
      <c r="BA209" s="5165">
        <f t="shared" si="271"/>
        <v>0</v>
      </c>
      <c r="BB209" s="5167"/>
      <c r="BC209" s="5168">
        <f t="shared" si="272"/>
        <v>0</v>
      </c>
      <c r="BD209" s="5163"/>
      <c r="BE209" s="5169">
        <f t="shared" si="273"/>
        <v>329.1</v>
      </c>
      <c r="BF209" s="1137"/>
      <c r="BI209" s="25"/>
      <c r="BJ209" s="25"/>
    </row>
    <row r="210" spans="1:62" ht="15.75" hidden="1" customHeight="1" x14ac:dyDescent="0.25">
      <c r="A210" s="139"/>
      <c r="B210" s="5170" t="s">
        <v>913</v>
      </c>
      <c r="C210" s="5171" t="s">
        <v>352</v>
      </c>
      <c r="D210" s="5166"/>
      <c r="E210" s="5167"/>
      <c r="F210" s="5167"/>
      <c r="G210" s="5167"/>
      <c r="H210" s="5167"/>
      <c r="I210" s="3588">
        <f t="shared" si="274"/>
        <v>0</v>
      </c>
      <c r="J210" s="5167"/>
      <c r="K210" s="5167"/>
      <c r="L210" s="5167"/>
      <c r="M210" s="5165">
        <f t="shared" si="275"/>
        <v>0</v>
      </c>
      <c r="N210" s="5167"/>
      <c r="O210" s="5167"/>
      <c r="P210" s="5167"/>
      <c r="Q210" s="1548">
        <f t="shared" si="276"/>
        <v>0</v>
      </c>
      <c r="R210" s="5166"/>
      <c r="S210" s="5167"/>
      <c r="T210" s="5167"/>
      <c r="U210" s="1548">
        <f t="shared" si="277"/>
        <v>0</v>
      </c>
      <c r="V210" s="5166"/>
      <c r="W210" s="5167"/>
      <c r="X210" s="5167"/>
      <c r="Y210" s="5165">
        <f t="shared" si="263"/>
        <v>0</v>
      </c>
      <c r="Z210" s="5167"/>
      <c r="AA210" s="5173">
        <f t="shared" si="264"/>
        <v>0</v>
      </c>
      <c r="AB210" s="5166"/>
      <c r="AC210" s="5167"/>
      <c r="AD210" s="5167"/>
      <c r="AE210" s="5174">
        <f t="shared" si="265"/>
        <v>0</v>
      </c>
      <c r="AF210" s="5166"/>
      <c r="AG210" s="5167"/>
      <c r="AH210" s="5167"/>
      <c r="AI210" s="5174">
        <f t="shared" si="267"/>
        <v>0</v>
      </c>
      <c r="AJ210" s="5166"/>
      <c r="AK210" s="5167"/>
      <c r="AL210" s="5167"/>
      <c r="AM210" s="5165">
        <f t="shared" si="278"/>
        <v>0</v>
      </c>
      <c r="AN210" s="5167"/>
      <c r="AO210" s="5174">
        <f t="shared" si="268"/>
        <v>0</v>
      </c>
      <c r="AP210" s="5166"/>
      <c r="AQ210" s="5167"/>
      <c r="AR210" s="5167"/>
      <c r="AS210" s="5174">
        <v>0</v>
      </c>
      <c r="AT210" s="5166"/>
      <c r="AU210" s="5167"/>
      <c r="AV210" s="5167"/>
      <c r="AW210" s="5174">
        <v>0</v>
      </c>
      <c r="AX210" s="5166"/>
      <c r="AY210" s="5167"/>
      <c r="AZ210" s="5167"/>
      <c r="BA210" s="5165">
        <f t="shared" si="271"/>
        <v>0</v>
      </c>
      <c r="BB210" s="5167"/>
      <c r="BC210" s="5173">
        <f t="shared" si="272"/>
        <v>0</v>
      </c>
      <c r="BD210" s="5167"/>
      <c r="BE210" s="5175">
        <f t="shared" si="273"/>
        <v>0</v>
      </c>
      <c r="BF210" s="1137"/>
      <c r="BI210" s="25"/>
      <c r="BJ210" s="25"/>
    </row>
    <row r="211" spans="1:62" s="2950" customFormat="1" ht="15.75" hidden="1" customHeight="1" x14ac:dyDescent="0.25">
      <c r="A211" s="139"/>
      <c r="B211" s="5170" t="s">
        <v>806</v>
      </c>
      <c r="C211" s="5171"/>
      <c r="D211" s="5166"/>
      <c r="E211" s="5167"/>
      <c r="F211" s="5167"/>
      <c r="G211" s="5167"/>
      <c r="H211" s="5167"/>
      <c r="I211" s="3588">
        <f t="shared" si="274"/>
        <v>0</v>
      </c>
      <c r="J211" s="5167"/>
      <c r="K211" s="5167"/>
      <c r="L211" s="5167"/>
      <c r="M211" s="5165">
        <f t="shared" si="275"/>
        <v>0</v>
      </c>
      <c r="N211" s="5167"/>
      <c r="O211" s="5167"/>
      <c r="P211" s="5167"/>
      <c r="Q211" s="1548">
        <f t="shared" si="276"/>
        <v>0</v>
      </c>
      <c r="R211" s="5166"/>
      <c r="S211" s="5167"/>
      <c r="T211" s="5167"/>
      <c r="U211" s="1548">
        <f t="shared" si="277"/>
        <v>0</v>
      </c>
      <c r="V211" s="5166"/>
      <c r="W211" s="5167"/>
      <c r="X211" s="5167"/>
      <c r="Y211" s="5165">
        <f t="shared" si="263"/>
        <v>0</v>
      </c>
      <c r="Z211" s="5167"/>
      <c r="AA211" s="5173">
        <f t="shared" si="264"/>
        <v>0</v>
      </c>
      <c r="AB211" s="5166"/>
      <c r="AC211" s="5167"/>
      <c r="AD211" s="5167"/>
      <c r="AE211" s="5174">
        <f t="shared" si="265"/>
        <v>0</v>
      </c>
      <c r="AF211" s="5166"/>
      <c r="AG211" s="5167"/>
      <c r="AH211" s="5167"/>
      <c r="AI211" s="5174">
        <f t="shared" si="267"/>
        <v>0</v>
      </c>
      <c r="AJ211" s="5166"/>
      <c r="AK211" s="5167"/>
      <c r="AL211" s="5167"/>
      <c r="AM211" s="5165">
        <f t="shared" si="278"/>
        <v>0</v>
      </c>
      <c r="AN211" s="5167"/>
      <c r="AO211" s="5174">
        <f t="shared" si="268"/>
        <v>0</v>
      </c>
      <c r="AP211" s="5166"/>
      <c r="AQ211" s="5167"/>
      <c r="AR211" s="5167"/>
      <c r="AS211" s="5174">
        <v>0</v>
      </c>
      <c r="AT211" s="5166"/>
      <c r="AU211" s="5167"/>
      <c r="AV211" s="5167"/>
      <c r="AW211" s="5174">
        <v>0</v>
      </c>
      <c r="AX211" s="5166"/>
      <c r="AY211" s="5167"/>
      <c r="AZ211" s="5167"/>
      <c r="BA211" s="5165">
        <f t="shared" si="271"/>
        <v>0</v>
      </c>
      <c r="BB211" s="5167"/>
      <c r="BC211" s="5173">
        <f t="shared" si="272"/>
        <v>0</v>
      </c>
      <c r="BD211" s="5167"/>
      <c r="BE211" s="5175">
        <f t="shared" si="273"/>
        <v>0</v>
      </c>
      <c r="BF211" s="1137"/>
      <c r="BI211" s="25"/>
      <c r="BJ211" s="25"/>
    </row>
    <row r="212" spans="1:62" s="2950" customFormat="1" ht="15.75" hidden="1" customHeight="1" x14ac:dyDescent="0.25">
      <c r="A212" s="139"/>
      <c r="B212" s="5170" t="s">
        <v>1598</v>
      </c>
      <c r="C212" s="5171"/>
      <c r="D212" s="5166"/>
      <c r="E212" s="5167"/>
      <c r="F212" s="5167"/>
      <c r="G212" s="5167"/>
      <c r="H212" s="5167"/>
      <c r="I212" s="3588">
        <f t="shared" si="274"/>
        <v>0</v>
      </c>
      <c r="J212" s="5167"/>
      <c r="K212" s="5167">
        <v>147.49</v>
      </c>
      <c r="L212" s="5167"/>
      <c r="M212" s="5165">
        <f t="shared" si="275"/>
        <v>147.49</v>
      </c>
      <c r="N212" s="5167"/>
      <c r="O212" s="5167"/>
      <c r="P212" s="5167"/>
      <c r="Q212" s="1548">
        <f t="shared" si="276"/>
        <v>147.49</v>
      </c>
      <c r="R212" s="5166"/>
      <c r="S212" s="5167"/>
      <c r="T212" s="5167"/>
      <c r="U212" s="1548">
        <f t="shared" si="277"/>
        <v>147.49</v>
      </c>
      <c r="V212" s="5166"/>
      <c r="W212" s="5167"/>
      <c r="X212" s="5167"/>
      <c r="Y212" s="5165">
        <f t="shared" si="263"/>
        <v>0</v>
      </c>
      <c r="Z212" s="5167"/>
      <c r="AA212" s="5173">
        <f t="shared" si="264"/>
        <v>147.49</v>
      </c>
      <c r="AB212" s="5166"/>
      <c r="AC212" s="5167"/>
      <c r="AD212" s="5167"/>
      <c r="AE212" s="5174">
        <f t="shared" si="265"/>
        <v>147.49</v>
      </c>
      <c r="AF212" s="5166"/>
      <c r="AG212" s="5167"/>
      <c r="AH212" s="5167"/>
      <c r="AI212" s="5174">
        <f t="shared" si="267"/>
        <v>147.49</v>
      </c>
      <c r="AJ212" s="5166"/>
      <c r="AK212" s="5167"/>
      <c r="AL212" s="5167"/>
      <c r="AM212" s="5165">
        <f t="shared" si="278"/>
        <v>0</v>
      </c>
      <c r="AN212" s="5167"/>
      <c r="AO212" s="5174">
        <f t="shared" si="268"/>
        <v>147.49</v>
      </c>
      <c r="AP212" s="5166"/>
      <c r="AQ212" s="5167"/>
      <c r="AR212" s="5167"/>
      <c r="AS212" s="5174">
        <f t="shared" ref="AS212:AS213" si="287">+AO212+AQ212</f>
        <v>147.49</v>
      </c>
      <c r="AT212" s="5166"/>
      <c r="AU212" s="5167"/>
      <c r="AV212" s="5167"/>
      <c r="AW212" s="5174">
        <f t="shared" ref="AW212:AW213" si="288">+AS212+AU212</f>
        <v>147.49</v>
      </c>
      <c r="AX212" s="5166"/>
      <c r="AY212" s="5167"/>
      <c r="AZ212" s="5167"/>
      <c r="BA212" s="5165">
        <f t="shared" si="271"/>
        <v>0</v>
      </c>
      <c r="BB212" s="5167"/>
      <c r="BC212" s="5173">
        <f t="shared" si="272"/>
        <v>0</v>
      </c>
      <c r="BD212" s="5167"/>
      <c r="BE212" s="5175">
        <f t="shared" si="273"/>
        <v>147.49</v>
      </c>
      <c r="BF212" s="1137"/>
      <c r="BI212" s="25"/>
      <c r="BJ212" s="25"/>
    </row>
    <row r="213" spans="1:62" s="2628" customFormat="1" ht="15.75" hidden="1" customHeight="1" x14ac:dyDescent="0.25">
      <c r="A213" s="139"/>
      <c r="B213" s="5170" t="s">
        <v>807</v>
      </c>
      <c r="C213" s="5171"/>
      <c r="D213" s="5166"/>
      <c r="E213" s="5167"/>
      <c r="F213" s="5167"/>
      <c r="G213" s="5167">
        <v>154.88999999999999</v>
      </c>
      <c r="H213" s="5167"/>
      <c r="I213" s="3588">
        <f t="shared" si="274"/>
        <v>154.88999999999999</v>
      </c>
      <c r="J213" s="5167"/>
      <c r="K213" s="5167">
        <v>26.72</v>
      </c>
      <c r="L213" s="5167"/>
      <c r="M213" s="5165">
        <f t="shared" si="275"/>
        <v>181.60999999999999</v>
      </c>
      <c r="N213" s="5167"/>
      <c r="O213" s="5167"/>
      <c r="P213" s="5167"/>
      <c r="Q213" s="1548">
        <f t="shared" si="276"/>
        <v>181.60999999999999</v>
      </c>
      <c r="R213" s="5166"/>
      <c r="S213" s="5167"/>
      <c r="T213" s="5167"/>
      <c r="U213" s="1548">
        <f t="shared" si="277"/>
        <v>181.60999999999999</v>
      </c>
      <c r="V213" s="5166"/>
      <c r="W213" s="5167"/>
      <c r="X213" s="5167"/>
      <c r="Y213" s="5165">
        <f t="shared" si="263"/>
        <v>0</v>
      </c>
      <c r="Z213" s="5167"/>
      <c r="AA213" s="5173">
        <f t="shared" si="264"/>
        <v>181.60999999999999</v>
      </c>
      <c r="AB213" s="5166"/>
      <c r="AC213" s="5167"/>
      <c r="AD213" s="5167"/>
      <c r="AE213" s="5174">
        <f t="shared" si="265"/>
        <v>181.60999999999999</v>
      </c>
      <c r="AF213" s="5166"/>
      <c r="AG213" s="5167"/>
      <c r="AH213" s="5167"/>
      <c r="AI213" s="5174">
        <f t="shared" si="267"/>
        <v>181.60999999999999</v>
      </c>
      <c r="AJ213" s="5166"/>
      <c r="AK213" s="5167"/>
      <c r="AL213" s="5167"/>
      <c r="AM213" s="5165">
        <f t="shared" si="278"/>
        <v>0</v>
      </c>
      <c r="AN213" s="5167"/>
      <c r="AO213" s="5174">
        <f t="shared" si="268"/>
        <v>181.60999999999999</v>
      </c>
      <c r="AP213" s="5166"/>
      <c r="AQ213" s="5167"/>
      <c r="AR213" s="5167"/>
      <c r="AS213" s="5174">
        <f t="shared" si="287"/>
        <v>181.60999999999999</v>
      </c>
      <c r="AT213" s="5166"/>
      <c r="AU213" s="5167"/>
      <c r="AV213" s="5167"/>
      <c r="AW213" s="5174">
        <f t="shared" si="288"/>
        <v>181.60999999999999</v>
      </c>
      <c r="AX213" s="5166"/>
      <c r="AY213" s="5167"/>
      <c r="AZ213" s="5167"/>
      <c r="BA213" s="5165">
        <f t="shared" si="271"/>
        <v>0</v>
      </c>
      <c r="BB213" s="5167"/>
      <c r="BC213" s="5173">
        <f t="shared" si="272"/>
        <v>0</v>
      </c>
      <c r="BD213" s="5167"/>
      <c r="BE213" s="5175">
        <f t="shared" si="273"/>
        <v>181.60999999999999</v>
      </c>
      <c r="BF213" s="1137"/>
      <c r="BI213" s="25"/>
      <c r="BJ213" s="25"/>
    </row>
    <row r="214" spans="1:62" ht="15.75" hidden="1" customHeight="1" x14ac:dyDescent="0.25">
      <c r="A214" s="139"/>
      <c r="B214" s="5160" t="s">
        <v>1597</v>
      </c>
      <c r="C214" s="5161"/>
      <c r="D214" s="5166"/>
      <c r="E214" s="5163"/>
      <c r="F214" s="5163">
        <v>0</v>
      </c>
      <c r="G214" s="5163">
        <v>0</v>
      </c>
      <c r="H214" s="5164">
        <v>0</v>
      </c>
      <c r="I214" s="3588">
        <f t="shared" si="274"/>
        <v>0</v>
      </c>
      <c r="J214" s="5163">
        <v>0</v>
      </c>
      <c r="K214" s="5163">
        <v>0</v>
      </c>
      <c r="L214" s="5163"/>
      <c r="M214" s="5165">
        <f t="shared" si="275"/>
        <v>0</v>
      </c>
      <c r="N214" s="5163"/>
      <c r="O214" s="5163">
        <v>0</v>
      </c>
      <c r="P214" s="5163">
        <v>0</v>
      </c>
      <c r="Q214" s="1548">
        <f t="shared" si="276"/>
        <v>0</v>
      </c>
      <c r="R214" s="5166">
        <v>0</v>
      </c>
      <c r="S214" s="5163">
        <v>0</v>
      </c>
      <c r="T214" s="5163">
        <v>0</v>
      </c>
      <c r="U214" s="1548">
        <f t="shared" si="277"/>
        <v>0</v>
      </c>
      <c r="V214" s="5166">
        <v>0</v>
      </c>
      <c r="W214" s="5163">
        <v>0</v>
      </c>
      <c r="X214" s="5163"/>
      <c r="Y214" s="5165">
        <f t="shared" si="263"/>
        <v>0</v>
      </c>
      <c r="Z214" s="5167"/>
      <c r="AA214" s="5168">
        <f t="shared" si="264"/>
        <v>0</v>
      </c>
      <c r="AB214" s="5166"/>
      <c r="AC214" s="5163">
        <v>0</v>
      </c>
      <c r="AD214" s="5163">
        <v>0</v>
      </c>
      <c r="AE214" s="5169">
        <f t="shared" si="265"/>
        <v>0</v>
      </c>
      <c r="AF214" s="5166">
        <v>0</v>
      </c>
      <c r="AG214" s="5163">
        <v>0</v>
      </c>
      <c r="AH214" s="5163">
        <v>0</v>
      </c>
      <c r="AI214" s="5169">
        <f t="shared" si="267"/>
        <v>0</v>
      </c>
      <c r="AJ214" s="5166">
        <v>0</v>
      </c>
      <c r="AK214" s="5163">
        <v>0</v>
      </c>
      <c r="AL214" s="5167"/>
      <c r="AM214" s="5165">
        <f t="shared" si="278"/>
        <v>0</v>
      </c>
      <c r="AN214" s="5167"/>
      <c r="AO214" s="5174">
        <f t="shared" si="268"/>
        <v>0</v>
      </c>
      <c r="AP214" s="5166">
        <v>0</v>
      </c>
      <c r="AQ214" s="5163">
        <v>0</v>
      </c>
      <c r="AR214" s="5163"/>
      <c r="AS214" s="5169">
        <v>0</v>
      </c>
      <c r="AT214" s="5166"/>
      <c r="AU214" s="5163">
        <v>0</v>
      </c>
      <c r="AV214" s="5163"/>
      <c r="AW214" s="5169">
        <f>AW215</f>
        <v>0</v>
      </c>
      <c r="AX214" s="5166"/>
      <c r="AY214" s="5163"/>
      <c r="AZ214" s="5167"/>
      <c r="BA214" s="5165">
        <f t="shared" si="271"/>
        <v>0</v>
      </c>
      <c r="BB214" s="5167"/>
      <c r="BC214" s="5168">
        <f t="shared" si="272"/>
        <v>0</v>
      </c>
      <c r="BD214" s="5163"/>
      <c r="BE214" s="5169">
        <f t="shared" si="273"/>
        <v>0</v>
      </c>
      <c r="BF214" s="1137"/>
      <c r="BI214" s="25"/>
      <c r="BJ214" s="25"/>
    </row>
    <row r="215" spans="1:62" ht="15.75" hidden="1" customHeight="1" x14ac:dyDescent="0.25">
      <c r="A215" s="139"/>
      <c r="B215" s="5170" t="s">
        <v>1598</v>
      </c>
      <c r="C215" s="5171" t="s">
        <v>352</v>
      </c>
      <c r="D215" s="5166"/>
      <c r="E215" s="5167"/>
      <c r="F215" s="5167"/>
      <c r="G215" s="5167"/>
      <c r="H215" s="5167"/>
      <c r="I215" s="3588">
        <f t="shared" si="274"/>
        <v>0</v>
      </c>
      <c r="J215" s="5167"/>
      <c r="K215" s="5167"/>
      <c r="L215" s="5167"/>
      <c r="M215" s="5165">
        <f t="shared" si="275"/>
        <v>0</v>
      </c>
      <c r="N215" s="5167"/>
      <c r="O215" s="5167"/>
      <c r="P215" s="5167"/>
      <c r="Q215" s="1548">
        <f t="shared" si="276"/>
        <v>0</v>
      </c>
      <c r="R215" s="5166"/>
      <c r="S215" s="5167"/>
      <c r="T215" s="5167"/>
      <c r="U215" s="1548">
        <f t="shared" si="277"/>
        <v>0</v>
      </c>
      <c r="V215" s="5166"/>
      <c r="W215" s="5167"/>
      <c r="X215" s="5167"/>
      <c r="Y215" s="5165">
        <f t="shared" si="263"/>
        <v>0</v>
      </c>
      <c r="Z215" s="5167"/>
      <c r="AA215" s="5173">
        <f t="shared" si="264"/>
        <v>0</v>
      </c>
      <c r="AB215" s="5166"/>
      <c r="AC215" s="5167"/>
      <c r="AD215" s="5167"/>
      <c r="AE215" s="5174">
        <f t="shared" si="265"/>
        <v>0</v>
      </c>
      <c r="AF215" s="5166"/>
      <c r="AG215" s="5167"/>
      <c r="AH215" s="5167"/>
      <c r="AI215" s="5174">
        <f t="shared" si="267"/>
        <v>0</v>
      </c>
      <c r="AJ215" s="5166"/>
      <c r="AK215" s="5167"/>
      <c r="AL215" s="5167"/>
      <c r="AM215" s="5165">
        <f t="shared" si="278"/>
        <v>0</v>
      </c>
      <c r="AN215" s="5167"/>
      <c r="AO215" s="5174">
        <f t="shared" si="268"/>
        <v>0</v>
      </c>
      <c r="AP215" s="5166"/>
      <c r="AQ215" s="5167"/>
      <c r="AR215" s="5167"/>
      <c r="AS215" s="5174">
        <v>0</v>
      </c>
      <c r="AT215" s="5166"/>
      <c r="AU215" s="5167"/>
      <c r="AV215" s="5167"/>
      <c r="AW215" s="5174">
        <v>0</v>
      </c>
      <c r="AX215" s="5166"/>
      <c r="AY215" s="5167"/>
      <c r="AZ215" s="5167"/>
      <c r="BA215" s="5165">
        <f t="shared" si="271"/>
        <v>0</v>
      </c>
      <c r="BB215" s="5167"/>
      <c r="BC215" s="5173">
        <f t="shared" si="272"/>
        <v>0</v>
      </c>
      <c r="BD215" s="5167"/>
      <c r="BE215" s="5175">
        <f t="shared" si="273"/>
        <v>0</v>
      </c>
      <c r="BF215" s="1137"/>
      <c r="BI215" s="25"/>
      <c r="BJ215" s="25"/>
    </row>
    <row r="216" spans="1:62" ht="18.75" hidden="1" customHeight="1" x14ac:dyDescent="0.25">
      <c r="B216" s="5160" t="s">
        <v>1212</v>
      </c>
      <c r="C216" s="5176"/>
      <c r="D216" s="5166"/>
      <c r="E216" s="5163">
        <f>E217</f>
        <v>0</v>
      </c>
      <c r="F216" s="5167"/>
      <c r="G216" s="5167"/>
      <c r="H216" s="5167"/>
      <c r="I216" s="3588">
        <f t="shared" si="274"/>
        <v>0</v>
      </c>
      <c r="J216" s="5167"/>
      <c r="K216" s="5167"/>
      <c r="L216" s="5167"/>
      <c r="M216" s="5165">
        <f t="shared" si="275"/>
        <v>0</v>
      </c>
      <c r="N216" s="5167"/>
      <c r="O216" s="5167"/>
      <c r="P216" s="5167"/>
      <c r="Q216" s="1548">
        <f t="shared" si="276"/>
        <v>0</v>
      </c>
      <c r="R216" s="5166"/>
      <c r="S216" s="5167"/>
      <c r="T216" s="5167"/>
      <c r="U216" s="1548">
        <f t="shared" si="277"/>
        <v>0</v>
      </c>
      <c r="V216" s="5166"/>
      <c r="W216" s="5167"/>
      <c r="X216" s="5167"/>
      <c r="Y216" s="5165">
        <f t="shared" si="263"/>
        <v>0</v>
      </c>
      <c r="Z216" s="5167"/>
      <c r="AA216" s="5173">
        <f t="shared" si="264"/>
        <v>0</v>
      </c>
      <c r="AB216" s="5166"/>
      <c r="AC216" s="5167"/>
      <c r="AD216" s="5167"/>
      <c r="AE216" s="5174">
        <f t="shared" si="265"/>
        <v>0</v>
      </c>
      <c r="AF216" s="5166"/>
      <c r="AG216" s="5167"/>
      <c r="AH216" s="5167"/>
      <c r="AI216" s="5174">
        <f t="shared" si="267"/>
        <v>0</v>
      </c>
      <c r="AJ216" s="5166"/>
      <c r="AK216" s="5167"/>
      <c r="AL216" s="5167"/>
      <c r="AM216" s="5165">
        <f t="shared" si="278"/>
        <v>0</v>
      </c>
      <c r="AN216" s="5167"/>
      <c r="AO216" s="5174">
        <f t="shared" si="268"/>
        <v>0</v>
      </c>
      <c r="AP216" s="5166"/>
      <c r="AQ216" s="5167"/>
      <c r="AR216" s="5167"/>
      <c r="AS216" s="5174">
        <v>0</v>
      </c>
      <c r="AT216" s="5166"/>
      <c r="AU216" s="5163">
        <f>AU217</f>
        <v>114.96</v>
      </c>
      <c r="AV216" s="5167"/>
      <c r="AW216" s="5169">
        <f t="shared" ref="AW216:AW217" si="289">+AS216+AU216</f>
        <v>114.96</v>
      </c>
      <c r="AX216" s="5166"/>
      <c r="AY216" s="5163">
        <f>AY217</f>
        <v>0</v>
      </c>
      <c r="AZ216" s="5167"/>
      <c r="BA216" s="5165">
        <f t="shared" si="271"/>
        <v>114.96</v>
      </c>
      <c r="BB216" s="5167"/>
      <c r="BC216" s="5173">
        <f t="shared" si="272"/>
        <v>114.96</v>
      </c>
      <c r="BD216" s="5167"/>
      <c r="BE216" s="5175">
        <f t="shared" si="273"/>
        <v>114.96</v>
      </c>
      <c r="BF216" s="1137"/>
      <c r="BI216" s="25"/>
      <c r="BJ216" s="25"/>
    </row>
    <row r="217" spans="1:62" ht="15.75" hidden="1" customHeight="1" x14ac:dyDescent="0.25">
      <c r="B217" s="5170" t="s">
        <v>807</v>
      </c>
      <c r="C217" s="5171" t="s">
        <v>352</v>
      </c>
      <c r="D217" s="5166"/>
      <c r="E217" s="5167"/>
      <c r="F217" s="5167"/>
      <c r="G217" s="5167">
        <v>0</v>
      </c>
      <c r="H217" s="5167"/>
      <c r="I217" s="3588">
        <f t="shared" si="274"/>
        <v>0</v>
      </c>
      <c r="J217" s="5167"/>
      <c r="K217" s="5167">
        <v>0</v>
      </c>
      <c r="L217" s="5167"/>
      <c r="M217" s="5165">
        <f t="shared" si="275"/>
        <v>0</v>
      </c>
      <c r="N217" s="5167"/>
      <c r="O217" s="5167">
        <v>0</v>
      </c>
      <c r="P217" s="5167"/>
      <c r="Q217" s="1548">
        <f t="shared" si="276"/>
        <v>0</v>
      </c>
      <c r="R217" s="5166"/>
      <c r="S217" s="5167">
        <v>0</v>
      </c>
      <c r="T217" s="5167"/>
      <c r="U217" s="1548">
        <f t="shared" si="277"/>
        <v>0</v>
      </c>
      <c r="V217" s="5166"/>
      <c r="W217" s="5167">
        <v>0</v>
      </c>
      <c r="X217" s="5167"/>
      <c r="Y217" s="5165">
        <f t="shared" si="263"/>
        <v>0</v>
      </c>
      <c r="Z217" s="5167"/>
      <c r="AA217" s="5173">
        <f t="shared" si="264"/>
        <v>0</v>
      </c>
      <c r="AB217" s="5166"/>
      <c r="AC217" s="5167">
        <v>0</v>
      </c>
      <c r="AD217" s="5167"/>
      <c r="AE217" s="5174">
        <f t="shared" si="265"/>
        <v>0</v>
      </c>
      <c r="AF217" s="5166"/>
      <c r="AG217" s="5167">
        <v>0</v>
      </c>
      <c r="AH217" s="5167"/>
      <c r="AI217" s="5174">
        <f t="shared" si="267"/>
        <v>0</v>
      </c>
      <c r="AJ217" s="5166"/>
      <c r="AK217" s="5167">
        <v>0</v>
      </c>
      <c r="AL217" s="5167"/>
      <c r="AM217" s="5165">
        <f t="shared" si="278"/>
        <v>0</v>
      </c>
      <c r="AN217" s="5167"/>
      <c r="AO217" s="5174">
        <f t="shared" si="268"/>
        <v>0</v>
      </c>
      <c r="AP217" s="5166"/>
      <c r="AQ217" s="5167">
        <v>0</v>
      </c>
      <c r="AR217" s="5167"/>
      <c r="AS217" s="5174">
        <v>0</v>
      </c>
      <c r="AT217" s="5166"/>
      <c r="AU217" s="5167">
        <v>114.96</v>
      </c>
      <c r="AV217" s="5167"/>
      <c r="AW217" s="5174">
        <f t="shared" si="289"/>
        <v>114.96</v>
      </c>
      <c r="AX217" s="5166"/>
      <c r="AY217" s="5167"/>
      <c r="AZ217" s="5167"/>
      <c r="BA217" s="5165">
        <f t="shared" si="271"/>
        <v>114.96</v>
      </c>
      <c r="BB217" s="5167"/>
      <c r="BC217" s="5173">
        <f t="shared" si="272"/>
        <v>114.96</v>
      </c>
      <c r="BD217" s="5167"/>
      <c r="BE217" s="5175">
        <f t="shared" si="273"/>
        <v>114.96</v>
      </c>
      <c r="BF217" s="1137"/>
      <c r="BI217" s="25"/>
      <c r="BJ217" s="25"/>
    </row>
    <row r="218" spans="1:62" ht="18.75" hidden="1" customHeight="1" x14ac:dyDescent="0.25">
      <c r="B218" s="5160" t="s">
        <v>1225</v>
      </c>
      <c r="C218" s="5161"/>
      <c r="D218" s="5163">
        <f t="shared" ref="D218:E218" si="290">D219+D221+D220</f>
        <v>0</v>
      </c>
      <c r="E218" s="5163">
        <f t="shared" si="290"/>
        <v>0</v>
      </c>
      <c r="F218" s="5163">
        <v>0</v>
      </c>
      <c r="G218" s="5163">
        <f t="shared" ref="G218:AZ218" si="291">G219</f>
        <v>0</v>
      </c>
      <c r="H218" s="5164">
        <f t="shared" si="291"/>
        <v>0</v>
      </c>
      <c r="I218" s="3588">
        <f t="shared" si="291"/>
        <v>0</v>
      </c>
      <c r="J218" s="5163">
        <f t="shared" si="291"/>
        <v>0</v>
      </c>
      <c r="K218" s="5163">
        <f t="shared" si="291"/>
        <v>0</v>
      </c>
      <c r="L218" s="5163">
        <f t="shared" si="291"/>
        <v>0</v>
      </c>
      <c r="M218" s="5165">
        <f t="shared" si="291"/>
        <v>0</v>
      </c>
      <c r="N218" s="5163">
        <f t="shared" si="291"/>
        <v>0</v>
      </c>
      <c r="O218" s="5163">
        <f t="shared" si="291"/>
        <v>184.69</v>
      </c>
      <c r="P218" s="5163">
        <f t="shared" si="291"/>
        <v>0</v>
      </c>
      <c r="Q218" s="1548">
        <f t="shared" si="291"/>
        <v>184.69</v>
      </c>
      <c r="R218" s="5166">
        <f t="shared" si="291"/>
        <v>0</v>
      </c>
      <c r="S218" s="5163">
        <f t="shared" si="291"/>
        <v>0</v>
      </c>
      <c r="T218" s="5163">
        <f t="shared" si="291"/>
        <v>0</v>
      </c>
      <c r="U218" s="1548">
        <f t="shared" si="277"/>
        <v>184.69</v>
      </c>
      <c r="V218" s="5166">
        <f t="shared" si="291"/>
        <v>0</v>
      </c>
      <c r="W218" s="5163">
        <f t="shared" si="291"/>
        <v>0</v>
      </c>
      <c r="X218" s="5163">
        <f t="shared" si="291"/>
        <v>0</v>
      </c>
      <c r="Y218" s="5165">
        <f t="shared" si="263"/>
        <v>184.69</v>
      </c>
      <c r="Z218" s="5167"/>
      <c r="AA218" s="5168">
        <f t="shared" si="264"/>
        <v>184.69</v>
      </c>
      <c r="AB218" s="5166">
        <f t="shared" si="291"/>
        <v>0</v>
      </c>
      <c r="AC218" s="5163">
        <f t="shared" si="291"/>
        <v>0</v>
      </c>
      <c r="AD218" s="5163">
        <f t="shared" si="291"/>
        <v>0</v>
      </c>
      <c r="AE218" s="5169">
        <f t="shared" si="265"/>
        <v>184.69</v>
      </c>
      <c r="AF218" s="5166">
        <f t="shared" si="291"/>
        <v>0</v>
      </c>
      <c r="AG218" s="5163">
        <f t="shared" si="291"/>
        <v>0</v>
      </c>
      <c r="AH218" s="5163">
        <f t="shared" si="291"/>
        <v>0</v>
      </c>
      <c r="AI218" s="5169">
        <f t="shared" si="267"/>
        <v>184.69</v>
      </c>
      <c r="AJ218" s="5166">
        <f t="shared" si="291"/>
        <v>0</v>
      </c>
      <c r="AK218" s="5163">
        <f t="shared" si="291"/>
        <v>0</v>
      </c>
      <c r="AL218" s="5167">
        <f t="shared" si="291"/>
        <v>0</v>
      </c>
      <c r="AM218" s="5165">
        <f t="shared" si="278"/>
        <v>0</v>
      </c>
      <c r="AN218" s="5167">
        <f t="shared" si="291"/>
        <v>0</v>
      </c>
      <c r="AO218" s="5174">
        <f t="shared" si="268"/>
        <v>184.69</v>
      </c>
      <c r="AP218" s="5166">
        <f t="shared" si="291"/>
        <v>0</v>
      </c>
      <c r="AQ218" s="5163">
        <f t="shared" si="291"/>
        <v>0</v>
      </c>
      <c r="AR218" s="5163">
        <f t="shared" si="291"/>
        <v>0</v>
      </c>
      <c r="AS218" s="5169">
        <f t="shared" si="291"/>
        <v>184.69</v>
      </c>
      <c r="AT218" s="5166">
        <f t="shared" si="291"/>
        <v>0</v>
      </c>
      <c r="AU218" s="5163">
        <f>AU219+AU221+AU220</f>
        <v>3557.53</v>
      </c>
      <c r="AV218" s="5163">
        <f t="shared" ref="AV218:AY218" si="292">AV219+AV221+AV220</f>
        <v>0</v>
      </c>
      <c r="AW218" s="5163">
        <f t="shared" si="292"/>
        <v>3742.2200000000003</v>
      </c>
      <c r="AX218" s="5163">
        <f t="shared" si="292"/>
        <v>0</v>
      </c>
      <c r="AY218" s="5163">
        <f t="shared" si="292"/>
        <v>136.72</v>
      </c>
      <c r="AZ218" s="5167">
        <f t="shared" si="291"/>
        <v>0</v>
      </c>
      <c r="BA218" s="5165">
        <f t="shared" si="271"/>
        <v>3694.25</v>
      </c>
      <c r="BB218" s="5167"/>
      <c r="BC218" s="5168">
        <f t="shared" si="272"/>
        <v>3694.25</v>
      </c>
      <c r="BD218" s="5163"/>
      <c r="BE218" s="5169">
        <f t="shared" si="273"/>
        <v>3878.94</v>
      </c>
      <c r="BF218" s="1137"/>
      <c r="BI218" s="25"/>
      <c r="BJ218" s="25"/>
    </row>
    <row r="219" spans="1:62" ht="18.75" hidden="1" customHeight="1" x14ac:dyDescent="0.25">
      <c r="B219" s="5170" t="s">
        <v>807</v>
      </c>
      <c r="C219" s="5171" t="s">
        <v>352</v>
      </c>
      <c r="D219" s="5178"/>
      <c r="E219" s="5167"/>
      <c r="F219" s="5167">
        <v>0</v>
      </c>
      <c r="G219" s="5167"/>
      <c r="H219" s="5167">
        <v>0</v>
      </c>
      <c r="I219" s="3588">
        <f t="shared" si="274"/>
        <v>0</v>
      </c>
      <c r="J219" s="5167">
        <v>0</v>
      </c>
      <c r="K219" s="5167"/>
      <c r="L219" s="5167"/>
      <c r="M219" s="5165">
        <f t="shared" si="275"/>
        <v>0</v>
      </c>
      <c r="N219" s="5167"/>
      <c r="O219" s="5167">
        <v>184.69</v>
      </c>
      <c r="P219" s="5167"/>
      <c r="Q219" s="1548">
        <f t="shared" si="276"/>
        <v>184.69</v>
      </c>
      <c r="R219" s="5178"/>
      <c r="S219" s="5167"/>
      <c r="T219" s="5167"/>
      <c r="U219" s="1548">
        <f t="shared" si="277"/>
        <v>184.69</v>
      </c>
      <c r="V219" s="5178"/>
      <c r="W219" s="5167"/>
      <c r="X219" s="5167"/>
      <c r="Y219" s="5165">
        <f t="shared" si="263"/>
        <v>184.69</v>
      </c>
      <c r="Z219" s="5167"/>
      <c r="AA219" s="5173">
        <f t="shared" si="264"/>
        <v>184.69</v>
      </c>
      <c r="AB219" s="5178"/>
      <c r="AC219" s="5167"/>
      <c r="AD219" s="5167"/>
      <c r="AE219" s="5174">
        <f t="shared" si="265"/>
        <v>184.69</v>
      </c>
      <c r="AF219" s="5178"/>
      <c r="AG219" s="5167"/>
      <c r="AH219" s="5167"/>
      <c r="AI219" s="5174">
        <f t="shared" si="267"/>
        <v>184.69</v>
      </c>
      <c r="AJ219" s="5178"/>
      <c r="AK219" s="5167"/>
      <c r="AL219" s="5163"/>
      <c r="AM219" s="5165">
        <f t="shared" si="278"/>
        <v>0</v>
      </c>
      <c r="AN219" s="5167"/>
      <c r="AO219" s="5174">
        <f t="shared" si="268"/>
        <v>184.69</v>
      </c>
      <c r="AP219" s="5178"/>
      <c r="AQ219" s="5167">
        <v>0</v>
      </c>
      <c r="AR219" s="5167"/>
      <c r="AS219" s="5174">
        <f t="shared" ref="AS219" si="293">+AO219+AQ219</f>
        <v>184.69</v>
      </c>
      <c r="AT219" s="5178"/>
      <c r="AU219" s="5167">
        <v>76.38000000000001</v>
      </c>
      <c r="AV219" s="5167"/>
      <c r="AW219" s="5174">
        <f t="shared" ref="AW219:AW221" si="294">+AS219+AU219</f>
        <v>261.07</v>
      </c>
      <c r="AX219" s="5178"/>
      <c r="AY219" s="5167"/>
      <c r="AZ219" s="5163"/>
      <c r="BA219" s="5165">
        <f t="shared" si="271"/>
        <v>76.38000000000001</v>
      </c>
      <c r="BB219" s="5167"/>
      <c r="BC219" s="5173">
        <f t="shared" si="272"/>
        <v>76.38000000000001</v>
      </c>
      <c r="BD219" s="5167"/>
      <c r="BE219" s="5175">
        <f t="shared" si="273"/>
        <v>261.07</v>
      </c>
      <c r="BF219" s="1137"/>
      <c r="BI219" s="25"/>
      <c r="BJ219" s="25"/>
    </row>
    <row r="220" spans="1:62" s="4487" customFormat="1" ht="18.75" hidden="1" customHeight="1" x14ac:dyDescent="0.25">
      <c r="B220" s="5170" t="s">
        <v>806</v>
      </c>
      <c r="C220" s="7106" t="s">
        <v>352</v>
      </c>
      <c r="D220" s="7109"/>
      <c r="E220" s="7040"/>
      <c r="F220" s="7040"/>
      <c r="G220" s="7040"/>
      <c r="H220" s="7040"/>
      <c r="I220" s="6928"/>
      <c r="J220" s="7040"/>
      <c r="K220" s="7040"/>
      <c r="L220" s="7040"/>
      <c r="M220" s="7107"/>
      <c r="N220" s="7040"/>
      <c r="O220" s="7040"/>
      <c r="P220" s="7040"/>
      <c r="Q220" s="7108"/>
      <c r="R220" s="7109"/>
      <c r="S220" s="7040"/>
      <c r="T220" s="7040"/>
      <c r="U220" s="7108"/>
      <c r="V220" s="7109"/>
      <c r="W220" s="7040"/>
      <c r="X220" s="7040"/>
      <c r="Y220" s="7107"/>
      <c r="Z220" s="7040"/>
      <c r="AA220" s="5173"/>
      <c r="AB220" s="7109"/>
      <c r="AC220" s="7040"/>
      <c r="AD220" s="7040"/>
      <c r="AE220" s="5174"/>
      <c r="AF220" s="7109"/>
      <c r="AG220" s="7040"/>
      <c r="AH220" s="7040"/>
      <c r="AI220" s="5174"/>
      <c r="AJ220" s="7109"/>
      <c r="AK220" s="7040"/>
      <c r="AL220" s="7110"/>
      <c r="AM220" s="7107"/>
      <c r="AN220" s="7040"/>
      <c r="AO220" s="5174"/>
      <c r="AP220" s="7109"/>
      <c r="AQ220" s="7040"/>
      <c r="AR220" s="7040"/>
      <c r="AS220" s="5174"/>
      <c r="AT220" s="7109"/>
      <c r="AU220" s="7040"/>
      <c r="AV220" s="7040"/>
      <c r="AW220" s="5174"/>
      <c r="AX220" s="7109"/>
      <c r="AY220" s="7040">
        <v>136.72</v>
      </c>
      <c r="AZ220" s="7110"/>
      <c r="BA220" s="5165">
        <f t="shared" si="271"/>
        <v>136.72</v>
      </c>
      <c r="BB220" s="7040"/>
      <c r="BC220" s="5173">
        <f t="shared" si="272"/>
        <v>136.72</v>
      </c>
      <c r="BD220" s="7040"/>
      <c r="BE220" s="5175">
        <f t="shared" si="273"/>
        <v>136.72</v>
      </c>
      <c r="BF220" s="1137"/>
      <c r="BI220" s="25"/>
      <c r="BJ220" s="25"/>
    </row>
    <row r="221" spans="1:62" s="4487" customFormat="1" ht="18.75" hidden="1" customHeight="1" x14ac:dyDescent="0.25">
      <c r="B221" s="5170" t="s">
        <v>1598</v>
      </c>
      <c r="C221" s="7106" t="s">
        <v>352</v>
      </c>
      <c r="D221" s="6929"/>
      <c r="E221" s="6698"/>
      <c r="F221" s="6698"/>
      <c r="G221" s="6698"/>
      <c r="H221" s="6698"/>
      <c r="I221" s="6928"/>
      <c r="J221" s="6698"/>
      <c r="K221" s="6698"/>
      <c r="L221" s="6698"/>
      <c r="M221" s="6898"/>
      <c r="N221" s="6698"/>
      <c r="O221" s="6698"/>
      <c r="P221" s="6698"/>
      <c r="Q221" s="6760"/>
      <c r="R221" s="6929"/>
      <c r="S221" s="6698"/>
      <c r="T221" s="6698"/>
      <c r="U221" s="6760"/>
      <c r="V221" s="6929"/>
      <c r="W221" s="6698"/>
      <c r="X221" s="6698"/>
      <c r="Y221" s="6898"/>
      <c r="Z221" s="6698"/>
      <c r="AA221" s="5173"/>
      <c r="AB221" s="6929"/>
      <c r="AC221" s="6698"/>
      <c r="AD221" s="6698"/>
      <c r="AE221" s="5174"/>
      <c r="AF221" s="6929"/>
      <c r="AG221" s="6698"/>
      <c r="AH221" s="6698"/>
      <c r="AI221" s="5174"/>
      <c r="AJ221" s="6929"/>
      <c r="AK221" s="6698"/>
      <c r="AL221" s="6930"/>
      <c r="AM221" s="6898"/>
      <c r="AN221" s="6698"/>
      <c r="AO221" s="5174"/>
      <c r="AP221" s="6929"/>
      <c r="AQ221" s="6698"/>
      <c r="AR221" s="6698"/>
      <c r="AS221" s="5174"/>
      <c r="AT221" s="6929"/>
      <c r="AU221" s="6698">
        <v>3481.15</v>
      </c>
      <c r="AV221" s="6698"/>
      <c r="AW221" s="5174">
        <f t="shared" si="294"/>
        <v>3481.15</v>
      </c>
      <c r="AX221" s="6929"/>
      <c r="AY221" s="6698"/>
      <c r="AZ221" s="6930"/>
      <c r="BA221" s="6898">
        <f t="shared" si="271"/>
        <v>3481.15</v>
      </c>
      <c r="BB221" s="6698"/>
      <c r="BC221" s="5173">
        <f t="shared" si="272"/>
        <v>3481.15</v>
      </c>
      <c r="BD221" s="6698"/>
      <c r="BE221" s="5175">
        <f t="shared" si="273"/>
        <v>3481.15</v>
      </c>
      <c r="BF221" s="1137"/>
      <c r="BI221" s="25"/>
      <c r="BJ221" s="25"/>
    </row>
    <row r="222" spans="1:62" ht="18.75" hidden="1" customHeight="1" x14ac:dyDescent="0.25">
      <c r="B222" s="5160" t="s">
        <v>1157</v>
      </c>
      <c r="C222" s="5161" t="s">
        <v>352</v>
      </c>
      <c r="D222" s="5166"/>
      <c r="E222" s="5163">
        <v>0</v>
      </c>
      <c r="F222" s="5163"/>
      <c r="G222" s="5163">
        <v>0</v>
      </c>
      <c r="H222" s="5164"/>
      <c r="I222" s="3588">
        <f t="shared" si="274"/>
        <v>0</v>
      </c>
      <c r="J222" s="5163"/>
      <c r="K222" s="5163">
        <v>0</v>
      </c>
      <c r="L222" s="5163"/>
      <c r="M222" s="5165">
        <f t="shared" si="275"/>
        <v>0</v>
      </c>
      <c r="N222" s="5163"/>
      <c r="O222" s="5163">
        <v>0</v>
      </c>
      <c r="P222" s="5163"/>
      <c r="Q222" s="1548">
        <f t="shared" si="276"/>
        <v>0</v>
      </c>
      <c r="R222" s="5166"/>
      <c r="S222" s="5163">
        <v>0</v>
      </c>
      <c r="T222" s="5163"/>
      <c r="U222" s="1548">
        <f t="shared" si="277"/>
        <v>0</v>
      </c>
      <c r="V222" s="5166"/>
      <c r="W222" s="5163">
        <v>0</v>
      </c>
      <c r="X222" s="5163"/>
      <c r="Y222" s="5165">
        <f t="shared" si="263"/>
        <v>0</v>
      </c>
      <c r="Z222" s="5167"/>
      <c r="AA222" s="5168">
        <f t="shared" si="264"/>
        <v>0</v>
      </c>
      <c r="AB222" s="5166"/>
      <c r="AC222" s="5163">
        <v>0</v>
      </c>
      <c r="AD222" s="5163"/>
      <c r="AE222" s="5169">
        <f t="shared" si="265"/>
        <v>0</v>
      </c>
      <c r="AF222" s="5166"/>
      <c r="AG222" s="5163">
        <v>0</v>
      </c>
      <c r="AH222" s="5163"/>
      <c r="AI222" s="5169">
        <f t="shared" si="267"/>
        <v>0</v>
      </c>
      <c r="AJ222" s="5166"/>
      <c r="AK222" s="5163">
        <v>0</v>
      </c>
      <c r="AL222" s="5167"/>
      <c r="AM222" s="5165">
        <f t="shared" si="278"/>
        <v>0</v>
      </c>
      <c r="AN222" s="5167"/>
      <c r="AO222" s="5174">
        <f t="shared" si="268"/>
        <v>0</v>
      </c>
      <c r="AP222" s="5166"/>
      <c r="AQ222" s="5163">
        <v>0</v>
      </c>
      <c r="AR222" s="5163"/>
      <c r="AS222" s="5169">
        <v>0</v>
      </c>
      <c r="AT222" s="5166"/>
      <c r="AU222" s="5163">
        <v>0</v>
      </c>
      <c r="AV222" s="5163"/>
      <c r="AW222" s="5169">
        <v>0</v>
      </c>
      <c r="AX222" s="5166"/>
      <c r="AY222" s="5163">
        <v>0</v>
      </c>
      <c r="AZ222" s="5167"/>
      <c r="BA222" s="5165">
        <f t="shared" si="271"/>
        <v>0</v>
      </c>
      <c r="BB222" s="5167"/>
      <c r="BC222" s="5168">
        <f t="shared" si="272"/>
        <v>0</v>
      </c>
      <c r="BD222" s="5163"/>
      <c r="BE222" s="5169">
        <f t="shared" si="273"/>
        <v>0</v>
      </c>
      <c r="BF222" s="1137"/>
      <c r="BI222" s="25"/>
      <c r="BJ222" s="25"/>
    </row>
    <row r="223" spans="1:62" ht="15.75" hidden="1" customHeight="1" x14ac:dyDescent="0.25">
      <c r="B223" s="5170" t="s">
        <v>806</v>
      </c>
      <c r="C223" s="5171" t="s">
        <v>352</v>
      </c>
      <c r="D223" s="5166"/>
      <c r="E223" s="5167"/>
      <c r="F223" s="5167"/>
      <c r="G223" s="5167"/>
      <c r="H223" s="5167"/>
      <c r="I223" s="3588">
        <f t="shared" si="274"/>
        <v>0</v>
      </c>
      <c r="J223" s="5167"/>
      <c r="K223" s="5167"/>
      <c r="L223" s="5167"/>
      <c r="M223" s="5165">
        <f t="shared" si="275"/>
        <v>0</v>
      </c>
      <c r="N223" s="5167"/>
      <c r="O223" s="5167"/>
      <c r="P223" s="5167"/>
      <c r="Q223" s="1548">
        <f t="shared" si="276"/>
        <v>0</v>
      </c>
      <c r="R223" s="5166"/>
      <c r="S223" s="5167"/>
      <c r="T223" s="5167"/>
      <c r="U223" s="1548">
        <f t="shared" si="277"/>
        <v>0</v>
      </c>
      <c r="V223" s="5166"/>
      <c r="W223" s="5167"/>
      <c r="X223" s="5167"/>
      <c r="Y223" s="5165">
        <f t="shared" si="263"/>
        <v>0</v>
      </c>
      <c r="Z223" s="5167"/>
      <c r="AA223" s="5173">
        <f t="shared" si="264"/>
        <v>0</v>
      </c>
      <c r="AB223" s="5166"/>
      <c r="AC223" s="5167"/>
      <c r="AD223" s="5167"/>
      <c r="AE223" s="5174">
        <f t="shared" si="265"/>
        <v>0</v>
      </c>
      <c r="AF223" s="5166"/>
      <c r="AG223" s="5167"/>
      <c r="AH223" s="5167"/>
      <c r="AI223" s="5174">
        <f t="shared" si="267"/>
        <v>0</v>
      </c>
      <c r="AJ223" s="5166"/>
      <c r="AK223" s="5167"/>
      <c r="AL223" s="5167"/>
      <c r="AM223" s="5165">
        <f t="shared" si="278"/>
        <v>0</v>
      </c>
      <c r="AN223" s="5167"/>
      <c r="AO223" s="5174">
        <f t="shared" si="268"/>
        <v>0</v>
      </c>
      <c r="AP223" s="5166"/>
      <c r="AQ223" s="5167"/>
      <c r="AR223" s="5167"/>
      <c r="AS223" s="5174">
        <v>0</v>
      </c>
      <c r="AT223" s="5166"/>
      <c r="AU223" s="5167"/>
      <c r="AV223" s="5167"/>
      <c r="AW223" s="5174">
        <v>0</v>
      </c>
      <c r="AX223" s="5166"/>
      <c r="AY223" s="5167"/>
      <c r="AZ223" s="5167"/>
      <c r="BA223" s="5165">
        <f t="shared" si="271"/>
        <v>0</v>
      </c>
      <c r="BB223" s="5167"/>
      <c r="BC223" s="5173">
        <f t="shared" si="272"/>
        <v>0</v>
      </c>
      <c r="BD223" s="5167"/>
      <c r="BE223" s="5175">
        <f t="shared" si="273"/>
        <v>0</v>
      </c>
      <c r="BF223" s="1137"/>
      <c r="BI223" s="25"/>
      <c r="BJ223" s="25"/>
    </row>
    <row r="224" spans="1:62" ht="15.75" hidden="1" customHeight="1" x14ac:dyDescent="0.25">
      <c r="B224" s="5170" t="s">
        <v>913</v>
      </c>
      <c r="C224" s="5171" t="s">
        <v>352</v>
      </c>
      <c r="D224" s="5166"/>
      <c r="E224" s="5167"/>
      <c r="F224" s="5167"/>
      <c r="G224" s="5167"/>
      <c r="H224" s="5167"/>
      <c r="I224" s="3588">
        <f t="shared" si="274"/>
        <v>0</v>
      </c>
      <c r="J224" s="5167"/>
      <c r="K224" s="5167"/>
      <c r="L224" s="5167"/>
      <c r="M224" s="5165">
        <f t="shared" si="275"/>
        <v>0</v>
      </c>
      <c r="N224" s="5167"/>
      <c r="O224" s="5167"/>
      <c r="P224" s="5167"/>
      <c r="Q224" s="1548">
        <f t="shared" si="276"/>
        <v>0</v>
      </c>
      <c r="R224" s="5166"/>
      <c r="S224" s="5167"/>
      <c r="T224" s="5167"/>
      <c r="U224" s="1548">
        <f t="shared" si="277"/>
        <v>0</v>
      </c>
      <c r="V224" s="5166"/>
      <c r="W224" s="5167"/>
      <c r="X224" s="5167"/>
      <c r="Y224" s="5165">
        <f t="shared" si="263"/>
        <v>0</v>
      </c>
      <c r="Z224" s="5167"/>
      <c r="AA224" s="5173">
        <f t="shared" si="264"/>
        <v>0</v>
      </c>
      <c r="AB224" s="5166"/>
      <c r="AC224" s="5167"/>
      <c r="AD224" s="5167"/>
      <c r="AE224" s="5174">
        <f t="shared" si="265"/>
        <v>0</v>
      </c>
      <c r="AF224" s="5166"/>
      <c r="AG224" s="5167"/>
      <c r="AH224" s="5167"/>
      <c r="AI224" s="5174">
        <f t="shared" si="267"/>
        <v>0</v>
      </c>
      <c r="AJ224" s="5166"/>
      <c r="AK224" s="5167"/>
      <c r="AL224" s="5167"/>
      <c r="AM224" s="5165">
        <f t="shared" si="278"/>
        <v>0</v>
      </c>
      <c r="AN224" s="5167"/>
      <c r="AO224" s="5174">
        <f t="shared" si="268"/>
        <v>0</v>
      </c>
      <c r="AP224" s="5166"/>
      <c r="AQ224" s="5167"/>
      <c r="AR224" s="5167"/>
      <c r="AS224" s="5174">
        <v>0</v>
      </c>
      <c r="AT224" s="5166"/>
      <c r="AU224" s="5167"/>
      <c r="AV224" s="5167"/>
      <c r="AW224" s="5174">
        <v>0</v>
      </c>
      <c r="AX224" s="5166"/>
      <c r="AY224" s="5167"/>
      <c r="AZ224" s="5167"/>
      <c r="BA224" s="5165">
        <f t="shared" si="271"/>
        <v>0</v>
      </c>
      <c r="BB224" s="5167"/>
      <c r="BC224" s="5173">
        <f t="shared" si="272"/>
        <v>0</v>
      </c>
      <c r="BD224" s="5167"/>
      <c r="BE224" s="5175">
        <f t="shared" si="273"/>
        <v>0</v>
      </c>
      <c r="BF224" s="1137"/>
      <c r="BI224" s="25"/>
      <c r="BJ224" s="25"/>
    </row>
    <row r="225" spans="2:62" ht="18.75" hidden="1" customHeight="1" x14ac:dyDescent="0.25">
      <c r="B225" s="5160" t="s">
        <v>1857</v>
      </c>
      <c r="C225" s="5161"/>
      <c r="D225" s="5166"/>
      <c r="E225" s="5163"/>
      <c r="F225" s="5163">
        <v>0</v>
      </c>
      <c r="G225" s="5163">
        <v>0</v>
      </c>
      <c r="H225" s="5164">
        <v>0</v>
      </c>
      <c r="I225" s="3588">
        <f t="shared" si="274"/>
        <v>0</v>
      </c>
      <c r="J225" s="5163">
        <v>0</v>
      </c>
      <c r="K225" s="5163">
        <v>0</v>
      </c>
      <c r="L225" s="5163"/>
      <c r="M225" s="5165">
        <f t="shared" si="275"/>
        <v>0</v>
      </c>
      <c r="N225" s="5163"/>
      <c r="O225" s="5163">
        <v>0</v>
      </c>
      <c r="P225" s="5163">
        <v>0</v>
      </c>
      <c r="Q225" s="1548">
        <f t="shared" si="276"/>
        <v>0</v>
      </c>
      <c r="R225" s="5166">
        <v>0</v>
      </c>
      <c r="S225" s="5163">
        <v>0</v>
      </c>
      <c r="T225" s="5163">
        <v>0</v>
      </c>
      <c r="U225" s="1548">
        <f t="shared" si="277"/>
        <v>0</v>
      </c>
      <c r="V225" s="5166">
        <v>0</v>
      </c>
      <c r="W225" s="5163">
        <v>0</v>
      </c>
      <c r="X225" s="5163"/>
      <c r="Y225" s="5165">
        <f t="shared" si="263"/>
        <v>0</v>
      </c>
      <c r="Z225" s="5167"/>
      <c r="AA225" s="5168">
        <f t="shared" si="264"/>
        <v>0</v>
      </c>
      <c r="AB225" s="5166"/>
      <c r="AC225" s="5163">
        <v>0</v>
      </c>
      <c r="AD225" s="5163">
        <v>0</v>
      </c>
      <c r="AE225" s="5169">
        <f t="shared" si="265"/>
        <v>0</v>
      </c>
      <c r="AF225" s="5166">
        <v>0</v>
      </c>
      <c r="AG225" s="5163">
        <v>0</v>
      </c>
      <c r="AH225" s="5163">
        <v>0</v>
      </c>
      <c r="AI225" s="5169">
        <f t="shared" si="267"/>
        <v>0</v>
      </c>
      <c r="AJ225" s="5166">
        <v>0</v>
      </c>
      <c r="AK225" s="5163">
        <v>0</v>
      </c>
      <c r="AL225" s="5167"/>
      <c r="AM225" s="5165">
        <f t="shared" si="278"/>
        <v>0</v>
      </c>
      <c r="AN225" s="5167"/>
      <c r="AO225" s="5174">
        <f t="shared" si="268"/>
        <v>0</v>
      </c>
      <c r="AP225" s="5166">
        <v>0</v>
      </c>
      <c r="AQ225" s="5163">
        <v>0</v>
      </c>
      <c r="AR225" s="5163"/>
      <c r="AS225" s="5169">
        <f t="shared" ref="AS225" si="295">+AO225+AQ225</f>
        <v>0</v>
      </c>
      <c r="AT225" s="5166"/>
      <c r="AU225" s="5163">
        <v>0</v>
      </c>
      <c r="AV225" s="5163"/>
      <c r="AW225" s="5169">
        <f t="shared" ref="AW225:AW228" si="296">+AS225+AU225</f>
        <v>0</v>
      </c>
      <c r="AX225" s="5166"/>
      <c r="AY225" s="5163"/>
      <c r="AZ225" s="5167"/>
      <c r="BA225" s="5165">
        <f t="shared" si="271"/>
        <v>0</v>
      </c>
      <c r="BB225" s="5167"/>
      <c r="BC225" s="5168">
        <f t="shared" si="272"/>
        <v>0</v>
      </c>
      <c r="BD225" s="5163"/>
      <c r="BE225" s="5169">
        <f t="shared" si="273"/>
        <v>0</v>
      </c>
      <c r="BF225" s="1137"/>
      <c r="BI225" s="25"/>
      <c r="BJ225" s="25"/>
    </row>
    <row r="226" spans="2:62" ht="15.75" hidden="1" customHeight="1" x14ac:dyDescent="0.25">
      <c r="B226" s="5170" t="s">
        <v>913</v>
      </c>
      <c r="C226" s="5171" t="s">
        <v>352</v>
      </c>
      <c r="D226" s="5179"/>
      <c r="E226" s="5167"/>
      <c r="F226" s="5167"/>
      <c r="G226" s="5167"/>
      <c r="H226" s="5167"/>
      <c r="I226" s="3588">
        <f t="shared" si="274"/>
        <v>0</v>
      </c>
      <c r="J226" s="5167"/>
      <c r="K226" s="5167"/>
      <c r="L226" s="5167"/>
      <c r="M226" s="5165">
        <f t="shared" si="275"/>
        <v>0</v>
      </c>
      <c r="N226" s="5167"/>
      <c r="O226" s="5167"/>
      <c r="P226" s="5167"/>
      <c r="Q226" s="1548">
        <f t="shared" si="276"/>
        <v>0</v>
      </c>
      <c r="R226" s="5179"/>
      <c r="S226" s="5167"/>
      <c r="T226" s="5167"/>
      <c r="U226" s="1548">
        <f t="shared" si="277"/>
        <v>0</v>
      </c>
      <c r="V226" s="5179"/>
      <c r="W226" s="5167"/>
      <c r="X226" s="5167"/>
      <c r="Y226" s="5165">
        <f t="shared" si="263"/>
        <v>0</v>
      </c>
      <c r="Z226" s="5167"/>
      <c r="AA226" s="5173">
        <f t="shared" si="264"/>
        <v>0</v>
      </c>
      <c r="AB226" s="5179"/>
      <c r="AC226" s="5167"/>
      <c r="AD226" s="5167"/>
      <c r="AE226" s="5174">
        <f t="shared" si="265"/>
        <v>0</v>
      </c>
      <c r="AF226" s="5179"/>
      <c r="AG226" s="5167"/>
      <c r="AH226" s="5167"/>
      <c r="AI226" s="5174">
        <f t="shared" si="267"/>
        <v>0</v>
      </c>
      <c r="AJ226" s="5179"/>
      <c r="AK226" s="5167"/>
      <c r="AL226" s="5180"/>
      <c r="AM226" s="5165">
        <f t="shared" si="278"/>
        <v>0</v>
      </c>
      <c r="AN226" s="5167"/>
      <c r="AO226" s="5174">
        <f t="shared" si="268"/>
        <v>0</v>
      </c>
      <c r="AP226" s="5179"/>
      <c r="AQ226" s="5167"/>
      <c r="AR226" s="5167"/>
      <c r="AS226" s="5174">
        <f t="shared" ref="AS226:AS227" si="297">+AO226+AQ226</f>
        <v>0</v>
      </c>
      <c r="AT226" s="5179"/>
      <c r="AU226" s="5167"/>
      <c r="AV226" s="5167"/>
      <c r="AW226" s="5174">
        <f t="shared" si="296"/>
        <v>0</v>
      </c>
      <c r="AX226" s="5179"/>
      <c r="AY226" s="5167"/>
      <c r="AZ226" s="5180"/>
      <c r="BA226" s="5165">
        <f t="shared" si="271"/>
        <v>0</v>
      </c>
      <c r="BB226" s="5167"/>
      <c r="BC226" s="5173">
        <f t="shared" si="272"/>
        <v>0</v>
      </c>
      <c r="BD226" s="5167"/>
      <c r="BE226" s="5175">
        <f t="shared" si="273"/>
        <v>0</v>
      </c>
      <c r="BF226" s="1137"/>
      <c r="BI226" s="25"/>
      <c r="BJ226" s="25"/>
    </row>
    <row r="227" spans="2:62" ht="18.75" hidden="1" customHeight="1" x14ac:dyDescent="0.25">
      <c r="B227" s="5160" t="s">
        <v>1595</v>
      </c>
      <c r="C227" s="5161"/>
      <c r="D227" s="5166"/>
      <c r="E227" s="5163"/>
      <c r="F227" s="5163">
        <v>0</v>
      </c>
      <c r="G227" s="5163">
        <v>0</v>
      </c>
      <c r="H227" s="5164">
        <v>0</v>
      </c>
      <c r="I227" s="3588">
        <f t="shared" si="274"/>
        <v>0</v>
      </c>
      <c r="J227" s="5163">
        <v>0</v>
      </c>
      <c r="K227" s="5163">
        <v>0</v>
      </c>
      <c r="L227" s="5163"/>
      <c r="M227" s="5165">
        <f t="shared" si="275"/>
        <v>0</v>
      </c>
      <c r="N227" s="5163"/>
      <c r="O227" s="5163">
        <v>0</v>
      </c>
      <c r="P227" s="5163">
        <v>0</v>
      </c>
      <c r="Q227" s="1548">
        <f t="shared" si="276"/>
        <v>0</v>
      </c>
      <c r="R227" s="5166">
        <v>0</v>
      </c>
      <c r="S227" s="5163">
        <v>0</v>
      </c>
      <c r="T227" s="5163">
        <v>0</v>
      </c>
      <c r="U227" s="1548">
        <f t="shared" si="277"/>
        <v>0</v>
      </c>
      <c r="V227" s="5166">
        <v>0</v>
      </c>
      <c r="W227" s="5163">
        <v>0</v>
      </c>
      <c r="X227" s="5163"/>
      <c r="Y227" s="5165">
        <f t="shared" si="263"/>
        <v>0</v>
      </c>
      <c r="Z227" s="5167"/>
      <c r="AA227" s="5168">
        <f t="shared" si="264"/>
        <v>0</v>
      </c>
      <c r="AB227" s="5166"/>
      <c r="AC227" s="5163">
        <v>0</v>
      </c>
      <c r="AD227" s="5163">
        <v>0</v>
      </c>
      <c r="AE227" s="5169">
        <f t="shared" si="265"/>
        <v>0</v>
      </c>
      <c r="AF227" s="5166">
        <v>0</v>
      </c>
      <c r="AG227" s="5163">
        <v>0</v>
      </c>
      <c r="AH227" s="5163">
        <v>0</v>
      </c>
      <c r="AI227" s="5169">
        <f t="shared" si="267"/>
        <v>0</v>
      </c>
      <c r="AJ227" s="5166">
        <v>0</v>
      </c>
      <c r="AK227" s="5163">
        <v>0</v>
      </c>
      <c r="AL227" s="5167"/>
      <c r="AM227" s="5165">
        <f t="shared" si="278"/>
        <v>0</v>
      </c>
      <c r="AN227" s="5167"/>
      <c r="AO227" s="5174">
        <f t="shared" si="268"/>
        <v>0</v>
      </c>
      <c r="AP227" s="5166">
        <v>0</v>
      </c>
      <c r="AQ227" s="5163">
        <v>0</v>
      </c>
      <c r="AR227" s="5163"/>
      <c r="AS227" s="5169">
        <f t="shared" si="297"/>
        <v>0</v>
      </c>
      <c r="AT227" s="5166"/>
      <c r="AU227" s="5163">
        <v>0</v>
      </c>
      <c r="AV227" s="5163"/>
      <c r="AW227" s="5169">
        <f t="shared" si="296"/>
        <v>0</v>
      </c>
      <c r="AX227" s="5166"/>
      <c r="AY227" s="5163"/>
      <c r="AZ227" s="5167"/>
      <c r="BA227" s="5165">
        <f t="shared" si="271"/>
        <v>0</v>
      </c>
      <c r="BB227" s="5167"/>
      <c r="BC227" s="5168">
        <f t="shared" si="272"/>
        <v>0</v>
      </c>
      <c r="BD227" s="5163"/>
      <c r="BE227" s="5169">
        <f t="shared" si="273"/>
        <v>0</v>
      </c>
      <c r="BF227" s="1137"/>
      <c r="BI227" s="25"/>
      <c r="BJ227" s="25"/>
    </row>
    <row r="228" spans="2:62" ht="15.75" hidden="1" customHeight="1" x14ac:dyDescent="0.25">
      <c r="B228" s="5170" t="s">
        <v>1856</v>
      </c>
      <c r="C228" s="5171" t="s">
        <v>352</v>
      </c>
      <c r="D228" s="5166"/>
      <c r="E228" s="5167"/>
      <c r="F228" s="5167"/>
      <c r="G228" s="5167"/>
      <c r="H228" s="5167"/>
      <c r="I228" s="3588">
        <f t="shared" si="274"/>
        <v>0</v>
      </c>
      <c r="J228" s="5167"/>
      <c r="K228" s="5167"/>
      <c r="L228" s="5167"/>
      <c r="M228" s="5165">
        <f t="shared" si="275"/>
        <v>0</v>
      </c>
      <c r="N228" s="5167"/>
      <c r="O228" s="5167"/>
      <c r="P228" s="5167"/>
      <c r="Q228" s="1548">
        <f t="shared" si="276"/>
        <v>0</v>
      </c>
      <c r="R228" s="5166"/>
      <c r="S228" s="5167"/>
      <c r="T228" s="5167"/>
      <c r="U228" s="1548">
        <f t="shared" si="277"/>
        <v>0</v>
      </c>
      <c r="V228" s="5166"/>
      <c r="W228" s="5167"/>
      <c r="X228" s="5167"/>
      <c r="Y228" s="5165">
        <f t="shared" si="263"/>
        <v>0</v>
      </c>
      <c r="Z228" s="5167"/>
      <c r="AA228" s="5173">
        <f t="shared" si="264"/>
        <v>0</v>
      </c>
      <c r="AB228" s="5166"/>
      <c r="AC228" s="5167"/>
      <c r="AD228" s="5167"/>
      <c r="AE228" s="5174">
        <f t="shared" si="265"/>
        <v>0</v>
      </c>
      <c r="AF228" s="5166"/>
      <c r="AG228" s="5167"/>
      <c r="AH228" s="5167"/>
      <c r="AI228" s="5174">
        <f t="shared" si="267"/>
        <v>0</v>
      </c>
      <c r="AJ228" s="5166"/>
      <c r="AK228" s="5167"/>
      <c r="AL228" s="5167"/>
      <c r="AM228" s="5165">
        <f t="shared" si="278"/>
        <v>0</v>
      </c>
      <c r="AN228" s="5167"/>
      <c r="AO228" s="5174">
        <f t="shared" si="268"/>
        <v>0</v>
      </c>
      <c r="AP228" s="5166"/>
      <c r="AQ228" s="5167"/>
      <c r="AR228" s="5167"/>
      <c r="AS228" s="5174">
        <f t="shared" ref="AS228" si="298">+AO228+AQ228</f>
        <v>0</v>
      </c>
      <c r="AT228" s="5166"/>
      <c r="AU228" s="5167"/>
      <c r="AV228" s="5167"/>
      <c r="AW228" s="5174">
        <f t="shared" si="296"/>
        <v>0</v>
      </c>
      <c r="AX228" s="5166"/>
      <c r="AY228" s="5167"/>
      <c r="AZ228" s="5167"/>
      <c r="BA228" s="5165">
        <f t="shared" si="271"/>
        <v>0</v>
      </c>
      <c r="BB228" s="5167"/>
      <c r="BC228" s="5173">
        <f t="shared" si="272"/>
        <v>0</v>
      </c>
      <c r="BD228" s="5167"/>
      <c r="BE228" s="5175">
        <f t="shared" si="273"/>
        <v>0</v>
      </c>
      <c r="BF228" s="1137"/>
      <c r="BI228" s="25"/>
      <c r="BJ228" s="25"/>
    </row>
    <row r="229" spans="2:62" ht="18.75" customHeight="1" x14ac:dyDescent="0.25">
      <c r="B229" s="5160" t="s">
        <v>1248</v>
      </c>
      <c r="C229" s="5161"/>
      <c r="D229" s="5166">
        <f t="shared" ref="D229:E229" si="299">D230</f>
        <v>0</v>
      </c>
      <c r="E229" s="5163">
        <f t="shared" si="299"/>
        <v>3869.42</v>
      </c>
      <c r="F229" s="5163">
        <v>0</v>
      </c>
      <c r="G229" s="5163">
        <f t="shared" ref="G229:AZ229" si="300">G230</f>
        <v>0</v>
      </c>
      <c r="H229" s="5164">
        <f t="shared" si="300"/>
        <v>0</v>
      </c>
      <c r="I229" s="3588">
        <f t="shared" si="300"/>
        <v>3869.42</v>
      </c>
      <c r="J229" s="5163">
        <f t="shared" si="300"/>
        <v>0</v>
      </c>
      <c r="K229" s="5163">
        <f t="shared" si="300"/>
        <v>0</v>
      </c>
      <c r="L229" s="5163">
        <f t="shared" si="300"/>
        <v>0</v>
      </c>
      <c r="M229" s="5165">
        <f t="shared" si="300"/>
        <v>3869.42</v>
      </c>
      <c r="N229" s="5163">
        <f t="shared" si="300"/>
        <v>0</v>
      </c>
      <c r="O229" s="5163">
        <f t="shared" si="300"/>
        <v>3850.4</v>
      </c>
      <c r="P229" s="5163">
        <f t="shared" si="300"/>
        <v>0</v>
      </c>
      <c r="Q229" s="1548">
        <f t="shared" si="300"/>
        <v>7719.82</v>
      </c>
      <c r="R229" s="5166">
        <f t="shared" si="300"/>
        <v>0</v>
      </c>
      <c r="S229" s="5163">
        <f t="shared" si="300"/>
        <v>3852.88</v>
      </c>
      <c r="T229" s="5163">
        <f t="shared" si="300"/>
        <v>0</v>
      </c>
      <c r="U229" s="1548">
        <f t="shared" si="277"/>
        <v>11572.7</v>
      </c>
      <c r="V229" s="5166">
        <f t="shared" si="300"/>
        <v>0</v>
      </c>
      <c r="W229" s="5163">
        <f t="shared" si="300"/>
        <v>0</v>
      </c>
      <c r="X229" s="5163">
        <f t="shared" si="300"/>
        <v>0</v>
      </c>
      <c r="Y229" s="5165">
        <f t="shared" si="263"/>
        <v>7703.2800000000007</v>
      </c>
      <c r="Z229" s="5167"/>
      <c r="AA229" s="5168">
        <f t="shared" si="264"/>
        <v>11572.7</v>
      </c>
      <c r="AB229" s="5166">
        <f t="shared" si="300"/>
        <v>0</v>
      </c>
      <c r="AC229" s="5163">
        <f t="shared" si="300"/>
        <v>0</v>
      </c>
      <c r="AD229" s="5163">
        <f t="shared" si="300"/>
        <v>0</v>
      </c>
      <c r="AE229" s="5169">
        <f t="shared" si="265"/>
        <v>11572.7</v>
      </c>
      <c r="AF229" s="5166">
        <f t="shared" si="300"/>
        <v>0</v>
      </c>
      <c r="AG229" s="5163">
        <f t="shared" si="300"/>
        <v>3817.47</v>
      </c>
      <c r="AH229" s="5163">
        <f t="shared" si="300"/>
        <v>0</v>
      </c>
      <c r="AI229" s="5169">
        <f t="shared" si="267"/>
        <v>15390.17</v>
      </c>
      <c r="AJ229" s="5166">
        <f t="shared" si="300"/>
        <v>0</v>
      </c>
      <c r="AK229" s="5163">
        <f t="shared" si="300"/>
        <v>0</v>
      </c>
      <c r="AL229" s="5167">
        <f t="shared" si="300"/>
        <v>0</v>
      </c>
      <c r="AM229" s="5165">
        <f t="shared" si="278"/>
        <v>3817.47</v>
      </c>
      <c r="AN229" s="5163">
        <f t="shared" si="300"/>
        <v>0</v>
      </c>
      <c r="AO229" s="5169">
        <f t="shared" si="268"/>
        <v>15390.17</v>
      </c>
      <c r="AP229" s="5166">
        <f t="shared" si="300"/>
        <v>0</v>
      </c>
      <c r="AQ229" s="5163">
        <f t="shared" si="300"/>
        <v>0</v>
      </c>
      <c r="AR229" s="5163">
        <f t="shared" si="300"/>
        <v>0</v>
      </c>
      <c r="AS229" s="5169">
        <f t="shared" si="300"/>
        <v>15390.17</v>
      </c>
      <c r="AT229" s="5166">
        <f t="shared" si="300"/>
        <v>0</v>
      </c>
      <c r="AU229" s="5163">
        <f t="shared" si="300"/>
        <v>0</v>
      </c>
      <c r="AV229" s="5163">
        <f t="shared" si="300"/>
        <v>0</v>
      </c>
      <c r="AW229" s="5169">
        <f t="shared" si="300"/>
        <v>15390.17</v>
      </c>
      <c r="AX229" s="5166">
        <f t="shared" si="300"/>
        <v>0</v>
      </c>
      <c r="AY229" s="5163">
        <f t="shared" si="300"/>
        <v>0</v>
      </c>
      <c r="AZ229" s="5167">
        <f t="shared" si="300"/>
        <v>0</v>
      </c>
      <c r="BA229" s="5165">
        <f t="shared" si="271"/>
        <v>0</v>
      </c>
      <c r="BB229" s="5167"/>
      <c r="BC229" s="5168">
        <f t="shared" si="272"/>
        <v>3817.47</v>
      </c>
      <c r="BD229" s="5163"/>
      <c r="BE229" s="5169">
        <f t="shared" si="273"/>
        <v>15390.17</v>
      </c>
      <c r="BF229" s="1137"/>
      <c r="BI229" s="25"/>
      <c r="BJ229" s="25"/>
    </row>
    <row r="230" spans="2:62" ht="18.75" customHeight="1" x14ac:dyDescent="0.25">
      <c r="B230" s="5170" t="s">
        <v>913</v>
      </c>
      <c r="C230" s="5171" t="s">
        <v>352</v>
      </c>
      <c r="D230" s="5178"/>
      <c r="E230" s="5167">
        <v>3869.42</v>
      </c>
      <c r="F230" s="5167"/>
      <c r="G230" s="5167"/>
      <c r="H230" s="5167"/>
      <c r="I230" s="3588">
        <f t="shared" si="274"/>
        <v>3869.42</v>
      </c>
      <c r="J230" s="5167"/>
      <c r="K230" s="5167"/>
      <c r="L230" s="5167"/>
      <c r="M230" s="5165">
        <f t="shared" si="275"/>
        <v>3869.42</v>
      </c>
      <c r="N230" s="5167"/>
      <c r="O230" s="5167">
        <v>3850.4</v>
      </c>
      <c r="P230" s="5167"/>
      <c r="Q230" s="1548">
        <f t="shared" si="276"/>
        <v>7719.82</v>
      </c>
      <c r="R230" s="5178"/>
      <c r="S230" s="5167">
        <v>3852.88</v>
      </c>
      <c r="T230" s="5167"/>
      <c r="U230" s="1548">
        <f t="shared" si="277"/>
        <v>11572.7</v>
      </c>
      <c r="V230" s="5178"/>
      <c r="W230" s="5167"/>
      <c r="X230" s="5167"/>
      <c r="Y230" s="5165">
        <f t="shared" si="263"/>
        <v>7703.2800000000007</v>
      </c>
      <c r="Z230" s="5167"/>
      <c r="AA230" s="5173">
        <f t="shared" si="264"/>
        <v>11572.7</v>
      </c>
      <c r="AB230" s="5178"/>
      <c r="AC230" s="5167"/>
      <c r="AD230" s="5167"/>
      <c r="AE230" s="5174">
        <f t="shared" si="265"/>
        <v>11572.7</v>
      </c>
      <c r="AF230" s="5178"/>
      <c r="AG230" s="5167">
        <v>3817.47</v>
      </c>
      <c r="AH230" s="5167"/>
      <c r="AI230" s="5174">
        <f t="shared" si="267"/>
        <v>15390.17</v>
      </c>
      <c r="AJ230" s="5178"/>
      <c r="AK230" s="5167"/>
      <c r="AL230" s="5163"/>
      <c r="AM230" s="5165">
        <f t="shared" si="278"/>
        <v>3817.47</v>
      </c>
      <c r="AN230" s="5167"/>
      <c r="AO230" s="5174">
        <f t="shared" si="268"/>
        <v>15390.17</v>
      </c>
      <c r="AP230" s="5178"/>
      <c r="AQ230" s="5167">
        <v>0</v>
      </c>
      <c r="AR230" s="5167"/>
      <c r="AS230" s="5174">
        <f t="shared" ref="AS230" si="301">+AO230+AQ230</f>
        <v>15390.17</v>
      </c>
      <c r="AT230" s="5178"/>
      <c r="AU230" s="5167">
        <v>0</v>
      </c>
      <c r="AV230" s="5167"/>
      <c r="AW230" s="5174">
        <f t="shared" ref="AW230" si="302">+AS230+AU230</f>
        <v>15390.17</v>
      </c>
      <c r="AX230" s="5178"/>
      <c r="AY230" s="5167"/>
      <c r="AZ230" s="5163"/>
      <c r="BA230" s="5165">
        <f t="shared" si="271"/>
        <v>0</v>
      </c>
      <c r="BB230" s="5167"/>
      <c r="BC230" s="5173">
        <f t="shared" si="272"/>
        <v>3817.47</v>
      </c>
      <c r="BD230" s="5167"/>
      <c r="BE230" s="5175">
        <f t="shared" si="273"/>
        <v>15390.17</v>
      </c>
      <c r="BF230" s="1137"/>
      <c r="BI230" s="25"/>
      <c r="BJ230" s="25"/>
    </row>
    <row r="231" spans="2:62" ht="18.75" hidden="1" customHeight="1" x14ac:dyDescent="0.25">
      <c r="B231" s="5160" t="s">
        <v>1233</v>
      </c>
      <c r="C231" s="5538"/>
      <c r="D231" s="5166">
        <f t="shared" ref="D231:E231" si="303">D233+D232</f>
        <v>0</v>
      </c>
      <c r="E231" s="5163">
        <f t="shared" si="303"/>
        <v>0</v>
      </c>
      <c r="F231" s="5163"/>
      <c r="G231" s="5163">
        <f t="shared" ref="G231:AZ231" si="304">G233+G232</f>
        <v>0</v>
      </c>
      <c r="H231" s="5164">
        <f t="shared" si="304"/>
        <v>0</v>
      </c>
      <c r="I231" s="3588">
        <f t="shared" si="304"/>
        <v>0</v>
      </c>
      <c r="J231" s="5163">
        <f t="shared" si="304"/>
        <v>0</v>
      </c>
      <c r="K231" s="5163">
        <f t="shared" si="304"/>
        <v>0</v>
      </c>
      <c r="L231" s="5163">
        <f t="shared" si="304"/>
        <v>0</v>
      </c>
      <c r="M231" s="5165">
        <f t="shared" si="304"/>
        <v>0</v>
      </c>
      <c r="N231" s="5163">
        <f t="shared" si="304"/>
        <v>0</v>
      </c>
      <c r="O231" s="5163">
        <f t="shared" si="304"/>
        <v>4110.7</v>
      </c>
      <c r="P231" s="5163">
        <f t="shared" si="304"/>
        <v>0</v>
      </c>
      <c r="Q231" s="1548">
        <f t="shared" si="304"/>
        <v>4110.7</v>
      </c>
      <c r="R231" s="5166">
        <f t="shared" si="304"/>
        <v>0</v>
      </c>
      <c r="S231" s="5163">
        <f t="shared" ref="S231" si="305">S233+S232</f>
        <v>0</v>
      </c>
      <c r="T231" s="5163">
        <f t="shared" si="304"/>
        <v>0</v>
      </c>
      <c r="U231" s="1548">
        <f t="shared" si="277"/>
        <v>4110.7</v>
      </c>
      <c r="V231" s="5166">
        <f t="shared" si="304"/>
        <v>0</v>
      </c>
      <c r="W231" s="5163">
        <f t="shared" si="304"/>
        <v>0</v>
      </c>
      <c r="X231" s="5163">
        <f t="shared" si="304"/>
        <v>0</v>
      </c>
      <c r="Y231" s="5165">
        <f t="shared" si="263"/>
        <v>4110.7</v>
      </c>
      <c r="Z231" s="5167"/>
      <c r="AA231" s="5168">
        <f t="shared" si="264"/>
        <v>4110.7</v>
      </c>
      <c r="AB231" s="5166">
        <f t="shared" si="304"/>
        <v>0</v>
      </c>
      <c r="AC231" s="5163">
        <f t="shared" ref="AC231" si="306">AC233+AC232</f>
        <v>4139.5200000000004</v>
      </c>
      <c r="AD231" s="5163">
        <f t="shared" si="304"/>
        <v>0</v>
      </c>
      <c r="AE231" s="5169">
        <f t="shared" si="265"/>
        <v>8250.2200000000012</v>
      </c>
      <c r="AF231" s="5166">
        <f t="shared" si="304"/>
        <v>0</v>
      </c>
      <c r="AG231" s="5163">
        <f t="shared" si="304"/>
        <v>4143.88</v>
      </c>
      <c r="AH231" s="5163">
        <f t="shared" si="304"/>
        <v>0</v>
      </c>
      <c r="AI231" s="5169">
        <f t="shared" si="267"/>
        <v>12394.100000000002</v>
      </c>
      <c r="AJ231" s="5166">
        <f t="shared" si="304"/>
        <v>0</v>
      </c>
      <c r="AK231" s="5163">
        <f t="shared" ref="AK231" si="307">AK233+AK232</f>
        <v>0</v>
      </c>
      <c r="AL231" s="5167">
        <f t="shared" si="304"/>
        <v>0</v>
      </c>
      <c r="AM231" s="5165">
        <f t="shared" si="278"/>
        <v>8283.4000000000015</v>
      </c>
      <c r="AN231" s="5163">
        <f t="shared" si="304"/>
        <v>0</v>
      </c>
      <c r="AO231" s="5169">
        <f t="shared" si="268"/>
        <v>12394.100000000002</v>
      </c>
      <c r="AP231" s="5166">
        <f t="shared" ref="AP231:AQ231" si="308">AP233+AP232</f>
        <v>0</v>
      </c>
      <c r="AQ231" s="5163">
        <f t="shared" si="308"/>
        <v>4013.23</v>
      </c>
      <c r="AR231" s="5163">
        <f t="shared" si="304"/>
        <v>0</v>
      </c>
      <c r="AS231" s="5169">
        <f t="shared" si="304"/>
        <v>16407.330000000002</v>
      </c>
      <c r="AT231" s="5166">
        <f t="shared" si="304"/>
        <v>0</v>
      </c>
      <c r="AU231" s="5163">
        <f t="shared" si="304"/>
        <v>0</v>
      </c>
      <c r="AV231" s="5163">
        <f t="shared" si="304"/>
        <v>0</v>
      </c>
      <c r="AW231" s="5169">
        <f t="shared" si="304"/>
        <v>16407.330000000002</v>
      </c>
      <c r="AX231" s="5166">
        <f t="shared" ref="AX231:AY231" si="309">AX233+AX232</f>
        <v>0</v>
      </c>
      <c r="AY231" s="5163">
        <f t="shared" si="309"/>
        <v>0</v>
      </c>
      <c r="AZ231" s="5167">
        <f t="shared" si="304"/>
        <v>0</v>
      </c>
      <c r="BA231" s="5165">
        <f t="shared" si="271"/>
        <v>4013.23</v>
      </c>
      <c r="BB231" s="5167"/>
      <c r="BC231" s="5168">
        <f t="shared" si="272"/>
        <v>12296.630000000001</v>
      </c>
      <c r="BD231" s="5163"/>
      <c r="BE231" s="5169">
        <f t="shared" si="273"/>
        <v>16407.330000000002</v>
      </c>
      <c r="BF231" s="1137"/>
      <c r="BI231" s="25"/>
      <c r="BJ231" s="25"/>
    </row>
    <row r="232" spans="2:62" ht="15.75" hidden="1" customHeight="1" x14ac:dyDescent="0.25">
      <c r="B232" s="5170" t="s">
        <v>913</v>
      </c>
      <c r="C232" s="5171" t="s">
        <v>352</v>
      </c>
      <c r="D232" s="5166"/>
      <c r="E232" s="5167"/>
      <c r="F232" s="5167"/>
      <c r="G232" s="5167"/>
      <c r="H232" s="5167"/>
      <c r="I232" s="3588">
        <f t="shared" si="274"/>
        <v>0</v>
      </c>
      <c r="J232" s="5167"/>
      <c r="K232" s="5167"/>
      <c r="L232" s="5167"/>
      <c r="M232" s="5165">
        <f t="shared" si="275"/>
        <v>0</v>
      </c>
      <c r="N232" s="5167"/>
      <c r="O232" s="5167"/>
      <c r="P232" s="5167"/>
      <c r="Q232" s="1548">
        <f t="shared" si="276"/>
        <v>0</v>
      </c>
      <c r="R232" s="5166"/>
      <c r="S232" s="5167"/>
      <c r="T232" s="5167"/>
      <c r="U232" s="1548">
        <f t="shared" si="277"/>
        <v>0</v>
      </c>
      <c r="V232" s="5166"/>
      <c r="W232" s="5167"/>
      <c r="X232" s="5167"/>
      <c r="Y232" s="5181">
        <f t="shared" si="263"/>
        <v>0</v>
      </c>
      <c r="Z232" s="5167"/>
      <c r="AA232" s="5173">
        <f t="shared" si="264"/>
        <v>0</v>
      </c>
      <c r="AB232" s="5166"/>
      <c r="AC232" s="5167"/>
      <c r="AD232" s="5167"/>
      <c r="AE232" s="5174">
        <f t="shared" si="265"/>
        <v>0</v>
      </c>
      <c r="AF232" s="5166"/>
      <c r="AG232" s="5167"/>
      <c r="AH232" s="5167"/>
      <c r="AI232" s="5174">
        <f t="shared" si="267"/>
        <v>0</v>
      </c>
      <c r="AJ232" s="5166"/>
      <c r="AK232" s="5167"/>
      <c r="AL232" s="5167"/>
      <c r="AM232" s="5165">
        <f t="shared" si="278"/>
        <v>0</v>
      </c>
      <c r="AN232" s="5167"/>
      <c r="AO232" s="5174">
        <f t="shared" si="268"/>
        <v>0</v>
      </c>
      <c r="AP232" s="5166"/>
      <c r="AQ232" s="5167"/>
      <c r="AR232" s="5167"/>
      <c r="AS232" s="5174">
        <v>0</v>
      </c>
      <c r="AT232" s="5166"/>
      <c r="AU232" s="5167"/>
      <c r="AV232" s="5167"/>
      <c r="AW232" s="5174">
        <v>0</v>
      </c>
      <c r="AX232" s="5166"/>
      <c r="AY232" s="5167"/>
      <c r="AZ232" s="5167"/>
      <c r="BA232" s="5181">
        <f t="shared" si="271"/>
        <v>0</v>
      </c>
      <c r="BB232" s="5167"/>
      <c r="BC232" s="5173">
        <f t="shared" si="272"/>
        <v>0</v>
      </c>
      <c r="BD232" s="5167"/>
      <c r="BE232" s="5175">
        <f t="shared" si="273"/>
        <v>0</v>
      </c>
      <c r="BF232" s="1137"/>
      <c r="BI232" s="25"/>
      <c r="BJ232" s="25"/>
    </row>
    <row r="233" spans="2:62" ht="15.75" hidden="1" customHeight="1" x14ac:dyDescent="0.25">
      <c r="B233" s="5170" t="s">
        <v>1767</v>
      </c>
      <c r="C233" s="5171" t="s">
        <v>352</v>
      </c>
      <c r="D233" s="5166"/>
      <c r="E233" s="5167"/>
      <c r="F233" s="5167"/>
      <c r="G233" s="5167"/>
      <c r="H233" s="5167"/>
      <c r="I233" s="3588">
        <f t="shared" si="274"/>
        <v>0</v>
      </c>
      <c r="J233" s="5167"/>
      <c r="K233" s="5167"/>
      <c r="L233" s="5167"/>
      <c r="M233" s="5165">
        <f t="shared" si="275"/>
        <v>0</v>
      </c>
      <c r="N233" s="5167"/>
      <c r="O233" s="5167">
        <v>4110.7</v>
      </c>
      <c r="P233" s="5167"/>
      <c r="Q233" s="1548">
        <f t="shared" si="276"/>
        <v>4110.7</v>
      </c>
      <c r="R233" s="5166"/>
      <c r="S233" s="5167"/>
      <c r="T233" s="5167"/>
      <c r="U233" s="1548">
        <f t="shared" si="277"/>
        <v>4110.7</v>
      </c>
      <c r="V233" s="5166"/>
      <c r="W233" s="5167"/>
      <c r="X233" s="5167"/>
      <c r="Y233" s="5165">
        <f t="shared" si="263"/>
        <v>4110.7</v>
      </c>
      <c r="Z233" s="5167"/>
      <c r="AA233" s="5173">
        <f t="shared" si="264"/>
        <v>4110.7</v>
      </c>
      <c r="AB233" s="5166"/>
      <c r="AC233" s="5167">
        <v>4139.5200000000004</v>
      </c>
      <c r="AD233" s="5167"/>
      <c r="AE233" s="5174">
        <f t="shared" si="265"/>
        <v>8250.2200000000012</v>
      </c>
      <c r="AF233" s="5166"/>
      <c r="AG233" s="5167">
        <v>4143.88</v>
      </c>
      <c r="AH233" s="5167"/>
      <c r="AI233" s="5174">
        <f t="shared" si="267"/>
        <v>12394.100000000002</v>
      </c>
      <c r="AJ233" s="1925"/>
      <c r="AK233" s="5167"/>
      <c r="AL233" s="1688"/>
      <c r="AM233" s="5165">
        <f t="shared" si="278"/>
        <v>8283.4000000000015</v>
      </c>
      <c r="AN233" s="5167"/>
      <c r="AO233" s="5174">
        <f t="shared" si="268"/>
        <v>12394.100000000002</v>
      </c>
      <c r="AP233" s="1925"/>
      <c r="AQ233" s="5167">
        <v>4013.23</v>
      </c>
      <c r="AR233" s="5167"/>
      <c r="AS233" s="5174">
        <f t="shared" ref="AS233" si="310">+AO233+AQ233</f>
        <v>16407.330000000002</v>
      </c>
      <c r="AT233" s="5166"/>
      <c r="AU233" s="5167"/>
      <c r="AV233" s="5167"/>
      <c r="AW233" s="5174">
        <f t="shared" ref="AW233" si="311">+AS233+AU233</f>
        <v>16407.330000000002</v>
      </c>
      <c r="AX233" s="5166"/>
      <c r="AY233" s="5167"/>
      <c r="AZ233" s="6404"/>
      <c r="BA233" s="6898">
        <f t="shared" si="271"/>
        <v>4013.23</v>
      </c>
      <c r="BB233" s="6698"/>
      <c r="BC233" s="6908">
        <f t="shared" si="272"/>
        <v>12296.630000000001</v>
      </c>
      <c r="BD233" s="6698"/>
      <c r="BE233" s="6909">
        <f t="shared" si="273"/>
        <v>16407.330000000002</v>
      </c>
      <c r="BF233" s="1137"/>
      <c r="BI233" s="25"/>
      <c r="BJ233" s="25"/>
    </row>
    <row r="234" spans="2:62" ht="18.75" hidden="1" customHeight="1" x14ac:dyDescent="0.25">
      <c r="B234" s="5160" t="s">
        <v>1273</v>
      </c>
      <c r="C234" s="5161"/>
      <c r="D234" s="5162"/>
      <c r="E234" s="5163"/>
      <c r="F234" s="5163"/>
      <c r="G234" s="5163"/>
      <c r="H234" s="5163"/>
      <c r="I234" s="3588">
        <f t="shared" si="274"/>
        <v>0</v>
      </c>
      <c r="J234" s="5163"/>
      <c r="K234" s="5163"/>
      <c r="L234" s="5163"/>
      <c r="M234" s="5165">
        <v>0</v>
      </c>
      <c r="N234" s="5163"/>
      <c r="O234" s="5163"/>
      <c r="P234" s="5163"/>
      <c r="Q234" s="5163">
        <v>0</v>
      </c>
      <c r="R234" s="5166"/>
      <c r="S234" s="5163"/>
      <c r="T234" s="5163"/>
      <c r="U234" s="5930">
        <v>0</v>
      </c>
      <c r="V234" s="5166"/>
      <c r="W234" s="5163"/>
      <c r="X234" s="5163"/>
      <c r="Y234" s="5165">
        <v>0</v>
      </c>
      <c r="Z234" s="5167">
        <v>0</v>
      </c>
      <c r="AA234" s="5168">
        <v>0</v>
      </c>
      <c r="AB234" s="5166"/>
      <c r="AC234" s="5163"/>
      <c r="AD234" s="5163"/>
      <c r="AE234" s="5182"/>
      <c r="AF234" s="5166"/>
      <c r="AG234" s="5163"/>
      <c r="AH234" s="5163"/>
      <c r="AI234" s="5182"/>
      <c r="AJ234" s="5166"/>
      <c r="AK234" s="5163"/>
      <c r="AL234" s="5167"/>
      <c r="AM234" s="5165">
        <f t="shared" si="278"/>
        <v>0</v>
      </c>
      <c r="AN234" s="5163"/>
      <c r="AO234" s="5182"/>
      <c r="AP234" s="5166"/>
      <c r="AQ234" s="5163"/>
      <c r="AR234" s="5163"/>
      <c r="AS234" s="5182"/>
      <c r="AT234" s="5166"/>
      <c r="AU234" s="5163"/>
      <c r="AV234" s="5163"/>
      <c r="AW234" s="5182"/>
      <c r="AX234" s="5166"/>
      <c r="AY234" s="5163"/>
      <c r="AZ234" s="5167"/>
      <c r="BA234" s="5165">
        <v>0</v>
      </c>
      <c r="BB234" s="5167">
        <v>0</v>
      </c>
      <c r="BC234" s="5168">
        <v>0</v>
      </c>
      <c r="BD234" s="5163"/>
      <c r="BE234" s="5182"/>
      <c r="BF234" s="1137"/>
    </row>
    <row r="235" spans="2:62" ht="15.75" hidden="1" customHeight="1" x14ac:dyDescent="0.25">
      <c r="B235" s="5170" t="s">
        <v>807</v>
      </c>
      <c r="C235" s="5171" t="s">
        <v>352</v>
      </c>
      <c r="D235" s="5171"/>
      <c r="E235" s="5167">
        <v>0</v>
      </c>
      <c r="F235" s="5167"/>
      <c r="G235" s="5167">
        <v>0</v>
      </c>
      <c r="H235" s="5167"/>
      <c r="I235" s="3588">
        <f t="shared" si="274"/>
        <v>0</v>
      </c>
      <c r="J235" s="5167"/>
      <c r="K235" s="5167">
        <v>0</v>
      </c>
      <c r="L235" s="5167"/>
      <c r="M235" s="5165">
        <v>0</v>
      </c>
      <c r="N235" s="5167"/>
      <c r="O235" s="5167">
        <v>0</v>
      </c>
      <c r="P235" s="5167"/>
      <c r="Q235" s="5167">
        <v>0</v>
      </c>
      <c r="R235" s="5167"/>
      <c r="S235" s="5167">
        <v>0</v>
      </c>
      <c r="T235" s="5167"/>
      <c r="U235" s="5167">
        <v>0</v>
      </c>
      <c r="V235" s="5167"/>
      <c r="W235" s="5167"/>
      <c r="X235" s="5167"/>
      <c r="Y235" s="5165">
        <v>0</v>
      </c>
      <c r="Z235" s="5180"/>
      <c r="AA235" s="2847">
        <v>0</v>
      </c>
      <c r="AB235" s="1688"/>
      <c r="AC235" s="5167"/>
      <c r="AD235" s="5167"/>
      <c r="AE235" s="5167"/>
      <c r="AF235" s="5167"/>
      <c r="AG235" s="5167"/>
      <c r="AH235" s="5167"/>
      <c r="AI235" s="5167"/>
      <c r="AJ235" s="5167"/>
      <c r="AK235" s="5167"/>
      <c r="AL235" s="5167"/>
      <c r="AM235" s="5165">
        <f t="shared" si="278"/>
        <v>0</v>
      </c>
      <c r="AN235" s="5167"/>
      <c r="AO235" s="5167"/>
      <c r="AP235" s="5167"/>
      <c r="AQ235" s="5167"/>
      <c r="AR235" s="5167"/>
      <c r="AS235" s="1689"/>
      <c r="AT235" s="5167"/>
      <c r="AU235" s="5167"/>
      <c r="AV235" s="5167"/>
      <c r="AW235" s="2767"/>
      <c r="AX235" s="5167"/>
      <c r="AY235" s="5167"/>
      <c r="AZ235" s="5167"/>
      <c r="BA235" s="5165">
        <v>0</v>
      </c>
      <c r="BB235" s="5180"/>
      <c r="BC235" s="2847">
        <v>0</v>
      </c>
      <c r="BD235" s="5167"/>
      <c r="BE235" s="2767"/>
      <c r="BF235" s="1137"/>
    </row>
    <row r="236" spans="2:62" ht="18.75" hidden="1" x14ac:dyDescent="0.25">
      <c r="B236" s="5160" t="s">
        <v>1435</v>
      </c>
      <c r="C236" s="5161" t="s">
        <v>352</v>
      </c>
      <c r="D236" s="5162"/>
      <c r="E236" s="5163">
        <v>0</v>
      </c>
      <c r="F236" s="5163"/>
      <c r="G236" s="5163">
        <v>0</v>
      </c>
      <c r="H236" s="5164"/>
      <c r="I236" s="3588">
        <f t="shared" si="274"/>
        <v>0</v>
      </c>
      <c r="J236" s="5163"/>
      <c r="K236" s="5163">
        <v>0</v>
      </c>
      <c r="L236" s="5163"/>
      <c r="M236" s="5165">
        <v>0</v>
      </c>
      <c r="N236" s="5163"/>
      <c r="O236" s="5163">
        <v>0</v>
      </c>
      <c r="P236" s="5163"/>
      <c r="Q236" s="5164">
        <v>0</v>
      </c>
      <c r="R236" s="5166"/>
      <c r="S236" s="5163">
        <v>0</v>
      </c>
      <c r="T236" s="5163"/>
      <c r="U236" s="5929">
        <v>0</v>
      </c>
      <c r="V236" s="5166"/>
      <c r="W236" s="5163">
        <v>0</v>
      </c>
      <c r="X236" s="5163"/>
      <c r="Y236" s="5165">
        <v>0</v>
      </c>
      <c r="Z236" s="5167"/>
      <c r="AA236" s="5168">
        <v>0</v>
      </c>
      <c r="AB236" s="5166"/>
      <c r="AC236" s="5163">
        <v>0</v>
      </c>
      <c r="AD236" s="5163"/>
      <c r="AE236" s="5169">
        <v>0</v>
      </c>
      <c r="AF236" s="5166"/>
      <c r="AG236" s="5163">
        <v>0</v>
      </c>
      <c r="AH236" s="5163"/>
      <c r="AI236" s="5169">
        <v>0</v>
      </c>
      <c r="AJ236" s="5166"/>
      <c r="AK236" s="5163">
        <v>0</v>
      </c>
      <c r="AL236" s="5167"/>
      <c r="AM236" s="5165">
        <f t="shared" si="278"/>
        <v>0</v>
      </c>
      <c r="AN236" s="5163"/>
      <c r="AO236" s="5169">
        <v>0</v>
      </c>
      <c r="AP236" s="5166"/>
      <c r="AQ236" s="5163">
        <v>0</v>
      </c>
      <c r="AR236" s="5163"/>
      <c r="AS236" s="5169">
        <v>0</v>
      </c>
      <c r="AT236" s="5166"/>
      <c r="AU236" s="5163">
        <v>0</v>
      </c>
      <c r="AV236" s="5163"/>
      <c r="AW236" s="5169">
        <v>0</v>
      </c>
      <c r="AX236" s="5166"/>
      <c r="AY236" s="5163">
        <v>0</v>
      </c>
      <c r="AZ236" s="5167"/>
      <c r="BA236" s="5165">
        <v>0</v>
      </c>
      <c r="BB236" s="5167"/>
      <c r="BC236" s="5168">
        <v>0</v>
      </c>
      <c r="BD236" s="5163"/>
      <c r="BE236" s="5169">
        <v>0</v>
      </c>
      <c r="BF236" s="1137"/>
    </row>
    <row r="237" spans="2:62" ht="19.5" hidden="1" thickBot="1" x14ac:dyDescent="0.3">
      <c r="B237" s="5183" t="s">
        <v>913</v>
      </c>
      <c r="C237" s="5184" t="s">
        <v>352</v>
      </c>
      <c r="D237" s="5184"/>
      <c r="E237" s="5185">
        <v>0</v>
      </c>
      <c r="F237" s="5185"/>
      <c r="G237" s="5185">
        <v>0</v>
      </c>
      <c r="H237" s="5185"/>
      <c r="I237" s="3588">
        <f t="shared" si="274"/>
        <v>0</v>
      </c>
      <c r="J237" s="5185"/>
      <c r="K237" s="5185">
        <v>0</v>
      </c>
      <c r="L237" s="5185"/>
      <c r="M237" s="5186">
        <v>0</v>
      </c>
      <c r="N237" s="5185"/>
      <c r="O237" s="5185">
        <v>0</v>
      </c>
      <c r="P237" s="5185"/>
      <c r="Q237" s="5185">
        <v>0</v>
      </c>
      <c r="R237" s="5185"/>
      <c r="S237" s="5185">
        <v>0</v>
      </c>
      <c r="T237" s="5185"/>
      <c r="U237" s="5185">
        <v>0</v>
      </c>
      <c r="V237" s="5185"/>
      <c r="W237" s="5185"/>
      <c r="X237" s="5185"/>
      <c r="Y237" s="5186">
        <v>0</v>
      </c>
      <c r="Z237" s="5167"/>
      <c r="AA237" s="5173">
        <v>0</v>
      </c>
      <c r="AB237" s="2629"/>
      <c r="AC237" s="5185"/>
      <c r="AD237" s="5185"/>
      <c r="AE237" s="5174">
        <v>0</v>
      </c>
      <c r="AF237" s="5185"/>
      <c r="AG237" s="5185"/>
      <c r="AH237" s="5185"/>
      <c r="AI237" s="5174">
        <v>0</v>
      </c>
      <c r="AJ237" s="5185"/>
      <c r="AK237" s="5185"/>
      <c r="AL237" s="5185"/>
      <c r="AM237" s="5165">
        <f t="shared" si="278"/>
        <v>0</v>
      </c>
      <c r="AN237" s="5163"/>
      <c r="AO237" s="5174">
        <v>0</v>
      </c>
      <c r="AP237" s="5185"/>
      <c r="AQ237" s="5185"/>
      <c r="AR237" s="5185"/>
      <c r="AS237" s="5174">
        <v>0</v>
      </c>
      <c r="AT237" s="5185"/>
      <c r="AU237" s="5185"/>
      <c r="AV237" s="5185"/>
      <c r="AW237" s="5175">
        <v>0</v>
      </c>
      <c r="AX237" s="5185"/>
      <c r="AY237" s="5185"/>
      <c r="AZ237" s="5185"/>
      <c r="BA237" s="5186">
        <v>0</v>
      </c>
      <c r="BB237" s="5167"/>
      <c r="BC237" s="5173">
        <v>0</v>
      </c>
      <c r="BD237" s="5185"/>
      <c r="BE237" s="5175">
        <v>0</v>
      </c>
      <c r="BF237" s="1137"/>
    </row>
    <row r="238" spans="2:62" x14ac:dyDescent="0.25">
      <c r="G238" s="4487"/>
      <c r="K238" s="3130"/>
      <c r="Q238" s="4233"/>
      <c r="S238" s="4233"/>
      <c r="AC238" s="4487"/>
      <c r="AF238" s="2474"/>
      <c r="AG238" s="2474"/>
      <c r="AH238" s="2474"/>
      <c r="AI238" s="2474"/>
      <c r="AJ238" s="25"/>
      <c r="AK238" s="4487"/>
      <c r="AP238" s="2590"/>
      <c r="AQ238" s="2590"/>
      <c r="AR238" s="2590"/>
      <c r="AS238" s="2590"/>
    </row>
    <row r="239" spans="2:62" ht="15" x14ac:dyDescent="0.25"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112"/>
      <c r="P239" s="25"/>
      <c r="Q239" s="25"/>
      <c r="R239" s="25"/>
      <c r="S239" s="25"/>
      <c r="T239" s="25"/>
      <c r="U239" s="4152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Y239" s="25"/>
      <c r="BA239" s="25"/>
      <c r="BC239" s="25"/>
      <c r="BE239" s="25"/>
    </row>
    <row r="240" spans="2:62" x14ac:dyDescent="0.25">
      <c r="G240" s="4487"/>
      <c r="AP240" s="2590"/>
      <c r="AQ240" s="2590"/>
      <c r="AR240" s="2590"/>
      <c r="AS240" s="2590"/>
      <c r="AU240" s="1137"/>
    </row>
    <row r="241" spans="7:7" x14ac:dyDescent="0.25">
      <c r="G241" s="4487"/>
    </row>
    <row r="242" spans="7:7" x14ac:dyDescent="0.25">
      <c r="G242" s="4487"/>
    </row>
    <row r="243" spans="7:7" x14ac:dyDescent="0.25">
      <c r="G243" s="4487"/>
    </row>
    <row r="244" spans="7:7" x14ac:dyDescent="0.25">
      <c r="G244" s="4487"/>
    </row>
    <row r="245" spans="7:7" x14ac:dyDescent="0.25">
      <c r="G245" s="4487"/>
    </row>
    <row r="246" spans="7:7" x14ac:dyDescent="0.25">
      <c r="G246" s="4487"/>
    </row>
    <row r="247" spans="7:7" x14ac:dyDescent="0.25">
      <c r="G247" s="4487"/>
    </row>
    <row r="248" spans="7:7" x14ac:dyDescent="0.25">
      <c r="G248" s="4487"/>
    </row>
    <row r="249" spans="7:7" x14ac:dyDescent="0.25">
      <c r="G249" s="4487"/>
    </row>
    <row r="250" spans="7:7" x14ac:dyDescent="0.25">
      <c r="G250" s="4487"/>
    </row>
    <row r="251" spans="7:7" x14ac:dyDescent="0.25">
      <c r="G251" s="4487"/>
    </row>
    <row r="252" spans="7:7" x14ac:dyDescent="0.25">
      <c r="G252" s="4487"/>
    </row>
    <row r="253" spans="7:7" x14ac:dyDescent="0.25">
      <c r="G253" s="4487"/>
    </row>
    <row r="254" spans="7:7" x14ac:dyDescent="0.25">
      <c r="G254" s="4487"/>
    </row>
    <row r="255" spans="7:7" x14ac:dyDescent="0.25">
      <c r="G255" s="4487"/>
    </row>
    <row r="256" spans="7:7" x14ac:dyDescent="0.25">
      <c r="G256" s="4487"/>
    </row>
    <row r="257" spans="7:7" x14ac:dyDescent="0.25">
      <c r="G257" s="4487"/>
    </row>
    <row r="258" spans="7:7" x14ac:dyDescent="0.25">
      <c r="G258" s="4487"/>
    </row>
    <row r="259" spans="7:7" x14ac:dyDescent="0.25">
      <c r="G259" s="4487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197:C197"/>
    <mergeCell ref="B134:C134"/>
    <mergeCell ref="B132:C132"/>
    <mergeCell ref="B113:C113"/>
  </mergeCells>
  <conditionalFormatting sqref="B65:B66">
    <cfRule type="duplicateValues" dxfId="1" priority="1"/>
  </conditionalFormatting>
  <conditionalFormatting sqref="B67:B96 B58:B63">
    <cfRule type="duplicateValues" dxfId="0" priority="45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L25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BJ23" sqref="BJ23"/>
    </sheetView>
  </sheetViews>
  <sheetFormatPr defaultColWidth="9.140625" defaultRowHeight="18.75" x14ac:dyDescent="0.3"/>
  <cols>
    <col min="1" max="1" width="9.140625" style="4"/>
    <col min="2" max="2" width="41.7109375" style="3925" bestFit="1" customWidth="1"/>
    <col min="3" max="3" width="16.140625" style="3925" bestFit="1" customWidth="1"/>
    <col min="4" max="4" width="12.140625" style="3926" customWidth="1"/>
    <col min="5" max="5" width="14.85546875" style="3925" customWidth="1"/>
    <col min="6" max="6" width="12.7109375" style="3925" customWidth="1"/>
    <col min="7" max="7" width="12.85546875" style="3925" hidden="1" customWidth="1"/>
    <col min="8" max="8" width="12.5703125" style="3925" hidden="1" customWidth="1"/>
    <col min="9" max="9" width="10.5703125" style="3925" hidden="1" customWidth="1"/>
    <col min="10" max="10" width="11.28515625" style="3925" hidden="1" customWidth="1"/>
    <col min="11" max="12" width="10.42578125" style="3925" hidden="1" customWidth="1"/>
    <col min="13" max="13" width="9" style="3925" hidden="1" customWidth="1"/>
    <col min="14" max="14" width="10.42578125" style="3925" hidden="1" customWidth="1"/>
    <col min="15" max="15" width="9" style="4" hidden="1" customWidth="1"/>
    <col min="16" max="16" width="10.42578125" style="4" hidden="1" customWidth="1"/>
    <col min="17" max="17" width="10.28515625" style="4" hidden="1" customWidth="1"/>
    <col min="18" max="18" width="10.42578125" style="4" hidden="1" customWidth="1"/>
    <col min="19" max="22" width="10.28515625" style="4" hidden="1" customWidth="1"/>
    <col min="23" max="24" width="10.42578125" style="4" hidden="1" customWidth="1"/>
    <col min="25" max="25" width="9.85546875" style="4" hidden="1" customWidth="1"/>
    <col min="26" max="26" width="10.42578125" style="4" hidden="1" customWidth="1"/>
    <col min="27" max="28" width="10.28515625" style="4" hidden="1" customWidth="1"/>
    <col min="29" max="30" width="10.42578125" style="4" hidden="1" customWidth="1"/>
    <col min="31" max="32" width="11.28515625" style="4" hidden="1" customWidth="1"/>
    <col min="33" max="34" width="10.42578125" style="4" hidden="1" customWidth="1"/>
    <col min="35" max="36" width="11.28515625" style="4" hidden="1" customWidth="1"/>
    <col min="37" max="37" width="10" style="4" hidden="1" customWidth="1"/>
    <col min="38" max="38" width="10.42578125" style="4" hidden="1" customWidth="1"/>
    <col min="39" max="39" width="9" style="4" hidden="1" customWidth="1"/>
    <col min="40" max="40" width="10.42578125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60" width="9.140625" style="4" customWidth="1"/>
    <col min="61" max="16384" width="9.140625" style="4"/>
  </cols>
  <sheetData>
    <row r="2" spans="2:64" x14ac:dyDescent="0.3">
      <c r="B2" s="7851" t="s">
        <v>957</v>
      </c>
      <c r="C2" s="7851"/>
      <c r="D2" s="7851"/>
      <c r="E2" s="7851"/>
      <c r="F2" s="7851"/>
      <c r="G2" s="7851"/>
      <c r="H2" s="7851"/>
      <c r="I2" s="7851"/>
      <c r="J2" s="7851"/>
      <c r="K2" s="7851"/>
      <c r="L2" s="7851"/>
      <c r="M2" s="7851"/>
      <c r="N2" s="7851"/>
      <c r="O2" s="7851"/>
      <c r="P2" s="7851"/>
      <c r="Q2" s="7851"/>
      <c r="R2" s="7851"/>
      <c r="S2" s="7851"/>
      <c r="T2" s="7851"/>
      <c r="U2" s="7851"/>
      <c r="V2" s="7851"/>
    </row>
    <row r="3" spans="2:64" ht="19.5" thickBot="1" x14ac:dyDescent="0.35"/>
    <row r="4" spans="2:64" ht="19.5" thickBot="1" x14ac:dyDescent="0.3">
      <c r="B4" s="7852" t="s">
        <v>171</v>
      </c>
      <c r="C4" s="7854" t="s">
        <v>172</v>
      </c>
      <c r="D4" s="7859" t="s">
        <v>2322</v>
      </c>
      <c r="E4" s="7843" t="s">
        <v>2319</v>
      </c>
      <c r="F4" s="7844"/>
      <c r="G4" s="7843" t="s">
        <v>1956</v>
      </c>
      <c r="H4" s="7844"/>
      <c r="I4" s="7856" t="s">
        <v>14</v>
      </c>
      <c r="J4" s="7857"/>
      <c r="K4" s="7843" t="s">
        <v>1987</v>
      </c>
      <c r="L4" s="7843"/>
      <c r="M4" s="7847" t="s">
        <v>610</v>
      </c>
      <c r="N4" s="7848"/>
      <c r="O4" s="7843" t="s">
        <v>2009</v>
      </c>
      <c r="P4" s="7844"/>
      <c r="Q4" s="7858" t="s">
        <v>620</v>
      </c>
      <c r="R4" s="7846"/>
      <c r="S4" s="7843" t="s">
        <v>2011</v>
      </c>
      <c r="T4" s="7844"/>
      <c r="U4" s="7845" t="s">
        <v>798</v>
      </c>
      <c r="V4" s="7846"/>
      <c r="W4" s="7843" t="s">
        <v>2042</v>
      </c>
      <c r="X4" s="7843"/>
      <c r="Y4" s="7847" t="s">
        <v>629</v>
      </c>
      <c r="Z4" s="7848"/>
      <c r="AA4" s="7849" t="s">
        <v>626</v>
      </c>
      <c r="AB4" s="7850"/>
      <c r="AC4" s="7843" t="s">
        <v>2067</v>
      </c>
      <c r="AD4" s="7844"/>
      <c r="AE4" s="7845" t="s">
        <v>1055</v>
      </c>
      <c r="AF4" s="7846"/>
      <c r="AG4" s="7843" t="s">
        <v>2170</v>
      </c>
      <c r="AH4" s="7844"/>
      <c r="AI4" s="7845" t="s">
        <v>1561</v>
      </c>
      <c r="AJ4" s="7846"/>
      <c r="AK4" s="7843" t="s">
        <v>2194</v>
      </c>
      <c r="AL4" s="7843"/>
      <c r="AM4" s="7847" t="s">
        <v>631</v>
      </c>
      <c r="AN4" s="7848"/>
      <c r="AO4" s="7845" t="s">
        <v>1575</v>
      </c>
      <c r="AP4" s="7846"/>
      <c r="AQ4" s="7843" t="s">
        <v>2206</v>
      </c>
      <c r="AR4" s="7844"/>
      <c r="AS4" s="7845" t="s">
        <v>1593</v>
      </c>
      <c r="AT4" s="7846"/>
      <c r="AU4" s="7843" t="s">
        <v>2243</v>
      </c>
      <c r="AV4" s="7844"/>
      <c r="AW4" s="7845" t="s">
        <v>1599</v>
      </c>
      <c r="AX4" s="7846"/>
      <c r="AY4" s="7843" t="s">
        <v>2261</v>
      </c>
      <c r="AZ4" s="7844"/>
      <c r="BA4" s="7847" t="s">
        <v>632</v>
      </c>
      <c r="BB4" s="7848"/>
      <c r="BC4" s="7849" t="s">
        <v>638</v>
      </c>
      <c r="BD4" s="7850"/>
      <c r="BE4" s="7845" t="s">
        <v>1984</v>
      </c>
      <c r="BF4" s="7846"/>
    </row>
    <row r="5" spans="2:64" x14ac:dyDescent="0.25">
      <c r="B5" s="7853"/>
      <c r="C5" s="7855"/>
      <c r="D5" s="7860"/>
      <c r="E5" s="550" t="s">
        <v>173</v>
      </c>
      <c r="F5" s="551" t="s">
        <v>174</v>
      </c>
      <c r="G5" s="550" t="s">
        <v>173</v>
      </c>
      <c r="H5" s="551" t="s">
        <v>174</v>
      </c>
      <c r="I5" s="1135" t="s">
        <v>173</v>
      </c>
      <c r="J5" s="1275" t="s">
        <v>174</v>
      </c>
      <c r="K5" s="550" t="s">
        <v>173</v>
      </c>
      <c r="L5" s="2386" t="s">
        <v>174</v>
      </c>
      <c r="M5" s="2387" t="s">
        <v>173</v>
      </c>
      <c r="N5" s="2388" t="s">
        <v>174</v>
      </c>
      <c r="O5" s="550" t="s">
        <v>173</v>
      </c>
      <c r="P5" s="551" t="s">
        <v>174</v>
      </c>
      <c r="Q5" s="1118" t="s">
        <v>173</v>
      </c>
      <c r="R5" s="1119" t="s">
        <v>174</v>
      </c>
      <c r="S5" s="550" t="s">
        <v>173</v>
      </c>
      <c r="T5" s="551" t="s">
        <v>174</v>
      </c>
      <c r="U5" s="1118" t="s">
        <v>173</v>
      </c>
      <c r="V5" s="1119" t="s">
        <v>174</v>
      </c>
      <c r="W5" s="550" t="s">
        <v>173</v>
      </c>
      <c r="X5" s="2386" t="s">
        <v>174</v>
      </c>
      <c r="Y5" s="2387" t="s">
        <v>173</v>
      </c>
      <c r="Z5" s="2388" t="s">
        <v>174</v>
      </c>
      <c r="AA5" s="2389" t="s">
        <v>173</v>
      </c>
      <c r="AB5" s="2390" t="s">
        <v>174</v>
      </c>
      <c r="AC5" s="550" t="s">
        <v>173</v>
      </c>
      <c r="AD5" s="551" t="s">
        <v>174</v>
      </c>
      <c r="AE5" s="1118" t="s">
        <v>173</v>
      </c>
      <c r="AF5" s="1119" t="s">
        <v>174</v>
      </c>
      <c r="AG5" s="550" t="s">
        <v>173</v>
      </c>
      <c r="AH5" s="551" t="s">
        <v>174</v>
      </c>
      <c r="AI5" s="1118" t="s">
        <v>173</v>
      </c>
      <c r="AJ5" s="1119" t="s">
        <v>174</v>
      </c>
      <c r="AK5" s="550" t="s">
        <v>173</v>
      </c>
      <c r="AL5" s="2386" t="s">
        <v>174</v>
      </c>
      <c r="AM5" s="2387" t="s">
        <v>173</v>
      </c>
      <c r="AN5" s="2388" t="s">
        <v>174</v>
      </c>
      <c r="AO5" s="1118" t="s">
        <v>173</v>
      </c>
      <c r="AP5" s="1119" t="s">
        <v>174</v>
      </c>
      <c r="AQ5" s="550" t="s">
        <v>173</v>
      </c>
      <c r="AR5" s="551" t="s">
        <v>174</v>
      </c>
      <c r="AS5" s="1118" t="s">
        <v>173</v>
      </c>
      <c r="AT5" s="1119" t="s">
        <v>174</v>
      </c>
      <c r="AU5" s="550" t="s">
        <v>173</v>
      </c>
      <c r="AV5" s="551" t="s">
        <v>174</v>
      </c>
      <c r="AW5" s="1118" t="s">
        <v>173</v>
      </c>
      <c r="AX5" s="1119" t="s">
        <v>174</v>
      </c>
      <c r="AY5" s="550" t="s">
        <v>173</v>
      </c>
      <c r="AZ5" s="551" t="s">
        <v>174</v>
      </c>
      <c r="BA5" s="2387" t="s">
        <v>173</v>
      </c>
      <c r="BB5" s="2388" t="s">
        <v>174</v>
      </c>
      <c r="BC5" s="2389" t="s">
        <v>173</v>
      </c>
      <c r="BD5" s="2390" t="s">
        <v>174</v>
      </c>
      <c r="BE5" s="1118" t="s">
        <v>173</v>
      </c>
      <c r="BF5" s="1119" t="s">
        <v>174</v>
      </c>
    </row>
    <row r="6" spans="2:64" x14ac:dyDescent="0.3">
      <c r="B6" s="1276" t="s">
        <v>914</v>
      </c>
      <c r="C6" s="3782" t="s">
        <v>66</v>
      </c>
      <c r="D6" s="7861" t="s">
        <v>2325</v>
      </c>
      <c r="E6" s="3783">
        <f>+'B-FCE'!E6</f>
        <v>208000</v>
      </c>
      <c r="F6" s="3783">
        <f>+'B-FCE'!F6</f>
        <v>237076.80000000005</v>
      </c>
      <c r="G6" s="3783">
        <f>+'B-FCE'!G6</f>
        <v>260000</v>
      </c>
      <c r="H6" s="3783">
        <f>+'B-FCE'!H6</f>
        <v>255730.90000000002</v>
      </c>
      <c r="I6" s="3779">
        <f>E6+G6</f>
        <v>468000</v>
      </c>
      <c r="J6" s="3779">
        <f>F6+H6</f>
        <v>492807.70000000007</v>
      </c>
      <c r="K6" s="3783">
        <f>+'B-FCE'!K6</f>
        <v>252000</v>
      </c>
      <c r="L6" s="3783">
        <f>+'B-FCE'!L6</f>
        <v>261489.89999999997</v>
      </c>
      <c r="M6" s="1051">
        <f>+'B-FCE'!M6</f>
        <v>720000</v>
      </c>
      <c r="N6" s="3928">
        <f t="shared" ref="N6:N9" si="0">F6+H6+L6</f>
        <v>754297.60000000009</v>
      </c>
      <c r="O6" s="3783">
        <f>+'B-FCE'!O6</f>
        <v>255000</v>
      </c>
      <c r="P6" s="3783">
        <f>+'B-FCE'!P6</f>
        <v>268142.30000000005</v>
      </c>
      <c r="Q6" s="3779">
        <f t="shared" ref="Q6:V6" si="1">M6+O6</f>
        <v>975000</v>
      </c>
      <c r="R6" s="3779">
        <f t="shared" si="1"/>
        <v>1022439.9000000001</v>
      </c>
      <c r="S6" s="3783">
        <f>+'B-FCE'!S6</f>
        <v>255000</v>
      </c>
      <c r="T6" s="3783">
        <f>+'B-FCE'!T6</f>
        <v>253263.6</v>
      </c>
      <c r="U6" s="3779">
        <f t="shared" si="1"/>
        <v>1230000</v>
      </c>
      <c r="V6" s="3779">
        <f t="shared" si="1"/>
        <v>1275703.5000000002</v>
      </c>
      <c r="W6" s="3783">
        <f>+'B-FCE'!W6</f>
        <v>140000</v>
      </c>
      <c r="X6" s="3783">
        <f>+'B-FCE'!X6</f>
        <v>243297.40000000002</v>
      </c>
      <c r="Y6" s="1051">
        <f>+'B-FCE'!Y6</f>
        <v>650000</v>
      </c>
      <c r="Z6" s="229">
        <f>+'B-FCE'!Z6</f>
        <v>764703.3</v>
      </c>
      <c r="AA6" s="1053">
        <f>+'B-FCE'!AA6</f>
        <v>1370000</v>
      </c>
      <c r="AB6" s="2391">
        <f>+'B-FCE'!AB6</f>
        <v>1519000.9000000001</v>
      </c>
      <c r="AC6" s="3783">
        <f>+'B-FCE'!AC6</f>
        <v>260000</v>
      </c>
      <c r="AD6" s="3783">
        <f>+'B-FCE'!AD6</f>
        <v>202962.09999999998</v>
      </c>
      <c r="AE6" s="3779">
        <f>AA6+AC6</f>
        <v>1630000</v>
      </c>
      <c r="AF6" s="3779">
        <f>AB6+AD6</f>
        <v>1721963</v>
      </c>
      <c r="AG6" s="3783">
        <f>+'B-FCE'!AG6</f>
        <v>252000</v>
      </c>
      <c r="AH6" s="3783">
        <f>+'B-FCE'!AH6</f>
        <v>244148.19999999998</v>
      </c>
      <c r="AI6" s="3779">
        <f>AE6+AG6</f>
        <v>1882000</v>
      </c>
      <c r="AJ6" s="3779">
        <f>AF6+AH6</f>
        <v>1966111.2</v>
      </c>
      <c r="AK6" s="3783">
        <f>+'B-FCE'!AK6</f>
        <v>260000</v>
      </c>
      <c r="AL6" s="3783">
        <f>+'B-FCE'!AL6</f>
        <v>251560.99999999997</v>
      </c>
      <c r="AM6" s="1051">
        <f>AC6+AG6+AK6</f>
        <v>772000</v>
      </c>
      <c r="AN6" s="1051">
        <f>AD6+AH6+AL6</f>
        <v>698671.29999999993</v>
      </c>
      <c r="AO6" s="3779">
        <f>AI6+AK6</f>
        <v>2142000</v>
      </c>
      <c r="AP6" s="3779">
        <f>AJ6+AL6</f>
        <v>2217672.1999999997</v>
      </c>
      <c r="AQ6" s="3783">
        <f>+'B-FCE'!AQ6</f>
        <v>264000</v>
      </c>
      <c r="AR6" s="3783">
        <f>+'B-FCE'!AR6</f>
        <v>244851.4</v>
      </c>
      <c r="AS6" s="3779">
        <f>AO6+AQ6</f>
        <v>2406000</v>
      </c>
      <c r="AT6" s="3779">
        <f>AP6+AR6</f>
        <v>2462523.5999999996</v>
      </c>
      <c r="AU6" s="3783">
        <f>+'B-FCE'!AU6</f>
        <v>236000</v>
      </c>
      <c r="AV6" s="3783">
        <f>+'B-FCE'!AV6</f>
        <v>196575.3</v>
      </c>
      <c r="AW6" s="3779">
        <f>AS6+AU6</f>
        <v>2642000</v>
      </c>
      <c r="AX6" s="3779">
        <f>AT6+AV6</f>
        <v>2659098.8999999994</v>
      </c>
      <c r="AY6" s="3783">
        <f>+'B-FCE'!AY6</f>
        <v>264000</v>
      </c>
      <c r="AZ6" s="3783">
        <f>+'B-FCE'!AZ6</f>
        <v>251871.70000000004</v>
      </c>
      <c r="BA6" s="3927">
        <f>AQ6+AU6+AY6</f>
        <v>764000</v>
      </c>
      <c r="BB6" s="3927">
        <f>AR6+AV6+AZ6</f>
        <v>693298.4</v>
      </c>
      <c r="BC6" s="3929">
        <f>AM6+BA6</f>
        <v>1536000</v>
      </c>
      <c r="BD6" s="3930">
        <f>AN6+BB6</f>
        <v>1391969.7</v>
      </c>
      <c r="BE6" s="3780">
        <f>AW6+AY6</f>
        <v>2906000</v>
      </c>
      <c r="BF6" s="3780">
        <f>AX6+AZ6</f>
        <v>2910970.5999999996</v>
      </c>
      <c r="BG6" s="3604"/>
      <c r="BH6" s="3604"/>
      <c r="BI6" s="3604"/>
      <c r="BJ6" s="3604"/>
      <c r="BK6" s="3604"/>
      <c r="BL6" s="3604"/>
    </row>
    <row r="7" spans="2:64" x14ac:dyDescent="0.3">
      <c r="B7" s="1381"/>
      <c r="C7" s="892"/>
      <c r="D7" s="7862"/>
      <c r="E7" s="892"/>
      <c r="F7" s="892"/>
      <c r="G7" s="892"/>
      <c r="H7" s="892"/>
      <c r="I7" s="3931"/>
      <c r="J7" s="3931"/>
      <c r="K7" s="892"/>
      <c r="L7" s="892"/>
      <c r="M7" s="3932"/>
      <c r="N7" s="3933"/>
      <c r="O7" s="892"/>
      <c r="P7" s="892"/>
      <c r="Q7" s="3931"/>
      <c r="R7" s="3931"/>
      <c r="S7" s="892"/>
      <c r="T7" s="892"/>
      <c r="U7" s="3931"/>
      <c r="V7" s="3931"/>
      <c r="W7" s="892"/>
      <c r="X7" s="892"/>
      <c r="Y7" s="3932"/>
      <c r="Z7" s="3933"/>
      <c r="AA7" s="3934"/>
      <c r="AB7" s="3935"/>
      <c r="AC7" s="892"/>
      <c r="AD7" s="892"/>
      <c r="AE7" s="3931"/>
      <c r="AF7" s="3931"/>
      <c r="AG7" s="892"/>
      <c r="AH7" s="892"/>
      <c r="AI7" s="3931"/>
      <c r="AJ7" s="3931"/>
      <c r="AK7" s="892"/>
      <c r="AL7" s="892"/>
      <c r="AM7" s="3932"/>
      <c r="AN7" s="3933"/>
      <c r="AO7" s="893"/>
      <c r="AP7" s="893"/>
      <c r="AQ7" s="892"/>
      <c r="AR7" s="892"/>
      <c r="AS7" s="893"/>
      <c r="AT7" s="893"/>
      <c r="AU7" s="892"/>
      <c r="AV7" s="892"/>
      <c r="AW7" s="893"/>
      <c r="AX7" s="893"/>
      <c r="AY7" s="892"/>
      <c r="AZ7" s="892"/>
      <c r="BA7" s="3932"/>
      <c r="BB7" s="3933"/>
      <c r="BC7" s="3934"/>
      <c r="BD7" s="3935"/>
      <c r="BE7" s="893"/>
      <c r="BF7" s="893"/>
      <c r="BG7" s="3604"/>
      <c r="BH7" s="3604"/>
      <c r="BI7" s="3604"/>
      <c r="BJ7" s="3604"/>
      <c r="BK7" s="3604"/>
      <c r="BL7" s="3604"/>
    </row>
    <row r="8" spans="2:64" x14ac:dyDescent="0.3">
      <c r="B8" s="1381" t="s">
        <v>915</v>
      </c>
      <c r="C8" s="3782" t="s">
        <v>66</v>
      </c>
      <c r="D8" s="7862"/>
      <c r="E8" s="2467">
        <f>+'B-FCE'!E23</f>
        <v>78000</v>
      </c>
      <c r="F8" s="2467">
        <f>+'B-FCE'!F23</f>
        <v>90935.947439999974</v>
      </c>
      <c r="G8" s="2467">
        <f>+'B-FCE'!G23</f>
        <v>92560</v>
      </c>
      <c r="H8" s="2467">
        <f>+'B-FCE'!H23</f>
        <v>88475.2503</v>
      </c>
      <c r="I8" s="3779">
        <f t="shared" ref="I8:I12" si="2">E8+G8</f>
        <v>170560</v>
      </c>
      <c r="J8" s="3779">
        <f t="shared" ref="J8:J12" si="3">F8+H8</f>
        <v>179411.19773999997</v>
      </c>
      <c r="K8" s="2467">
        <f>+'B-FCE'!K23</f>
        <v>89712</v>
      </c>
      <c r="L8" s="2467">
        <f>+'B-FCE'!L23</f>
        <v>91104.908899999995</v>
      </c>
      <c r="M8" s="3927">
        <f>+'B-FCE'!M23</f>
        <v>260272</v>
      </c>
      <c r="N8" s="3928">
        <f t="shared" si="0"/>
        <v>270516.10663999995</v>
      </c>
      <c r="O8" s="2467">
        <f>+'B-FCE'!O23</f>
        <v>90780</v>
      </c>
      <c r="P8" s="2467">
        <f>+'B-FCE'!P23</f>
        <v>97220.250600000014</v>
      </c>
      <c r="Q8" s="3779">
        <f t="shared" ref="Q8:Q12" si="4">M8+O8</f>
        <v>351052</v>
      </c>
      <c r="R8" s="3779">
        <f t="shared" ref="R8:R12" si="5">N8+P8</f>
        <v>367736.35723999998</v>
      </c>
      <c r="S8" s="2467">
        <f>+'B-FCE'!S23</f>
        <v>90780</v>
      </c>
      <c r="T8" s="2467">
        <f>+'B-FCE'!T23</f>
        <v>92678.77111999999</v>
      </c>
      <c r="U8" s="3779">
        <f t="shared" ref="U8:U12" si="6">Q8+S8</f>
        <v>441832</v>
      </c>
      <c r="V8" s="3779">
        <f t="shared" ref="V8:V12" si="7">R8+T8</f>
        <v>460415.12835999997</v>
      </c>
      <c r="W8" s="2467">
        <f>+'B-FCE'!W23</f>
        <v>53620</v>
      </c>
      <c r="X8" s="2467">
        <f>+'B-FCE'!X23</f>
        <v>94980.636339999997</v>
      </c>
      <c r="Y8" s="3927">
        <f>+'B-FCE'!Y23</f>
        <v>235180</v>
      </c>
      <c r="Z8" s="3928">
        <f>+'B-FCE'!Z23</f>
        <v>284879.65805999999</v>
      </c>
      <c r="AA8" s="3929">
        <f>+'B-FCE'!AA23</f>
        <v>495452</v>
      </c>
      <c r="AB8" s="3930">
        <f>+'B-FCE'!AB23</f>
        <v>555395.76469999994</v>
      </c>
      <c r="AC8" s="2467">
        <f>+'B-FCE'!AC23</f>
        <v>92040</v>
      </c>
      <c r="AD8" s="2467">
        <f>+'B-FCE'!AD23</f>
        <v>82612.429080000002</v>
      </c>
      <c r="AE8" s="3779">
        <f t="shared" ref="AE8:AE12" si="8">AA8+AC8</f>
        <v>587492</v>
      </c>
      <c r="AF8" s="3779">
        <f t="shared" ref="AF8:AF12" si="9">AB8+AD8</f>
        <v>638008.19377999997</v>
      </c>
      <c r="AG8" s="2467">
        <f>+'B-FCE'!AG23</f>
        <v>89208</v>
      </c>
      <c r="AH8" s="2467">
        <f>+'B-FCE'!AH23</f>
        <v>89431</v>
      </c>
      <c r="AI8" s="3779">
        <f t="shared" ref="AI8:AI12" si="10">AE8+AG8</f>
        <v>676700</v>
      </c>
      <c r="AJ8" s="3779">
        <f t="shared" ref="AJ8:AJ12" si="11">AF8+AH8</f>
        <v>727439.19377999997</v>
      </c>
      <c r="AK8" s="2467">
        <f>+'B-FCE'!AK23</f>
        <v>92040</v>
      </c>
      <c r="AL8" s="2467">
        <f>+'B-FCE'!AL23</f>
        <v>95439.613600000026</v>
      </c>
      <c r="AM8" s="1051">
        <f t="shared" ref="AM8:AM12" si="12">AC8+AG8+AK8</f>
        <v>273288</v>
      </c>
      <c r="AN8" s="1051">
        <f t="shared" ref="AN8:AN12" si="13">AD8+AH8+AL8</f>
        <v>267483.04268000001</v>
      </c>
      <c r="AO8" s="3779">
        <f t="shared" ref="AO8:AO12" si="14">AI8+AK8</f>
        <v>768740</v>
      </c>
      <c r="AP8" s="3779">
        <f t="shared" ref="AP8:AP12" si="15">AJ8+AL8</f>
        <v>822878.80738000001</v>
      </c>
      <c r="AQ8" s="2467">
        <f>+'B-FCE'!AQ23</f>
        <v>93456</v>
      </c>
      <c r="AR8" s="2467">
        <f>+'B-FCE'!AR23</f>
        <v>94365.280469999998</v>
      </c>
      <c r="AS8" s="3779">
        <f t="shared" ref="AS8:AS12" si="16">AO8+AQ8</f>
        <v>862196</v>
      </c>
      <c r="AT8" s="3779">
        <f t="shared" ref="AT8:AT12" si="17">AP8+AR8</f>
        <v>917244.08785000001</v>
      </c>
      <c r="AU8" s="2467">
        <f>+'B-FCE'!AU23</f>
        <v>83544</v>
      </c>
      <c r="AV8" s="2467">
        <f>+'B-FCE'!AV23</f>
        <v>84493.69425</v>
      </c>
      <c r="AW8" s="3779">
        <f t="shared" ref="AW8:AW12" si="18">AS8+AU8</f>
        <v>945740</v>
      </c>
      <c r="AX8" s="3779">
        <f t="shared" ref="AX8:AX12" si="19">AT8+AV8</f>
        <v>1001737.7821</v>
      </c>
      <c r="AY8" s="2467">
        <f>+'B-FCE'!AY23</f>
        <v>93456</v>
      </c>
      <c r="AZ8" s="2467">
        <f>+'B-FCE'!AZ23</f>
        <v>92471.241399999999</v>
      </c>
      <c r="BA8" s="3927">
        <f t="shared" ref="BA8:BA11" si="20">AQ8+AU8+AY8</f>
        <v>270456</v>
      </c>
      <c r="BB8" s="3927">
        <f t="shared" ref="BB8:BB11" si="21">AR8+AV8+AZ8</f>
        <v>271330.21612</v>
      </c>
      <c r="BC8" s="3929">
        <f t="shared" ref="BC8:BC12" si="22">AM8+BA8</f>
        <v>543744</v>
      </c>
      <c r="BD8" s="3930">
        <f t="shared" ref="BD8:BD12" si="23">AN8+BB8</f>
        <v>538813.25879999995</v>
      </c>
      <c r="BE8" s="3780">
        <f t="shared" ref="BE8:BE12" si="24">AW8+AY8</f>
        <v>1039196</v>
      </c>
      <c r="BF8" s="3780">
        <f t="shared" ref="BF8:BF12" si="25">AX8+AZ8</f>
        <v>1094209.0234999999</v>
      </c>
      <c r="BG8" s="3604"/>
      <c r="BH8" s="3604"/>
      <c r="BI8" s="3604"/>
      <c r="BJ8" s="3604"/>
      <c r="BK8" s="3604"/>
      <c r="BL8" s="3604"/>
    </row>
    <row r="9" spans="2:64" x14ac:dyDescent="0.3">
      <c r="B9" s="1381" t="s">
        <v>916</v>
      </c>
      <c r="C9" s="3782" t="s">
        <v>66</v>
      </c>
      <c r="D9" s="7862"/>
      <c r="E9" s="2467">
        <f>+'B-FCE'!E24</f>
        <v>5408</v>
      </c>
      <c r="F9" s="2467">
        <f>+'B-FCE'!F24</f>
        <v>7521.2660300000034</v>
      </c>
      <c r="G9" s="2467">
        <f>+'B-FCE'!G24</f>
        <v>7540</v>
      </c>
      <c r="H9" s="2467">
        <f>+'B-FCE'!H24</f>
        <v>7479.2059999999992</v>
      </c>
      <c r="I9" s="3779">
        <f t="shared" si="2"/>
        <v>12948</v>
      </c>
      <c r="J9" s="3779">
        <f t="shared" si="3"/>
        <v>15000.472030000003</v>
      </c>
      <c r="K9" s="2467">
        <f>+'B-FCE'!K24</f>
        <v>7308</v>
      </c>
      <c r="L9" s="2467">
        <f>+'B-FCE'!L24</f>
        <v>8335.2548999999999</v>
      </c>
      <c r="M9" s="3927">
        <f>+'B-FCE'!M24</f>
        <v>20256</v>
      </c>
      <c r="N9" s="3928">
        <f t="shared" si="0"/>
        <v>23335.726930000004</v>
      </c>
      <c r="O9" s="2467">
        <f>+'B-FCE'!O24</f>
        <v>7395</v>
      </c>
      <c r="P9" s="2467">
        <f>+'B-FCE'!P24</f>
        <v>10931.993400000003</v>
      </c>
      <c r="Q9" s="3779">
        <f t="shared" si="4"/>
        <v>27651</v>
      </c>
      <c r="R9" s="3779">
        <f t="shared" si="5"/>
        <v>34267.720330000011</v>
      </c>
      <c r="S9" s="2467">
        <f>+'B-FCE'!S24</f>
        <v>7395</v>
      </c>
      <c r="T9" s="2467">
        <f>+'B-FCE'!T24</f>
        <v>9434.9160300000003</v>
      </c>
      <c r="U9" s="3779">
        <f t="shared" si="6"/>
        <v>35046</v>
      </c>
      <c r="V9" s="3779">
        <f t="shared" si="7"/>
        <v>43702.636360000011</v>
      </c>
      <c r="W9" s="2467">
        <f>+'B-FCE'!W24</f>
        <v>3920</v>
      </c>
      <c r="X9" s="2467">
        <f>+'B-FCE'!X24</f>
        <v>8937.2429000000029</v>
      </c>
      <c r="Y9" s="3927">
        <f>+'B-FCE'!Y24</f>
        <v>18710</v>
      </c>
      <c r="Z9" s="3928">
        <f>+'B-FCE'!Z24</f>
        <v>29304.152330000008</v>
      </c>
      <c r="AA9" s="3929">
        <f>+'B-FCE'!AA24</f>
        <v>38966</v>
      </c>
      <c r="AB9" s="3930">
        <f>+'B-FCE'!AB24</f>
        <v>52639.879260000009</v>
      </c>
      <c r="AC9" s="2467">
        <f>+'B-FCE'!AC24</f>
        <v>7540</v>
      </c>
      <c r="AD9" s="2467">
        <f>+'B-FCE'!AD24</f>
        <v>6146.5302000000011</v>
      </c>
      <c r="AE9" s="3779">
        <f t="shared" si="8"/>
        <v>46506</v>
      </c>
      <c r="AF9" s="3779">
        <f t="shared" si="9"/>
        <v>58786.40946000001</v>
      </c>
      <c r="AG9" s="2467">
        <f>+'B-FCE'!AG24</f>
        <v>7308</v>
      </c>
      <c r="AH9" s="2467">
        <f>+'B-FCE'!AH24</f>
        <v>9215</v>
      </c>
      <c r="AI9" s="3779">
        <f t="shared" si="10"/>
        <v>53814</v>
      </c>
      <c r="AJ9" s="3779">
        <f t="shared" si="11"/>
        <v>68001.40946000001</v>
      </c>
      <c r="AK9" s="2467">
        <f>+'B-FCE'!AK24</f>
        <v>7540</v>
      </c>
      <c r="AL9" s="2467">
        <f>+'B-FCE'!AL24</f>
        <v>8963.0492999999988</v>
      </c>
      <c r="AM9" s="1051">
        <f t="shared" si="12"/>
        <v>22388</v>
      </c>
      <c r="AN9" s="1051">
        <f t="shared" si="13"/>
        <v>24324.5795</v>
      </c>
      <c r="AO9" s="3779">
        <f t="shared" si="14"/>
        <v>61354</v>
      </c>
      <c r="AP9" s="3779">
        <f t="shared" si="15"/>
        <v>76964.458760000009</v>
      </c>
      <c r="AQ9" s="2467">
        <f>+'B-FCE'!AQ24</f>
        <v>7656</v>
      </c>
      <c r="AR9" s="2467">
        <f>+'B-FCE'!AR24</f>
        <v>7792.9575640000003</v>
      </c>
      <c r="AS9" s="3779">
        <f t="shared" si="16"/>
        <v>69010</v>
      </c>
      <c r="AT9" s="3779">
        <f t="shared" si="17"/>
        <v>84757.416324000005</v>
      </c>
      <c r="AU9" s="2467">
        <f>+'B-FCE'!AU24</f>
        <v>6844</v>
      </c>
      <c r="AV9" s="2467">
        <f>+'B-FCE'!AV24</f>
        <v>5861.8010599999998</v>
      </c>
      <c r="AW9" s="3779">
        <f t="shared" si="18"/>
        <v>75854</v>
      </c>
      <c r="AX9" s="3779">
        <f t="shared" si="19"/>
        <v>90619.217384000003</v>
      </c>
      <c r="AY9" s="2467">
        <f>+'B-FCE'!AY24</f>
        <v>7656</v>
      </c>
      <c r="AZ9" s="2467">
        <f>+'B-FCE'!AZ24</f>
        <v>8283.8433999999997</v>
      </c>
      <c r="BA9" s="3927">
        <f t="shared" si="20"/>
        <v>22156</v>
      </c>
      <c r="BB9" s="3927">
        <f t="shared" si="21"/>
        <v>21938.602024</v>
      </c>
      <c r="BC9" s="3929">
        <f t="shared" si="22"/>
        <v>44544</v>
      </c>
      <c r="BD9" s="3930">
        <f t="shared" si="23"/>
        <v>46263.181524</v>
      </c>
      <c r="BE9" s="3780">
        <f t="shared" si="24"/>
        <v>83510</v>
      </c>
      <c r="BF9" s="3780">
        <f t="shared" si="25"/>
        <v>98903.060784000001</v>
      </c>
      <c r="BG9" s="3604"/>
      <c r="BH9" s="3604"/>
      <c r="BI9" s="3604"/>
      <c r="BJ9" s="3604"/>
      <c r="BK9" s="3604"/>
      <c r="BL9" s="3604"/>
    </row>
    <row r="10" spans="2:64" x14ac:dyDescent="0.3">
      <c r="B10" s="1381" t="s">
        <v>917</v>
      </c>
      <c r="C10" s="3782" t="s">
        <v>66</v>
      </c>
      <c r="D10" s="7862"/>
      <c r="E10" s="2467">
        <f>+'B-FCE'!E65</f>
        <v>9267.5555555555475</v>
      </c>
      <c r="F10" s="2467">
        <f>+'B-FCE'!F65</f>
        <v>10346.854300000001</v>
      </c>
      <c r="G10" s="2467">
        <f>+'B-FCE'!G65</f>
        <v>11122.222222222219</v>
      </c>
      <c r="H10" s="2467">
        <f>+'B-FCE'!H65</f>
        <v>11375.684999999999</v>
      </c>
      <c r="I10" s="3779">
        <f t="shared" si="2"/>
        <v>20389.777777777766</v>
      </c>
      <c r="J10" s="3779">
        <f t="shared" si="3"/>
        <v>21722.5393</v>
      </c>
      <c r="K10" s="2467">
        <f>+'B-FCE'!K65</f>
        <v>10780</v>
      </c>
      <c r="L10" s="2467">
        <f>+'B-FCE'!L65</f>
        <v>11847.7976</v>
      </c>
      <c r="M10" s="3927">
        <f>+'B-FCE'!M65</f>
        <v>31169.777777777766</v>
      </c>
      <c r="N10" s="3928">
        <f>F10+H10+L10</f>
        <v>33570.336900000002</v>
      </c>
      <c r="O10" s="2467">
        <f>+'B-FCE'!O65</f>
        <v>10908.333333333328</v>
      </c>
      <c r="P10" s="2467">
        <f>+'B-FCE'!P65</f>
        <v>13053.6016</v>
      </c>
      <c r="Q10" s="3779">
        <f t="shared" si="4"/>
        <v>42078.111111111095</v>
      </c>
      <c r="R10" s="3779">
        <f t="shared" si="5"/>
        <v>46623.938500000004</v>
      </c>
      <c r="S10" s="2467">
        <f>+'B-FCE'!S65</f>
        <v>10908.333333333328</v>
      </c>
      <c r="T10" s="2467">
        <f>+'B-FCE'!T65</f>
        <v>12613.0455</v>
      </c>
      <c r="U10" s="3779">
        <f t="shared" si="6"/>
        <v>52986.444444444423</v>
      </c>
      <c r="V10" s="3779">
        <f t="shared" si="7"/>
        <v>59236.984000000004</v>
      </c>
      <c r="W10" s="2467">
        <f>+'B-FCE'!W65</f>
        <v>6393.3333333333285</v>
      </c>
      <c r="X10" s="2467">
        <f>+'B-FCE'!X65</f>
        <v>12861.105600000001</v>
      </c>
      <c r="Y10" s="3927">
        <f>+'B-FCE'!Y65</f>
        <v>28209.999999999985</v>
      </c>
      <c r="Z10" s="3928">
        <f>+'B-FCE'!Z65</f>
        <v>38527.752700000005</v>
      </c>
      <c r="AA10" s="3929">
        <f>+'B-FCE'!AA65</f>
        <v>59379.777777777752</v>
      </c>
      <c r="AB10" s="3930">
        <f>+'B-FCE'!AB65</f>
        <v>72098.089600000007</v>
      </c>
      <c r="AC10" s="2467">
        <f>+'B-FCE'!AC65</f>
        <v>11064.444444444438</v>
      </c>
      <c r="AD10" s="2467">
        <f>+'B-FCE'!AD65</f>
        <v>12145.35</v>
      </c>
      <c r="AE10" s="3779">
        <f t="shared" si="8"/>
        <v>70444.22222222219</v>
      </c>
      <c r="AF10" s="3779">
        <f t="shared" si="9"/>
        <v>84243.439600000012</v>
      </c>
      <c r="AG10" s="2467">
        <f>+'B-FCE'!AG65</f>
        <v>10724</v>
      </c>
      <c r="AH10" s="2467">
        <f>+'B-FCE'!AH65</f>
        <v>11554.65</v>
      </c>
      <c r="AI10" s="3779">
        <f t="shared" si="10"/>
        <v>81168.22222222219</v>
      </c>
      <c r="AJ10" s="3779">
        <f t="shared" si="11"/>
        <v>95798.089600000007</v>
      </c>
      <c r="AK10" s="2467">
        <f>+'B-FCE'!AK65</f>
        <v>11064.444444444438</v>
      </c>
      <c r="AL10" s="2467">
        <f>+'B-FCE'!AL65</f>
        <v>10852.704</v>
      </c>
      <c r="AM10" s="1051">
        <f t="shared" si="12"/>
        <v>32852.888888888876</v>
      </c>
      <c r="AN10" s="1051">
        <f t="shared" si="13"/>
        <v>34552.703999999998</v>
      </c>
      <c r="AO10" s="3779">
        <f t="shared" si="14"/>
        <v>92232.666666666628</v>
      </c>
      <c r="AP10" s="3779">
        <f t="shared" si="15"/>
        <v>106650.7936</v>
      </c>
      <c r="AQ10" s="2467">
        <f>+'B-FCE'!AQ65</f>
        <v>11234.666666666657</v>
      </c>
      <c r="AR10" s="2467">
        <f>+'B-FCE'!AR65</f>
        <v>9568.2595999999994</v>
      </c>
      <c r="AS10" s="3779">
        <f t="shared" si="16"/>
        <v>103467.33333333328</v>
      </c>
      <c r="AT10" s="3779">
        <f t="shared" si="17"/>
        <v>116219.05320000001</v>
      </c>
      <c r="AU10" s="2467">
        <f>+'B-FCE'!AU65</f>
        <v>10043.111111111109</v>
      </c>
      <c r="AV10" s="2467">
        <f>+'B-FCE'!AV65</f>
        <v>12336.7</v>
      </c>
      <c r="AW10" s="3779">
        <f t="shared" si="18"/>
        <v>113510.44444444439</v>
      </c>
      <c r="AX10" s="3779">
        <f t="shared" si="19"/>
        <v>128555.75320000001</v>
      </c>
      <c r="AY10" s="2467">
        <f>+'B-FCE'!AY65</f>
        <v>11234.666666666657</v>
      </c>
      <c r="AZ10" s="2467">
        <f>+'B-FCE'!AZ65</f>
        <v>11656.3968</v>
      </c>
      <c r="BA10" s="3927">
        <f t="shared" si="20"/>
        <v>32512.444444444423</v>
      </c>
      <c r="BB10" s="3927">
        <f t="shared" si="21"/>
        <v>33561.356400000004</v>
      </c>
      <c r="BC10" s="3929">
        <f t="shared" si="22"/>
        <v>65365.333333333299</v>
      </c>
      <c r="BD10" s="3930">
        <f t="shared" si="23"/>
        <v>68114.060400000002</v>
      </c>
      <c r="BE10" s="3780">
        <f t="shared" si="24"/>
        <v>124745.11111111105</v>
      </c>
      <c r="BF10" s="3780">
        <f t="shared" si="25"/>
        <v>140212.15</v>
      </c>
      <c r="BG10" s="3604"/>
      <c r="BH10" s="3604"/>
      <c r="BI10" s="3604"/>
      <c r="BJ10" s="3604"/>
      <c r="BK10" s="3604"/>
      <c r="BL10" s="3604"/>
    </row>
    <row r="11" spans="2:64" x14ac:dyDescent="0.3">
      <c r="B11" s="1381" t="s">
        <v>919</v>
      </c>
      <c r="C11" s="3782" t="s">
        <v>66</v>
      </c>
      <c r="D11" s="7862"/>
      <c r="E11" s="2467">
        <f>+'B-FCE'!E33</f>
        <v>0</v>
      </c>
      <c r="F11" s="2467">
        <f>+'B-FCE'!F33</f>
        <v>0</v>
      </c>
      <c r="G11" s="2467">
        <f>+'B-FCE'!G33</f>
        <v>0</v>
      </c>
      <c r="H11" s="2467">
        <f>+'B-FCE'!H33</f>
        <v>0</v>
      </c>
      <c r="I11" s="3779">
        <f t="shared" si="2"/>
        <v>0</v>
      </c>
      <c r="J11" s="3779">
        <f t="shared" si="3"/>
        <v>0</v>
      </c>
      <c r="K11" s="2467">
        <f>+'B-FCE'!K33</f>
        <v>0</v>
      </c>
      <c r="L11" s="2467">
        <f>+'B-FCE'!L33</f>
        <v>0</v>
      </c>
      <c r="M11" s="3927">
        <f>+'B-FCE'!M33</f>
        <v>0</v>
      </c>
      <c r="N11" s="3928">
        <f>F11+H11+L11</f>
        <v>0</v>
      </c>
      <c r="O11" s="2467">
        <f>+'B-FCE'!O33</f>
        <v>0</v>
      </c>
      <c r="P11" s="2467">
        <f>+'B-FCE'!P33</f>
        <v>0</v>
      </c>
      <c r="Q11" s="3779">
        <f t="shared" si="4"/>
        <v>0</v>
      </c>
      <c r="R11" s="3779">
        <f t="shared" si="5"/>
        <v>0</v>
      </c>
      <c r="S11" s="2467">
        <f>+'B-FCE'!S33</f>
        <v>0</v>
      </c>
      <c r="T11" s="2467">
        <f>+'B-FCE'!T33</f>
        <v>0</v>
      </c>
      <c r="U11" s="3779">
        <f t="shared" si="6"/>
        <v>0</v>
      </c>
      <c r="V11" s="3779">
        <f t="shared" si="7"/>
        <v>0</v>
      </c>
      <c r="W11" s="2467">
        <f>+'B-FCE'!W33</f>
        <v>8000</v>
      </c>
      <c r="X11" s="2467">
        <f>+'B-FCE'!X33</f>
        <v>0</v>
      </c>
      <c r="Y11" s="3927">
        <f>+'B-FCE'!Y33</f>
        <v>8000</v>
      </c>
      <c r="Z11" s="3928">
        <f>+'B-FCE'!Z33</f>
        <v>0</v>
      </c>
      <c r="AA11" s="3929">
        <f>+'B-FCE'!AA33</f>
        <v>8000</v>
      </c>
      <c r="AB11" s="3930">
        <f>+'B-FCE'!AB33</f>
        <v>0</v>
      </c>
      <c r="AC11" s="2467">
        <f>+'B-FCE'!AC33</f>
        <v>0</v>
      </c>
      <c r="AD11" s="2467">
        <f>+'B-FCE'!AD33</f>
        <v>6298.5</v>
      </c>
      <c r="AE11" s="3779">
        <f t="shared" si="8"/>
        <v>8000</v>
      </c>
      <c r="AF11" s="3779">
        <f t="shared" si="9"/>
        <v>6298.5</v>
      </c>
      <c r="AG11" s="2467">
        <f>+'B-FCE'!AG33</f>
        <v>0</v>
      </c>
      <c r="AH11" s="2467">
        <f>+'B-FCE'!AH33</f>
        <v>678</v>
      </c>
      <c r="AI11" s="3779">
        <f t="shared" si="10"/>
        <v>8000</v>
      </c>
      <c r="AJ11" s="3779">
        <f t="shared" si="11"/>
        <v>6976.5</v>
      </c>
      <c r="AK11" s="2467">
        <f>+'B-FCE'!AK33</f>
        <v>0</v>
      </c>
      <c r="AL11" s="2467">
        <f>+'B-FCE'!AL33</f>
        <v>775</v>
      </c>
      <c r="AM11" s="1051">
        <f t="shared" si="12"/>
        <v>0</v>
      </c>
      <c r="AN11" s="1051">
        <f t="shared" si="13"/>
        <v>7751.5</v>
      </c>
      <c r="AO11" s="3779">
        <f t="shared" si="14"/>
        <v>8000</v>
      </c>
      <c r="AP11" s="3779">
        <f t="shared" si="15"/>
        <v>7751.5</v>
      </c>
      <c r="AQ11" s="2467">
        <f>+'B-FCE'!AQ33</f>
        <v>0</v>
      </c>
      <c r="AR11" s="2467">
        <f>+'B-FCE'!AR33</f>
        <v>0</v>
      </c>
      <c r="AS11" s="3779">
        <f t="shared" si="16"/>
        <v>8000</v>
      </c>
      <c r="AT11" s="3779">
        <f t="shared" si="17"/>
        <v>7751.5</v>
      </c>
      <c r="AU11" s="2467">
        <f>+'B-FCE'!AU33</f>
        <v>0</v>
      </c>
      <c r="AV11" s="2467">
        <f>+'B-FCE'!AV33</f>
        <v>0</v>
      </c>
      <c r="AW11" s="3779">
        <f t="shared" si="18"/>
        <v>8000</v>
      </c>
      <c r="AX11" s="3779">
        <f t="shared" si="19"/>
        <v>7751.5</v>
      </c>
      <c r="AY11" s="2467">
        <f>+'B-FCE'!AY33</f>
        <v>0</v>
      </c>
      <c r="AZ11" s="2467">
        <f>+'B-FCE'!AZ33</f>
        <v>0</v>
      </c>
      <c r="BA11" s="3927">
        <f t="shared" si="20"/>
        <v>0</v>
      </c>
      <c r="BB11" s="3927">
        <f t="shared" si="21"/>
        <v>0</v>
      </c>
      <c r="BC11" s="3929">
        <f t="shared" si="22"/>
        <v>0</v>
      </c>
      <c r="BD11" s="3930">
        <f t="shared" si="23"/>
        <v>7751.5</v>
      </c>
      <c r="BE11" s="3780">
        <f t="shared" si="24"/>
        <v>8000</v>
      </c>
      <c r="BF11" s="3780">
        <f t="shared" si="25"/>
        <v>7751.5</v>
      </c>
      <c r="BG11" s="3604"/>
      <c r="BH11" s="3604"/>
      <c r="BI11" s="3604"/>
      <c r="BJ11" s="3604"/>
      <c r="BK11" s="3604"/>
      <c r="BL11" s="3604"/>
    </row>
    <row r="12" spans="2:64" x14ac:dyDescent="0.3">
      <c r="B12" s="1381" t="s">
        <v>918</v>
      </c>
      <c r="C12" s="3782" t="s">
        <v>66</v>
      </c>
      <c r="D12" s="7862"/>
      <c r="E12" s="2467">
        <f t="shared" ref="E12:AB12" si="26">SUM(E8:E11)</f>
        <v>92675.555555555547</v>
      </c>
      <c r="F12" s="2467">
        <f t="shared" si="26"/>
        <v>108804.06776999998</v>
      </c>
      <c r="G12" s="2467">
        <f t="shared" ref="G12:H12" si="27">SUM(G8:G11)</f>
        <v>111222.22222222222</v>
      </c>
      <c r="H12" s="2467">
        <f t="shared" si="27"/>
        <v>107330.1413</v>
      </c>
      <c r="I12" s="3779">
        <f t="shared" si="2"/>
        <v>203897.77777777775</v>
      </c>
      <c r="J12" s="3779">
        <f t="shared" si="3"/>
        <v>216134.20906999998</v>
      </c>
      <c r="K12" s="2467">
        <f t="shared" ref="K12:L12" si="28">SUM(K8:K11)</f>
        <v>107800</v>
      </c>
      <c r="L12" s="2467">
        <f t="shared" si="28"/>
        <v>111287.9614</v>
      </c>
      <c r="M12" s="3927">
        <f t="shared" ref="M12" si="29">SUM(M8:M11)</f>
        <v>311697.77777777775</v>
      </c>
      <c r="N12" s="3928">
        <f>F12+H12+L12</f>
        <v>327422.17047000001</v>
      </c>
      <c r="O12" s="2467">
        <f t="shared" ref="O12:P12" si="30">SUM(O8:O11)</f>
        <v>109083.33333333333</v>
      </c>
      <c r="P12" s="2467">
        <f t="shared" si="30"/>
        <v>121205.84560000002</v>
      </c>
      <c r="Q12" s="3779">
        <f t="shared" si="4"/>
        <v>420781.11111111107</v>
      </c>
      <c r="R12" s="3779">
        <f t="shared" si="5"/>
        <v>448628.01607000001</v>
      </c>
      <c r="S12" s="2467">
        <f t="shared" ref="S12:T12" si="31">SUM(S8:S11)</f>
        <v>109083.33333333333</v>
      </c>
      <c r="T12" s="2467">
        <f t="shared" si="31"/>
        <v>114726.73264999999</v>
      </c>
      <c r="U12" s="3779">
        <f t="shared" si="6"/>
        <v>529864.44444444438</v>
      </c>
      <c r="V12" s="3779">
        <f t="shared" si="7"/>
        <v>563354.74872000003</v>
      </c>
      <c r="W12" s="2467">
        <f t="shared" ref="W12:X12" si="32">SUM(W8:W11)</f>
        <v>71933.333333333328</v>
      </c>
      <c r="X12" s="2467">
        <f t="shared" si="32"/>
        <v>116778.98483999999</v>
      </c>
      <c r="Y12" s="3927">
        <f t="shared" ref="Y12:Z12" si="33">SUM(Y8:Y11)</f>
        <v>290100</v>
      </c>
      <c r="Z12" s="3928">
        <f t="shared" si="33"/>
        <v>352711.56309000001</v>
      </c>
      <c r="AA12" s="3929">
        <f t="shared" si="26"/>
        <v>601797.77777777775</v>
      </c>
      <c r="AB12" s="3930">
        <f t="shared" si="26"/>
        <v>680133.73355999985</v>
      </c>
      <c r="AC12" s="2467">
        <f t="shared" ref="AC12:AD12" si="34">SUM(AC8:AC11)</f>
        <v>110644.44444444444</v>
      </c>
      <c r="AD12" s="2467">
        <f t="shared" si="34"/>
        <v>107202.80928000002</v>
      </c>
      <c r="AE12" s="3779">
        <f t="shared" si="8"/>
        <v>712442.22222222225</v>
      </c>
      <c r="AF12" s="3779">
        <f t="shared" si="9"/>
        <v>787336.54283999989</v>
      </c>
      <c r="AG12" s="2467">
        <f t="shared" ref="AG12:AH12" si="35">SUM(AG8:AG11)</f>
        <v>107240</v>
      </c>
      <c r="AH12" s="2467">
        <f t="shared" si="35"/>
        <v>110878.65</v>
      </c>
      <c r="AI12" s="3779">
        <f t="shared" si="10"/>
        <v>819682.22222222225</v>
      </c>
      <c r="AJ12" s="3779">
        <f t="shared" si="11"/>
        <v>898215.19283999992</v>
      </c>
      <c r="AK12" s="2467">
        <f t="shared" ref="AK12:AL12" si="36">SUM(AK8:AK11)</f>
        <v>110644.44444444444</v>
      </c>
      <c r="AL12" s="2467">
        <f t="shared" si="36"/>
        <v>116030.36690000002</v>
      </c>
      <c r="AM12" s="1051">
        <f t="shared" si="12"/>
        <v>328528.88888888888</v>
      </c>
      <c r="AN12" s="1051">
        <f t="shared" si="13"/>
        <v>334111.82618000003</v>
      </c>
      <c r="AO12" s="3779">
        <f t="shared" si="14"/>
        <v>930326.66666666674</v>
      </c>
      <c r="AP12" s="3779">
        <f t="shared" si="15"/>
        <v>1014245.5597399999</v>
      </c>
      <c r="AQ12" s="2467">
        <f t="shared" ref="AQ12:AR12" si="37">SUM(AQ8:AQ11)</f>
        <v>112346.66666666666</v>
      </c>
      <c r="AR12" s="2467">
        <f t="shared" si="37"/>
        <v>111726.497634</v>
      </c>
      <c r="AS12" s="3779">
        <f t="shared" si="16"/>
        <v>1042673.3333333334</v>
      </c>
      <c r="AT12" s="3779">
        <f t="shared" si="17"/>
        <v>1125972.0573739999</v>
      </c>
      <c r="AU12" s="2467">
        <f t="shared" ref="AU12:AV12" si="38">SUM(AU8:AU11)</f>
        <v>100431.11111111111</v>
      </c>
      <c r="AV12" s="2467">
        <f t="shared" si="38"/>
        <v>102692.19531</v>
      </c>
      <c r="AW12" s="3779">
        <f t="shared" si="18"/>
        <v>1143104.4444444445</v>
      </c>
      <c r="AX12" s="3779">
        <f t="shared" si="19"/>
        <v>1228664.2526839999</v>
      </c>
      <c r="AY12" s="2467">
        <f t="shared" ref="AY12:AZ12" si="39">SUM(AY8:AY11)</f>
        <v>112346.66666666666</v>
      </c>
      <c r="AZ12" s="2467">
        <f t="shared" si="39"/>
        <v>112411.4816</v>
      </c>
      <c r="BA12" s="3927">
        <f>AQ12+AU12+AY12</f>
        <v>325124.44444444438</v>
      </c>
      <c r="BB12" s="3927">
        <f>AR12+AV12+AZ12</f>
        <v>326830.17454400001</v>
      </c>
      <c r="BC12" s="3929">
        <f t="shared" si="22"/>
        <v>653653.33333333326</v>
      </c>
      <c r="BD12" s="3930">
        <f t="shared" si="23"/>
        <v>660942.00072400004</v>
      </c>
      <c r="BE12" s="3780">
        <f t="shared" si="24"/>
        <v>1255451.1111111112</v>
      </c>
      <c r="BF12" s="3780">
        <f t="shared" si="25"/>
        <v>1341075.734284</v>
      </c>
      <c r="BG12" s="3604"/>
      <c r="BH12" s="3604"/>
      <c r="BI12" s="3604"/>
      <c r="BJ12" s="3604"/>
      <c r="BK12" s="3604"/>
      <c r="BL12" s="3604"/>
    </row>
    <row r="13" spans="2:64" x14ac:dyDescent="0.3">
      <c r="B13" s="1381" t="s">
        <v>802</v>
      </c>
      <c r="C13" s="2466" t="s">
        <v>49</v>
      </c>
      <c r="D13" s="7862"/>
      <c r="E13" s="3936">
        <f>+'Maj Techno Summ'!E5</f>
        <v>69.500000000000014</v>
      </c>
      <c r="F13" s="3936">
        <f>+'Maj Techno Summ'!F5</f>
        <v>69.499999999999986</v>
      </c>
      <c r="G13" s="3936">
        <f>+'Maj Techno Summ'!G5</f>
        <v>69.500000000000014</v>
      </c>
      <c r="H13" s="3936">
        <f>+'Maj Techno Summ'!H5</f>
        <v>70</v>
      </c>
      <c r="I13" s="3937">
        <f>+'Maj Techno Summ'!I5</f>
        <v>69.500000000000014</v>
      </c>
      <c r="J13" s="3937">
        <f>+'Maj Techno Summ'!J5</f>
        <v>69.752887029288701</v>
      </c>
      <c r="K13" s="3936">
        <f>+'Maj Techno Summ'!K5</f>
        <v>69.500000000000014</v>
      </c>
      <c r="L13" s="3936">
        <f>+'Maj Techno Summ'!L5</f>
        <v>70</v>
      </c>
      <c r="M13" s="3938">
        <f>+'Maj Techno Summ'!M5</f>
        <v>69.500000000000014</v>
      </c>
      <c r="N13" s="3939">
        <f>+'Maj Techno Summ'!N5</f>
        <v>69.834639937283015</v>
      </c>
      <c r="O13" s="3936">
        <f>+'Maj Techno Summ'!O5</f>
        <v>69.500000000000014</v>
      </c>
      <c r="P13" s="3936">
        <f>+'Maj Techno Summ'!P5</f>
        <v>69.999999999999986</v>
      </c>
      <c r="Q13" s="3937">
        <f>+'Maj Techno Summ'!Q5</f>
        <v>69.500000000000014</v>
      </c>
      <c r="R13" s="3937">
        <f>+'Maj Techno Summ'!R5</f>
        <v>69.87693782297049</v>
      </c>
      <c r="S13" s="3936">
        <f>+'Maj Techno Summ'!S5</f>
        <v>69.500000000000014</v>
      </c>
      <c r="T13" s="3936">
        <f>+'Maj Techno Summ'!T5</f>
        <v>70</v>
      </c>
      <c r="U13" s="3937">
        <f>+'Maj Techno Summ'!U5</f>
        <v>69.500000000000014</v>
      </c>
      <c r="V13" s="3937">
        <f>+'Maj Techno Summ'!V5</f>
        <v>69.901906723359005</v>
      </c>
      <c r="W13" s="3936">
        <f>+'Maj Techno Summ'!W5</f>
        <v>69.500000000000014</v>
      </c>
      <c r="X13" s="3936">
        <f>+'Maj Techno Summ'!X5</f>
        <v>69.49295404013472</v>
      </c>
      <c r="Y13" s="3938">
        <f>+'Maj Techno Summ'!Y5</f>
        <v>69.500000000000014</v>
      </c>
      <c r="Z13" s="3939">
        <f>+'Maj Techno Summ'!Z5</f>
        <v>69.834649220880394</v>
      </c>
      <c r="AA13" s="3940">
        <f>+'Maj Techno Summ'!AA5</f>
        <v>69.500000000000014</v>
      </c>
      <c r="AB13" s="3941">
        <f>+'Maj Techno Summ'!AB5</f>
        <v>69.834644619534785</v>
      </c>
      <c r="AC13" s="3936">
        <f>+'Maj Techno Summ'!AC5</f>
        <v>69.500000000000014</v>
      </c>
      <c r="AD13" s="3936">
        <f>+'Maj Techno Summ'!AD5</f>
        <v>69.7</v>
      </c>
      <c r="AE13" s="3937">
        <f>+'Maj Techno Summ'!AE5</f>
        <v>69.500000000000014</v>
      </c>
      <c r="AF13" s="3937">
        <f>+'Maj Techno Summ'!AF5</f>
        <v>69.815352045887352</v>
      </c>
      <c r="AG13" s="3936">
        <f>+'Maj Techno Summ'!AG5</f>
        <v>69.500000000000014</v>
      </c>
      <c r="AH13" s="3936">
        <f>+'Maj Techno Summ'!AH5</f>
        <v>69.5</v>
      </c>
      <c r="AI13" s="3937">
        <f>+'Maj Techno Summ'!AI5</f>
        <v>69.500000000000014</v>
      </c>
      <c r="AJ13" s="3937">
        <f>+'Maj Techno Summ'!AJ5</f>
        <v>69.776439170456854</v>
      </c>
      <c r="AK13" s="3936">
        <f>+'Maj Techno Summ'!AK5</f>
        <v>69.500000000000014</v>
      </c>
      <c r="AL13" s="3936">
        <f>+'Maj Techno Summ'!AL5</f>
        <v>69.5</v>
      </c>
      <c r="AM13" s="3938">
        <f>+'Maj Techno Summ'!AM5</f>
        <v>69.500000000000014</v>
      </c>
      <c r="AN13" s="3939">
        <f>+'Maj Techno Summ'!AN5</f>
        <v>69.56670356431259</v>
      </c>
      <c r="AO13" s="3937">
        <f>+'Maj Techno Summ'!AO5</f>
        <v>69.500000000000014</v>
      </c>
      <c r="AP13" s="3937">
        <f>+'Maj Techno Summ'!AP5</f>
        <v>69.745155932600781</v>
      </c>
      <c r="AQ13" s="3936">
        <f>+'Maj Techno Summ'!AQ5</f>
        <v>69.500000000000014</v>
      </c>
      <c r="AR13" s="3936">
        <f>+'Maj Techno Summ'!AR5</f>
        <v>69.5</v>
      </c>
      <c r="AS13" s="3937">
        <f>+'Maj Techno Summ'!AS5</f>
        <v>69.500000000000014</v>
      </c>
      <c r="AT13" s="3937">
        <f>+'Maj Techno Summ'!AT5</f>
        <v>69.720430901868795</v>
      </c>
      <c r="AU13" s="3936">
        <f>+'Maj Techno Summ'!AU5</f>
        <v>69.500000000000014</v>
      </c>
      <c r="AV13" s="3936">
        <f>+'Maj Techno Summ'!AV5</f>
        <v>69.5</v>
      </c>
      <c r="AW13" s="3937">
        <f>+'Maj Techno Summ'!AW5</f>
        <v>69.500000000000014</v>
      </c>
      <c r="AX13" s="3937">
        <f>+'Maj Techno Summ'!AX5</f>
        <v>69.701998989305437</v>
      </c>
      <c r="AY13" s="3936">
        <f>+'Maj Techno Summ'!AY5</f>
        <v>69.500000000000014</v>
      </c>
      <c r="AZ13" s="3936">
        <f>+'Maj Techno Summ'!AZ5</f>
        <v>69.499999999999986</v>
      </c>
      <c r="BA13" s="3938">
        <f>+'Maj Techno Summ'!BA5</f>
        <v>69.500000000000014</v>
      </c>
      <c r="BB13" s="3939">
        <f>+'Maj Techno Summ'!BB5</f>
        <v>69.5</v>
      </c>
      <c r="BC13" s="3940">
        <f>+'Maj Techno Summ'!BC5</f>
        <v>69.500000000000014</v>
      </c>
      <c r="BD13" s="3941">
        <f>+'Maj Techno Summ'!BD5</f>
        <v>69.53371754700089</v>
      </c>
      <c r="BE13" s="3937">
        <f>+'Maj Techno Summ'!BE5</f>
        <v>69.500000000000014</v>
      </c>
      <c r="BF13" s="3937">
        <f>+'Maj Techno Summ'!BF5</f>
        <v>69.684780639811592</v>
      </c>
      <c r="BG13" s="3604"/>
      <c r="BH13" s="3604"/>
      <c r="BI13" s="3604"/>
      <c r="BJ13" s="3604"/>
      <c r="BK13" s="3604"/>
      <c r="BL13" s="3604"/>
    </row>
    <row r="14" spans="2:64" x14ac:dyDescent="0.3">
      <c r="B14" s="1381" t="s">
        <v>803</v>
      </c>
      <c r="C14" s="3782" t="s">
        <v>66</v>
      </c>
      <c r="D14" s="7862"/>
      <c r="E14" s="2467">
        <f t="shared" ref="E14:F14" si="40">+E12*100/E13</f>
        <v>133346.12310151875</v>
      </c>
      <c r="F14" s="2467">
        <f t="shared" si="40"/>
        <v>156552.6154964029</v>
      </c>
      <c r="G14" s="2467">
        <f t="shared" ref="G14:H14" si="41">+G12*100/G13</f>
        <v>160031.97442046358</v>
      </c>
      <c r="H14" s="2467">
        <f t="shared" si="41"/>
        <v>153328.7732857143</v>
      </c>
      <c r="I14" s="3779">
        <f t="shared" ref="I14:I19" si="42">E14+G14</f>
        <v>293378.09752198233</v>
      </c>
      <c r="J14" s="3779">
        <f t="shared" ref="J14:J19" si="43">F14+H14</f>
        <v>309881.38878211717</v>
      </c>
      <c r="K14" s="2467">
        <f t="shared" ref="K14:L14" si="44">+K12*100/K13</f>
        <v>155107.91366906473</v>
      </c>
      <c r="L14" s="2467">
        <f t="shared" si="44"/>
        <v>158982.802</v>
      </c>
      <c r="M14" s="3927">
        <f t="shared" ref="M14" si="45">+M12*100/M13</f>
        <v>448486.01119104703</v>
      </c>
      <c r="N14" s="3928">
        <f>F14+H14+L14</f>
        <v>468864.19078211719</v>
      </c>
      <c r="O14" s="2467">
        <f t="shared" ref="O14:P14" si="46">+O12*100/O13</f>
        <v>156954.43645083928</v>
      </c>
      <c r="P14" s="2467">
        <f t="shared" si="46"/>
        <v>173151.20800000007</v>
      </c>
      <c r="Q14" s="3779">
        <f t="shared" ref="Q14:Q19" si="47">M14+O14</f>
        <v>605440.44764188631</v>
      </c>
      <c r="R14" s="3779">
        <f t="shared" ref="R14:R19" si="48">N14+P14</f>
        <v>642015.39878211729</v>
      </c>
      <c r="S14" s="2467">
        <f t="shared" ref="S14:T14" si="49">+S12*100/S13</f>
        <v>156954.43645083928</v>
      </c>
      <c r="T14" s="2467">
        <f t="shared" si="49"/>
        <v>163895.33235714285</v>
      </c>
      <c r="U14" s="3779">
        <f t="shared" ref="U14:U19" si="50">Q14+S14</f>
        <v>762394.88409272558</v>
      </c>
      <c r="V14" s="3779">
        <f t="shared" ref="V14:V19" si="51">R14+T14</f>
        <v>805910.73113926011</v>
      </c>
      <c r="W14" s="2467">
        <f t="shared" ref="W14:X14" si="52">+W12*100/W13</f>
        <v>103501.19904076736</v>
      </c>
      <c r="X14" s="2467">
        <f t="shared" si="52"/>
        <v>168044.3527736004</v>
      </c>
      <c r="Y14" s="3928">
        <f>W14+S14+O14</f>
        <v>417410.07194244594</v>
      </c>
      <c r="Z14" s="3928">
        <f>X14+T14+P14</f>
        <v>505090.89313074329</v>
      </c>
      <c r="AA14" s="3929">
        <f>Y14+M14</f>
        <v>865896.08313349297</v>
      </c>
      <c r="AB14" s="3929">
        <f>Z14+N14</f>
        <v>973955.08391286049</v>
      </c>
      <c r="AC14" s="2467">
        <f t="shared" ref="AC14:AD14" si="53">+AC12*100/AC13</f>
        <v>159200.63948840924</v>
      </c>
      <c r="AD14" s="2467">
        <f t="shared" si="53"/>
        <v>153806.03913916787</v>
      </c>
      <c r="AE14" s="3779">
        <f t="shared" ref="AE14:AE19" si="54">AA14+AC14</f>
        <v>1025096.7226219022</v>
      </c>
      <c r="AF14" s="3779">
        <f t="shared" ref="AF14:AF19" si="55">AB14+AD14</f>
        <v>1127761.1230520285</v>
      </c>
      <c r="AG14" s="2467">
        <f t="shared" ref="AG14:AH14" si="56">+AG12*100/AG13</f>
        <v>154302.15827338127</v>
      </c>
      <c r="AH14" s="2467">
        <f t="shared" si="56"/>
        <v>159537.62589928057</v>
      </c>
      <c r="AI14" s="3779">
        <f t="shared" ref="AI14:AI19" si="57">AE14+AG14</f>
        <v>1179398.8808952835</v>
      </c>
      <c r="AJ14" s="3779">
        <f t="shared" ref="AJ14:AJ19" si="58">AF14+AH14</f>
        <v>1287298.7489513091</v>
      </c>
      <c r="AK14" s="2467">
        <f t="shared" ref="AK14:AL14" si="59">+AK12*100/AK13</f>
        <v>159200.63948840924</v>
      </c>
      <c r="AL14" s="2467">
        <f t="shared" si="59"/>
        <v>166950.16820143888</v>
      </c>
      <c r="AM14" s="1051">
        <f t="shared" ref="AM14:AM19" si="60">AC14+AG14+AK14</f>
        <v>472703.43725019973</v>
      </c>
      <c r="AN14" s="1051">
        <f t="shared" ref="AN14:AN19" si="61">AD14+AH14+AL14</f>
        <v>480293.83323988726</v>
      </c>
      <c r="AO14" s="3779">
        <f t="shared" ref="AO14:AO19" si="62">AI14+AK14</f>
        <v>1338599.5203836928</v>
      </c>
      <c r="AP14" s="3779">
        <f t="shared" ref="AP14:AP19" si="63">AJ14+AL14</f>
        <v>1454248.917152748</v>
      </c>
      <c r="AQ14" s="2467">
        <f t="shared" ref="AQ14:AR14" si="64">+AQ12*100/AQ13</f>
        <v>161649.88009592323</v>
      </c>
      <c r="AR14" s="2467">
        <f t="shared" si="64"/>
        <v>160757.55055251799</v>
      </c>
      <c r="AS14" s="3779">
        <f t="shared" ref="AS14:AS19" si="65">AO14+AQ14</f>
        <v>1500249.4004796161</v>
      </c>
      <c r="AT14" s="3779">
        <f t="shared" ref="AT14:AT19" si="66">AP14+AR14</f>
        <v>1615006.4677052661</v>
      </c>
      <c r="AU14" s="2467">
        <f t="shared" ref="AU14:AV14" si="67">+AU12*100/AU13</f>
        <v>144505.19584332529</v>
      </c>
      <c r="AV14" s="2467">
        <f t="shared" si="67"/>
        <v>147758.55440287769</v>
      </c>
      <c r="AW14" s="3779">
        <f t="shared" ref="AW14:AW19" si="68">AS14+AU14</f>
        <v>1644754.5963229414</v>
      </c>
      <c r="AX14" s="3779">
        <f t="shared" ref="AX14:AX19" si="69">AT14+AV14</f>
        <v>1762765.0221081437</v>
      </c>
      <c r="AY14" s="2467">
        <f t="shared" ref="AY14:AZ14" si="70">+AY12*100/AY13</f>
        <v>161649.88009592323</v>
      </c>
      <c r="AZ14" s="2467">
        <f t="shared" si="70"/>
        <v>161743.13899280579</v>
      </c>
      <c r="BA14" s="3927">
        <f t="shared" ref="BA14:BA19" si="71">AQ14+AU14+AY14</f>
        <v>467804.95603517175</v>
      </c>
      <c r="BB14" s="3927">
        <f t="shared" ref="BB14:BB19" si="72">AR14+AV14+AZ14</f>
        <v>470259.24394820147</v>
      </c>
      <c r="BC14" s="3929">
        <f t="shared" ref="BC14:BC19" si="73">AM14+BA14</f>
        <v>940508.39328537148</v>
      </c>
      <c r="BD14" s="3930">
        <f t="shared" ref="BD14:BD19" si="74">AN14+BB14</f>
        <v>950553.07718808879</v>
      </c>
      <c r="BE14" s="3780">
        <f t="shared" ref="BE14:BE19" si="75">AW14+AY14</f>
        <v>1806404.4764188647</v>
      </c>
      <c r="BF14" s="3780">
        <f t="shared" ref="BF14:BF19" si="76">AX14+AZ14</f>
        <v>1924508.1611009494</v>
      </c>
      <c r="BG14" s="3604"/>
      <c r="BH14" s="3604"/>
      <c r="BI14" s="3604"/>
      <c r="BJ14" s="3604"/>
      <c r="BK14" s="3604"/>
      <c r="BL14" s="3604"/>
    </row>
    <row r="15" spans="2:64" x14ac:dyDescent="0.3">
      <c r="B15" s="1381" t="s">
        <v>804</v>
      </c>
      <c r="C15" s="3782" t="s">
        <v>66</v>
      </c>
      <c r="D15" s="7862"/>
      <c r="E15" s="3781">
        <f>+E14*100/(100-'COKE OVENS'!E193)</f>
        <v>148047.21117077689</v>
      </c>
      <c r="F15" s="2467">
        <f>+F14*100/(100-'COKE OVENS'!F193)</f>
        <v>171262.18482809945</v>
      </c>
      <c r="G15" s="2467">
        <f>+G14*100/(100-'COKE OVENS'!G193)</f>
        <v>177675.11315694859</v>
      </c>
      <c r="H15" s="2467" t="e">
        <f>+H14*100/(100-'COKE OVENS'!H193)</f>
        <v>#REF!</v>
      </c>
      <c r="I15" s="3779">
        <f t="shared" si="42"/>
        <v>325722.32432772545</v>
      </c>
      <c r="J15" s="3779" t="e">
        <f t="shared" si="43"/>
        <v>#REF!</v>
      </c>
      <c r="K15" s="2467">
        <f>+K14*100/(100-'COKE OVENS'!K193)</f>
        <v>172208.18659827329</v>
      </c>
      <c r="L15" s="2467" t="e">
        <f>+L14*100/(100-'COKE OVENS'!L193)</f>
        <v>#REF!</v>
      </c>
      <c r="M15" s="3927">
        <f>+M14*100/(100-'COKE OVENS'!M193)</f>
        <v>497930.51092599879</v>
      </c>
      <c r="N15" s="3928" t="e">
        <f t="shared" ref="N15:N19" si="77">F15+H15+L15</f>
        <v>#REF!</v>
      </c>
      <c r="O15" s="2467">
        <f>+O14*100/(100-'COKE OVENS'!O193)</f>
        <v>174258.28405777647</v>
      </c>
      <c r="P15" s="2467" t="e">
        <f>+P14*100/(100-'COKE OVENS'!P193)</f>
        <v>#REF!</v>
      </c>
      <c r="Q15" s="3779">
        <f t="shared" si="47"/>
        <v>672188.79498377524</v>
      </c>
      <c r="R15" s="3779" t="e">
        <f t="shared" si="48"/>
        <v>#REF!</v>
      </c>
      <c r="S15" s="2467">
        <f>+S14*100/(100-'COKE OVENS'!S193)</f>
        <v>174258.28405777647</v>
      </c>
      <c r="T15" s="2467" t="e">
        <f>+T14*100/(100-'COKE OVENS'!T193)</f>
        <v>#REF!</v>
      </c>
      <c r="U15" s="3779">
        <f t="shared" si="50"/>
        <v>846447.07904155168</v>
      </c>
      <c r="V15" s="3779" t="e">
        <f t="shared" si="51"/>
        <v>#REF!</v>
      </c>
      <c r="W15" s="2467">
        <f>+W14*100/(100-'COKE OVENS'!W193)</f>
        <v>114911.95630150702</v>
      </c>
      <c r="X15" s="2467" t="e">
        <f>+X14*100/(100-'COKE OVENS'!X193)</f>
        <v>#REF!</v>
      </c>
      <c r="Y15" s="3928">
        <f t="shared" ref="Y15:Y19" si="78">W15+S15+O15</f>
        <v>463428.52441705996</v>
      </c>
      <c r="Z15" s="3928" t="e">
        <f t="shared" ref="Z15:Z19" si="79">X15+T15+P15</f>
        <v>#REF!</v>
      </c>
      <c r="AA15" s="3929">
        <f t="shared" ref="AA15:AA19" si="80">Y15+M15</f>
        <v>961359.03534305876</v>
      </c>
      <c r="AB15" s="3929" t="e">
        <f t="shared" ref="AB15:AB19" si="81">Z15+N15</f>
        <v>#REF!</v>
      </c>
      <c r="AC15" s="2467">
        <f>+AC14*100/(100-'COKE OVENS'!AC193)</f>
        <v>176752.12555613328</v>
      </c>
      <c r="AD15" s="2467" t="e">
        <f>+AD14*100/(100-'COKE OVENS'!AD193)</f>
        <v>#REF!</v>
      </c>
      <c r="AE15" s="3779">
        <f t="shared" si="54"/>
        <v>1138111.1608991921</v>
      </c>
      <c r="AF15" s="3779" t="e">
        <f t="shared" si="55"/>
        <v>#REF!</v>
      </c>
      <c r="AG15" s="2467">
        <f>+AG14*100/(100-'COKE OVENS'!AG193)</f>
        <v>171313.59861594459</v>
      </c>
      <c r="AH15" s="2467" t="e">
        <f>+AH14*100/(100-'COKE OVENS'!AH193)</f>
        <v>#REF!</v>
      </c>
      <c r="AI15" s="3779">
        <f t="shared" si="57"/>
        <v>1309424.7595151367</v>
      </c>
      <c r="AJ15" s="3779" t="e">
        <f t="shared" si="58"/>
        <v>#REF!</v>
      </c>
      <c r="AK15" s="2467">
        <f>+AK14*100/(100-'COKE OVENS'!AK193)</f>
        <v>176752.12555613328</v>
      </c>
      <c r="AL15" s="2467" t="e">
        <f>+AL14*100/(100-'COKE OVENS'!AL193)</f>
        <v>#REF!</v>
      </c>
      <c r="AM15" s="1051">
        <f t="shared" si="60"/>
        <v>524817.84972821106</v>
      </c>
      <c r="AN15" s="1051" t="e">
        <f t="shared" si="61"/>
        <v>#REF!</v>
      </c>
      <c r="AO15" s="3779">
        <f t="shared" si="62"/>
        <v>1486176.8850712699</v>
      </c>
      <c r="AP15" s="3779" t="e">
        <f t="shared" si="63"/>
        <v>#REF!</v>
      </c>
      <c r="AQ15" s="2467">
        <f>+AQ14*100/(100-'COKE OVENS'!AQ193)</f>
        <v>179471.38902622764</v>
      </c>
      <c r="AR15" s="2467" t="e">
        <f>+AR14*100/(100-'COKE OVENS'!AR193)</f>
        <v>#REF!</v>
      </c>
      <c r="AS15" s="3779">
        <f t="shared" si="65"/>
        <v>1665648.2740974976</v>
      </c>
      <c r="AT15" s="3779" t="e">
        <f t="shared" si="66"/>
        <v>#REF!</v>
      </c>
      <c r="AU15" s="2467">
        <f>+AU14*100/(100-'COKE OVENS'!AU193)</f>
        <v>160436.54473556712</v>
      </c>
      <c r="AV15" s="2467" t="e">
        <f>+AV14*100/(100-'COKE OVENS'!AV193)</f>
        <v>#REF!</v>
      </c>
      <c r="AW15" s="3779">
        <f t="shared" si="68"/>
        <v>1826084.8188330648</v>
      </c>
      <c r="AX15" s="3779" t="e">
        <f t="shared" si="69"/>
        <v>#REF!</v>
      </c>
      <c r="AY15" s="2467">
        <f>+AY14*100/(100-'COKE OVENS'!AY193)</f>
        <v>179471.38902622764</v>
      </c>
      <c r="AZ15" s="2467" t="e">
        <f>+AZ14*100/(100-'COKE OVENS'!AZ193)</f>
        <v>#REF!</v>
      </c>
      <c r="BA15" s="3927">
        <f t="shared" si="71"/>
        <v>519379.3227880224</v>
      </c>
      <c r="BB15" s="3927" t="e">
        <f t="shared" si="72"/>
        <v>#REF!</v>
      </c>
      <c r="BC15" s="3929">
        <f t="shared" si="73"/>
        <v>1044197.1725162335</v>
      </c>
      <c r="BD15" s="3930" t="e">
        <f t="shared" si="74"/>
        <v>#REF!</v>
      </c>
      <c r="BE15" s="3780">
        <f t="shared" si="75"/>
        <v>2005556.2078592924</v>
      </c>
      <c r="BF15" s="3780" t="e">
        <f t="shared" si="76"/>
        <v>#REF!</v>
      </c>
      <c r="BG15" s="3604"/>
      <c r="BH15" s="3604"/>
      <c r="BI15" s="3604"/>
      <c r="BJ15" s="3604"/>
      <c r="BK15" s="3604"/>
      <c r="BL15" s="3604"/>
    </row>
    <row r="16" spans="2:64" x14ac:dyDescent="0.3">
      <c r="B16" s="1381" t="s">
        <v>1342</v>
      </c>
      <c r="C16" s="3782" t="s">
        <v>66</v>
      </c>
      <c r="D16" s="7862"/>
      <c r="E16" s="2467">
        <f>+E15*100/(100-'COKE OVENS'!E195)</f>
        <v>151843.29350848912</v>
      </c>
      <c r="F16" s="2467">
        <f>+F15*100/(100-'COKE OVENS'!F195)</f>
        <v>175653.52290061483</v>
      </c>
      <c r="G16" s="2467">
        <f>+G15*100/(100-'COKE OVENS'!G195)</f>
        <v>182230.88528917803</v>
      </c>
      <c r="H16" s="2467" t="e">
        <f>+H15*100/(100-'COKE OVENS'!H195)</f>
        <v>#REF!</v>
      </c>
      <c r="I16" s="3779">
        <f t="shared" si="42"/>
        <v>334074.17879766715</v>
      </c>
      <c r="J16" s="3779" t="e">
        <f t="shared" si="43"/>
        <v>#REF!</v>
      </c>
      <c r="K16" s="2467">
        <f>+K15*100/(100-'COKE OVENS'!K195)</f>
        <v>176623.78112643416</v>
      </c>
      <c r="L16" s="2467" t="e">
        <f>+L15*100/(100-'COKE OVENS'!L195)</f>
        <v>#REF!</v>
      </c>
      <c r="M16" s="3927">
        <f>+M15*100/(100-'COKE OVENS'!M195)</f>
        <v>510697.95992410131</v>
      </c>
      <c r="N16" s="3928" t="e">
        <f t="shared" si="77"/>
        <v>#REF!</v>
      </c>
      <c r="O16" s="2467">
        <f>+O15*100/(100-'COKE OVENS'!O195)</f>
        <v>178726.44518746305</v>
      </c>
      <c r="P16" s="2467" t="e">
        <f>+P15*100/(100-'COKE OVENS'!P195)</f>
        <v>#REF!</v>
      </c>
      <c r="Q16" s="3779">
        <f t="shared" si="47"/>
        <v>689424.40511156432</v>
      </c>
      <c r="R16" s="3779" t="e">
        <f t="shared" si="48"/>
        <v>#REF!</v>
      </c>
      <c r="S16" s="2467">
        <f>+S15*100/(100-'COKE OVENS'!S195)</f>
        <v>178726.44518746305</v>
      </c>
      <c r="T16" s="2467" t="e">
        <f>+T15*100/(100-'COKE OVENS'!T195)</f>
        <v>#REF!</v>
      </c>
      <c r="U16" s="3779">
        <f t="shared" si="50"/>
        <v>868150.8502990274</v>
      </c>
      <c r="V16" s="3779" t="e">
        <f t="shared" si="51"/>
        <v>#REF!</v>
      </c>
      <c r="W16" s="2467">
        <f>+W15*100/(100-'COKE OVENS'!W195)</f>
        <v>117858.41671949437</v>
      </c>
      <c r="X16" s="2467" t="e">
        <f>+X15*100/(100-'COKE OVENS'!X195)</f>
        <v>#REF!</v>
      </c>
      <c r="Y16" s="3928">
        <f t="shared" si="78"/>
        <v>475311.30709442042</v>
      </c>
      <c r="Z16" s="3928" t="e">
        <f t="shared" si="79"/>
        <v>#REF!</v>
      </c>
      <c r="AA16" s="3929">
        <f t="shared" si="80"/>
        <v>986009.26701852167</v>
      </c>
      <c r="AB16" s="3929" t="e">
        <f t="shared" si="81"/>
        <v>#REF!</v>
      </c>
      <c r="AC16" s="2467">
        <f>+AC15*100/(100-'COKE OVENS'!AC195)</f>
        <v>181284.23133962386</v>
      </c>
      <c r="AD16" s="2467" t="e">
        <f>+AD15*100/(100-'COKE OVENS'!AD195)</f>
        <v>#REF!</v>
      </c>
      <c r="AE16" s="3779">
        <f t="shared" si="54"/>
        <v>1167293.4983581456</v>
      </c>
      <c r="AF16" s="3779" t="e">
        <f t="shared" si="55"/>
        <v>#REF!</v>
      </c>
      <c r="AG16" s="2467">
        <f>+AG15*100/(100-'COKE OVENS'!AG195)</f>
        <v>175706.25499071239</v>
      </c>
      <c r="AH16" s="2467" t="e">
        <f>+AH15*100/(100-'COKE OVENS'!AH195)</f>
        <v>#REF!</v>
      </c>
      <c r="AI16" s="3779">
        <f t="shared" si="57"/>
        <v>1342999.7533488581</v>
      </c>
      <c r="AJ16" s="3779" t="e">
        <f t="shared" si="58"/>
        <v>#REF!</v>
      </c>
      <c r="AK16" s="2467">
        <f>+AK15*100/(100-'COKE OVENS'!AK195)</f>
        <v>181284.23133962386</v>
      </c>
      <c r="AL16" s="2467" t="e">
        <f>+AL15*100/(100-'COKE OVENS'!AL195)</f>
        <v>#REF!</v>
      </c>
      <c r="AM16" s="1051">
        <f t="shared" si="60"/>
        <v>538274.71766996011</v>
      </c>
      <c r="AN16" s="1051" t="e">
        <f t="shared" si="61"/>
        <v>#REF!</v>
      </c>
      <c r="AO16" s="3779">
        <f t="shared" si="62"/>
        <v>1524283.984688482</v>
      </c>
      <c r="AP16" s="3779" t="e">
        <f t="shared" si="63"/>
        <v>#REF!</v>
      </c>
      <c r="AQ16" s="2467">
        <f>+AQ15*100/(100-'COKE OVENS'!AQ195)</f>
        <v>184073.21951407962</v>
      </c>
      <c r="AR16" s="2467" t="e">
        <f>+AR15*100/(100-'COKE OVENS'!AR195)</f>
        <v>#REF!</v>
      </c>
      <c r="AS16" s="3779">
        <f t="shared" si="65"/>
        <v>1708357.2042025616</v>
      </c>
      <c r="AT16" s="3779" t="e">
        <f t="shared" si="66"/>
        <v>#REF!</v>
      </c>
      <c r="AU16" s="2467">
        <f>+AU15*100/(100-'COKE OVENS'!AU195)</f>
        <v>164550.30229288936</v>
      </c>
      <c r="AV16" s="2467" t="e">
        <f>+AV15*100/(100-'COKE OVENS'!AV195)</f>
        <v>#REF!</v>
      </c>
      <c r="AW16" s="3779">
        <f t="shared" si="68"/>
        <v>1872907.5064954511</v>
      </c>
      <c r="AX16" s="3779" t="e">
        <f t="shared" si="69"/>
        <v>#REF!</v>
      </c>
      <c r="AY16" s="2467">
        <f>+AY15*100/(100-'COKE OVENS'!AY195)</f>
        <v>184073.21951407962</v>
      </c>
      <c r="AZ16" s="2467" t="e">
        <f>+AZ15*100/(100-'COKE OVENS'!AZ195)</f>
        <v>#REF!</v>
      </c>
      <c r="BA16" s="3927">
        <f t="shared" si="71"/>
        <v>532696.74132104858</v>
      </c>
      <c r="BB16" s="3927" t="e">
        <f t="shared" si="72"/>
        <v>#REF!</v>
      </c>
      <c r="BC16" s="3929">
        <f t="shared" si="73"/>
        <v>1070971.4589910088</v>
      </c>
      <c r="BD16" s="3930" t="e">
        <f t="shared" si="74"/>
        <v>#REF!</v>
      </c>
      <c r="BE16" s="3780">
        <f t="shared" si="75"/>
        <v>2056980.7260095307</v>
      </c>
      <c r="BF16" s="3780" t="e">
        <f t="shared" si="76"/>
        <v>#REF!</v>
      </c>
      <c r="BG16" s="3604"/>
      <c r="BH16" s="3604"/>
      <c r="BI16" s="3604"/>
      <c r="BJ16" s="3604"/>
      <c r="BK16" s="3604"/>
      <c r="BL16" s="3604"/>
    </row>
    <row r="17" spans="2:64" x14ac:dyDescent="0.3">
      <c r="B17" s="1381" t="s">
        <v>920</v>
      </c>
      <c r="C17" s="3782" t="s">
        <v>66</v>
      </c>
      <c r="D17" s="7862"/>
      <c r="E17" s="3781">
        <f>+'B-FCE'!E25/((100-$C$24)/100)</f>
        <v>28635.505717775064</v>
      </c>
      <c r="F17" s="2467">
        <f>+'B-FCE'!F101</f>
        <v>32598.357857142852</v>
      </c>
      <c r="G17" s="3781">
        <f>+'B-FCE'!G25/((100-$C$24)/100)</f>
        <v>43299.655823248584</v>
      </c>
      <c r="H17" s="2467">
        <f>+'B-FCE'!H101</f>
        <v>43820.499780219783</v>
      </c>
      <c r="I17" s="3779">
        <f t="shared" si="42"/>
        <v>71935.161541023641</v>
      </c>
      <c r="J17" s="3779">
        <f t="shared" si="43"/>
        <v>76418.857637362642</v>
      </c>
      <c r="K17" s="3781">
        <f>+'B-FCE'!K25/((100-$C$24)/100)</f>
        <v>41967.358720994787</v>
      </c>
      <c r="L17" s="2467">
        <f>+'B-FCE'!L101</f>
        <v>44610.065274725261</v>
      </c>
      <c r="M17" s="3927">
        <f>+'B-FCE'!M25/((100-$C$24)/100)</f>
        <v>113902.52026201844</v>
      </c>
      <c r="N17" s="3928">
        <f t="shared" si="77"/>
        <v>121028.9229120879</v>
      </c>
      <c r="O17" s="3781">
        <f>+'B-FCE'!O25/((100-$C$24)/100)</f>
        <v>42466.970134339957</v>
      </c>
      <c r="P17" s="2467">
        <f>+'B-FCE'!P101</f>
        <v>42070.860109890105</v>
      </c>
      <c r="Q17" s="3779">
        <f t="shared" si="47"/>
        <v>156369.49039635839</v>
      </c>
      <c r="R17" s="3779">
        <f t="shared" si="48"/>
        <v>163099.78302197802</v>
      </c>
      <c r="S17" s="3781">
        <f>+'B-FCE'!S25/((100-$C$24)/100)</f>
        <v>42466.970134339957</v>
      </c>
      <c r="T17" s="2467">
        <f>+'B-FCE'!T101</f>
        <v>39478.498549450553</v>
      </c>
      <c r="U17" s="3779">
        <f t="shared" si="50"/>
        <v>198836.46053069836</v>
      </c>
      <c r="V17" s="3779">
        <f t="shared" si="51"/>
        <v>202578.28157142858</v>
      </c>
      <c r="W17" s="3781">
        <f>+'B-FCE'!W25/((100-$C$24)/100)</f>
        <v>18807.594093482847</v>
      </c>
      <c r="X17" s="2467">
        <f>+'B-FCE'!X101</f>
        <v>34369.631934065947</v>
      </c>
      <c r="Y17" s="3928">
        <f t="shared" si="78"/>
        <v>103741.53436216275</v>
      </c>
      <c r="Z17" s="3928">
        <f t="shared" si="79"/>
        <v>115918.9905934066</v>
      </c>
      <c r="AA17" s="3929">
        <f t="shared" si="80"/>
        <v>217644.05462418118</v>
      </c>
      <c r="AB17" s="3929">
        <f t="shared" si="81"/>
        <v>236947.91350549451</v>
      </c>
      <c r="AC17" s="3781">
        <f>+'B-FCE'!AC25/((100-$C$24)/100)</f>
        <v>43876.984567558568</v>
      </c>
      <c r="AD17" s="2467">
        <f>+'B-FCE'!AD101</f>
        <v>27983.437582417573</v>
      </c>
      <c r="AE17" s="3779">
        <f t="shared" si="54"/>
        <v>261521.03919173975</v>
      </c>
      <c r="AF17" s="3779">
        <f t="shared" si="55"/>
        <v>264931.3510879121</v>
      </c>
      <c r="AG17" s="3781">
        <f>+'B-FCE'!AG25/((100-$C$24)/100)</f>
        <v>42526.923503941383</v>
      </c>
      <c r="AH17" s="2467">
        <f>+'B-FCE'!AH101</f>
        <v>36662.43483516483</v>
      </c>
      <c r="AI17" s="3779">
        <f t="shared" si="57"/>
        <v>304047.96269568114</v>
      </c>
      <c r="AJ17" s="3779">
        <f t="shared" si="58"/>
        <v>301593.78592307691</v>
      </c>
      <c r="AK17" s="3781">
        <f>+'B-FCE'!AK25/((100-$C$24)/100)</f>
        <v>43876.984567558568</v>
      </c>
      <c r="AL17" s="2467">
        <f>+'B-FCE'!AL101</f>
        <v>36176.249340659349</v>
      </c>
      <c r="AM17" s="1051">
        <f t="shared" si="60"/>
        <v>130280.89263905853</v>
      </c>
      <c r="AN17" s="1051">
        <f t="shared" si="61"/>
        <v>100822.12175824176</v>
      </c>
      <c r="AO17" s="3779">
        <f t="shared" si="62"/>
        <v>347924.94726323971</v>
      </c>
      <c r="AP17" s="3779">
        <f t="shared" si="63"/>
        <v>337770.03526373627</v>
      </c>
      <c r="AQ17" s="3781">
        <f>+'B-FCE'!AQ25/((100-$C$24)/100)</f>
        <v>44552.015099367163</v>
      </c>
      <c r="AR17" s="2467">
        <f>+'B-FCE'!AR101</f>
        <v>34931.323340659335</v>
      </c>
      <c r="AS17" s="3779">
        <f t="shared" si="65"/>
        <v>392476.96236260689</v>
      </c>
      <c r="AT17" s="3779">
        <f t="shared" si="66"/>
        <v>372701.35860439559</v>
      </c>
      <c r="AU17" s="3781">
        <f>+'B-FCE'!AU25/((100-$C$24)/100)</f>
        <v>39826.801376707008</v>
      </c>
      <c r="AV17" s="2467">
        <f>+'B-FCE'!AV101</f>
        <v>19267.00813186813</v>
      </c>
      <c r="AW17" s="3779">
        <f t="shared" si="68"/>
        <v>432303.76373931393</v>
      </c>
      <c r="AX17" s="3779">
        <f t="shared" si="69"/>
        <v>391968.36673626374</v>
      </c>
      <c r="AY17" s="3781">
        <f>+'B-FCE'!AY25/((100-$C$24)/100)</f>
        <v>44552.015099367163</v>
      </c>
      <c r="AZ17" s="2467">
        <f>+'B-FCE'!AZ101</f>
        <v>37482.176813186823</v>
      </c>
      <c r="BA17" s="3927">
        <f t="shared" si="71"/>
        <v>128930.83157544132</v>
      </c>
      <c r="BB17" s="3927">
        <f t="shared" si="72"/>
        <v>91680.508285714284</v>
      </c>
      <c r="BC17" s="3929">
        <f t="shared" si="73"/>
        <v>259211.72421449985</v>
      </c>
      <c r="BD17" s="3930">
        <f t="shared" si="74"/>
        <v>192502.63004395604</v>
      </c>
      <c r="BE17" s="3780">
        <f t="shared" si="75"/>
        <v>476855.77883868112</v>
      </c>
      <c r="BF17" s="3780">
        <f t="shared" si="76"/>
        <v>429450.54354945058</v>
      </c>
      <c r="BG17" s="3604"/>
      <c r="BH17" s="3604"/>
      <c r="BI17" s="3604"/>
      <c r="BJ17" s="3604"/>
      <c r="BK17" s="3604"/>
      <c r="BL17" s="3604"/>
    </row>
    <row r="18" spans="2:64" x14ac:dyDescent="0.3">
      <c r="B18" s="1381" t="s">
        <v>1341</v>
      </c>
      <c r="C18" s="3782" t="s">
        <v>66</v>
      </c>
      <c r="D18" s="7862"/>
      <c r="E18" s="2467">
        <f t="shared" ref="E18:F18" si="82">+E17/((100-$C$25)/100)</f>
        <v>29369.749454128272</v>
      </c>
      <c r="F18" s="2467">
        <f t="shared" si="82"/>
        <v>33434.213186813184</v>
      </c>
      <c r="G18" s="2467">
        <f t="shared" ref="G18:H18" si="83">+G17/((100-$C$25)/100)</f>
        <v>44409.903408460086</v>
      </c>
      <c r="H18" s="2467">
        <f t="shared" si="83"/>
        <v>44944.102338686957</v>
      </c>
      <c r="I18" s="3779">
        <f t="shared" si="42"/>
        <v>73779.652862588351</v>
      </c>
      <c r="J18" s="3779">
        <f t="shared" si="43"/>
        <v>78378.315525500133</v>
      </c>
      <c r="K18" s="2467">
        <f t="shared" ref="K18:L18" si="84">+K17/((100-$C$25)/100)</f>
        <v>43043.444842045938</v>
      </c>
      <c r="L18" s="2467">
        <f t="shared" si="84"/>
        <v>45753.91310228232</v>
      </c>
      <c r="M18" s="3927">
        <f t="shared" ref="M18" si="85">+M17/((100-$C$25)/100)</f>
        <v>116823.0977046343</v>
      </c>
      <c r="N18" s="3928">
        <f t="shared" si="77"/>
        <v>124132.22862778246</v>
      </c>
      <c r="O18" s="2467">
        <f t="shared" ref="O18:P18" si="86">+O17/((100-$C$25)/100)</f>
        <v>43555.866804451238</v>
      </c>
      <c r="P18" s="2467">
        <f t="shared" si="86"/>
        <v>43149.600112707798</v>
      </c>
      <c r="Q18" s="3779">
        <f t="shared" si="47"/>
        <v>160378.96450908555</v>
      </c>
      <c r="R18" s="3779">
        <f t="shared" si="48"/>
        <v>167281.82874049025</v>
      </c>
      <c r="S18" s="2467">
        <f t="shared" ref="S18:T18" si="87">+S17/((100-$C$25)/100)</f>
        <v>43555.866804451238</v>
      </c>
      <c r="T18" s="2467">
        <f t="shared" si="87"/>
        <v>40490.767743026212</v>
      </c>
      <c r="U18" s="3779">
        <f t="shared" si="50"/>
        <v>203934.83131353679</v>
      </c>
      <c r="V18" s="3779">
        <f t="shared" si="51"/>
        <v>207772.59648351645</v>
      </c>
      <c r="W18" s="2467">
        <f t="shared" ref="W18:X18" si="88">+W17/((100-$C$25)/100)</f>
        <v>19289.840095879845</v>
      </c>
      <c r="X18" s="2467">
        <f t="shared" si="88"/>
        <v>35250.904547759943</v>
      </c>
      <c r="Y18" s="3928">
        <f t="shared" si="78"/>
        <v>106401.57370478232</v>
      </c>
      <c r="Z18" s="3928">
        <f t="shared" si="79"/>
        <v>118891.27240349396</v>
      </c>
      <c r="AA18" s="3929">
        <f t="shared" si="80"/>
        <v>223224.67140941662</v>
      </c>
      <c r="AB18" s="3929">
        <f t="shared" si="81"/>
        <v>243023.50103127642</v>
      </c>
      <c r="AC18" s="2467">
        <f t="shared" ref="AC18:AD18" si="89">+AC17/((100-$C$25)/100)</f>
        <v>45002.035453906225</v>
      </c>
      <c r="AD18" s="2467">
        <f t="shared" si="89"/>
        <v>28700.961622992385</v>
      </c>
      <c r="AE18" s="3779">
        <f t="shared" si="54"/>
        <v>268226.70686332288</v>
      </c>
      <c r="AF18" s="3779">
        <f t="shared" si="55"/>
        <v>271724.46265426883</v>
      </c>
      <c r="AG18" s="2467">
        <f t="shared" ref="AG18:AH18" si="90">+AG17/((100-$C$25)/100)</f>
        <v>43617.357439939879</v>
      </c>
      <c r="AH18" s="2467">
        <f t="shared" si="90"/>
        <v>37602.497266835722</v>
      </c>
      <c r="AI18" s="3779">
        <f t="shared" si="57"/>
        <v>311844.06430326274</v>
      </c>
      <c r="AJ18" s="3779">
        <f t="shared" si="58"/>
        <v>309326.95992110454</v>
      </c>
      <c r="AK18" s="2467">
        <f t="shared" ref="AK18:AL18" si="91">+AK17/((100-$C$25)/100)</f>
        <v>45002.035453906225</v>
      </c>
      <c r="AL18" s="2467">
        <f t="shared" si="91"/>
        <v>37103.84547759933</v>
      </c>
      <c r="AM18" s="1051">
        <f t="shared" si="60"/>
        <v>133621.42834775231</v>
      </c>
      <c r="AN18" s="1051">
        <f t="shared" si="61"/>
        <v>103407.30436742744</v>
      </c>
      <c r="AO18" s="3779">
        <f t="shared" si="62"/>
        <v>356846.09975716897</v>
      </c>
      <c r="AP18" s="3779">
        <f t="shared" si="63"/>
        <v>346430.8053987039</v>
      </c>
      <c r="AQ18" s="2467">
        <f t="shared" ref="AQ18:AR18" si="92">+AQ17/((100-$C$25)/100)</f>
        <v>45694.374460889398</v>
      </c>
      <c r="AR18" s="2467">
        <f t="shared" si="92"/>
        <v>35826.998298112143</v>
      </c>
      <c r="AS18" s="3779">
        <f t="shared" si="65"/>
        <v>402540.47421805834</v>
      </c>
      <c r="AT18" s="3779">
        <f t="shared" si="66"/>
        <v>382257.80369681603</v>
      </c>
      <c r="AU18" s="2467">
        <f t="shared" ref="AU18:AV18" si="93">+AU17/((100-$C$25)/100)</f>
        <v>40848.001412007186</v>
      </c>
      <c r="AV18" s="2467">
        <f t="shared" si="93"/>
        <v>19761.033981403209</v>
      </c>
      <c r="AW18" s="3779">
        <f t="shared" si="68"/>
        <v>443388.47563006554</v>
      </c>
      <c r="AX18" s="3779">
        <f t="shared" si="69"/>
        <v>402018.83767821925</v>
      </c>
      <c r="AY18" s="2467">
        <f t="shared" ref="AY18:AZ18" si="94">+AY17/((100-$C$25)/100)</f>
        <v>45694.374460889398</v>
      </c>
      <c r="AZ18" s="2467">
        <f t="shared" si="94"/>
        <v>38443.258269935206</v>
      </c>
      <c r="BA18" s="3927">
        <f t="shared" si="71"/>
        <v>132236.75033378598</v>
      </c>
      <c r="BB18" s="3927">
        <f t="shared" si="72"/>
        <v>94031.290549450554</v>
      </c>
      <c r="BC18" s="3929">
        <f t="shared" si="73"/>
        <v>265858.17868153832</v>
      </c>
      <c r="BD18" s="3930">
        <f t="shared" si="74"/>
        <v>197438.59491687798</v>
      </c>
      <c r="BE18" s="3780">
        <f t="shared" si="75"/>
        <v>489082.85009095492</v>
      </c>
      <c r="BF18" s="3780">
        <f t="shared" si="76"/>
        <v>440462.09594815446</v>
      </c>
      <c r="BG18" s="3604"/>
      <c r="BH18" s="3604"/>
      <c r="BI18" s="3604"/>
      <c r="BJ18" s="3604"/>
      <c r="BK18" s="3604"/>
      <c r="BL18" s="3604"/>
    </row>
    <row r="19" spans="2:64" ht="19.5" thickBot="1" x14ac:dyDescent="0.35">
      <c r="B19" s="1381" t="s">
        <v>921</v>
      </c>
      <c r="C19" s="3782" t="s">
        <v>66</v>
      </c>
      <c r="D19" s="7862"/>
      <c r="E19" s="3942">
        <f t="shared" ref="E19:F19" si="95">+E16+E18</f>
        <v>181213.04296261739</v>
      </c>
      <c r="F19" s="3942">
        <f t="shared" si="95"/>
        <v>209087.736087428</v>
      </c>
      <c r="G19" s="3942">
        <f t="shared" ref="G19:H19" si="96">+G16+G18</f>
        <v>226640.78869763811</v>
      </c>
      <c r="H19" s="3942" t="e">
        <f t="shared" si="96"/>
        <v>#REF!</v>
      </c>
      <c r="I19" s="3779">
        <f t="shared" si="42"/>
        <v>407853.8316602555</v>
      </c>
      <c r="J19" s="3779" t="e">
        <f t="shared" si="43"/>
        <v>#REF!</v>
      </c>
      <c r="K19" s="3942">
        <f t="shared" ref="K19:L19" si="97">+K16+K18</f>
        <v>219667.22596848011</v>
      </c>
      <c r="L19" s="3942" t="e">
        <f t="shared" si="97"/>
        <v>#REF!</v>
      </c>
      <c r="M19" s="3943">
        <f t="shared" ref="M19" si="98">+M16+M18</f>
        <v>627521.05762873567</v>
      </c>
      <c r="N19" s="3928" t="e">
        <f t="shared" si="77"/>
        <v>#REF!</v>
      </c>
      <c r="O19" s="3942">
        <f t="shared" ref="O19:P19" si="99">+O16+O18</f>
        <v>222282.31199191429</v>
      </c>
      <c r="P19" s="3942" t="e">
        <f t="shared" si="99"/>
        <v>#REF!</v>
      </c>
      <c r="Q19" s="3779">
        <f t="shared" si="47"/>
        <v>849803.36962064996</v>
      </c>
      <c r="R19" s="3779" t="e">
        <f t="shared" si="48"/>
        <v>#REF!</v>
      </c>
      <c r="S19" s="3942">
        <f t="shared" ref="S19:T19" si="100">+S16+S18</f>
        <v>222282.31199191429</v>
      </c>
      <c r="T19" s="3942" t="e">
        <f t="shared" si="100"/>
        <v>#REF!</v>
      </c>
      <c r="U19" s="3779">
        <f t="shared" si="50"/>
        <v>1072085.6816125643</v>
      </c>
      <c r="V19" s="3779" t="e">
        <f t="shared" si="51"/>
        <v>#REF!</v>
      </c>
      <c r="W19" s="3942">
        <f t="shared" ref="W19:X19" si="101">+W16+W18</f>
        <v>137148.25681537422</v>
      </c>
      <c r="X19" s="3942" t="e">
        <f t="shared" si="101"/>
        <v>#REF!</v>
      </c>
      <c r="Y19" s="3928">
        <f t="shared" si="78"/>
        <v>581712.88079920283</v>
      </c>
      <c r="Z19" s="3928" t="e">
        <f t="shared" si="79"/>
        <v>#REF!</v>
      </c>
      <c r="AA19" s="3929">
        <f t="shared" si="80"/>
        <v>1209233.9384279386</v>
      </c>
      <c r="AB19" s="3929" t="e">
        <f t="shared" si="81"/>
        <v>#REF!</v>
      </c>
      <c r="AC19" s="3942">
        <f t="shared" ref="AC19:AD19" si="102">+AC16+AC18</f>
        <v>226286.26679353009</v>
      </c>
      <c r="AD19" s="3942" t="e">
        <f t="shared" si="102"/>
        <v>#REF!</v>
      </c>
      <c r="AE19" s="3779">
        <f t="shared" si="54"/>
        <v>1435520.2052214686</v>
      </c>
      <c r="AF19" s="3779" t="e">
        <f t="shared" si="55"/>
        <v>#REF!</v>
      </c>
      <c r="AG19" s="3942">
        <f t="shared" ref="AG19:AH19" si="103">+AG16+AG18</f>
        <v>219323.61243065225</v>
      </c>
      <c r="AH19" s="3942" t="e">
        <f t="shared" si="103"/>
        <v>#REF!</v>
      </c>
      <c r="AI19" s="3779">
        <f t="shared" si="57"/>
        <v>1654843.8176521207</v>
      </c>
      <c r="AJ19" s="3779" t="e">
        <f t="shared" si="58"/>
        <v>#REF!</v>
      </c>
      <c r="AK19" s="3942">
        <f t="shared" ref="AK19:AL19" si="104">+AK16+AK18</f>
        <v>226286.26679353009</v>
      </c>
      <c r="AL19" s="3942" t="e">
        <f t="shared" si="104"/>
        <v>#REF!</v>
      </c>
      <c r="AM19" s="1051">
        <f t="shared" si="60"/>
        <v>671896.14601771242</v>
      </c>
      <c r="AN19" s="1051" t="e">
        <f t="shared" si="61"/>
        <v>#REF!</v>
      </c>
      <c r="AO19" s="3779">
        <f t="shared" si="62"/>
        <v>1881130.0844456507</v>
      </c>
      <c r="AP19" s="3779" t="e">
        <f t="shared" si="63"/>
        <v>#REF!</v>
      </c>
      <c r="AQ19" s="3942">
        <f t="shared" ref="AQ19:AR19" si="105">+AQ16+AQ18</f>
        <v>229767.59397496903</v>
      </c>
      <c r="AR19" s="3942" t="e">
        <f t="shared" si="105"/>
        <v>#REF!</v>
      </c>
      <c r="AS19" s="3779">
        <f t="shared" si="65"/>
        <v>2110897.6784206196</v>
      </c>
      <c r="AT19" s="3779" t="e">
        <f t="shared" si="66"/>
        <v>#REF!</v>
      </c>
      <c r="AU19" s="3942">
        <f t="shared" ref="AU19:AV19" si="106">+AU16+AU18</f>
        <v>205398.30370489653</v>
      </c>
      <c r="AV19" s="3942" t="e">
        <f t="shared" si="106"/>
        <v>#REF!</v>
      </c>
      <c r="AW19" s="3779">
        <f t="shared" si="68"/>
        <v>2316295.982125516</v>
      </c>
      <c r="AX19" s="3779" t="e">
        <f t="shared" si="69"/>
        <v>#REF!</v>
      </c>
      <c r="AY19" s="3942">
        <f t="shared" ref="AY19:AZ19" si="107">+AY16+AY18</f>
        <v>229767.59397496903</v>
      </c>
      <c r="AZ19" s="3942" t="e">
        <f t="shared" si="107"/>
        <v>#REF!</v>
      </c>
      <c r="BA19" s="3927">
        <f t="shared" si="71"/>
        <v>664933.49165483459</v>
      </c>
      <c r="BB19" s="3927" t="e">
        <f t="shared" si="72"/>
        <v>#REF!</v>
      </c>
      <c r="BC19" s="3929">
        <f t="shared" si="73"/>
        <v>1336829.637672547</v>
      </c>
      <c r="BD19" s="3930" t="e">
        <f t="shared" si="74"/>
        <v>#REF!</v>
      </c>
      <c r="BE19" s="3780">
        <f t="shared" si="75"/>
        <v>2546063.5761004849</v>
      </c>
      <c r="BF19" s="3780" t="e">
        <f t="shared" si="76"/>
        <v>#REF!</v>
      </c>
      <c r="BG19" s="3604"/>
      <c r="BH19" s="3604"/>
      <c r="BI19" s="3604"/>
      <c r="BJ19" s="3604"/>
      <c r="BK19" s="3604"/>
      <c r="BL19" s="3604"/>
    </row>
    <row r="20" spans="2:64" ht="19.5" thickBot="1" x14ac:dyDescent="0.35">
      <c r="B20" s="3944" t="s">
        <v>922</v>
      </c>
      <c r="C20" s="3945" t="s">
        <v>241</v>
      </c>
      <c r="D20" s="7863"/>
      <c r="E20" s="3946">
        <f t="shared" ref="E20:AF20" si="108">+E19*1000/E6</f>
        <v>871.21655270489134</v>
      </c>
      <c r="F20" s="3947">
        <f t="shared" si="108"/>
        <v>881.94094102597955</v>
      </c>
      <c r="G20" s="3946">
        <f t="shared" ref="G20:H20" si="109">+G19*1000/G6</f>
        <v>871.69534114476198</v>
      </c>
      <c r="H20" s="3947" t="e">
        <f t="shared" si="109"/>
        <v>#REF!</v>
      </c>
      <c r="I20" s="3948">
        <f t="shared" ref="I20:L20" si="110">+I19*1000/I6</f>
        <v>871.48254628259724</v>
      </c>
      <c r="J20" s="3949" t="e">
        <f t="shared" si="110"/>
        <v>#REF!</v>
      </c>
      <c r="K20" s="3946">
        <f t="shared" si="110"/>
        <v>871.69534114476232</v>
      </c>
      <c r="L20" s="3947" t="e">
        <f t="shared" si="110"/>
        <v>#REF!</v>
      </c>
      <c r="M20" s="3950">
        <f t="shared" ref="M20:R20" si="111">+M19*1000/M6</f>
        <v>871.55702448435511</v>
      </c>
      <c r="N20" s="3951" t="e">
        <f t="shared" si="111"/>
        <v>#REF!</v>
      </c>
      <c r="O20" s="3946">
        <f t="shared" si="111"/>
        <v>871.69534114476198</v>
      </c>
      <c r="P20" s="3947" t="e">
        <f t="shared" si="111"/>
        <v>#REF!</v>
      </c>
      <c r="Q20" s="3948">
        <f t="shared" si="111"/>
        <v>871.59319961092297</v>
      </c>
      <c r="R20" s="3949" t="e">
        <f t="shared" si="111"/>
        <v>#REF!</v>
      </c>
      <c r="S20" s="3946">
        <f t="shared" ref="S20:T20" si="112">+S19*1000/S6</f>
        <v>871.69534114476198</v>
      </c>
      <c r="T20" s="3947" t="e">
        <f t="shared" si="112"/>
        <v>#REF!</v>
      </c>
      <c r="U20" s="3948">
        <f t="shared" ref="U20:X20" si="113">+U19*1000/U6</f>
        <v>871.61437529476768</v>
      </c>
      <c r="V20" s="3949" t="e">
        <f t="shared" si="113"/>
        <v>#REF!</v>
      </c>
      <c r="W20" s="3946">
        <f t="shared" si="113"/>
        <v>979.63040582410156</v>
      </c>
      <c r="X20" s="3947" t="e">
        <f t="shared" si="113"/>
        <v>#REF!</v>
      </c>
      <c r="Y20" s="3950">
        <f t="shared" ref="Y20:Z20" si="114">+Y19*1000/Y6</f>
        <v>894.94289353723502</v>
      </c>
      <c r="Z20" s="3951" t="e">
        <f t="shared" si="114"/>
        <v>#REF!</v>
      </c>
      <c r="AA20" s="3952">
        <f t="shared" si="108"/>
        <v>882.65250980141514</v>
      </c>
      <c r="AB20" s="3953" t="e">
        <f t="shared" si="108"/>
        <v>#REF!</v>
      </c>
      <c r="AC20" s="3946">
        <f t="shared" si="108"/>
        <v>870.33179535973102</v>
      </c>
      <c r="AD20" s="3947" t="e">
        <f t="shared" si="108"/>
        <v>#REF!</v>
      </c>
      <c r="AE20" s="3948">
        <f t="shared" si="108"/>
        <v>880.68724246715874</v>
      </c>
      <c r="AF20" s="3949" t="e">
        <f t="shared" si="108"/>
        <v>#REF!</v>
      </c>
      <c r="AG20" s="3946">
        <f t="shared" ref="AG20:AH20" si="115">+AG19*1000/AG6</f>
        <v>870.33179535973125</v>
      </c>
      <c r="AH20" s="3947" t="e">
        <f t="shared" si="115"/>
        <v>#REF!</v>
      </c>
      <c r="AI20" s="3948">
        <f t="shared" ref="AI20:AL20" si="116">+AI19*1000/AI6</f>
        <v>879.30064699900151</v>
      </c>
      <c r="AJ20" s="3949" t="e">
        <f t="shared" si="116"/>
        <v>#REF!</v>
      </c>
      <c r="AK20" s="3946">
        <f t="shared" si="116"/>
        <v>870.33179535973102</v>
      </c>
      <c r="AL20" s="3947" t="e">
        <f t="shared" si="116"/>
        <v>#REF!</v>
      </c>
      <c r="AM20" s="3950">
        <f t="shared" ref="AM20:AR20" si="117">+AM19*1000/AM6</f>
        <v>870.33179535973113</v>
      </c>
      <c r="AN20" s="3951" t="e">
        <f t="shared" si="117"/>
        <v>#REF!</v>
      </c>
      <c r="AO20" s="3949">
        <f t="shared" si="117"/>
        <v>878.21199087098535</v>
      </c>
      <c r="AP20" s="3949" t="e">
        <f t="shared" si="117"/>
        <v>#REF!</v>
      </c>
      <c r="AQ20" s="3946">
        <f t="shared" si="117"/>
        <v>870.33179535973113</v>
      </c>
      <c r="AR20" s="3947" t="e">
        <f t="shared" si="117"/>
        <v>#REF!</v>
      </c>
      <c r="AS20" s="3949">
        <f t="shared" ref="AS20:AV20" si="118">+AS19*1000/AS6</f>
        <v>877.34733101438883</v>
      </c>
      <c r="AT20" s="3949" t="e">
        <f t="shared" si="118"/>
        <v>#REF!</v>
      </c>
      <c r="AU20" s="3946">
        <f t="shared" si="118"/>
        <v>870.33179535973113</v>
      </c>
      <c r="AV20" s="3947" t="e">
        <f t="shared" si="118"/>
        <v>#REF!</v>
      </c>
      <c r="AW20" s="3949">
        <f t="shared" ref="AW20:AZ20" si="119">+AW19*1000/AW6</f>
        <v>876.72065939648598</v>
      </c>
      <c r="AX20" s="3949" t="e">
        <f t="shared" si="119"/>
        <v>#REF!</v>
      </c>
      <c r="AY20" s="3946">
        <f t="shared" si="119"/>
        <v>870.33179535973113</v>
      </c>
      <c r="AZ20" s="3947" t="e">
        <f t="shared" si="119"/>
        <v>#REF!</v>
      </c>
      <c r="BA20" s="3950">
        <f t="shared" ref="BA20:BF20" si="120">+BA19*1000/BA6</f>
        <v>870.33179535973125</v>
      </c>
      <c r="BB20" s="3951" t="e">
        <f t="shared" si="120"/>
        <v>#REF!</v>
      </c>
      <c r="BC20" s="3952">
        <f t="shared" si="120"/>
        <v>870.33179535973113</v>
      </c>
      <c r="BD20" s="3953" t="e">
        <f t="shared" si="120"/>
        <v>#REF!</v>
      </c>
      <c r="BE20" s="3949">
        <f t="shared" si="120"/>
        <v>876.14025330367679</v>
      </c>
      <c r="BF20" s="3949" t="e">
        <f t="shared" si="120"/>
        <v>#REF!</v>
      </c>
      <c r="BG20" s="3604"/>
      <c r="BH20" s="3604"/>
      <c r="BI20" s="3604"/>
      <c r="BJ20" s="3604"/>
      <c r="BK20" s="3604"/>
      <c r="BL20" s="3604"/>
    </row>
    <row r="21" spans="2:64" x14ac:dyDescent="0.3">
      <c r="M21" s="3954"/>
      <c r="Y21" s="3954"/>
      <c r="Z21" s="3925"/>
    </row>
    <row r="22" spans="2:64" x14ac:dyDescent="0.3">
      <c r="H22" s="3954"/>
      <c r="I22" s="3954"/>
      <c r="L22" s="3954"/>
    </row>
    <row r="23" spans="2:64" x14ac:dyDescent="0.3">
      <c r="I23" s="3954"/>
      <c r="J23" s="3954"/>
    </row>
    <row r="24" spans="2:64" x14ac:dyDescent="0.3">
      <c r="B24" s="3955" t="s">
        <v>1384</v>
      </c>
      <c r="C24" s="5540">
        <v>9.93</v>
      </c>
    </row>
    <row r="25" spans="2:64" x14ac:dyDescent="0.3">
      <c r="B25" s="3955" t="s">
        <v>1385</v>
      </c>
      <c r="C25" s="3955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S596"/>
  <sheetViews>
    <sheetView topLeftCell="B70" zoomScaleNormal="100" workbookViewId="0">
      <pane xSplit="3" topLeftCell="E1" activePane="topRight" state="frozen"/>
      <selection activeCell="B94" sqref="B94"/>
      <selection pane="topRight" activeCell="F97" sqref="F97"/>
    </sheetView>
  </sheetViews>
  <sheetFormatPr defaultColWidth="9.140625" defaultRowHeight="15" x14ac:dyDescent="0.25"/>
  <cols>
    <col min="1" max="1" width="0.85546875" style="2093" hidden="1" customWidth="1"/>
    <col min="2" max="2" width="55.28515625" style="2093" bestFit="1" customWidth="1"/>
    <col min="3" max="3" width="32.42578125" style="7348" bestFit="1" customWidth="1"/>
    <col min="4" max="4" width="13.7109375" style="2093" customWidth="1"/>
    <col min="5" max="6" width="7.85546875" style="2093" customWidth="1"/>
    <col min="7" max="8" width="7.85546875" style="2093" hidden="1" customWidth="1"/>
    <col min="9" max="10" width="7.85546875" style="4779" hidden="1" customWidth="1"/>
    <col min="11" max="12" width="7.85546875" style="2093" hidden="1" customWidth="1"/>
    <col min="13" max="14" width="7.85546875" style="4780" hidden="1" customWidth="1"/>
    <col min="15" max="16" width="7.85546875" style="2093" hidden="1" customWidth="1"/>
    <col min="17" max="17" width="7.85546875" style="4779" hidden="1" customWidth="1"/>
    <col min="18" max="18" width="7.42578125" style="4779" hidden="1" customWidth="1"/>
    <col min="19" max="20" width="7.85546875" style="2093" hidden="1" customWidth="1"/>
    <col min="21" max="21" width="9" style="4779" hidden="1" customWidth="1"/>
    <col min="22" max="22" width="8.42578125" style="4779" hidden="1" customWidth="1"/>
    <col min="23" max="24" width="7.85546875" style="2093" hidden="1" customWidth="1"/>
    <col min="25" max="26" width="7.85546875" style="4780" hidden="1" customWidth="1"/>
    <col min="27" max="27" width="9" style="4781" hidden="1" customWidth="1"/>
    <col min="28" max="28" width="8.42578125" style="4781" hidden="1" customWidth="1"/>
    <col min="29" max="30" width="7.85546875" style="2093" hidden="1" customWidth="1"/>
    <col min="31" max="31" width="9" style="4779" hidden="1" customWidth="1"/>
    <col min="32" max="32" width="8.42578125" style="4779" hidden="1" customWidth="1"/>
    <col min="33" max="34" width="7.85546875" style="2093" hidden="1" customWidth="1"/>
    <col min="35" max="36" width="9" style="4779" hidden="1" customWidth="1"/>
    <col min="37" max="38" width="7.85546875" style="2093" hidden="1" customWidth="1"/>
    <col min="39" max="40" width="7.85546875" style="4780" hidden="1" customWidth="1"/>
    <col min="41" max="42" width="9" style="4779" hidden="1" customWidth="1"/>
    <col min="43" max="44" width="10" style="2093" hidden="1" customWidth="1"/>
    <col min="45" max="46" width="11.42578125" style="4779" hidden="1" customWidth="1"/>
    <col min="47" max="48" width="10" style="2093" hidden="1" customWidth="1"/>
    <col min="49" max="50" width="11.42578125" style="4779" hidden="1" customWidth="1"/>
    <col min="51" max="52" width="10" style="2093" hidden="1" customWidth="1"/>
    <col min="53" max="54" width="10" style="4780" hidden="1" customWidth="1"/>
    <col min="55" max="56" width="11.42578125" style="4781" hidden="1" customWidth="1"/>
    <col min="57" max="58" width="11.42578125" style="4779" hidden="1" customWidth="1"/>
    <col min="59" max="59" width="23.140625" style="2093" hidden="1" customWidth="1"/>
    <col min="60" max="60" width="9.140625" style="2093" hidden="1" customWidth="1"/>
    <col min="61" max="66" width="0" style="2093" hidden="1" customWidth="1"/>
    <col min="67" max="67" width="0.28515625" style="2093" customWidth="1"/>
    <col min="68" max="69" width="9.140625" style="2093"/>
    <col min="70" max="70" width="39.28515625" style="2093" bestFit="1" customWidth="1"/>
    <col min="71" max="16384" width="9.140625" style="2093"/>
  </cols>
  <sheetData>
    <row r="1" spans="1:63" x14ac:dyDescent="0.25">
      <c r="A1" s="144"/>
      <c r="B1" s="3792" t="s">
        <v>370</v>
      </c>
      <c r="C1" s="496"/>
      <c r="G1" s="7960"/>
      <c r="H1" s="7960"/>
      <c r="S1" s="4328"/>
      <c r="T1" s="4328"/>
    </row>
    <row r="2" spans="1:63" x14ac:dyDescent="0.25">
      <c r="A2" s="144"/>
      <c r="B2" s="496"/>
      <c r="C2" s="496"/>
    </row>
    <row r="3" spans="1:63" x14ac:dyDescent="0.25">
      <c r="A3" s="90"/>
      <c r="B3" s="7968" t="s">
        <v>171</v>
      </c>
      <c r="C3" s="7866" t="s">
        <v>172</v>
      </c>
      <c r="D3" s="7959" t="s">
        <v>2320</v>
      </c>
      <c r="E3" s="7959" t="s">
        <v>2319</v>
      </c>
      <c r="F3" s="7959"/>
      <c r="G3" s="7959" t="s">
        <v>1956</v>
      </c>
      <c r="H3" s="7959"/>
      <c r="I3" s="7958" t="s">
        <v>627</v>
      </c>
      <c r="J3" s="7958"/>
      <c r="K3" s="7959" t="s">
        <v>1987</v>
      </c>
      <c r="L3" s="7959"/>
      <c r="M3" s="7947" t="s">
        <v>1393</v>
      </c>
      <c r="N3" s="7947"/>
      <c r="O3" s="7959" t="s">
        <v>2009</v>
      </c>
      <c r="P3" s="7959"/>
      <c r="Q3" s="7958" t="s">
        <v>620</v>
      </c>
      <c r="R3" s="7958"/>
      <c r="S3" s="7959" t="s">
        <v>2011</v>
      </c>
      <c r="T3" s="7959"/>
      <c r="U3" s="7958" t="s">
        <v>798</v>
      </c>
      <c r="V3" s="7958"/>
      <c r="W3" s="7959" t="s">
        <v>2043</v>
      </c>
      <c r="X3" s="7959"/>
      <c r="Y3" s="7947" t="s">
        <v>1533</v>
      </c>
      <c r="Z3" s="7947"/>
      <c r="AA3" s="7948" t="s">
        <v>487</v>
      </c>
      <c r="AB3" s="7948"/>
      <c r="AC3" s="7959" t="s">
        <v>2067</v>
      </c>
      <c r="AD3" s="7959"/>
      <c r="AE3" s="7958" t="s">
        <v>1055</v>
      </c>
      <c r="AF3" s="7958"/>
      <c r="AG3" s="7954" t="s">
        <v>2170</v>
      </c>
      <c r="AH3" s="7955"/>
      <c r="AI3" s="7956" t="s">
        <v>1561</v>
      </c>
      <c r="AJ3" s="7957"/>
      <c r="AK3" s="7959" t="s">
        <v>2194</v>
      </c>
      <c r="AL3" s="7959"/>
      <c r="AM3" s="7947" t="s">
        <v>1576</v>
      </c>
      <c r="AN3" s="7947"/>
      <c r="AO3" s="7958" t="s">
        <v>876</v>
      </c>
      <c r="AP3" s="7958"/>
      <c r="AQ3" s="7954" t="s">
        <v>2206</v>
      </c>
      <c r="AR3" s="7955"/>
      <c r="AS3" s="7956" t="s">
        <v>1593</v>
      </c>
      <c r="AT3" s="7957"/>
      <c r="AU3" s="7954" t="s">
        <v>2243</v>
      </c>
      <c r="AV3" s="7955"/>
      <c r="AW3" s="7956" t="s">
        <v>1599</v>
      </c>
      <c r="AX3" s="7957"/>
      <c r="AY3" s="7954" t="s">
        <v>2261</v>
      </c>
      <c r="AZ3" s="7955"/>
      <c r="BA3" s="7947" t="s">
        <v>1616</v>
      </c>
      <c r="BB3" s="7947"/>
      <c r="BC3" s="7948" t="s">
        <v>525</v>
      </c>
      <c r="BD3" s="7948"/>
      <c r="BE3" s="7956" t="s">
        <v>1984</v>
      </c>
      <c r="BF3" s="7957"/>
    </row>
    <row r="4" spans="1:63" x14ac:dyDescent="0.25">
      <c r="A4" s="90"/>
      <c r="B4" s="7968"/>
      <c r="C4" s="7866"/>
      <c r="D4" s="7959"/>
      <c r="E4" s="3786" t="s">
        <v>173</v>
      </c>
      <c r="F4" s="3786" t="s">
        <v>174</v>
      </c>
      <c r="G4" s="3786" t="s">
        <v>173</v>
      </c>
      <c r="H4" s="3786" t="s">
        <v>174</v>
      </c>
      <c r="I4" s="7315" t="s">
        <v>173</v>
      </c>
      <c r="J4" s="7315" t="s">
        <v>174</v>
      </c>
      <c r="K4" s="3786" t="s">
        <v>173</v>
      </c>
      <c r="L4" s="3786" t="s">
        <v>174</v>
      </c>
      <c r="M4" s="7307" t="s">
        <v>173</v>
      </c>
      <c r="N4" s="7307" t="s">
        <v>174</v>
      </c>
      <c r="O4" s="4274" t="s">
        <v>173</v>
      </c>
      <c r="P4" s="4274" t="s">
        <v>174</v>
      </c>
      <c r="Q4" s="7315" t="s">
        <v>173</v>
      </c>
      <c r="R4" s="7315" t="s">
        <v>174</v>
      </c>
      <c r="S4" s="4327" t="s">
        <v>173</v>
      </c>
      <c r="T4" s="4327" t="s">
        <v>174</v>
      </c>
      <c r="U4" s="7315" t="s">
        <v>173</v>
      </c>
      <c r="V4" s="7315" t="s">
        <v>174</v>
      </c>
      <c r="W4" s="3786" t="s">
        <v>173</v>
      </c>
      <c r="X4" s="3786" t="s">
        <v>174</v>
      </c>
      <c r="Y4" s="7307" t="s">
        <v>173</v>
      </c>
      <c r="Z4" s="7307" t="s">
        <v>174</v>
      </c>
      <c r="AA4" s="7325" t="s">
        <v>173</v>
      </c>
      <c r="AB4" s="7325" t="s">
        <v>174</v>
      </c>
      <c r="AC4" s="3786" t="s">
        <v>173</v>
      </c>
      <c r="AD4" s="3786" t="s">
        <v>174</v>
      </c>
      <c r="AE4" s="7315" t="s">
        <v>173</v>
      </c>
      <c r="AF4" s="7315" t="s">
        <v>174</v>
      </c>
      <c r="AG4" s="3786" t="s">
        <v>173</v>
      </c>
      <c r="AH4" s="3786" t="s">
        <v>174</v>
      </c>
      <c r="AI4" s="7315" t="s">
        <v>173</v>
      </c>
      <c r="AJ4" s="7315" t="s">
        <v>174</v>
      </c>
      <c r="AK4" s="3786" t="s">
        <v>173</v>
      </c>
      <c r="AL4" s="3786" t="s">
        <v>174</v>
      </c>
      <c r="AM4" s="7307" t="s">
        <v>173</v>
      </c>
      <c r="AN4" s="7307" t="s">
        <v>174</v>
      </c>
      <c r="AO4" s="7315" t="s">
        <v>173</v>
      </c>
      <c r="AP4" s="7315" t="s">
        <v>174</v>
      </c>
      <c r="AQ4" s="3786" t="s">
        <v>173</v>
      </c>
      <c r="AR4" s="3786" t="s">
        <v>174</v>
      </c>
      <c r="AS4" s="7315" t="s">
        <v>173</v>
      </c>
      <c r="AT4" s="7315" t="s">
        <v>174</v>
      </c>
      <c r="AU4" s="5011" t="s">
        <v>173</v>
      </c>
      <c r="AV4" s="5011" t="s">
        <v>174</v>
      </c>
      <c r="AW4" s="7315" t="s">
        <v>173</v>
      </c>
      <c r="AX4" s="7315" t="s">
        <v>174</v>
      </c>
      <c r="AY4" s="3786" t="s">
        <v>173</v>
      </c>
      <c r="AZ4" s="3786" t="s">
        <v>174</v>
      </c>
      <c r="BA4" s="7307" t="s">
        <v>173</v>
      </c>
      <c r="BB4" s="7307" t="s">
        <v>174</v>
      </c>
      <c r="BC4" s="7325" t="s">
        <v>173</v>
      </c>
      <c r="BD4" s="7325" t="s">
        <v>174</v>
      </c>
      <c r="BE4" s="7315" t="s">
        <v>173</v>
      </c>
      <c r="BF4" s="7315" t="s">
        <v>174</v>
      </c>
    </row>
    <row r="5" spans="1:63" x14ac:dyDescent="0.25">
      <c r="A5" s="144"/>
      <c r="B5" s="808" t="s">
        <v>315</v>
      </c>
      <c r="C5" s="3922"/>
      <c r="D5" s="808"/>
      <c r="E5" s="808"/>
      <c r="F5" s="808"/>
      <c r="G5" s="808"/>
      <c r="H5" s="808"/>
      <c r="I5" s="7352"/>
      <c r="J5" s="7352"/>
      <c r="K5" s="808"/>
      <c r="L5" s="808"/>
      <c r="M5" s="7365"/>
      <c r="N5" s="7365"/>
      <c r="O5" s="808"/>
      <c r="P5" s="808"/>
      <c r="Q5" s="7352"/>
      <c r="R5" s="7352"/>
      <c r="S5" s="808"/>
      <c r="T5" s="808"/>
      <c r="U5" s="7352"/>
      <c r="V5" s="7352"/>
      <c r="W5" s="808"/>
      <c r="X5" s="808"/>
      <c r="Y5" s="7365"/>
      <c r="Z5" s="7365"/>
      <c r="AA5" s="7376"/>
      <c r="AB5" s="7376"/>
      <c r="AC5" s="808"/>
      <c r="AD5" s="808"/>
      <c r="AE5" s="7352"/>
      <c r="AF5" s="7352"/>
      <c r="AG5" s="808"/>
      <c r="AH5" s="808"/>
      <c r="AI5" s="7352"/>
      <c r="AJ5" s="7352"/>
      <c r="AK5" s="808"/>
      <c r="AL5" s="808"/>
      <c r="AM5" s="7365"/>
      <c r="AN5" s="7365"/>
      <c r="AO5" s="7352"/>
      <c r="AP5" s="7352"/>
      <c r="AQ5" s="808"/>
      <c r="AR5" s="808"/>
      <c r="AS5" s="7352"/>
      <c r="AT5" s="7352"/>
      <c r="AU5" s="808"/>
      <c r="AV5" s="808"/>
      <c r="AW5" s="7352"/>
      <c r="AX5" s="7352"/>
      <c r="AY5" s="808"/>
      <c r="AZ5" s="808"/>
      <c r="BA5" s="7365"/>
      <c r="BB5" s="7365"/>
      <c r="BC5" s="7376"/>
      <c r="BD5" s="7376"/>
      <c r="BE5" s="7352"/>
      <c r="BF5" s="7352"/>
    </row>
    <row r="6" spans="1:63" x14ac:dyDescent="0.25">
      <c r="A6" s="144"/>
      <c r="B6" s="3793" t="s">
        <v>114</v>
      </c>
      <c r="C6" s="7436"/>
      <c r="D6" s="3793"/>
      <c r="E6" s="3793"/>
      <c r="F6" s="3793"/>
      <c r="G6" s="3793"/>
      <c r="H6" s="3793"/>
      <c r="I6" s="3863"/>
      <c r="J6" s="3863"/>
      <c r="K6" s="3793"/>
      <c r="L6" s="3793"/>
      <c r="M6" s="3864"/>
      <c r="N6" s="3864"/>
      <c r="O6" s="3793"/>
      <c r="P6" s="3793"/>
      <c r="Q6" s="3863"/>
      <c r="R6" s="3863"/>
      <c r="S6" s="3793"/>
      <c r="T6" s="3793"/>
      <c r="U6" s="3863"/>
      <c r="V6" s="3863"/>
      <c r="W6" s="3793"/>
      <c r="X6" s="3793"/>
      <c r="Y6" s="3864"/>
      <c r="Z6" s="3864"/>
      <c r="AA6" s="3916"/>
      <c r="AB6" s="3916"/>
      <c r="AC6" s="3793"/>
      <c r="AD6" s="3793"/>
      <c r="AE6" s="3863"/>
      <c r="AF6" s="3863"/>
      <c r="AG6" s="3793"/>
      <c r="AH6" s="3793"/>
      <c r="AI6" s="3863"/>
      <c r="AJ6" s="3863"/>
      <c r="AK6" s="3793"/>
      <c r="AL6" s="3793"/>
      <c r="AM6" s="3864"/>
      <c r="AN6" s="3864"/>
      <c r="AO6" s="3863"/>
      <c r="AP6" s="3863"/>
      <c r="AQ6" s="3793"/>
      <c r="AR6" s="3793"/>
      <c r="AS6" s="3863"/>
      <c r="AT6" s="3863"/>
      <c r="AU6" s="3793"/>
      <c r="AV6" s="3793"/>
      <c r="AW6" s="3863"/>
      <c r="AX6" s="3863"/>
      <c r="AY6" s="3793"/>
      <c r="AZ6" s="3793"/>
      <c r="BA6" s="3864"/>
      <c r="BB6" s="3864"/>
      <c r="BC6" s="3916"/>
      <c r="BD6" s="3916"/>
      <c r="BE6" s="3863"/>
      <c r="BF6" s="3863"/>
    </row>
    <row r="7" spans="1:63" x14ac:dyDescent="0.25">
      <c r="A7" s="90"/>
      <c r="B7" s="945" t="s">
        <v>75</v>
      </c>
      <c r="C7" s="7337" t="s">
        <v>50</v>
      </c>
      <c r="D7" s="7949">
        <v>504000</v>
      </c>
      <c r="E7" s="7949">
        <f>'Maj Production Summ'!E30-E9-E11-E12</f>
        <v>36416.666666666664</v>
      </c>
      <c r="F7" s="1819">
        <v>40571.019999999997</v>
      </c>
      <c r="G7" s="7949">
        <f>'Maj Production Summ'!G30-G9-G11-G12</f>
        <v>38462.454545454544</v>
      </c>
      <c r="H7" s="1819">
        <v>24090.429999999997</v>
      </c>
      <c r="I7" s="7952">
        <f>E7+G7</f>
        <v>74879.121212121216</v>
      </c>
      <c r="J7" s="7310">
        <f>F7+H7</f>
        <v>64661.45</v>
      </c>
      <c r="K7" s="7949">
        <f>'Maj Production Summ'!K30-K9-K11-K12</f>
        <v>36962.454545454544</v>
      </c>
      <c r="L7" s="1819">
        <v>18572.96</v>
      </c>
      <c r="M7" s="7713">
        <f>I7+K7</f>
        <v>111841.57575757576</v>
      </c>
      <c r="N7" s="7301">
        <f>J7+L7</f>
        <v>83234.41</v>
      </c>
      <c r="O7" s="7949">
        <f>'Maj Production Summ'!O30-O9-O11-O12</f>
        <v>38462.454545454544</v>
      </c>
      <c r="P7" s="1819">
        <v>24892.11</v>
      </c>
      <c r="Q7" s="7952">
        <f>M7+O7</f>
        <v>150304.0303030303</v>
      </c>
      <c r="R7" s="7310">
        <f>N7+P7</f>
        <v>108126.52</v>
      </c>
      <c r="S7" s="7949">
        <f>'Maj Production Summ'!S30-S9-S11-S12</f>
        <v>38462.121212121208</v>
      </c>
      <c r="T7" s="1819">
        <v>29255.510000000002</v>
      </c>
      <c r="U7" s="7952">
        <f>Q7+S7</f>
        <v>188766.15151515152</v>
      </c>
      <c r="V7" s="7310">
        <f>R7+T7</f>
        <v>137382.03</v>
      </c>
      <c r="W7" s="7949">
        <f>'Maj Production Summ'!W30-W9-W11-W12</f>
        <v>24916.666666666668</v>
      </c>
      <c r="X7" s="1819">
        <v>26158.520000000008</v>
      </c>
      <c r="Y7" s="7713">
        <f>O7+S7+W7</f>
        <v>101841.24242424242</v>
      </c>
      <c r="Z7" s="7301">
        <f>P7+T7+X7</f>
        <v>80306.140000000014</v>
      </c>
      <c r="AA7" s="7735">
        <f>M7+Y7</f>
        <v>213682.81818181818</v>
      </c>
      <c r="AB7" s="7302">
        <f>N7+Z7</f>
        <v>163540.55000000002</v>
      </c>
      <c r="AC7" s="7949">
        <f>'Maj Production Summ'!AC30-AC9-AC11-AC12</f>
        <v>36962.121212121208</v>
      </c>
      <c r="AD7" s="1819">
        <v>18883.36</v>
      </c>
      <c r="AE7" s="7952">
        <f>AA7+AC7</f>
        <v>250644.93939393939</v>
      </c>
      <c r="AF7" s="7310">
        <f>AB7+AD7</f>
        <v>182423.91000000003</v>
      </c>
      <c r="AG7" s="7949">
        <f>'Maj Production Summ'!AG30-AG9-AG11-AG12</f>
        <v>36962.121212121208</v>
      </c>
      <c r="AH7" s="1819">
        <v>28535.9</v>
      </c>
      <c r="AI7" s="7953">
        <f>AE7+AG7</f>
        <v>287607.06060606061</v>
      </c>
      <c r="AJ7" s="7310">
        <f>AF7+AH7</f>
        <v>210959.81000000003</v>
      </c>
      <c r="AK7" s="7949">
        <f>'Maj Production Summ'!AK30-AK9-AK11-AK12</f>
        <v>38462.121212121208</v>
      </c>
      <c r="AL7" s="1819">
        <v>32807.97</v>
      </c>
      <c r="AM7" s="7713">
        <f>AC7+AG7+AK7</f>
        <v>112386.36363636362</v>
      </c>
      <c r="AN7" s="7301">
        <f>AD7+AH7+AL7</f>
        <v>80227.23000000001</v>
      </c>
      <c r="AO7" s="7952">
        <f>AI7+AK7</f>
        <v>326069.18181818182</v>
      </c>
      <c r="AP7" s="7310">
        <f>AJ7+AL7</f>
        <v>243767.78000000003</v>
      </c>
      <c r="AQ7" s="7949">
        <f>'Maj Production Summ'!AQ30-AQ9-AQ11-AQ12</f>
        <v>38962.121212121208</v>
      </c>
      <c r="AR7" s="1819">
        <v>37133.179999999993</v>
      </c>
      <c r="AS7" s="7953">
        <f>AO7+AQ7</f>
        <v>365031.30303030304</v>
      </c>
      <c r="AT7" s="7310">
        <f>AP7+AR7</f>
        <v>280900.96000000002</v>
      </c>
      <c r="AU7" s="7949">
        <f>'Maj Production Summ'!AU30-AU9-AU11-AU12</f>
        <v>34462.121212121208</v>
      </c>
      <c r="AV7" s="1819">
        <v>41871.839999999997</v>
      </c>
      <c r="AW7" s="7953">
        <f>AS7+AU7</f>
        <v>399493.42424242425</v>
      </c>
      <c r="AX7" s="7310">
        <f>AT7+AV7</f>
        <v>322772.80000000005</v>
      </c>
      <c r="AY7" s="7949">
        <f>'Maj Production Summ'!AY30-AY9-AY11-AY12</f>
        <v>38962.121212121208</v>
      </c>
      <c r="AZ7" s="1819">
        <v>46456.479999999996</v>
      </c>
      <c r="BA7" s="7713">
        <f>AQ7+AU7+AY7</f>
        <v>112386.36363636362</v>
      </c>
      <c r="BB7" s="7301">
        <f>AR7+AV7+AZ7</f>
        <v>125461.49999999999</v>
      </c>
      <c r="BC7" s="7735">
        <f>AM7+BA7</f>
        <v>224772.72727272724</v>
      </c>
      <c r="BD7" s="7302">
        <f>AN7+BB7</f>
        <v>205688.72999999998</v>
      </c>
      <c r="BE7" s="7953">
        <f>AW7+AY7</f>
        <v>438455.54545454547</v>
      </c>
      <c r="BF7" s="7310">
        <f>AX7+AZ7</f>
        <v>369229.28</v>
      </c>
      <c r="BG7" s="4152">
        <f>AY7+AU7+AQ7+AK7+AG7+AC7+W7+S7+O7+K7+G7+E7-BE7</f>
        <v>0</v>
      </c>
      <c r="BH7" s="4152">
        <f>AZ7+AV7+AR7+AL7+AH7+AD7+X7+T7+P7+L7+H7+F7-BF7</f>
        <v>0</v>
      </c>
      <c r="BI7" s="4152"/>
      <c r="BJ7" s="4152">
        <f>AY7+AU7+AQ7+AK7+AG7+AC7-BC7</f>
        <v>0</v>
      </c>
      <c r="BK7" s="4152">
        <f>AZ7+AV7+AR7+AL7+AH7+AD7-BD7</f>
        <v>0</v>
      </c>
    </row>
    <row r="8" spans="1:63" x14ac:dyDescent="0.25">
      <c r="A8" s="90"/>
      <c r="B8" s="945" t="s">
        <v>76</v>
      </c>
      <c r="C8" s="7337" t="s">
        <v>50</v>
      </c>
      <c r="D8" s="7949"/>
      <c r="E8" s="7949"/>
      <c r="F8" s="2237">
        <v>383.86</v>
      </c>
      <c r="G8" s="7949"/>
      <c r="H8" s="5568">
        <v>15162.2</v>
      </c>
      <c r="I8" s="7952"/>
      <c r="J8" s="7310">
        <f t="shared" ref="J8:J69" si="0">F8+H8</f>
        <v>15546.060000000001</v>
      </c>
      <c r="K8" s="7949"/>
      <c r="L8" s="5680">
        <v>18935.100000000002</v>
      </c>
      <c r="M8" s="7713"/>
      <c r="N8" s="7301">
        <f t="shared" ref="N8:N69" si="1">J8+L8</f>
        <v>34481.160000000003</v>
      </c>
      <c r="O8" s="7949"/>
      <c r="P8" s="5837">
        <v>19202.140000000003</v>
      </c>
      <c r="Q8" s="7952"/>
      <c r="R8" s="7310">
        <f t="shared" ref="R8:R69" si="2">N8+P8</f>
        <v>53683.3</v>
      </c>
      <c r="S8" s="7949"/>
      <c r="T8" s="5893">
        <v>11312.240000000002</v>
      </c>
      <c r="U8" s="7952"/>
      <c r="V8" s="7310">
        <f t="shared" ref="V8:V69" si="3">R8+T8</f>
        <v>64995.540000000008</v>
      </c>
      <c r="W8" s="7949"/>
      <c r="X8" s="6007">
        <v>10134.56</v>
      </c>
      <c r="Y8" s="7713"/>
      <c r="Z8" s="7301">
        <f t="shared" ref="Z8:Z69" si="4">P8+T8+X8</f>
        <v>40648.94</v>
      </c>
      <c r="AA8" s="7735"/>
      <c r="AB8" s="7302">
        <f t="shared" ref="AB8:AB69" si="5">N8+Z8</f>
        <v>75130.100000000006</v>
      </c>
      <c r="AC8" s="7949"/>
      <c r="AD8" s="6138">
        <v>12148.939999999999</v>
      </c>
      <c r="AE8" s="7952"/>
      <c r="AF8" s="7310">
        <f t="shared" ref="AF8:AF69" si="6">AB8+AD8</f>
        <v>87279.040000000008</v>
      </c>
      <c r="AG8" s="7949"/>
      <c r="AH8" s="6300">
        <v>9679.6260000000002</v>
      </c>
      <c r="AI8" s="7951"/>
      <c r="AJ8" s="7310">
        <f t="shared" ref="AJ8:AJ68" si="7">AF8+AH8</f>
        <v>96958.666000000012</v>
      </c>
      <c r="AK8" s="7949"/>
      <c r="AL8" s="6549">
        <v>8131.62</v>
      </c>
      <c r="AM8" s="7713"/>
      <c r="AN8" s="7301">
        <f t="shared" ref="AN8:AN69" si="8">AD8+AH8+AL8</f>
        <v>29960.185999999998</v>
      </c>
      <c r="AO8" s="7952"/>
      <c r="AP8" s="7310">
        <f t="shared" ref="AP8:AP69" si="9">AJ8+AL8</f>
        <v>105090.28600000001</v>
      </c>
      <c r="AQ8" s="7949"/>
      <c r="AR8" s="6643">
        <v>2619.3810000000003</v>
      </c>
      <c r="AS8" s="7951"/>
      <c r="AT8" s="7310">
        <f t="shared" ref="AT8:AT69" si="10">AP8+AR8</f>
        <v>107709.667</v>
      </c>
      <c r="AU8" s="7949"/>
      <c r="AV8" s="6815"/>
      <c r="AW8" s="7951"/>
      <c r="AX8" s="7310">
        <f t="shared" ref="AX8:AX69" si="11">AT8+AV8</f>
        <v>107709.667</v>
      </c>
      <c r="AY8" s="7949"/>
      <c r="AZ8" s="6957">
        <v>0</v>
      </c>
      <c r="BA8" s="7713"/>
      <c r="BB8" s="7301">
        <f t="shared" ref="BB8:BB69" si="12">AR8+AV8+AZ8</f>
        <v>2619.3810000000003</v>
      </c>
      <c r="BC8" s="7735"/>
      <c r="BD8" s="7302">
        <f t="shared" ref="BD8:BD69" si="13">AN8+BB8</f>
        <v>32579.566999999999</v>
      </c>
      <c r="BE8" s="7951"/>
      <c r="BF8" s="7310">
        <f t="shared" ref="BF8:BF69" si="14">AX8+AZ8</f>
        <v>107709.667</v>
      </c>
      <c r="BG8" s="4152">
        <f t="shared" ref="BG8:BG82" si="15">AY8+AU8+AQ8+AK8+AG8+AC8+W8+S8+O8+K8+G8+E8-BE8</f>
        <v>0</v>
      </c>
      <c r="BH8" s="4152">
        <f t="shared" ref="BH8:BH82" si="16">AZ8+AV8+AR8+AL8+AH8+AD8+X8+T8+P8+L8+H8+F8-BF8</f>
        <v>0</v>
      </c>
      <c r="BI8" s="4152"/>
      <c r="BJ8" s="4152">
        <f t="shared" ref="BJ8:BJ82" si="17">AY8+AU8+AQ8+AK8+AG8+AC8-BC8</f>
        <v>0</v>
      </c>
      <c r="BK8" s="4152">
        <f t="shared" ref="BK8:BK82" si="18">AZ8+AV8+AR8+AL8+AH8+AD8-BD8</f>
        <v>0</v>
      </c>
    </row>
    <row r="9" spans="1:63" x14ac:dyDescent="0.25">
      <c r="A9" s="90"/>
      <c r="B9" s="945" t="s">
        <v>137</v>
      </c>
      <c r="C9" s="7337" t="s">
        <v>50</v>
      </c>
      <c r="D9" s="2237">
        <v>15000</v>
      </c>
      <c r="E9" s="2237">
        <v>0</v>
      </c>
      <c r="F9" s="1819">
        <v>121.35</v>
      </c>
      <c r="G9" s="5568">
        <v>5454.545454545455</v>
      </c>
      <c r="H9" s="1819">
        <v>114.39</v>
      </c>
      <c r="I9" s="7310">
        <f>E9+G9</f>
        <v>5454.545454545455</v>
      </c>
      <c r="J9" s="7310">
        <f t="shared" si="0"/>
        <v>235.74</v>
      </c>
      <c r="K9" s="5680">
        <v>5454.545454545455</v>
      </c>
      <c r="L9" s="1819">
        <v>0</v>
      </c>
      <c r="M9" s="7301">
        <f>I9+K9</f>
        <v>10909.09090909091</v>
      </c>
      <c r="N9" s="7301">
        <f t="shared" si="1"/>
        <v>235.74</v>
      </c>
      <c r="O9" s="5837">
        <v>5454.545454545455</v>
      </c>
      <c r="P9" s="1819">
        <v>38.94</v>
      </c>
      <c r="Q9" s="7310">
        <f>M9+O9</f>
        <v>16363.636363636364</v>
      </c>
      <c r="R9" s="7310">
        <f t="shared" si="2"/>
        <v>274.68</v>
      </c>
      <c r="S9" s="5893">
        <v>5454.545454545455</v>
      </c>
      <c r="T9" s="1819">
        <v>158.79</v>
      </c>
      <c r="U9" s="7310">
        <f>Q9+S9</f>
        <v>21818.18181818182</v>
      </c>
      <c r="V9" s="7310">
        <f t="shared" si="3"/>
        <v>433.47</v>
      </c>
      <c r="W9" s="6007">
        <v>0</v>
      </c>
      <c r="X9" s="1819">
        <v>39.89</v>
      </c>
      <c r="Y9" s="7301">
        <f>O9+S9+W9</f>
        <v>10909.09090909091</v>
      </c>
      <c r="Z9" s="7301">
        <f t="shared" si="4"/>
        <v>237.62</v>
      </c>
      <c r="AA9" s="7302">
        <f>M9+Y9</f>
        <v>21818.18181818182</v>
      </c>
      <c r="AB9" s="7302">
        <f t="shared" si="5"/>
        <v>473.36</v>
      </c>
      <c r="AC9" s="6138">
        <v>5454.545454545455</v>
      </c>
      <c r="AD9" s="1819"/>
      <c r="AE9" s="7310">
        <f>AA9+AC9</f>
        <v>27272.727272727276</v>
      </c>
      <c r="AF9" s="7310">
        <f t="shared" si="6"/>
        <v>473.36</v>
      </c>
      <c r="AG9" s="6300">
        <v>5454.545454545455</v>
      </c>
      <c r="AH9" s="1819">
        <v>119.21</v>
      </c>
      <c r="AI9" s="7310">
        <f>AE9+AG9</f>
        <v>32727.272727272732</v>
      </c>
      <c r="AJ9" s="7310">
        <f t="shared" si="7"/>
        <v>592.57000000000005</v>
      </c>
      <c r="AK9" s="6549">
        <v>5454.545454545455</v>
      </c>
      <c r="AL9" s="1819">
        <v>248.22</v>
      </c>
      <c r="AM9" s="7301">
        <f>AC9+AG9+AK9</f>
        <v>16363.636363636364</v>
      </c>
      <c r="AN9" s="7301">
        <f t="shared" si="8"/>
        <v>367.43</v>
      </c>
      <c r="AO9" s="7310">
        <f>AI9+AK9</f>
        <v>38181.818181818184</v>
      </c>
      <c r="AP9" s="7310">
        <f t="shared" si="9"/>
        <v>840.79000000000008</v>
      </c>
      <c r="AQ9" s="6643">
        <v>5454.545454545455</v>
      </c>
      <c r="AR9" s="1819">
        <v>0</v>
      </c>
      <c r="AS9" s="7310">
        <f>AO9+AQ9</f>
        <v>43636.36363636364</v>
      </c>
      <c r="AT9" s="7310">
        <f t="shared" si="10"/>
        <v>840.79000000000008</v>
      </c>
      <c r="AU9" s="6815">
        <v>5454.545454545455</v>
      </c>
      <c r="AV9" s="1819"/>
      <c r="AW9" s="7310">
        <f>AS9+AU9</f>
        <v>49090.909090909096</v>
      </c>
      <c r="AX9" s="7310">
        <f t="shared" si="11"/>
        <v>840.79000000000008</v>
      </c>
      <c r="AY9" s="6957">
        <v>5454.545454545455</v>
      </c>
      <c r="AZ9" s="1819">
        <v>1616.84</v>
      </c>
      <c r="BA9" s="7301">
        <f>AQ9+AU9+AY9</f>
        <v>16363.636363636364</v>
      </c>
      <c r="BB9" s="7301">
        <f t="shared" si="12"/>
        <v>1616.84</v>
      </c>
      <c r="BC9" s="7302">
        <f t="shared" ref="BC9:BC12" si="19">AM9+BA9</f>
        <v>32727.272727272728</v>
      </c>
      <c r="BD9" s="7302">
        <f t="shared" si="13"/>
        <v>1984.27</v>
      </c>
      <c r="BE9" s="7310">
        <f>AW9+AY9</f>
        <v>54545.454545454551</v>
      </c>
      <c r="BF9" s="7310">
        <f t="shared" si="14"/>
        <v>2457.63</v>
      </c>
      <c r="BG9" s="4152">
        <f t="shared" si="15"/>
        <v>0</v>
      </c>
      <c r="BH9" s="4152">
        <f t="shared" si="16"/>
        <v>0</v>
      </c>
      <c r="BI9" s="4152"/>
      <c r="BJ9" s="4152">
        <f t="shared" si="17"/>
        <v>0</v>
      </c>
      <c r="BK9" s="4152">
        <f t="shared" si="18"/>
        <v>0</v>
      </c>
    </row>
    <row r="10" spans="1:63" s="7442" customFormat="1" x14ac:dyDescent="0.25">
      <c r="A10" s="90"/>
      <c r="B10" s="7350" t="s">
        <v>2296</v>
      </c>
      <c r="C10" s="7046" t="s">
        <v>50</v>
      </c>
      <c r="D10" s="7040">
        <v>0</v>
      </c>
      <c r="E10" s="7040">
        <v>0</v>
      </c>
      <c r="F10" s="7034">
        <v>0</v>
      </c>
      <c r="G10" s="7040">
        <v>0</v>
      </c>
      <c r="H10" s="7034">
        <v>0</v>
      </c>
      <c r="I10" s="7509">
        <f>E10+G10</f>
        <v>0</v>
      </c>
      <c r="J10" s="7509">
        <f t="shared" ref="J10" si="20">F10+H10</f>
        <v>0</v>
      </c>
      <c r="K10" s="7040">
        <v>0</v>
      </c>
      <c r="L10" s="7034">
        <v>0</v>
      </c>
      <c r="M10" s="7507">
        <f>I10+K10</f>
        <v>0</v>
      </c>
      <c r="N10" s="7507">
        <f t="shared" ref="N10" si="21">J10+L10</f>
        <v>0</v>
      </c>
      <c r="O10" s="7040">
        <v>0</v>
      </c>
      <c r="P10" s="7034">
        <v>0</v>
      </c>
      <c r="Q10" s="7509">
        <f>M10+O10</f>
        <v>0</v>
      </c>
      <c r="R10" s="7509">
        <f t="shared" ref="R10" si="22">N10+P10</f>
        <v>0</v>
      </c>
      <c r="S10" s="7040"/>
      <c r="T10" s="7034"/>
      <c r="U10" s="7509">
        <f>Q10+S10</f>
        <v>0</v>
      </c>
      <c r="V10" s="7509">
        <f t="shared" ref="V10" si="23">R10+T10</f>
        <v>0</v>
      </c>
      <c r="W10" s="7040"/>
      <c r="X10" s="7034"/>
      <c r="Y10" s="7507">
        <f>O10+S10+W10</f>
        <v>0</v>
      </c>
      <c r="Z10" s="7507">
        <f t="shared" ref="Z10" si="24">P10+T10+X10</f>
        <v>0</v>
      </c>
      <c r="AA10" s="7508">
        <f>M10+Y10</f>
        <v>0</v>
      </c>
      <c r="AB10" s="7508">
        <f t="shared" ref="AB10" si="25">N10+Z10</f>
        <v>0</v>
      </c>
      <c r="AC10" s="7034">
        <v>0</v>
      </c>
      <c r="AD10" s="7034">
        <v>0</v>
      </c>
      <c r="AE10" s="7509">
        <f>AA10+AC10</f>
        <v>0</v>
      </c>
      <c r="AF10" s="7509">
        <f t="shared" ref="AF10" si="26">AB10+AD10</f>
        <v>0</v>
      </c>
      <c r="AG10" s="7034">
        <v>0</v>
      </c>
      <c r="AH10" s="7034">
        <v>0</v>
      </c>
      <c r="AI10" s="7509">
        <f>AE10+AG10</f>
        <v>0</v>
      </c>
      <c r="AJ10" s="7509">
        <f t="shared" ref="AJ10" si="27">AF10+AH10</f>
        <v>0</v>
      </c>
      <c r="AK10" s="7034">
        <v>0</v>
      </c>
      <c r="AL10" s="7034">
        <v>0</v>
      </c>
      <c r="AM10" s="7507">
        <f>AC10+AG10+AK10</f>
        <v>0</v>
      </c>
      <c r="AN10" s="7507">
        <f t="shared" ref="AN10" si="28">AD10+AH10+AL10</f>
        <v>0</v>
      </c>
      <c r="AO10" s="7509">
        <f>AI10+AK10</f>
        <v>0</v>
      </c>
      <c r="AP10" s="7509">
        <f t="shared" ref="AP10" si="29">AJ10+AL10</f>
        <v>0</v>
      </c>
      <c r="AQ10" s="7034">
        <v>0</v>
      </c>
      <c r="AR10" s="7034">
        <v>0</v>
      </c>
      <c r="AS10" s="7509">
        <f>AO10+AQ10</f>
        <v>0</v>
      </c>
      <c r="AT10" s="7509">
        <f t="shared" ref="AT10" si="30">AP10+AR10</f>
        <v>0</v>
      </c>
      <c r="AU10" s="7034">
        <v>0</v>
      </c>
      <c r="AV10" s="7034">
        <v>0</v>
      </c>
      <c r="AW10" s="7509">
        <f>AS10+AU10</f>
        <v>0</v>
      </c>
      <c r="AX10" s="7509">
        <f t="shared" ref="AX10" si="31">AT10+AV10</f>
        <v>0</v>
      </c>
      <c r="AY10" s="7034">
        <v>0</v>
      </c>
      <c r="AZ10" s="7034">
        <v>0</v>
      </c>
      <c r="BA10" s="7507">
        <f>AQ10+AU10+AY10</f>
        <v>0</v>
      </c>
      <c r="BB10" s="7507">
        <f t="shared" ref="BB10" si="32">AR10+AV10+AZ10</f>
        <v>0</v>
      </c>
      <c r="BC10" s="7508">
        <f t="shared" ref="BC10" si="33">AM10+BA10</f>
        <v>0</v>
      </c>
      <c r="BD10" s="7508">
        <f t="shared" ref="BD10" si="34">AN10+BB10</f>
        <v>0</v>
      </c>
      <c r="BE10" s="7509">
        <f>AW10+AY10</f>
        <v>0</v>
      </c>
      <c r="BF10" s="7509">
        <f t="shared" ref="BF10" si="35">AX10+AZ10</f>
        <v>0</v>
      </c>
      <c r="BG10" s="4152"/>
      <c r="BH10" s="4152"/>
      <c r="BI10" s="4152"/>
      <c r="BJ10" s="4152"/>
      <c r="BK10" s="4152"/>
    </row>
    <row r="11" spans="1:63" x14ac:dyDescent="0.25">
      <c r="A11" s="90"/>
      <c r="B11" s="945" t="s">
        <v>2294</v>
      </c>
      <c r="C11" s="7337" t="s">
        <v>50</v>
      </c>
      <c r="D11" s="1819">
        <v>0</v>
      </c>
      <c r="E11" s="1819">
        <v>0</v>
      </c>
      <c r="F11" s="1819">
        <v>0</v>
      </c>
      <c r="G11" s="1819"/>
      <c r="H11" s="1819">
        <v>0</v>
      </c>
      <c r="I11" s="7310">
        <f>E11+G11</f>
        <v>0</v>
      </c>
      <c r="J11" s="7310">
        <f t="shared" si="0"/>
        <v>0</v>
      </c>
      <c r="K11" s="1819">
        <v>0</v>
      </c>
      <c r="L11" s="1819">
        <v>0</v>
      </c>
      <c r="M11" s="7301">
        <f>I11+K11</f>
        <v>0</v>
      </c>
      <c r="N11" s="7301">
        <f t="shared" si="1"/>
        <v>0</v>
      </c>
      <c r="O11" s="1819">
        <v>0</v>
      </c>
      <c r="P11" s="1819">
        <v>64.099999999999994</v>
      </c>
      <c r="Q11" s="7310">
        <f>M11+O11</f>
        <v>0</v>
      </c>
      <c r="R11" s="7310">
        <f t="shared" si="2"/>
        <v>64.099999999999994</v>
      </c>
      <c r="S11" s="1819"/>
      <c r="T11" s="1819">
        <v>1485.1599999999999</v>
      </c>
      <c r="U11" s="7310">
        <f>Q11+S11</f>
        <v>0</v>
      </c>
      <c r="V11" s="7310">
        <f t="shared" si="3"/>
        <v>1549.2599999999998</v>
      </c>
      <c r="W11" s="1819"/>
      <c r="X11" s="1819">
        <v>693.72</v>
      </c>
      <c r="Y11" s="7301">
        <f t="shared" ref="Y11:Y12" si="36">O11+S11+W11</f>
        <v>0</v>
      </c>
      <c r="Z11" s="7301">
        <f t="shared" si="4"/>
        <v>2242.9799999999996</v>
      </c>
      <c r="AA11" s="7302">
        <f>M11+Y11</f>
        <v>0</v>
      </c>
      <c r="AB11" s="7302">
        <f t="shared" si="5"/>
        <v>2242.9799999999996</v>
      </c>
      <c r="AC11" s="1819"/>
      <c r="AD11" s="1819">
        <v>747.82</v>
      </c>
      <c r="AE11" s="7310">
        <f>AA11+AC11</f>
        <v>0</v>
      </c>
      <c r="AF11" s="7310">
        <f t="shared" si="6"/>
        <v>2990.7999999999997</v>
      </c>
      <c r="AG11" s="1819"/>
      <c r="AH11" s="1819"/>
      <c r="AI11" s="7310">
        <f>AE11+AG11</f>
        <v>0</v>
      </c>
      <c r="AJ11" s="7310">
        <f t="shared" si="7"/>
        <v>2990.7999999999997</v>
      </c>
      <c r="AK11" s="1819"/>
      <c r="AL11" s="1819">
        <v>244.1</v>
      </c>
      <c r="AM11" s="7301">
        <f t="shared" ref="AM11:AM12" si="37">AC11+AG11+AK11</f>
        <v>0</v>
      </c>
      <c r="AN11" s="7301">
        <f t="shared" si="8"/>
        <v>991.92000000000007</v>
      </c>
      <c r="AO11" s="7310">
        <f t="shared" ref="AO11:AO13" si="38">AI11+AK11</f>
        <v>0</v>
      </c>
      <c r="AP11" s="7310">
        <f t="shared" si="9"/>
        <v>3234.8999999999996</v>
      </c>
      <c r="AQ11" s="1819">
        <v>0</v>
      </c>
      <c r="AR11" s="1819">
        <v>0</v>
      </c>
      <c r="AS11" s="7310">
        <f>AO11+AQ11</f>
        <v>0</v>
      </c>
      <c r="AT11" s="7310">
        <f t="shared" si="10"/>
        <v>3234.8999999999996</v>
      </c>
      <c r="AU11" s="1819">
        <v>0</v>
      </c>
      <c r="AV11" s="1819">
        <v>311.56</v>
      </c>
      <c r="AW11" s="7310">
        <f>AS11+AU11</f>
        <v>0</v>
      </c>
      <c r="AX11" s="7310">
        <f t="shared" si="11"/>
        <v>3546.4599999999996</v>
      </c>
      <c r="AY11" s="1819"/>
      <c r="AZ11" s="1819">
        <v>0</v>
      </c>
      <c r="BA11" s="7301">
        <f t="shared" ref="BA11:BA12" si="39">AQ11+AU11+AY11</f>
        <v>0</v>
      </c>
      <c r="BB11" s="7301">
        <f t="shared" si="12"/>
        <v>311.56</v>
      </c>
      <c r="BC11" s="7302">
        <f t="shared" si="19"/>
        <v>0</v>
      </c>
      <c r="BD11" s="7302">
        <f t="shared" si="13"/>
        <v>1303.48</v>
      </c>
      <c r="BE11" s="7310">
        <f>AW11+AY11</f>
        <v>0</v>
      </c>
      <c r="BF11" s="7310">
        <f t="shared" si="14"/>
        <v>3546.4599999999996</v>
      </c>
      <c r="BG11" s="4152">
        <f t="shared" si="15"/>
        <v>0</v>
      </c>
      <c r="BH11" s="4152">
        <f t="shared" si="16"/>
        <v>0</v>
      </c>
      <c r="BI11" s="4152"/>
      <c r="BJ11" s="4152">
        <f>AY11+AU11+AQ11+AK11+AG11+AC11-BC11</f>
        <v>0</v>
      </c>
      <c r="BK11" s="4152">
        <f t="shared" si="18"/>
        <v>0</v>
      </c>
    </row>
    <row r="12" spans="1:63" x14ac:dyDescent="0.25">
      <c r="A12" s="90"/>
      <c r="B12" s="945" t="s">
        <v>2295</v>
      </c>
      <c r="C12" s="7337" t="s">
        <v>50</v>
      </c>
      <c r="D12" s="3794">
        <v>999.99999999999943</v>
      </c>
      <c r="E12" s="3794">
        <v>83.3333333333333</v>
      </c>
      <c r="F12" s="1819">
        <v>0</v>
      </c>
      <c r="G12" s="3794">
        <v>83</v>
      </c>
      <c r="H12" s="1819">
        <v>0</v>
      </c>
      <c r="I12" s="7310">
        <f t="shared" ref="I12:I13" si="40">E12+G12</f>
        <v>166.33333333333331</v>
      </c>
      <c r="J12" s="7310">
        <f t="shared" si="0"/>
        <v>0</v>
      </c>
      <c r="K12" s="3794">
        <v>83</v>
      </c>
      <c r="L12" s="1819">
        <v>0</v>
      </c>
      <c r="M12" s="7301">
        <f t="shared" ref="M12" si="41">I12+K12</f>
        <v>249.33333333333331</v>
      </c>
      <c r="N12" s="7301">
        <f t="shared" si="1"/>
        <v>0</v>
      </c>
      <c r="O12" s="3794">
        <v>83</v>
      </c>
      <c r="P12" s="1819">
        <v>0</v>
      </c>
      <c r="Q12" s="7310">
        <f t="shared" ref="Q12:Q13" si="42">M12+O12</f>
        <v>332.33333333333331</v>
      </c>
      <c r="R12" s="7310">
        <f t="shared" si="2"/>
        <v>0</v>
      </c>
      <c r="S12" s="3794">
        <v>83.333333333333329</v>
      </c>
      <c r="T12" s="1819">
        <v>0</v>
      </c>
      <c r="U12" s="7310">
        <f t="shared" ref="U12:U13" si="43">Q12+S12</f>
        <v>415.66666666666663</v>
      </c>
      <c r="V12" s="7310">
        <f t="shared" si="3"/>
        <v>0</v>
      </c>
      <c r="W12" s="3794">
        <v>83.333333333333329</v>
      </c>
      <c r="X12" s="1819"/>
      <c r="Y12" s="7301">
        <f t="shared" si="36"/>
        <v>249.66666666666663</v>
      </c>
      <c r="Z12" s="7301">
        <f t="shared" si="4"/>
        <v>0</v>
      </c>
      <c r="AA12" s="7302">
        <f>M12+Y12</f>
        <v>498.99999999999994</v>
      </c>
      <c r="AB12" s="7302">
        <f t="shared" si="5"/>
        <v>0</v>
      </c>
      <c r="AC12" s="3794">
        <v>83.333333333333329</v>
      </c>
      <c r="AD12" s="1819"/>
      <c r="AE12" s="7310">
        <f t="shared" ref="AE12:AE13" si="44">AA12+AC12</f>
        <v>582.33333333333326</v>
      </c>
      <c r="AF12" s="7310">
        <f t="shared" si="6"/>
        <v>0</v>
      </c>
      <c r="AG12" s="3794">
        <v>83.333333333333329</v>
      </c>
      <c r="AH12" s="1819"/>
      <c r="AI12" s="7310">
        <f t="shared" ref="AI12:AI13" si="45">AE12+AG12</f>
        <v>665.66666666666663</v>
      </c>
      <c r="AJ12" s="7310">
        <f t="shared" si="7"/>
        <v>0</v>
      </c>
      <c r="AK12" s="3794">
        <v>83.333333333333329</v>
      </c>
      <c r="AL12" s="1819">
        <v>0</v>
      </c>
      <c r="AM12" s="7301">
        <f t="shared" si="37"/>
        <v>250</v>
      </c>
      <c r="AN12" s="7301">
        <f t="shared" si="8"/>
        <v>0</v>
      </c>
      <c r="AO12" s="7310">
        <f t="shared" si="38"/>
        <v>749</v>
      </c>
      <c r="AP12" s="7310">
        <f t="shared" si="9"/>
        <v>0</v>
      </c>
      <c r="AQ12" s="3794">
        <v>83.333333333333329</v>
      </c>
      <c r="AR12" s="1819">
        <v>0</v>
      </c>
      <c r="AS12" s="7310">
        <f t="shared" ref="AS12:AS13" si="46">AO12+AQ12</f>
        <v>832.33333333333337</v>
      </c>
      <c r="AT12" s="7310">
        <f t="shared" si="10"/>
        <v>0</v>
      </c>
      <c r="AU12" s="3794">
        <v>83.333333333333329</v>
      </c>
      <c r="AV12" s="1819"/>
      <c r="AW12" s="7310">
        <f t="shared" ref="AW12:AW13" si="47">AS12+AU12</f>
        <v>915.66666666666674</v>
      </c>
      <c r="AX12" s="7310">
        <f t="shared" si="11"/>
        <v>0</v>
      </c>
      <c r="AY12" s="3794">
        <v>83.333333333333329</v>
      </c>
      <c r="AZ12" s="1819">
        <v>0</v>
      </c>
      <c r="BA12" s="7301">
        <f t="shared" si="39"/>
        <v>250</v>
      </c>
      <c r="BB12" s="7301">
        <f t="shared" si="12"/>
        <v>0</v>
      </c>
      <c r="BC12" s="7302">
        <f t="shared" si="19"/>
        <v>500</v>
      </c>
      <c r="BD12" s="7302">
        <f t="shared" si="13"/>
        <v>0</v>
      </c>
      <c r="BE12" s="7310">
        <f t="shared" ref="BE12:BE13" si="48">AW12+AY12</f>
        <v>999.00000000000011</v>
      </c>
      <c r="BF12" s="7310">
        <f t="shared" si="14"/>
        <v>0</v>
      </c>
      <c r="BG12" s="4152">
        <f t="shared" si="15"/>
        <v>0</v>
      </c>
      <c r="BH12" s="4152">
        <f t="shared" si="16"/>
        <v>0</v>
      </c>
      <c r="BI12" s="4152"/>
      <c r="BJ12" s="4152">
        <f t="shared" si="17"/>
        <v>0</v>
      </c>
      <c r="BK12" s="4152">
        <f t="shared" si="18"/>
        <v>0</v>
      </c>
    </row>
    <row r="13" spans="1:63" ht="21.2" customHeight="1" x14ac:dyDescent="0.25">
      <c r="A13" s="90"/>
      <c r="B13" s="3795" t="s">
        <v>2</v>
      </c>
      <c r="C13" s="7337" t="s">
        <v>50</v>
      </c>
      <c r="D13" s="1677">
        <f>SUM(D7:D12)</f>
        <v>520000</v>
      </c>
      <c r="E13" s="1677">
        <f t="shared" ref="E13:F13" si="49">SUM(E7:E12)</f>
        <v>36500</v>
      </c>
      <c r="F13" s="1677">
        <f t="shared" si="49"/>
        <v>41076.229999999996</v>
      </c>
      <c r="G13" s="5566">
        <f t="shared" ref="G13:H13" si="50">SUM(G7:G12)</f>
        <v>44000</v>
      </c>
      <c r="H13" s="5566">
        <f t="shared" si="50"/>
        <v>39367.019999999997</v>
      </c>
      <c r="I13" s="7311">
        <f t="shared" si="40"/>
        <v>80500</v>
      </c>
      <c r="J13" s="7310">
        <f t="shared" si="0"/>
        <v>80443.25</v>
      </c>
      <c r="K13" s="5678">
        <f t="shared" ref="K13:L13" si="51">SUM(K7:K12)</f>
        <v>42500</v>
      </c>
      <c r="L13" s="5678">
        <f t="shared" si="51"/>
        <v>37508.06</v>
      </c>
      <c r="M13" s="7303">
        <f>E13+G13+K13</f>
        <v>123000</v>
      </c>
      <c r="N13" s="7301">
        <f t="shared" si="1"/>
        <v>117951.31</v>
      </c>
      <c r="O13" s="5835">
        <f t="shared" ref="O13:P13" si="52">SUM(O7:O12)</f>
        <v>44000</v>
      </c>
      <c r="P13" s="5835">
        <f t="shared" si="52"/>
        <v>44197.29</v>
      </c>
      <c r="Q13" s="7311">
        <f t="shared" si="42"/>
        <v>167000</v>
      </c>
      <c r="R13" s="7310">
        <f t="shared" si="2"/>
        <v>162148.6</v>
      </c>
      <c r="S13" s="5891">
        <f t="shared" ref="S13:T13" si="53">SUM(S7:S12)</f>
        <v>44000</v>
      </c>
      <c r="T13" s="5891">
        <f t="shared" si="53"/>
        <v>42211.7</v>
      </c>
      <c r="U13" s="7311">
        <f t="shared" si="43"/>
        <v>211000</v>
      </c>
      <c r="V13" s="7310">
        <f t="shared" si="3"/>
        <v>204360.3</v>
      </c>
      <c r="W13" s="6005">
        <f t="shared" ref="W13:X13" si="54">SUM(W7:W12)</f>
        <v>25000</v>
      </c>
      <c r="X13" s="6005">
        <f t="shared" si="54"/>
        <v>37026.69000000001</v>
      </c>
      <c r="Y13" s="7303">
        <f>O13+S13+W13</f>
        <v>113000</v>
      </c>
      <c r="Z13" s="7301">
        <f t="shared" si="4"/>
        <v>123435.68</v>
      </c>
      <c r="AA13" s="513">
        <f>M13+Y13</f>
        <v>236000</v>
      </c>
      <c r="AB13" s="7302">
        <f t="shared" si="5"/>
        <v>241386.99</v>
      </c>
      <c r="AC13" s="6136">
        <f t="shared" ref="AC13:AD13" si="55">SUM(AC7:AC12)</f>
        <v>42500</v>
      </c>
      <c r="AD13" s="6136">
        <f t="shared" si="55"/>
        <v>31780.12</v>
      </c>
      <c r="AE13" s="7311">
        <f t="shared" si="44"/>
        <v>278500</v>
      </c>
      <c r="AF13" s="7310">
        <f t="shared" si="6"/>
        <v>273167.11</v>
      </c>
      <c r="AG13" s="6298">
        <f t="shared" ref="AG13:AH13" si="56">SUM(AG7:AG12)</f>
        <v>42500</v>
      </c>
      <c r="AH13" s="6298">
        <f t="shared" si="56"/>
        <v>38334.735999999997</v>
      </c>
      <c r="AI13" s="7311">
        <f t="shared" si="45"/>
        <v>321000</v>
      </c>
      <c r="AJ13" s="7310">
        <f t="shared" si="7"/>
        <v>311501.84599999996</v>
      </c>
      <c r="AK13" s="6547">
        <f t="shared" ref="AK13:AL13" si="57">SUM(AK7:AK12)</f>
        <v>44000</v>
      </c>
      <c r="AL13" s="6547">
        <f t="shared" si="57"/>
        <v>41431.910000000003</v>
      </c>
      <c r="AM13" s="7303">
        <f>AC13+AG13+AK13</f>
        <v>129000</v>
      </c>
      <c r="AN13" s="7301">
        <f t="shared" si="8"/>
        <v>111546.766</v>
      </c>
      <c r="AO13" s="7311">
        <f t="shared" si="38"/>
        <v>365000</v>
      </c>
      <c r="AP13" s="7310">
        <f t="shared" si="9"/>
        <v>352933.75599999994</v>
      </c>
      <c r="AQ13" s="6641">
        <f t="shared" ref="AQ13:AR13" si="58">SUM(AQ7:AQ12)</f>
        <v>44500</v>
      </c>
      <c r="AR13" s="6641">
        <f t="shared" si="58"/>
        <v>39752.560999999994</v>
      </c>
      <c r="AS13" s="7311">
        <f t="shared" si="46"/>
        <v>409500</v>
      </c>
      <c r="AT13" s="7310">
        <f t="shared" si="10"/>
        <v>392686.31699999992</v>
      </c>
      <c r="AU13" s="6813">
        <f t="shared" ref="AU13:AV13" si="59">SUM(AU7:AU12)</f>
        <v>40000</v>
      </c>
      <c r="AV13" s="6813">
        <f t="shared" si="59"/>
        <v>42183.399999999994</v>
      </c>
      <c r="AW13" s="7311">
        <f t="shared" si="47"/>
        <v>449500</v>
      </c>
      <c r="AX13" s="7310">
        <f t="shared" si="11"/>
        <v>434869.71699999995</v>
      </c>
      <c r="AY13" s="6955">
        <f t="shared" ref="AY13:AZ13" si="60">SUM(AY7:AY12)</f>
        <v>44500</v>
      </c>
      <c r="AZ13" s="6955">
        <f t="shared" si="60"/>
        <v>48073.319999999992</v>
      </c>
      <c r="BA13" s="7303">
        <f>AQ13+AU13+AY13</f>
        <v>129000</v>
      </c>
      <c r="BB13" s="7347">
        <f t="shared" si="12"/>
        <v>130009.28099999997</v>
      </c>
      <c r="BC13" s="513">
        <f>AM13+BA13</f>
        <v>258000</v>
      </c>
      <c r="BD13" s="7382">
        <f t="shared" si="13"/>
        <v>241556.04699999996</v>
      </c>
      <c r="BE13" s="7311">
        <f t="shared" si="48"/>
        <v>494000</v>
      </c>
      <c r="BF13" s="7345">
        <f t="shared" si="14"/>
        <v>482943.03699999995</v>
      </c>
      <c r="BG13" s="4152">
        <f t="shared" si="15"/>
        <v>0</v>
      </c>
      <c r="BH13" s="4152">
        <f t="shared" si="16"/>
        <v>0</v>
      </c>
      <c r="BI13" s="4152"/>
      <c r="BJ13" s="4152">
        <f t="shared" si="17"/>
        <v>0</v>
      </c>
      <c r="BK13" s="4152">
        <f t="shared" si="18"/>
        <v>0</v>
      </c>
    </row>
    <row r="14" spans="1:63" x14ac:dyDescent="0.25">
      <c r="A14" s="2094"/>
      <c r="B14" s="3793" t="s">
        <v>95</v>
      </c>
      <c r="C14" s="3796"/>
      <c r="D14" s="3796"/>
      <c r="E14" s="3796"/>
      <c r="F14" s="3796"/>
      <c r="G14" s="3796"/>
      <c r="H14" s="3796"/>
      <c r="I14" s="7353"/>
      <c r="J14" s="7310"/>
      <c r="K14" s="3796"/>
      <c r="L14" s="3796"/>
      <c r="M14" s="7366"/>
      <c r="N14" s="7301"/>
      <c r="O14" s="3796"/>
      <c r="P14" s="3796"/>
      <c r="Q14" s="7353"/>
      <c r="R14" s="7310"/>
      <c r="S14" s="3796"/>
      <c r="T14" s="3796"/>
      <c r="U14" s="7353"/>
      <c r="V14" s="7310"/>
      <c r="W14" s="3796"/>
      <c r="X14" s="3796"/>
      <c r="Y14" s="7366"/>
      <c r="Z14" s="7301"/>
      <c r="AA14" s="7377"/>
      <c r="AB14" s="7302"/>
      <c r="AC14" s="3796"/>
      <c r="AD14" s="3796"/>
      <c r="AE14" s="7353"/>
      <c r="AF14" s="7310"/>
      <c r="AG14" s="3796"/>
      <c r="AH14" s="3796"/>
      <c r="AI14" s="7353"/>
      <c r="AJ14" s="7310"/>
      <c r="AK14" s="3796"/>
      <c r="AL14" s="3796"/>
      <c r="AM14" s="7366"/>
      <c r="AN14" s="7301"/>
      <c r="AO14" s="7353"/>
      <c r="AP14" s="7310"/>
      <c r="AQ14" s="3796"/>
      <c r="AR14" s="3796"/>
      <c r="AS14" s="7353"/>
      <c r="AT14" s="7310"/>
      <c r="AU14" s="3796"/>
      <c r="AV14" s="3796"/>
      <c r="AW14" s="7353"/>
      <c r="AX14" s="7310"/>
      <c r="AY14" s="3796"/>
      <c r="AZ14" s="3796"/>
      <c r="BA14" s="7366"/>
      <c r="BB14" s="7301"/>
      <c r="BC14" s="7377"/>
      <c r="BD14" s="7302"/>
      <c r="BE14" s="7353"/>
      <c r="BF14" s="7310"/>
      <c r="BG14" s="4152"/>
      <c r="BH14" s="4152"/>
      <c r="BI14" s="4152"/>
      <c r="BJ14" s="4152"/>
      <c r="BK14" s="4152"/>
    </row>
    <row r="15" spans="1:63" x14ac:dyDescent="0.25">
      <c r="A15" s="90"/>
      <c r="B15" s="945" t="s">
        <v>75</v>
      </c>
      <c r="C15" s="7337" t="s">
        <v>50</v>
      </c>
      <c r="D15" s="7864">
        <v>990000</v>
      </c>
      <c r="E15" s="7949">
        <f>'Maj Production Summ'!E31-E17-E19-E20</f>
        <v>68500</v>
      </c>
      <c r="F15" s="1819">
        <v>36725.68</v>
      </c>
      <c r="G15" s="7949">
        <f>'Maj Production Summ'!G31-G17-G19-G20</f>
        <v>78545.454545454544</v>
      </c>
      <c r="H15" s="1819">
        <v>32188.05999999999</v>
      </c>
      <c r="I15" s="7952">
        <f>E15+G15</f>
        <v>147045.45454545453</v>
      </c>
      <c r="J15" s="7310">
        <f t="shared" si="0"/>
        <v>68913.739999999991</v>
      </c>
      <c r="K15" s="7949">
        <f>'Maj Production Summ'!K31-K17-K19-K20</f>
        <v>75545.454545454544</v>
      </c>
      <c r="L15" s="1819">
        <v>28567.620000000006</v>
      </c>
      <c r="M15" s="7713">
        <f>I15+K15</f>
        <v>222590.90909090906</v>
      </c>
      <c r="N15" s="7301">
        <f t="shared" si="1"/>
        <v>97481.36</v>
      </c>
      <c r="O15" s="7949">
        <f>'Maj Production Summ'!O31-O17-O19-O20</f>
        <v>78545.454545454544</v>
      </c>
      <c r="P15" s="1819">
        <v>33905.25</v>
      </c>
      <c r="Q15" s="7952">
        <f>M15+O15</f>
        <v>301136.36363636359</v>
      </c>
      <c r="R15" s="7310">
        <f t="shared" si="2"/>
        <v>131386.60999999999</v>
      </c>
      <c r="S15" s="7949">
        <f>'Maj Production Summ'!S31-S17-S19-S20</f>
        <v>78545.454545454544</v>
      </c>
      <c r="T15" s="1819">
        <v>36439.46</v>
      </c>
      <c r="U15" s="7952">
        <f>Q15+S15</f>
        <v>379681.81818181812</v>
      </c>
      <c r="V15" s="7310">
        <f t="shared" si="3"/>
        <v>167826.06999999998</v>
      </c>
      <c r="W15" s="7949">
        <f>'Maj Production Summ'!W31-W17-W19-W20</f>
        <v>47500</v>
      </c>
      <c r="X15" s="1819">
        <v>31398.73</v>
      </c>
      <c r="Y15" s="7713">
        <f t="shared" ref="Y15:Y20" si="61">O15+S15+W15</f>
        <v>204590.90909090909</v>
      </c>
      <c r="Z15" s="7301">
        <f t="shared" si="4"/>
        <v>101743.43999999999</v>
      </c>
      <c r="AA15" s="7735">
        <f>M15+Y15</f>
        <v>427181.81818181812</v>
      </c>
      <c r="AB15" s="7302">
        <f t="shared" si="5"/>
        <v>199224.8</v>
      </c>
      <c r="AC15" s="7949">
        <f>'Maj Production Summ'!AC31-AC17-AC19-AC20</f>
        <v>77545.454545454544</v>
      </c>
      <c r="AD15" s="1819">
        <v>19803.409999999996</v>
      </c>
      <c r="AE15" s="7952">
        <f>AA15+AC15</f>
        <v>504727.27272727265</v>
      </c>
      <c r="AF15" s="7310">
        <f t="shared" si="6"/>
        <v>219028.21</v>
      </c>
      <c r="AG15" s="7949">
        <f>'Maj Production Summ'!AG31-AG17-AG19-AG20</f>
        <v>75545.454545454544</v>
      </c>
      <c r="AH15" s="1819">
        <v>32435.45</v>
      </c>
      <c r="AI15" s="7953">
        <f>AE15+AG15</f>
        <v>580272.72727272718</v>
      </c>
      <c r="AJ15" s="7310">
        <f t="shared" si="7"/>
        <v>251463.66</v>
      </c>
      <c r="AK15" s="7949">
        <f>'Maj Production Summ'!AK31-AK17-AK19-AK20</f>
        <v>78545.454545454544</v>
      </c>
      <c r="AL15" s="1819">
        <v>48310.77</v>
      </c>
      <c r="AM15" s="7713">
        <f t="shared" ref="AM15:AM20" si="62">AC15+AG15+AK15</f>
        <v>231636.36363636365</v>
      </c>
      <c r="AN15" s="7301">
        <f t="shared" si="8"/>
        <v>100549.63</v>
      </c>
      <c r="AO15" s="7952">
        <f>AI15+AK15</f>
        <v>658818.18181818177</v>
      </c>
      <c r="AP15" s="7310">
        <f t="shared" si="9"/>
        <v>299774.43</v>
      </c>
      <c r="AQ15" s="7949">
        <f>'Maj Production Summ'!AQ31-AQ17-AQ19-AQ20</f>
        <v>78545.454545454544</v>
      </c>
      <c r="AR15" s="1819">
        <v>45557.57</v>
      </c>
      <c r="AS15" s="7953">
        <f>AO15+AQ15</f>
        <v>737363.63636363635</v>
      </c>
      <c r="AT15" s="7310">
        <f t="shared" si="10"/>
        <v>345332</v>
      </c>
      <c r="AU15" s="7949">
        <f>'Maj Production Summ'!AU31-AU17-AU19-AU20</f>
        <v>71045.454545454544</v>
      </c>
      <c r="AV15" s="1819">
        <v>52298.890000000014</v>
      </c>
      <c r="AW15" s="7953">
        <f>AS15+AU15</f>
        <v>808409.09090909094</v>
      </c>
      <c r="AX15" s="7310">
        <f t="shared" si="11"/>
        <v>397630.89</v>
      </c>
      <c r="AY15" s="7949">
        <f>'Maj Production Summ'!AY31-AY17-AY19-AY20</f>
        <v>79545.454545454544</v>
      </c>
      <c r="AZ15" s="1819">
        <v>43927.470000000008</v>
      </c>
      <c r="BA15" s="7713">
        <f t="shared" ref="BA15:BA20" si="63">AQ15+AU15+AY15</f>
        <v>229136.36363636365</v>
      </c>
      <c r="BB15" s="7301">
        <f t="shared" si="12"/>
        <v>141783.93000000002</v>
      </c>
      <c r="BC15" s="7735">
        <f>AM15+BA15</f>
        <v>460772.72727272729</v>
      </c>
      <c r="BD15" s="7302">
        <f t="shared" si="13"/>
        <v>242333.56000000003</v>
      </c>
      <c r="BE15" s="7953">
        <f>AW15+AY15</f>
        <v>887954.54545454553</v>
      </c>
      <c r="BF15" s="7310">
        <f t="shared" si="14"/>
        <v>441558.36000000004</v>
      </c>
      <c r="BG15" s="4152">
        <f t="shared" si="15"/>
        <v>0</v>
      </c>
      <c r="BH15" s="4152">
        <f t="shared" si="16"/>
        <v>0</v>
      </c>
      <c r="BI15" s="4152"/>
      <c r="BJ15" s="4152">
        <f t="shared" si="17"/>
        <v>0</v>
      </c>
      <c r="BK15" s="4152">
        <f t="shared" si="18"/>
        <v>0</v>
      </c>
    </row>
    <row r="16" spans="1:63" x14ac:dyDescent="0.25">
      <c r="A16" s="90"/>
      <c r="B16" s="945" t="s">
        <v>76</v>
      </c>
      <c r="C16" s="7337" t="s">
        <v>50</v>
      </c>
      <c r="D16" s="7865"/>
      <c r="E16" s="7949"/>
      <c r="F16" s="2237">
        <v>41973.05</v>
      </c>
      <c r="G16" s="7949"/>
      <c r="H16" s="5568">
        <v>35159.839999999997</v>
      </c>
      <c r="I16" s="7952"/>
      <c r="J16" s="7310">
        <f t="shared" si="0"/>
        <v>77132.89</v>
      </c>
      <c r="K16" s="7949"/>
      <c r="L16" s="5680">
        <v>44608.009999999987</v>
      </c>
      <c r="M16" s="7713"/>
      <c r="N16" s="7301">
        <f t="shared" si="1"/>
        <v>121740.9</v>
      </c>
      <c r="O16" s="7949"/>
      <c r="P16" s="5837">
        <v>50197.250000000015</v>
      </c>
      <c r="Q16" s="7952"/>
      <c r="R16" s="7310">
        <f t="shared" si="2"/>
        <v>171938.15000000002</v>
      </c>
      <c r="S16" s="7949"/>
      <c r="T16" s="5893">
        <v>50466.469999999994</v>
      </c>
      <c r="U16" s="7952"/>
      <c r="V16" s="7310">
        <f t="shared" si="3"/>
        <v>222404.62000000002</v>
      </c>
      <c r="W16" s="7949"/>
      <c r="X16" s="6007">
        <v>37241.360000000008</v>
      </c>
      <c r="Y16" s="7713">
        <f t="shared" si="61"/>
        <v>0</v>
      </c>
      <c r="Z16" s="7301">
        <f t="shared" si="4"/>
        <v>137905.08000000002</v>
      </c>
      <c r="AA16" s="7735"/>
      <c r="AB16" s="7302">
        <f t="shared" si="5"/>
        <v>259645.98</v>
      </c>
      <c r="AC16" s="7949"/>
      <c r="AD16" s="6138">
        <v>32457.000000000011</v>
      </c>
      <c r="AE16" s="7952"/>
      <c r="AF16" s="7310">
        <f t="shared" si="6"/>
        <v>292102.98000000004</v>
      </c>
      <c r="AG16" s="7949"/>
      <c r="AH16" s="6300">
        <v>37655.719000000005</v>
      </c>
      <c r="AI16" s="7951"/>
      <c r="AJ16" s="7310">
        <f t="shared" si="7"/>
        <v>329758.69900000002</v>
      </c>
      <c r="AK16" s="7949"/>
      <c r="AL16" s="6549">
        <v>34926.51</v>
      </c>
      <c r="AM16" s="7713">
        <f t="shared" si="62"/>
        <v>0</v>
      </c>
      <c r="AN16" s="7301">
        <f t="shared" si="8"/>
        <v>105039.22900000002</v>
      </c>
      <c r="AO16" s="7952"/>
      <c r="AP16" s="7310">
        <f t="shared" si="9"/>
        <v>364685.20900000003</v>
      </c>
      <c r="AQ16" s="7949"/>
      <c r="AR16" s="6643">
        <v>33978.500000000007</v>
      </c>
      <c r="AS16" s="7951"/>
      <c r="AT16" s="7310">
        <f t="shared" si="10"/>
        <v>398663.70900000003</v>
      </c>
      <c r="AU16" s="7949"/>
      <c r="AV16" s="6815">
        <v>25260.400000000001</v>
      </c>
      <c r="AW16" s="7951"/>
      <c r="AX16" s="7310">
        <f t="shared" si="11"/>
        <v>423924.10900000005</v>
      </c>
      <c r="AY16" s="7949"/>
      <c r="AZ16" s="6957">
        <v>37714.839999999997</v>
      </c>
      <c r="BA16" s="7713">
        <f t="shared" si="63"/>
        <v>0</v>
      </c>
      <c r="BB16" s="7301">
        <f t="shared" si="12"/>
        <v>96953.74</v>
      </c>
      <c r="BC16" s="7735"/>
      <c r="BD16" s="7302">
        <f t="shared" si="13"/>
        <v>201992.96900000004</v>
      </c>
      <c r="BE16" s="7951"/>
      <c r="BF16" s="7310">
        <f t="shared" si="14"/>
        <v>461638.94900000002</v>
      </c>
      <c r="BG16" s="4152">
        <f t="shared" si="15"/>
        <v>0</v>
      </c>
      <c r="BH16" s="4152">
        <f t="shared" si="16"/>
        <v>0</v>
      </c>
      <c r="BI16" s="4152"/>
      <c r="BJ16" s="4152">
        <f t="shared" si="17"/>
        <v>0</v>
      </c>
      <c r="BK16" s="4152">
        <f t="shared" si="18"/>
        <v>0</v>
      </c>
    </row>
    <row r="17" spans="1:68" x14ac:dyDescent="0.25">
      <c r="A17" s="90"/>
      <c r="B17" s="945" t="s">
        <v>137</v>
      </c>
      <c r="C17" s="7337" t="s">
        <v>50</v>
      </c>
      <c r="D17" s="2237">
        <v>0</v>
      </c>
      <c r="E17" s="2237">
        <v>0</v>
      </c>
      <c r="F17" s="1819">
        <v>0</v>
      </c>
      <c r="G17" s="5568">
        <v>454.54545454545456</v>
      </c>
      <c r="H17" s="1819"/>
      <c r="I17" s="7310">
        <f t="shared" ref="I17:I21" si="64">E17+G17</f>
        <v>454.54545454545456</v>
      </c>
      <c r="J17" s="7310">
        <f t="shared" si="0"/>
        <v>0</v>
      </c>
      <c r="K17" s="5680">
        <v>454.54545454545456</v>
      </c>
      <c r="L17" s="1819"/>
      <c r="M17" s="7301">
        <f t="shared" ref="M17:M20" si="65">I17+K17</f>
        <v>909.09090909090912</v>
      </c>
      <c r="N17" s="7301">
        <f t="shared" si="1"/>
        <v>0</v>
      </c>
      <c r="O17" s="5837">
        <v>454.54545454545456</v>
      </c>
      <c r="P17" s="1819"/>
      <c r="Q17" s="7310">
        <f t="shared" ref="Q17:Q21" si="66">M17+O17</f>
        <v>1363.6363636363637</v>
      </c>
      <c r="R17" s="7310">
        <f t="shared" si="2"/>
        <v>0</v>
      </c>
      <c r="S17" s="5893">
        <v>454.54545454545456</v>
      </c>
      <c r="T17" s="1819"/>
      <c r="U17" s="7310">
        <f t="shared" ref="U17:U21" si="67">Q17+S17</f>
        <v>1818.1818181818182</v>
      </c>
      <c r="V17" s="7310">
        <f t="shared" si="3"/>
        <v>0</v>
      </c>
      <c r="W17" s="6007"/>
      <c r="X17" s="1819">
        <v>49.900000000000006</v>
      </c>
      <c r="Y17" s="7301">
        <f t="shared" si="61"/>
        <v>909.09090909090912</v>
      </c>
      <c r="Z17" s="7301">
        <f t="shared" si="4"/>
        <v>49.900000000000006</v>
      </c>
      <c r="AA17" s="7302">
        <f>M17+Y17</f>
        <v>1818.1818181818182</v>
      </c>
      <c r="AB17" s="7302">
        <f t="shared" si="5"/>
        <v>49.900000000000006</v>
      </c>
      <c r="AC17" s="6138">
        <v>454.54545454545456</v>
      </c>
      <c r="AD17" s="1819"/>
      <c r="AE17" s="7310">
        <f t="shared" ref="AE17:AE21" si="68">AA17+AC17</f>
        <v>2272.727272727273</v>
      </c>
      <c r="AF17" s="7310">
        <f t="shared" si="6"/>
        <v>49.900000000000006</v>
      </c>
      <c r="AG17" s="6300">
        <v>454.54545454545456</v>
      </c>
      <c r="AH17" s="1819"/>
      <c r="AI17" s="7310">
        <f t="shared" ref="AI17:AI21" si="69">AE17+AG17</f>
        <v>2727.2727272727275</v>
      </c>
      <c r="AJ17" s="7310">
        <f t="shared" si="7"/>
        <v>49.900000000000006</v>
      </c>
      <c r="AK17" s="6549">
        <v>454.54545454545456</v>
      </c>
      <c r="AL17" s="1819"/>
      <c r="AM17" s="7301">
        <f t="shared" si="62"/>
        <v>1363.6363636363637</v>
      </c>
      <c r="AN17" s="7301">
        <f t="shared" si="8"/>
        <v>0</v>
      </c>
      <c r="AO17" s="7310">
        <f>AI17+AK17</f>
        <v>3181.818181818182</v>
      </c>
      <c r="AP17" s="7310">
        <f t="shared" si="9"/>
        <v>49.900000000000006</v>
      </c>
      <c r="AQ17" s="6643">
        <v>454.54545454545456</v>
      </c>
      <c r="AR17" s="1819">
        <v>0</v>
      </c>
      <c r="AS17" s="7310">
        <f t="shared" ref="AS17:AS21" si="70">AO17+AQ17</f>
        <v>3636.3636363636365</v>
      </c>
      <c r="AT17" s="7310">
        <f t="shared" si="10"/>
        <v>49.900000000000006</v>
      </c>
      <c r="AU17" s="6815">
        <v>454.54545454545456</v>
      </c>
      <c r="AV17" s="1819"/>
      <c r="AW17" s="7310">
        <f t="shared" ref="AW17:AW21" si="71">AS17+AU17</f>
        <v>4090.909090909091</v>
      </c>
      <c r="AX17" s="7310">
        <f t="shared" si="11"/>
        <v>49.900000000000006</v>
      </c>
      <c r="AY17" s="6957">
        <v>454.54545454545456</v>
      </c>
      <c r="AZ17" s="1819">
        <v>0</v>
      </c>
      <c r="BA17" s="7301">
        <f t="shared" si="63"/>
        <v>1363.6363636363637</v>
      </c>
      <c r="BB17" s="7301">
        <f t="shared" si="12"/>
        <v>0</v>
      </c>
      <c r="BC17" s="7302">
        <f t="shared" ref="BC17:BC20" si="72">AM17+BA17</f>
        <v>2727.2727272727275</v>
      </c>
      <c r="BD17" s="7302">
        <f t="shared" si="13"/>
        <v>0</v>
      </c>
      <c r="BE17" s="7310">
        <f t="shared" ref="BE17:BE21" si="73">AW17+AY17</f>
        <v>4545.454545454546</v>
      </c>
      <c r="BF17" s="7310">
        <f t="shared" si="14"/>
        <v>49.900000000000006</v>
      </c>
      <c r="BG17" s="4152">
        <f t="shared" si="15"/>
        <v>0</v>
      </c>
      <c r="BH17" s="4152">
        <f t="shared" si="16"/>
        <v>0</v>
      </c>
      <c r="BI17" s="4152"/>
      <c r="BJ17" s="4152">
        <f t="shared" si="17"/>
        <v>0</v>
      </c>
      <c r="BK17" s="4152">
        <f t="shared" si="18"/>
        <v>0</v>
      </c>
    </row>
    <row r="18" spans="1:68" s="7442" customFormat="1" x14ac:dyDescent="0.25">
      <c r="A18" s="90"/>
      <c r="B18" s="7350" t="s">
        <v>2296</v>
      </c>
      <c r="C18" s="7046" t="s">
        <v>50</v>
      </c>
      <c r="D18" s="7040">
        <v>0</v>
      </c>
      <c r="E18" s="7040">
        <v>0</v>
      </c>
      <c r="F18" s="7034">
        <v>0</v>
      </c>
      <c r="G18" s="7040">
        <v>0</v>
      </c>
      <c r="H18" s="7034">
        <v>0</v>
      </c>
      <c r="I18" s="7509">
        <f t="shared" ref="I18" si="74">E18+G18</f>
        <v>0</v>
      </c>
      <c r="J18" s="7509">
        <f t="shared" ref="J18" si="75">F18+H18</f>
        <v>0</v>
      </c>
      <c r="K18" s="7040">
        <v>0</v>
      </c>
      <c r="L18" s="7034">
        <v>0</v>
      </c>
      <c r="M18" s="7507">
        <f t="shared" ref="M18" si="76">I18+K18</f>
        <v>0</v>
      </c>
      <c r="N18" s="7507">
        <f t="shared" ref="N18" si="77">J18+L18</f>
        <v>0</v>
      </c>
      <c r="O18" s="7040">
        <v>0</v>
      </c>
      <c r="P18" s="7034">
        <v>0</v>
      </c>
      <c r="Q18" s="7509">
        <f t="shared" ref="Q18" si="78">M18+O18</f>
        <v>0</v>
      </c>
      <c r="R18" s="7509">
        <f t="shared" ref="R18" si="79">N18+P18</f>
        <v>0</v>
      </c>
      <c r="S18" s="7040">
        <v>0</v>
      </c>
      <c r="T18" s="7034">
        <v>0</v>
      </c>
      <c r="U18" s="7509">
        <f t="shared" ref="U18" si="80">Q18+S18</f>
        <v>0</v>
      </c>
      <c r="V18" s="7509">
        <f t="shared" ref="V18" si="81">R18+T18</f>
        <v>0</v>
      </c>
      <c r="W18" s="7040">
        <v>0</v>
      </c>
      <c r="X18" s="7034">
        <v>0</v>
      </c>
      <c r="Y18" s="7507">
        <f t="shared" ref="Y18" si="82">O18+S18+W18</f>
        <v>0</v>
      </c>
      <c r="Z18" s="7507">
        <f t="shared" ref="Z18" si="83">P18+T18+X18</f>
        <v>0</v>
      </c>
      <c r="AA18" s="7508">
        <f>M18+Y18</f>
        <v>0</v>
      </c>
      <c r="AB18" s="7508">
        <f t="shared" ref="AB18" si="84">N18+Z18</f>
        <v>0</v>
      </c>
      <c r="AC18" s="7040">
        <v>0</v>
      </c>
      <c r="AD18" s="7034">
        <v>0</v>
      </c>
      <c r="AE18" s="7509">
        <f t="shared" ref="AE18" si="85">AA18+AC18</f>
        <v>0</v>
      </c>
      <c r="AF18" s="7509">
        <f t="shared" ref="AF18" si="86">AB18+AD18</f>
        <v>0</v>
      </c>
      <c r="AG18" s="7040">
        <v>0</v>
      </c>
      <c r="AH18" s="7034">
        <v>0</v>
      </c>
      <c r="AI18" s="7509">
        <f t="shared" ref="AI18" si="87">AE18+AG18</f>
        <v>0</v>
      </c>
      <c r="AJ18" s="7509">
        <f t="shared" ref="AJ18" si="88">AF18+AH18</f>
        <v>0</v>
      </c>
      <c r="AK18" s="7040">
        <v>0</v>
      </c>
      <c r="AL18" s="7034">
        <v>0</v>
      </c>
      <c r="AM18" s="7507">
        <f t="shared" ref="AM18" si="89">AC18+AG18+AK18</f>
        <v>0</v>
      </c>
      <c r="AN18" s="7507">
        <f t="shared" ref="AN18" si="90">AD18+AH18+AL18</f>
        <v>0</v>
      </c>
      <c r="AO18" s="7509">
        <f>AI18+AK18</f>
        <v>0</v>
      </c>
      <c r="AP18" s="7509">
        <f t="shared" ref="AP18" si="91">AJ18+AL18</f>
        <v>0</v>
      </c>
      <c r="AQ18" s="7040">
        <v>0</v>
      </c>
      <c r="AR18" s="7034">
        <v>0</v>
      </c>
      <c r="AS18" s="7509">
        <f t="shared" ref="AS18" si="92">AO18+AQ18</f>
        <v>0</v>
      </c>
      <c r="AT18" s="7509">
        <f t="shared" ref="AT18" si="93">AP18+AR18</f>
        <v>0</v>
      </c>
      <c r="AU18" s="7040">
        <v>0</v>
      </c>
      <c r="AV18" s="7034">
        <v>0</v>
      </c>
      <c r="AW18" s="7509">
        <f t="shared" ref="AW18" si="94">AS18+AU18</f>
        <v>0</v>
      </c>
      <c r="AX18" s="7509">
        <f t="shared" ref="AX18" si="95">AT18+AV18</f>
        <v>0</v>
      </c>
      <c r="AY18" s="7040"/>
      <c r="AZ18" s="7034"/>
      <c r="BA18" s="7507">
        <f t="shared" ref="BA18" si="96">AQ18+AU18+AY18</f>
        <v>0</v>
      </c>
      <c r="BB18" s="7507">
        <f t="shared" ref="BB18" si="97">AR18+AV18+AZ18</f>
        <v>0</v>
      </c>
      <c r="BC18" s="7508">
        <f t="shared" ref="BC18" si="98">AM18+BA18</f>
        <v>0</v>
      </c>
      <c r="BD18" s="7508">
        <f t="shared" ref="BD18" si="99">AN18+BB18</f>
        <v>0</v>
      </c>
      <c r="BE18" s="7509">
        <f t="shared" ref="BE18" si="100">AW18+AY18</f>
        <v>0</v>
      </c>
      <c r="BF18" s="7509">
        <f t="shared" ref="BF18" si="101">AX18+AZ18</f>
        <v>0</v>
      </c>
      <c r="BG18" s="4152"/>
      <c r="BH18" s="4152"/>
      <c r="BI18" s="4152"/>
      <c r="BJ18" s="4152"/>
      <c r="BK18" s="4152"/>
    </row>
    <row r="19" spans="1:68" x14ac:dyDescent="0.25">
      <c r="A19" s="90"/>
      <c r="B19" s="945" t="s">
        <v>2294</v>
      </c>
      <c r="C19" s="7337" t="s">
        <v>50</v>
      </c>
      <c r="D19" s="1819">
        <v>0</v>
      </c>
      <c r="E19" s="1819">
        <v>0</v>
      </c>
      <c r="F19" s="1819">
        <v>0</v>
      </c>
      <c r="G19" s="1819">
        <v>0</v>
      </c>
      <c r="H19" s="1819"/>
      <c r="I19" s="7310">
        <f t="shared" si="64"/>
        <v>0</v>
      </c>
      <c r="J19" s="7310">
        <f t="shared" si="0"/>
        <v>0</v>
      </c>
      <c r="K19" s="1819">
        <v>0</v>
      </c>
      <c r="L19" s="1819"/>
      <c r="M19" s="7301">
        <f t="shared" si="65"/>
        <v>0</v>
      </c>
      <c r="N19" s="7301">
        <f t="shared" si="1"/>
        <v>0</v>
      </c>
      <c r="O19" s="1819">
        <v>0</v>
      </c>
      <c r="P19" s="1819"/>
      <c r="Q19" s="7310">
        <f t="shared" si="66"/>
        <v>0</v>
      </c>
      <c r="R19" s="7310">
        <f t="shared" si="2"/>
        <v>0</v>
      </c>
      <c r="S19" s="1819"/>
      <c r="T19" s="1819"/>
      <c r="U19" s="7310">
        <f t="shared" si="67"/>
        <v>0</v>
      </c>
      <c r="V19" s="7310">
        <f t="shared" si="3"/>
        <v>0</v>
      </c>
      <c r="W19" s="1819"/>
      <c r="X19" s="1819"/>
      <c r="Y19" s="7301">
        <f t="shared" si="61"/>
        <v>0</v>
      </c>
      <c r="Z19" s="7301">
        <f t="shared" si="4"/>
        <v>0</v>
      </c>
      <c r="AA19" s="7302">
        <f>M19+Y19</f>
        <v>0</v>
      </c>
      <c r="AB19" s="7302">
        <f t="shared" si="5"/>
        <v>0</v>
      </c>
      <c r="AC19" s="1819"/>
      <c r="AD19" s="1819"/>
      <c r="AE19" s="7310">
        <f t="shared" si="68"/>
        <v>0</v>
      </c>
      <c r="AF19" s="7310">
        <f t="shared" si="6"/>
        <v>0</v>
      </c>
      <c r="AG19" s="1819">
        <v>0</v>
      </c>
      <c r="AH19" s="1819"/>
      <c r="AI19" s="7310">
        <f t="shared" si="69"/>
        <v>0</v>
      </c>
      <c r="AJ19" s="7310">
        <f t="shared" si="7"/>
        <v>0</v>
      </c>
      <c r="AK19" s="1819"/>
      <c r="AL19" s="1819"/>
      <c r="AM19" s="7301">
        <f t="shared" si="62"/>
        <v>0</v>
      </c>
      <c r="AN19" s="7301">
        <f t="shared" si="8"/>
        <v>0</v>
      </c>
      <c r="AO19" s="7310">
        <f t="shared" ref="AO19:AO21" si="102">AI19+AK19</f>
        <v>0</v>
      </c>
      <c r="AP19" s="7310">
        <f t="shared" si="9"/>
        <v>0</v>
      </c>
      <c r="AQ19" s="1819">
        <v>0</v>
      </c>
      <c r="AR19" s="1819">
        <v>0</v>
      </c>
      <c r="AS19" s="7310">
        <f t="shared" si="70"/>
        <v>0</v>
      </c>
      <c r="AT19" s="7310">
        <f t="shared" si="10"/>
        <v>0</v>
      </c>
      <c r="AU19" s="1819"/>
      <c r="AV19" s="1819"/>
      <c r="AW19" s="7310">
        <f t="shared" si="71"/>
        <v>0</v>
      </c>
      <c r="AX19" s="7310">
        <f t="shared" si="11"/>
        <v>0</v>
      </c>
      <c r="AY19" s="1819"/>
      <c r="AZ19" s="1819">
        <v>0</v>
      </c>
      <c r="BA19" s="7301">
        <f t="shared" si="63"/>
        <v>0</v>
      </c>
      <c r="BB19" s="7301">
        <f t="shared" si="12"/>
        <v>0</v>
      </c>
      <c r="BC19" s="7302">
        <f t="shared" si="72"/>
        <v>0</v>
      </c>
      <c r="BD19" s="7302">
        <f t="shared" si="13"/>
        <v>0</v>
      </c>
      <c r="BE19" s="7310">
        <f t="shared" si="73"/>
        <v>0</v>
      </c>
      <c r="BF19" s="7310">
        <f t="shared" si="14"/>
        <v>0</v>
      </c>
      <c r="BG19" s="4152">
        <f t="shared" si="15"/>
        <v>0</v>
      </c>
      <c r="BH19" s="4152">
        <f t="shared" si="16"/>
        <v>0</v>
      </c>
      <c r="BI19" s="4152"/>
      <c r="BJ19" s="4152">
        <f t="shared" si="17"/>
        <v>0</v>
      </c>
      <c r="BK19" s="4152">
        <f t="shared" si="18"/>
        <v>0</v>
      </c>
    </row>
    <row r="20" spans="1:68" x14ac:dyDescent="0.25">
      <c r="A20" s="90"/>
      <c r="B20" s="945" t="s">
        <v>2295</v>
      </c>
      <c r="C20" s="7337" t="s">
        <v>50</v>
      </c>
      <c r="D20" s="2237">
        <v>0</v>
      </c>
      <c r="E20" s="2237">
        <v>0</v>
      </c>
      <c r="F20" s="1819">
        <v>0</v>
      </c>
      <c r="G20" s="5568">
        <v>0</v>
      </c>
      <c r="H20" s="1819"/>
      <c r="I20" s="7310">
        <f t="shared" si="64"/>
        <v>0</v>
      </c>
      <c r="J20" s="7310">
        <f t="shared" si="0"/>
        <v>0</v>
      </c>
      <c r="K20" s="5680">
        <v>0</v>
      </c>
      <c r="L20" s="1819"/>
      <c r="M20" s="7301">
        <f t="shared" si="65"/>
        <v>0</v>
      </c>
      <c r="N20" s="7301">
        <f t="shared" si="1"/>
        <v>0</v>
      </c>
      <c r="O20" s="5837">
        <v>0</v>
      </c>
      <c r="P20" s="1819"/>
      <c r="Q20" s="7310">
        <f t="shared" si="66"/>
        <v>0</v>
      </c>
      <c r="R20" s="7310">
        <f t="shared" si="2"/>
        <v>0</v>
      </c>
      <c r="S20" s="5893"/>
      <c r="T20" s="1819"/>
      <c r="U20" s="7310">
        <f t="shared" si="67"/>
        <v>0</v>
      </c>
      <c r="V20" s="7310">
        <f t="shared" si="3"/>
        <v>0</v>
      </c>
      <c r="W20" s="6007"/>
      <c r="X20" s="1819"/>
      <c r="Y20" s="7301">
        <f t="shared" si="61"/>
        <v>0</v>
      </c>
      <c r="Z20" s="7301">
        <f t="shared" si="4"/>
        <v>0</v>
      </c>
      <c r="AA20" s="7302">
        <f>M20+Y20</f>
        <v>0</v>
      </c>
      <c r="AB20" s="7302">
        <f t="shared" si="5"/>
        <v>0</v>
      </c>
      <c r="AC20" s="6138"/>
      <c r="AD20" s="1819"/>
      <c r="AE20" s="7310">
        <f t="shared" si="68"/>
        <v>0</v>
      </c>
      <c r="AF20" s="7310">
        <f t="shared" si="6"/>
        <v>0</v>
      </c>
      <c r="AG20" s="6300">
        <v>0</v>
      </c>
      <c r="AH20" s="1819"/>
      <c r="AI20" s="7310">
        <f t="shared" si="69"/>
        <v>0</v>
      </c>
      <c r="AJ20" s="7310">
        <f t="shared" si="7"/>
        <v>0</v>
      </c>
      <c r="AK20" s="6549"/>
      <c r="AL20" s="1819"/>
      <c r="AM20" s="7301">
        <f t="shared" si="62"/>
        <v>0</v>
      </c>
      <c r="AN20" s="7301">
        <f t="shared" si="8"/>
        <v>0</v>
      </c>
      <c r="AO20" s="7310">
        <f t="shared" si="102"/>
        <v>0</v>
      </c>
      <c r="AP20" s="7310">
        <f t="shared" si="9"/>
        <v>0</v>
      </c>
      <c r="AQ20" s="6643">
        <v>0</v>
      </c>
      <c r="AR20" s="1819">
        <v>0</v>
      </c>
      <c r="AS20" s="7310">
        <f t="shared" si="70"/>
        <v>0</v>
      </c>
      <c r="AT20" s="7310">
        <f t="shared" si="10"/>
        <v>0</v>
      </c>
      <c r="AU20" s="6815"/>
      <c r="AV20" s="1819"/>
      <c r="AW20" s="7310">
        <f t="shared" si="71"/>
        <v>0</v>
      </c>
      <c r="AX20" s="7310">
        <f t="shared" si="11"/>
        <v>0</v>
      </c>
      <c r="AY20" s="6957"/>
      <c r="AZ20" s="1819">
        <v>0</v>
      </c>
      <c r="BA20" s="7301">
        <f t="shared" si="63"/>
        <v>0</v>
      </c>
      <c r="BB20" s="7301">
        <f t="shared" si="12"/>
        <v>0</v>
      </c>
      <c r="BC20" s="7302">
        <f t="shared" si="72"/>
        <v>0</v>
      </c>
      <c r="BD20" s="7302">
        <f t="shared" si="13"/>
        <v>0</v>
      </c>
      <c r="BE20" s="7310">
        <f t="shared" si="73"/>
        <v>0</v>
      </c>
      <c r="BF20" s="7310">
        <f t="shared" si="14"/>
        <v>0</v>
      </c>
      <c r="BG20" s="4152">
        <f t="shared" si="15"/>
        <v>0</v>
      </c>
      <c r="BH20" s="4152">
        <f t="shared" si="16"/>
        <v>0</v>
      </c>
      <c r="BI20" s="4152"/>
      <c r="BJ20" s="4152">
        <f t="shared" si="17"/>
        <v>0</v>
      </c>
      <c r="BK20" s="4152">
        <f t="shared" si="18"/>
        <v>0</v>
      </c>
    </row>
    <row r="21" spans="1:68" ht="21.2" customHeight="1" x14ac:dyDescent="0.25">
      <c r="A21" s="90"/>
      <c r="B21" s="3795" t="s">
        <v>2</v>
      </c>
      <c r="C21" s="7337" t="s">
        <v>50</v>
      </c>
      <c r="D21" s="1677">
        <f>SUM(D15:D20)</f>
        <v>990000</v>
      </c>
      <c r="E21" s="1677">
        <f t="shared" ref="E21:F21" si="103">SUM(E15:E20)</f>
        <v>68500</v>
      </c>
      <c r="F21" s="1677">
        <f t="shared" si="103"/>
        <v>78698.73000000001</v>
      </c>
      <c r="G21" s="5566">
        <f t="shared" ref="G21:H21" si="104">SUM(G15:G20)</f>
        <v>79000</v>
      </c>
      <c r="H21" s="5566">
        <f t="shared" si="104"/>
        <v>67347.899999999994</v>
      </c>
      <c r="I21" s="7311">
        <f t="shared" si="64"/>
        <v>147500</v>
      </c>
      <c r="J21" s="7310">
        <f t="shared" si="0"/>
        <v>146046.63</v>
      </c>
      <c r="K21" s="5678">
        <f t="shared" ref="K21:L21" si="105">SUM(K15:K20)</f>
        <v>76000</v>
      </c>
      <c r="L21" s="5678">
        <f t="shared" si="105"/>
        <v>73175.62999999999</v>
      </c>
      <c r="M21" s="7303">
        <f>E21+G21+K21</f>
        <v>223500</v>
      </c>
      <c r="N21" s="7301">
        <f t="shared" si="1"/>
        <v>219222.26</v>
      </c>
      <c r="O21" s="5835">
        <f t="shared" ref="O21:P21" si="106">SUM(O15:O20)</f>
        <v>79000</v>
      </c>
      <c r="P21" s="5835">
        <f t="shared" si="106"/>
        <v>84102.500000000015</v>
      </c>
      <c r="Q21" s="7311">
        <f t="shared" si="66"/>
        <v>302500</v>
      </c>
      <c r="R21" s="7310">
        <f t="shared" si="2"/>
        <v>303324.76</v>
      </c>
      <c r="S21" s="5891">
        <f t="shared" ref="S21:T21" si="107">SUM(S15:S20)</f>
        <v>79000</v>
      </c>
      <c r="T21" s="5891">
        <f t="shared" si="107"/>
        <v>86905.93</v>
      </c>
      <c r="U21" s="7311">
        <f t="shared" si="67"/>
        <v>381500</v>
      </c>
      <c r="V21" s="7310">
        <f t="shared" si="3"/>
        <v>390230.69</v>
      </c>
      <c r="W21" s="6005">
        <f t="shared" ref="W21:X21" si="108">SUM(W15:W20)</f>
        <v>47500</v>
      </c>
      <c r="X21" s="6005">
        <f t="shared" si="108"/>
        <v>68689.990000000005</v>
      </c>
      <c r="Y21" s="7303">
        <f>O21+S21+W21</f>
        <v>205500</v>
      </c>
      <c r="Z21" s="7301">
        <f t="shared" si="4"/>
        <v>239698.41999999998</v>
      </c>
      <c r="AA21" s="513">
        <f>M21+Y21</f>
        <v>429000</v>
      </c>
      <c r="AB21" s="7302">
        <f t="shared" si="5"/>
        <v>458920.68</v>
      </c>
      <c r="AC21" s="6136">
        <f t="shared" ref="AC21:AD21" si="109">SUM(AC15:AC20)</f>
        <v>78000</v>
      </c>
      <c r="AD21" s="6136">
        <f t="shared" si="109"/>
        <v>52260.41</v>
      </c>
      <c r="AE21" s="7311">
        <f t="shared" si="68"/>
        <v>507000</v>
      </c>
      <c r="AF21" s="7310">
        <f t="shared" si="6"/>
        <v>511181.08999999997</v>
      </c>
      <c r="AG21" s="6298">
        <f t="shared" ref="AG21:AH21" si="110">SUM(AG15:AG20)</f>
        <v>76000</v>
      </c>
      <c r="AH21" s="6298">
        <f t="shared" si="110"/>
        <v>70091.169000000009</v>
      </c>
      <c r="AI21" s="7311">
        <f t="shared" si="69"/>
        <v>583000</v>
      </c>
      <c r="AJ21" s="7310">
        <f t="shared" si="7"/>
        <v>581272.25899999996</v>
      </c>
      <c r="AK21" s="6547">
        <f t="shared" ref="AK21:AL21" si="111">SUM(AK15:AK20)</f>
        <v>79000</v>
      </c>
      <c r="AL21" s="6547">
        <f t="shared" si="111"/>
        <v>83237.279999999999</v>
      </c>
      <c r="AM21" s="7303">
        <f>AC21+AG21+AK21</f>
        <v>233000</v>
      </c>
      <c r="AN21" s="7301">
        <f t="shared" si="8"/>
        <v>205588.859</v>
      </c>
      <c r="AO21" s="7311">
        <f t="shared" si="102"/>
        <v>662000</v>
      </c>
      <c r="AP21" s="7310">
        <f t="shared" si="9"/>
        <v>664509.53899999999</v>
      </c>
      <c r="AQ21" s="6641">
        <f t="shared" ref="AQ21:AR21" si="112">SUM(AQ15:AQ20)</f>
        <v>79000</v>
      </c>
      <c r="AR21" s="6641">
        <f t="shared" si="112"/>
        <v>79536.070000000007</v>
      </c>
      <c r="AS21" s="7311">
        <f t="shared" si="70"/>
        <v>741000</v>
      </c>
      <c r="AT21" s="7310">
        <f t="shared" si="10"/>
        <v>744045.60899999994</v>
      </c>
      <c r="AU21" s="6813">
        <f t="shared" ref="AU21:AV21" si="113">SUM(AU15:AU20)</f>
        <v>71500</v>
      </c>
      <c r="AV21" s="6813">
        <f t="shared" si="113"/>
        <v>77559.290000000008</v>
      </c>
      <c r="AW21" s="7311">
        <f t="shared" si="71"/>
        <v>812500</v>
      </c>
      <c r="AX21" s="7310">
        <f t="shared" si="11"/>
        <v>821604.89899999998</v>
      </c>
      <c r="AY21" s="6955">
        <f t="shared" ref="AY21:AZ21" si="114">SUM(AY15:AY20)</f>
        <v>80000</v>
      </c>
      <c r="AZ21" s="6955">
        <f t="shared" si="114"/>
        <v>81642.31</v>
      </c>
      <c r="BA21" s="7303">
        <f>AQ21+AU21+AY21</f>
        <v>230500</v>
      </c>
      <c r="BB21" s="7347">
        <f t="shared" si="12"/>
        <v>238737.67</v>
      </c>
      <c r="BC21" s="513">
        <f>AM21+BA21</f>
        <v>463500</v>
      </c>
      <c r="BD21" s="7382">
        <f t="shared" si="13"/>
        <v>444326.52899999998</v>
      </c>
      <c r="BE21" s="7311">
        <f t="shared" si="73"/>
        <v>892500</v>
      </c>
      <c r="BF21" s="7345">
        <f t="shared" si="14"/>
        <v>903247.20900000003</v>
      </c>
      <c r="BG21" s="4152">
        <f t="shared" si="15"/>
        <v>0</v>
      </c>
      <c r="BH21" s="4152">
        <f t="shared" si="16"/>
        <v>0</v>
      </c>
      <c r="BI21" s="4152"/>
      <c r="BJ21" s="4152">
        <f t="shared" si="17"/>
        <v>0</v>
      </c>
      <c r="BK21" s="4152">
        <f t="shared" si="18"/>
        <v>0</v>
      </c>
    </row>
    <row r="22" spans="1:68" x14ac:dyDescent="0.25">
      <c r="A22" s="144"/>
      <c r="B22" s="3793" t="s">
        <v>115</v>
      </c>
      <c r="C22" s="7436"/>
      <c r="D22" s="3793"/>
      <c r="E22" s="3797"/>
      <c r="F22" s="3797"/>
      <c r="G22" s="3797"/>
      <c r="H22" s="3797"/>
      <c r="I22" s="7354"/>
      <c r="J22" s="7310">
        <f t="shared" si="0"/>
        <v>0</v>
      </c>
      <c r="K22" s="3797"/>
      <c r="L22" s="3797"/>
      <c r="M22" s="7367"/>
      <c r="N22" s="7301">
        <f t="shared" si="1"/>
        <v>0</v>
      </c>
      <c r="O22" s="3797"/>
      <c r="P22" s="3797"/>
      <c r="Q22" s="7354"/>
      <c r="R22" s="7310">
        <f t="shared" si="2"/>
        <v>0</v>
      </c>
      <c r="S22" s="3797"/>
      <c r="T22" s="3797"/>
      <c r="U22" s="7354"/>
      <c r="V22" s="7310">
        <f t="shared" si="3"/>
        <v>0</v>
      </c>
      <c r="W22" s="3797"/>
      <c r="X22" s="3797"/>
      <c r="Y22" s="7367"/>
      <c r="Z22" s="7301">
        <f t="shared" si="4"/>
        <v>0</v>
      </c>
      <c r="AA22" s="7378"/>
      <c r="AB22" s="7302">
        <f t="shared" si="5"/>
        <v>0</v>
      </c>
      <c r="AC22" s="3797"/>
      <c r="AD22" s="3797"/>
      <c r="AE22" s="7354"/>
      <c r="AF22" s="7310">
        <f t="shared" si="6"/>
        <v>0</v>
      </c>
      <c r="AG22" s="3797"/>
      <c r="AH22" s="3797"/>
      <c r="AI22" s="7354"/>
      <c r="AJ22" s="7310">
        <f t="shared" si="7"/>
        <v>0</v>
      </c>
      <c r="AK22" s="3797"/>
      <c r="AL22" s="3797"/>
      <c r="AM22" s="7367"/>
      <c r="AN22" s="7301">
        <f t="shared" si="8"/>
        <v>0</v>
      </c>
      <c r="AO22" s="7354"/>
      <c r="AP22" s="7310">
        <f t="shared" si="9"/>
        <v>0</v>
      </c>
      <c r="AQ22" s="3797"/>
      <c r="AR22" s="3797"/>
      <c r="AS22" s="7354"/>
      <c r="AT22" s="7310">
        <f t="shared" si="10"/>
        <v>0</v>
      </c>
      <c r="AU22" s="3797"/>
      <c r="AV22" s="3797"/>
      <c r="AW22" s="7354"/>
      <c r="AX22" s="7310">
        <f t="shared" si="11"/>
        <v>0</v>
      </c>
      <c r="AY22" s="3797"/>
      <c r="AZ22" s="3797"/>
      <c r="BA22" s="7367"/>
      <c r="BB22" s="7301">
        <f t="shared" si="12"/>
        <v>0</v>
      </c>
      <c r="BC22" s="7378"/>
      <c r="BD22" s="7302">
        <f t="shared" si="13"/>
        <v>0</v>
      </c>
      <c r="BE22" s="7354"/>
      <c r="BF22" s="7310">
        <f t="shared" si="14"/>
        <v>0</v>
      </c>
      <c r="BG22" s="4152">
        <f t="shared" si="15"/>
        <v>0</v>
      </c>
      <c r="BH22" s="4152">
        <f t="shared" si="16"/>
        <v>0</v>
      </c>
      <c r="BI22" s="4152"/>
      <c r="BJ22" s="4152">
        <f t="shared" si="17"/>
        <v>0</v>
      </c>
      <c r="BK22" s="4152">
        <f t="shared" si="18"/>
        <v>0</v>
      </c>
    </row>
    <row r="23" spans="1:68" x14ac:dyDescent="0.25">
      <c r="A23" s="90"/>
      <c r="B23" s="945" t="s">
        <v>75</v>
      </c>
      <c r="C23" s="7337" t="s">
        <v>50</v>
      </c>
      <c r="D23" s="7864">
        <v>847000</v>
      </c>
      <c r="E23" s="7949">
        <f>'Maj Production Summ'!E32-E25-E27-E28</f>
        <v>56000</v>
      </c>
      <c r="F23" s="2237">
        <v>27429.559999999994</v>
      </c>
      <c r="G23" s="7949">
        <f>'Maj Production Summ'!G32-G25-G27-G28</f>
        <v>64727.272727272728</v>
      </c>
      <c r="H23" s="5568">
        <v>44981.819999999985</v>
      </c>
      <c r="I23" s="7952">
        <f>E23+G23</f>
        <v>120727.27272727274</v>
      </c>
      <c r="J23" s="7310">
        <f t="shared" si="0"/>
        <v>72411.379999999976</v>
      </c>
      <c r="K23" s="7949">
        <f>'Maj Production Summ'!K32-K25-K27-K28</f>
        <v>62227.272727272728</v>
      </c>
      <c r="L23" s="5680">
        <v>36834.609999999993</v>
      </c>
      <c r="M23" s="7713">
        <f>E23+G23+K23</f>
        <v>182954.54545454547</v>
      </c>
      <c r="N23" s="7301">
        <f t="shared" si="1"/>
        <v>109245.98999999996</v>
      </c>
      <c r="O23" s="7949">
        <f>'Maj Production Summ'!O32-O25-O27-O28</f>
        <v>64727.272727272728</v>
      </c>
      <c r="P23" s="5837">
        <v>30785.22</v>
      </c>
      <c r="Q23" s="7952">
        <f>M23+O23</f>
        <v>247681.81818181821</v>
      </c>
      <c r="R23" s="7310">
        <f t="shared" si="2"/>
        <v>140031.20999999996</v>
      </c>
      <c r="S23" s="7949">
        <f>'Maj Production Summ'!S32-S25-S27-S28</f>
        <v>64727.272727272728</v>
      </c>
      <c r="T23" s="5893">
        <v>29637.02</v>
      </c>
      <c r="U23" s="7952">
        <f>Q23+S23</f>
        <v>312409.09090909094</v>
      </c>
      <c r="V23" s="7310">
        <f t="shared" si="3"/>
        <v>169668.22999999995</v>
      </c>
      <c r="W23" s="7949">
        <f>'Maj Production Summ'!W32-W25-W27-W28</f>
        <v>33500</v>
      </c>
      <c r="X23" s="6007">
        <v>23845.7</v>
      </c>
      <c r="Y23" s="7713">
        <f>O23+S23+W23</f>
        <v>162954.54545454547</v>
      </c>
      <c r="Z23" s="7301">
        <f t="shared" si="4"/>
        <v>84267.94</v>
      </c>
      <c r="AA23" s="7735">
        <f>M23+Y23</f>
        <v>345909.09090909094</v>
      </c>
      <c r="AB23" s="7302">
        <f t="shared" si="5"/>
        <v>193513.92999999996</v>
      </c>
      <c r="AC23" s="7949">
        <f>'Maj Production Summ'!AC32-AC25-AC27-AC28</f>
        <v>66727.272727272721</v>
      </c>
      <c r="AD23" s="6138">
        <v>16156.139999999998</v>
      </c>
      <c r="AE23" s="7952">
        <f>AA23+AC23</f>
        <v>412636.36363636365</v>
      </c>
      <c r="AF23" s="7310">
        <f t="shared" si="6"/>
        <v>209670.06999999995</v>
      </c>
      <c r="AG23" s="7949">
        <f>'Maj Production Summ'!AG32-AG25-AG27-AG28</f>
        <v>64727.272727272728</v>
      </c>
      <c r="AH23" s="6300">
        <v>34807.689999999995</v>
      </c>
      <c r="AI23" s="7953">
        <f>AE23+AG23</f>
        <v>477363.63636363635</v>
      </c>
      <c r="AJ23" s="7310">
        <f t="shared" si="7"/>
        <v>244477.75999999995</v>
      </c>
      <c r="AK23" s="7949">
        <f>'Maj Production Summ'!AK32-AK25-AK27-AK28</f>
        <v>67227.272727272721</v>
      </c>
      <c r="AL23" s="6549">
        <v>36493.989999999991</v>
      </c>
      <c r="AM23" s="7713">
        <f>AC23+AG23+AK23</f>
        <v>198681.81818181818</v>
      </c>
      <c r="AN23" s="7301">
        <f t="shared" si="8"/>
        <v>87457.819999999978</v>
      </c>
      <c r="AO23" s="7952">
        <f>AI23+AK23</f>
        <v>544590.90909090906</v>
      </c>
      <c r="AP23" s="7310">
        <f t="shared" si="9"/>
        <v>280971.74999999994</v>
      </c>
      <c r="AQ23" s="7949">
        <f>'Maj Production Summ'!AQ32-AQ25-AQ27-AQ28</f>
        <v>67727.272727272721</v>
      </c>
      <c r="AR23" s="6643">
        <v>44383.76</v>
      </c>
      <c r="AS23" s="7953">
        <f>AO23+AQ23</f>
        <v>612318.18181818177</v>
      </c>
      <c r="AT23" s="7310">
        <f t="shared" si="10"/>
        <v>325355.50999999995</v>
      </c>
      <c r="AU23" s="7949">
        <f>'Maj Production Summ'!AU32-AU25-AU27-AU28</f>
        <v>60727.272727272728</v>
      </c>
      <c r="AV23" s="6815">
        <v>41420.55999999999</v>
      </c>
      <c r="AW23" s="7953">
        <f>AS23+AU23</f>
        <v>673045.45454545447</v>
      </c>
      <c r="AX23" s="7310">
        <f t="shared" si="11"/>
        <v>366776.06999999995</v>
      </c>
      <c r="AY23" s="7949">
        <f>'Maj Production Summ'!AY32-AY25-AY27-AY28</f>
        <v>68227.272727272721</v>
      </c>
      <c r="AZ23" s="6957">
        <v>44274.44</v>
      </c>
      <c r="BA23" s="7713">
        <f>AQ23+AU23+AY23</f>
        <v>196681.81818181818</v>
      </c>
      <c r="BB23" s="7301">
        <f t="shared" si="12"/>
        <v>130078.76</v>
      </c>
      <c r="BC23" s="7735">
        <f>AM23+BA23</f>
        <v>395363.63636363635</v>
      </c>
      <c r="BD23" s="7302">
        <f t="shared" si="13"/>
        <v>217536.57999999996</v>
      </c>
      <c r="BE23" s="7953">
        <f>AW23+AY23</f>
        <v>741272.72727272718</v>
      </c>
      <c r="BF23" s="7310">
        <f t="shared" si="14"/>
        <v>411050.50999999995</v>
      </c>
      <c r="BG23" s="4152">
        <f t="shared" si="15"/>
        <v>0</v>
      </c>
      <c r="BH23" s="4152">
        <f t="shared" si="16"/>
        <v>0</v>
      </c>
      <c r="BI23" s="4152"/>
      <c r="BJ23" s="4152">
        <f t="shared" si="17"/>
        <v>0</v>
      </c>
      <c r="BK23" s="4152">
        <f t="shared" si="18"/>
        <v>0</v>
      </c>
    </row>
    <row r="24" spans="1:68" x14ac:dyDescent="0.25">
      <c r="A24" s="90"/>
      <c r="B24" s="945" t="s">
        <v>76</v>
      </c>
      <c r="C24" s="7337" t="s">
        <v>50</v>
      </c>
      <c r="D24" s="7865"/>
      <c r="E24" s="7949"/>
      <c r="F24" s="2237">
        <v>22946.902999999998</v>
      </c>
      <c r="G24" s="7949"/>
      <c r="H24" s="5568">
        <v>12734.180000000004</v>
      </c>
      <c r="I24" s="7952"/>
      <c r="J24" s="7310">
        <f t="shared" si="0"/>
        <v>35681.082999999999</v>
      </c>
      <c r="K24" s="7949"/>
      <c r="L24" s="5680">
        <v>19850.170000000002</v>
      </c>
      <c r="M24" s="7713"/>
      <c r="N24" s="7301">
        <f t="shared" si="1"/>
        <v>55531.252999999997</v>
      </c>
      <c r="O24" s="7949"/>
      <c r="P24" s="5837">
        <v>26479.61</v>
      </c>
      <c r="Q24" s="7952"/>
      <c r="R24" s="7310">
        <f t="shared" si="2"/>
        <v>82010.862999999998</v>
      </c>
      <c r="S24" s="7949"/>
      <c r="T24" s="5893">
        <v>17587.119999999995</v>
      </c>
      <c r="U24" s="7952"/>
      <c r="V24" s="7310">
        <f t="shared" si="3"/>
        <v>99597.982999999993</v>
      </c>
      <c r="W24" s="7949"/>
      <c r="X24" s="6007">
        <v>22102.42</v>
      </c>
      <c r="Y24" s="7713"/>
      <c r="Z24" s="7301">
        <f t="shared" si="4"/>
        <v>66169.149999999994</v>
      </c>
      <c r="AA24" s="7735"/>
      <c r="AB24" s="7302">
        <f t="shared" si="5"/>
        <v>121700.40299999999</v>
      </c>
      <c r="AC24" s="7949"/>
      <c r="AD24" s="6138">
        <v>14059.74</v>
      </c>
      <c r="AE24" s="7952"/>
      <c r="AF24" s="7310">
        <f t="shared" si="6"/>
        <v>135760.14299999998</v>
      </c>
      <c r="AG24" s="7949"/>
      <c r="AH24" s="6300">
        <v>14637.060000000001</v>
      </c>
      <c r="AI24" s="7951"/>
      <c r="AJ24" s="7310">
        <f t="shared" si="7"/>
        <v>150397.20299999998</v>
      </c>
      <c r="AK24" s="7949"/>
      <c r="AL24" s="6549">
        <v>15044.891</v>
      </c>
      <c r="AM24" s="7713"/>
      <c r="AN24" s="7301">
        <f t="shared" si="8"/>
        <v>43741.691000000006</v>
      </c>
      <c r="AO24" s="7952"/>
      <c r="AP24" s="7310">
        <f t="shared" si="9"/>
        <v>165442.09399999998</v>
      </c>
      <c r="AQ24" s="7949"/>
      <c r="AR24" s="6643">
        <v>11013.179999999998</v>
      </c>
      <c r="AS24" s="7951"/>
      <c r="AT24" s="7310">
        <f t="shared" si="10"/>
        <v>176455.27399999998</v>
      </c>
      <c r="AU24" s="7949"/>
      <c r="AV24" s="6815">
        <v>11650.930000000002</v>
      </c>
      <c r="AW24" s="7951"/>
      <c r="AX24" s="7310">
        <f t="shared" si="11"/>
        <v>188106.20399999997</v>
      </c>
      <c r="AY24" s="7949"/>
      <c r="AZ24" s="6957">
        <v>14525.771999999999</v>
      </c>
      <c r="BA24" s="7713"/>
      <c r="BB24" s="7301">
        <f t="shared" si="12"/>
        <v>37189.881999999998</v>
      </c>
      <c r="BC24" s="7735"/>
      <c r="BD24" s="7302">
        <f t="shared" si="13"/>
        <v>80931.573000000004</v>
      </c>
      <c r="BE24" s="7951"/>
      <c r="BF24" s="7310">
        <f t="shared" si="14"/>
        <v>202631.97599999997</v>
      </c>
      <c r="BG24" s="4152">
        <f t="shared" si="15"/>
        <v>0</v>
      </c>
      <c r="BH24" s="4152">
        <f t="shared" si="16"/>
        <v>0</v>
      </c>
      <c r="BI24" s="4152"/>
      <c r="BJ24" s="4152">
        <f t="shared" si="17"/>
        <v>0</v>
      </c>
      <c r="BK24" s="4152">
        <f t="shared" si="18"/>
        <v>0</v>
      </c>
    </row>
    <row r="25" spans="1:68" x14ac:dyDescent="0.25">
      <c r="A25" s="90"/>
      <c r="B25" s="945" t="s">
        <v>137</v>
      </c>
      <c r="C25" s="7337" t="s">
        <v>50</v>
      </c>
      <c r="D25" s="2237">
        <v>3000</v>
      </c>
      <c r="E25" s="2237">
        <v>0</v>
      </c>
      <c r="F25" s="2237">
        <v>164.46</v>
      </c>
      <c r="G25" s="5568">
        <v>272.72727272727275</v>
      </c>
      <c r="H25" s="5568"/>
      <c r="I25" s="7310">
        <f t="shared" ref="I25:I29" si="115">E25+G25</f>
        <v>272.72727272727275</v>
      </c>
      <c r="J25" s="7310">
        <f t="shared" si="0"/>
        <v>164.46</v>
      </c>
      <c r="K25" s="5680">
        <v>272.72727272727275</v>
      </c>
      <c r="L25" s="5680">
        <v>35.9</v>
      </c>
      <c r="M25" s="7301">
        <f>E25+G25+K25</f>
        <v>545.4545454545455</v>
      </c>
      <c r="N25" s="7301">
        <f t="shared" si="1"/>
        <v>200.36</v>
      </c>
      <c r="O25" s="5837">
        <v>272.72727272727275</v>
      </c>
      <c r="P25" s="5837"/>
      <c r="Q25" s="7310">
        <f t="shared" ref="Q25:Q29" si="116">M25+O25</f>
        <v>818.18181818181824</v>
      </c>
      <c r="R25" s="7310">
        <f t="shared" si="2"/>
        <v>200.36</v>
      </c>
      <c r="S25" s="5893">
        <v>272.72727272727275</v>
      </c>
      <c r="T25" s="5893"/>
      <c r="U25" s="7310">
        <f t="shared" ref="U25:U29" si="117">Q25+S25</f>
        <v>1090.909090909091</v>
      </c>
      <c r="V25" s="7310">
        <f t="shared" si="3"/>
        <v>200.36</v>
      </c>
      <c r="W25" s="6007"/>
      <c r="X25" s="6007"/>
      <c r="Y25" s="7301">
        <f>O25+S25+W25</f>
        <v>545.4545454545455</v>
      </c>
      <c r="Z25" s="7301">
        <f t="shared" si="4"/>
        <v>0</v>
      </c>
      <c r="AA25" s="7302">
        <f>M25+Y25</f>
        <v>1090.909090909091</v>
      </c>
      <c r="AB25" s="7302">
        <f t="shared" si="5"/>
        <v>200.36</v>
      </c>
      <c r="AC25" s="6138">
        <v>272.72727272727275</v>
      </c>
      <c r="AD25" s="6138"/>
      <c r="AE25" s="7310">
        <f t="shared" ref="AE25:AE29" si="118">AA25+AC25</f>
        <v>1363.6363636363637</v>
      </c>
      <c r="AF25" s="7310">
        <f t="shared" si="6"/>
        <v>200.36</v>
      </c>
      <c r="AG25" s="6300">
        <v>272.72727272727275</v>
      </c>
      <c r="AH25" s="6300"/>
      <c r="AI25" s="7310">
        <f t="shared" ref="AI25:AI29" si="119">AE25+AG25</f>
        <v>1636.3636363636365</v>
      </c>
      <c r="AJ25" s="7310">
        <f t="shared" si="7"/>
        <v>200.36</v>
      </c>
      <c r="AK25" s="6549">
        <v>272.72727272727275</v>
      </c>
      <c r="AL25" s="6549"/>
      <c r="AM25" s="7301">
        <f>AC25+AG25+AK25</f>
        <v>818.18181818181824</v>
      </c>
      <c r="AN25" s="7301">
        <f t="shared" si="8"/>
        <v>0</v>
      </c>
      <c r="AO25" s="7310">
        <f>AI25+AK25</f>
        <v>1909.0909090909092</v>
      </c>
      <c r="AP25" s="7310">
        <f t="shared" si="9"/>
        <v>200.36</v>
      </c>
      <c r="AQ25" s="6643">
        <v>272.72727272727275</v>
      </c>
      <c r="AR25" s="6643">
        <v>0</v>
      </c>
      <c r="AS25" s="7310">
        <f t="shared" ref="AS25:AS29" si="120">AO25+AQ25</f>
        <v>2181.818181818182</v>
      </c>
      <c r="AT25" s="7310">
        <f t="shared" si="10"/>
        <v>200.36</v>
      </c>
      <c r="AU25" s="6815">
        <v>272.72727272727275</v>
      </c>
      <c r="AV25" s="6815"/>
      <c r="AW25" s="7310">
        <f t="shared" ref="AW25:AW29" si="121">AS25+AU25</f>
        <v>2454.545454545455</v>
      </c>
      <c r="AX25" s="7310">
        <f t="shared" si="11"/>
        <v>200.36</v>
      </c>
      <c r="AY25" s="6957">
        <v>272.72727272727275</v>
      </c>
      <c r="AZ25" s="6957">
        <v>0</v>
      </c>
      <c r="BA25" s="7301">
        <f>AQ25+AU25+AY25</f>
        <v>818.18181818181824</v>
      </c>
      <c r="BB25" s="7301">
        <f t="shared" si="12"/>
        <v>0</v>
      </c>
      <c r="BC25" s="7302">
        <f t="shared" ref="BC25:BC28" si="122">AM25+BA25</f>
        <v>1636.3636363636365</v>
      </c>
      <c r="BD25" s="7302">
        <f t="shared" si="13"/>
        <v>0</v>
      </c>
      <c r="BE25" s="7310">
        <f t="shared" ref="BE25:BE29" si="123">AW25+AY25</f>
        <v>2727.2727272727279</v>
      </c>
      <c r="BF25" s="7310">
        <f t="shared" si="14"/>
        <v>200.36</v>
      </c>
      <c r="BG25" s="4152">
        <f t="shared" si="15"/>
        <v>0</v>
      </c>
      <c r="BH25" s="4152">
        <f t="shared" si="16"/>
        <v>0</v>
      </c>
      <c r="BI25" s="4152"/>
      <c r="BJ25" s="4152">
        <f t="shared" si="17"/>
        <v>0</v>
      </c>
      <c r="BK25" s="4152">
        <f t="shared" si="18"/>
        <v>0</v>
      </c>
    </row>
    <row r="26" spans="1:68" s="7442" customFormat="1" x14ac:dyDescent="0.25">
      <c r="A26" s="90"/>
      <c r="B26" s="7350" t="s">
        <v>2296</v>
      </c>
      <c r="C26" s="7440" t="s">
        <v>50</v>
      </c>
      <c r="D26" s="7040">
        <v>0</v>
      </c>
      <c r="E26" s="7040">
        <v>0</v>
      </c>
      <c r="F26" s="7040"/>
      <c r="G26" s="7040">
        <v>0</v>
      </c>
      <c r="H26" s="7040">
        <v>0</v>
      </c>
      <c r="I26" s="7509">
        <f t="shared" ref="I26" si="124">E26+G26</f>
        <v>0</v>
      </c>
      <c r="J26" s="7509">
        <f t="shared" ref="J26" si="125">F26+H26</f>
        <v>0</v>
      </c>
      <c r="K26" s="7040">
        <v>0</v>
      </c>
      <c r="L26" s="7040">
        <v>0</v>
      </c>
      <c r="M26" s="7507">
        <f>E26+G26+K26</f>
        <v>0</v>
      </c>
      <c r="N26" s="7507">
        <f t="shared" ref="N26" si="126">J26+L26</f>
        <v>0</v>
      </c>
      <c r="O26" s="7040">
        <v>0</v>
      </c>
      <c r="P26" s="7040">
        <v>0</v>
      </c>
      <c r="Q26" s="7509">
        <f t="shared" ref="Q26" si="127">M26+O26</f>
        <v>0</v>
      </c>
      <c r="R26" s="7509">
        <f t="shared" ref="R26" si="128">N26+P26</f>
        <v>0</v>
      </c>
      <c r="S26" s="7040">
        <v>0</v>
      </c>
      <c r="T26" s="7040">
        <v>0</v>
      </c>
      <c r="U26" s="7509">
        <f t="shared" ref="U26" si="129">Q26+S26</f>
        <v>0</v>
      </c>
      <c r="V26" s="7509">
        <f t="shared" ref="V26" si="130">R26+T26</f>
        <v>0</v>
      </c>
      <c r="W26" s="7040">
        <v>0</v>
      </c>
      <c r="X26" s="7040">
        <v>0</v>
      </c>
      <c r="Y26" s="7507">
        <f>O26+S26+W26</f>
        <v>0</v>
      </c>
      <c r="Z26" s="7507">
        <f t="shared" ref="Z26" si="131">P26+T26+X26</f>
        <v>0</v>
      </c>
      <c r="AA26" s="7508">
        <f>M26+Y26</f>
        <v>0</v>
      </c>
      <c r="AB26" s="7508">
        <f t="shared" ref="AB26" si="132">N26+Z26</f>
        <v>0</v>
      </c>
      <c r="AC26" s="7040">
        <v>0</v>
      </c>
      <c r="AD26" s="7040">
        <v>0</v>
      </c>
      <c r="AE26" s="7509">
        <f t="shared" ref="AE26" si="133">AA26+AC26</f>
        <v>0</v>
      </c>
      <c r="AF26" s="7509">
        <f t="shared" ref="AF26" si="134">AB26+AD26</f>
        <v>0</v>
      </c>
      <c r="AG26" s="7040">
        <v>0</v>
      </c>
      <c r="AH26" s="7040">
        <v>0</v>
      </c>
      <c r="AI26" s="7509">
        <f t="shared" ref="AI26" si="135">AE26+AG26</f>
        <v>0</v>
      </c>
      <c r="AJ26" s="7509">
        <f t="shared" ref="AJ26" si="136">AF26+AH26</f>
        <v>0</v>
      </c>
      <c r="AK26" s="7040">
        <v>0</v>
      </c>
      <c r="AL26" s="7040">
        <v>0</v>
      </c>
      <c r="AM26" s="7507">
        <f>AC26+AG26+AK26</f>
        <v>0</v>
      </c>
      <c r="AN26" s="7507">
        <f t="shared" ref="AN26" si="137">AD26+AH26+AL26</f>
        <v>0</v>
      </c>
      <c r="AO26" s="7509">
        <f>AI26+AK26</f>
        <v>0</v>
      </c>
      <c r="AP26" s="7509">
        <f t="shared" ref="AP26" si="138">AJ26+AL26</f>
        <v>0</v>
      </c>
      <c r="AQ26" s="7040">
        <v>0</v>
      </c>
      <c r="AR26" s="7040">
        <v>0</v>
      </c>
      <c r="AS26" s="7509">
        <f t="shared" ref="AS26" si="139">AO26+AQ26</f>
        <v>0</v>
      </c>
      <c r="AT26" s="7509">
        <f t="shared" ref="AT26" si="140">AP26+AR26</f>
        <v>0</v>
      </c>
      <c r="AU26" s="7040">
        <v>0</v>
      </c>
      <c r="AV26" s="7040">
        <v>0</v>
      </c>
      <c r="AW26" s="7509">
        <f t="shared" ref="AW26" si="141">AS26+AU26</f>
        <v>0</v>
      </c>
      <c r="AX26" s="7509">
        <f t="shared" ref="AX26" si="142">AT26+AV26</f>
        <v>0</v>
      </c>
      <c r="AY26" s="7040">
        <v>0</v>
      </c>
      <c r="AZ26" s="7040">
        <v>0</v>
      </c>
      <c r="BA26" s="7507">
        <f>AQ26+AU26+AY26</f>
        <v>0</v>
      </c>
      <c r="BB26" s="7507">
        <f t="shared" ref="BB26" si="143">AR26+AV26+AZ26</f>
        <v>0</v>
      </c>
      <c r="BC26" s="7508">
        <f t="shared" ref="BC26" si="144">AM26+BA26</f>
        <v>0</v>
      </c>
      <c r="BD26" s="7508">
        <f t="shared" ref="BD26" si="145">AN26+BB26</f>
        <v>0</v>
      </c>
      <c r="BE26" s="7509">
        <f t="shared" ref="BE26" si="146">AW26+AY26</f>
        <v>0</v>
      </c>
      <c r="BF26" s="7509">
        <f t="shared" ref="BF26" si="147">AX26+AZ26</f>
        <v>0</v>
      </c>
      <c r="BG26" s="4152"/>
      <c r="BH26" s="4152"/>
      <c r="BI26" s="4152"/>
      <c r="BJ26" s="4152"/>
      <c r="BK26" s="4152"/>
    </row>
    <row r="27" spans="1:68" x14ac:dyDescent="0.25">
      <c r="A27" s="90"/>
      <c r="B27" s="945" t="s">
        <v>2294</v>
      </c>
      <c r="C27" s="7337" t="s">
        <v>50</v>
      </c>
      <c r="D27" s="1819">
        <v>0</v>
      </c>
      <c r="E27" s="2237">
        <v>0</v>
      </c>
      <c r="F27" s="2237"/>
      <c r="G27" s="5568"/>
      <c r="H27" s="5568"/>
      <c r="I27" s="7310">
        <f t="shared" si="115"/>
        <v>0</v>
      </c>
      <c r="J27" s="7310">
        <f t="shared" si="0"/>
        <v>0</v>
      </c>
      <c r="K27" s="5680"/>
      <c r="L27" s="5680"/>
      <c r="M27" s="7301">
        <f t="shared" ref="M27:M28" si="148">E27+G27+K27</f>
        <v>0</v>
      </c>
      <c r="N27" s="7301">
        <f t="shared" si="1"/>
        <v>0</v>
      </c>
      <c r="O27" s="5837">
        <v>0</v>
      </c>
      <c r="P27" s="5837"/>
      <c r="Q27" s="7310">
        <f t="shared" si="116"/>
        <v>0</v>
      </c>
      <c r="R27" s="7310">
        <f t="shared" si="2"/>
        <v>0</v>
      </c>
      <c r="S27" s="5893"/>
      <c r="T27" s="5893"/>
      <c r="U27" s="7310">
        <f t="shared" si="117"/>
        <v>0</v>
      </c>
      <c r="V27" s="7310">
        <f t="shared" si="3"/>
        <v>0</v>
      </c>
      <c r="W27" s="6007"/>
      <c r="X27" s="6007"/>
      <c r="Y27" s="7301">
        <f t="shared" ref="Y27:Y28" si="149">O27+S27+W27</f>
        <v>0</v>
      </c>
      <c r="Z27" s="7301">
        <f t="shared" si="4"/>
        <v>0</v>
      </c>
      <c r="AA27" s="7302">
        <f>M27+Y27</f>
        <v>0</v>
      </c>
      <c r="AB27" s="7302">
        <f t="shared" si="5"/>
        <v>0</v>
      </c>
      <c r="AC27" s="6138"/>
      <c r="AD27" s="6138"/>
      <c r="AE27" s="7310">
        <f t="shared" si="118"/>
        <v>0</v>
      </c>
      <c r="AF27" s="7310">
        <f t="shared" si="6"/>
        <v>0</v>
      </c>
      <c r="AG27" s="6300">
        <v>0</v>
      </c>
      <c r="AH27" s="6300"/>
      <c r="AI27" s="7310">
        <f t="shared" si="119"/>
        <v>0</v>
      </c>
      <c r="AJ27" s="7310">
        <f t="shared" si="7"/>
        <v>0</v>
      </c>
      <c r="AK27" s="6549"/>
      <c r="AL27" s="6549"/>
      <c r="AM27" s="7301">
        <f t="shared" ref="AM27:AM28" si="150">AC27+AG27+AK27</f>
        <v>0</v>
      </c>
      <c r="AN27" s="7301">
        <f t="shared" si="8"/>
        <v>0</v>
      </c>
      <c r="AO27" s="7310">
        <f t="shared" ref="AO27:AO29" si="151">AI27+AK27</f>
        <v>0</v>
      </c>
      <c r="AP27" s="7310">
        <f t="shared" si="9"/>
        <v>0</v>
      </c>
      <c r="AQ27" s="6643">
        <v>0</v>
      </c>
      <c r="AR27" s="6643">
        <v>0</v>
      </c>
      <c r="AS27" s="7310">
        <f t="shared" si="120"/>
        <v>0</v>
      </c>
      <c r="AT27" s="7310">
        <f t="shared" si="10"/>
        <v>0</v>
      </c>
      <c r="AU27" s="6815">
        <v>0</v>
      </c>
      <c r="AV27" s="6815"/>
      <c r="AW27" s="7310">
        <f t="shared" si="121"/>
        <v>0</v>
      </c>
      <c r="AX27" s="7310">
        <f t="shared" si="11"/>
        <v>0</v>
      </c>
      <c r="AY27" s="6957"/>
      <c r="AZ27" s="6957">
        <v>0</v>
      </c>
      <c r="BA27" s="7301">
        <f t="shared" ref="BA27:BA28" si="152">AQ27+AU27+AY27</f>
        <v>0</v>
      </c>
      <c r="BB27" s="7301">
        <f t="shared" si="12"/>
        <v>0</v>
      </c>
      <c r="BC27" s="7302">
        <f t="shared" si="122"/>
        <v>0</v>
      </c>
      <c r="BD27" s="7302">
        <f t="shared" si="13"/>
        <v>0</v>
      </c>
      <c r="BE27" s="7310">
        <f t="shared" si="123"/>
        <v>0</v>
      </c>
      <c r="BF27" s="7310">
        <f t="shared" si="14"/>
        <v>0</v>
      </c>
      <c r="BG27" s="4152">
        <f t="shared" si="15"/>
        <v>0</v>
      </c>
      <c r="BH27" s="4152">
        <f t="shared" si="16"/>
        <v>0</v>
      </c>
      <c r="BI27" s="4152"/>
      <c r="BJ27" s="4152">
        <f t="shared" si="17"/>
        <v>0</v>
      </c>
      <c r="BK27" s="4152">
        <f t="shared" si="18"/>
        <v>0</v>
      </c>
    </row>
    <row r="28" spans="1:68" x14ac:dyDescent="0.25">
      <c r="A28" s="90"/>
      <c r="B28" s="945" t="s">
        <v>2295</v>
      </c>
      <c r="C28" s="7337" t="s">
        <v>50</v>
      </c>
      <c r="D28" s="2237">
        <v>0</v>
      </c>
      <c r="E28" s="2237">
        <v>0</v>
      </c>
      <c r="F28" s="2237"/>
      <c r="G28" s="5568"/>
      <c r="H28" s="5568"/>
      <c r="I28" s="7310">
        <f t="shared" si="115"/>
        <v>0</v>
      </c>
      <c r="J28" s="7310">
        <f t="shared" si="0"/>
        <v>0</v>
      </c>
      <c r="K28" s="5680"/>
      <c r="L28" s="5680"/>
      <c r="M28" s="7301">
        <f t="shared" si="148"/>
        <v>0</v>
      </c>
      <c r="N28" s="7301">
        <f t="shared" si="1"/>
        <v>0</v>
      </c>
      <c r="O28" s="5837">
        <v>0</v>
      </c>
      <c r="P28" s="5837"/>
      <c r="Q28" s="7310">
        <f t="shared" si="116"/>
        <v>0</v>
      </c>
      <c r="R28" s="7310">
        <f t="shared" si="2"/>
        <v>0</v>
      </c>
      <c r="S28" s="5893"/>
      <c r="T28" s="5893"/>
      <c r="U28" s="7310">
        <f t="shared" si="117"/>
        <v>0</v>
      </c>
      <c r="V28" s="7310">
        <f t="shared" si="3"/>
        <v>0</v>
      </c>
      <c r="W28" s="6007"/>
      <c r="X28" s="6007"/>
      <c r="Y28" s="7301">
        <f t="shared" si="149"/>
        <v>0</v>
      </c>
      <c r="Z28" s="7301">
        <f t="shared" si="4"/>
        <v>0</v>
      </c>
      <c r="AA28" s="7302">
        <f>M28+Y28</f>
        <v>0</v>
      </c>
      <c r="AB28" s="7302">
        <f t="shared" si="5"/>
        <v>0</v>
      </c>
      <c r="AC28" s="6138"/>
      <c r="AD28" s="6138"/>
      <c r="AE28" s="7310">
        <f t="shared" si="118"/>
        <v>0</v>
      </c>
      <c r="AF28" s="7310">
        <f t="shared" si="6"/>
        <v>0</v>
      </c>
      <c r="AG28" s="6300">
        <v>0</v>
      </c>
      <c r="AH28" s="6300"/>
      <c r="AI28" s="7310">
        <f t="shared" si="119"/>
        <v>0</v>
      </c>
      <c r="AJ28" s="7310">
        <f t="shared" si="7"/>
        <v>0</v>
      </c>
      <c r="AK28" s="6549">
        <v>0</v>
      </c>
      <c r="AL28" s="6549"/>
      <c r="AM28" s="7301">
        <f t="shared" si="150"/>
        <v>0</v>
      </c>
      <c r="AN28" s="7301">
        <f t="shared" si="8"/>
        <v>0</v>
      </c>
      <c r="AO28" s="7310">
        <f t="shared" si="151"/>
        <v>0</v>
      </c>
      <c r="AP28" s="7310">
        <f t="shared" si="9"/>
        <v>0</v>
      </c>
      <c r="AQ28" s="6643">
        <v>0</v>
      </c>
      <c r="AR28" s="6643">
        <v>0</v>
      </c>
      <c r="AS28" s="7310">
        <f t="shared" si="120"/>
        <v>0</v>
      </c>
      <c r="AT28" s="7310">
        <f t="shared" si="10"/>
        <v>0</v>
      </c>
      <c r="AU28" s="6815">
        <v>0</v>
      </c>
      <c r="AV28" s="6815"/>
      <c r="AW28" s="7310">
        <f t="shared" si="121"/>
        <v>0</v>
      </c>
      <c r="AX28" s="7310">
        <f t="shared" si="11"/>
        <v>0</v>
      </c>
      <c r="AY28" s="6957"/>
      <c r="AZ28" s="6957">
        <v>0</v>
      </c>
      <c r="BA28" s="7301">
        <f t="shared" si="152"/>
        <v>0</v>
      </c>
      <c r="BB28" s="7301">
        <f t="shared" si="12"/>
        <v>0</v>
      </c>
      <c r="BC28" s="7302">
        <f t="shared" si="122"/>
        <v>0</v>
      </c>
      <c r="BD28" s="7302">
        <f t="shared" si="13"/>
        <v>0</v>
      </c>
      <c r="BE28" s="7310">
        <f t="shared" si="123"/>
        <v>0</v>
      </c>
      <c r="BF28" s="7310">
        <f t="shared" si="14"/>
        <v>0</v>
      </c>
      <c r="BG28" s="4152">
        <f t="shared" si="15"/>
        <v>0</v>
      </c>
      <c r="BH28" s="4152">
        <f t="shared" si="16"/>
        <v>0</v>
      </c>
      <c r="BI28" s="4152"/>
      <c r="BJ28" s="4152">
        <f t="shared" si="17"/>
        <v>0</v>
      </c>
      <c r="BK28" s="4152">
        <f t="shared" si="18"/>
        <v>0</v>
      </c>
    </row>
    <row r="29" spans="1:68" ht="21.2" customHeight="1" x14ac:dyDescent="0.25">
      <c r="A29" s="90"/>
      <c r="B29" s="3795" t="s">
        <v>2</v>
      </c>
      <c r="C29" s="7337" t="s">
        <v>50</v>
      </c>
      <c r="D29" s="1677">
        <f>SUM(D23:D28)</f>
        <v>850000</v>
      </c>
      <c r="E29" s="1820">
        <f t="shared" ref="E29:F29" si="153">SUM(E23:E28)</f>
        <v>56000</v>
      </c>
      <c r="F29" s="1820">
        <f t="shared" si="153"/>
        <v>50540.922999999988</v>
      </c>
      <c r="G29" s="1820">
        <f t="shared" ref="G29:H29" si="154">SUM(G23:G28)</f>
        <v>65000</v>
      </c>
      <c r="H29" s="1820">
        <f t="shared" si="154"/>
        <v>57715.999999999985</v>
      </c>
      <c r="I29" s="7311">
        <f t="shared" si="115"/>
        <v>121000</v>
      </c>
      <c r="J29" s="7310">
        <f t="shared" si="0"/>
        <v>108256.92299999998</v>
      </c>
      <c r="K29" s="1820">
        <f t="shared" ref="K29:L29" si="155">SUM(K23:K28)</f>
        <v>62500</v>
      </c>
      <c r="L29" s="1820">
        <f t="shared" si="155"/>
        <v>56720.68</v>
      </c>
      <c r="M29" s="7303">
        <f>E29+G29+K29</f>
        <v>183500</v>
      </c>
      <c r="N29" s="7301">
        <f t="shared" si="1"/>
        <v>164977.60299999997</v>
      </c>
      <c r="O29" s="1820">
        <f t="shared" ref="O29:P29" si="156">SUM(O23:O28)</f>
        <v>65000</v>
      </c>
      <c r="P29" s="1820">
        <f t="shared" si="156"/>
        <v>57264.83</v>
      </c>
      <c r="Q29" s="7311">
        <f t="shared" si="116"/>
        <v>248500</v>
      </c>
      <c r="R29" s="7310">
        <f t="shared" si="2"/>
        <v>222242.43299999996</v>
      </c>
      <c r="S29" s="1820">
        <f t="shared" ref="S29:T29" si="157">SUM(S23:S28)</f>
        <v>65000</v>
      </c>
      <c r="T29" s="1820">
        <f t="shared" si="157"/>
        <v>47224.14</v>
      </c>
      <c r="U29" s="7311">
        <f t="shared" si="117"/>
        <v>313500</v>
      </c>
      <c r="V29" s="7310">
        <f t="shared" si="3"/>
        <v>269466.57299999997</v>
      </c>
      <c r="W29" s="1820">
        <f t="shared" ref="W29:X29" si="158">SUM(W23:W28)</f>
        <v>33500</v>
      </c>
      <c r="X29" s="1820">
        <f t="shared" si="158"/>
        <v>45948.119999999995</v>
      </c>
      <c r="Y29" s="7303">
        <f>O29+S29+W29</f>
        <v>163500</v>
      </c>
      <c r="Z29" s="7301">
        <f t="shared" si="4"/>
        <v>150437.09</v>
      </c>
      <c r="AA29" s="513">
        <f>M29+Y29</f>
        <v>347000</v>
      </c>
      <c r="AB29" s="7302">
        <f t="shared" si="5"/>
        <v>315414.69299999997</v>
      </c>
      <c r="AC29" s="1820">
        <f t="shared" ref="AC29:AD29" si="159">SUM(AC23:AC28)</f>
        <v>67000</v>
      </c>
      <c r="AD29" s="1820">
        <f t="shared" si="159"/>
        <v>30215.879999999997</v>
      </c>
      <c r="AE29" s="7311">
        <f t="shared" si="118"/>
        <v>414000</v>
      </c>
      <c r="AF29" s="7310">
        <f t="shared" si="6"/>
        <v>345630.57299999997</v>
      </c>
      <c r="AG29" s="1820">
        <f t="shared" ref="AG29:AH29" si="160">SUM(AG23:AG28)</f>
        <v>65000</v>
      </c>
      <c r="AH29" s="1820">
        <f t="shared" si="160"/>
        <v>49444.75</v>
      </c>
      <c r="AI29" s="7311">
        <f t="shared" si="119"/>
        <v>479000</v>
      </c>
      <c r="AJ29" s="7310">
        <f t="shared" si="7"/>
        <v>395075.32299999997</v>
      </c>
      <c r="AK29" s="1820">
        <f t="shared" ref="AK29:AL29" si="161">SUM(AK23:AK28)</f>
        <v>67500</v>
      </c>
      <c r="AL29" s="1820">
        <f t="shared" si="161"/>
        <v>51538.880999999994</v>
      </c>
      <c r="AM29" s="7303">
        <f>AC29+AG29+AK29</f>
        <v>199500</v>
      </c>
      <c r="AN29" s="7301">
        <f t="shared" si="8"/>
        <v>131199.511</v>
      </c>
      <c r="AO29" s="7311">
        <f t="shared" si="151"/>
        <v>546500</v>
      </c>
      <c r="AP29" s="7310">
        <f t="shared" si="9"/>
        <v>446614.20399999997</v>
      </c>
      <c r="AQ29" s="1820">
        <f t="shared" ref="AQ29:AR29" si="162">SUM(AQ23:AQ28)</f>
        <v>68000</v>
      </c>
      <c r="AR29" s="1820">
        <f t="shared" si="162"/>
        <v>55396.94</v>
      </c>
      <c r="AS29" s="7311">
        <f t="shared" si="120"/>
        <v>614500</v>
      </c>
      <c r="AT29" s="7310">
        <f t="shared" si="10"/>
        <v>502011.14399999997</v>
      </c>
      <c r="AU29" s="1820">
        <f t="shared" ref="AU29:AV29" si="163">SUM(AU23:AU28)</f>
        <v>61000</v>
      </c>
      <c r="AV29" s="1820">
        <f t="shared" si="163"/>
        <v>53071.489999999991</v>
      </c>
      <c r="AW29" s="7311">
        <f t="shared" si="121"/>
        <v>675500</v>
      </c>
      <c r="AX29" s="7310">
        <f t="shared" si="11"/>
        <v>555082.63399999996</v>
      </c>
      <c r="AY29" s="1820">
        <f t="shared" ref="AY29" si="164">SUM(AY23:AY28)</f>
        <v>68500</v>
      </c>
      <c r="AZ29" s="1820">
        <f>SUM(AZ23:AZ28)</f>
        <v>58800.212</v>
      </c>
      <c r="BA29" s="7303">
        <f>AQ29+AU29+AY29</f>
        <v>197500</v>
      </c>
      <c r="BB29" s="7347">
        <f t="shared" si="12"/>
        <v>167268.64199999999</v>
      </c>
      <c r="BC29" s="513">
        <f>AM29+BA29</f>
        <v>397000</v>
      </c>
      <c r="BD29" s="7382">
        <f t="shared" si="13"/>
        <v>298468.15299999999</v>
      </c>
      <c r="BE29" s="7311">
        <f t="shared" si="123"/>
        <v>744000</v>
      </c>
      <c r="BF29" s="7345">
        <f t="shared" si="14"/>
        <v>613882.8459999999</v>
      </c>
      <c r="BG29" s="4152">
        <f t="shared" si="15"/>
        <v>0</v>
      </c>
      <c r="BH29" s="4152">
        <f t="shared" si="16"/>
        <v>0</v>
      </c>
      <c r="BI29" s="4152"/>
      <c r="BJ29" s="4152">
        <f t="shared" si="17"/>
        <v>0</v>
      </c>
      <c r="BK29" s="4152">
        <f t="shared" si="18"/>
        <v>0</v>
      </c>
    </row>
    <row r="30" spans="1:68" x14ac:dyDescent="0.25">
      <c r="A30" s="144"/>
      <c r="B30" s="3793" t="s">
        <v>488</v>
      </c>
      <c r="C30" s="7436"/>
      <c r="D30" s="3793"/>
      <c r="E30" s="3797"/>
      <c r="F30" s="3797"/>
      <c r="G30" s="3797"/>
      <c r="H30" s="3797"/>
      <c r="I30" s="7354"/>
      <c r="J30" s="7310">
        <f t="shared" si="0"/>
        <v>0</v>
      </c>
      <c r="K30" s="3797"/>
      <c r="L30" s="3797"/>
      <c r="M30" s="7367"/>
      <c r="N30" s="7301">
        <f t="shared" si="1"/>
        <v>0</v>
      </c>
      <c r="O30" s="3797"/>
      <c r="P30" s="3797"/>
      <c r="Q30" s="7354"/>
      <c r="R30" s="7310">
        <f t="shared" si="2"/>
        <v>0</v>
      </c>
      <c r="S30" s="3797"/>
      <c r="T30" s="3797"/>
      <c r="U30" s="7354"/>
      <c r="V30" s="7310">
        <f t="shared" si="3"/>
        <v>0</v>
      </c>
      <c r="W30" s="3797"/>
      <c r="X30" s="3797"/>
      <c r="Y30" s="7367"/>
      <c r="Z30" s="7301">
        <f t="shared" si="4"/>
        <v>0</v>
      </c>
      <c r="AA30" s="7378"/>
      <c r="AB30" s="7302">
        <f t="shared" si="5"/>
        <v>0</v>
      </c>
      <c r="AC30" s="3797"/>
      <c r="AD30" s="3797"/>
      <c r="AE30" s="7354"/>
      <c r="AF30" s="7310">
        <f t="shared" si="6"/>
        <v>0</v>
      </c>
      <c r="AG30" s="3797"/>
      <c r="AH30" s="3797"/>
      <c r="AI30" s="7354"/>
      <c r="AJ30" s="7310">
        <f t="shared" si="7"/>
        <v>0</v>
      </c>
      <c r="AK30" s="3797"/>
      <c r="AL30" s="3797"/>
      <c r="AM30" s="7367"/>
      <c r="AN30" s="7301">
        <f t="shared" si="8"/>
        <v>0</v>
      </c>
      <c r="AO30" s="7354"/>
      <c r="AP30" s="7310">
        <f t="shared" si="9"/>
        <v>0</v>
      </c>
      <c r="AQ30" s="3797"/>
      <c r="AR30" s="3797"/>
      <c r="AS30" s="7354"/>
      <c r="AT30" s="7310">
        <f t="shared" si="10"/>
        <v>0</v>
      </c>
      <c r="AU30" s="3797"/>
      <c r="AV30" s="3797"/>
      <c r="AW30" s="7354"/>
      <c r="AX30" s="7310">
        <f t="shared" si="11"/>
        <v>0</v>
      </c>
      <c r="AY30" s="3797"/>
      <c r="AZ30" s="3797"/>
      <c r="BA30" s="7367"/>
      <c r="BB30" s="7301">
        <f t="shared" si="12"/>
        <v>0</v>
      </c>
      <c r="BC30" s="7378"/>
      <c r="BD30" s="7302">
        <f t="shared" si="13"/>
        <v>0</v>
      </c>
      <c r="BE30" s="7354"/>
      <c r="BF30" s="7310">
        <f t="shared" si="14"/>
        <v>0</v>
      </c>
      <c r="BG30" s="4152">
        <f t="shared" si="15"/>
        <v>0</v>
      </c>
      <c r="BH30" s="4152">
        <f t="shared" si="16"/>
        <v>0</v>
      </c>
      <c r="BI30" s="4152"/>
      <c r="BJ30" s="4152">
        <f t="shared" si="17"/>
        <v>0</v>
      </c>
      <c r="BK30" s="4152">
        <f t="shared" si="18"/>
        <v>0</v>
      </c>
      <c r="BP30" s="4152"/>
    </row>
    <row r="31" spans="1:68" x14ac:dyDescent="0.25">
      <c r="A31" s="90"/>
      <c r="B31" s="945" t="s">
        <v>75</v>
      </c>
      <c r="C31" s="7337" t="s">
        <v>50</v>
      </c>
      <c r="D31" s="7949">
        <f>+D42+D50</f>
        <v>315000</v>
      </c>
      <c r="E31" s="7949">
        <f>'Maj Production Summ'!E36-E33-E35-E36</f>
        <v>20999.957109341791</v>
      </c>
      <c r="F31" s="2237">
        <f>F42+F50</f>
        <v>13900.46</v>
      </c>
      <c r="G31" s="7949">
        <f>'Maj Production Summ'!G36-G33-G35-G36</f>
        <v>45135.940308020741</v>
      </c>
      <c r="H31" s="7308">
        <f>H42+H50</f>
        <v>37486.699999999997</v>
      </c>
      <c r="I31" s="7952">
        <f>E31+G31</f>
        <v>66135.897417362532</v>
      </c>
      <c r="J31" s="7310">
        <f t="shared" si="0"/>
        <v>51387.159999999996</v>
      </c>
      <c r="K31" s="7949">
        <f>'Maj Production Summ'!K36-K33-K35-K36</f>
        <v>44636.474519478841</v>
      </c>
      <c r="L31" s="7308">
        <f>L42+L50</f>
        <v>36411.549999999996</v>
      </c>
      <c r="M31" s="7713">
        <f>E31+G31+K31</f>
        <v>110772.37193684137</v>
      </c>
      <c r="N31" s="7301">
        <f t="shared" si="1"/>
        <v>87798.709999999992</v>
      </c>
      <c r="O31" s="7949">
        <f>'Maj Production Summ'!O36-O33-O35-O36</f>
        <v>40136.504991684538</v>
      </c>
      <c r="P31" s="7308">
        <f>P42+P50</f>
        <v>47198.23</v>
      </c>
      <c r="Q31" s="7952">
        <f>M31+O31</f>
        <v>150908.87692852592</v>
      </c>
      <c r="R31" s="7310">
        <f t="shared" si="2"/>
        <v>134996.94</v>
      </c>
      <c r="S31" s="7949">
        <f>'Maj Production Summ'!S36-S33-S35-S36</f>
        <v>40136.504991684538</v>
      </c>
      <c r="T31" s="7308">
        <f>T42+T50</f>
        <v>54075.5</v>
      </c>
      <c r="U31" s="7952">
        <f>Q31+S31</f>
        <v>191045.38192021046</v>
      </c>
      <c r="V31" s="7310">
        <f t="shared" si="3"/>
        <v>189072.44</v>
      </c>
      <c r="W31" s="7949">
        <f>'Maj Production Summ'!W36-W33-W35-W36</f>
        <v>13300.0147648532</v>
      </c>
      <c r="X31" s="7308">
        <f>X42+X50</f>
        <v>36768.710000000006</v>
      </c>
      <c r="Y31" s="7713">
        <f>O31+S31+W31</f>
        <v>93573.024748222277</v>
      </c>
      <c r="Z31" s="7301">
        <f t="shared" si="4"/>
        <v>138042.44</v>
      </c>
      <c r="AA31" s="7735">
        <f>M31+Y31</f>
        <v>204345.39668506366</v>
      </c>
      <c r="AB31" s="7302">
        <f t="shared" si="5"/>
        <v>225841.15</v>
      </c>
      <c r="AC31" s="7949">
        <f>'Maj Production Summ'!AC36-AC33-AC35-AC36</f>
        <v>45635.89179611994</v>
      </c>
      <c r="AD31" s="7308">
        <f>AD42+AD50</f>
        <v>47231.429999999993</v>
      </c>
      <c r="AE31" s="7952">
        <f>AA31+AC31</f>
        <v>249981.28848118361</v>
      </c>
      <c r="AF31" s="7310">
        <f t="shared" si="6"/>
        <v>273072.57999999996</v>
      </c>
      <c r="AG31" s="7949">
        <f>'Maj Production Summ'!AG36-AG33-AG35-AG36</f>
        <v>42135.952092038235</v>
      </c>
      <c r="AH31" s="7308">
        <f>AH42+AH50</f>
        <v>48322.05</v>
      </c>
      <c r="AI31" s="7953">
        <f>AE31+AG31</f>
        <v>292117.24057322182</v>
      </c>
      <c r="AJ31" s="7310">
        <f t="shared" si="7"/>
        <v>321394.62999999995</v>
      </c>
      <c r="AK31" s="7949">
        <f>'Maj Production Summ'!AK36-AK33-AK35-AK36</f>
        <v>42636.41788058004</v>
      </c>
      <c r="AL31" s="7308">
        <f>AL42+AL50</f>
        <v>37711.500000000007</v>
      </c>
      <c r="AM31" s="7713">
        <f>AC31+AG31+AK31</f>
        <v>130408.26176873822</v>
      </c>
      <c r="AN31" s="7301">
        <f t="shared" si="8"/>
        <v>133264.98000000001</v>
      </c>
      <c r="AO31" s="7952">
        <f>AI31+AK31</f>
        <v>334753.65845380188</v>
      </c>
      <c r="AP31" s="7310">
        <f t="shared" si="9"/>
        <v>359106.12999999995</v>
      </c>
      <c r="AQ31" s="7949">
        <f>'Maj Production Summ'!AQ36-AQ33-AQ35-AQ36</f>
        <v>45136.028314827585</v>
      </c>
      <c r="AR31" s="7308">
        <f>AR42+AR50</f>
        <v>26948.59</v>
      </c>
      <c r="AS31" s="7953">
        <f>AO31+AQ31</f>
        <v>379889.68676862947</v>
      </c>
      <c r="AT31" s="7310">
        <f t="shared" si="10"/>
        <v>386054.72</v>
      </c>
      <c r="AU31" s="7949">
        <f>'Maj Production Summ'!AU36-AU33-AU35-AU36</f>
        <v>38136.374065567383</v>
      </c>
      <c r="AV31" s="7308">
        <f>AV42+AV50</f>
        <v>7881.6200000000008</v>
      </c>
      <c r="AW31" s="7953">
        <f>AS31+AU31</f>
        <v>418026.06083419686</v>
      </c>
      <c r="AX31" s="7310">
        <f t="shared" si="11"/>
        <v>393936.33999999997</v>
      </c>
      <c r="AY31" s="7949">
        <f>'Maj Production Summ'!AY36-AY33-AY35-AY36</f>
        <v>43636.054399287626</v>
      </c>
      <c r="AZ31" s="7308">
        <f>AZ42+AZ50</f>
        <v>28355.649999999994</v>
      </c>
      <c r="BA31" s="7713">
        <f>AQ31+AU31+AY31</f>
        <v>126908.4567796826</v>
      </c>
      <c r="BB31" s="7301">
        <f t="shared" si="12"/>
        <v>63185.859999999993</v>
      </c>
      <c r="BC31" s="7735">
        <f>AM31+BA31</f>
        <v>257316.71854842082</v>
      </c>
      <c r="BD31" s="7302">
        <f t="shared" si="13"/>
        <v>196450.84</v>
      </c>
      <c r="BE31" s="7953">
        <f>AW31+AY31</f>
        <v>461662.11523348448</v>
      </c>
      <c r="BF31" s="7310">
        <f t="shared" si="14"/>
        <v>422291.99</v>
      </c>
      <c r="BG31" s="4152">
        <f t="shared" si="15"/>
        <v>0</v>
      </c>
      <c r="BH31" s="4152">
        <f t="shared" si="16"/>
        <v>0</v>
      </c>
      <c r="BI31" s="4152"/>
      <c r="BJ31" s="4152">
        <f t="shared" si="17"/>
        <v>0</v>
      </c>
      <c r="BK31" s="4152">
        <f t="shared" si="18"/>
        <v>0</v>
      </c>
      <c r="BP31" s="4152"/>
    </row>
    <row r="32" spans="1:68" x14ac:dyDescent="0.25">
      <c r="A32" s="90"/>
      <c r="B32" s="945" t="s">
        <v>76</v>
      </c>
      <c r="C32" s="7337" t="s">
        <v>50</v>
      </c>
      <c r="D32" s="7949"/>
      <c r="E32" s="7949"/>
      <c r="F32" s="2237">
        <f>F43+F51</f>
        <v>9527.6800000000039</v>
      </c>
      <c r="G32" s="7949"/>
      <c r="H32" s="7308">
        <f t="shared" ref="H32" si="165">H43+H51</f>
        <v>10028.82</v>
      </c>
      <c r="I32" s="7952"/>
      <c r="J32" s="7310">
        <f t="shared" si="0"/>
        <v>19556.500000000004</v>
      </c>
      <c r="K32" s="7949"/>
      <c r="L32" s="7308">
        <f t="shared" ref="L32" si="166">L43+L51</f>
        <v>7884.6599999999962</v>
      </c>
      <c r="M32" s="7713"/>
      <c r="N32" s="7301">
        <f t="shared" si="1"/>
        <v>27441.16</v>
      </c>
      <c r="O32" s="7949"/>
      <c r="P32" s="7308">
        <f t="shared" ref="P32" si="167">P43+P51</f>
        <v>6995.6200000000026</v>
      </c>
      <c r="Q32" s="7952"/>
      <c r="R32" s="7310">
        <f t="shared" si="2"/>
        <v>34436.78</v>
      </c>
      <c r="S32" s="7949"/>
      <c r="T32" s="7308">
        <f t="shared" ref="T32" si="168">T43+T51</f>
        <v>9643.529999999997</v>
      </c>
      <c r="U32" s="7952"/>
      <c r="V32" s="7310">
        <f t="shared" si="3"/>
        <v>44080.31</v>
      </c>
      <c r="W32" s="7949"/>
      <c r="X32" s="7308">
        <f t="shared" ref="X32" si="169">X43+X51</f>
        <v>13649.230000000001</v>
      </c>
      <c r="Y32" s="7713"/>
      <c r="Z32" s="7301">
        <f t="shared" si="4"/>
        <v>30288.380000000005</v>
      </c>
      <c r="AA32" s="7735"/>
      <c r="AB32" s="7302">
        <f t="shared" si="5"/>
        <v>57729.540000000008</v>
      </c>
      <c r="AC32" s="7949"/>
      <c r="AD32" s="7308">
        <f t="shared" ref="AD32" si="170">AD43+AD51</f>
        <v>4011.2299999999991</v>
      </c>
      <c r="AE32" s="7952"/>
      <c r="AF32" s="7310">
        <f t="shared" si="6"/>
        <v>61740.770000000004</v>
      </c>
      <c r="AG32" s="7949"/>
      <c r="AH32" s="7308">
        <f t="shared" ref="AH32" si="171">AH43+AH51</f>
        <v>11896.339999999998</v>
      </c>
      <c r="AI32" s="7951"/>
      <c r="AJ32" s="7310">
        <f t="shared" si="7"/>
        <v>73637.11</v>
      </c>
      <c r="AK32" s="7949"/>
      <c r="AL32" s="7308">
        <f t="shared" ref="AL32" si="172">AL43+AL51</f>
        <v>11371.260000000002</v>
      </c>
      <c r="AM32" s="7713"/>
      <c r="AN32" s="7301">
        <f t="shared" si="8"/>
        <v>27278.83</v>
      </c>
      <c r="AO32" s="7952"/>
      <c r="AP32" s="7310">
        <f t="shared" si="9"/>
        <v>85008.37</v>
      </c>
      <c r="AQ32" s="7949"/>
      <c r="AR32" s="7308">
        <f t="shared" ref="AR32" si="173">AR43+AR51</f>
        <v>6009.3</v>
      </c>
      <c r="AS32" s="7951"/>
      <c r="AT32" s="7310">
        <f t="shared" si="10"/>
        <v>91017.67</v>
      </c>
      <c r="AU32" s="7949"/>
      <c r="AV32" s="7308">
        <f t="shared" ref="AV32" si="174">AV43+AV51</f>
        <v>4829.25</v>
      </c>
      <c r="AW32" s="7951"/>
      <c r="AX32" s="7310">
        <f t="shared" si="11"/>
        <v>95846.92</v>
      </c>
      <c r="AY32" s="7949"/>
      <c r="AZ32" s="7308">
        <f t="shared" ref="AZ32" si="175">AZ43+AZ51</f>
        <v>7533.2500000000027</v>
      </c>
      <c r="BA32" s="7713"/>
      <c r="BB32" s="7301">
        <f t="shared" si="12"/>
        <v>18371.800000000003</v>
      </c>
      <c r="BC32" s="7735"/>
      <c r="BD32" s="7302">
        <f t="shared" si="13"/>
        <v>45650.630000000005</v>
      </c>
      <c r="BE32" s="7951"/>
      <c r="BF32" s="7310">
        <f t="shared" si="14"/>
        <v>103380.17</v>
      </c>
      <c r="BG32" s="4152">
        <f t="shared" si="15"/>
        <v>0</v>
      </c>
      <c r="BH32" s="4152">
        <f t="shared" si="16"/>
        <v>0</v>
      </c>
      <c r="BI32" s="4152"/>
      <c r="BJ32" s="4152">
        <f t="shared" si="17"/>
        <v>0</v>
      </c>
      <c r="BK32" s="4152">
        <f t="shared" si="18"/>
        <v>0</v>
      </c>
      <c r="BP32" s="4152"/>
    </row>
    <row r="33" spans="1:69" x14ac:dyDescent="0.25">
      <c r="A33" s="112"/>
      <c r="B33" s="945" t="s">
        <v>137</v>
      </c>
      <c r="C33" s="7337" t="s">
        <v>50</v>
      </c>
      <c r="D33" s="2237">
        <f>+D44+D52</f>
        <v>20000</v>
      </c>
      <c r="E33" s="2237"/>
      <c r="F33" s="2237">
        <f>F44+F52</f>
        <v>2713.2199999999993</v>
      </c>
      <c r="G33" s="5568">
        <v>1363.6363636363637</v>
      </c>
      <c r="H33" s="7308">
        <f t="shared" ref="H33" si="176">H44+H52</f>
        <v>2814.6399999999994</v>
      </c>
      <c r="I33" s="7310">
        <f t="shared" ref="I33:I37" si="177">E33+G33</f>
        <v>1363.6363636363637</v>
      </c>
      <c r="J33" s="7310">
        <f t="shared" si="0"/>
        <v>5527.8599999999988</v>
      </c>
      <c r="K33" s="5680">
        <v>1363.6363636363637</v>
      </c>
      <c r="L33" s="7308">
        <f t="shared" ref="L33" si="178">L44+L52</f>
        <v>0</v>
      </c>
      <c r="M33" s="7301">
        <f>E33+G33+K33</f>
        <v>2727.2727272727275</v>
      </c>
      <c r="N33" s="7301">
        <f t="shared" si="1"/>
        <v>5527.8599999999988</v>
      </c>
      <c r="O33" s="5837">
        <v>1363.6363636363637</v>
      </c>
      <c r="P33" s="7308">
        <f t="shared" ref="P33" si="179">P44+P52</f>
        <v>0</v>
      </c>
      <c r="Q33" s="7310">
        <f t="shared" ref="Q33:Q37" si="180">M33+O33</f>
        <v>4090.909090909091</v>
      </c>
      <c r="R33" s="7310">
        <f t="shared" si="2"/>
        <v>5527.8599999999988</v>
      </c>
      <c r="S33" s="5893">
        <v>1363.6363636363637</v>
      </c>
      <c r="T33" s="7308">
        <f t="shared" ref="T33" si="181">T44+T52</f>
        <v>0</v>
      </c>
      <c r="U33" s="7310">
        <f t="shared" ref="U33:U37" si="182">Q33+S33</f>
        <v>5454.545454545455</v>
      </c>
      <c r="V33" s="7310">
        <f t="shared" si="3"/>
        <v>5527.8599999999988</v>
      </c>
      <c r="W33" s="6007">
        <v>0</v>
      </c>
      <c r="X33" s="7308">
        <f t="shared" ref="X33" si="183">X44+X52</f>
        <v>0</v>
      </c>
      <c r="Y33" s="7301">
        <f t="shared" ref="Y33:Y36" si="184">O33+S33+W33</f>
        <v>2727.2727272727275</v>
      </c>
      <c r="Z33" s="7301">
        <f t="shared" si="4"/>
        <v>0</v>
      </c>
      <c r="AA33" s="7302">
        <f>M33+Y33</f>
        <v>5454.545454545455</v>
      </c>
      <c r="AB33" s="7302">
        <f t="shared" si="5"/>
        <v>5527.8599999999988</v>
      </c>
      <c r="AC33" s="6138">
        <v>1363.6363636363637</v>
      </c>
      <c r="AD33" s="7308">
        <f t="shared" ref="AD33" si="185">AD44+AD52</f>
        <v>2836.7</v>
      </c>
      <c r="AE33" s="7310">
        <f t="shared" ref="AE33:AE37" si="186">AA33+AC33</f>
        <v>6818.1818181818189</v>
      </c>
      <c r="AF33" s="7310">
        <f t="shared" si="6"/>
        <v>8364.5599999999977</v>
      </c>
      <c r="AG33" s="6300">
        <v>1363.6363636363637</v>
      </c>
      <c r="AH33" s="7308">
        <f t="shared" ref="AH33" si="187">AH44+AH52</f>
        <v>2824.64</v>
      </c>
      <c r="AI33" s="7310">
        <f t="shared" ref="AI33:AI37" si="188">AE33+AG33</f>
        <v>8181.8181818181829</v>
      </c>
      <c r="AJ33" s="7310">
        <f t="shared" si="7"/>
        <v>11189.199999999997</v>
      </c>
      <c r="AK33" s="6549">
        <v>1363.6363636363637</v>
      </c>
      <c r="AL33" s="7308">
        <f t="shared" ref="AL33" si="189">AL44+AL52</f>
        <v>2463.92</v>
      </c>
      <c r="AM33" s="7301">
        <f t="shared" ref="AM33:AM36" si="190">AC33+AG33+AK33</f>
        <v>4090.909090909091</v>
      </c>
      <c r="AN33" s="7301">
        <f t="shared" si="8"/>
        <v>8125.26</v>
      </c>
      <c r="AO33" s="7310">
        <f>AI33+AK33</f>
        <v>9545.454545454546</v>
      </c>
      <c r="AP33" s="7310">
        <f t="shared" si="9"/>
        <v>13653.119999999997</v>
      </c>
      <c r="AQ33" s="6643">
        <v>1363.6363636363637</v>
      </c>
      <c r="AR33" s="7308">
        <f t="shared" ref="AR33" si="191">AR44+AR52</f>
        <v>2842.54</v>
      </c>
      <c r="AS33" s="7310">
        <f t="shared" ref="AS33:AS37" si="192">AO33+AQ33</f>
        <v>10909.09090909091</v>
      </c>
      <c r="AT33" s="7310">
        <f t="shared" si="10"/>
        <v>16495.659999999996</v>
      </c>
      <c r="AU33" s="6815">
        <v>1363.6363636363637</v>
      </c>
      <c r="AV33" s="7308">
        <f t="shared" ref="AV33" si="193">AV44+AV52</f>
        <v>0</v>
      </c>
      <c r="AW33" s="7310">
        <f t="shared" ref="AW33:AW37" si="194">AS33+AU33</f>
        <v>12272.727272727274</v>
      </c>
      <c r="AX33" s="7310">
        <f t="shared" si="11"/>
        <v>16495.659999999996</v>
      </c>
      <c r="AY33" s="6957">
        <v>1363.6363636363637</v>
      </c>
      <c r="AZ33" s="7308">
        <f t="shared" ref="AZ33" si="195">AZ44+AZ52</f>
        <v>1167.56</v>
      </c>
      <c r="BA33" s="7301">
        <f t="shared" ref="BA33:BA36" si="196">AQ33+AU33+AY33</f>
        <v>4090.909090909091</v>
      </c>
      <c r="BB33" s="7301">
        <f t="shared" si="12"/>
        <v>4010.1</v>
      </c>
      <c r="BC33" s="7302">
        <f t="shared" ref="BC33:BC36" si="197">AM33+BA33</f>
        <v>8181.818181818182</v>
      </c>
      <c r="BD33" s="7302">
        <f t="shared" si="13"/>
        <v>12135.36</v>
      </c>
      <c r="BE33" s="7310">
        <f t="shared" ref="BE33:BE37" si="198">AW33+AY33</f>
        <v>13636.363636363638</v>
      </c>
      <c r="BF33" s="7310">
        <f t="shared" si="14"/>
        <v>17663.219999999998</v>
      </c>
      <c r="BG33" s="4152">
        <f t="shared" si="15"/>
        <v>0</v>
      </c>
      <c r="BH33" s="4152">
        <f t="shared" si="16"/>
        <v>0</v>
      </c>
      <c r="BI33" s="4152"/>
      <c r="BJ33" s="4152">
        <f t="shared" si="17"/>
        <v>0</v>
      </c>
      <c r="BK33" s="4152">
        <f t="shared" si="18"/>
        <v>0</v>
      </c>
      <c r="BP33" s="4152"/>
    </row>
    <row r="34" spans="1:69" s="7316" customFormat="1" x14ac:dyDescent="0.25">
      <c r="A34" s="112"/>
      <c r="B34" s="7350" t="s">
        <v>2296</v>
      </c>
      <c r="C34" s="7046" t="s">
        <v>50</v>
      </c>
      <c r="D34" s="7040"/>
      <c r="E34" s="7040"/>
      <c r="F34" s="7040">
        <f>+F53+F45</f>
        <v>0</v>
      </c>
      <c r="G34" s="7040">
        <f t="shared" ref="G34:BO34" si="199">+G53</f>
        <v>0</v>
      </c>
      <c r="H34" s="7040">
        <f>+H53+H45</f>
        <v>0</v>
      </c>
      <c r="I34" s="7040">
        <f t="shared" si="199"/>
        <v>0</v>
      </c>
      <c r="J34" s="7310">
        <f t="shared" si="0"/>
        <v>0</v>
      </c>
      <c r="K34" s="7040">
        <f t="shared" si="199"/>
        <v>0</v>
      </c>
      <c r="L34" s="7040">
        <f>+L53+L45</f>
        <v>0</v>
      </c>
      <c r="M34" s="7040">
        <f t="shared" si="199"/>
        <v>0</v>
      </c>
      <c r="N34" s="7301">
        <f t="shared" si="1"/>
        <v>0</v>
      </c>
      <c r="O34" s="7040">
        <f t="shared" si="199"/>
        <v>0</v>
      </c>
      <c r="P34" s="7040">
        <f>+P53+P45</f>
        <v>0</v>
      </c>
      <c r="Q34" s="7040">
        <f t="shared" si="199"/>
        <v>0</v>
      </c>
      <c r="R34" s="7310">
        <f t="shared" si="2"/>
        <v>0</v>
      </c>
      <c r="S34" s="7040">
        <f t="shared" si="199"/>
        <v>0</v>
      </c>
      <c r="T34" s="7040">
        <f>+T53+T45</f>
        <v>0</v>
      </c>
      <c r="U34" s="7040">
        <f t="shared" si="199"/>
        <v>0</v>
      </c>
      <c r="V34" s="7310">
        <f t="shared" si="3"/>
        <v>0</v>
      </c>
      <c r="W34" s="7040">
        <f t="shared" si="199"/>
        <v>0</v>
      </c>
      <c r="X34" s="7040">
        <f>+X53+X45</f>
        <v>0</v>
      </c>
      <c r="Y34" s="7040">
        <f t="shared" si="199"/>
        <v>0</v>
      </c>
      <c r="Z34" s="7301">
        <f t="shared" si="4"/>
        <v>0</v>
      </c>
      <c r="AA34" s="7040">
        <f t="shared" si="199"/>
        <v>0</v>
      </c>
      <c r="AB34" s="7302">
        <f t="shared" si="5"/>
        <v>0</v>
      </c>
      <c r="AC34" s="7040">
        <f t="shared" si="199"/>
        <v>0</v>
      </c>
      <c r="AD34" s="7040">
        <f>+AD53+AD45</f>
        <v>0</v>
      </c>
      <c r="AE34" s="7040">
        <f t="shared" si="199"/>
        <v>0</v>
      </c>
      <c r="AF34" s="7310">
        <f t="shared" si="6"/>
        <v>0</v>
      </c>
      <c r="AG34" s="7040">
        <f t="shared" si="199"/>
        <v>0</v>
      </c>
      <c r="AH34" s="7040">
        <f>+AH53+AH45</f>
        <v>0</v>
      </c>
      <c r="AI34" s="7040">
        <f t="shared" si="199"/>
        <v>0</v>
      </c>
      <c r="AJ34" s="7310">
        <f t="shared" si="7"/>
        <v>0</v>
      </c>
      <c r="AK34" s="7040">
        <f t="shared" si="199"/>
        <v>0</v>
      </c>
      <c r="AL34" s="7040">
        <f>+AL53+AL45</f>
        <v>0</v>
      </c>
      <c r="AM34" s="7040">
        <f t="shared" si="199"/>
        <v>0</v>
      </c>
      <c r="AN34" s="7301">
        <f t="shared" si="8"/>
        <v>0</v>
      </c>
      <c r="AO34" s="7040">
        <f t="shared" si="199"/>
        <v>0</v>
      </c>
      <c r="AP34" s="7310">
        <f t="shared" si="9"/>
        <v>0</v>
      </c>
      <c r="AQ34" s="7040">
        <f t="shared" si="199"/>
        <v>0</v>
      </c>
      <c r="AR34" s="7040">
        <f>+AR53+AR45</f>
        <v>0</v>
      </c>
      <c r="AS34" s="7040">
        <f t="shared" si="199"/>
        <v>0</v>
      </c>
      <c r="AT34" s="7310">
        <f t="shared" si="10"/>
        <v>0</v>
      </c>
      <c r="AU34" s="7040">
        <f t="shared" si="199"/>
        <v>0</v>
      </c>
      <c r="AV34" s="7040">
        <f>+AV53+AV45</f>
        <v>2022.0800000000002</v>
      </c>
      <c r="AW34" s="7040">
        <f t="shared" si="199"/>
        <v>0</v>
      </c>
      <c r="AX34" s="7310">
        <f t="shared" si="11"/>
        <v>2022.0800000000002</v>
      </c>
      <c r="AY34" s="7040">
        <f t="shared" si="199"/>
        <v>0</v>
      </c>
      <c r="AZ34" s="7040">
        <f>+AZ53+AZ45</f>
        <v>2066.8999999999996</v>
      </c>
      <c r="BA34" s="7040">
        <f t="shared" si="199"/>
        <v>0</v>
      </c>
      <c r="BB34" s="7301">
        <f t="shared" si="12"/>
        <v>4088.9799999999996</v>
      </c>
      <c r="BC34" s="7040">
        <f t="shared" si="199"/>
        <v>0</v>
      </c>
      <c r="BD34" s="7302">
        <f t="shared" si="13"/>
        <v>4088.9799999999996</v>
      </c>
      <c r="BE34" s="7040">
        <f t="shared" si="199"/>
        <v>0</v>
      </c>
      <c r="BF34" s="7310">
        <f t="shared" si="14"/>
        <v>4088.9799999999996</v>
      </c>
      <c r="BG34" s="7040">
        <f t="shared" si="199"/>
        <v>0</v>
      </c>
      <c r="BH34" s="7040">
        <f t="shared" si="199"/>
        <v>0</v>
      </c>
      <c r="BI34" s="7040">
        <f t="shared" si="199"/>
        <v>0</v>
      </c>
      <c r="BJ34" s="7040">
        <f t="shared" si="199"/>
        <v>0</v>
      </c>
      <c r="BK34" s="7040">
        <f t="shared" si="199"/>
        <v>0</v>
      </c>
      <c r="BL34" s="7040">
        <f t="shared" si="199"/>
        <v>0</v>
      </c>
      <c r="BM34" s="7040">
        <f t="shared" si="199"/>
        <v>0</v>
      </c>
      <c r="BN34" s="7040">
        <f t="shared" si="199"/>
        <v>0</v>
      </c>
      <c r="BO34" s="7040">
        <f t="shared" si="199"/>
        <v>0</v>
      </c>
      <c r="BP34" s="4152"/>
    </row>
    <row r="35" spans="1:69" x14ac:dyDescent="0.25">
      <c r="A35" s="90"/>
      <c r="B35" s="945" t="s">
        <v>2294</v>
      </c>
      <c r="C35" s="7337" t="s">
        <v>50</v>
      </c>
      <c r="D35" s="1819"/>
      <c r="E35" s="2237"/>
      <c r="F35" s="2237">
        <f>+F46+F58+F54</f>
        <v>1961.5</v>
      </c>
      <c r="G35" s="5568"/>
      <c r="H35" s="7441">
        <f>+H46+H58+H54</f>
        <v>0</v>
      </c>
      <c r="I35" s="7310">
        <f t="shared" si="177"/>
        <v>0</v>
      </c>
      <c r="J35" s="7310">
        <f t="shared" si="0"/>
        <v>1961.5</v>
      </c>
      <c r="K35" s="5680"/>
      <c r="L35" s="7441">
        <f>+L46+L58+L54</f>
        <v>3983.52</v>
      </c>
      <c r="M35" s="7301">
        <f t="shared" ref="M35:M36" si="200">E35+G35+K35</f>
        <v>0</v>
      </c>
      <c r="N35" s="7301">
        <f t="shared" si="1"/>
        <v>5945.02</v>
      </c>
      <c r="O35" s="5837">
        <v>0</v>
      </c>
      <c r="P35" s="7441">
        <f>+P46+P58+P54</f>
        <v>2025.24</v>
      </c>
      <c r="Q35" s="7310">
        <f t="shared" si="180"/>
        <v>0</v>
      </c>
      <c r="R35" s="7310">
        <f t="shared" si="2"/>
        <v>7970.26</v>
      </c>
      <c r="S35" s="5893"/>
      <c r="T35" s="7441">
        <f>+T46+T58+T54</f>
        <v>1895.72</v>
      </c>
      <c r="U35" s="7310">
        <f t="shared" si="182"/>
        <v>0</v>
      </c>
      <c r="V35" s="7310">
        <f t="shared" si="3"/>
        <v>9865.98</v>
      </c>
      <c r="W35" s="6007"/>
      <c r="X35" s="7441">
        <f>+X46+X58+X54</f>
        <v>960.38000000000011</v>
      </c>
      <c r="Y35" s="7301">
        <f t="shared" si="184"/>
        <v>0</v>
      </c>
      <c r="Z35" s="7301">
        <f t="shared" si="4"/>
        <v>4881.34</v>
      </c>
      <c r="AA35" s="7302">
        <f>M35+Y35</f>
        <v>0</v>
      </c>
      <c r="AB35" s="7302">
        <f t="shared" si="5"/>
        <v>10826.36</v>
      </c>
      <c r="AC35" s="6138"/>
      <c r="AD35" s="7441">
        <f>+AD46+AD58+AD54</f>
        <v>4620.18</v>
      </c>
      <c r="AE35" s="7310">
        <f t="shared" si="186"/>
        <v>0</v>
      </c>
      <c r="AF35" s="7310">
        <f t="shared" si="6"/>
        <v>15446.54</v>
      </c>
      <c r="AG35" s="6300">
        <v>0</v>
      </c>
      <c r="AH35" s="7441">
        <f>+AH46+AH58+AH54</f>
        <v>0</v>
      </c>
      <c r="AI35" s="7310">
        <f t="shared" si="188"/>
        <v>0</v>
      </c>
      <c r="AJ35" s="7310">
        <f t="shared" si="7"/>
        <v>15446.54</v>
      </c>
      <c r="AK35" s="6549">
        <v>0</v>
      </c>
      <c r="AL35" s="7441">
        <f>+AL46+AL58+AL54</f>
        <v>0</v>
      </c>
      <c r="AM35" s="7301">
        <f t="shared" si="190"/>
        <v>0</v>
      </c>
      <c r="AN35" s="7301">
        <f t="shared" si="8"/>
        <v>4620.18</v>
      </c>
      <c r="AO35" s="7310">
        <f t="shared" ref="AO35:AO37" si="201">AI35+AK35</f>
        <v>0</v>
      </c>
      <c r="AP35" s="7310">
        <f t="shared" si="9"/>
        <v>15446.54</v>
      </c>
      <c r="AQ35" s="6643">
        <v>0</v>
      </c>
      <c r="AR35" s="7441">
        <f>+AR46+AR58+AR54</f>
        <v>0</v>
      </c>
      <c r="AS35" s="7310">
        <f t="shared" si="192"/>
        <v>0</v>
      </c>
      <c r="AT35" s="7310">
        <f t="shared" si="10"/>
        <v>15446.54</v>
      </c>
      <c r="AU35" s="6815">
        <v>0</v>
      </c>
      <c r="AV35" s="7441">
        <f>+AV46+AV58+AV54</f>
        <v>0</v>
      </c>
      <c r="AW35" s="7310">
        <f t="shared" si="194"/>
        <v>0</v>
      </c>
      <c r="AX35" s="7310">
        <f t="shared" si="11"/>
        <v>15446.54</v>
      </c>
      <c r="AY35" s="6957"/>
      <c r="AZ35" s="7441">
        <f>+AZ46+AZ58+AZ54</f>
        <v>0</v>
      </c>
      <c r="BA35" s="7301">
        <f t="shared" si="196"/>
        <v>0</v>
      </c>
      <c r="BB35" s="7301">
        <f t="shared" si="12"/>
        <v>0</v>
      </c>
      <c r="BC35" s="7302">
        <f t="shared" si="197"/>
        <v>0</v>
      </c>
      <c r="BD35" s="7302">
        <f t="shared" si="13"/>
        <v>4620.18</v>
      </c>
      <c r="BE35" s="7310">
        <f t="shared" si="198"/>
        <v>0</v>
      </c>
      <c r="BF35" s="7310">
        <f t="shared" si="14"/>
        <v>15446.54</v>
      </c>
      <c r="BG35" s="4152">
        <f t="shared" si="15"/>
        <v>0</v>
      </c>
      <c r="BH35" s="4152">
        <f t="shared" si="16"/>
        <v>0</v>
      </c>
      <c r="BI35" s="4152"/>
      <c r="BJ35" s="4152">
        <f t="shared" si="17"/>
        <v>0</v>
      </c>
      <c r="BK35" s="4152">
        <f t="shared" si="18"/>
        <v>0</v>
      </c>
      <c r="BP35" s="4152"/>
    </row>
    <row r="36" spans="1:69" ht="21.2" customHeight="1" x14ac:dyDescent="0.25">
      <c r="A36" s="90"/>
      <c r="B36" s="945" t="s">
        <v>2295</v>
      </c>
      <c r="C36" s="7337" t="s">
        <v>50</v>
      </c>
      <c r="D36" s="2237">
        <f>+D46+D55</f>
        <v>15000</v>
      </c>
      <c r="E36" s="2237"/>
      <c r="F36" s="2237">
        <f>+F39+F47+F55+F59</f>
        <v>4003.85</v>
      </c>
      <c r="G36" s="5568">
        <v>2000</v>
      </c>
      <c r="H36" s="7441">
        <f>+H39+H47+H55+H59</f>
        <v>2704.9500000000007</v>
      </c>
      <c r="I36" s="7310">
        <f t="shared" si="177"/>
        <v>2000</v>
      </c>
      <c r="J36" s="7310">
        <f t="shared" si="0"/>
        <v>6708.8000000000011</v>
      </c>
      <c r="K36" s="5680">
        <v>2000</v>
      </c>
      <c r="L36" s="7441">
        <f>+L39+L47+L55+L59</f>
        <v>2820.29</v>
      </c>
      <c r="M36" s="7301">
        <f t="shared" si="200"/>
        <v>4000</v>
      </c>
      <c r="N36" s="7301">
        <f t="shared" si="1"/>
        <v>9529.09</v>
      </c>
      <c r="O36" s="5837">
        <v>2000</v>
      </c>
      <c r="P36" s="7441">
        <f>+P39+P47+P55+P59</f>
        <v>1840.1200000000001</v>
      </c>
      <c r="Q36" s="7310">
        <f t="shared" si="180"/>
        <v>6000</v>
      </c>
      <c r="R36" s="7310">
        <f t="shared" si="2"/>
        <v>11369.210000000001</v>
      </c>
      <c r="S36" s="5893">
        <v>2000</v>
      </c>
      <c r="T36" s="7441">
        <f>+T39+T47+T55+T59</f>
        <v>4362.21</v>
      </c>
      <c r="U36" s="7310">
        <f t="shared" si="182"/>
        <v>8000</v>
      </c>
      <c r="V36" s="7310">
        <f t="shared" si="3"/>
        <v>15731.420000000002</v>
      </c>
      <c r="W36" s="6007">
        <v>2000</v>
      </c>
      <c r="X36" s="7441">
        <f>+X39+X47+X55+X59</f>
        <v>4222.21</v>
      </c>
      <c r="Y36" s="7301">
        <f t="shared" si="184"/>
        <v>6000</v>
      </c>
      <c r="Z36" s="7301">
        <f t="shared" si="4"/>
        <v>10424.540000000001</v>
      </c>
      <c r="AA36" s="7302">
        <f>M36+Y36</f>
        <v>10000</v>
      </c>
      <c r="AB36" s="7302">
        <f t="shared" si="5"/>
        <v>19953.63</v>
      </c>
      <c r="AC36" s="6138">
        <v>2000</v>
      </c>
      <c r="AD36" s="7441">
        <f>+AD39+AD47+AD55+AD59</f>
        <v>601.74</v>
      </c>
      <c r="AE36" s="7310">
        <f t="shared" si="186"/>
        <v>12000</v>
      </c>
      <c r="AF36" s="7310">
        <f t="shared" si="6"/>
        <v>20555.370000000003</v>
      </c>
      <c r="AG36" s="6300">
        <v>2000</v>
      </c>
      <c r="AH36" s="7441">
        <f>+AH39+AH47+AH55+AH59</f>
        <v>0</v>
      </c>
      <c r="AI36" s="7310">
        <f t="shared" si="188"/>
        <v>14000</v>
      </c>
      <c r="AJ36" s="7310">
        <f t="shared" si="7"/>
        <v>20555.370000000003</v>
      </c>
      <c r="AK36" s="6549">
        <v>2000</v>
      </c>
      <c r="AL36" s="7441">
        <f>+AL39+AL47+AL55+AL59</f>
        <v>2959.9700000000003</v>
      </c>
      <c r="AM36" s="7301">
        <f t="shared" si="190"/>
        <v>6000</v>
      </c>
      <c r="AN36" s="7301">
        <f t="shared" si="8"/>
        <v>3561.71</v>
      </c>
      <c r="AO36" s="7310">
        <f t="shared" si="201"/>
        <v>16000</v>
      </c>
      <c r="AP36" s="7310">
        <f t="shared" si="9"/>
        <v>23515.340000000004</v>
      </c>
      <c r="AQ36" s="6643">
        <v>2000</v>
      </c>
      <c r="AR36" s="7441">
        <f>+AR39+AR47+AR55+AR59</f>
        <v>6204.6100000000006</v>
      </c>
      <c r="AS36" s="7310">
        <f t="shared" si="192"/>
        <v>18000</v>
      </c>
      <c r="AT36" s="7310">
        <f t="shared" si="10"/>
        <v>29719.950000000004</v>
      </c>
      <c r="AU36" s="6815">
        <v>2000</v>
      </c>
      <c r="AV36" s="7441">
        <f>+AV39+AV47+AV55+AV59</f>
        <v>3912.1100000000006</v>
      </c>
      <c r="AW36" s="7310">
        <f t="shared" si="194"/>
        <v>20000</v>
      </c>
      <c r="AX36" s="7310">
        <f t="shared" si="11"/>
        <v>33632.060000000005</v>
      </c>
      <c r="AY36" s="6957">
        <v>2000</v>
      </c>
      <c r="AZ36" s="7441">
        <f>+AZ39+AZ47+AZ55+AZ59</f>
        <v>3740.4</v>
      </c>
      <c r="BA36" s="7301">
        <f t="shared" si="196"/>
        <v>6000</v>
      </c>
      <c r="BB36" s="7301">
        <f t="shared" si="12"/>
        <v>13857.12</v>
      </c>
      <c r="BC36" s="7302">
        <f t="shared" si="197"/>
        <v>12000</v>
      </c>
      <c r="BD36" s="7302">
        <f t="shared" si="13"/>
        <v>17418.830000000002</v>
      </c>
      <c r="BE36" s="7310">
        <f t="shared" si="198"/>
        <v>22000</v>
      </c>
      <c r="BF36" s="7310">
        <f t="shared" si="14"/>
        <v>37372.460000000006</v>
      </c>
      <c r="BG36" s="4152">
        <f t="shared" si="15"/>
        <v>0</v>
      </c>
      <c r="BH36" s="4152">
        <f t="shared" si="16"/>
        <v>0</v>
      </c>
      <c r="BI36" s="4152"/>
      <c r="BJ36" s="4152">
        <f t="shared" si="17"/>
        <v>0</v>
      </c>
      <c r="BK36" s="4152">
        <f t="shared" si="18"/>
        <v>0</v>
      </c>
      <c r="BP36" s="4152"/>
    </row>
    <row r="37" spans="1:69" ht="21.2" customHeight="1" x14ac:dyDescent="0.25">
      <c r="A37" s="90"/>
      <c r="B37" s="3795" t="s">
        <v>2</v>
      </c>
      <c r="C37" s="7337" t="s">
        <v>50</v>
      </c>
      <c r="D37" s="1677">
        <f>SUM(D31:D36)</f>
        <v>350000</v>
      </c>
      <c r="E37" s="1820">
        <f t="shared" ref="E37:G37" si="202">SUM(E31:E36)</f>
        <v>20999.957109341791</v>
      </c>
      <c r="F37" s="1820">
        <f t="shared" ref="F37:H37" si="203">SUM(F31:F36)</f>
        <v>32106.71</v>
      </c>
      <c r="G37" s="1820">
        <f t="shared" si="202"/>
        <v>48499.576671657102</v>
      </c>
      <c r="H37" s="1820">
        <f t="shared" si="203"/>
        <v>53035.11</v>
      </c>
      <c r="I37" s="7311">
        <f t="shared" si="177"/>
        <v>69499.5337809989</v>
      </c>
      <c r="J37" s="7310">
        <f t="shared" si="0"/>
        <v>85141.82</v>
      </c>
      <c r="K37" s="1820">
        <f t="shared" ref="K37" si="204">SUM(K31:K36)</f>
        <v>48000.110883115201</v>
      </c>
      <c r="L37" s="1820">
        <f t="shared" ref="L37" si="205">SUM(L31:L36)</f>
        <v>51100.01999999999</v>
      </c>
      <c r="M37" s="7303">
        <f>E37+G37+K37</f>
        <v>117499.64466411411</v>
      </c>
      <c r="N37" s="7301">
        <f t="shared" si="1"/>
        <v>136241.84</v>
      </c>
      <c r="O37" s="1820">
        <f t="shared" ref="O37" si="206">SUM(O31:O36)</f>
        <v>43500.141355320899</v>
      </c>
      <c r="P37" s="1820">
        <f t="shared" ref="P37" si="207">SUM(P31:P36)</f>
        <v>58059.210000000006</v>
      </c>
      <c r="Q37" s="7311">
        <f t="shared" si="180"/>
        <v>160999.78601943501</v>
      </c>
      <c r="R37" s="7310">
        <f t="shared" si="2"/>
        <v>194301.05</v>
      </c>
      <c r="S37" s="1820">
        <f t="shared" ref="S37:T37" si="208">SUM(S31:S36)</f>
        <v>43500.141355320899</v>
      </c>
      <c r="T37" s="1820">
        <f t="shared" si="208"/>
        <v>69976.960000000006</v>
      </c>
      <c r="U37" s="7311">
        <f t="shared" si="182"/>
        <v>204499.92737475591</v>
      </c>
      <c r="V37" s="7310">
        <f t="shared" si="3"/>
        <v>264278.01</v>
      </c>
      <c r="W37" s="1820">
        <f t="shared" ref="W37:X37" si="209">SUM(W31:W36)</f>
        <v>15300.0147648532</v>
      </c>
      <c r="X37" s="1820">
        <f t="shared" si="209"/>
        <v>55600.530000000006</v>
      </c>
      <c r="Y37" s="7303">
        <f>O37+S37+W37</f>
        <v>102300.297475495</v>
      </c>
      <c r="Z37" s="7301">
        <f t="shared" si="4"/>
        <v>183636.7</v>
      </c>
      <c r="AA37" s="513">
        <f>M37+Y37</f>
        <v>219799.94213960911</v>
      </c>
      <c r="AB37" s="7302">
        <f t="shared" si="5"/>
        <v>319878.54000000004</v>
      </c>
      <c r="AC37" s="1820">
        <f t="shared" ref="AC37" si="210">SUM(AC31:AC36)</f>
        <v>48999.528159756301</v>
      </c>
      <c r="AD37" s="1820">
        <f t="shared" ref="AD37" si="211">SUM(AD31:AD36)</f>
        <v>59301.279999999984</v>
      </c>
      <c r="AE37" s="7311">
        <f t="shared" si="186"/>
        <v>268799.47029936541</v>
      </c>
      <c r="AF37" s="7310">
        <f t="shared" si="6"/>
        <v>379179.82</v>
      </c>
      <c r="AG37" s="1820">
        <f t="shared" ref="AG37:AH37" si="212">SUM(AG31:AG36)</f>
        <v>45499.588455674595</v>
      </c>
      <c r="AH37" s="1820">
        <f t="shared" si="212"/>
        <v>63043.03</v>
      </c>
      <c r="AI37" s="7311">
        <f t="shared" si="188"/>
        <v>314299.05875503999</v>
      </c>
      <c r="AJ37" s="7310">
        <f t="shared" si="7"/>
        <v>442222.85</v>
      </c>
      <c r="AK37" s="1820">
        <f t="shared" ref="AK37:AL37" si="213">SUM(AK31:AK36)</f>
        <v>46000.054244216401</v>
      </c>
      <c r="AL37" s="1820">
        <f t="shared" si="213"/>
        <v>54506.650000000009</v>
      </c>
      <c r="AM37" s="7303">
        <f>AC37+AG37+AK37</f>
        <v>140499.17085964727</v>
      </c>
      <c r="AN37" s="7301">
        <f t="shared" si="8"/>
        <v>176850.96</v>
      </c>
      <c r="AO37" s="7311">
        <f t="shared" si="201"/>
        <v>360299.11299925641</v>
      </c>
      <c r="AP37" s="7310">
        <f t="shared" si="9"/>
        <v>496729.5</v>
      </c>
      <c r="AQ37" s="1820">
        <f t="shared" ref="AQ37" si="214">SUM(AQ31:AQ36)</f>
        <v>48499.664678463945</v>
      </c>
      <c r="AR37" s="1820">
        <f t="shared" ref="AR37" si="215">SUM(AR31:AR36)</f>
        <v>42005.04</v>
      </c>
      <c r="AS37" s="7311">
        <f t="shared" si="192"/>
        <v>408798.77767772035</v>
      </c>
      <c r="AT37" s="7310">
        <f t="shared" si="10"/>
        <v>538734.54</v>
      </c>
      <c r="AU37" s="1820">
        <f t="shared" ref="AU37:AV37" si="216">SUM(AU31:AU36)</f>
        <v>41500.010429203743</v>
      </c>
      <c r="AV37" s="1820">
        <f t="shared" si="216"/>
        <v>18645.060000000001</v>
      </c>
      <c r="AW37" s="7311">
        <f t="shared" si="194"/>
        <v>450298.7881069241</v>
      </c>
      <c r="AX37" s="7310">
        <f t="shared" si="11"/>
        <v>557379.60000000009</v>
      </c>
      <c r="AY37" s="1820">
        <f t="shared" ref="AY37:AZ37" si="217">SUM(AY31:AY36)</f>
        <v>46999.690762923987</v>
      </c>
      <c r="AZ37" s="1820">
        <f t="shared" si="217"/>
        <v>42863.759999999995</v>
      </c>
      <c r="BA37" s="7303">
        <f>AQ37+AU37+AY37</f>
        <v>136999.36587059166</v>
      </c>
      <c r="BB37" s="7347">
        <f t="shared" si="12"/>
        <v>103513.86</v>
      </c>
      <c r="BC37" s="513">
        <f>AM37+BA37</f>
        <v>277498.53673023893</v>
      </c>
      <c r="BD37" s="7382">
        <f t="shared" si="13"/>
        <v>280364.82</v>
      </c>
      <c r="BE37" s="7311">
        <f t="shared" si="198"/>
        <v>497298.47886984807</v>
      </c>
      <c r="BF37" s="7345">
        <f t="shared" si="14"/>
        <v>600243.3600000001</v>
      </c>
      <c r="BG37" s="4152">
        <f t="shared" si="15"/>
        <v>0</v>
      </c>
      <c r="BH37" s="4152">
        <f t="shared" si="16"/>
        <v>0</v>
      </c>
      <c r="BI37" s="4152"/>
      <c r="BJ37" s="4152">
        <f t="shared" si="17"/>
        <v>0</v>
      </c>
      <c r="BK37" s="4152">
        <f t="shared" si="18"/>
        <v>0</v>
      </c>
      <c r="BP37" s="4152"/>
      <c r="BQ37" s="4152"/>
    </row>
    <row r="38" spans="1:69" s="7042" customFormat="1" ht="21.2" customHeight="1" x14ac:dyDescent="0.25">
      <c r="A38" s="90"/>
      <c r="B38" s="3793" t="s">
        <v>2274</v>
      </c>
      <c r="C38" s="7046"/>
      <c r="D38" s="7064"/>
      <c r="E38" s="7047"/>
      <c r="F38" s="7047"/>
      <c r="G38" s="7047"/>
      <c r="H38" s="7047"/>
      <c r="I38" s="7065"/>
      <c r="J38" s="7310">
        <f t="shared" si="0"/>
        <v>0</v>
      </c>
      <c r="K38" s="7047"/>
      <c r="L38" s="7047"/>
      <c r="M38" s="7048"/>
      <c r="N38" s="7301">
        <f t="shared" si="1"/>
        <v>0</v>
      </c>
      <c r="O38" s="7047"/>
      <c r="P38" s="7047"/>
      <c r="Q38" s="7065"/>
      <c r="R38" s="7310">
        <f t="shared" si="2"/>
        <v>0</v>
      </c>
      <c r="S38" s="7047"/>
      <c r="T38" s="7047"/>
      <c r="U38" s="7065"/>
      <c r="V38" s="7310">
        <f t="shared" si="3"/>
        <v>0</v>
      </c>
      <c r="W38" s="7047"/>
      <c r="X38" s="7047"/>
      <c r="Y38" s="7048"/>
      <c r="Z38" s="7301">
        <f t="shared" si="4"/>
        <v>0</v>
      </c>
      <c r="AA38" s="7063"/>
      <c r="AB38" s="7302">
        <f t="shared" si="5"/>
        <v>0</v>
      </c>
      <c r="AC38" s="7047"/>
      <c r="AD38" s="7047"/>
      <c r="AE38" s="7065"/>
      <c r="AF38" s="7310">
        <f t="shared" si="6"/>
        <v>0</v>
      </c>
      <c r="AG38" s="7047"/>
      <c r="AH38" s="7047"/>
      <c r="AI38" s="7065"/>
      <c r="AJ38" s="7310">
        <f t="shared" si="7"/>
        <v>0</v>
      </c>
      <c r="AK38" s="7047"/>
      <c r="AL38" s="7047"/>
      <c r="AM38" s="7048"/>
      <c r="AN38" s="7301">
        <f t="shared" si="8"/>
        <v>0</v>
      </c>
      <c r="AO38" s="7065"/>
      <c r="AP38" s="7310">
        <f t="shared" si="9"/>
        <v>0</v>
      </c>
      <c r="AQ38" s="7047"/>
      <c r="AR38" s="7047"/>
      <c r="AS38" s="7065"/>
      <c r="AT38" s="7310">
        <f t="shared" si="10"/>
        <v>0</v>
      </c>
      <c r="AU38" s="7047"/>
      <c r="AV38" s="7047"/>
      <c r="AW38" s="7065"/>
      <c r="AX38" s="7310">
        <f t="shared" si="11"/>
        <v>0</v>
      </c>
      <c r="AY38" s="7047"/>
      <c r="AZ38" s="7047"/>
      <c r="BA38" s="7048"/>
      <c r="BB38" s="7301">
        <f t="shared" si="12"/>
        <v>0</v>
      </c>
      <c r="BC38" s="7063"/>
      <c r="BD38" s="7302">
        <f t="shared" si="13"/>
        <v>0</v>
      </c>
      <c r="BE38" s="7065"/>
      <c r="BF38" s="7310">
        <f t="shared" si="14"/>
        <v>0</v>
      </c>
      <c r="BG38" s="4152">
        <f t="shared" si="15"/>
        <v>0</v>
      </c>
      <c r="BH38" s="4152">
        <f t="shared" si="16"/>
        <v>0</v>
      </c>
      <c r="BI38" s="4152"/>
      <c r="BJ38" s="4152">
        <f t="shared" si="17"/>
        <v>0</v>
      </c>
      <c r="BK38" s="4152">
        <f t="shared" si="18"/>
        <v>0</v>
      </c>
      <c r="BP38" s="4152"/>
      <c r="BQ38" s="4152"/>
    </row>
    <row r="39" spans="1:69" s="7042" customFormat="1" ht="21.2" customHeight="1" x14ac:dyDescent="0.25">
      <c r="A39" s="90"/>
      <c r="B39" s="945" t="s">
        <v>2295</v>
      </c>
      <c r="C39" s="7046" t="s">
        <v>50</v>
      </c>
      <c r="D39" s="7064"/>
      <c r="E39" s="7047"/>
      <c r="F39" s="7047">
        <f>'Direct sales IPT details'!E12</f>
        <v>516.76</v>
      </c>
      <c r="G39" s="7047"/>
      <c r="H39" s="7047">
        <v>0</v>
      </c>
      <c r="I39" s="7065"/>
      <c r="J39" s="7310">
        <f t="shared" si="0"/>
        <v>516.76</v>
      </c>
      <c r="K39" s="7047"/>
      <c r="L39" s="7047">
        <v>0</v>
      </c>
      <c r="M39" s="7048"/>
      <c r="N39" s="7301">
        <f t="shared" si="1"/>
        <v>516.76</v>
      </c>
      <c r="O39" s="7047"/>
      <c r="P39" s="7047">
        <v>0</v>
      </c>
      <c r="Q39" s="7065"/>
      <c r="R39" s="7310">
        <f t="shared" si="2"/>
        <v>516.76</v>
      </c>
      <c r="S39" s="7047"/>
      <c r="T39" s="7047">
        <v>0</v>
      </c>
      <c r="U39" s="7065"/>
      <c r="V39" s="7310">
        <f t="shared" si="3"/>
        <v>516.76</v>
      </c>
      <c r="W39" s="7047"/>
      <c r="X39" s="7047">
        <v>0</v>
      </c>
      <c r="Y39" s="7048"/>
      <c r="Z39" s="7301">
        <f t="shared" si="4"/>
        <v>0</v>
      </c>
      <c r="AA39" s="7063"/>
      <c r="AB39" s="7302">
        <f t="shared" si="5"/>
        <v>516.76</v>
      </c>
      <c r="AC39" s="7047"/>
      <c r="AD39" s="7047">
        <v>0</v>
      </c>
      <c r="AE39" s="7065"/>
      <c r="AF39" s="7310">
        <f t="shared" si="6"/>
        <v>516.76</v>
      </c>
      <c r="AG39" s="7047"/>
      <c r="AH39" s="7047">
        <v>0</v>
      </c>
      <c r="AI39" s="7065"/>
      <c r="AJ39" s="7310">
        <f t="shared" si="7"/>
        <v>516.76</v>
      </c>
      <c r="AK39" s="7047"/>
      <c r="AL39" s="7047">
        <v>0</v>
      </c>
      <c r="AM39" s="7048"/>
      <c r="AN39" s="7301">
        <f t="shared" si="8"/>
        <v>0</v>
      </c>
      <c r="AO39" s="7065"/>
      <c r="AP39" s="7310">
        <f t="shared" si="9"/>
        <v>516.76</v>
      </c>
      <c r="AQ39" s="7047"/>
      <c r="AR39" s="7047">
        <v>0</v>
      </c>
      <c r="AS39" s="7065"/>
      <c r="AT39" s="7310">
        <f t="shared" si="10"/>
        <v>516.76</v>
      </c>
      <c r="AU39" s="7047"/>
      <c r="AV39" s="7047">
        <v>0</v>
      </c>
      <c r="AW39" s="7065"/>
      <c r="AX39" s="7310">
        <f t="shared" si="11"/>
        <v>516.76</v>
      </c>
      <c r="AY39" s="7047"/>
      <c r="AZ39" s="7041">
        <v>186.41</v>
      </c>
      <c r="BA39" s="7048"/>
      <c r="BB39" s="7301">
        <f t="shared" si="12"/>
        <v>186.41</v>
      </c>
      <c r="BC39" s="7379"/>
      <c r="BD39" s="7302">
        <f t="shared" si="13"/>
        <v>186.41</v>
      </c>
      <c r="BE39" s="7044"/>
      <c r="BF39" s="7444">
        <f t="shared" si="14"/>
        <v>703.17</v>
      </c>
      <c r="BG39" s="4152">
        <f t="shared" si="15"/>
        <v>0</v>
      </c>
      <c r="BH39" s="4152">
        <f t="shared" si="16"/>
        <v>0</v>
      </c>
      <c r="BI39" s="4152"/>
      <c r="BJ39" s="4152">
        <f t="shared" si="17"/>
        <v>0</v>
      </c>
      <c r="BK39" s="4152">
        <f t="shared" si="18"/>
        <v>0</v>
      </c>
      <c r="BP39" s="4152"/>
    </row>
    <row r="40" spans="1:69" s="31" customFormat="1" ht="21.2" customHeight="1" x14ac:dyDescent="0.25">
      <c r="A40" s="789"/>
      <c r="B40" s="3795" t="s">
        <v>2</v>
      </c>
      <c r="C40" s="7046" t="s">
        <v>50</v>
      </c>
      <c r="D40" s="7064"/>
      <c r="E40" s="7047"/>
      <c r="F40" s="7047"/>
      <c r="G40" s="7047"/>
      <c r="H40" s="7047">
        <v>0</v>
      </c>
      <c r="I40" s="7065"/>
      <c r="J40" s="7345">
        <f t="shared" si="0"/>
        <v>0</v>
      </c>
      <c r="K40" s="7047"/>
      <c r="L40" s="7047">
        <v>0</v>
      </c>
      <c r="M40" s="7048"/>
      <c r="N40" s="7347">
        <f t="shared" si="1"/>
        <v>0</v>
      </c>
      <c r="O40" s="7047"/>
      <c r="P40" s="7047">
        <v>0</v>
      </c>
      <c r="Q40" s="7065"/>
      <c r="R40" s="7345">
        <f t="shared" si="2"/>
        <v>0</v>
      </c>
      <c r="S40" s="7047"/>
      <c r="T40" s="7047">
        <v>0</v>
      </c>
      <c r="U40" s="7065"/>
      <c r="V40" s="7345">
        <f t="shared" si="3"/>
        <v>0</v>
      </c>
      <c r="W40" s="7047"/>
      <c r="X40" s="7047">
        <v>0</v>
      </c>
      <c r="Y40" s="7048"/>
      <c r="Z40" s="7347">
        <f t="shared" si="4"/>
        <v>0</v>
      </c>
      <c r="AA40" s="7063"/>
      <c r="AB40" s="7382">
        <f t="shared" si="5"/>
        <v>0</v>
      </c>
      <c r="AC40" s="7047"/>
      <c r="AD40" s="7047">
        <v>0</v>
      </c>
      <c r="AE40" s="7065"/>
      <c r="AF40" s="7345">
        <f t="shared" si="6"/>
        <v>0</v>
      </c>
      <c r="AG40" s="7047"/>
      <c r="AH40" s="7047">
        <v>0</v>
      </c>
      <c r="AI40" s="7065"/>
      <c r="AJ40" s="7345">
        <f t="shared" si="7"/>
        <v>0</v>
      </c>
      <c r="AK40" s="7047"/>
      <c r="AL40" s="7047">
        <v>0</v>
      </c>
      <c r="AM40" s="7048"/>
      <c r="AN40" s="7347">
        <f t="shared" si="8"/>
        <v>0</v>
      </c>
      <c r="AO40" s="7065"/>
      <c r="AP40" s="7345">
        <f t="shared" si="9"/>
        <v>0</v>
      </c>
      <c r="AQ40" s="7047"/>
      <c r="AR40" s="7047">
        <v>0</v>
      </c>
      <c r="AS40" s="7065"/>
      <c r="AT40" s="7345">
        <f t="shared" si="10"/>
        <v>0</v>
      </c>
      <c r="AU40" s="7047"/>
      <c r="AV40" s="7047">
        <v>0</v>
      </c>
      <c r="AW40" s="7065"/>
      <c r="AX40" s="7345">
        <f t="shared" si="11"/>
        <v>0</v>
      </c>
      <c r="AY40" s="7047"/>
      <c r="AZ40" s="1820">
        <f>AZ39</f>
        <v>186.41</v>
      </c>
      <c r="BA40" s="7048"/>
      <c r="BB40" s="7347">
        <f t="shared" si="12"/>
        <v>186.41</v>
      </c>
      <c r="BC40" s="7063"/>
      <c r="BD40" s="7382">
        <f t="shared" si="13"/>
        <v>186.41</v>
      </c>
      <c r="BE40" s="7065"/>
      <c r="BF40" s="7345">
        <f t="shared" si="14"/>
        <v>186.41</v>
      </c>
      <c r="BG40" s="7433">
        <f t="shared" si="15"/>
        <v>0</v>
      </c>
      <c r="BH40" s="7433">
        <f t="shared" si="16"/>
        <v>0</v>
      </c>
      <c r="BI40" s="7433"/>
      <c r="BJ40" s="7433">
        <f t="shared" si="17"/>
        <v>0</v>
      </c>
      <c r="BK40" s="7433">
        <f t="shared" si="18"/>
        <v>0</v>
      </c>
      <c r="BP40" s="7433"/>
    </row>
    <row r="41" spans="1:69" x14ac:dyDescent="0.25">
      <c r="A41" s="144"/>
      <c r="B41" s="3793" t="s">
        <v>1336</v>
      </c>
      <c r="C41" s="7436"/>
      <c r="D41" s="3798"/>
      <c r="E41" s="3797"/>
      <c r="F41" s="3797"/>
      <c r="G41" s="3797"/>
      <c r="H41" s="3797"/>
      <c r="I41" s="7354"/>
      <c r="J41" s="7310">
        <f t="shared" si="0"/>
        <v>0</v>
      </c>
      <c r="K41" s="3797"/>
      <c r="L41" s="3797"/>
      <c r="M41" s="7367"/>
      <c r="N41" s="7301">
        <f t="shared" si="1"/>
        <v>0</v>
      </c>
      <c r="O41" s="3797"/>
      <c r="P41" s="3797"/>
      <c r="Q41" s="7354"/>
      <c r="R41" s="7310">
        <f t="shared" si="2"/>
        <v>0</v>
      </c>
      <c r="S41" s="3797"/>
      <c r="T41" s="3797"/>
      <c r="U41" s="7354"/>
      <c r="V41" s="7310">
        <f t="shared" si="3"/>
        <v>0</v>
      </c>
      <c r="W41" s="3797"/>
      <c r="X41" s="3797"/>
      <c r="Y41" s="7367"/>
      <c r="Z41" s="7301">
        <f t="shared" si="4"/>
        <v>0</v>
      </c>
      <c r="AA41" s="7378"/>
      <c r="AB41" s="7302">
        <f t="shared" si="5"/>
        <v>0</v>
      </c>
      <c r="AC41" s="3797"/>
      <c r="AD41" s="3797"/>
      <c r="AE41" s="7354"/>
      <c r="AF41" s="7310">
        <f t="shared" si="6"/>
        <v>0</v>
      </c>
      <c r="AG41" s="3797"/>
      <c r="AH41" s="3797"/>
      <c r="AI41" s="7354"/>
      <c r="AJ41" s="7310">
        <f t="shared" si="7"/>
        <v>0</v>
      </c>
      <c r="AK41" s="3797"/>
      <c r="AL41" s="3797"/>
      <c r="AM41" s="7367"/>
      <c r="AN41" s="7301">
        <f t="shared" si="8"/>
        <v>0</v>
      </c>
      <c r="AO41" s="7354"/>
      <c r="AP41" s="7310">
        <f t="shared" si="9"/>
        <v>0</v>
      </c>
      <c r="AQ41" s="3797"/>
      <c r="AR41" s="3797"/>
      <c r="AS41" s="7354"/>
      <c r="AT41" s="7310">
        <f t="shared" si="10"/>
        <v>0</v>
      </c>
      <c r="AU41" s="3797"/>
      <c r="AV41" s="3797"/>
      <c r="AW41" s="7354"/>
      <c r="AX41" s="7310">
        <f t="shared" si="11"/>
        <v>0</v>
      </c>
      <c r="AY41" s="3797"/>
      <c r="AZ41" s="3797"/>
      <c r="BA41" s="7367"/>
      <c r="BB41" s="7301">
        <f t="shared" si="12"/>
        <v>0</v>
      </c>
      <c r="BC41" s="7378"/>
      <c r="BD41" s="7302">
        <f t="shared" si="13"/>
        <v>0</v>
      </c>
      <c r="BE41" s="7354"/>
      <c r="BF41" s="7310">
        <f t="shared" si="14"/>
        <v>0</v>
      </c>
      <c r="BG41" s="4152">
        <f t="shared" si="15"/>
        <v>0</v>
      </c>
      <c r="BH41" s="4152">
        <f t="shared" si="16"/>
        <v>0</v>
      </c>
      <c r="BI41" s="4152"/>
      <c r="BJ41" s="4152">
        <f t="shared" si="17"/>
        <v>0</v>
      </c>
      <c r="BK41" s="4152">
        <f t="shared" si="18"/>
        <v>0</v>
      </c>
      <c r="BP41" s="4152"/>
    </row>
    <row r="42" spans="1:69" x14ac:dyDescent="0.25">
      <c r="A42" s="90"/>
      <c r="B42" s="945" t="s">
        <v>75</v>
      </c>
      <c r="C42" s="7337" t="s">
        <v>50</v>
      </c>
      <c r="D42" s="7949">
        <v>315000</v>
      </c>
      <c r="E42" s="7949"/>
      <c r="F42" s="2237">
        <v>13900.46</v>
      </c>
      <c r="G42" s="7949"/>
      <c r="H42" s="5568">
        <v>35407.299999999996</v>
      </c>
      <c r="I42" s="7952"/>
      <c r="J42" s="7310">
        <f t="shared" si="0"/>
        <v>49307.759999999995</v>
      </c>
      <c r="K42" s="7949"/>
      <c r="L42" s="5680">
        <v>36163.659999999996</v>
      </c>
      <c r="M42" s="7713"/>
      <c r="N42" s="7301">
        <f t="shared" si="1"/>
        <v>85471.419999999984</v>
      </c>
      <c r="O42" s="7949"/>
      <c r="P42" s="5837">
        <v>46817.030000000006</v>
      </c>
      <c r="Q42" s="7952"/>
      <c r="R42" s="7310">
        <f t="shared" si="2"/>
        <v>132288.44999999998</v>
      </c>
      <c r="S42" s="7949"/>
      <c r="T42" s="5893">
        <v>48692.29</v>
      </c>
      <c r="U42" s="7952"/>
      <c r="V42" s="7310">
        <f t="shared" si="3"/>
        <v>180980.74</v>
      </c>
      <c r="W42" s="7949"/>
      <c r="X42" s="6007">
        <v>36357.230000000003</v>
      </c>
      <c r="Y42" s="7713"/>
      <c r="Z42" s="7301">
        <f t="shared" si="4"/>
        <v>131866.55000000002</v>
      </c>
      <c r="AA42" s="7735"/>
      <c r="AB42" s="7302">
        <f t="shared" si="5"/>
        <v>217337.97</v>
      </c>
      <c r="AC42" s="7949"/>
      <c r="AD42" s="6138">
        <v>39248.31</v>
      </c>
      <c r="AE42" s="7952"/>
      <c r="AF42" s="7310">
        <f t="shared" si="6"/>
        <v>256586.28</v>
      </c>
      <c r="AG42" s="7949"/>
      <c r="AH42" s="6300">
        <v>46615.39</v>
      </c>
      <c r="AI42" s="7953"/>
      <c r="AJ42" s="7310">
        <f t="shared" si="7"/>
        <v>303201.67</v>
      </c>
      <c r="AK42" s="7949"/>
      <c r="AL42" s="6549">
        <v>37711.500000000007</v>
      </c>
      <c r="AM42" s="7713"/>
      <c r="AN42" s="7301">
        <f t="shared" si="8"/>
        <v>123575.20000000001</v>
      </c>
      <c r="AO42" s="7952"/>
      <c r="AP42" s="7310">
        <f t="shared" si="9"/>
        <v>340913.17</v>
      </c>
      <c r="AQ42" s="7949"/>
      <c r="AR42" s="6643">
        <v>25134.53</v>
      </c>
      <c r="AS42" s="7953"/>
      <c r="AT42" s="7310">
        <f t="shared" si="10"/>
        <v>366047.69999999995</v>
      </c>
      <c r="AU42" s="7949"/>
      <c r="AV42" s="6815">
        <v>6406.9800000000014</v>
      </c>
      <c r="AW42" s="7953"/>
      <c r="AX42" s="7310">
        <f t="shared" si="11"/>
        <v>372454.67999999993</v>
      </c>
      <c r="AY42" s="7949"/>
      <c r="AZ42" s="6957">
        <v>28100.849999999995</v>
      </c>
      <c r="BA42" s="7713"/>
      <c r="BB42" s="7301">
        <f t="shared" si="12"/>
        <v>59642.36</v>
      </c>
      <c r="BC42" s="7735"/>
      <c r="BD42" s="7302">
        <f t="shared" si="13"/>
        <v>183217.56</v>
      </c>
      <c r="BE42" s="7950"/>
      <c r="BF42" s="7310">
        <f t="shared" si="14"/>
        <v>400555.52999999991</v>
      </c>
      <c r="BG42" s="4152">
        <f t="shared" si="15"/>
        <v>0</v>
      </c>
      <c r="BH42" s="4152">
        <f t="shared" si="16"/>
        <v>0</v>
      </c>
      <c r="BI42" s="4152"/>
      <c r="BJ42" s="4152">
        <f t="shared" si="17"/>
        <v>0</v>
      </c>
      <c r="BK42" s="4152">
        <f t="shared" si="18"/>
        <v>0</v>
      </c>
      <c r="BP42" s="4152"/>
    </row>
    <row r="43" spans="1:69" x14ac:dyDescent="0.25">
      <c r="A43" s="90"/>
      <c r="B43" s="945" t="s">
        <v>76</v>
      </c>
      <c r="C43" s="7337" t="s">
        <v>50</v>
      </c>
      <c r="D43" s="7949"/>
      <c r="E43" s="7949"/>
      <c r="F43" s="2237">
        <v>9527.6800000000039</v>
      </c>
      <c r="G43" s="7949"/>
      <c r="H43" s="5568">
        <v>10028.82</v>
      </c>
      <c r="I43" s="7952"/>
      <c r="J43" s="7310">
        <f t="shared" si="0"/>
        <v>19556.500000000004</v>
      </c>
      <c r="K43" s="7949"/>
      <c r="L43" s="5680">
        <v>7884.6599999999962</v>
      </c>
      <c r="M43" s="7713"/>
      <c r="N43" s="7301">
        <f t="shared" si="1"/>
        <v>27441.16</v>
      </c>
      <c r="O43" s="7949"/>
      <c r="P43" s="5837">
        <v>6995.6200000000026</v>
      </c>
      <c r="Q43" s="7952"/>
      <c r="R43" s="7310">
        <f t="shared" si="2"/>
        <v>34436.78</v>
      </c>
      <c r="S43" s="7949"/>
      <c r="T43" s="5893">
        <v>9643.529999999997</v>
      </c>
      <c r="U43" s="7952"/>
      <c r="V43" s="7310">
        <f t="shared" si="3"/>
        <v>44080.31</v>
      </c>
      <c r="W43" s="7949"/>
      <c r="X43" s="6007">
        <v>13649.230000000001</v>
      </c>
      <c r="Y43" s="7713"/>
      <c r="Z43" s="7301">
        <f t="shared" si="4"/>
        <v>30288.380000000005</v>
      </c>
      <c r="AA43" s="7735"/>
      <c r="AB43" s="7302">
        <f t="shared" si="5"/>
        <v>57729.540000000008</v>
      </c>
      <c r="AC43" s="7949"/>
      <c r="AD43" s="6138">
        <v>4011.2299999999991</v>
      </c>
      <c r="AE43" s="7952"/>
      <c r="AF43" s="7310">
        <f t="shared" si="6"/>
        <v>61740.770000000004</v>
      </c>
      <c r="AG43" s="7949"/>
      <c r="AH43" s="6300">
        <v>11896.339999999998</v>
      </c>
      <c r="AI43" s="7951"/>
      <c r="AJ43" s="7310">
        <f t="shared" si="7"/>
        <v>73637.11</v>
      </c>
      <c r="AK43" s="7949"/>
      <c r="AL43" s="6549">
        <v>11371.260000000002</v>
      </c>
      <c r="AM43" s="7713"/>
      <c r="AN43" s="7301">
        <f t="shared" si="8"/>
        <v>27278.83</v>
      </c>
      <c r="AO43" s="7952"/>
      <c r="AP43" s="7310">
        <f t="shared" si="9"/>
        <v>85008.37</v>
      </c>
      <c r="AQ43" s="7949"/>
      <c r="AR43" s="6643">
        <v>6009.3</v>
      </c>
      <c r="AS43" s="7951"/>
      <c r="AT43" s="7310">
        <f t="shared" si="10"/>
        <v>91017.67</v>
      </c>
      <c r="AU43" s="7949"/>
      <c r="AV43" s="6815">
        <v>4829.25</v>
      </c>
      <c r="AW43" s="7951"/>
      <c r="AX43" s="7310">
        <f t="shared" si="11"/>
        <v>95846.92</v>
      </c>
      <c r="AY43" s="7949"/>
      <c r="AZ43" s="6957">
        <v>7533.2500000000027</v>
      </c>
      <c r="BA43" s="7713"/>
      <c r="BB43" s="7301">
        <f t="shared" si="12"/>
        <v>18371.800000000003</v>
      </c>
      <c r="BC43" s="7735"/>
      <c r="BD43" s="7302">
        <f t="shared" si="13"/>
        <v>45650.630000000005</v>
      </c>
      <c r="BE43" s="7951"/>
      <c r="BF43" s="7310">
        <f t="shared" si="14"/>
        <v>103380.17</v>
      </c>
      <c r="BG43" s="4152">
        <f t="shared" si="15"/>
        <v>0</v>
      </c>
      <c r="BH43" s="4152">
        <f t="shared" si="16"/>
        <v>0</v>
      </c>
      <c r="BI43" s="4152"/>
      <c r="BJ43" s="4152">
        <f t="shared" si="17"/>
        <v>0</v>
      </c>
      <c r="BK43" s="4152">
        <f t="shared" si="18"/>
        <v>0</v>
      </c>
      <c r="BP43" s="4152"/>
    </row>
    <row r="44" spans="1:69" x14ac:dyDescent="0.25">
      <c r="A44" s="90"/>
      <c r="B44" s="945" t="s">
        <v>137</v>
      </c>
      <c r="C44" s="7337" t="s">
        <v>50</v>
      </c>
      <c r="D44" s="2237">
        <v>20000</v>
      </c>
      <c r="E44" s="2237"/>
      <c r="F44" s="2237">
        <v>2713.2199999999993</v>
      </c>
      <c r="G44" s="5568"/>
      <c r="H44" s="5568">
        <v>2814.6399999999994</v>
      </c>
      <c r="I44" s="7310"/>
      <c r="J44" s="7310">
        <f t="shared" si="0"/>
        <v>5527.8599999999988</v>
      </c>
      <c r="K44" s="5680"/>
      <c r="L44" s="5680">
        <v>0</v>
      </c>
      <c r="M44" s="7301"/>
      <c r="N44" s="7301">
        <f t="shared" si="1"/>
        <v>5527.8599999999988</v>
      </c>
      <c r="O44" s="5837"/>
      <c r="P44" s="5837">
        <v>0</v>
      </c>
      <c r="Q44" s="7310"/>
      <c r="R44" s="7310">
        <f t="shared" si="2"/>
        <v>5527.8599999999988</v>
      </c>
      <c r="S44" s="5893"/>
      <c r="T44" s="5893">
        <v>0</v>
      </c>
      <c r="U44" s="7310"/>
      <c r="V44" s="7310">
        <f t="shared" si="3"/>
        <v>5527.8599999999988</v>
      </c>
      <c r="W44" s="6007"/>
      <c r="X44" s="6007">
        <v>0</v>
      </c>
      <c r="Y44" s="7301"/>
      <c r="Z44" s="7301">
        <f t="shared" si="4"/>
        <v>0</v>
      </c>
      <c r="AA44" s="7302"/>
      <c r="AB44" s="7302">
        <f t="shared" si="5"/>
        <v>5527.8599999999988</v>
      </c>
      <c r="AC44" s="6138"/>
      <c r="AD44" s="6138">
        <v>2836.7</v>
      </c>
      <c r="AE44" s="7310"/>
      <c r="AF44" s="7310">
        <f t="shared" si="6"/>
        <v>8364.5599999999977</v>
      </c>
      <c r="AG44" s="6300"/>
      <c r="AH44" s="6300">
        <v>2824.64</v>
      </c>
      <c r="AI44" s="7310"/>
      <c r="AJ44" s="7310">
        <f t="shared" si="7"/>
        <v>11189.199999999997</v>
      </c>
      <c r="AK44" s="6549"/>
      <c r="AL44" s="6549">
        <v>2463.92</v>
      </c>
      <c r="AM44" s="7301"/>
      <c r="AN44" s="7301">
        <f t="shared" si="8"/>
        <v>8125.26</v>
      </c>
      <c r="AO44" s="7310"/>
      <c r="AP44" s="7310">
        <f t="shared" si="9"/>
        <v>13653.119999999997</v>
      </c>
      <c r="AQ44" s="6643"/>
      <c r="AR44" s="6643">
        <v>2842.54</v>
      </c>
      <c r="AS44" s="7310"/>
      <c r="AT44" s="7310">
        <f t="shared" si="10"/>
        <v>16495.659999999996</v>
      </c>
      <c r="AU44" s="6815"/>
      <c r="AV44" s="6815">
        <v>0</v>
      </c>
      <c r="AW44" s="7310"/>
      <c r="AX44" s="7310">
        <f t="shared" si="11"/>
        <v>16495.659999999996</v>
      </c>
      <c r="AY44" s="6957"/>
      <c r="AZ44" s="6957">
        <v>1167.56</v>
      </c>
      <c r="BA44" s="7301"/>
      <c r="BB44" s="7301">
        <f t="shared" si="12"/>
        <v>4010.1</v>
      </c>
      <c r="BC44" s="7302"/>
      <c r="BD44" s="7302">
        <f t="shared" si="13"/>
        <v>12135.36</v>
      </c>
      <c r="BE44" s="7310"/>
      <c r="BF44" s="7310">
        <f t="shared" si="14"/>
        <v>17663.219999999998</v>
      </c>
      <c r="BG44" s="4152">
        <f t="shared" si="15"/>
        <v>0</v>
      </c>
      <c r="BH44" s="4152">
        <f t="shared" si="16"/>
        <v>0</v>
      </c>
      <c r="BI44" s="4152"/>
      <c r="BJ44" s="4152">
        <f t="shared" si="17"/>
        <v>0</v>
      </c>
      <c r="BK44" s="4152">
        <f t="shared" si="18"/>
        <v>0</v>
      </c>
      <c r="BP44" s="4152"/>
    </row>
    <row r="45" spans="1:69" s="7442" customFormat="1" x14ac:dyDescent="0.25">
      <c r="A45" s="90"/>
      <c r="B45" s="7350" t="s">
        <v>2296</v>
      </c>
      <c r="C45" s="7046" t="s">
        <v>50</v>
      </c>
      <c r="D45" s="7040"/>
      <c r="E45" s="7040"/>
      <c r="F45" s="7040"/>
      <c r="G45" s="7040"/>
      <c r="H45" s="7040"/>
      <c r="I45" s="7509"/>
      <c r="J45" s="7509">
        <f t="shared" ref="J45" si="218">F45+H45</f>
        <v>0</v>
      </c>
      <c r="K45" s="7040"/>
      <c r="L45" s="7040"/>
      <c r="M45" s="7507"/>
      <c r="N45" s="7507">
        <f t="shared" ref="N45" si="219">J45+L45</f>
        <v>0</v>
      </c>
      <c r="O45" s="7040"/>
      <c r="P45" s="7040"/>
      <c r="Q45" s="7509"/>
      <c r="R45" s="7509">
        <f t="shared" ref="R45" si="220">N45+P45</f>
        <v>0</v>
      </c>
      <c r="S45" s="7040"/>
      <c r="T45" s="7040"/>
      <c r="U45" s="7044"/>
      <c r="V45" s="7509">
        <f t="shared" si="3"/>
        <v>0</v>
      </c>
      <c r="W45" s="7040"/>
      <c r="X45" s="7040"/>
      <c r="Y45" s="7045"/>
      <c r="Z45" s="7507">
        <f t="shared" si="4"/>
        <v>0</v>
      </c>
      <c r="AA45" s="7379"/>
      <c r="AB45" s="7508">
        <f t="shared" si="5"/>
        <v>0</v>
      </c>
      <c r="AC45" s="7040"/>
      <c r="AD45" s="7040"/>
      <c r="AE45" s="7044"/>
      <c r="AF45" s="7509">
        <f t="shared" si="6"/>
        <v>0</v>
      </c>
      <c r="AG45" s="7040"/>
      <c r="AH45" s="7040"/>
      <c r="AI45" s="7044"/>
      <c r="AJ45" s="7509">
        <f t="shared" si="7"/>
        <v>0</v>
      </c>
      <c r="AK45" s="7040"/>
      <c r="AL45" s="7040"/>
      <c r="AM45" s="7045"/>
      <c r="AN45" s="7045"/>
      <c r="AO45" s="7044"/>
      <c r="AP45" s="7509">
        <f t="shared" si="9"/>
        <v>0</v>
      </c>
      <c r="AQ45" s="7040"/>
      <c r="AR45" s="7040"/>
      <c r="AS45" s="7044"/>
      <c r="AT45" s="7509">
        <f t="shared" si="10"/>
        <v>0</v>
      </c>
      <c r="AU45" s="7040"/>
      <c r="AV45" s="7040"/>
      <c r="AW45" s="7044"/>
      <c r="AX45" s="7509">
        <f t="shared" si="11"/>
        <v>0</v>
      </c>
      <c r="AY45" s="7040"/>
      <c r="AZ45" s="7040"/>
      <c r="BA45" s="7045"/>
      <c r="BB45" s="7507">
        <f t="shared" ref="BB45" si="221">AR45+AV45+AZ45</f>
        <v>0</v>
      </c>
      <c r="BC45" s="7508"/>
      <c r="BD45" s="7508">
        <f t="shared" ref="BD45" si="222">AN45+BB45</f>
        <v>0</v>
      </c>
      <c r="BE45" s="7509"/>
      <c r="BF45" s="7509">
        <f t="shared" ref="BF45" si="223">AX45+AZ45</f>
        <v>0</v>
      </c>
      <c r="BG45" s="4152"/>
      <c r="BH45" s="4152"/>
      <c r="BI45" s="4152"/>
      <c r="BJ45" s="4152"/>
      <c r="BK45" s="4152"/>
      <c r="BP45" s="4152"/>
    </row>
    <row r="46" spans="1:69" x14ac:dyDescent="0.25">
      <c r="A46" s="2424"/>
      <c r="B46" s="945" t="s">
        <v>2294</v>
      </c>
      <c r="C46" s="7337" t="s">
        <v>50</v>
      </c>
      <c r="D46" s="7864">
        <v>15000</v>
      </c>
      <c r="E46" s="2237"/>
      <c r="F46" s="2237">
        <f>+'Direct sales IPT details'!E8</f>
        <v>1961.5</v>
      </c>
      <c r="G46" s="5568"/>
      <c r="H46" s="7308">
        <f>+'Direct sales IPT details'!G8</f>
        <v>0</v>
      </c>
      <c r="I46" s="7310"/>
      <c r="J46" s="7310">
        <f t="shared" si="0"/>
        <v>1961.5</v>
      </c>
      <c r="K46" s="5680"/>
      <c r="L46" s="7308">
        <f>+'Direct sales IPT details'!K8</f>
        <v>3983.52</v>
      </c>
      <c r="M46" s="7301"/>
      <c r="N46" s="7301">
        <f t="shared" si="1"/>
        <v>5945.02</v>
      </c>
      <c r="O46" s="5837"/>
      <c r="P46" s="7308">
        <f>+'Direct sales IPT details'!O8</f>
        <v>1960.88</v>
      </c>
      <c r="Q46" s="7310"/>
      <c r="R46" s="7310">
        <f t="shared" si="2"/>
        <v>7905.9000000000005</v>
      </c>
      <c r="S46" s="5893"/>
      <c r="T46" s="7308">
        <f>+'Direct sales IPT details'!S8</f>
        <v>0</v>
      </c>
      <c r="U46" s="7310"/>
      <c r="V46" s="7310">
        <f t="shared" si="3"/>
        <v>7905.9000000000005</v>
      </c>
      <c r="W46" s="6007"/>
      <c r="X46" s="7308">
        <f>+'Direct sales IPT details'!W8</f>
        <v>0</v>
      </c>
      <c r="Y46" s="7301"/>
      <c r="Z46" s="7301">
        <f t="shared" si="4"/>
        <v>1960.88</v>
      </c>
      <c r="AA46" s="7302"/>
      <c r="AB46" s="7302">
        <f t="shared" si="5"/>
        <v>7905.9000000000005</v>
      </c>
      <c r="AC46" s="6138"/>
      <c r="AD46" s="7308">
        <f>+'Direct sales IPT details'!AC8</f>
        <v>2616.08</v>
      </c>
      <c r="AE46" s="7310"/>
      <c r="AF46" s="7310">
        <f t="shared" si="6"/>
        <v>10521.98</v>
      </c>
      <c r="AG46" s="6300"/>
      <c r="AH46" s="7308">
        <f>+'Direct sales IPT details'!AG8</f>
        <v>0</v>
      </c>
      <c r="AI46" s="7310"/>
      <c r="AJ46" s="7310">
        <f t="shared" si="7"/>
        <v>10521.98</v>
      </c>
      <c r="AK46" s="6549"/>
      <c r="AL46" s="7308">
        <f>+'Direct sales IPT details'!AK8</f>
        <v>0</v>
      </c>
      <c r="AM46" s="7301"/>
      <c r="AN46" s="7301">
        <f t="shared" si="8"/>
        <v>2616.08</v>
      </c>
      <c r="AO46" s="7310"/>
      <c r="AP46" s="7310">
        <f t="shared" si="9"/>
        <v>10521.98</v>
      </c>
      <c r="AQ46" s="6643"/>
      <c r="AR46" s="7308">
        <f>+'Direct sales IPT details'!AQ8</f>
        <v>0</v>
      </c>
      <c r="AS46" s="7310"/>
      <c r="AT46" s="7310">
        <f t="shared" si="10"/>
        <v>10521.98</v>
      </c>
      <c r="AU46" s="6815"/>
      <c r="AV46" s="7308">
        <f>+'Direct sales IPT details'!AU8</f>
        <v>0</v>
      </c>
      <c r="AW46" s="7310"/>
      <c r="AX46" s="7310">
        <f t="shared" si="11"/>
        <v>10521.98</v>
      </c>
      <c r="AY46" s="6957"/>
      <c r="AZ46" s="7308">
        <f>+'Direct sales IPT details'!AY8</f>
        <v>0</v>
      </c>
      <c r="BA46" s="7301"/>
      <c r="BB46" s="7301">
        <f t="shared" si="12"/>
        <v>0</v>
      </c>
      <c r="BC46" s="7302"/>
      <c r="BD46" s="7302">
        <f t="shared" si="13"/>
        <v>2616.08</v>
      </c>
      <c r="BE46" s="7310"/>
      <c r="BF46" s="7310">
        <f t="shared" si="14"/>
        <v>10521.98</v>
      </c>
      <c r="BG46" s="4152">
        <f t="shared" si="15"/>
        <v>0</v>
      </c>
      <c r="BH46" s="4152">
        <f t="shared" si="16"/>
        <v>0</v>
      </c>
      <c r="BI46" s="4152"/>
      <c r="BJ46" s="4152">
        <f t="shared" si="17"/>
        <v>0</v>
      </c>
      <c r="BK46" s="4152">
        <f t="shared" si="18"/>
        <v>0</v>
      </c>
      <c r="BP46" s="4152"/>
    </row>
    <row r="47" spans="1:69" x14ac:dyDescent="0.25">
      <c r="A47" s="90"/>
      <c r="B47" s="945" t="s">
        <v>2295</v>
      </c>
      <c r="C47" s="7337" t="s">
        <v>50</v>
      </c>
      <c r="D47" s="7865"/>
      <c r="E47" s="2237"/>
      <c r="F47" s="2237">
        <f>+'Direct sales IPT details'!E7</f>
        <v>1862.01</v>
      </c>
      <c r="G47" s="5568"/>
      <c r="H47" s="7308">
        <f>+'Direct sales IPT details'!G7</f>
        <v>1764.7700000000004</v>
      </c>
      <c r="I47" s="7310"/>
      <c r="J47" s="7310">
        <f t="shared" si="0"/>
        <v>3626.7800000000007</v>
      </c>
      <c r="K47" s="5680"/>
      <c r="L47" s="7308">
        <f>+'Direct sales IPT details'!K7</f>
        <v>1754.69</v>
      </c>
      <c r="M47" s="7301"/>
      <c r="N47" s="7301">
        <f t="shared" si="1"/>
        <v>5381.4700000000012</v>
      </c>
      <c r="O47" s="5837"/>
      <c r="P47" s="7308">
        <f>+'Direct sales IPT details'!O7</f>
        <v>1441.38</v>
      </c>
      <c r="Q47" s="7310"/>
      <c r="R47" s="7310">
        <f t="shared" si="2"/>
        <v>6822.8500000000013</v>
      </c>
      <c r="S47" s="5893"/>
      <c r="T47" s="7308">
        <f>+'Direct sales IPT details'!S7</f>
        <v>3769.97</v>
      </c>
      <c r="U47" s="7310"/>
      <c r="V47" s="7310">
        <f t="shared" si="3"/>
        <v>10592.820000000002</v>
      </c>
      <c r="W47" s="6007"/>
      <c r="X47" s="7308">
        <f>+'Direct sales IPT details'!W7</f>
        <v>3271.59</v>
      </c>
      <c r="Y47" s="7301"/>
      <c r="Z47" s="7301">
        <f t="shared" si="4"/>
        <v>8482.94</v>
      </c>
      <c r="AA47" s="7302"/>
      <c r="AB47" s="7302">
        <f t="shared" si="5"/>
        <v>13864.410000000002</v>
      </c>
      <c r="AC47" s="6138"/>
      <c r="AD47" s="7308">
        <f>+'Direct sales IPT details'!AC7</f>
        <v>601.74</v>
      </c>
      <c r="AE47" s="7310"/>
      <c r="AF47" s="7310">
        <f t="shared" si="6"/>
        <v>14466.150000000001</v>
      </c>
      <c r="AG47" s="6300"/>
      <c r="AH47" s="7308">
        <f>+'Direct sales IPT details'!AG7</f>
        <v>0</v>
      </c>
      <c r="AI47" s="7310"/>
      <c r="AJ47" s="7310">
        <f t="shared" si="7"/>
        <v>14466.150000000001</v>
      </c>
      <c r="AK47" s="6549"/>
      <c r="AL47" s="7308">
        <f>+'Direct sales IPT details'!AK7</f>
        <v>2256.63</v>
      </c>
      <c r="AM47" s="7301"/>
      <c r="AN47" s="7301">
        <f t="shared" si="8"/>
        <v>2858.37</v>
      </c>
      <c r="AO47" s="7310"/>
      <c r="AP47" s="7310">
        <f t="shared" si="9"/>
        <v>16722.780000000002</v>
      </c>
      <c r="AQ47" s="6643"/>
      <c r="AR47" s="7308">
        <f>+'Direct sales IPT details'!AQ7</f>
        <v>4277.21</v>
      </c>
      <c r="AS47" s="7310"/>
      <c r="AT47" s="7310">
        <f t="shared" si="10"/>
        <v>20999.99</v>
      </c>
      <c r="AU47" s="6815"/>
      <c r="AV47" s="7308">
        <f>+'Direct sales IPT details'!AU7</f>
        <v>3140.78</v>
      </c>
      <c r="AW47" s="7310"/>
      <c r="AX47" s="7310">
        <f t="shared" si="11"/>
        <v>24140.77</v>
      </c>
      <c r="AY47" s="6957"/>
      <c r="AZ47" s="7308">
        <f>+'Direct sales IPT details'!AY7</f>
        <v>1971.02</v>
      </c>
      <c r="BA47" s="7301"/>
      <c r="BB47" s="7301">
        <f t="shared" si="12"/>
        <v>9389.01</v>
      </c>
      <c r="BC47" s="7302"/>
      <c r="BD47" s="7302">
        <f t="shared" si="13"/>
        <v>12247.380000000001</v>
      </c>
      <c r="BE47" s="7310"/>
      <c r="BF47" s="7310">
        <f t="shared" si="14"/>
        <v>26111.79</v>
      </c>
      <c r="BG47" s="4152">
        <f t="shared" si="15"/>
        <v>0</v>
      </c>
      <c r="BH47" s="4152">
        <f t="shared" si="16"/>
        <v>0</v>
      </c>
      <c r="BI47" s="4152"/>
      <c r="BJ47" s="4152">
        <f t="shared" si="17"/>
        <v>0</v>
      </c>
      <c r="BK47" s="4152">
        <f t="shared" si="18"/>
        <v>0</v>
      </c>
      <c r="BP47" s="4152"/>
    </row>
    <row r="48" spans="1:69" s="31" customFormat="1" ht="21.2" customHeight="1" x14ac:dyDescent="0.25">
      <c r="A48" s="789"/>
      <c r="B48" s="3795" t="s">
        <v>2</v>
      </c>
      <c r="C48" s="7337" t="s">
        <v>50</v>
      </c>
      <c r="D48" s="7344">
        <f>SUM(D42:D46)</f>
        <v>350000</v>
      </c>
      <c r="E48" s="1820"/>
      <c r="F48" s="1820">
        <f>SUM(F42:F47)</f>
        <v>29964.87</v>
      </c>
      <c r="G48" s="1820"/>
      <c r="H48" s="1820">
        <f>SUM(H42:H47)</f>
        <v>50015.53</v>
      </c>
      <c r="I48" s="7345"/>
      <c r="J48" s="7345">
        <f t="shared" si="0"/>
        <v>79980.399999999994</v>
      </c>
      <c r="K48" s="1820"/>
      <c r="L48" s="1820">
        <f>SUM(L42:L47)</f>
        <v>49786.529999999992</v>
      </c>
      <c r="M48" s="7347"/>
      <c r="N48" s="7347">
        <f t="shared" si="1"/>
        <v>129766.93</v>
      </c>
      <c r="O48" s="1820"/>
      <c r="P48" s="1820">
        <f>SUM(P42:P47)</f>
        <v>57214.91</v>
      </c>
      <c r="Q48" s="7345"/>
      <c r="R48" s="7345">
        <f t="shared" si="2"/>
        <v>186981.84</v>
      </c>
      <c r="S48" s="1820"/>
      <c r="T48" s="1820">
        <f>SUM(T42:T47)</f>
        <v>62105.79</v>
      </c>
      <c r="U48" s="7345"/>
      <c r="V48" s="7345">
        <f t="shared" si="3"/>
        <v>249087.63</v>
      </c>
      <c r="W48" s="1820"/>
      <c r="X48" s="1820">
        <f>SUM(X42:X47)</f>
        <v>53278.05</v>
      </c>
      <c r="Y48" s="7347"/>
      <c r="Z48" s="7347">
        <f t="shared" si="4"/>
        <v>172598.75</v>
      </c>
      <c r="AA48" s="7382"/>
      <c r="AB48" s="7382">
        <f t="shared" si="5"/>
        <v>302365.68</v>
      </c>
      <c r="AC48" s="1820"/>
      <c r="AD48" s="1820">
        <f>SUM(AD42:AD47)</f>
        <v>49314.05999999999</v>
      </c>
      <c r="AE48" s="7345"/>
      <c r="AF48" s="7345">
        <f t="shared" si="6"/>
        <v>351679.74</v>
      </c>
      <c r="AG48" s="1820"/>
      <c r="AH48" s="1820">
        <f>SUM(AH42:AH47)</f>
        <v>61336.369999999995</v>
      </c>
      <c r="AI48" s="7345"/>
      <c r="AJ48" s="7345">
        <f t="shared" si="7"/>
        <v>413016.11</v>
      </c>
      <c r="AK48" s="1820"/>
      <c r="AL48" s="1820">
        <f>SUM(AL42:AL47)</f>
        <v>53803.310000000005</v>
      </c>
      <c r="AM48" s="7347"/>
      <c r="AN48" s="7347">
        <f t="shared" si="8"/>
        <v>164453.74</v>
      </c>
      <c r="AO48" s="7345"/>
      <c r="AP48" s="7345">
        <f t="shared" si="9"/>
        <v>466819.42</v>
      </c>
      <c r="AQ48" s="1820"/>
      <c r="AR48" s="1820">
        <f>SUM(AR42:AR47)</f>
        <v>38263.579999999994</v>
      </c>
      <c r="AS48" s="7345"/>
      <c r="AT48" s="7345">
        <f t="shared" si="10"/>
        <v>505083</v>
      </c>
      <c r="AU48" s="1820"/>
      <c r="AV48" s="1820">
        <f>SUM(AV42:AV47)</f>
        <v>14377.010000000002</v>
      </c>
      <c r="AW48" s="7345"/>
      <c r="AX48" s="7345">
        <f t="shared" si="11"/>
        <v>519460.01</v>
      </c>
      <c r="AY48" s="1820"/>
      <c r="AZ48" s="1820">
        <f>SUM(AZ42:AZ47)</f>
        <v>38772.679999999993</v>
      </c>
      <c r="BA48" s="7347"/>
      <c r="BB48" s="7347">
        <f t="shared" si="12"/>
        <v>91413.26999999999</v>
      </c>
      <c r="BC48" s="7382"/>
      <c r="BD48" s="7382">
        <f t="shared" si="13"/>
        <v>255867.00999999998</v>
      </c>
      <c r="BE48" s="7345">
        <f>SUM(BE42:BE47)</f>
        <v>0</v>
      </c>
      <c r="BF48" s="7345">
        <f t="shared" si="14"/>
        <v>558232.68999999994</v>
      </c>
      <c r="BG48" s="7433">
        <f t="shared" si="15"/>
        <v>0</v>
      </c>
      <c r="BH48" s="7433">
        <f t="shared" si="16"/>
        <v>0</v>
      </c>
      <c r="BI48" s="7433"/>
      <c r="BJ48" s="7433">
        <f t="shared" si="17"/>
        <v>0</v>
      </c>
      <c r="BK48" s="7433">
        <f t="shared" si="18"/>
        <v>0</v>
      </c>
      <c r="BP48" s="7433"/>
    </row>
    <row r="49" spans="1:71" ht="21.2" customHeight="1" x14ac:dyDescent="0.25">
      <c r="A49" s="144"/>
      <c r="B49" s="3793" t="s">
        <v>1337</v>
      </c>
      <c r="C49" s="7436"/>
      <c r="D49" s="3798"/>
      <c r="E49" s="3797"/>
      <c r="F49" s="3797"/>
      <c r="G49" s="3797"/>
      <c r="H49" s="3797"/>
      <c r="I49" s="7354"/>
      <c r="J49" s="7310">
        <f t="shared" si="0"/>
        <v>0</v>
      </c>
      <c r="K49" s="3797"/>
      <c r="L49" s="3797"/>
      <c r="M49" s="7367"/>
      <c r="N49" s="7301">
        <f t="shared" si="1"/>
        <v>0</v>
      </c>
      <c r="O49" s="3797"/>
      <c r="P49" s="3797"/>
      <c r="Q49" s="7354"/>
      <c r="R49" s="7310">
        <f t="shared" si="2"/>
        <v>0</v>
      </c>
      <c r="S49" s="3797"/>
      <c r="T49" s="3797"/>
      <c r="U49" s="7354"/>
      <c r="V49" s="7310">
        <f t="shared" si="3"/>
        <v>0</v>
      </c>
      <c r="W49" s="3797"/>
      <c r="X49" s="3797"/>
      <c r="Y49" s="7367"/>
      <c r="Z49" s="7301">
        <f t="shared" si="4"/>
        <v>0</v>
      </c>
      <c r="AA49" s="7378"/>
      <c r="AB49" s="7302">
        <f t="shared" si="5"/>
        <v>0</v>
      </c>
      <c r="AC49" s="3797"/>
      <c r="AD49" s="3797"/>
      <c r="AE49" s="7354"/>
      <c r="AF49" s="7310">
        <f t="shared" si="6"/>
        <v>0</v>
      </c>
      <c r="AG49" s="3797"/>
      <c r="AH49" s="3797"/>
      <c r="AI49" s="7354"/>
      <c r="AJ49" s="7310">
        <f t="shared" si="7"/>
        <v>0</v>
      </c>
      <c r="AK49" s="3797"/>
      <c r="AL49" s="3797"/>
      <c r="AM49" s="7367"/>
      <c r="AN49" s="7301">
        <f t="shared" si="8"/>
        <v>0</v>
      </c>
      <c r="AO49" s="7354"/>
      <c r="AP49" s="7310">
        <f t="shared" si="9"/>
        <v>0</v>
      </c>
      <c r="AQ49" s="3797"/>
      <c r="AR49" s="3797"/>
      <c r="AS49" s="7354"/>
      <c r="AT49" s="7310">
        <f t="shared" si="10"/>
        <v>0</v>
      </c>
      <c r="AU49" s="3797"/>
      <c r="AV49" s="3797"/>
      <c r="AW49" s="7354"/>
      <c r="AX49" s="7310">
        <f t="shared" si="11"/>
        <v>0</v>
      </c>
      <c r="AY49" s="3797"/>
      <c r="AZ49" s="3797"/>
      <c r="BA49" s="7367"/>
      <c r="BB49" s="7301">
        <f t="shared" si="12"/>
        <v>0</v>
      </c>
      <c r="BC49" s="7378"/>
      <c r="BD49" s="7302">
        <f t="shared" si="13"/>
        <v>0</v>
      </c>
      <c r="BE49" s="7364"/>
      <c r="BF49" s="7310">
        <f t="shared" si="14"/>
        <v>0</v>
      </c>
      <c r="BG49" s="4152">
        <f t="shared" si="15"/>
        <v>0</v>
      </c>
      <c r="BH49" s="4152">
        <f t="shared" si="16"/>
        <v>0</v>
      </c>
      <c r="BI49" s="4152"/>
      <c r="BJ49" s="4152">
        <f t="shared" si="17"/>
        <v>0</v>
      </c>
      <c r="BK49" s="4152">
        <f t="shared" si="18"/>
        <v>0</v>
      </c>
      <c r="BP49" s="4152"/>
    </row>
    <row r="50" spans="1:71" x14ac:dyDescent="0.25">
      <c r="A50" s="144"/>
      <c r="B50" s="945" t="s">
        <v>75</v>
      </c>
      <c r="C50" s="7337" t="s">
        <v>50</v>
      </c>
      <c r="D50" s="7949">
        <v>0</v>
      </c>
      <c r="E50" s="7949">
        <v>0</v>
      </c>
      <c r="F50" s="2237"/>
      <c r="G50" s="7949"/>
      <c r="H50" s="5568">
        <v>2079.3999999999996</v>
      </c>
      <c r="I50" s="7952"/>
      <c r="J50" s="7310">
        <f t="shared" si="0"/>
        <v>2079.3999999999996</v>
      </c>
      <c r="K50" s="7949"/>
      <c r="L50" s="5680">
        <v>247.89000000000001</v>
      </c>
      <c r="M50" s="7713"/>
      <c r="N50" s="7301">
        <f t="shared" si="1"/>
        <v>2327.2899999999995</v>
      </c>
      <c r="O50" s="7949"/>
      <c r="P50" s="5837">
        <v>381.2</v>
      </c>
      <c r="Q50" s="7952"/>
      <c r="R50" s="7310">
        <f t="shared" si="2"/>
        <v>2708.4899999999993</v>
      </c>
      <c r="S50" s="7949"/>
      <c r="T50" s="5893">
        <v>5383.21</v>
      </c>
      <c r="U50" s="7952"/>
      <c r="V50" s="7310">
        <f t="shared" si="3"/>
        <v>8091.6999999999989</v>
      </c>
      <c r="W50" s="7949"/>
      <c r="X50" s="6007">
        <v>411.48000000000008</v>
      </c>
      <c r="Y50" s="7713"/>
      <c r="Z50" s="7301">
        <f t="shared" si="4"/>
        <v>6175.89</v>
      </c>
      <c r="AA50" s="7735"/>
      <c r="AB50" s="7302">
        <f t="shared" si="5"/>
        <v>8503.18</v>
      </c>
      <c r="AC50" s="7949"/>
      <c r="AD50" s="6138">
        <v>7983.1199999999963</v>
      </c>
      <c r="AE50" s="7952"/>
      <c r="AF50" s="7310">
        <f t="shared" si="6"/>
        <v>16486.299999999996</v>
      </c>
      <c r="AG50" s="7949"/>
      <c r="AH50" s="6300">
        <v>1706.6599999999999</v>
      </c>
      <c r="AI50" s="7953"/>
      <c r="AJ50" s="7310">
        <f t="shared" si="7"/>
        <v>18192.959999999995</v>
      </c>
      <c r="AK50" s="7949"/>
      <c r="AL50" s="6549">
        <v>0</v>
      </c>
      <c r="AM50" s="7713"/>
      <c r="AN50" s="7301">
        <f t="shared" si="8"/>
        <v>9689.7799999999952</v>
      </c>
      <c r="AO50" s="7952"/>
      <c r="AP50" s="7310">
        <f t="shared" si="9"/>
        <v>18192.959999999995</v>
      </c>
      <c r="AQ50" s="7949"/>
      <c r="AR50" s="6643">
        <v>1814.0600000000004</v>
      </c>
      <c r="AS50" s="7953"/>
      <c r="AT50" s="7310">
        <f t="shared" si="10"/>
        <v>20007.019999999997</v>
      </c>
      <c r="AU50" s="7949"/>
      <c r="AV50" s="6815">
        <v>1474.6399999999999</v>
      </c>
      <c r="AW50" s="7953"/>
      <c r="AX50" s="7310">
        <f t="shared" si="11"/>
        <v>21481.659999999996</v>
      </c>
      <c r="AY50" s="7949"/>
      <c r="AZ50" s="6957">
        <v>254.79999999999998</v>
      </c>
      <c r="BA50" s="7713"/>
      <c r="BB50" s="7301">
        <f t="shared" si="12"/>
        <v>3543.5000000000005</v>
      </c>
      <c r="BC50" s="7735"/>
      <c r="BD50" s="7302">
        <f t="shared" si="13"/>
        <v>13233.279999999995</v>
      </c>
      <c r="BE50" s="7952"/>
      <c r="BF50" s="7310">
        <f t="shared" si="14"/>
        <v>21736.459999999995</v>
      </c>
      <c r="BG50" s="4152">
        <f t="shared" si="15"/>
        <v>0</v>
      </c>
      <c r="BH50" s="4152">
        <f t="shared" si="16"/>
        <v>0</v>
      </c>
      <c r="BI50" s="4152"/>
      <c r="BJ50" s="4152">
        <f t="shared" si="17"/>
        <v>0</v>
      </c>
      <c r="BK50" s="4152">
        <f t="shared" si="18"/>
        <v>0</v>
      </c>
      <c r="BP50" s="4152"/>
    </row>
    <row r="51" spans="1:71" x14ac:dyDescent="0.25">
      <c r="A51" s="90"/>
      <c r="B51" s="945" t="s">
        <v>76</v>
      </c>
      <c r="C51" s="7337" t="s">
        <v>50</v>
      </c>
      <c r="D51" s="7949"/>
      <c r="E51" s="7949"/>
      <c r="F51" s="2237"/>
      <c r="G51" s="7949"/>
      <c r="H51" s="7308">
        <v>0</v>
      </c>
      <c r="I51" s="7952"/>
      <c r="J51" s="7310">
        <f t="shared" si="0"/>
        <v>0</v>
      </c>
      <c r="K51" s="7949"/>
      <c r="L51" s="7308">
        <v>0</v>
      </c>
      <c r="M51" s="7713"/>
      <c r="N51" s="7301">
        <f t="shared" si="1"/>
        <v>0</v>
      </c>
      <c r="O51" s="7949"/>
      <c r="P51" s="7308">
        <v>0</v>
      </c>
      <c r="Q51" s="7952"/>
      <c r="R51" s="7310">
        <f t="shared" si="2"/>
        <v>0</v>
      </c>
      <c r="S51" s="7949"/>
      <c r="T51" s="7308">
        <v>0</v>
      </c>
      <c r="U51" s="7952"/>
      <c r="V51" s="7310">
        <f t="shared" si="3"/>
        <v>0</v>
      </c>
      <c r="W51" s="7949"/>
      <c r="X51" s="7308">
        <v>0</v>
      </c>
      <c r="Y51" s="7713"/>
      <c r="Z51" s="7301">
        <f t="shared" si="4"/>
        <v>0</v>
      </c>
      <c r="AA51" s="7735"/>
      <c r="AB51" s="7302">
        <f t="shared" si="5"/>
        <v>0</v>
      </c>
      <c r="AC51" s="7949"/>
      <c r="AD51" s="7308">
        <v>0</v>
      </c>
      <c r="AE51" s="7952"/>
      <c r="AF51" s="7310">
        <f t="shared" si="6"/>
        <v>0</v>
      </c>
      <c r="AG51" s="7949"/>
      <c r="AH51" s="7308">
        <v>0</v>
      </c>
      <c r="AI51" s="7951"/>
      <c r="AJ51" s="7310">
        <f t="shared" si="7"/>
        <v>0</v>
      </c>
      <c r="AK51" s="7949"/>
      <c r="AL51" s="7308">
        <v>0</v>
      </c>
      <c r="AM51" s="7713"/>
      <c r="AN51" s="7301">
        <f t="shared" si="8"/>
        <v>0</v>
      </c>
      <c r="AO51" s="7952"/>
      <c r="AP51" s="7310">
        <f t="shared" si="9"/>
        <v>0</v>
      </c>
      <c r="AQ51" s="7949"/>
      <c r="AR51" s="7308">
        <v>0</v>
      </c>
      <c r="AS51" s="7951"/>
      <c r="AT51" s="7310">
        <f t="shared" si="10"/>
        <v>0</v>
      </c>
      <c r="AU51" s="7949"/>
      <c r="AV51" s="7308">
        <v>0</v>
      </c>
      <c r="AW51" s="7951"/>
      <c r="AX51" s="7310">
        <f t="shared" si="11"/>
        <v>0</v>
      </c>
      <c r="AY51" s="7949"/>
      <c r="AZ51" s="7308">
        <v>0</v>
      </c>
      <c r="BA51" s="7713"/>
      <c r="BB51" s="7301">
        <f t="shared" si="12"/>
        <v>0</v>
      </c>
      <c r="BC51" s="7735"/>
      <c r="BD51" s="7302">
        <f t="shared" si="13"/>
        <v>0</v>
      </c>
      <c r="BE51" s="7952"/>
      <c r="BF51" s="7310">
        <f t="shared" si="14"/>
        <v>0</v>
      </c>
      <c r="BG51" s="4152">
        <f t="shared" si="15"/>
        <v>0</v>
      </c>
      <c r="BH51" s="4152">
        <f t="shared" si="16"/>
        <v>0</v>
      </c>
      <c r="BI51" s="4152"/>
      <c r="BJ51" s="4152">
        <f t="shared" si="17"/>
        <v>0</v>
      </c>
      <c r="BK51" s="4152">
        <f t="shared" si="18"/>
        <v>0</v>
      </c>
      <c r="BP51" s="4152"/>
    </row>
    <row r="52" spans="1:71" x14ac:dyDescent="0.25">
      <c r="A52" s="90"/>
      <c r="B52" s="945" t="s">
        <v>137</v>
      </c>
      <c r="C52" s="7337" t="s">
        <v>50</v>
      </c>
      <c r="D52" s="2237">
        <v>0</v>
      </c>
      <c r="E52" s="2237">
        <v>0</v>
      </c>
      <c r="F52" s="7308"/>
      <c r="G52" s="5568"/>
      <c r="H52" s="7308">
        <v>0</v>
      </c>
      <c r="I52" s="7310"/>
      <c r="J52" s="7310">
        <f t="shared" si="0"/>
        <v>0</v>
      </c>
      <c r="K52" s="5680"/>
      <c r="L52" s="7308">
        <v>0</v>
      </c>
      <c r="M52" s="7301"/>
      <c r="N52" s="7301">
        <f t="shared" si="1"/>
        <v>0</v>
      </c>
      <c r="O52" s="5837"/>
      <c r="P52" s="7308">
        <v>0</v>
      </c>
      <c r="Q52" s="7310"/>
      <c r="R52" s="7310">
        <f t="shared" si="2"/>
        <v>0</v>
      </c>
      <c r="S52" s="5893"/>
      <c r="T52" s="7308">
        <v>0</v>
      </c>
      <c r="U52" s="7310"/>
      <c r="V52" s="7310">
        <f t="shared" si="3"/>
        <v>0</v>
      </c>
      <c r="W52" s="6007"/>
      <c r="X52" s="7308">
        <v>0</v>
      </c>
      <c r="Y52" s="7301"/>
      <c r="Z52" s="7301">
        <f t="shared" si="4"/>
        <v>0</v>
      </c>
      <c r="AA52" s="7302"/>
      <c r="AB52" s="7302">
        <f t="shared" si="5"/>
        <v>0</v>
      </c>
      <c r="AC52" s="6138"/>
      <c r="AD52" s="7308">
        <v>0</v>
      </c>
      <c r="AE52" s="7310"/>
      <c r="AF52" s="7310">
        <f t="shared" si="6"/>
        <v>0</v>
      </c>
      <c r="AG52" s="6300"/>
      <c r="AH52" s="7308">
        <v>0</v>
      </c>
      <c r="AI52" s="7310"/>
      <c r="AJ52" s="7310">
        <f t="shared" si="7"/>
        <v>0</v>
      </c>
      <c r="AK52" s="6549"/>
      <c r="AL52" s="7308">
        <v>0</v>
      </c>
      <c r="AM52" s="7301"/>
      <c r="AN52" s="7301">
        <f t="shared" si="8"/>
        <v>0</v>
      </c>
      <c r="AO52" s="7310"/>
      <c r="AP52" s="7310">
        <f t="shared" si="9"/>
        <v>0</v>
      </c>
      <c r="AQ52" s="6643"/>
      <c r="AR52" s="6643">
        <v>0</v>
      </c>
      <c r="AS52" s="7310"/>
      <c r="AT52" s="7310">
        <f t="shared" si="10"/>
        <v>0</v>
      </c>
      <c r="AU52" s="6815"/>
      <c r="AV52" s="7308">
        <v>0</v>
      </c>
      <c r="AW52" s="7310"/>
      <c r="AX52" s="7310">
        <f t="shared" si="11"/>
        <v>0</v>
      </c>
      <c r="AY52" s="6957"/>
      <c r="AZ52" s="7308">
        <v>0</v>
      </c>
      <c r="BA52" s="7301"/>
      <c r="BB52" s="7301">
        <f t="shared" si="12"/>
        <v>0</v>
      </c>
      <c r="BC52" s="7302"/>
      <c r="BD52" s="7302">
        <f t="shared" si="13"/>
        <v>0</v>
      </c>
      <c r="BE52" s="7310"/>
      <c r="BF52" s="7310">
        <f t="shared" si="14"/>
        <v>0</v>
      </c>
      <c r="BG52" s="4152">
        <f t="shared" si="15"/>
        <v>0</v>
      </c>
      <c r="BH52" s="4152">
        <f t="shared" si="16"/>
        <v>0</v>
      </c>
      <c r="BI52" s="4152"/>
      <c r="BJ52" s="4152">
        <f t="shared" si="17"/>
        <v>0</v>
      </c>
      <c r="BK52" s="4152">
        <f t="shared" si="18"/>
        <v>0</v>
      </c>
      <c r="BP52" s="4152"/>
    </row>
    <row r="53" spans="1:71" s="7316" customFormat="1" x14ac:dyDescent="0.25">
      <c r="A53" s="90"/>
      <c r="B53" s="7350" t="s">
        <v>2296</v>
      </c>
      <c r="C53" s="7337" t="s">
        <v>50</v>
      </c>
      <c r="D53" s="7040">
        <v>0</v>
      </c>
      <c r="E53" s="7040">
        <v>0</v>
      </c>
      <c r="F53" s="7040">
        <f>+'Direct sales IPT details'!E193</f>
        <v>0</v>
      </c>
      <c r="G53" s="7040">
        <f>+'Direct sales IPT details'!F194+'Direct sales IPT details'!F195</f>
        <v>0</v>
      </c>
      <c r="H53" s="7040">
        <f>+'Direct sales IPT details'!G193</f>
        <v>0</v>
      </c>
      <c r="I53" s="7044">
        <f>+'Direct sales IPT details'!H194+'Direct sales IPT details'!H195</f>
        <v>0</v>
      </c>
      <c r="J53" s="7310">
        <f t="shared" si="0"/>
        <v>0</v>
      </c>
      <c r="K53" s="7040">
        <f>+'Direct sales IPT details'!J194+'Direct sales IPT details'!J195</f>
        <v>0</v>
      </c>
      <c r="L53" s="7040">
        <f>+'Direct sales IPT details'!K193</f>
        <v>0</v>
      </c>
      <c r="M53" s="7045">
        <f>+'Direct sales IPT details'!L194+'Direct sales IPT details'!L195</f>
        <v>0</v>
      </c>
      <c r="N53" s="7301">
        <f t="shared" si="1"/>
        <v>0</v>
      </c>
      <c r="O53" s="7040">
        <f>+'Direct sales IPT details'!N194+'Direct sales IPT details'!N195</f>
        <v>0</v>
      </c>
      <c r="P53" s="7040">
        <f>+'Direct sales IPT details'!O193</f>
        <v>0</v>
      </c>
      <c r="Q53" s="7044">
        <f>+'Direct sales IPT details'!P194+'Direct sales IPT details'!P195</f>
        <v>0</v>
      </c>
      <c r="R53" s="7310">
        <f t="shared" si="2"/>
        <v>0</v>
      </c>
      <c r="S53" s="7040">
        <f>+'Direct sales IPT details'!R194+'Direct sales IPT details'!R195</f>
        <v>0</v>
      </c>
      <c r="T53" s="7040">
        <f>+'Direct sales IPT details'!S193</f>
        <v>0</v>
      </c>
      <c r="U53" s="7044">
        <f>+'Direct sales IPT details'!T194+'Direct sales IPT details'!T195</f>
        <v>0</v>
      </c>
      <c r="V53" s="7310">
        <f t="shared" si="3"/>
        <v>0</v>
      </c>
      <c r="W53" s="7040">
        <f>+'Direct sales IPT details'!V194+'Direct sales IPT details'!V195</f>
        <v>0</v>
      </c>
      <c r="X53" s="7040">
        <f>+'Direct sales IPT details'!W193</f>
        <v>0</v>
      </c>
      <c r="Y53" s="7045">
        <f>+'Direct sales IPT details'!X194+'Direct sales IPT details'!X195</f>
        <v>0</v>
      </c>
      <c r="Z53" s="7301">
        <f t="shared" si="4"/>
        <v>0</v>
      </c>
      <c r="AA53" s="7379">
        <f>+'Direct sales IPT details'!Z194+'Direct sales IPT details'!Z195</f>
        <v>0</v>
      </c>
      <c r="AB53" s="7302">
        <f t="shared" si="5"/>
        <v>0</v>
      </c>
      <c r="AC53" s="7040">
        <f>+'Direct sales IPT details'!AB194+'Direct sales IPT details'!AB195</f>
        <v>0</v>
      </c>
      <c r="AD53" s="7040">
        <f>+'Direct sales IPT details'!AC193</f>
        <v>0</v>
      </c>
      <c r="AE53" s="7044">
        <f>+'Direct sales IPT details'!AD194+'Direct sales IPT details'!AD195</f>
        <v>0</v>
      </c>
      <c r="AF53" s="7310">
        <f t="shared" si="6"/>
        <v>0</v>
      </c>
      <c r="AG53" s="7040">
        <f>+'Direct sales IPT details'!AF194+'Direct sales IPT details'!AF195</f>
        <v>0</v>
      </c>
      <c r="AH53" s="7040">
        <f>+'Direct sales IPT details'!AG193</f>
        <v>0</v>
      </c>
      <c r="AI53" s="7044">
        <f>+'Direct sales IPT details'!AH194+'Direct sales IPT details'!AH195</f>
        <v>0</v>
      </c>
      <c r="AJ53" s="7310">
        <f t="shared" si="7"/>
        <v>0</v>
      </c>
      <c r="AK53" s="7040">
        <f>+'Direct sales IPT details'!AJ194+'Direct sales IPT details'!AJ195</f>
        <v>0</v>
      </c>
      <c r="AL53" s="7040">
        <f>+'Direct sales IPT details'!AK193</f>
        <v>0</v>
      </c>
      <c r="AM53" s="7045">
        <f>+'Direct sales IPT details'!AL194+'Direct sales IPT details'!AL195</f>
        <v>0</v>
      </c>
      <c r="AN53" s="7301">
        <f t="shared" si="8"/>
        <v>0</v>
      </c>
      <c r="AO53" s="7044">
        <f>+'Direct sales IPT details'!AN194+'Direct sales IPT details'!AN195</f>
        <v>0</v>
      </c>
      <c r="AP53" s="7310">
        <f t="shared" si="9"/>
        <v>0</v>
      </c>
      <c r="AQ53" s="7040">
        <f>+'Direct sales IPT details'!AP194+'Direct sales IPT details'!AP195</f>
        <v>0</v>
      </c>
      <c r="AR53" s="7040">
        <f>+'Direct sales IPT details'!AQ193</f>
        <v>0</v>
      </c>
      <c r="AS53" s="7044">
        <f>+'Direct sales IPT details'!AR194+'Direct sales IPT details'!AR195</f>
        <v>0</v>
      </c>
      <c r="AT53" s="7310">
        <f t="shared" si="10"/>
        <v>0</v>
      </c>
      <c r="AU53" s="7040">
        <f>+'Direct sales IPT details'!AT194+'Direct sales IPT details'!AT195</f>
        <v>0</v>
      </c>
      <c r="AV53" s="7040">
        <f>+'Direct sales IPT details'!AU193</f>
        <v>2022.0800000000002</v>
      </c>
      <c r="AW53" s="7044">
        <f>+'Direct sales IPT details'!AV194+'Direct sales IPT details'!AV195</f>
        <v>0</v>
      </c>
      <c r="AX53" s="7310">
        <f t="shared" si="11"/>
        <v>2022.0800000000002</v>
      </c>
      <c r="AY53" s="7040">
        <f>+'Direct sales IPT details'!AX194+'Direct sales IPT details'!AX195</f>
        <v>0</v>
      </c>
      <c r="AZ53" s="7040">
        <f>+'Direct sales IPT details'!AY193</f>
        <v>2066.8999999999996</v>
      </c>
      <c r="BA53" s="7045">
        <f>+'Direct sales IPT details'!AZ194+'Direct sales IPT details'!AZ195</f>
        <v>0</v>
      </c>
      <c r="BB53" s="7301">
        <f t="shared" si="12"/>
        <v>4088.9799999999996</v>
      </c>
      <c r="BC53" s="7379">
        <f>+'Direct sales IPT details'!BB194+'Direct sales IPT details'!BB195</f>
        <v>0</v>
      </c>
      <c r="BD53" s="7302">
        <f t="shared" si="13"/>
        <v>4088.9799999999996</v>
      </c>
      <c r="BE53" s="7044">
        <f>+'Direct sales IPT details'!BD194+'Direct sales IPT details'!BD195</f>
        <v>0</v>
      </c>
      <c r="BF53" s="7310">
        <f t="shared" si="14"/>
        <v>4088.9799999999996</v>
      </c>
      <c r="BG53" s="4152"/>
      <c r="BH53" s="4152"/>
      <c r="BI53" s="4152"/>
      <c r="BJ53" s="4152"/>
      <c r="BK53" s="4152"/>
      <c r="BP53" s="4152"/>
    </row>
    <row r="54" spans="1:71" s="7442" customFormat="1" x14ac:dyDescent="0.25">
      <c r="A54" s="90"/>
      <c r="B54" s="7350" t="s">
        <v>2294</v>
      </c>
      <c r="C54" s="7046" t="s">
        <v>50</v>
      </c>
      <c r="D54" s="7040">
        <v>0</v>
      </c>
      <c r="E54" s="7040">
        <v>0</v>
      </c>
      <c r="F54" s="7040"/>
      <c r="G54" s="7040"/>
      <c r="H54" s="7040"/>
      <c r="I54" s="7044"/>
      <c r="J54" s="7044"/>
      <c r="K54" s="7040"/>
      <c r="L54" s="7040"/>
      <c r="M54" s="7045"/>
      <c r="N54" s="7045"/>
      <c r="O54" s="7040"/>
      <c r="P54" s="7040"/>
      <c r="Q54" s="7044"/>
      <c r="R54" s="7044"/>
      <c r="S54" s="7040"/>
      <c r="T54" s="7040"/>
      <c r="U54" s="7044"/>
      <c r="V54" s="7044"/>
      <c r="W54" s="7040"/>
      <c r="X54" s="7040"/>
      <c r="Y54" s="7045"/>
      <c r="Z54" s="7045"/>
      <c r="AA54" s="7379"/>
      <c r="AB54" s="7379"/>
      <c r="AC54" s="7040"/>
      <c r="AD54" s="7040"/>
      <c r="AE54" s="7044"/>
      <c r="AF54" s="7044"/>
      <c r="AG54" s="7040"/>
      <c r="AH54" s="7040"/>
      <c r="AI54" s="7044"/>
      <c r="AJ54" s="7044"/>
      <c r="AK54" s="7040"/>
      <c r="AL54" s="7040"/>
      <c r="AM54" s="7045"/>
      <c r="AN54" s="7045"/>
      <c r="AO54" s="7044"/>
      <c r="AP54" s="7044"/>
      <c r="AQ54" s="7040"/>
      <c r="AR54" s="7040"/>
      <c r="AS54" s="7044"/>
      <c r="AT54" s="7044"/>
      <c r="AU54" s="7040"/>
      <c r="AV54" s="7040"/>
      <c r="AW54" s="7044"/>
      <c r="AX54" s="7044"/>
      <c r="AY54" s="7040"/>
      <c r="AZ54" s="7040"/>
      <c r="BA54" s="7045"/>
      <c r="BB54" s="7045"/>
      <c r="BC54" s="7379"/>
      <c r="BD54" s="7379"/>
      <c r="BE54" s="7044"/>
      <c r="BF54" s="7044"/>
      <c r="BG54" s="4152"/>
      <c r="BH54" s="4152"/>
      <c r="BI54" s="4152"/>
      <c r="BJ54" s="4152"/>
      <c r="BK54" s="4152"/>
      <c r="BP54" s="4152"/>
    </row>
    <row r="55" spans="1:71" ht="21.2" customHeight="1" x14ac:dyDescent="0.25">
      <c r="A55" s="90"/>
      <c r="B55" s="945" t="s">
        <v>2295</v>
      </c>
      <c r="C55" s="7337" t="s">
        <v>50</v>
      </c>
      <c r="D55" s="2237">
        <v>0</v>
      </c>
      <c r="E55" s="2237">
        <v>0</v>
      </c>
      <c r="F55" s="2237">
        <f>+'Direct sales IPT details'!E14</f>
        <v>0</v>
      </c>
      <c r="G55" s="7308">
        <f>+'Direct sales IPT details'!F14</f>
        <v>0</v>
      </c>
      <c r="H55" s="7308">
        <f>+'Direct sales IPT details'!G14</f>
        <v>299.72000000000003</v>
      </c>
      <c r="I55" s="7310">
        <f>+'Direct sales IPT details'!H14</f>
        <v>0</v>
      </c>
      <c r="J55" s="7310">
        <f t="shared" si="0"/>
        <v>299.72000000000003</v>
      </c>
      <c r="K55" s="7308">
        <f>+'Direct sales IPT details'!J14</f>
        <v>0</v>
      </c>
      <c r="L55" s="7308">
        <f>+'Direct sales IPT details'!K14</f>
        <v>0</v>
      </c>
      <c r="M55" s="7301">
        <f>+'Direct sales IPT details'!L14</f>
        <v>0</v>
      </c>
      <c r="N55" s="7301">
        <f t="shared" si="1"/>
        <v>299.72000000000003</v>
      </c>
      <c r="O55" s="7308">
        <f>+'Direct sales IPT details'!N14</f>
        <v>0</v>
      </c>
      <c r="P55" s="7308">
        <f>+'Direct sales IPT details'!O14</f>
        <v>0</v>
      </c>
      <c r="Q55" s="7310">
        <f>+'Direct sales IPT details'!P14</f>
        <v>0</v>
      </c>
      <c r="R55" s="7310">
        <f t="shared" si="2"/>
        <v>299.72000000000003</v>
      </c>
      <c r="S55" s="7308">
        <f>+'Direct sales IPT details'!R14</f>
        <v>0</v>
      </c>
      <c r="T55" s="7308">
        <f>+'Direct sales IPT details'!S14</f>
        <v>239.04</v>
      </c>
      <c r="U55" s="7310">
        <f>+'Direct sales IPT details'!T14</f>
        <v>0</v>
      </c>
      <c r="V55" s="7310">
        <f t="shared" si="3"/>
        <v>538.76</v>
      </c>
      <c r="W55" s="7308">
        <f>+'Direct sales IPT details'!V14</f>
        <v>0</v>
      </c>
      <c r="X55" s="7308">
        <f>+'Direct sales IPT details'!W14</f>
        <v>497.22999999999996</v>
      </c>
      <c r="Y55" s="7301">
        <f>+'Direct sales IPT details'!X14</f>
        <v>0</v>
      </c>
      <c r="Z55" s="7301">
        <f t="shared" si="4"/>
        <v>736.27</v>
      </c>
      <c r="AA55" s="7302">
        <f>+'Direct sales IPT details'!Z14</f>
        <v>0</v>
      </c>
      <c r="AB55" s="7302">
        <f t="shared" si="5"/>
        <v>1035.99</v>
      </c>
      <c r="AC55" s="7308">
        <f>+'Direct sales IPT details'!AB14</f>
        <v>0</v>
      </c>
      <c r="AD55" s="7308">
        <f>+'Direct sales IPT details'!AC14</f>
        <v>0</v>
      </c>
      <c r="AE55" s="7310">
        <f>+'Direct sales IPT details'!AD14</f>
        <v>0</v>
      </c>
      <c r="AF55" s="7310">
        <f t="shared" si="6"/>
        <v>1035.99</v>
      </c>
      <c r="AG55" s="7308">
        <f>+'Direct sales IPT details'!AF14</f>
        <v>0</v>
      </c>
      <c r="AH55" s="7308">
        <f>+'Direct sales IPT details'!AG14</f>
        <v>0</v>
      </c>
      <c r="AI55" s="7310">
        <f>+'Direct sales IPT details'!AH14</f>
        <v>0</v>
      </c>
      <c r="AJ55" s="7310">
        <f t="shared" si="7"/>
        <v>1035.99</v>
      </c>
      <c r="AK55" s="7308">
        <f>+'Direct sales IPT details'!AJ14</f>
        <v>0</v>
      </c>
      <c r="AL55" s="7308">
        <f>+'Direct sales IPT details'!AK14</f>
        <v>0</v>
      </c>
      <c r="AM55" s="7301">
        <f>+'Direct sales IPT details'!AL14</f>
        <v>0</v>
      </c>
      <c r="AN55" s="7301">
        <f t="shared" si="8"/>
        <v>0</v>
      </c>
      <c r="AO55" s="7310">
        <f>+'Direct sales IPT details'!AN14</f>
        <v>0</v>
      </c>
      <c r="AP55" s="7310">
        <f t="shared" si="9"/>
        <v>1035.99</v>
      </c>
      <c r="AQ55" s="7308">
        <f>+'Direct sales IPT details'!AP14</f>
        <v>0</v>
      </c>
      <c r="AR55" s="7308">
        <f>+'Direct sales IPT details'!AQ14</f>
        <v>337.56</v>
      </c>
      <c r="AS55" s="7310">
        <f>+'Direct sales IPT details'!AR14</f>
        <v>0</v>
      </c>
      <c r="AT55" s="7310">
        <f t="shared" si="10"/>
        <v>1373.55</v>
      </c>
      <c r="AU55" s="7308">
        <f>+'Direct sales IPT details'!AT14</f>
        <v>0</v>
      </c>
      <c r="AV55" s="7308">
        <f>+'Direct sales IPT details'!AU14</f>
        <v>289.99</v>
      </c>
      <c r="AW55" s="7310">
        <f>+'Direct sales IPT details'!AV14</f>
        <v>0</v>
      </c>
      <c r="AX55" s="7310">
        <f t="shared" si="11"/>
        <v>1663.54</v>
      </c>
      <c r="AY55" s="7308">
        <f>+'Direct sales IPT details'!AX14</f>
        <v>0</v>
      </c>
      <c r="AZ55" s="7308">
        <f>+'Direct sales IPT details'!AY14</f>
        <v>38.71</v>
      </c>
      <c r="BA55" s="7301">
        <f>+'Direct sales IPT details'!AZ14</f>
        <v>0</v>
      </c>
      <c r="BB55" s="7301">
        <f t="shared" si="12"/>
        <v>666.26</v>
      </c>
      <c r="BC55" s="7302">
        <f>+'Direct sales IPT details'!BB14</f>
        <v>0</v>
      </c>
      <c r="BD55" s="7302">
        <f t="shared" si="13"/>
        <v>666.26</v>
      </c>
      <c r="BE55" s="7310">
        <f>+'Direct sales IPT details'!BD14</f>
        <v>0</v>
      </c>
      <c r="BF55" s="7310">
        <f t="shared" si="14"/>
        <v>1702.25</v>
      </c>
      <c r="BG55" s="4152">
        <f t="shared" si="15"/>
        <v>0</v>
      </c>
      <c r="BH55" s="4152">
        <f t="shared" si="16"/>
        <v>0</v>
      </c>
      <c r="BI55" s="4152"/>
      <c r="BJ55" s="4152">
        <f t="shared" si="17"/>
        <v>0</v>
      </c>
      <c r="BK55" s="4152">
        <f t="shared" si="18"/>
        <v>0</v>
      </c>
      <c r="BP55" s="4152"/>
    </row>
    <row r="56" spans="1:71" s="31" customFormat="1" ht="21.2" customHeight="1" x14ac:dyDescent="0.25">
      <c r="A56" s="789"/>
      <c r="B56" s="3795" t="s">
        <v>2</v>
      </c>
      <c r="C56" s="7337" t="s">
        <v>50</v>
      </c>
      <c r="D56" s="7344">
        <f>SUM(D50:D55)</f>
        <v>0</v>
      </c>
      <c r="E56" s="1820"/>
      <c r="F56" s="1820">
        <f>SUM(F50:F55)</f>
        <v>0</v>
      </c>
      <c r="G56" s="1820"/>
      <c r="H56" s="1820">
        <f>SUM(H50:H55)</f>
        <v>2379.12</v>
      </c>
      <c r="I56" s="7345"/>
      <c r="J56" s="7345">
        <f t="shared" si="0"/>
        <v>2379.12</v>
      </c>
      <c r="K56" s="1820"/>
      <c r="L56" s="1820">
        <f>SUM(L50:L55)</f>
        <v>247.89000000000001</v>
      </c>
      <c r="M56" s="7347"/>
      <c r="N56" s="7347">
        <f t="shared" si="1"/>
        <v>2627.0099999999998</v>
      </c>
      <c r="O56" s="1820"/>
      <c r="P56" s="1820">
        <f>SUM(P50:P55)</f>
        <v>381.2</v>
      </c>
      <c r="Q56" s="7345"/>
      <c r="R56" s="7345">
        <f t="shared" si="2"/>
        <v>3008.2099999999996</v>
      </c>
      <c r="S56" s="1820"/>
      <c r="T56" s="1820">
        <f>SUM(T50:T55)</f>
        <v>5622.25</v>
      </c>
      <c r="U56" s="7345"/>
      <c r="V56" s="7345">
        <f t="shared" si="3"/>
        <v>8630.4599999999991</v>
      </c>
      <c r="W56" s="1820"/>
      <c r="X56" s="1820">
        <f>SUM(X50:X55)</f>
        <v>908.71</v>
      </c>
      <c r="Y56" s="7347"/>
      <c r="Z56" s="7347">
        <f t="shared" si="4"/>
        <v>6912.16</v>
      </c>
      <c r="AA56" s="7382"/>
      <c r="AB56" s="7382">
        <f t="shared" si="5"/>
        <v>9539.17</v>
      </c>
      <c r="AC56" s="1820"/>
      <c r="AD56" s="1820">
        <f>SUM(AD50:AD55)</f>
        <v>7983.1199999999963</v>
      </c>
      <c r="AE56" s="7345"/>
      <c r="AF56" s="7345">
        <f t="shared" si="6"/>
        <v>17522.289999999997</v>
      </c>
      <c r="AG56" s="1820"/>
      <c r="AH56" s="1820">
        <f>SUM(AH50:AH55)</f>
        <v>1706.6599999999999</v>
      </c>
      <c r="AI56" s="7345"/>
      <c r="AJ56" s="7345">
        <f t="shared" si="7"/>
        <v>19228.949999999997</v>
      </c>
      <c r="AK56" s="1820"/>
      <c r="AL56" s="1820">
        <f>SUM(AL50:AL55)</f>
        <v>0</v>
      </c>
      <c r="AM56" s="7347"/>
      <c r="AN56" s="7347">
        <f t="shared" si="8"/>
        <v>9689.7799999999952</v>
      </c>
      <c r="AO56" s="7345"/>
      <c r="AP56" s="7345">
        <f t="shared" si="9"/>
        <v>19228.949999999997</v>
      </c>
      <c r="AQ56" s="1820"/>
      <c r="AR56" s="1820">
        <f>SUM(AR50:AR55)</f>
        <v>2151.6200000000003</v>
      </c>
      <c r="AS56" s="7345"/>
      <c r="AT56" s="7345">
        <f t="shared" si="10"/>
        <v>21380.569999999996</v>
      </c>
      <c r="AU56" s="1820"/>
      <c r="AV56" s="1820">
        <f>SUM(AV50:AV55)</f>
        <v>3786.71</v>
      </c>
      <c r="AW56" s="7345"/>
      <c r="AX56" s="7345">
        <f t="shared" si="11"/>
        <v>25167.279999999995</v>
      </c>
      <c r="AY56" s="1820"/>
      <c r="AZ56" s="1820">
        <f>SUM(AZ50:AZ55)</f>
        <v>2360.41</v>
      </c>
      <c r="BA56" s="7347"/>
      <c r="BB56" s="7347">
        <f t="shared" si="12"/>
        <v>8298.74</v>
      </c>
      <c r="BC56" s="7382"/>
      <c r="BD56" s="7382">
        <f t="shared" si="13"/>
        <v>17988.519999999997</v>
      </c>
      <c r="BE56" s="7345">
        <f>SUM(BE50:BE55)</f>
        <v>0</v>
      </c>
      <c r="BF56" s="7345">
        <f t="shared" si="14"/>
        <v>27527.689999999995</v>
      </c>
      <c r="BG56" s="7433">
        <f t="shared" si="15"/>
        <v>0</v>
      </c>
      <c r="BH56" s="7433">
        <f t="shared" si="16"/>
        <v>0</v>
      </c>
      <c r="BI56" s="7433"/>
      <c r="BJ56" s="7433">
        <f t="shared" si="17"/>
        <v>0</v>
      </c>
      <c r="BK56" s="7433">
        <f t="shared" si="18"/>
        <v>0</v>
      </c>
      <c r="BP56" s="7433"/>
    </row>
    <row r="57" spans="1:71" x14ac:dyDescent="0.25">
      <c r="A57" s="144"/>
      <c r="B57" s="3793" t="s">
        <v>2293</v>
      </c>
      <c r="C57" s="194"/>
      <c r="D57" s="1820"/>
      <c r="E57" s="1820"/>
      <c r="F57" s="1820"/>
      <c r="G57" s="1820"/>
      <c r="H57" s="1820"/>
      <c r="I57" s="7311"/>
      <c r="J57" s="7310">
        <f t="shared" si="0"/>
        <v>0</v>
      </c>
      <c r="K57" s="1820"/>
      <c r="L57" s="1820"/>
      <c r="M57" s="7303"/>
      <c r="N57" s="7301">
        <f t="shared" si="1"/>
        <v>0</v>
      </c>
      <c r="O57" s="1820"/>
      <c r="P57" s="1820"/>
      <c r="Q57" s="7311"/>
      <c r="R57" s="7310">
        <f t="shared" si="2"/>
        <v>0</v>
      </c>
      <c r="S57" s="1820"/>
      <c r="T57" s="1820"/>
      <c r="U57" s="7311"/>
      <c r="V57" s="7310">
        <f t="shared" si="3"/>
        <v>0</v>
      </c>
      <c r="W57" s="1820"/>
      <c r="X57" s="1820"/>
      <c r="Y57" s="7303"/>
      <c r="Z57" s="7301">
        <f t="shared" si="4"/>
        <v>0</v>
      </c>
      <c r="AA57" s="513"/>
      <c r="AB57" s="7302">
        <f t="shared" si="5"/>
        <v>0</v>
      </c>
      <c r="AC57" s="1820"/>
      <c r="AD57" s="1820"/>
      <c r="AE57" s="7311"/>
      <c r="AF57" s="7310">
        <f t="shared" si="6"/>
        <v>0</v>
      </c>
      <c r="AG57" s="1820"/>
      <c r="AH57" s="1820"/>
      <c r="AI57" s="7311"/>
      <c r="AJ57" s="7310">
        <f t="shared" si="7"/>
        <v>0</v>
      </c>
      <c r="AK57" s="1820"/>
      <c r="AL57" s="1820"/>
      <c r="AM57" s="7303"/>
      <c r="AN57" s="7301">
        <f t="shared" si="8"/>
        <v>0</v>
      </c>
      <c r="AO57" s="7311"/>
      <c r="AP57" s="7310">
        <f t="shared" si="9"/>
        <v>0</v>
      </c>
      <c r="AQ57" s="1820"/>
      <c r="AR57" s="1820"/>
      <c r="AS57" s="7311"/>
      <c r="AT57" s="7310">
        <f t="shared" si="10"/>
        <v>0</v>
      </c>
      <c r="AU57" s="1820"/>
      <c r="AV57" s="1820"/>
      <c r="AW57" s="7311"/>
      <c r="AX57" s="7310">
        <f t="shared" si="11"/>
        <v>0</v>
      </c>
      <c r="AY57" s="1820"/>
      <c r="AZ57" s="1820"/>
      <c r="BA57" s="7303"/>
      <c r="BB57" s="7301">
        <f t="shared" si="12"/>
        <v>0</v>
      </c>
      <c r="BC57" s="513"/>
      <c r="BD57" s="7302">
        <f t="shared" si="13"/>
        <v>0</v>
      </c>
      <c r="BE57" s="7311"/>
      <c r="BF57" s="7310">
        <f t="shared" si="14"/>
        <v>0</v>
      </c>
      <c r="BG57" s="4152">
        <f t="shared" si="15"/>
        <v>0</v>
      </c>
      <c r="BH57" s="4152">
        <f t="shared" si="16"/>
        <v>0</v>
      </c>
      <c r="BI57" s="4152"/>
      <c r="BJ57" s="4152">
        <f t="shared" si="17"/>
        <v>0</v>
      </c>
      <c r="BK57" s="4152">
        <f t="shared" si="18"/>
        <v>0</v>
      </c>
      <c r="BP57" s="4152"/>
    </row>
    <row r="58" spans="1:71" s="7348" customFormat="1" x14ac:dyDescent="0.25">
      <c r="A58" s="144"/>
      <c r="B58" s="945" t="s">
        <v>2294</v>
      </c>
      <c r="C58" s="7337" t="s">
        <v>50</v>
      </c>
      <c r="D58" s="7040"/>
      <c r="E58" s="7040"/>
      <c r="F58" s="7040">
        <f>+'Direct sales IPT details'!E18</f>
        <v>0</v>
      </c>
      <c r="G58" s="7040"/>
      <c r="H58" s="7040">
        <f>+'Direct sales IPT details'!G18</f>
        <v>0</v>
      </c>
      <c r="I58" s="7044">
        <f>+'Direct sales IPT details'!H18</f>
        <v>0</v>
      </c>
      <c r="J58" s="7346">
        <f t="shared" si="0"/>
        <v>0</v>
      </c>
      <c r="K58" s="7040"/>
      <c r="L58" s="7040">
        <f>+'Direct sales IPT details'!K18</f>
        <v>0</v>
      </c>
      <c r="M58" s="7045"/>
      <c r="N58" s="7335">
        <f t="shared" si="1"/>
        <v>0</v>
      </c>
      <c r="O58" s="7040"/>
      <c r="P58" s="7040">
        <f>+'Direct sales IPT details'!O18</f>
        <v>64.36</v>
      </c>
      <c r="Q58" s="7044"/>
      <c r="R58" s="7346">
        <f t="shared" si="2"/>
        <v>64.36</v>
      </c>
      <c r="S58" s="7040"/>
      <c r="T58" s="7040">
        <f>+'Direct sales IPT details'!S18</f>
        <v>1895.72</v>
      </c>
      <c r="U58" s="7044"/>
      <c r="V58" s="7346">
        <f t="shared" si="3"/>
        <v>1960.08</v>
      </c>
      <c r="W58" s="7040"/>
      <c r="X58" s="7040">
        <f>+'Direct sales IPT details'!W18</f>
        <v>960.38000000000011</v>
      </c>
      <c r="Y58" s="7045"/>
      <c r="Z58" s="7335">
        <f t="shared" si="4"/>
        <v>2920.46</v>
      </c>
      <c r="AA58" s="7379"/>
      <c r="AB58" s="7336">
        <f t="shared" si="5"/>
        <v>2920.46</v>
      </c>
      <c r="AC58" s="7040"/>
      <c r="AD58" s="7040">
        <f>+'Direct sales IPT details'!AC18</f>
        <v>2004.1</v>
      </c>
      <c r="AE58" s="7044"/>
      <c r="AF58" s="7346">
        <f t="shared" si="6"/>
        <v>4924.5599999999995</v>
      </c>
      <c r="AG58" s="7040"/>
      <c r="AH58" s="7040">
        <f>+'Direct sales IPT details'!AG18</f>
        <v>0</v>
      </c>
      <c r="AI58" s="7044"/>
      <c r="AJ58" s="7346">
        <f t="shared" si="7"/>
        <v>4924.5599999999995</v>
      </c>
      <c r="AK58" s="7040"/>
      <c r="AL58" s="7040">
        <f>+'Direct sales IPT details'!AK18</f>
        <v>0</v>
      </c>
      <c r="AM58" s="7045"/>
      <c r="AN58" s="7335">
        <f t="shared" si="8"/>
        <v>2004.1</v>
      </c>
      <c r="AO58" s="7044"/>
      <c r="AP58" s="7346">
        <f t="shared" si="9"/>
        <v>4924.5599999999995</v>
      </c>
      <c r="AQ58" s="7040"/>
      <c r="AR58" s="7040">
        <f>+'Direct sales IPT details'!AQ18</f>
        <v>0</v>
      </c>
      <c r="AS58" s="7044"/>
      <c r="AT58" s="7346">
        <f t="shared" si="10"/>
        <v>4924.5599999999995</v>
      </c>
      <c r="AU58" s="7040"/>
      <c r="AV58" s="7040">
        <f>+'Direct sales IPT details'!AU18</f>
        <v>0</v>
      </c>
      <c r="AW58" s="7044"/>
      <c r="AX58" s="7346">
        <f t="shared" si="11"/>
        <v>4924.5599999999995</v>
      </c>
      <c r="AY58" s="7040"/>
      <c r="AZ58" s="7040">
        <f>+'Direct sales IPT details'!AY18</f>
        <v>0</v>
      </c>
      <c r="BA58" s="7045"/>
      <c r="BB58" s="7335">
        <f t="shared" si="12"/>
        <v>0</v>
      </c>
      <c r="BC58" s="7379"/>
      <c r="BD58" s="7336">
        <f t="shared" si="13"/>
        <v>2004.1</v>
      </c>
      <c r="BE58" s="7044"/>
      <c r="BF58" s="7346">
        <f t="shared" si="14"/>
        <v>4924.5599999999995</v>
      </c>
      <c r="BG58" s="7040">
        <f>+'Direct sales IPT details'!BF18</f>
        <v>0</v>
      </c>
      <c r="BH58" s="7040">
        <f>+'Direct sales IPT details'!BG18</f>
        <v>0</v>
      </c>
      <c r="BI58" s="7040">
        <f>+'Direct sales IPT details'!BH18</f>
        <v>0</v>
      </c>
      <c r="BJ58" s="7040">
        <f>+'Direct sales IPT details'!BI18</f>
        <v>0</v>
      </c>
      <c r="BK58" s="7040">
        <f>+'Direct sales IPT details'!BJ18</f>
        <v>0</v>
      </c>
      <c r="BL58" s="7040">
        <f>+'Direct sales IPT details'!BK18</f>
        <v>0</v>
      </c>
      <c r="BM58" s="7040">
        <f>+'Direct sales IPT details'!BL18</f>
        <v>0</v>
      </c>
      <c r="BN58" s="7040">
        <f>+'Direct sales IPT details'!BM18</f>
        <v>0</v>
      </c>
      <c r="BO58" s="7040">
        <f>+'Direct sales IPT details'!BN18</f>
        <v>0</v>
      </c>
      <c r="BP58" s="4152"/>
    </row>
    <row r="59" spans="1:71" s="7348" customFormat="1" x14ac:dyDescent="0.25">
      <c r="A59" s="144"/>
      <c r="B59" s="945" t="s">
        <v>2295</v>
      </c>
      <c r="C59" s="7337" t="s">
        <v>50</v>
      </c>
      <c r="D59" s="7040"/>
      <c r="E59" s="7040"/>
      <c r="F59" s="7040">
        <f>+'Direct sales IPT details'!E17</f>
        <v>1625.08</v>
      </c>
      <c r="G59" s="7040"/>
      <c r="H59" s="7040">
        <f>+'Direct sales IPT details'!G17</f>
        <v>640.46</v>
      </c>
      <c r="I59" s="7044">
        <f>+'Direct sales IPT details'!H17</f>
        <v>0</v>
      </c>
      <c r="J59" s="7346">
        <f t="shared" si="0"/>
        <v>2265.54</v>
      </c>
      <c r="K59" s="7040"/>
      <c r="L59" s="7040">
        <f>+'Direct sales IPT details'!K17</f>
        <v>1065.5999999999999</v>
      </c>
      <c r="M59" s="7045"/>
      <c r="N59" s="7335">
        <f t="shared" si="1"/>
        <v>3331.14</v>
      </c>
      <c r="O59" s="7040"/>
      <c r="P59" s="7040">
        <f>+'Direct sales IPT details'!O17</f>
        <v>398.74</v>
      </c>
      <c r="Q59" s="7044"/>
      <c r="R59" s="7346">
        <f t="shared" si="2"/>
        <v>3729.88</v>
      </c>
      <c r="S59" s="7040"/>
      <c r="T59" s="7040">
        <f>+'Direct sales IPT details'!S17</f>
        <v>353.2</v>
      </c>
      <c r="U59" s="7044"/>
      <c r="V59" s="7346">
        <f t="shared" si="3"/>
        <v>4083.08</v>
      </c>
      <c r="W59" s="7040"/>
      <c r="X59" s="7040">
        <f>+'Direct sales IPT details'!W17</f>
        <v>453.39000000000004</v>
      </c>
      <c r="Y59" s="7045"/>
      <c r="Z59" s="7335">
        <f t="shared" si="4"/>
        <v>1205.3300000000002</v>
      </c>
      <c r="AA59" s="7379"/>
      <c r="AB59" s="7336">
        <f t="shared" si="5"/>
        <v>4536.47</v>
      </c>
      <c r="AC59" s="7040"/>
      <c r="AD59" s="7040">
        <f>+'Direct sales IPT details'!AC17</f>
        <v>0</v>
      </c>
      <c r="AE59" s="7044"/>
      <c r="AF59" s="7346">
        <f t="shared" si="6"/>
        <v>4536.47</v>
      </c>
      <c r="AG59" s="7040"/>
      <c r="AH59" s="7040">
        <f>+'Direct sales IPT details'!AG17</f>
        <v>0</v>
      </c>
      <c r="AI59" s="7044"/>
      <c r="AJ59" s="7346">
        <f t="shared" si="7"/>
        <v>4536.47</v>
      </c>
      <c r="AK59" s="7040"/>
      <c r="AL59" s="7040">
        <f>+'Direct sales IPT details'!AK17</f>
        <v>703.34</v>
      </c>
      <c r="AM59" s="7045"/>
      <c r="AN59" s="7335">
        <f t="shared" si="8"/>
        <v>703.34</v>
      </c>
      <c r="AO59" s="7044"/>
      <c r="AP59" s="7346">
        <f t="shared" si="9"/>
        <v>5239.8100000000004</v>
      </c>
      <c r="AQ59" s="7040"/>
      <c r="AR59" s="7040">
        <f>+'Direct sales IPT details'!AQ17</f>
        <v>1589.84</v>
      </c>
      <c r="AS59" s="7044"/>
      <c r="AT59" s="7346">
        <f t="shared" si="10"/>
        <v>6829.6500000000005</v>
      </c>
      <c r="AU59" s="7040"/>
      <c r="AV59" s="7040">
        <f>+'Direct sales IPT details'!AU17</f>
        <v>481.34000000000003</v>
      </c>
      <c r="AW59" s="7044"/>
      <c r="AX59" s="7346">
        <f t="shared" si="11"/>
        <v>7310.9900000000007</v>
      </c>
      <c r="AY59" s="7040"/>
      <c r="AZ59" s="7040">
        <f>+'Direct sales IPT details'!AY17</f>
        <v>1544.2600000000002</v>
      </c>
      <c r="BA59" s="7045"/>
      <c r="BB59" s="7335">
        <f t="shared" si="12"/>
        <v>3615.44</v>
      </c>
      <c r="BC59" s="7379"/>
      <c r="BD59" s="7336">
        <f t="shared" si="13"/>
        <v>4318.78</v>
      </c>
      <c r="BE59" s="7044"/>
      <c r="BF59" s="7346">
        <f t="shared" si="14"/>
        <v>8855.25</v>
      </c>
      <c r="BG59" s="4152"/>
      <c r="BH59" s="4152"/>
      <c r="BI59" s="4152"/>
      <c r="BJ59" s="4152"/>
      <c r="BK59" s="4152"/>
      <c r="BP59" s="4152"/>
    </row>
    <row r="60" spans="1:71" s="789" customFormat="1" x14ac:dyDescent="0.25">
      <c r="A60" s="7434"/>
      <c r="B60" s="3795" t="s">
        <v>2</v>
      </c>
      <c r="C60" s="7337" t="s">
        <v>50</v>
      </c>
      <c r="D60" s="7047"/>
      <c r="E60" s="7047"/>
      <c r="F60" s="7047">
        <f>SUM(F58:F59)</f>
        <v>1625.08</v>
      </c>
      <c r="G60" s="7047"/>
      <c r="H60" s="7047">
        <f t="shared" ref="H60:AZ60" si="224">SUM(H58:H59)</f>
        <v>640.46</v>
      </c>
      <c r="I60" s="7065">
        <f t="shared" si="224"/>
        <v>0</v>
      </c>
      <c r="J60" s="7345">
        <f t="shared" si="0"/>
        <v>2265.54</v>
      </c>
      <c r="K60" s="7047"/>
      <c r="L60" s="7047">
        <f t="shared" si="224"/>
        <v>1065.5999999999999</v>
      </c>
      <c r="M60" s="7048"/>
      <c r="N60" s="7347">
        <f t="shared" si="1"/>
        <v>3331.14</v>
      </c>
      <c r="O60" s="7047"/>
      <c r="P60" s="7047">
        <f t="shared" si="224"/>
        <v>463.1</v>
      </c>
      <c r="Q60" s="7065"/>
      <c r="R60" s="7345">
        <f t="shared" si="2"/>
        <v>3794.24</v>
      </c>
      <c r="S60" s="7047"/>
      <c r="T60" s="7047">
        <f t="shared" si="224"/>
        <v>2248.92</v>
      </c>
      <c r="U60" s="7065"/>
      <c r="V60" s="7345">
        <f t="shared" si="3"/>
        <v>6043.16</v>
      </c>
      <c r="W60" s="7047"/>
      <c r="X60" s="7047">
        <f t="shared" si="224"/>
        <v>1413.7700000000002</v>
      </c>
      <c r="Y60" s="7048"/>
      <c r="Z60" s="7347">
        <f t="shared" si="4"/>
        <v>4125.79</v>
      </c>
      <c r="AA60" s="7063"/>
      <c r="AB60" s="7382">
        <f t="shared" si="5"/>
        <v>7456.93</v>
      </c>
      <c r="AC60" s="7047"/>
      <c r="AD60" s="7047">
        <f t="shared" si="224"/>
        <v>2004.1</v>
      </c>
      <c r="AE60" s="7065"/>
      <c r="AF60" s="7345">
        <f t="shared" si="6"/>
        <v>9461.0300000000007</v>
      </c>
      <c r="AG60" s="7047"/>
      <c r="AH60" s="7047">
        <f t="shared" si="224"/>
        <v>0</v>
      </c>
      <c r="AI60" s="7065"/>
      <c r="AJ60" s="7345">
        <f t="shared" si="7"/>
        <v>9461.0300000000007</v>
      </c>
      <c r="AK60" s="7047"/>
      <c r="AL60" s="7047">
        <f t="shared" si="224"/>
        <v>703.34</v>
      </c>
      <c r="AM60" s="7048"/>
      <c r="AN60" s="7347">
        <f t="shared" si="8"/>
        <v>2707.44</v>
      </c>
      <c r="AO60" s="7065"/>
      <c r="AP60" s="7345">
        <f t="shared" si="9"/>
        <v>10164.370000000001</v>
      </c>
      <c r="AQ60" s="7047"/>
      <c r="AR60" s="7047">
        <f t="shared" si="224"/>
        <v>1589.84</v>
      </c>
      <c r="AS60" s="7065"/>
      <c r="AT60" s="7345">
        <f t="shared" si="10"/>
        <v>11754.210000000001</v>
      </c>
      <c r="AU60" s="7047"/>
      <c r="AV60" s="7047">
        <f t="shared" si="224"/>
        <v>481.34000000000003</v>
      </c>
      <c r="AW60" s="7065"/>
      <c r="AX60" s="7345">
        <f t="shared" si="11"/>
        <v>12235.550000000001</v>
      </c>
      <c r="AY60" s="7047"/>
      <c r="AZ60" s="7047">
        <f t="shared" si="224"/>
        <v>1544.2600000000002</v>
      </c>
      <c r="BA60" s="7048"/>
      <c r="BB60" s="7347">
        <f t="shared" si="12"/>
        <v>3615.44</v>
      </c>
      <c r="BC60" s="7063"/>
      <c r="BD60" s="7382">
        <f t="shared" si="13"/>
        <v>6322.88</v>
      </c>
      <c r="BE60" s="7065"/>
      <c r="BF60" s="7345">
        <f t="shared" si="14"/>
        <v>13779.810000000001</v>
      </c>
      <c r="BG60" s="7435"/>
      <c r="BH60" s="7435"/>
      <c r="BI60" s="7435"/>
      <c r="BJ60" s="7435"/>
      <c r="BK60" s="7435"/>
      <c r="BP60" s="7435"/>
      <c r="BS60" s="7435"/>
    </row>
    <row r="61" spans="1:71" s="7316" customFormat="1" x14ac:dyDescent="0.25">
      <c r="A61" s="144"/>
      <c r="B61" s="7349"/>
      <c r="C61" s="7437"/>
      <c r="D61" s="7047"/>
      <c r="E61" s="7047"/>
      <c r="F61" s="7047"/>
      <c r="G61" s="7047"/>
      <c r="H61" s="7047"/>
      <c r="I61" s="7065"/>
      <c r="J61" s="7310">
        <f t="shared" si="0"/>
        <v>0</v>
      </c>
      <c r="K61" s="7047"/>
      <c r="L61" s="7047"/>
      <c r="M61" s="7048"/>
      <c r="N61" s="7301">
        <f t="shared" si="1"/>
        <v>0</v>
      </c>
      <c r="O61" s="7047"/>
      <c r="P61" s="7047"/>
      <c r="Q61" s="7065"/>
      <c r="R61" s="7310">
        <f t="shared" si="2"/>
        <v>0</v>
      </c>
      <c r="S61" s="7047"/>
      <c r="T61" s="7047"/>
      <c r="U61" s="7065"/>
      <c r="V61" s="7310">
        <f t="shared" si="3"/>
        <v>0</v>
      </c>
      <c r="W61" s="7047"/>
      <c r="X61" s="7047"/>
      <c r="Y61" s="7048"/>
      <c r="Z61" s="7301">
        <f t="shared" si="4"/>
        <v>0</v>
      </c>
      <c r="AA61" s="7063"/>
      <c r="AB61" s="7302">
        <f t="shared" si="5"/>
        <v>0</v>
      </c>
      <c r="AC61" s="7047"/>
      <c r="AD61" s="7047"/>
      <c r="AE61" s="7065"/>
      <c r="AF61" s="7310">
        <f t="shared" si="6"/>
        <v>0</v>
      </c>
      <c r="AG61" s="7047"/>
      <c r="AH61" s="7047"/>
      <c r="AI61" s="7065"/>
      <c r="AJ61" s="7310">
        <f t="shared" si="7"/>
        <v>0</v>
      </c>
      <c r="AK61" s="7047"/>
      <c r="AL61" s="7047"/>
      <c r="AM61" s="7048"/>
      <c r="AN61" s="7301">
        <f t="shared" si="8"/>
        <v>0</v>
      </c>
      <c r="AO61" s="7065"/>
      <c r="AP61" s="7310">
        <f t="shared" si="9"/>
        <v>0</v>
      </c>
      <c r="AQ61" s="7047"/>
      <c r="AR61" s="7047"/>
      <c r="AS61" s="7065"/>
      <c r="AT61" s="7310">
        <f t="shared" si="10"/>
        <v>0</v>
      </c>
      <c r="AU61" s="7047"/>
      <c r="AV61" s="7047"/>
      <c r="AW61" s="7065"/>
      <c r="AX61" s="7310">
        <f t="shared" si="11"/>
        <v>0</v>
      </c>
      <c r="AY61" s="7047"/>
      <c r="AZ61" s="7047"/>
      <c r="BA61" s="7048"/>
      <c r="BB61" s="7301">
        <f t="shared" si="12"/>
        <v>0</v>
      </c>
      <c r="BC61" s="7063"/>
      <c r="BD61" s="7302">
        <f t="shared" si="13"/>
        <v>0</v>
      </c>
      <c r="BE61" s="7065"/>
      <c r="BF61" s="7310">
        <f t="shared" si="14"/>
        <v>0</v>
      </c>
      <c r="BG61" s="4152"/>
      <c r="BH61" s="4152"/>
      <c r="BI61" s="4152"/>
      <c r="BJ61" s="4152"/>
      <c r="BK61" s="4152"/>
      <c r="BP61" s="4152"/>
    </row>
    <row r="62" spans="1:71" x14ac:dyDescent="0.25">
      <c r="A62" s="144"/>
      <c r="B62" s="808" t="s">
        <v>117</v>
      </c>
      <c r="C62" s="3922"/>
      <c r="D62" s="808"/>
      <c r="E62" s="3800"/>
      <c r="F62" s="3800"/>
      <c r="G62" s="3800"/>
      <c r="H62" s="3800"/>
      <c r="I62" s="7351"/>
      <c r="J62" s="7310">
        <f t="shared" si="0"/>
        <v>0</v>
      </c>
      <c r="K62" s="3800"/>
      <c r="L62" s="3800"/>
      <c r="M62" s="7368"/>
      <c r="N62" s="7301">
        <f t="shared" si="1"/>
        <v>0</v>
      </c>
      <c r="O62" s="3800"/>
      <c r="P62" s="3800"/>
      <c r="Q62" s="7351"/>
      <c r="R62" s="7310">
        <f t="shared" si="2"/>
        <v>0</v>
      </c>
      <c r="S62" s="3800"/>
      <c r="T62" s="3800"/>
      <c r="U62" s="7351"/>
      <c r="V62" s="7310">
        <f t="shared" si="3"/>
        <v>0</v>
      </c>
      <c r="W62" s="3800"/>
      <c r="X62" s="3800"/>
      <c r="Y62" s="7368"/>
      <c r="Z62" s="7301">
        <f t="shared" si="4"/>
        <v>0</v>
      </c>
      <c r="AA62" s="7380"/>
      <c r="AB62" s="7302">
        <f t="shared" si="5"/>
        <v>0</v>
      </c>
      <c r="AC62" s="3800"/>
      <c r="AD62" s="3800"/>
      <c r="AE62" s="7351"/>
      <c r="AF62" s="7310">
        <f t="shared" si="6"/>
        <v>0</v>
      </c>
      <c r="AG62" s="3800"/>
      <c r="AH62" s="3800"/>
      <c r="AI62" s="7351"/>
      <c r="AJ62" s="7310">
        <f t="shared" si="7"/>
        <v>0</v>
      </c>
      <c r="AK62" s="3800"/>
      <c r="AL62" s="3800"/>
      <c r="AM62" s="7368"/>
      <c r="AN62" s="7301">
        <f t="shared" si="8"/>
        <v>0</v>
      </c>
      <c r="AO62" s="7351"/>
      <c r="AP62" s="7310">
        <f t="shared" si="9"/>
        <v>0</v>
      </c>
      <c r="AQ62" s="3800"/>
      <c r="AR62" s="3800"/>
      <c r="AS62" s="7351"/>
      <c r="AT62" s="7310">
        <f t="shared" si="10"/>
        <v>0</v>
      </c>
      <c r="AU62" s="3800"/>
      <c r="AV62" s="3800"/>
      <c r="AW62" s="7351"/>
      <c r="AX62" s="7310">
        <f t="shared" si="11"/>
        <v>0</v>
      </c>
      <c r="AY62" s="3800"/>
      <c r="AZ62" s="3800"/>
      <c r="BA62" s="7368"/>
      <c r="BB62" s="7301">
        <f t="shared" si="12"/>
        <v>0</v>
      </c>
      <c r="BC62" s="7380"/>
      <c r="BD62" s="7302">
        <f t="shared" si="13"/>
        <v>0</v>
      </c>
      <c r="BE62" s="7351"/>
      <c r="BF62" s="7310">
        <f t="shared" si="14"/>
        <v>0</v>
      </c>
      <c r="BG62" s="4152">
        <f t="shared" si="15"/>
        <v>0</v>
      </c>
      <c r="BH62" s="4152">
        <f t="shared" si="16"/>
        <v>0</v>
      </c>
      <c r="BI62" s="4152"/>
      <c r="BJ62" s="4152">
        <f t="shared" si="17"/>
        <v>0</v>
      </c>
      <c r="BK62" s="4152">
        <f t="shared" si="18"/>
        <v>0</v>
      </c>
      <c r="BP62" s="4152"/>
    </row>
    <row r="63" spans="1:71" x14ac:dyDescent="0.25">
      <c r="A63" s="90"/>
      <c r="B63" s="945" t="s">
        <v>75</v>
      </c>
      <c r="C63" s="7337" t="s">
        <v>50</v>
      </c>
      <c r="D63" s="7949">
        <f>+D7+D15+D23+D31</f>
        <v>2656000</v>
      </c>
      <c r="E63" s="7949">
        <f>E7+E15+E23+E31</f>
        <v>181916.62377600843</v>
      </c>
      <c r="F63" s="2237">
        <f>F7+F15+F31+F23</f>
        <v>118626.72</v>
      </c>
      <c r="G63" s="7949">
        <f>G7+G15+G23+G31</f>
        <v>226871.12212620256</v>
      </c>
      <c r="H63" s="7308">
        <f>H7+H15+H31+H23</f>
        <v>138747.00999999998</v>
      </c>
      <c r="I63" s="7952">
        <f>E63+G63</f>
        <v>408787.745902211</v>
      </c>
      <c r="J63" s="7310">
        <f t="shared" si="0"/>
        <v>257373.72999999998</v>
      </c>
      <c r="K63" s="7949">
        <f>K7+K15+K23+K31</f>
        <v>219371.65633766068</v>
      </c>
      <c r="L63" s="7308">
        <f>L7+L15+L31+L23</f>
        <v>120386.73999999999</v>
      </c>
      <c r="M63" s="7713">
        <f>E63+G63+K63</f>
        <v>628159.40223987168</v>
      </c>
      <c r="N63" s="7301">
        <f t="shared" si="1"/>
        <v>377760.47</v>
      </c>
      <c r="O63" s="7949">
        <f>O7+O15+O23+O31</f>
        <v>221871.68680986637</v>
      </c>
      <c r="P63" s="7308">
        <f>P7+P15+P31+P23</f>
        <v>136780.81</v>
      </c>
      <c r="Q63" s="7952">
        <f>M63+O63</f>
        <v>850031.08904973802</v>
      </c>
      <c r="R63" s="7310">
        <f t="shared" si="2"/>
        <v>514541.27999999997</v>
      </c>
      <c r="S63" s="7949">
        <f>S7+S15+S23+S31</f>
        <v>221871.35347653303</v>
      </c>
      <c r="T63" s="7308">
        <f>T7+T15+T31+T23</f>
        <v>149407.49</v>
      </c>
      <c r="U63" s="7952">
        <f>Q63+S63</f>
        <v>1071902.4425262711</v>
      </c>
      <c r="V63" s="7310">
        <f t="shared" si="3"/>
        <v>663948.77</v>
      </c>
      <c r="W63" s="7949">
        <f>W7+W15+W23+W31</f>
        <v>119216.68143151987</v>
      </c>
      <c r="X63" s="7308">
        <f>X7+X15+X31+X23</f>
        <v>118171.66000000002</v>
      </c>
      <c r="Y63" s="7713">
        <f t="shared" ref="Y63:Y64" si="225">O63+S63+W63</f>
        <v>562959.72171791934</v>
      </c>
      <c r="Z63" s="7301">
        <f t="shared" si="4"/>
        <v>404359.96</v>
      </c>
      <c r="AA63" s="7735">
        <f>M63+Y63</f>
        <v>1191119.1239577909</v>
      </c>
      <c r="AB63" s="7302">
        <f t="shared" si="5"/>
        <v>782120.42999999993</v>
      </c>
      <c r="AC63" s="7949">
        <f>AC7+AC15+AC23+AC31</f>
        <v>226870.7402809684</v>
      </c>
      <c r="AD63" s="7308">
        <f>AD7+AD15+AD31+AD23</f>
        <v>102074.33999999998</v>
      </c>
      <c r="AE63" s="7952">
        <f>AA63+AC63</f>
        <v>1417989.8642387593</v>
      </c>
      <c r="AF63" s="7310">
        <f t="shared" si="6"/>
        <v>884194.7699999999</v>
      </c>
      <c r="AG63" s="7949">
        <f>AG7+AG15+AG23+AG31</f>
        <v>219370.80057688672</v>
      </c>
      <c r="AH63" s="7308">
        <f>AH7+AH15+AH31+AH23</f>
        <v>144101.09</v>
      </c>
      <c r="AI63" s="7953">
        <f>AE63+AG63</f>
        <v>1637360.6648156459</v>
      </c>
      <c r="AJ63" s="7310">
        <f t="shared" si="7"/>
        <v>1028295.8599999999</v>
      </c>
      <c r="AK63" s="7949">
        <f>AK7+AK15+AK23+AK31</f>
        <v>226871.26636542848</v>
      </c>
      <c r="AL63" s="7308">
        <f>AL7+AL15+AL31+AL23</f>
        <v>155324.22999999998</v>
      </c>
      <c r="AM63" s="7713">
        <f t="shared" ref="AM63:AM64" si="226">AC63+AG63+AK63</f>
        <v>673112.80722328357</v>
      </c>
      <c r="AN63" s="7301">
        <f t="shared" si="8"/>
        <v>401499.66</v>
      </c>
      <c r="AO63" s="7952">
        <f>AI63+AK63</f>
        <v>1864231.9311810744</v>
      </c>
      <c r="AP63" s="7310">
        <f t="shared" si="9"/>
        <v>1183620.0899999999</v>
      </c>
      <c r="AQ63" s="7949">
        <f>AQ7+AQ15+AQ23+AQ31</f>
        <v>230370.87679967604</v>
      </c>
      <c r="AR63" s="7308">
        <f>AR7+AR15+AR31+AR23</f>
        <v>154023.1</v>
      </c>
      <c r="AS63" s="7953">
        <f>AO63+AQ63</f>
        <v>2094602.8079807505</v>
      </c>
      <c r="AT63" s="7310">
        <f t="shared" si="10"/>
        <v>1337643.19</v>
      </c>
      <c r="AU63" s="7949">
        <f>AU7+AU15+AU23+AU31</f>
        <v>204371.22255041587</v>
      </c>
      <c r="AV63" s="7308">
        <f>AV7+AV15+AV31+AV23</f>
        <v>143472.91</v>
      </c>
      <c r="AW63" s="7953">
        <f>AS63+AU63</f>
        <v>2298974.0305311661</v>
      </c>
      <c r="AX63" s="7310">
        <f t="shared" si="11"/>
        <v>1481116.0999999999</v>
      </c>
      <c r="AY63" s="7949">
        <f>AY7+AY15+AY23+AY31</f>
        <v>230370.90288413607</v>
      </c>
      <c r="AZ63" s="7308">
        <f>AZ7+AZ15+AZ31+AZ23</f>
        <v>163014.04</v>
      </c>
      <c r="BA63" s="7713">
        <f t="shared" ref="BA63:BA64" si="227">AQ63+AU63+AY63</f>
        <v>665113.00223422796</v>
      </c>
      <c r="BB63" s="7301">
        <f t="shared" si="12"/>
        <v>460510.05000000005</v>
      </c>
      <c r="BC63" s="7735">
        <f>AM63+BA63</f>
        <v>1338225.8094575116</v>
      </c>
      <c r="BD63" s="7302">
        <f t="shared" si="13"/>
        <v>862009.71</v>
      </c>
      <c r="BE63" s="7953">
        <f>AW63+AY63</f>
        <v>2529344.9334153021</v>
      </c>
      <c r="BF63" s="7310">
        <f t="shared" si="14"/>
        <v>1644130.14</v>
      </c>
      <c r="BG63" s="4152">
        <f t="shared" si="15"/>
        <v>0</v>
      </c>
      <c r="BH63" s="4152">
        <f t="shared" si="16"/>
        <v>0</v>
      </c>
      <c r="BI63" s="4152"/>
      <c r="BJ63" s="4152">
        <f t="shared" si="17"/>
        <v>0</v>
      </c>
      <c r="BK63" s="4152">
        <f t="shared" si="18"/>
        <v>0</v>
      </c>
      <c r="BP63" s="4152"/>
      <c r="BS63" s="4152"/>
    </row>
    <row r="64" spans="1:71" x14ac:dyDescent="0.25">
      <c r="A64" s="90"/>
      <c r="B64" s="945" t="s">
        <v>76</v>
      </c>
      <c r="C64" s="7337" t="s">
        <v>50</v>
      </c>
      <c r="D64" s="7949"/>
      <c r="E64" s="7949"/>
      <c r="F64" s="2237">
        <f>F8+F16+F32+F24</f>
        <v>74831.493000000017</v>
      </c>
      <c r="G64" s="7949"/>
      <c r="H64" s="7308">
        <f>H8+H16+H32+H24</f>
        <v>73085.039999999994</v>
      </c>
      <c r="I64" s="7952"/>
      <c r="J64" s="7310">
        <f t="shared" si="0"/>
        <v>147916.533</v>
      </c>
      <c r="K64" s="7949"/>
      <c r="L64" s="7308">
        <f>L8+L16+L32+L24</f>
        <v>91277.939999999988</v>
      </c>
      <c r="M64" s="7713"/>
      <c r="N64" s="7301">
        <f t="shared" si="1"/>
        <v>239194.473</v>
      </c>
      <c r="O64" s="7949"/>
      <c r="P64" s="7308">
        <f>P8+P16+P32+P24</f>
        <v>102874.62000000001</v>
      </c>
      <c r="Q64" s="7952"/>
      <c r="R64" s="7310">
        <f t="shared" si="2"/>
        <v>342069.09299999999</v>
      </c>
      <c r="S64" s="7949"/>
      <c r="T64" s="7308">
        <f>T8+T16+T32+T24</f>
        <v>89009.359999999986</v>
      </c>
      <c r="U64" s="7952"/>
      <c r="V64" s="7310">
        <f t="shared" si="3"/>
        <v>431078.45299999998</v>
      </c>
      <c r="W64" s="7949"/>
      <c r="X64" s="7308">
        <f>X8+X16+X32+X24</f>
        <v>83127.570000000007</v>
      </c>
      <c r="Y64" s="7713">
        <f t="shared" si="225"/>
        <v>0</v>
      </c>
      <c r="Z64" s="7301">
        <f t="shared" si="4"/>
        <v>275011.55</v>
      </c>
      <c r="AA64" s="7735"/>
      <c r="AB64" s="7302">
        <f t="shared" si="5"/>
        <v>514206.02299999999</v>
      </c>
      <c r="AC64" s="7949"/>
      <c r="AD64" s="7308">
        <f>AD8+AD16+AD32+AD24</f>
        <v>62676.91</v>
      </c>
      <c r="AE64" s="7952"/>
      <c r="AF64" s="7310">
        <f t="shared" si="6"/>
        <v>576882.93299999996</v>
      </c>
      <c r="AG64" s="7949"/>
      <c r="AH64" s="7308">
        <f>AH8+AH16+AH32+AH24</f>
        <v>73868.744999999995</v>
      </c>
      <c r="AI64" s="7951"/>
      <c r="AJ64" s="7310">
        <f t="shared" si="7"/>
        <v>650751.67799999996</v>
      </c>
      <c r="AK64" s="7949"/>
      <c r="AL64" s="7308">
        <f>AL8+AL16+AL32+AL24</f>
        <v>69474.281000000003</v>
      </c>
      <c r="AM64" s="7713">
        <f t="shared" si="226"/>
        <v>0</v>
      </c>
      <c r="AN64" s="7301">
        <f t="shared" si="8"/>
        <v>206019.93599999999</v>
      </c>
      <c r="AO64" s="7952"/>
      <c r="AP64" s="7310">
        <f t="shared" si="9"/>
        <v>720225.95899999992</v>
      </c>
      <c r="AQ64" s="7949"/>
      <c r="AR64" s="7308">
        <f>AR8+AR16+AR32+AR24</f>
        <v>53620.361000000012</v>
      </c>
      <c r="AS64" s="7951"/>
      <c r="AT64" s="7310">
        <f t="shared" si="10"/>
        <v>773846.32</v>
      </c>
      <c r="AU64" s="7949"/>
      <c r="AV64" s="7308">
        <f>AV8+AV16+AV32+AV24</f>
        <v>41740.58</v>
      </c>
      <c r="AW64" s="7951"/>
      <c r="AX64" s="7310">
        <f t="shared" si="11"/>
        <v>815586.89999999991</v>
      </c>
      <c r="AY64" s="7949"/>
      <c r="AZ64" s="7308">
        <f>AZ8+AZ16+AZ32+AZ24</f>
        <v>59773.861999999994</v>
      </c>
      <c r="BA64" s="7713">
        <f t="shared" si="227"/>
        <v>0</v>
      </c>
      <c r="BB64" s="7301">
        <f t="shared" si="12"/>
        <v>155134.80300000001</v>
      </c>
      <c r="BC64" s="7735"/>
      <c r="BD64" s="7302">
        <f t="shared" si="13"/>
        <v>361154.739</v>
      </c>
      <c r="BE64" s="7951"/>
      <c r="BF64" s="7310">
        <f t="shared" si="14"/>
        <v>875360.76199999987</v>
      </c>
      <c r="BG64" s="4152">
        <f t="shared" si="15"/>
        <v>0</v>
      </c>
      <c r="BH64" s="4152">
        <f t="shared" si="16"/>
        <v>0</v>
      </c>
      <c r="BI64" s="4152"/>
      <c r="BJ64" s="4152">
        <f t="shared" si="17"/>
        <v>0</v>
      </c>
      <c r="BK64" s="4152">
        <f t="shared" si="18"/>
        <v>0</v>
      </c>
      <c r="BP64" s="4152"/>
    </row>
    <row r="65" spans="1:70" x14ac:dyDescent="0.25">
      <c r="A65" s="90"/>
      <c r="B65" s="945" t="s">
        <v>137</v>
      </c>
      <c r="C65" s="7337" t="s">
        <v>50</v>
      </c>
      <c r="D65" s="2237">
        <f>+D9+D17+D25+D33</f>
        <v>38000</v>
      </c>
      <c r="E65" s="2237">
        <f>+E9+E17+E25+E33</f>
        <v>0</v>
      </c>
      <c r="F65" s="2237">
        <f>F9+F17+F33+F25</f>
        <v>2999.0299999999993</v>
      </c>
      <c r="G65" s="5568">
        <f>+G9+G17+G25+G33</f>
        <v>7545.4545454545469</v>
      </c>
      <c r="H65" s="7308">
        <f>H9+H17+H33+H25</f>
        <v>2929.0299999999993</v>
      </c>
      <c r="I65" s="7310">
        <f t="shared" ref="I65:I69" si="228">E65+G65</f>
        <v>7545.4545454545469</v>
      </c>
      <c r="J65" s="7310">
        <f t="shared" si="0"/>
        <v>5928.0599999999986</v>
      </c>
      <c r="K65" s="5680">
        <f>+K9+K17+K25+K33</f>
        <v>7545.4545454545469</v>
      </c>
      <c r="L65" s="7308">
        <f>L9+L17+L33+L25</f>
        <v>35.9</v>
      </c>
      <c r="M65" s="7301">
        <f t="shared" ref="M65:M67" si="229">E65+G65+K65</f>
        <v>15090.909090909094</v>
      </c>
      <c r="N65" s="7301">
        <f t="shared" si="1"/>
        <v>5963.9599999999982</v>
      </c>
      <c r="O65" s="5837">
        <f>+O9+O17+O25+O33</f>
        <v>7545.4545454545469</v>
      </c>
      <c r="P65" s="7308">
        <f>P9+P17+P33+P25</f>
        <v>38.94</v>
      </c>
      <c r="Q65" s="7310">
        <f t="shared" ref="Q65:Q69" si="230">M65+O65</f>
        <v>22636.36363636364</v>
      </c>
      <c r="R65" s="7310">
        <f t="shared" si="2"/>
        <v>6002.8999999999978</v>
      </c>
      <c r="S65" s="5893">
        <f>+S9+S17+S25+S33</f>
        <v>7545.4545454545469</v>
      </c>
      <c r="T65" s="7308">
        <f>T9+T17+T33+T25</f>
        <v>158.79</v>
      </c>
      <c r="U65" s="7310">
        <f t="shared" ref="U65:U69" si="231">Q65+S65</f>
        <v>30181.818181818187</v>
      </c>
      <c r="V65" s="7310">
        <f t="shared" si="3"/>
        <v>6161.6899999999978</v>
      </c>
      <c r="W65" s="6007">
        <f>+W9+W17+W25+W33</f>
        <v>0</v>
      </c>
      <c r="X65" s="7308">
        <f>X9+X17+X33+X25</f>
        <v>89.79</v>
      </c>
      <c r="Y65" s="7301">
        <f>O65+S65+W65</f>
        <v>15090.909090909094</v>
      </c>
      <c r="Z65" s="7301">
        <f t="shared" si="4"/>
        <v>287.52</v>
      </c>
      <c r="AA65" s="7302">
        <f>M65+Y65</f>
        <v>30181.818181818187</v>
      </c>
      <c r="AB65" s="7302">
        <f t="shared" si="5"/>
        <v>6251.4799999999977</v>
      </c>
      <c r="AC65" s="6138">
        <f>+AC9+AC17+AC25+AC33</f>
        <v>7545.4545454545469</v>
      </c>
      <c r="AD65" s="7308">
        <f>AD9+AD17+AD33+AD25</f>
        <v>2836.7</v>
      </c>
      <c r="AE65" s="7310">
        <f t="shared" ref="AE65:AE69" si="232">AA65+AC65</f>
        <v>37727.272727272735</v>
      </c>
      <c r="AF65" s="7310">
        <f t="shared" si="6"/>
        <v>9088.1799999999967</v>
      </c>
      <c r="AG65" s="6300">
        <f>+AG9+AG17+AG25+AG33</f>
        <v>7545.4545454545469</v>
      </c>
      <c r="AH65" s="7308">
        <f>AH9+AH17+AH33+AH25</f>
        <v>2943.85</v>
      </c>
      <c r="AI65" s="7310">
        <f t="shared" ref="AI65:AI69" si="233">AE65+AG65</f>
        <v>45272.727272727279</v>
      </c>
      <c r="AJ65" s="7310">
        <f t="shared" si="7"/>
        <v>12032.029999999997</v>
      </c>
      <c r="AK65" s="6549">
        <f>+AK9+AK17+AK25+AK33</f>
        <v>7545.4545454545469</v>
      </c>
      <c r="AL65" s="7308">
        <f>AL9+AL17+AL33+AL25</f>
        <v>2712.14</v>
      </c>
      <c r="AM65" s="7301">
        <f>AC65+AG65+AK65</f>
        <v>22636.36363636364</v>
      </c>
      <c r="AN65" s="7301">
        <f t="shared" si="8"/>
        <v>8492.6899999999987</v>
      </c>
      <c r="AO65" s="7310">
        <f t="shared" ref="AO65:AO69" si="234">AI65+AK65</f>
        <v>52818.181818181823</v>
      </c>
      <c r="AP65" s="7310">
        <f t="shared" si="9"/>
        <v>14744.169999999996</v>
      </c>
      <c r="AQ65" s="6643">
        <f>+AQ9+AQ17+AQ25+AQ33</f>
        <v>7545.4545454545469</v>
      </c>
      <c r="AR65" s="7308">
        <f>AR9+AR17+AR33+AR25</f>
        <v>2842.54</v>
      </c>
      <c r="AS65" s="7310">
        <f t="shared" ref="AS65:AS69" si="235">AO65+AQ65</f>
        <v>60363.636363636368</v>
      </c>
      <c r="AT65" s="7310">
        <f t="shared" si="10"/>
        <v>17586.709999999995</v>
      </c>
      <c r="AU65" s="6815">
        <f>+AU9+AU17+AU25+AU33</f>
        <v>7545.4545454545469</v>
      </c>
      <c r="AV65" s="7308">
        <f>AV9+AV17+AV33+AV25</f>
        <v>0</v>
      </c>
      <c r="AW65" s="7310">
        <f t="shared" ref="AW65:AW69" si="236">AS65+AU65</f>
        <v>67909.090909090912</v>
      </c>
      <c r="AX65" s="7310">
        <f t="shared" si="11"/>
        <v>17586.709999999995</v>
      </c>
      <c r="AY65" s="6957">
        <f>+AY9+AY17+AY25+AY33</f>
        <v>7545.4545454545469</v>
      </c>
      <c r="AZ65" s="7308">
        <f>AZ9+AZ17+AZ33+AZ25</f>
        <v>2784.3999999999996</v>
      </c>
      <c r="BA65" s="7301">
        <f>AQ65+AU65+AY65</f>
        <v>22636.36363636364</v>
      </c>
      <c r="BB65" s="7301">
        <f t="shared" si="12"/>
        <v>5626.94</v>
      </c>
      <c r="BC65" s="7302">
        <f t="shared" ref="BC65:BC68" si="237">AM65+BA65</f>
        <v>45272.727272727279</v>
      </c>
      <c r="BD65" s="7302">
        <f t="shared" si="13"/>
        <v>14119.629999999997</v>
      </c>
      <c r="BE65" s="7310">
        <f t="shared" ref="BE65:BE69" si="238">AW65+AY65</f>
        <v>75454.545454545456</v>
      </c>
      <c r="BF65" s="7310">
        <f t="shared" si="14"/>
        <v>20371.109999999993</v>
      </c>
      <c r="BG65" s="4152">
        <f t="shared" si="15"/>
        <v>0</v>
      </c>
      <c r="BH65" s="4152">
        <f t="shared" si="16"/>
        <v>0</v>
      </c>
      <c r="BI65" s="4152"/>
      <c r="BJ65" s="4152">
        <f t="shared" si="17"/>
        <v>0</v>
      </c>
      <c r="BK65" s="4152">
        <f t="shared" si="18"/>
        <v>0</v>
      </c>
      <c r="BP65" s="4152"/>
    </row>
    <row r="66" spans="1:70" s="7316" customFormat="1" x14ac:dyDescent="0.25">
      <c r="A66" s="90"/>
      <c r="B66" s="7350" t="s">
        <v>2296</v>
      </c>
      <c r="C66" s="7337" t="s">
        <v>50</v>
      </c>
      <c r="D66" s="7040"/>
      <c r="E66" s="7040">
        <f>E10+E18+E26+E34</f>
        <v>0</v>
      </c>
      <c r="F66" s="7040">
        <f t="shared" ref="F66:H66" si="239">F10+F18+F26+F34</f>
        <v>0</v>
      </c>
      <c r="G66" s="7040">
        <f t="shared" si="239"/>
        <v>0</v>
      </c>
      <c r="H66" s="7040">
        <f t="shared" si="239"/>
        <v>0</v>
      </c>
      <c r="I66" s="7044"/>
      <c r="J66" s="7310">
        <f t="shared" si="0"/>
        <v>0</v>
      </c>
      <c r="K66" s="7040">
        <f t="shared" ref="K66:L66" si="240">K10+K18+K26+K34</f>
        <v>0</v>
      </c>
      <c r="L66" s="7040">
        <f t="shared" si="240"/>
        <v>0</v>
      </c>
      <c r="M66" s="7045"/>
      <c r="N66" s="7301">
        <f t="shared" si="1"/>
        <v>0</v>
      </c>
      <c r="O66" s="7040">
        <f t="shared" ref="O66:P66" si="241">O10+O18+O26+O34</f>
        <v>0</v>
      </c>
      <c r="P66" s="7040">
        <f t="shared" si="241"/>
        <v>0</v>
      </c>
      <c r="Q66" s="7044"/>
      <c r="R66" s="7310">
        <f t="shared" si="2"/>
        <v>0</v>
      </c>
      <c r="S66" s="7040">
        <f t="shared" ref="S66:T66" si="242">S10+S18+S26+S34</f>
        <v>0</v>
      </c>
      <c r="T66" s="7040">
        <f t="shared" si="242"/>
        <v>0</v>
      </c>
      <c r="U66" s="7044"/>
      <c r="V66" s="7310">
        <f t="shared" si="3"/>
        <v>0</v>
      </c>
      <c r="W66" s="7040">
        <f t="shared" ref="W66:X66" si="243">W10+W18+W26+W34</f>
        <v>0</v>
      </c>
      <c r="X66" s="7040">
        <f t="shared" si="243"/>
        <v>0</v>
      </c>
      <c r="Y66" s="7045"/>
      <c r="Z66" s="7301">
        <f t="shared" si="4"/>
        <v>0</v>
      </c>
      <c r="AA66" s="7379"/>
      <c r="AB66" s="7302">
        <f t="shared" si="5"/>
        <v>0</v>
      </c>
      <c r="AC66" s="7040">
        <f t="shared" ref="AC66:AD66" si="244">AC10+AC18+AC26+AC34</f>
        <v>0</v>
      </c>
      <c r="AD66" s="7040">
        <f t="shared" si="244"/>
        <v>0</v>
      </c>
      <c r="AE66" s="7044"/>
      <c r="AF66" s="7310">
        <f t="shared" si="6"/>
        <v>0</v>
      </c>
      <c r="AG66" s="7040">
        <f t="shared" ref="AG66:AH66" si="245">AG10+AG18+AG26+AG34</f>
        <v>0</v>
      </c>
      <c r="AH66" s="7040">
        <f t="shared" si="245"/>
        <v>0</v>
      </c>
      <c r="AI66" s="7044"/>
      <c r="AJ66" s="7310">
        <f t="shared" si="7"/>
        <v>0</v>
      </c>
      <c r="AK66" s="7040">
        <f t="shared" ref="AK66:AL66" si="246">AK10+AK18+AK26+AK34</f>
        <v>0</v>
      </c>
      <c r="AL66" s="7040">
        <f t="shared" si="246"/>
        <v>0</v>
      </c>
      <c r="AM66" s="7045"/>
      <c r="AN66" s="7301">
        <f t="shared" si="8"/>
        <v>0</v>
      </c>
      <c r="AO66" s="7044"/>
      <c r="AP66" s="7310">
        <f t="shared" si="9"/>
        <v>0</v>
      </c>
      <c r="AQ66" s="7040">
        <f t="shared" ref="AQ66:AR66" si="247">AQ10+AQ18+AQ26+AQ34</f>
        <v>0</v>
      </c>
      <c r="AR66" s="7040">
        <f t="shared" si="247"/>
        <v>0</v>
      </c>
      <c r="AS66" s="7044"/>
      <c r="AT66" s="7310">
        <f t="shared" si="10"/>
        <v>0</v>
      </c>
      <c r="AU66" s="7040">
        <f t="shared" ref="AU66:AV66" si="248">AU10+AU18+AU26+AU34</f>
        <v>0</v>
      </c>
      <c r="AV66" s="7040">
        <f t="shared" si="248"/>
        <v>2022.0800000000002</v>
      </c>
      <c r="AW66" s="7044"/>
      <c r="AX66" s="7310">
        <f t="shared" si="11"/>
        <v>2022.0800000000002</v>
      </c>
      <c r="AY66" s="7040">
        <f t="shared" ref="AY66:AZ66" si="249">AY10+AY18+AY26+AY34</f>
        <v>0</v>
      </c>
      <c r="AZ66" s="7040">
        <f t="shared" si="249"/>
        <v>2066.8999999999996</v>
      </c>
      <c r="BA66" s="7045"/>
      <c r="BB66" s="7301">
        <f t="shared" si="12"/>
        <v>4088.9799999999996</v>
      </c>
      <c r="BC66" s="7379"/>
      <c r="BD66" s="7302">
        <f t="shared" si="13"/>
        <v>4088.9799999999996</v>
      </c>
      <c r="BE66" s="7044"/>
      <c r="BF66" s="7310">
        <f t="shared" si="14"/>
        <v>4088.9799999999996</v>
      </c>
      <c r="BG66" s="4152"/>
      <c r="BH66" s="4152"/>
      <c r="BI66" s="4152"/>
      <c r="BJ66" s="4152"/>
      <c r="BK66" s="4152"/>
      <c r="BP66" s="4152"/>
    </row>
    <row r="67" spans="1:70" x14ac:dyDescent="0.25">
      <c r="A67" s="144"/>
      <c r="B67" s="945" t="s">
        <v>2294</v>
      </c>
      <c r="C67" s="7337" t="s">
        <v>50</v>
      </c>
      <c r="D67" s="1819">
        <f>+D11+D19+D27+D35</f>
        <v>0</v>
      </c>
      <c r="E67" s="2237">
        <f>+E11+E19+E27+E35</f>
        <v>0</v>
      </c>
      <c r="F67" s="2237">
        <f>F11+F19+F35+F27</f>
        <v>1961.5</v>
      </c>
      <c r="G67" s="5568">
        <f>+G11+G19+G27+G35</f>
        <v>0</v>
      </c>
      <c r="H67" s="7308">
        <f>H11+H19+H35+H27</f>
        <v>0</v>
      </c>
      <c r="I67" s="7310">
        <f t="shared" si="228"/>
        <v>0</v>
      </c>
      <c r="J67" s="7310">
        <f t="shared" si="0"/>
        <v>1961.5</v>
      </c>
      <c r="K67" s="5680">
        <f>+K11+K19+K27+K35</f>
        <v>0</v>
      </c>
      <c r="L67" s="7308">
        <f>L11+L19+L35+L27</f>
        <v>3983.52</v>
      </c>
      <c r="M67" s="7301">
        <f t="shared" si="229"/>
        <v>0</v>
      </c>
      <c r="N67" s="7301">
        <f t="shared" si="1"/>
        <v>5945.02</v>
      </c>
      <c r="O67" s="5837">
        <f>+O11+O19+O27+O35</f>
        <v>0</v>
      </c>
      <c r="P67" s="7308">
        <f>P11+P19+P35+P27</f>
        <v>2089.34</v>
      </c>
      <c r="Q67" s="7310">
        <f t="shared" si="230"/>
        <v>0</v>
      </c>
      <c r="R67" s="7310">
        <f t="shared" si="2"/>
        <v>8034.3600000000006</v>
      </c>
      <c r="S67" s="5893">
        <f>+S11+S19+S27+S35</f>
        <v>0</v>
      </c>
      <c r="T67" s="7308">
        <f>T11+T19+T35+T27</f>
        <v>3380.88</v>
      </c>
      <c r="U67" s="7310">
        <f t="shared" si="231"/>
        <v>0</v>
      </c>
      <c r="V67" s="7310">
        <f t="shared" si="3"/>
        <v>11415.240000000002</v>
      </c>
      <c r="W67" s="6007">
        <f>+W11+W19+W27+W35</f>
        <v>0</v>
      </c>
      <c r="X67" s="7308">
        <f>X11+X19+X35+X27</f>
        <v>1654.1000000000001</v>
      </c>
      <c r="Y67" s="7301">
        <f t="shared" ref="Y67:Y68" si="250">O67+S67+W67</f>
        <v>0</v>
      </c>
      <c r="Z67" s="7301">
        <f t="shared" si="4"/>
        <v>7124.3200000000006</v>
      </c>
      <c r="AA67" s="7302">
        <f t="shared" ref="AA67:AA68" si="251">M67+Y67</f>
        <v>0</v>
      </c>
      <c r="AB67" s="7302">
        <f t="shared" si="5"/>
        <v>13069.34</v>
      </c>
      <c r="AC67" s="6138">
        <f>+AC11+AC19+AC27+AC35</f>
        <v>0</v>
      </c>
      <c r="AD67" s="7308">
        <f>AD11+AD19+AD35+AD27</f>
        <v>5368</v>
      </c>
      <c r="AE67" s="7310">
        <f t="shared" si="232"/>
        <v>0</v>
      </c>
      <c r="AF67" s="7310">
        <f t="shared" si="6"/>
        <v>18437.34</v>
      </c>
      <c r="AG67" s="6300">
        <f>+AG11+AG19+AG27+AG35</f>
        <v>0</v>
      </c>
      <c r="AH67" s="7308">
        <f>AH11+AH19+AH35+AH27</f>
        <v>0</v>
      </c>
      <c r="AI67" s="7310">
        <f t="shared" si="233"/>
        <v>0</v>
      </c>
      <c r="AJ67" s="7310">
        <f t="shared" si="7"/>
        <v>18437.34</v>
      </c>
      <c r="AK67" s="6549">
        <f>+AK11+AK19+AK27+AK35</f>
        <v>0</v>
      </c>
      <c r="AL67" s="7308">
        <f>AL11+AL19+AL35+AL27</f>
        <v>244.1</v>
      </c>
      <c r="AM67" s="7301">
        <f t="shared" ref="AM67:AM69" si="252">AC67+AG67+AK67</f>
        <v>0</v>
      </c>
      <c r="AN67" s="7301">
        <f t="shared" si="8"/>
        <v>5612.1</v>
      </c>
      <c r="AO67" s="7310">
        <f t="shared" si="234"/>
        <v>0</v>
      </c>
      <c r="AP67" s="7310">
        <f t="shared" si="9"/>
        <v>18681.439999999999</v>
      </c>
      <c r="AQ67" s="6643">
        <f>+AQ11+AQ19+AQ27+AQ35</f>
        <v>0</v>
      </c>
      <c r="AR67" s="7308">
        <f>AR11+AR19+AR35+AR27</f>
        <v>0</v>
      </c>
      <c r="AS67" s="7310">
        <f t="shared" si="235"/>
        <v>0</v>
      </c>
      <c r="AT67" s="7310">
        <f t="shared" si="10"/>
        <v>18681.439999999999</v>
      </c>
      <c r="AU67" s="6815">
        <f>+AU11+AU19+AU27+AU35</f>
        <v>0</v>
      </c>
      <c r="AV67" s="7308">
        <f>AV11+AV19+AV35+AV27</f>
        <v>311.56</v>
      </c>
      <c r="AW67" s="7310">
        <f t="shared" si="236"/>
        <v>0</v>
      </c>
      <c r="AX67" s="7310">
        <f t="shared" si="11"/>
        <v>18993</v>
      </c>
      <c r="AY67" s="6957">
        <f>+AY11+AY19+AY27+AY35</f>
        <v>0</v>
      </c>
      <c r="AZ67" s="7308">
        <f>AZ11+AZ19+AZ35+AZ27</f>
        <v>0</v>
      </c>
      <c r="BA67" s="7301">
        <f t="shared" ref="BA67:BA69" si="253">AQ67+AU67+AY67</f>
        <v>0</v>
      </c>
      <c r="BB67" s="7301">
        <f t="shared" si="12"/>
        <v>311.56</v>
      </c>
      <c r="BC67" s="7302">
        <f t="shared" si="237"/>
        <v>0</v>
      </c>
      <c r="BD67" s="7302">
        <f t="shared" si="13"/>
        <v>5923.6600000000008</v>
      </c>
      <c r="BE67" s="7310">
        <f t="shared" si="238"/>
        <v>0</v>
      </c>
      <c r="BF67" s="7310">
        <f t="shared" si="14"/>
        <v>18993</v>
      </c>
      <c r="BG67" s="4152">
        <f t="shared" si="15"/>
        <v>0</v>
      </c>
      <c r="BH67" s="4152">
        <f t="shared" si="16"/>
        <v>0</v>
      </c>
      <c r="BI67" s="4152"/>
      <c r="BJ67" s="4152">
        <f t="shared" si="17"/>
        <v>0</v>
      </c>
      <c r="BK67" s="4152">
        <f t="shared" si="18"/>
        <v>0</v>
      </c>
      <c r="BP67" s="4152"/>
    </row>
    <row r="68" spans="1:70" x14ac:dyDescent="0.25">
      <c r="A68" s="90"/>
      <c r="B68" s="945" t="s">
        <v>2295</v>
      </c>
      <c r="C68" s="7337" t="s">
        <v>50</v>
      </c>
      <c r="D68" s="3801">
        <f>+D12+D20+D28+D36</f>
        <v>16000</v>
      </c>
      <c r="E68" s="2237">
        <f>+E12+E20+E28+E36</f>
        <v>83.3333333333333</v>
      </c>
      <c r="F68" s="2237">
        <f>F12+F20+F36+F28</f>
        <v>4003.85</v>
      </c>
      <c r="G68" s="5568">
        <f>+G12+G20+G28+G36</f>
        <v>2083</v>
      </c>
      <c r="H68" s="7308">
        <f>H12+H20+H36+H28</f>
        <v>2704.9500000000007</v>
      </c>
      <c r="I68" s="7310">
        <f t="shared" si="228"/>
        <v>2166.3333333333335</v>
      </c>
      <c r="J68" s="7310">
        <f t="shared" si="0"/>
        <v>6708.8000000000011</v>
      </c>
      <c r="K68" s="5680">
        <f>+K12+K20+K28+K36</f>
        <v>2083</v>
      </c>
      <c r="L68" s="7308">
        <f>L12+L20+L36+L28</f>
        <v>2820.29</v>
      </c>
      <c r="M68" s="7301">
        <f t="shared" ref="M68" si="254">E68+G68+K68</f>
        <v>4249.3333333333339</v>
      </c>
      <c r="N68" s="7301">
        <f t="shared" si="1"/>
        <v>9529.09</v>
      </c>
      <c r="O68" s="5837">
        <f>+O12+O20+O28+O36</f>
        <v>2083</v>
      </c>
      <c r="P68" s="7308">
        <f>P12+P20+P36+P28</f>
        <v>1840.1200000000001</v>
      </c>
      <c r="Q68" s="7310">
        <f t="shared" si="230"/>
        <v>6332.3333333333339</v>
      </c>
      <c r="R68" s="7310">
        <f t="shared" si="2"/>
        <v>11369.210000000001</v>
      </c>
      <c r="S68" s="5893">
        <f>+S12+S20+S28+S36</f>
        <v>2083.3333333333335</v>
      </c>
      <c r="T68" s="7308">
        <f>T12+T20+T36+T28</f>
        <v>4362.21</v>
      </c>
      <c r="U68" s="7310">
        <f t="shared" si="231"/>
        <v>8415.6666666666679</v>
      </c>
      <c r="V68" s="7310">
        <f t="shared" si="3"/>
        <v>15731.420000000002</v>
      </c>
      <c r="W68" s="6007">
        <f>+W12+W20+W28+W36</f>
        <v>2083.3333333333335</v>
      </c>
      <c r="X68" s="7308">
        <f>X12+X20+X36+X28</f>
        <v>4222.21</v>
      </c>
      <c r="Y68" s="7301">
        <f t="shared" si="250"/>
        <v>6249.6666666666679</v>
      </c>
      <c r="Z68" s="7301">
        <f t="shared" si="4"/>
        <v>10424.540000000001</v>
      </c>
      <c r="AA68" s="7302">
        <f t="shared" si="251"/>
        <v>10499.000000000002</v>
      </c>
      <c r="AB68" s="7302">
        <f t="shared" si="5"/>
        <v>19953.63</v>
      </c>
      <c r="AC68" s="6138">
        <f>+AC12+AC20+AC28+AC36</f>
        <v>2083.3333333333335</v>
      </c>
      <c r="AD68" s="7308">
        <f>AD12+AD20+AD36+AD28</f>
        <v>601.74</v>
      </c>
      <c r="AE68" s="7310">
        <f t="shared" si="232"/>
        <v>12582.333333333336</v>
      </c>
      <c r="AF68" s="7310">
        <f t="shared" si="6"/>
        <v>20555.370000000003</v>
      </c>
      <c r="AG68" s="6300">
        <f>+AG12+AG20+AG28+AG36</f>
        <v>2083.3333333333335</v>
      </c>
      <c r="AH68" s="7308">
        <f>AH12+AH20+AH36+AH28</f>
        <v>0</v>
      </c>
      <c r="AI68" s="7310">
        <f t="shared" si="233"/>
        <v>14665.66666666667</v>
      </c>
      <c r="AJ68" s="7310">
        <f t="shared" si="7"/>
        <v>20555.370000000003</v>
      </c>
      <c r="AK68" s="6549">
        <f>+AK12+AK20+AK28+AK36</f>
        <v>2083.3333333333335</v>
      </c>
      <c r="AL68" s="7308">
        <f>AL12+AL20+AL36+AL28</f>
        <v>2959.9700000000003</v>
      </c>
      <c r="AM68" s="7301">
        <f t="shared" si="252"/>
        <v>6250</v>
      </c>
      <c r="AN68" s="7301">
        <f t="shared" si="8"/>
        <v>3561.71</v>
      </c>
      <c r="AO68" s="7310">
        <f t="shared" si="234"/>
        <v>16749.000000000004</v>
      </c>
      <c r="AP68" s="7310">
        <f t="shared" si="9"/>
        <v>23515.340000000004</v>
      </c>
      <c r="AQ68" s="6643">
        <f>+AQ12+AQ20+AQ28+AQ36</f>
        <v>2083.3333333333335</v>
      </c>
      <c r="AR68" s="7308">
        <f>AR12+AR20+AR36+AR28</f>
        <v>6204.6100000000006</v>
      </c>
      <c r="AS68" s="7310">
        <f t="shared" si="235"/>
        <v>18832.333333333336</v>
      </c>
      <c r="AT68" s="7310">
        <f t="shared" si="10"/>
        <v>29719.950000000004</v>
      </c>
      <c r="AU68" s="6815">
        <f>+AU12+AU20+AU28+AU36</f>
        <v>2083.3333333333335</v>
      </c>
      <c r="AV68" s="7308">
        <f>AV12+AV20+AV36+AV28</f>
        <v>3912.1100000000006</v>
      </c>
      <c r="AW68" s="7310">
        <f t="shared" si="236"/>
        <v>20915.666666666668</v>
      </c>
      <c r="AX68" s="7310">
        <f t="shared" si="11"/>
        <v>33632.060000000005</v>
      </c>
      <c r="AY68" s="6957">
        <f>+AY12+AY20+AY28+AY36</f>
        <v>2083.3333333333335</v>
      </c>
      <c r="AZ68" s="7308">
        <f>AZ12+AZ20+AZ36+AZ28</f>
        <v>3740.4</v>
      </c>
      <c r="BA68" s="7301">
        <f t="shared" si="253"/>
        <v>6250</v>
      </c>
      <c r="BB68" s="7301">
        <f t="shared" si="12"/>
        <v>13857.12</v>
      </c>
      <c r="BC68" s="7302">
        <f t="shared" si="237"/>
        <v>12500</v>
      </c>
      <c r="BD68" s="7302">
        <f t="shared" si="13"/>
        <v>17418.830000000002</v>
      </c>
      <c r="BE68" s="7310">
        <f t="shared" si="238"/>
        <v>22999</v>
      </c>
      <c r="BF68" s="7310">
        <f t="shared" si="14"/>
        <v>37372.460000000006</v>
      </c>
      <c r="BG68" s="4152">
        <f t="shared" si="15"/>
        <v>0</v>
      </c>
      <c r="BH68" s="4152">
        <f t="shared" si="16"/>
        <v>0</v>
      </c>
      <c r="BI68" s="4152"/>
      <c r="BJ68" s="4152">
        <f t="shared" si="17"/>
        <v>0</v>
      </c>
      <c r="BK68" s="4152">
        <f t="shared" si="18"/>
        <v>0</v>
      </c>
      <c r="BP68" s="4152"/>
    </row>
    <row r="69" spans="1:70" x14ac:dyDescent="0.25">
      <c r="A69" s="90"/>
      <c r="B69" s="945" t="s">
        <v>2</v>
      </c>
      <c r="C69" s="7337" t="s">
        <v>50</v>
      </c>
      <c r="D69" s="1677">
        <f>+D37+D29+D21+D13</f>
        <v>2710000</v>
      </c>
      <c r="E69" s="1820">
        <f t="shared" ref="E69:F69" si="255">SUM(E63:E68)</f>
        <v>181999.95710934178</v>
      </c>
      <c r="F69" s="1820">
        <f t="shared" si="255"/>
        <v>202422.59300000002</v>
      </c>
      <c r="G69" s="1820">
        <f t="shared" ref="G69:H69" si="256">SUM(G63:G68)</f>
        <v>236499.57667165712</v>
      </c>
      <c r="H69" s="1820">
        <f t="shared" si="256"/>
        <v>217466.03</v>
      </c>
      <c r="I69" s="7311">
        <f t="shared" si="228"/>
        <v>418499.5337809989</v>
      </c>
      <c r="J69" s="7310">
        <f t="shared" si="0"/>
        <v>419888.62300000002</v>
      </c>
      <c r="K69" s="1820">
        <f t="shared" ref="K69:L69" si="257">SUM(K63:K68)</f>
        <v>229000.11088311524</v>
      </c>
      <c r="L69" s="1820">
        <f t="shared" si="257"/>
        <v>218504.38999999998</v>
      </c>
      <c r="M69" s="7303">
        <f>E69+G69+K69</f>
        <v>647499.64466411411</v>
      </c>
      <c r="N69" s="7301">
        <f t="shared" si="1"/>
        <v>638393.01300000004</v>
      </c>
      <c r="O69" s="1820">
        <f t="shared" ref="O69:P69" si="258">SUM(O63:O68)</f>
        <v>231500.14135532093</v>
      </c>
      <c r="P69" s="1820">
        <f t="shared" si="258"/>
        <v>243623.83</v>
      </c>
      <c r="Q69" s="7311">
        <f t="shared" si="230"/>
        <v>878999.78601943504</v>
      </c>
      <c r="R69" s="7310">
        <f t="shared" si="2"/>
        <v>882016.84299999999</v>
      </c>
      <c r="S69" s="1820">
        <f t="shared" ref="S69:T69" si="259">SUM(S63:S68)</f>
        <v>231500.14135532093</v>
      </c>
      <c r="T69" s="1820">
        <f t="shared" si="259"/>
        <v>246318.72999999998</v>
      </c>
      <c r="U69" s="7311">
        <f t="shared" si="231"/>
        <v>1110499.927374756</v>
      </c>
      <c r="V69" s="7310">
        <f t="shared" si="3"/>
        <v>1128335.5729999999</v>
      </c>
      <c r="W69" s="1820">
        <f t="shared" ref="W69:X69" si="260">SUM(W63:W68)</f>
        <v>121300.0147648532</v>
      </c>
      <c r="X69" s="1820">
        <f t="shared" si="260"/>
        <v>207265.33000000005</v>
      </c>
      <c r="Y69" s="7303">
        <f t="shared" ref="Y69" si="261">O69+S69+W69</f>
        <v>584300.29747549503</v>
      </c>
      <c r="Z69" s="7301">
        <f t="shared" si="4"/>
        <v>697207.89</v>
      </c>
      <c r="AA69" s="513">
        <f>M69+Y69</f>
        <v>1231799.9421396093</v>
      </c>
      <c r="AB69" s="7302">
        <f t="shared" si="5"/>
        <v>1335600.9029999999</v>
      </c>
      <c r="AC69" s="1820">
        <f t="shared" ref="AC69:AD69" si="262">SUM(AC63:AC68)</f>
        <v>236499.5281597563</v>
      </c>
      <c r="AD69" s="1820">
        <f t="shared" si="262"/>
        <v>173557.69</v>
      </c>
      <c r="AE69" s="7311">
        <f t="shared" si="232"/>
        <v>1468299.4702993655</v>
      </c>
      <c r="AF69" s="7310">
        <f t="shared" si="6"/>
        <v>1509158.5929999999</v>
      </c>
      <c r="AG69" s="1820">
        <f t="shared" ref="AG69:AH69" si="263">SUM(AG63:AG68)</f>
        <v>228999.58845567462</v>
      </c>
      <c r="AH69" s="1820">
        <f t="shared" si="263"/>
        <v>220913.685</v>
      </c>
      <c r="AI69" s="7311">
        <f t="shared" si="233"/>
        <v>1697299.0587550402</v>
      </c>
      <c r="AJ69" s="7311">
        <f t="shared" ref="AJ69" si="264">AF69+AH69</f>
        <v>1730072.2779999999</v>
      </c>
      <c r="AK69" s="1820">
        <f t="shared" ref="AK69:AL69" si="265">SUM(AK63:AK68)</f>
        <v>236500.05424421639</v>
      </c>
      <c r="AL69" s="1820">
        <f t="shared" si="265"/>
        <v>230714.72100000002</v>
      </c>
      <c r="AM69" s="7303">
        <f t="shared" si="252"/>
        <v>701999.17085964733</v>
      </c>
      <c r="AN69" s="7301">
        <f t="shared" si="8"/>
        <v>625186.09600000002</v>
      </c>
      <c r="AO69" s="7311">
        <f t="shared" si="234"/>
        <v>1933799.1129992565</v>
      </c>
      <c r="AP69" s="7310">
        <f t="shared" si="9"/>
        <v>1960786.9989999998</v>
      </c>
      <c r="AQ69" s="1820">
        <f t="shared" ref="AQ69:AR69" si="266">SUM(AQ63:AQ68)</f>
        <v>239999.66467846395</v>
      </c>
      <c r="AR69" s="1820">
        <f t="shared" si="266"/>
        <v>216690.61100000003</v>
      </c>
      <c r="AS69" s="7311">
        <f t="shared" si="235"/>
        <v>2173798.7776777204</v>
      </c>
      <c r="AT69" s="7310">
        <f t="shared" si="10"/>
        <v>2177477.61</v>
      </c>
      <c r="AU69" s="1820">
        <f t="shared" ref="AU69:AV69" si="267">SUM(AU63:AU68)</f>
        <v>214000.01042920377</v>
      </c>
      <c r="AV69" s="1820">
        <f t="shared" si="267"/>
        <v>191459.24</v>
      </c>
      <c r="AW69" s="7311">
        <f t="shared" si="236"/>
        <v>2387798.7881069244</v>
      </c>
      <c r="AX69" s="7310">
        <f t="shared" si="11"/>
        <v>2368936.8499999996</v>
      </c>
      <c r="AY69" s="1820">
        <f t="shared" ref="AY69:AZ69" si="268">SUM(AY63:AY68)</f>
        <v>239999.69076292397</v>
      </c>
      <c r="AZ69" s="1820">
        <f t="shared" si="268"/>
        <v>231379.60199999998</v>
      </c>
      <c r="BA69" s="7303">
        <f t="shared" si="253"/>
        <v>693999.36587059172</v>
      </c>
      <c r="BB69" s="7301">
        <f t="shared" si="12"/>
        <v>639529.45299999998</v>
      </c>
      <c r="BC69" s="513">
        <f>AM69+BA69</f>
        <v>1395998.5367302392</v>
      </c>
      <c r="BD69" s="7302">
        <f t="shared" si="13"/>
        <v>1264715.5490000001</v>
      </c>
      <c r="BE69" s="7311">
        <f t="shared" si="238"/>
        <v>2627798.4788698484</v>
      </c>
      <c r="BF69" s="7345">
        <f t="shared" si="14"/>
        <v>2600316.4519999996</v>
      </c>
      <c r="BG69" s="4152">
        <f t="shared" si="15"/>
        <v>0</v>
      </c>
      <c r="BH69" s="4152">
        <f t="shared" si="16"/>
        <v>0</v>
      </c>
      <c r="BI69" s="4152"/>
      <c r="BJ69" s="4152">
        <f t="shared" si="17"/>
        <v>0</v>
      </c>
      <c r="BK69" s="4152">
        <f t="shared" si="18"/>
        <v>0</v>
      </c>
      <c r="BP69" s="4152"/>
    </row>
    <row r="70" spans="1:70" x14ac:dyDescent="0.25">
      <c r="A70" s="90"/>
      <c r="B70" s="3799" t="s">
        <v>1060</v>
      </c>
      <c r="C70" s="194" t="s">
        <v>49</v>
      </c>
      <c r="D70" s="761"/>
      <c r="E70" s="197"/>
      <c r="F70" s="197">
        <f>+((F63+F65+F67+F68+F66)/F69)*100</f>
        <v>63.032045044497579</v>
      </c>
      <c r="G70" s="197"/>
      <c r="H70" s="197">
        <f>+((H63+H65+H67+H68+H66)/H69)*100</f>
        <v>66.392433797591281</v>
      </c>
      <c r="I70" s="3802"/>
      <c r="J70" s="3802">
        <f>+((J63+J65+J67+J68)/J69)*100</f>
        <v>64.772436094321122</v>
      </c>
      <c r="K70" s="197"/>
      <c r="L70" s="197">
        <f>+((L63+L65+L67+L68+L66)/L69)*100</f>
        <v>58.226038387604021</v>
      </c>
      <c r="M70" s="588"/>
      <c r="N70" s="588">
        <f>+((N63+N65+N67+N68+N66)/N69)*100</f>
        <v>62.531784006226275</v>
      </c>
      <c r="O70" s="197"/>
      <c r="P70" s="197">
        <f>+((P63+P65+P67+P68+P66)/P69)*100</f>
        <v>57.773170219021672</v>
      </c>
      <c r="Q70" s="3802"/>
      <c r="R70" s="3802">
        <f>+((R63+R65+R67+R68)/R69)*100</f>
        <v>61.217396729463594</v>
      </c>
      <c r="S70" s="197"/>
      <c r="T70" s="197">
        <f>+((T63+T65+T67+T68+T66)/T69)*100</f>
        <v>63.864152758501156</v>
      </c>
      <c r="U70" s="3802"/>
      <c r="V70" s="3802">
        <f>+((V63+V65+V67+V68)/V69)*100</f>
        <v>61.795190782308175</v>
      </c>
      <c r="W70" s="197"/>
      <c r="X70" s="197">
        <f>+((X63+X65+X67+X68+X66)/X69)*100</f>
        <v>59.893162064297002</v>
      </c>
      <c r="Y70" s="588"/>
      <c r="Z70" s="588">
        <f>+((Z63+Z65+Z67+Z68+Z66)/Z69)*100</f>
        <v>60.555301518461015</v>
      </c>
      <c r="AA70" s="7381"/>
      <c r="AB70" s="7381">
        <f>+((AB63+AB65+AB67+AB68+AB66)/AB69)*100</f>
        <v>61.500024307785296</v>
      </c>
      <c r="AC70" s="197"/>
      <c r="AD70" s="197">
        <f>+((AD63+AD65+AD67+AD68+AD66)/AD69)*100</f>
        <v>63.886987663871295</v>
      </c>
      <c r="AE70" s="3802"/>
      <c r="AF70" s="3802">
        <f>+((AF63+AF65+AF67+AF68)/AF69)*100</f>
        <v>61.774532134940443</v>
      </c>
      <c r="AG70" s="197"/>
      <c r="AH70" s="197">
        <f>+((AH63+AH65+AH67+AH68+AH66)/AH69)*100</f>
        <v>66.562168839834442</v>
      </c>
      <c r="AI70" s="3802"/>
      <c r="AJ70" s="3802">
        <f>+((AJ63+AJ65+AJ67+AJ68)/AJ69)*100</f>
        <v>62.38586755737844</v>
      </c>
      <c r="AK70" s="197"/>
      <c r="AL70" s="197">
        <f>+((AL63+AL65+AL67+AL68+AL66)/AL69)*100</f>
        <v>69.887365358017178</v>
      </c>
      <c r="AM70" s="588"/>
      <c r="AN70" s="588">
        <f>+((AN63+AN65+AN67+AN68+AN66)/AN69)*100</f>
        <v>67.046622226864102</v>
      </c>
      <c r="AO70" s="3802"/>
      <c r="AP70" s="3802">
        <f>+((AP63+AP65+AP67+AP68)/AP69)*100</f>
        <v>63.268526394385781</v>
      </c>
      <c r="AQ70" s="197"/>
      <c r="AR70" s="197">
        <f>+((AR63+AR65+AR67+AR68+AR66)/AR69)*100</f>
        <v>75.254875717711627</v>
      </c>
      <c r="AS70" s="3802"/>
      <c r="AT70" s="3802">
        <f>+((AT63+AT65+AT67+AT68)/AT69)*100</f>
        <v>64.461342038782192</v>
      </c>
      <c r="AU70" s="197"/>
      <c r="AV70" s="197">
        <f>+((AV63+AV65+AV67+AV68+AV66)/AV69)*100</f>
        <v>78.198712164531742</v>
      </c>
      <c r="AW70" s="3802"/>
      <c r="AX70" s="3802">
        <f>+((AX63+AX65+AX67+AX68)/AX69)*100</f>
        <v>65.486248398727895</v>
      </c>
      <c r="AY70" s="197"/>
      <c r="AZ70" s="7439">
        <f>+((AZ63+AZ65+AZ67+AZ68+AZ66)/AZ69)*100</f>
        <v>74.166321714046347</v>
      </c>
      <c r="BA70" s="588"/>
      <c r="BB70" s="588">
        <f>+((BB63+BB65+BB67+BB68+BB66)/BB69)*100</f>
        <v>75.742352088356441</v>
      </c>
      <c r="BC70" s="7381"/>
      <c r="BD70" s="7381">
        <f>+((BD63+BD65+BD67+BD68+BD66)/BD69)*100</f>
        <v>71.443797043093042</v>
      </c>
      <c r="BE70" s="3802"/>
      <c r="BF70" s="3802">
        <f>+((BF63+BF65+BF67+BF68+BF66)/BF69)*100</f>
        <v>66.336375662018852</v>
      </c>
      <c r="BG70" s="4152"/>
      <c r="BH70" s="4152"/>
      <c r="BI70" s="4152"/>
      <c r="BJ70" s="4152"/>
      <c r="BK70" s="4152"/>
      <c r="BP70" s="4152"/>
      <c r="BQ70" s="4152"/>
    </row>
    <row r="71" spans="1:70" x14ac:dyDescent="0.25">
      <c r="A71" s="144"/>
      <c r="B71" s="808" t="s">
        <v>140</v>
      </c>
      <c r="C71" s="3922"/>
      <c r="D71" s="808"/>
      <c r="E71" s="808"/>
      <c r="F71" s="808"/>
      <c r="G71" s="808"/>
      <c r="H71" s="808"/>
      <c r="I71" s="7352"/>
      <c r="J71" s="7310">
        <f t="shared" ref="J71:J85" si="269">F71+H71</f>
        <v>0</v>
      </c>
      <c r="K71" s="808"/>
      <c r="L71" s="808"/>
      <c r="M71" s="7365"/>
      <c r="N71" s="7301">
        <f t="shared" ref="N71:N85" si="270">J71+L71</f>
        <v>0</v>
      </c>
      <c r="O71" s="808"/>
      <c r="P71" s="808"/>
      <c r="Q71" s="7352"/>
      <c r="R71" s="7310">
        <f t="shared" ref="R71:R85" si="271">N71+P71</f>
        <v>0</v>
      </c>
      <c r="S71" s="808"/>
      <c r="T71" s="808"/>
      <c r="U71" s="7352"/>
      <c r="V71" s="7310">
        <f t="shared" ref="V71:V85" si="272">R71+T71</f>
        <v>0</v>
      </c>
      <c r="W71" s="808"/>
      <c r="X71" s="808"/>
      <c r="Y71" s="7365"/>
      <c r="Z71" s="7301">
        <f t="shared" ref="Z71:Z85" si="273">P71+T71+X71</f>
        <v>0</v>
      </c>
      <c r="AA71" s="7376"/>
      <c r="AB71" s="7302">
        <f t="shared" ref="AB71:AB85" si="274">N71+Z71</f>
        <v>0</v>
      </c>
      <c r="AC71" s="808"/>
      <c r="AD71" s="808"/>
      <c r="AE71" s="7352"/>
      <c r="AF71" s="7310">
        <f t="shared" ref="AF71:AF85" si="275">AB71+AD71</f>
        <v>0</v>
      </c>
      <c r="AG71" s="808"/>
      <c r="AH71" s="808"/>
      <c r="AI71" s="7352"/>
      <c r="AJ71" s="7352"/>
      <c r="AK71" s="808"/>
      <c r="AL71" s="808"/>
      <c r="AM71" s="7365"/>
      <c r="AN71" s="7365"/>
      <c r="AO71" s="7352"/>
      <c r="AP71" s="7352"/>
      <c r="AQ71" s="808"/>
      <c r="AR71" s="808"/>
      <c r="AS71" s="7352"/>
      <c r="AT71" s="7352"/>
      <c r="AU71" s="808"/>
      <c r="AV71" s="808"/>
      <c r="AW71" s="7352"/>
      <c r="AX71" s="7352"/>
      <c r="AY71" s="808"/>
      <c r="AZ71" s="808"/>
      <c r="BA71" s="7365"/>
      <c r="BB71" s="7365"/>
      <c r="BC71" s="7376"/>
      <c r="BD71" s="7376"/>
      <c r="BE71" s="7352"/>
      <c r="BF71" s="7352"/>
      <c r="BG71" s="4152">
        <f t="shared" si="15"/>
        <v>0</v>
      </c>
      <c r="BH71" s="4152">
        <f t="shared" si="16"/>
        <v>0</v>
      </c>
      <c r="BI71" s="4152"/>
      <c r="BJ71" s="4152">
        <f t="shared" si="17"/>
        <v>0</v>
      </c>
      <c r="BK71" s="4152">
        <f t="shared" si="18"/>
        <v>0</v>
      </c>
      <c r="BP71" s="4152"/>
    </row>
    <row r="72" spans="1:70" x14ac:dyDescent="0.25">
      <c r="A72" s="90"/>
      <c r="B72" s="945" t="s">
        <v>114</v>
      </c>
      <c r="C72" s="7337" t="s">
        <v>50</v>
      </c>
      <c r="D72" s="148">
        <f>+D13</f>
        <v>520000</v>
      </c>
      <c r="E72" s="1819">
        <f>+E13</f>
        <v>36500</v>
      </c>
      <c r="F72" s="1819">
        <f>+F13</f>
        <v>41076.229999999996</v>
      </c>
      <c r="G72" s="1819">
        <f>+G13</f>
        <v>44000</v>
      </c>
      <c r="H72" s="1819">
        <f>+H13</f>
        <v>39367.019999999997</v>
      </c>
      <c r="I72" s="7310">
        <f t="shared" ref="I72:I76" si="276">E72+G72</f>
        <v>80500</v>
      </c>
      <c r="J72" s="7310">
        <f t="shared" si="269"/>
        <v>80443.25</v>
      </c>
      <c r="K72" s="1819">
        <f>+K13</f>
        <v>42500</v>
      </c>
      <c r="L72" s="1819">
        <f>+L13</f>
        <v>37508.06</v>
      </c>
      <c r="M72" s="7301">
        <f>E72+G72+K72</f>
        <v>123000</v>
      </c>
      <c r="N72" s="7301">
        <f t="shared" si="270"/>
        <v>117951.31</v>
      </c>
      <c r="O72" s="1819">
        <f>+O13</f>
        <v>44000</v>
      </c>
      <c r="P72" s="1819">
        <f>+P13</f>
        <v>44197.29</v>
      </c>
      <c r="Q72" s="7310">
        <f t="shared" ref="Q72:Q76" si="277">M72+O72</f>
        <v>167000</v>
      </c>
      <c r="R72" s="7310">
        <f t="shared" si="271"/>
        <v>162148.6</v>
      </c>
      <c r="S72" s="1819">
        <f>+S13</f>
        <v>44000</v>
      </c>
      <c r="T72" s="1819">
        <f>+T13</f>
        <v>42211.7</v>
      </c>
      <c r="U72" s="7310">
        <f t="shared" ref="U72:U76" si="278">Q72+S72</f>
        <v>211000</v>
      </c>
      <c r="V72" s="7310">
        <f t="shared" si="272"/>
        <v>204360.3</v>
      </c>
      <c r="W72" s="1819">
        <f>+W13</f>
        <v>25000</v>
      </c>
      <c r="X72" s="1819">
        <f>+X13</f>
        <v>37026.69000000001</v>
      </c>
      <c r="Y72" s="7301">
        <f>O72+S72+W72</f>
        <v>113000</v>
      </c>
      <c r="Z72" s="7301">
        <f t="shared" si="273"/>
        <v>123435.68</v>
      </c>
      <c r="AA72" s="7302">
        <f t="shared" ref="AA72:AA76" si="279">M72+Y72</f>
        <v>236000</v>
      </c>
      <c r="AB72" s="7302">
        <f t="shared" si="274"/>
        <v>241386.99</v>
      </c>
      <c r="AC72" s="1819">
        <f>+AC13</f>
        <v>42500</v>
      </c>
      <c r="AD72" s="1819">
        <f>+AD13</f>
        <v>31780.12</v>
      </c>
      <c r="AE72" s="7310">
        <f t="shared" ref="AE72:AE76" si="280">AA72+AC72</f>
        <v>278500</v>
      </c>
      <c r="AF72" s="7310">
        <f t="shared" si="275"/>
        <v>273167.11</v>
      </c>
      <c r="AG72" s="1819">
        <f>+AG13</f>
        <v>42500</v>
      </c>
      <c r="AH72" s="1819">
        <f>+AH13</f>
        <v>38334.735999999997</v>
      </c>
      <c r="AI72" s="7310">
        <f t="shared" ref="AI72:AI76" si="281">AE72+AG72</f>
        <v>321000</v>
      </c>
      <c r="AJ72" s="7310">
        <f t="shared" ref="AJ72:AJ76" si="282">AF72+AH72</f>
        <v>311501.84599999996</v>
      </c>
      <c r="AK72" s="1819">
        <f>+AK13</f>
        <v>44000</v>
      </c>
      <c r="AL72" s="1819">
        <f>+AL13</f>
        <v>41431.910000000003</v>
      </c>
      <c r="AM72" s="7301">
        <f>AC72+AG72+AK72</f>
        <v>129000</v>
      </c>
      <c r="AN72" s="7301">
        <f>AD72+AH72+AL72</f>
        <v>111546.766</v>
      </c>
      <c r="AO72" s="7310">
        <f t="shared" ref="AO72" si="283">AI72+AK72</f>
        <v>365000</v>
      </c>
      <c r="AP72" s="7310">
        <f t="shared" ref="AP72" si="284">AJ72+AL72</f>
        <v>352933.75599999994</v>
      </c>
      <c r="AQ72" s="1819">
        <f>+AQ13</f>
        <v>44500</v>
      </c>
      <c r="AR72" s="1819">
        <f>+AR13</f>
        <v>39752.560999999994</v>
      </c>
      <c r="AS72" s="7310">
        <f t="shared" ref="AS72:AS76" si="285">AO72+AQ72</f>
        <v>409500</v>
      </c>
      <c r="AT72" s="7310">
        <f t="shared" ref="AT72:AT76" si="286">AP72+AR72</f>
        <v>392686.31699999992</v>
      </c>
      <c r="AU72" s="1819">
        <f>+AU13</f>
        <v>40000</v>
      </c>
      <c r="AV72" s="1819">
        <f>+AV13</f>
        <v>42183.399999999994</v>
      </c>
      <c r="AW72" s="7310">
        <f t="shared" ref="AW72:AW76" si="287">AS72+AU72</f>
        <v>449500</v>
      </c>
      <c r="AX72" s="7310">
        <f t="shared" ref="AX72:AX76" si="288">AT72+AV72</f>
        <v>434869.71699999995</v>
      </c>
      <c r="AY72" s="1819">
        <f>+AY13</f>
        <v>44500</v>
      </c>
      <c r="AZ72" s="1819">
        <f>+AZ13</f>
        <v>48073.319999999992</v>
      </c>
      <c r="BA72" s="7301">
        <f>AQ72+AU72+AY72</f>
        <v>129000</v>
      </c>
      <c r="BB72" s="7301">
        <f>AR72+AV72+AZ72</f>
        <v>130009.28099999997</v>
      </c>
      <c r="BC72" s="7302">
        <f t="shared" ref="BC72:BC75" si="289">AM72+BA72</f>
        <v>258000</v>
      </c>
      <c r="BD72" s="7302">
        <f t="shared" ref="BD72:BD75" si="290">AN72+BB72</f>
        <v>241556.04699999996</v>
      </c>
      <c r="BE72" s="7310">
        <f t="shared" ref="BE72:BE76" si="291">AW72+AY72</f>
        <v>494000</v>
      </c>
      <c r="BF72" s="7310">
        <f t="shared" ref="BF72:BF76" si="292">AX72+AZ72</f>
        <v>482943.03699999995</v>
      </c>
      <c r="BG72" s="4152">
        <f t="shared" si="15"/>
        <v>0</v>
      </c>
      <c r="BH72" s="4152">
        <f t="shared" si="16"/>
        <v>0</v>
      </c>
      <c r="BI72" s="4152"/>
      <c r="BJ72" s="4152">
        <f t="shared" si="17"/>
        <v>0</v>
      </c>
      <c r="BK72" s="4152">
        <f t="shared" si="18"/>
        <v>0</v>
      </c>
      <c r="BP72" s="4152"/>
      <c r="BQ72" s="4152"/>
    </row>
    <row r="73" spans="1:70" x14ac:dyDescent="0.25">
      <c r="A73" s="90"/>
      <c r="B73" s="945" t="s">
        <v>95</v>
      </c>
      <c r="C73" s="7337" t="s">
        <v>50</v>
      </c>
      <c r="D73" s="148">
        <f>+D21</f>
        <v>990000</v>
      </c>
      <c r="E73" s="1819">
        <f>+E21</f>
        <v>68500</v>
      </c>
      <c r="F73" s="1819">
        <f>+F21</f>
        <v>78698.73000000001</v>
      </c>
      <c r="G73" s="1819">
        <f>+G21</f>
        <v>79000</v>
      </c>
      <c r="H73" s="1819">
        <f>+H21</f>
        <v>67347.899999999994</v>
      </c>
      <c r="I73" s="7310">
        <f t="shared" si="276"/>
        <v>147500</v>
      </c>
      <c r="J73" s="7310">
        <f t="shared" si="269"/>
        <v>146046.63</v>
      </c>
      <c r="K73" s="1819">
        <f>+K21</f>
        <v>76000</v>
      </c>
      <c r="L73" s="1819">
        <f>+L21</f>
        <v>73175.62999999999</v>
      </c>
      <c r="M73" s="7301">
        <f t="shared" ref="M73:M75" si="293">E73+G73+K73</f>
        <v>223500</v>
      </c>
      <c r="N73" s="7301">
        <f t="shared" si="270"/>
        <v>219222.26</v>
      </c>
      <c r="O73" s="1819">
        <f>+O21</f>
        <v>79000</v>
      </c>
      <c r="P73" s="1819">
        <f>+P21</f>
        <v>84102.500000000015</v>
      </c>
      <c r="Q73" s="7310">
        <f t="shared" si="277"/>
        <v>302500</v>
      </c>
      <c r="R73" s="7310">
        <f t="shared" si="271"/>
        <v>303324.76</v>
      </c>
      <c r="S73" s="1819">
        <f>+S21</f>
        <v>79000</v>
      </c>
      <c r="T73" s="1819">
        <f>+T21</f>
        <v>86905.93</v>
      </c>
      <c r="U73" s="7310">
        <f t="shared" si="278"/>
        <v>381500</v>
      </c>
      <c r="V73" s="7310">
        <f t="shared" si="272"/>
        <v>390230.69</v>
      </c>
      <c r="W73" s="1819">
        <f>+W21</f>
        <v>47500</v>
      </c>
      <c r="X73" s="1819">
        <f>+X21</f>
        <v>68689.990000000005</v>
      </c>
      <c r="Y73" s="7301">
        <f t="shared" ref="Y73:Y75" si="294">O73+S73+W73</f>
        <v>205500</v>
      </c>
      <c r="Z73" s="7301">
        <f t="shared" si="273"/>
        <v>239698.41999999998</v>
      </c>
      <c r="AA73" s="7302">
        <f t="shared" ref="AA73:AA75" si="295">M73+Y73</f>
        <v>429000</v>
      </c>
      <c r="AB73" s="7302">
        <f t="shared" si="274"/>
        <v>458920.68</v>
      </c>
      <c r="AC73" s="1819">
        <f>+AC21</f>
        <v>78000</v>
      </c>
      <c r="AD73" s="1819">
        <f>+AD21</f>
        <v>52260.41</v>
      </c>
      <c r="AE73" s="7310">
        <f t="shared" si="280"/>
        <v>507000</v>
      </c>
      <c r="AF73" s="7310">
        <f t="shared" si="275"/>
        <v>511181.08999999997</v>
      </c>
      <c r="AG73" s="1819">
        <f>+AG21</f>
        <v>76000</v>
      </c>
      <c r="AH73" s="1819">
        <f>+AH21</f>
        <v>70091.169000000009</v>
      </c>
      <c r="AI73" s="7310">
        <f t="shared" si="281"/>
        <v>583000</v>
      </c>
      <c r="AJ73" s="7310">
        <f t="shared" si="282"/>
        <v>581272.25899999996</v>
      </c>
      <c r="AK73" s="1819">
        <f>+AK21</f>
        <v>79000</v>
      </c>
      <c r="AL73" s="1819">
        <f>+AL21</f>
        <v>83237.279999999999</v>
      </c>
      <c r="AM73" s="7301">
        <f t="shared" ref="AM73:AM75" si="296">AC73+AG73+AK73</f>
        <v>233000</v>
      </c>
      <c r="AN73" s="7301">
        <f t="shared" ref="AN73:AN75" si="297">AD73+AH73+AL73</f>
        <v>205588.859</v>
      </c>
      <c r="AO73" s="7310">
        <f t="shared" ref="AO73:AO76" si="298">AI73+AK73</f>
        <v>662000</v>
      </c>
      <c r="AP73" s="7310">
        <f t="shared" ref="AP73:AP76" si="299">AJ73+AL73</f>
        <v>664509.53899999999</v>
      </c>
      <c r="AQ73" s="1819">
        <f>+AQ21</f>
        <v>79000</v>
      </c>
      <c r="AR73" s="1819">
        <f>+AR21</f>
        <v>79536.070000000007</v>
      </c>
      <c r="AS73" s="7310">
        <f t="shared" si="285"/>
        <v>741000</v>
      </c>
      <c r="AT73" s="7310">
        <f t="shared" si="286"/>
        <v>744045.60899999994</v>
      </c>
      <c r="AU73" s="1819">
        <f>+AU21</f>
        <v>71500</v>
      </c>
      <c r="AV73" s="1819">
        <f>+AV21</f>
        <v>77559.290000000008</v>
      </c>
      <c r="AW73" s="7310">
        <f t="shared" si="287"/>
        <v>812500</v>
      </c>
      <c r="AX73" s="7310">
        <f t="shared" si="288"/>
        <v>821604.89899999998</v>
      </c>
      <c r="AY73" s="1819">
        <f>+AY21</f>
        <v>80000</v>
      </c>
      <c r="AZ73" s="1819">
        <f>+AZ21</f>
        <v>81642.31</v>
      </c>
      <c r="BA73" s="7301">
        <f t="shared" ref="BA73:BA75" si="300">AQ73+AU73+AY73</f>
        <v>230500</v>
      </c>
      <c r="BB73" s="7301">
        <f t="shared" ref="BB73:BB75" si="301">AR73+AV73+AZ73</f>
        <v>238737.67</v>
      </c>
      <c r="BC73" s="7302">
        <f t="shared" si="289"/>
        <v>463500</v>
      </c>
      <c r="BD73" s="7302">
        <f t="shared" si="290"/>
        <v>444326.52899999998</v>
      </c>
      <c r="BE73" s="7310">
        <f t="shared" si="291"/>
        <v>892500</v>
      </c>
      <c r="BF73" s="7310">
        <f t="shared" si="292"/>
        <v>903247.20900000003</v>
      </c>
      <c r="BG73" s="4152">
        <f t="shared" si="15"/>
        <v>0</v>
      </c>
      <c r="BH73" s="4152">
        <f t="shared" si="16"/>
        <v>0</v>
      </c>
      <c r="BI73" s="4152"/>
      <c r="BJ73" s="4152">
        <f t="shared" si="17"/>
        <v>0</v>
      </c>
      <c r="BK73" s="4152">
        <f t="shared" si="18"/>
        <v>0</v>
      </c>
      <c r="BP73" s="4152"/>
    </row>
    <row r="74" spans="1:70" x14ac:dyDescent="0.25">
      <c r="A74" s="90"/>
      <c r="B74" s="945" t="s">
        <v>115</v>
      </c>
      <c r="C74" s="7337" t="s">
        <v>50</v>
      </c>
      <c r="D74" s="148">
        <f>+D29</f>
        <v>850000</v>
      </c>
      <c r="E74" s="1819">
        <f>+E29</f>
        <v>56000</v>
      </c>
      <c r="F74" s="1819">
        <f>+F29</f>
        <v>50540.922999999988</v>
      </c>
      <c r="G74" s="1819">
        <f>+G29</f>
        <v>65000</v>
      </c>
      <c r="H74" s="1819">
        <f>+H29</f>
        <v>57715.999999999985</v>
      </c>
      <c r="I74" s="7310">
        <f t="shared" si="276"/>
        <v>121000</v>
      </c>
      <c r="J74" s="7310">
        <f t="shared" si="269"/>
        <v>108256.92299999998</v>
      </c>
      <c r="K74" s="1819">
        <f>+K29</f>
        <v>62500</v>
      </c>
      <c r="L74" s="1819">
        <f>+L29</f>
        <v>56720.68</v>
      </c>
      <c r="M74" s="7301">
        <f t="shared" si="293"/>
        <v>183500</v>
      </c>
      <c r="N74" s="7301">
        <f t="shared" si="270"/>
        <v>164977.60299999997</v>
      </c>
      <c r="O74" s="1819">
        <f>+O29</f>
        <v>65000</v>
      </c>
      <c r="P74" s="1819">
        <f>+P29</f>
        <v>57264.83</v>
      </c>
      <c r="Q74" s="7310">
        <f t="shared" si="277"/>
        <v>248500</v>
      </c>
      <c r="R74" s="7310">
        <f t="shared" si="271"/>
        <v>222242.43299999996</v>
      </c>
      <c r="S74" s="1819">
        <f>+S29</f>
        <v>65000</v>
      </c>
      <c r="T74" s="1819">
        <f>+T29</f>
        <v>47224.14</v>
      </c>
      <c r="U74" s="7310">
        <f t="shared" si="278"/>
        <v>313500</v>
      </c>
      <c r="V74" s="7310">
        <f t="shared" si="272"/>
        <v>269466.57299999997</v>
      </c>
      <c r="W74" s="1819">
        <f>+W29</f>
        <v>33500</v>
      </c>
      <c r="X74" s="1819">
        <f>+X29</f>
        <v>45948.119999999995</v>
      </c>
      <c r="Y74" s="7301">
        <f t="shared" si="294"/>
        <v>163500</v>
      </c>
      <c r="Z74" s="7301">
        <f t="shared" si="273"/>
        <v>150437.09</v>
      </c>
      <c r="AA74" s="7302">
        <f t="shared" si="295"/>
        <v>347000</v>
      </c>
      <c r="AB74" s="7302">
        <f t="shared" si="274"/>
        <v>315414.69299999997</v>
      </c>
      <c r="AC74" s="1819">
        <f>+AC29</f>
        <v>67000</v>
      </c>
      <c r="AD74" s="1819">
        <f>+AD29</f>
        <v>30215.879999999997</v>
      </c>
      <c r="AE74" s="7310">
        <f t="shared" si="280"/>
        <v>414000</v>
      </c>
      <c r="AF74" s="7310">
        <f t="shared" si="275"/>
        <v>345630.57299999997</v>
      </c>
      <c r="AG74" s="1819">
        <f>+AG29</f>
        <v>65000</v>
      </c>
      <c r="AH74" s="1819">
        <f>+AH29</f>
        <v>49444.75</v>
      </c>
      <c r="AI74" s="7310">
        <f t="shared" si="281"/>
        <v>479000</v>
      </c>
      <c r="AJ74" s="7310">
        <f t="shared" si="282"/>
        <v>395075.32299999997</v>
      </c>
      <c r="AK74" s="1819">
        <f>+AK29</f>
        <v>67500</v>
      </c>
      <c r="AL74" s="1819">
        <f>+AL29</f>
        <v>51538.880999999994</v>
      </c>
      <c r="AM74" s="7301">
        <f t="shared" si="296"/>
        <v>199500</v>
      </c>
      <c r="AN74" s="7301">
        <f t="shared" si="297"/>
        <v>131199.511</v>
      </c>
      <c r="AO74" s="7310">
        <f t="shared" si="298"/>
        <v>546500</v>
      </c>
      <c r="AP74" s="7310">
        <f t="shared" si="299"/>
        <v>446614.20399999997</v>
      </c>
      <c r="AQ74" s="1819">
        <f>+AQ29</f>
        <v>68000</v>
      </c>
      <c r="AR74" s="1819">
        <f>+AR29</f>
        <v>55396.94</v>
      </c>
      <c r="AS74" s="7310">
        <f t="shared" si="285"/>
        <v>614500</v>
      </c>
      <c r="AT74" s="7310">
        <f t="shared" si="286"/>
        <v>502011.14399999997</v>
      </c>
      <c r="AU74" s="1819">
        <f>+AU29</f>
        <v>61000</v>
      </c>
      <c r="AV74" s="1819">
        <f>+AV29</f>
        <v>53071.489999999991</v>
      </c>
      <c r="AW74" s="7310">
        <f t="shared" si="287"/>
        <v>675500</v>
      </c>
      <c r="AX74" s="7310">
        <f t="shared" si="288"/>
        <v>555082.63399999996</v>
      </c>
      <c r="AY74" s="1819">
        <f>+AY29</f>
        <v>68500</v>
      </c>
      <c r="AZ74" s="1819">
        <f>+AZ29</f>
        <v>58800.212</v>
      </c>
      <c r="BA74" s="7301">
        <f t="shared" si="300"/>
        <v>197500</v>
      </c>
      <c r="BB74" s="7301">
        <f t="shared" si="301"/>
        <v>167268.64199999999</v>
      </c>
      <c r="BC74" s="7302">
        <f t="shared" si="289"/>
        <v>397000</v>
      </c>
      <c r="BD74" s="7302">
        <f t="shared" si="290"/>
        <v>298468.15299999999</v>
      </c>
      <c r="BE74" s="7310">
        <f t="shared" si="291"/>
        <v>744000</v>
      </c>
      <c r="BF74" s="7310">
        <f t="shared" si="292"/>
        <v>613882.8459999999</v>
      </c>
      <c r="BG74" s="4152">
        <f t="shared" si="15"/>
        <v>0</v>
      </c>
      <c r="BH74" s="4152">
        <f t="shared" si="16"/>
        <v>0</v>
      </c>
      <c r="BI74" s="4152"/>
      <c r="BJ74" s="4152">
        <f t="shared" si="17"/>
        <v>0</v>
      </c>
      <c r="BK74" s="4152">
        <f t="shared" si="18"/>
        <v>0</v>
      </c>
      <c r="BP74" s="4152"/>
    </row>
    <row r="75" spans="1:70" x14ac:dyDescent="0.25">
      <c r="A75" s="144"/>
      <c r="B75" s="945" t="s">
        <v>488</v>
      </c>
      <c r="C75" s="7337" t="s">
        <v>50</v>
      </c>
      <c r="D75" s="1819">
        <f>+D37</f>
        <v>350000</v>
      </c>
      <c r="E75" s="1819">
        <f>E37</f>
        <v>20999.957109341791</v>
      </c>
      <c r="F75" s="1819">
        <f>+F37</f>
        <v>32106.71</v>
      </c>
      <c r="G75" s="1819">
        <f>G37</f>
        <v>48499.576671657102</v>
      </c>
      <c r="H75" s="1819">
        <f>+H37</f>
        <v>53035.11</v>
      </c>
      <c r="I75" s="7310">
        <f t="shared" si="276"/>
        <v>69499.5337809989</v>
      </c>
      <c r="J75" s="7310">
        <f t="shared" si="269"/>
        <v>85141.82</v>
      </c>
      <c r="K75" s="1819">
        <f>K37</f>
        <v>48000.110883115201</v>
      </c>
      <c r="L75" s="1819">
        <f>+L37</f>
        <v>51100.01999999999</v>
      </c>
      <c r="M75" s="7301">
        <f t="shared" si="293"/>
        <v>117499.64466411411</v>
      </c>
      <c r="N75" s="7301">
        <f t="shared" si="270"/>
        <v>136241.84</v>
      </c>
      <c r="O75" s="1819">
        <f>O37</f>
        <v>43500.141355320899</v>
      </c>
      <c r="P75" s="1819">
        <f>+P37</f>
        <v>58059.210000000006</v>
      </c>
      <c r="Q75" s="7310">
        <f t="shared" si="277"/>
        <v>160999.78601943501</v>
      </c>
      <c r="R75" s="7310">
        <f t="shared" si="271"/>
        <v>194301.05</v>
      </c>
      <c r="S75" s="1819">
        <f>S37</f>
        <v>43500.141355320899</v>
      </c>
      <c r="T75" s="1819">
        <f>+T37</f>
        <v>69976.960000000006</v>
      </c>
      <c r="U75" s="7310">
        <f t="shared" si="278"/>
        <v>204499.92737475591</v>
      </c>
      <c r="V75" s="7310">
        <f t="shared" si="272"/>
        <v>264278.01</v>
      </c>
      <c r="W75" s="1819">
        <f>W37</f>
        <v>15300.0147648532</v>
      </c>
      <c r="X75" s="1819">
        <f>+X37</f>
        <v>55600.530000000006</v>
      </c>
      <c r="Y75" s="7301">
        <f t="shared" si="294"/>
        <v>102300.297475495</v>
      </c>
      <c r="Z75" s="7301">
        <f t="shared" si="273"/>
        <v>183636.7</v>
      </c>
      <c r="AA75" s="7302">
        <f t="shared" si="295"/>
        <v>219799.94213960911</v>
      </c>
      <c r="AB75" s="7302">
        <f t="shared" si="274"/>
        <v>319878.54000000004</v>
      </c>
      <c r="AC75" s="1819">
        <f>AC37</f>
        <v>48999.528159756301</v>
      </c>
      <c r="AD75" s="1819">
        <f>+AD37</f>
        <v>59301.279999999984</v>
      </c>
      <c r="AE75" s="7310">
        <f t="shared" si="280"/>
        <v>268799.47029936541</v>
      </c>
      <c r="AF75" s="7310">
        <f t="shared" si="275"/>
        <v>379179.82</v>
      </c>
      <c r="AG75" s="1819">
        <f>AG37</f>
        <v>45499.588455674595</v>
      </c>
      <c r="AH75" s="1819">
        <f>+AH37</f>
        <v>63043.03</v>
      </c>
      <c r="AI75" s="7310">
        <f t="shared" si="281"/>
        <v>314299.05875503999</v>
      </c>
      <c r="AJ75" s="7310">
        <f t="shared" si="282"/>
        <v>442222.85</v>
      </c>
      <c r="AK75" s="1819">
        <f>AK37</f>
        <v>46000.054244216401</v>
      </c>
      <c r="AL75" s="1819">
        <f>+AL37</f>
        <v>54506.650000000009</v>
      </c>
      <c r="AM75" s="7301">
        <f t="shared" si="296"/>
        <v>140499.17085964727</v>
      </c>
      <c r="AN75" s="7301">
        <f t="shared" si="297"/>
        <v>176850.96</v>
      </c>
      <c r="AO75" s="7310">
        <f t="shared" si="298"/>
        <v>360299.11299925641</v>
      </c>
      <c r="AP75" s="7310">
        <f t="shared" si="299"/>
        <v>496729.5</v>
      </c>
      <c r="AQ75" s="1819">
        <f>AQ37</f>
        <v>48499.664678463945</v>
      </c>
      <c r="AR75" s="1819">
        <f>+AR37</f>
        <v>42005.04</v>
      </c>
      <c r="AS75" s="7310">
        <f t="shared" si="285"/>
        <v>408798.77767772035</v>
      </c>
      <c r="AT75" s="7310">
        <f t="shared" si="286"/>
        <v>538734.54</v>
      </c>
      <c r="AU75" s="1819">
        <f>AU37</f>
        <v>41500.010429203743</v>
      </c>
      <c r="AV75" s="1819">
        <f>+AV37</f>
        <v>18645.060000000001</v>
      </c>
      <c r="AW75" s="7310">
        <f t="shared" si="287"/>
        <v>450298.7881069241</v>
      </c>
      <c r="AX75" s="7310">
        <f t="shared" si="288"/>
        <v>557379.60000000009</v>
      </c>
      <c r="AY75" s="1819">
        <f>AY37</f>
        <v>46999.690762923987</v>
      </c>
      <c r="AZ75" s="1819">
        <f>+AZ37</f>
        <v>42863.759999999995</v>
      </c>
      <c r="BA75" s="7301">
        <f t="shared" si="300"/>
        <v>136999.36587059166</v>
      </c>
      <c r="BB75" s="7301">
        <f t="shared" si="301"/>
        <v>103513.86</v>
      </c>
      <c r="BC75" s="7302">
        <f t="shared" si="289"/>
        <v>277498.53673023893</v>
      </c>
      <c r="BD75" s="7302">
        <f t="shared" si="290"/>
        <v>280364.82</v>
      </c>
      <c r="BE75" s="7310">
        <f t="shared" si="291"/>
        <v>497298.47886984807</v>
      </c>
      <c r="BF75" s="7310">
        <f t="shared" si="292"/>
        <v>600243.3600000001</v>
      </c>
      <c r="BG75" s="4152">
        <f t="shared" si="15"/>
        <v>0</v>
      </c>
      <c r="BH75" s="4152">
        <f t="shared" si="16"/>
        <v>0</v>
      </c>
      <c r="BI75" s="4152"/>
      <c r="BJ75" s="4152">
        <f t="shared" si="17"/>
        <v>0</v>
      </c>
      <c r="BK75" s="4152">
        <f t="shared" si="18"/>
        <v>0</v>
      </c>
      <c r="BP75" s="4152"/>
    </row>
    <row r="76" spans="1:70" x14ac:dyDescent="0.25">
      <c r="A76" s="90"/>
      <c r="B76" s="3795" t="s">
        <v>2</v>
      </c>
      <c r="C76" s="7337" t="s">
        <v>50</v>
      </c>
      <c r="D76" s="1677">
        <f t="shared" ref="D76:F76" si="302">SUM(D72:D75)</f>
        <v>2710000</v>
      </c>
      <c r="E76" s="1677">
        <f t="shared" si="302"/>
        <v>181999.95710934181</v>
      </c>
      <c r="F76" s="1677">
        <f t="shared" si="302"/>
        <v>202422.59299999999</v>
      </c>
      <c r="G76" s="5566">
        <f t="shared" ref="G76:H76" si="303">SUM(G72:G75)</f>
        <v>236499.57667165709</v>
      </c>
      <c r="H76" s="5566">
        <f t="shared" si="303"/>
        <v>217466.02999999997</v>
      </c>
      <c r="I76" s="7311">
        <f t="shared" si="276"/>
        <v>418499.5337809989</v>
      </c>
      <c r="J76" s="7310">
        <f t="shared" si="269"/>
        <v>419888.62299999996</v>
      </c>
      <c r="K76" s="5678">
        <f t="shared" ref="K76:L76" si="304">SUM(K72:K75)</f>
        <v>229000.11088311521</v>
      </c>
      <c r="L76" s="5678">
        <f t="shared" si="304"/>
        <v>218504.38999999998</v>
      </c>
      <c r="M76" s="7303">
        <f>E76+G76+K76</f>
        <v>647499.64466411411</v>
      </c>
      <c r="N76" s="7301">
        <f t="shared" si="270"/>
        <v>638393.01299999992</v>
      </c>
      <c r="O76" s="5835">
        <f t="shared" ref="O76:P76" si="305">SUM(O72:O75)</f>
        <v>231500.1413553209</v>
      </c>
      <c r="P76" s="5835">
        <f t="shared" si="305"/>
        <v>243623.83000000002</v>
      </c>
      <c r="Q76" s="7311">
        <f t="shared" si="277"/>
        <v>878999.78601943504</v>
      </c>
      <c r="R76" s="7310">
        <f t="shared" si="271"/>
        <v>882016.84299999988</v>
      </c>
      <c r="S76" s="5891">
        <f t="shared" ref="S76:T76" si="306">SUM(S72:S75)</f>
        <v>231500.1413553209</v>
      </c>
      <c r="T76" s="5891">
        <f t="shared" si="306"/>
        <v>246318.72999999998</v>
      </c>
      <c r="U76" s="7311">
        <f t="shared" si="278"/>
        <v>1110499.927374756</v>
      </c>
      <c r="V76" s="7310">
        <f t="shared" si="272"/>
        <v>1128335.5729999999</v>
      </c>
      <c r="W76" s="6005">
        <f t="shared" ref="W76:X76" si="307">SUM(W72:W75)</f>
        <v>121300.0147648532</v>
      </c>
      <c r="X76" s="6005">
        <f t="shared" si="307"/>
        <v>207265.33000000002</v>
      </c>
      <c r="Y76" s="7303">
        <f>O76+S76+W76</f>
        <v>584300.29747549503</v>
      </c>
      <c r="Z76" s="7301">
        <f t="shared" si="273"/>
        <v>697207.89</v>
      </c>
      <c r="AA76" s="513">
        <f t="shared" si="279"/>
        <v>1231799.9421396093</v>
      </c>
      <c r="AB76" s="7302">
        <f t="shared" si="274"/>
        <v>1335600.9029999999</v>
      </c>
      <c r="AC76" s="6136">
        <f t="shared" ref="AC76:AD76" si="308">SUM(AC72:AC75)</f>
        <v>236499.5281597563</v>
      </c>
      <c r="AD76" s="6136">
        <f t="shared" si="308"/>
        <v>173557.69</v>
      </c>
      <c r="AE76" s="7311">
        <f t="shared" si="280"/>
        <v>1468299.4702993655</v>
      </c>
      <c r="AF76" s="7310">
        <f t="shared" si="275"/>
        <v>1509158.5929999999</v>
      </c>
      <c r="AG76" s="6298">
        <f t="shared" ref="AG76:AH76" si="309">SUM(AG72:AG75)</f>
        <v>228999.58845567459</v>
      </c>
      <c r="AH76" s="6298">
        <f t="shared" si="309"/>
        <v>220913.685</v>
      </c>
      <c r="AI76" s="7311">
        <f t="shared" si="281"/>
        <v>1697299.0587550402</v>
      </c>
      <c r="AJ76" s="7311">
        <f t="shared" si="282"/>
        <v>1730072.2779999999</v>
      </c>
      <c r="AK76" s="6547">
        <f t="shared" ref="AK76:AL76" si="310">SUM(AK72:AK75)</f>
        <v>236500.05424421642</v>
      </c>
      <c r="AL76" s="6547">
        <f t="shared" si="310"/>
        <v>230714.72100000002</v>
      </c>
      <c r="AM76" s="7303">
        <f>AC76+AG76+AK76</f>
        <v>701999.17085964733</v>
      </c>
      <c r="AN76" s="7303">
        <f>AD76+AH76+AL76</f>
        <v>625186.09600000002</v>
      </c>
      <c r="AO76" s="7311">
        <f t="shared" si="298"/>
        <v>1933799.1129992567</v>
      </c>
      <c r="AP76" s="7311">
        <f t="shared" si="299"/>
        <v>1960786.9989999998</v>
      </c>
      <c r="AQ76" s="6641">
        <f t="shared" ref="AQ76:AR76" si="311">SUM(AQ72:AQ75)</f>
        <v>239999.66467846395</v>
      </c>
      <c r="AR76" s="6641">
        <f t="shared" si="311"/>
        <v>216690.611</v>
      </c>
      <c r="AS76" s="7311">
        <f t="shared" si="285"/>
        <v>2173798.7776777204</v>
      </c>
      <c r="AT76" s="7311">
        <f t="shared" si="286"/>
        <v>2177477.61</v>
      </c>
      <c r="AU76" s="6813">
        <f t="shared" ref="AU76:AV76" si="312">SUM(AU72:AU75)</f>
        <v>214000.01042920374</v>
      </c>
      <c r="AV76" s="6813">
        <f t="shared" si="312"/>
        <v>191459.24</v>
      </c>
      <c r="AW76" s="7311">
        <f t="shared" si="287"/>
        <v>2387798.7881069239</v>
      </c>
      <c r="AX76" s="7311">
        <f t="shared" si="288"/>
        <v>2368936.8499999996</v>
      </c>
      <c r="AY76" s="6955">
        <f t="shared" ref="AY76:AZ76" si="313">SUM(AY72:AY75)</f>
        <v>239999.69076292397</v>
      </c>
      <c r="AZ76" s="6955">
        <f t="shared" si="313"/>
        <v>231379.60200000001</v>
      </c>
      <c r="BA76" s="7303">
        <f>AQ76+AU76+AY76</f>
        <v>693999.36587059172</v>
      </c>
      <c r="BB76" s="7303">
        <f>AR76+AV76+AZ76</f>
        <v>639529.45299999998</v>
      </c>
      <c r="BC76" s="513">
        <f>AM76+BA76</f>
        <v>1395998.5367302392</v>
      </c>
      <c r="BD76" s="513">
        <f>AN76+BB76</f>
        <v>1264715.5490000001</v>
      </c>
      <c r="BE76" s="7311">
        <f t="shared" si="291"/>
        <v>2627798.478869848</v>
      </c>
      <c r="BF76" s="7311">
        <f t="shared" si="292"/>
        <v>2600316.4519999996</v>
      </c>
      <c r="BG76" s="4152">
        <f t="shared" si="15"/>
        <v>0</v>
      </c>
      <c r="BH76" s="4152">
        <f t="shared" si="16"/>
        <v>0</v>
      </c>
      <c r="BI76" s="4152"/>
      <c r="BJ76" s="4152">
        <f t="shared" si="17"/>
        <v>0</v>
      </c>
      <c r="BK76" s="4152">
        <f t="shared" si="18"/>
        <v>0</v>
      </c>
      <c r="BP76" s="4152"/>
    </row>
    <row r="77" spans="1:70" x14ac:dyDescent="0.25">
      <c r="A77" s="144"/>
      <c r="B77" s="3803" t="s">
        <v>316</v>
      </c>
      <c r="C77" s="3922"/>
      <c r="D77" s="808"/>
      <c r="E77" s="808"/>
      <c r="F77" s="808"/>
      <c r="G77" s="808"/>
      <c r="H77" s="808"/>
      <c r="I77" s="7352"/>
      <c r="J77" s="7310">
        <f t="shared" si="269"/>
        <v>0</v>
      </c>
      <c r="K77" s="808"/>
      <c r="L77" s="808"/>
      <c r="M77" s="7365"/>
      <c r="N77" s="7301">
        <f t="shared" si="270"/>
        <v>0</v>
      </c>
      <c r="O77" s="808"/>
      <c r="P77" s="808"/>
      <c r="Q77" s="7352"/>
      <c r="R77" s="7310">
        <f t="shared" si="271"/>
        <v>0</v>
      </c>
      <c r="S77" s="808"/>
      <c r="T77" s="808"/>
      <c r="U77" s="7352"/>
      <c r="V77" s="7310">
        <f t="shared" si="272"/>
        <v>0</v>
      </c>
      <c r="W77" s="808"/>
      <c r="X77" s="808"/>
      <c r="Y77" s="7365"/>
      <c r="Z77" s="7301">
        <f t="shared" si="273"/>
        <v>0</v>
      </c>
      <c r="AA77" s="7376"/>
      <c r="AB77" s="7302">
        <f t="shared" si="274"/>
        <v>0</v>
      </c>
      <c r="AC77" s="808"/>
      <c r="AD77" s="808"/>
      <c r="AE77" s="7352"/>
      <c r="AF77" s="7310">
        <f t="shared" si="275"/>
        <v>0</v>
      </c>
      <c r="AG77" s="808"/>
      <c r="AH77" s="808"/>
      <c r="AI77" s="7352"/>
      <c r="AJ77" s="7352"/>
      <c r="AK77" s="808"/>
      <c r="AL77" s="808"/>
      <c r="AM77" s="7365"/>
      <c r="AN77" s="7365"/>
      <c r="AO77" s="7352"/>
      <c r="AP77" s="7352"/>
      <c r="AQ77" s="808"/>
      <c r="AR77" s="808"/>
      <c r="AS77" s="7352"/>
      <c r="AT77" s="7352"/>
      <c r="AU77" s="808"/>
      <c r="AV77" s="808"/>
      <c r="AW77" s="7352"/>
      <c r="AX77" s="7352"/>
      <c r="AY77" s="808"/>
      <c r="AZ77" s="808"/>
      <c r="BA77" s="7365"/>
      <c r="BB77" s="7365"/>
      <c r="BC77" s="7376"/>
      <c r="BD77" s="7376"/>
      <c r="BE77" s="7352"/>
      <c r="BF77" s="7352"/>
      <c r="BG77" s="4152">
        <f t="shared" si="15"/>
        <v>0</v>
      </c>
      <c r="BH77" s="4152">
        <f t="shared" si="16"/>
        <v>0</v>
      </c>
      <c r="BI77" s="4152"/>
      <c r="BJ77" s="4152">
        <f t="shared" si="17"/>
        <v>0</v>
      </c>
      <c r="BK77" s="4152">
        <f t="shared" si="18"/>
        <v>0</v>
      </c>
      <c r="BR77" s="4152"/>
    </row>
    <row r="78" spans="1:70" x14ac:dyDescent="0.25">
      <c r="A78" s="144"/>
      <c r="B78" s="3793" t="s">
        <v>114</v>
      </c>
      <c r="C78" s="7436"/>
      <c r="D78" s="3793"/>
      <c r="E78" s="3793"/>
      <c r="F78" s="3793"/>
      <c r="G78" s="3793"/>
      <c r="H78" s="3793"/>
      <c r="I78" s="3863"/>
      <c r="J78" s="7310">
        <f t="shared" si="269"/>
        <v>0</v>
      </c>
      <c r="K78" s="3793"/>
      <c r="L78" s="3793"/>
      <c r="M78" s="3864"/>
      <c r="N78" s="7301">
        <f t="shared" si="270"/>
        <v>0</v>
      </c>
      <c r="O78" s="3793"/>
      <c r="P78" s="3793"/>
      <c r="Q78" s="3863"/>
      <c r="R78" s="7310">
        <f t="shared" si="271"/>
        <v>0</v>
      </c>
      <c r="S78" s="3793"/>
      <c r="T78" s="3793"/>
      <c r="U78" s="3863"/>
      <c r="V78" s="7310">
        <f t="shared" si="272"/>
        <v>0</v>
      </c>
      <c r="W78" s="3793"/>
      <c r="X78" s="3793"/>
      <c r="Y78" s="3864"/>
      <c r="Z78" s="7301">
        <f t="shared" si="273"/>
        <v>0</v>
      </c>
      <c r="AA78" s="3916"/>
      <c r="AB78" s="7302">
        <f t="shared" si="274"/>
        <v>0</v>
      </c>
      <c r="AC78" s="3793"/>
      <c r="AD78" s="3793"/>
      <c r="AE78" s="3863"/>
      <c r="AF78" s="7310">
        <f t="shared" si="275"/>
        <v>0</v>
      </c>
      <c r="AG78" s="3793"/>
      <c r="AH78" s="3793"/>
      <c r="AI78" s="3863"/>
      <c r="AJ78" s="3863"/>
      <c r="AK78" s="3793"/>
      <c r="AL78" s="3793"/>
      <c r="AM78" s="3864"/>
      <c r="AN78" s="3864"/>
      <c r="AO78" s="3863"/>
      <c r="AP78" s="3863"/>
      <c r="AQ78" s="3793"/>
      <c r="AR78" s="3793"/>
      <c r="AS78" s="3863"/>
      <c r="AT78" s="3863"/>
      <c r="AU78" s="3793"/>
      <c r="AV78" s="3793"/>
      <c r="AW78" s="3863"/>
      <c r="AX78" s="3863"/>
      <c r="AY78" s="3793"/>
      <c r="AZ78" s="3793"/>
      <c r="BA78" s="3864"/>
      <c r="BB78" s="3864"/>
      <c r="BC78" s="3916"/>
      <c r="BD78" s="3916"/>
      <c r="BE78" s="3863"/>
      <c r="BF78" s="3863"/>
      <c r="BG78" s="4152">
        <f t="shared" si="15"/>
        <v>0</v>
      </c>
      <c r="BH78" s="4152">
        <f t="shared" si="16"/>
        <v>0</v>
      </c>
      <c r="BI78" s="4152"/>
      <c r="BJ78" s="4152">
        <f t="shared" si="17"/>
        <v>0</v>
      </c>
      <c r="BK78" s="4152">
        <f t="shared" si="18"/>
        <v>0</v>
      </c>
    </row>
    <row r="79" spans="1:70" x14ac:dyDescent="0.25">
      <c r="A79" s="144"/>
      <c r="B79" s="945" t="s">
        <v>22</v>
      </c>
      <c r="C79" s="7337" t="s">
        <v>50</v>
      </c>
      <c r="D79" s="7959">
        <f>+D72</f>
        <v>520000</v>
      </c>
      <c r="E79" s="7909">
        <f>+E72</f>
        <v>36500</v>
      </c>
      <c r="F79" s="1819">
        <v>35145.900000000009</v>
      </c>
      <c r="G79" s="7909">
        <f>+G72</f>
        <v>44000</v>
      </c>
      <c r="H79" s="1819">
        <v>37961.22</v>
      </c>
      <c r="I79" s="7910">
        <f>E79+G79</f>
        <v>80500</v>
      </c>
      <c r="J79" s="7310">
        <f t="shared" si="269"/>
        <v>73107.12000000001</v>
      </c>
      <c r="K79" s="7909">
        <f>+K72</f>
        <v>42500</v>
      </c>
      <c r="L79" s="1819">
        <v>36316.339999999997</v>
      </c>
      <c r="M79" s="7873">
        <f>E79+G79+K79</f>
        <v>123000</v>
      </c>
      <c r="N79" s="7301">
        <f t="shared" si="270"/>
        <v>109423.46</v>
      </c>
      <c r="O79" s="7909">
        <f>+O72</f>
        <v>44000</v>
      </c>
      <c r="P79" s="1819">
        <v>41916.360000000008</v>
      </c>
      <c r="Q79" s="7910">
        <f>M79+O79</f>
        <v>167000</v>
      </c>
      <c r="R79" s="7310">
        <f t="shared" si="271"/>
        <v>151339.82</v>
      </c>
      <c r="S79" s="7909">
        <f>+S72</f>
        <v>44000</v>
      </c>
      <c r="T79" s="1819">
        <v>39692.879999999997</v>
      </c>
      <c r="U79" s="7910">
        <f>Q79+S79</f>
        <v>211000</v>
      </c>
      <c r="V79" s="7310">
        <f t="shared" si="272"/>
        <v>191032.7</v>
      </c>
      <c r="W79" s="7909">
        <f>+W72</f>
        <v>25000</v>
      </c>
      <c r="X79" s="1819">
        <v>33761.86</v>
      </c>
      <c r="Y79" s="7873">
        <f>O79+S79+W79</f>
        <v>113000</v>
      </c>
      <c r="Z79" s="7301">
        <f t="shared" si="273"/>
        <v>115371.1</v>
      </c>
      <c r="AA79" s="7874">
        <f>M79+Y79</f>
        <v>236000</v>
      </c>
      <c r="AB79" s="7302">
        <f t="shared" si="274"/>
        <v>224794.56</v>
      </c>
      <c r="AC79" s="7909">
        <f>+AC72</f>
        <v>42500</v>
      </c>
      <c r="AD79" s="1819">
        <v>30637.1</v>
      </c>
      <c r="AE79" s="7910">
        <f>AA79+AC79</f>
        <v>278500</v>
      </c>
      <c r="AF79" s="7310">
        <f t="shared" si="275"/>
        <v>255431.66</v>
      </c>
      <c r="AG79" s="7909">
        <f>+AG72</f>
        <v>42500</v>
      </c>
      <c r="AH79" s="1819">
        <v>34472.725999999995</v>
      </c>
      <c r="AI79" s="7928">
        <f>AE79+AG79</f>
        <v>321000</v>
      </c>
      <c r="AJ79" s="7310">
        <f t="shared" ref="AJ79:AJ81" si="314">AF79+AH79</f>
        <v>289904.386</v>
      </c>
      <c r="AK79" s="7909">
        <f>+AK72</f>
        <v>44000</v>
      </c>
      <c r="AL79" s="1819">
        <v>37892.699999999997</v>
      </c>
      <c r="AM79" s="7873">
        <f>AC79+AG79+AK79</f>
        <v>129000</v>
      </c>
      <c r="AN79" s="7301">
        <f>AD79+AH79+AL79</f>
        <v>103002.52599999998</v>
      </c>
      <c r="AO79" s="7910">
        <f>AI79+AK79</f>
        <v>365000</v>
      </c>
      <c r="AP79" s="7310">
        <f t="shared" ref="AP79:AP97" si="315">AJ79+AL79</f>
        <v>327797.08600000001</v>
      </c>
      <c r="AQ79" s="7909">
        <f>+AQ72</f>
        <v>44500</v>
      </c>
      <c r="AR79" s="1819">
        <v>38134.680999999997</v>
      </c>
      <c r="AS79" s="7928">
        <f>AO79+AQ79</f>
        <v>409500</v>
      </c>
      <c r="AT79" s="7310">
        <f t="shared" ref="AT79:AT81" si="316">AP79+AR79</f>
        <v>365931.76699999999</v>
      </c>
      <c r="AU79" s="7909">
        <f>+AU72</f>
        <v>40000</v>
      </c>
      <c r="AV79" s="1819">
        <v>36366.539999999994</v>
      </c>
      <c r="AW79" s="7928">
        <f>AS79+AU79</f>
        <v>449500</v>
      </c>
      <c r="AX79" s="7310">
        <f t="shared" ref="AX79:AX81" si="317">AT79+AV79</f>
        <v>402298.30699999997</v>
      </c>
      <c r="AY79" s="7909">
        <f>+AY72</f>
        <v>44500</v>
      </c>
      <c r="AZ79" s="1819">
        <v>44474.960000000006</v>
      </c>
      <c r="BA79" s="7873">
        <f>AQ79+AU79+AY79</f>
        <v>129000</v>
      </c>
      <c r="BB79" s="7301">
        <f>AR79+AV79+AZ79</f>
        <v>118976.181</v>
      </c>
      <c r="BC79" s="7874">
        <f>AM79+BA79</f>
        <v>258000</v>
      </c>
      <c r="BD79" s="7302">
        <f t="shared" ref="BD79:BD80" si="318">AN79+BB79</f>
        <v>221978.70699999999</v>
      </c>
      <c r="BE79" s="7928">
        <f>AW79+AY79</f>
        <v>494000</v>
      </c>
      <c r="BF79" s="7310">
        <f t="shared" ref="BF79:BF81" si="319">AX79+AZ79</f>
        <v>446773.26699999999</v>
      </c>
      <c r="BG79" s="4152">
        <f t="shared" si="15"/>
        <v>0</v>
      </c>
      <c r="BH79" s="4152">
        <f t="shared" si="16"/>
        <v>0</v>
      </c>
      <c r="BI79" s="4152"/>
      <c r="BJ79" s="4152">
        <f t="shared" si="17"/>
        <v>0</v>
      </c>
      <c r="BK79" s="4152">
        <f t="shared" si="18"/>
        <v>0</v>
      </c>
    </row>
    <row r="80" spans="1:70" x14ac:dyDescent="0.25">
      <c r="A80" s="90"/>
      <c r="B80" s="945" t="s">
        <v>23</v>
      </c>
      <c r="C80" s="7337" t="s">
        <v>50</v>
      </c>
      <c r="D80" s="7959"/>
      <c r="E80" s="7909"/>
      <c r="F80" s="1819">
        <v>5930.3300000000008</v>
      </c>
      <c r="G80" s="7909"/>
      <c r="H80" s="1819">
        <v>1405.8000000000002</v>
      </c>
      <c r="I80" s="7910"/>
      <c r="J80" s="7310">
        <f t="shared" si="269"/>
        <v>7336.130000000001</v>
      </c>
      <c r="K80" s="7909"/>
      <c r="L80" s="1819">
        <v>1191.72</v>
      </c>
      <c r="M80" s="7873"/>
      <c r="N80" s="7301">
        <f t="shared" si="270"/>
        <v>8527.85</v>
      </c>
      <c r="O80" s="7909"/>
      <c r="P80" s="1819">
        <v>2280.9300000000003</v>
      </c>
      <c r="Q80" s="7910"/>
      <c r="R80" s="7310">
        <f t="shared" si="271"/>
        <v>10808.78</v>
      </c>
      <c r="S80" s="7909"/>
      <c r="T80" s="1819">
        <v>2518.5400000000004</v>
      </c>
      <c r="U80" s="7910"/>
      <c r="V80" s="7310">
        <f t="shared" si="272"/>
        <v>13327.320000000002</v>
      </c>
      <c r="W80" s="7909"/>
      <c r="X80" s="1819">
        <v>3264.8300000000004</v>
      </c>
      <c r="Y80" s="7873">
        <f t="shared" ref="Y80:Y81" si="320">O80+S80+W80</f>
        <v>0</v>
      </c>
      <c r="Z80" s="7301">
        <f t="shared" si="273"/>
        <v>8064.3000000000011</v>
      </c>
      <c r="AA80" s="7874"/>
      <c r="AB80" s="7302">
        <f t="shared" si="274"/>
        <v>16592.150000000001</v>
      </c>
      <c r="AC80" s="7909"/>
      <c r="AD80" s="1819">
        <v>1143.0200000000002</v>
      </c>
      <c r="AE80" s="7910"/>
      <c r="AF80" s="7310">
        <f t="shared" si="275"/>
        <v>17735.170000000002</v>
      </c>
      <c r="AG80" s="7909"/>
      <c r="AH80" s="1819">
        <v>3862.0100000000007</v>
      </c>
      <c r="AI80" s="7929"/>
      <c r="AJ80" s="7310">
        <f t="shared" si="314"/>
        <v>21597.180000000004</v>
      </c>
      <c r="AK80" s="7909"/>
      <c r="AL80" s="1819">
        <v>3539.21</v>
      </c>
      <c r="AM80" s="7873">
        <f t="shared" ref="AM80:AM81" si="321">AC80+AG80+AK80</f>
        <v>0</v>
      </c>
      <c r="AN80" s="7301">
        <f>AD80+AH80+AL80</f>
        <v>8544.2400000000016</v>
      </c>
      <c r="AO80" s="7910"/>
      <c r="AP80" s="7310">
        <f t="shared" si="315"/>
        <v>25136.390000000003</v>
      </c>
      <c r="AQ80" s="7909"/>
      <c r="AR80" s="1819">
        <v>1617.88</v>
      </c>
      <c r="AS80" s="7929"/>
      <c r="AT80" s="7310">
        <f t="shared" si="316"/>
        <v>26754.270000000004</v>
      </c>
      <c r="AU80" s="7909"/>
      <c r="AV80" s="1819">
        <v>5816.8600000000006</v>
      </c>
      <c r="AW80" s="7929"/>
      <c r="AX80" s="7310">
        <f t="shared" si="317"/>
        <v>32571.130000000005</v>
      </c>
      <c r="AY80" s="7909"/>
      <c r="AZ80" s="1819">
        <v>3598.3600000000006</v>
      </c>
      <c r="BA80" s="7873">
        <f t="shared" ref="BA80:BA81" si="322">AQ80+AU80+AY80</f>
        <v>0</v>
      </c>
      <c r="BB80" s="7301">
        <f>AR80+AV80+AZ80</f>
        <v>11033.100000000002</v>
      </c>
      <c r="BC80" s="7874"/>
      <c r="BD80" s="7302">
        <f t="shared" si="318"/>
        <v>19577.340000000004</v>
      </c>
      <c r="BE80" s="7929"/>
      <c r="BF80" s="7310">
        <f t="shared" si="319"/>
        <v>36169.490000000005</v>
      </c>
      <c r="BG80" s="4152">
        <f t="shared" si="15"/>
        <v>0</v>
      </c>
      <c r="BH80" s="4152">
        <f t="shared" si="16"/>
        <v>0</v>
      </c>
      <c r="BI80" s="4152"/>
      <c r="BJ80" s="4152">
        <f t="shared" si="17"/>
        <v>0</v>
      </c>
      <c r="BK80" s="4152">
        <f t="shared" si="18"/>
        <v>0</v>
      </c>
      <c r="BM80" s="4152"/>
      <c r="BN80" s="4152"/>
    </row>
    <row r="81" spans="1:66" x14ac:dyDescent="0.25">
      <c r="A81" s="144"/>
      <c r="B81" s="3795" t="s">
        <v>2</v>
      </c>
      <c r="C81" s="7337" t="s">
        <v>50</v>
      </c>
      <c r="D81" s="7959"/>
      <c r="E81" s="7909"/>
      <c r="F81" s="1677">
        <f>SUM(F79:F80)</f>
        <v>41076.23000000001</v>
      </c>
      <c r="G81" s="7909"/>
      <c r="H81" s="5566">
        <f>SUM(H79:H80)</f>
        <v>39367.020000000004</v>
      </c>
      <c r="I81" s="7910"/>
      <c r="J81" s="7310">
        <f t="shared" si="269"/>
        <v>80443.250000000015</v>
      </c>
      <c r="K81" s="7909"/>
      <c r="L81" s="5678">
        <f>SUM(L79:L80)</f>
        <v>37508.06</v>
      </c>
      <c r="M81" s="7873"/>
      <c r="N81" s="7301">
        <f t="shared" si="270"/>
        <v>117951.31000000001</v>
      </c>
      <c r="O81" s="7909"/>
      <c r="P81" s="5835">
        <f>SUM(P79:P80)</f>
        <v>44197.290000000008</v>
      </c>
      <c r="Q81" s="7910"/>
      <c r="R81" s="7310">
        <f t="shared" si="271"/>
        <v>162148.60000000003</v>
      </c>
      <c r="S81" s="7909"/>
      <c r="T81" s="5891">
        <f>SUM(T79:T80)</f>
        <v>42211.42</v>
      </c>
      <c r="U81" s="7910"/>
      <c r="V81" s="7310">
        <f t="shared" si="272"/>
        <v>204360.02000000002</v>
      </c>
      <c r="W81" s="7909"/>
      <c r="X81" s="6005">
        <f>SUM(X79:X80)</f>
        <v>37026.69</v>
      </c>
      <c r="Y81" s="7873">
        <f t="shared" si="320"/>
        <v>0</v>
      </c>
      <c r="Z81" s="7301">
        <f t="shared" si="273"/>
        <v>123435.40000000001</v>
      </c>
      <c r="AA81" s="7874"/>
      <c r="AB81" s="7302">
        <f t="shared" si="274"/>
        <v>241386.71000000002</v>
      </c>
      <c r="AC81" s="7909"/>
      <c r="AD81" s="6136">
        <f>SUM(AD79:AD80)</f>
        <v>31780.12</v>
      </c>
      <c r="AE81" s="7910"/>
      <c r="AF81" s="7310">
        <f t="shared" si="275"/>
        <v>273166.83</v>
      </c>
      <c r="AG81" s="7909"/>
      <c r="AH81" s="6298">
        <f>SUM(AH79:AH80)</f>
        <v>38334.735999999997</v>
      </c>
      <c r="AI81" s="7930"/>
      <c r="AJ81" s="7311">
        <f t="shared" si="314"/>
        <v>311501.56599999999</v>
      </c>
      <c r="AK81" s="7909"/>
      <c r="AL81" s="6547">
        <f>SUM(AL79:AL80)</f>
        <v>41431.909999999996</v>
      </c>
      <c r="AM81" s="7873">
        <f t="shared" si="321"/>
        <v>0</v>
      </c>
      <c r="AN81" s="7303">
        <f>AD81+AH81+AL81</f>
        <v>111546.766</v>
      </c>
      <c r="AO81" s="7910"/>
      <c r="AP81" s="7311">
        <f t="shared" si="315"/>
        <v>352933.47599999997</v>
      </c>
      <c r="AQ81" s="7909"/>
      <c r="AR81" s="6641">
        <f>SUM(AR79:AR80)</f>
        <v>39752.560999999994</v>
      </c>
      <c r="AS81" s="7930"/>
      <c r="AT81" s="7311">
        <f t="shared" si="316"/>
        <v>392686.03699999995</v>
      </c>
      <c r="AU81" s="7909"/>
      <c r="AV81" s="6813">
        <f>SUM(AV79:AV80)</f>
        <v>42183.399999999994</v>
      </c>
      <c r="AW81" s="7930"/>
      <c r="AX81" s="7311">
        <f t="shared" si="317"/>
        <v>434869.43699999992</v>
      </c>
      <c r="AY81" s="7909"/>
      <c r="AZ81" s="6955">
        <f>SUM(AZ79:AZ80)</f>
        <v>48073.320000000007</v>
      </c>
      <c r="BA81" s="7873">
        <f t="shared" si="322"/>
        <v>0</v>
      </c>
      <c r="BB81" s="7303">
        <f>AR81+AV81+AZ81</f>
        <v>130009.28099999999</v>
      </c>
      <c r="BC81" s="7874"/>
      <c r="BD81" s="513">
        <f>AN81+BB81</f>
        <v>241556.04699999999</v>
      </c>
      <c r="BE81" s="7930"/>
      <c r="BF81" s="7311">
        <f t="shared" si="319"/>
        <v>482942.75699999993</v>
      </c>
      <c r="BG81" s="4152">
        <f t="shared" si="15"/>
        <v>0</v>
      </c>
      <c r="BH81" s="4152">
        <f t="shared" si="16"/>
        <v>0</v>
      </c>
      <c r="BI81" s="4152"/>
      <c r="BJ81" s="4152">
        <f t="shared" si="17"/>
        <v>0</v>
      </c>
      <c r="BK81" s="4152">
        <f t="shared" si="18"/>
        <v>0</v>
      </c>
      <c r="BN81" s="4152"/>
    </row>
    <row r="82" spans="1:66" x14ac:dyDescent="0.25">
      <c r="A82" s="144"/>
      <c r="B82" s="3793" t="s">
        <v>95</v>
      </c>
      <c r="C82" s="7436"/>
      <c r="D82" s="3793"/>
      <c r="E82" s="3804"/>
      <c r="F82" s="3804"/>
      <c r="G82" s="3804"/>
      <c r="H82" s="3804"/>
      <c r="I82" s="7355"/>
      <c r="J82" s="7310">
        <f t="shared" si="269"/>
        <v>0</v>
      </c>
      <c r="K82" s="3804"/>
      <c r="L82" s="3804"/>
      <c r="M82" s="7369"/>
      <c r="N82" s="7301">
        <f t="shared" si="270"/>
        <v>0</v>
      </c>
      <c r="O82" s="3804"/>
      <c r="P82" s="3804"/>
      <c r="Q82" s="7355"/>
      <c r="R82" s="7310">
        <f t="shared" si="271"/>
        <v>0</v>
      </c>
      <c r="S82" s="3804"/>
      <c r="T82" s="3804"/>
      <c r="U82" s="7355"/>
      <c r="V82" s="7310">
        <f t="shared" si="272"/>
        <v>0</v>
      </c>
      <c r="W82" s="3804"/>
      <c r="X82" s="3804"/>
      <c r="Y82" s="7369"/>
      <c r="Z82" s="7301">
        <f t="shared" si="273"/>
        <v>0</v>
      </c>
      <c r="AA82" s="7383"/>
      <c r="AB82" s="7302">
        <f t="shared" si="274"/>
        <v>0</v>
      </c>
      <c r="AC82" s="3804"/>
      <c r="AD82" s="3804"/>
      <c r="AE82" s="7355"/>
      <c r="AF82" s="7310">
        <f t="shared" si="275"/>
        <v>0</v>
      </c>
      <c r="AG82" s="3804"/>
      <c r="AH82" s="3804"/>
      <c r="AI82" s="7355"/>
      <c r="AJ82" s="7355"/>
      <c r="AK82" s="3804"/>
      <c r="AL82" s="3804"/>
      <c r="AM82" s="7369"/>
      <c r="AN82" s="7369"/>
      <c r="AO82" s="7355"/>
      <c r="AP82" s="7355"/>
      <c r="AQ82" s="3804"/>
      <c r="AR82" s="3804"/>
      <c r="AS82" s="7355"/>
      <c r="AT82" s="7355"/>
      <c r="AU82" s="3804"/>
      <c r="AV82" s="3804"/>
      <c r="AW82" s="7355"/>
      <c r="AX82" s="7355"/>
      <c r="AY82" s="3804"/>
      <c r="AZ82" s="3804"/>
      <c r="BA82" s="7369"/>
      <c r="BB82" s="7369"/>
      <c r="BC82" s="7383"/>
      <c r="BD82" s="7383"/>
      <c r="BE82" s="7355"/>
      <c r="BF82" s="7355"/>
      <c r="BG82" s="4152">
        <f t="shared" si="15"/>
        <v>0</v>
      </c>
      <c r="BH82" s="4152">
        <f t="shared" si="16"/>
        <v>0</v>
      </c>
      <c r="BI82" s="4152"/>
      <c r="BJ82" s="4152">
        <f t="shared" si="17"/>
        <v>0</v>
      </c>
      <c r="BK82" s="4152">
        <f t="shared" si="18"/>
        <v>0</v>
      </c>
      <c r="BN82" s="4152"/>
    </row>
    <row r="83" spans="1:66" ht="21.2" customHeight="1" x14ac:dyDescent="0.25">
      <c r="A83" s="90"/>
      <c r="B83" s="945" t="s">
        <v>22</v>
      </c>
      <c r="C83" s="7337" t="s">
        <v>50</v>
      </c>
      <c r="D83" s="7909">
        <f>+D73</f>
        <v>990000</v>
      </c>
      <c r="E83" s="7909">
        <f>+E73</f>
        <v>68500</v>
      </c>
      <c r="F83" s="1819">
        <v>69139.47</v>
      </c>
      <c r="G83" s="7909">
        <f>+G73</f>
        <v>79000</v>
      </c>
      <c r="H83" s="1819">
        <v>59622.64</v>
      </c>
      <c r="I83" s="7910">
        <f>E83+G83</f>
        <v>147500</v>
      </c>
      <c r="J83" s="7310">
        <f t="shared" si="269"/>
        <v>128762.11</v>
      </c>
      <c r="K83" s="7909">
        <f>+K73</f>
        <v>76000</v>
      </c>
      <c r="L83" s="1819">
        <v>66412.479999999981</v>
      </c>
      <c r="M83" s="7873">
        <f>E83+G83+K83</f>
        <v>223500</v>
      </c>
      <c r="N83" s="7301">
        <f t="shared" si="270"/>
        <v>195174.58999999997</v>
      </c>
      <c r="O83" s="7909">
        <f>+O73</f>
        <v>79000</v>
      </c>
      <c r="P83" s="1819">
        <v>68651.660000000018</v>
      </c>
      <c r="Q83" s="7910">
        <f>M83+O83</f>
        <v>302500</v>
      </c>
      <c r="R83" s="7310">
        <f t="shared" si="271"/>
        <v>263826.25</v>
      </c>
      <c r="S83" s="7909">
        <f>+S73</f>
        <v>79000</v>
      </c>
      <c r="T83" s="1819">
        <v>73731.180000000008</v>
      </c>
      <c r="U83" s="7910">
        <f>Q83+S83</f>
        <v>381500</v>
      </c>
      <c r="V83" s="7310">
        <f t="shared" si="272"/>
        <v>337557.43</v>
      </c>
      <c r="W83" s="7909">
        <f>+W73</f>
        <v>47500</v>
      </c>
      <c r="X83" s="1819">
        <v>55082.44000000001</v>
      </c>
      <c r="Y83" s="7873">
        <f>O83+S83+W83</f>
        <v>205500</v>
      </c>
      <c r="Z83" s="7301">
        <f t="shared" si="273"/>
        <v>197465.28000000003</v>
      </c>
      <c r="AA83" s="7874">
        <f>M83+Y83</f>
        <v>429000</v>
      </c>
      <c r="AB83" s="7302">
        <f t="shared" si="274"/>
        <v>392639.87</v>
      </c>
      <c r="AC83" s="7909">
        <f>+AC73</f>
        <v>78000</v>
      </c>
      <c r="AD83" s="1819">
        <v>43898.48000000001</v>
      </c>
      <c r="AE83" s="7910">
        <f>AA83+AC83</f>
        <v>507000</v>
      </c>
      <c r="AF83" s="7310">
        <f t="shared" si="275"/>
        <v>436538.35</v>
      </c>
      <c r="AG83" s="7909">
        <f>+AG73</f>
        <v>76000</v>
      </c>
      <c r="AH83" s="1819">
        <v>54597.599000000009</v>
      </c>
      <c r="AI83" s="7928">
        <f>AE83+AG83</f>
        <v>583000</v>
      </c>
      <c r="AJ83" s="7310">
        <f t="shared" ref="AJ83:AJ85" si="323">AF83+AH83</f>
        <v>491135.94899999996</v>
      </c>
      <c r="AK83" s="7909">
        <f>+AK73</f>
        <v>79000</v>
      </c>
      <c r="AL83" s="1819">
        <v>65916.5</v>
      </c>
      <c r="AM83" s="7873">
        <f>AC83+AG83+AK83</f>
        <v>233000</v>
      </c>
      <c r="AN83" s="7301">
        <f>AD83+AH83+AL83</f>
        <v>164412.57900000003</v>
      </c>
      <c r="AO83" s="7910">
        <f>AI83+AK83</f>
        <v>662000</v>
      </c>
      <c r="AP83" s="7310">
        <f t="shared" si="315"/>
        <v>557052.44900000002</v>
      </c>
      <c r="AQ83" s="7909">
        <f>+AQ73</f>
        <v>79000</v>
      </c>
      <c r="AR83" s="1819">
        <v>69330.560000000012</v>
      </c>
      <c r="AS83" s="7928">
        <f>AO83+AQ83</f>
        <v>741000</v>
      </c>
      <c r="AT83" s="7310">
        <f t="shared" ref="AT83:AT85" si="324">AP83+AR83</f>
        <v>626383.00900000008</v>
      </c>
      <c r="AU83" s="7909">
        <f>+AU73</f>
        <v>71500</v>
      </c>
      <c r="AV83" s="1819">
        <v>68294.260000000009</v>
      </c>
      <c r="AW83" s="7928">
        <f>AS83+AU83</f>
        <v>812500</v>
      </c>
      <c r="AX83" s="7310">
        <f t="shared" ref="AX83:AX85" si="325">AT83+AV83</f>
        <v>694677.26900000009</v>
      </c>
      <c r="AY83" s="7909">
        <f>+AY73</f>
        <v>80000</v>
      </c>
      <c r="AZ83" s="1819">
        <v>73148.700000000012</v>
      </c>
      <c r="BA83" s="7873">
        <f>AQ83+AU83+AY83</f>
        <v>230500</v>
      </c>
      <c r="BB83" s="7301">
        <f>AR83+AV83+AZ83</f>
        <v>210773.52000000002</v>
      </c>
      <c r="BC83" s="7874">
        <f>AM83+BA83</f>
        <v>463500</v>
      </c>
      <c r="BD83" s="7302">
        <f t="shared" ref="BD83:BD84" si="326">AN83+BB83</f>
        <v>375186.09900000005</v>
      </c>
      <c r="BE83" s="7928">
        <f>AW83+AY83</f>
        <v>892500</v>
      </c>
      <c r="BF83" s="7310">
        <f t="shared" ref="BF83:BF85" si="327">AX83+AZ83</f>
        <v>767825.96900000004</v>
      </c>
      <c r="BG83" s="4152">
        <f t="shared" ref="BG83:BG146" si="328">AY83+AU83+AQ83+AK83+AG83+AC83+W83+S83+O83+K83+G83+E83-BE83</f>
        <v>0</v>
      </c>
      <c r="BH83" s="4152">
        <f t="shared" ref="BH83:BH146" si="329">AZ83+AV83+AR83+AL83+AH83+AD83+X83+T83+P83+L83+H83+F83-BF83</f>
        <v>0</v>
      </c>
      <c r="BI83" s="4152"/>
      <c r="BJ83" s="4152">
        <f t="shared" ref="BJ83:BJ146" si="330">AY83+AU83+AQ83+AK83+AG83+AC83-BC83</f>
        <v>0</v>
      </c>
      <c r="BK83" s="4152">
        <f t="shared" ref="BK83:BK146" si="331">AZ83+AV83+AR83+AL83+AH83+AD83-BD83</f>
        <v>0</v>
      </c>
      <c r="BN83" s="4152"/>
    </row>
    <row r="84" spans="1:66" x14ac:dyDescent="0.25">
      <c r="A84" s="144"/>
      <c r="B84" s="945" t="s">
        <v>23</v>
      </c>
      <c r="C84" s="7337" t="s">
        <v>50</v>
      </c>
      <c r="D84" s="7909"/>
      <c r="E84" s="7909"/>
      <c r="F84" s="1819">
        <v>9559.260000000002</v>
      </c>
      <c r="G84" s="7909"/>
      <c r="H84" s="1819">
        <v>7725.2599999999984</v>
      </c>
      <c r="I84" s="7910"/>
      <c r="J84" s="7310">
        <f t="shared" si="269"/>
        <v>17284.52</v>
      </c>
      <c r="K84" s="7909"/>
      <c r="L84" s="1819">
        <v>6763.1500000000005</v>
      </c>
      <c r="M84" s="7873"/>
      <c r="N84" s="7301">
        <f t="shared" si="270"/>
        <v>24047.670000000002</v>
      </c>
      <c r="O84" s="7909"/>
      <c r="P84" s="1819">
        <v>15450.840000000002</v>
      </c>
      <c r="Q84" s="7910"/>
      <c r="R84" s="7310">
        <f t="shared" si="271"/>
        <v>39498.51</v>
      </c>
      <c r="S84" s="7909"/>
      <c r="T84" s="1819">
        <v>13174.749999999998</v>
      </c>
      <c r="U84" s="7910"/>
      <c r="V84" s="7310">
        <f t="shared" si="272"/>
        <v>52673.26</v>
      </c>
      <c r="W84" s="7909"/>
      <c r="X84" s="1819">
        <v>13607.55</v>
      </c>
      <c r="Y84" s="7873">
        <f t="shared" ref="Y84:Y85" si="332">O84+S84+W84</f>
        <v>0</v>
      </c>
      <c r="Z84" s="7301">
        <f t="shared" si="273"/>
        <v>42233.14</v>
      </c>
      <c r="AA84" s="7874"/>
      <c r="AB84" s="7302">
        <f t="shared" si="274"/>
        <v>66280.81</v>
      </c>
      <c r="AC84" s="7909"/>
      <c r="AD84" s="1819">
        <v>8361.9299999999985</v>
      </c>
      <c r="AE84" s="7910"/>
      <c r="AF84" s="7310">
        <f t="shared" si="275"/>
        <v>74642.739999999991</v>
      </c>
      <c r="AG84" s="7909"/>
      <c r="AH84" s="1819">
        <v>15493.570000000002</v>
      </c>
      <c r="AI84" s="7929"/>
      <c r="AJ84" s="7310">
        <f t="shared" si="323"/>
        <v>90136.31</v>
      </c>
      <c r="AK84" s="7909"/>
      <c r="AL84" s="1819">
        <v>17320.78</v>
      </c>
      <c r="AM84" s="7873">
        <f t="shared" ref="AM84:AM85" si="333">AC84+AG84+AK84</f>
        <v>0</v>
      </c>
      <c r="AN84" s="7301">
        <f>AD84+AH84+AL84</f>
        <v>41176.28</v>
      </c>
      <c r="AO84" s="7910"/>
      <c r="AP84" s="7310">
        <f t="shared" si="315"/>
        <v>107457.09</v>
      </c>
      <c r="AQ84" s="7909"/>
      <c r="AR84" s="1819">
        <v>10205.51</v>
      </c>
      <c r="AS84" s="7929"/>
      <c r="AT84" s="7310">
        <f t="shared" si="324"/>
        <v>117662.59999999999</v>
      </c>
      <c r="AU84" s="7909"/>
      <c r="AV84" s="1819">
        <v>9265.0300000000007</v>
      </c>
      <c r="AW84" s="7929"/>
      <c r="AX84" s="7310">
        <f t="shared" si="325"/>
        <v>126927.62999999999</v>
      </c>
      <c r="AY84" s="7909"/>
      <c r="AZ84" s="1819">
        <v>8493.6099999999988</v>
      </c>
      <c r="BA84" s="7873">
        <f t="shared" ref="BA84:BA85" si="334">AQ84+AU84+AY84</f>
        <v>0</v>
      </c>
      <c r="BB84" s="7301">
        <f>AR84+AV84+AZ84</f>
        <v>27964.15</v>
      </c>
      <c r="BC84" s="7874"/>
      <c r="BD84" s="7302">
        <f t="shared" si="326"/>
        <v>69140.429999999993</v>
      </c>
      <c r="BE84" s="7929"/>
      <c r="BF84" s="7310">
        <f t="shared" si="327"/>
        <v>135421.24</v>
      </c>
      <c r="BG84" s="4152">
        <f t="shared" si="328"/>
        <v>0</v>
      </c>
      <c r="BH84" s="4152">
        <f t="shared" si="329"/>
        <v>0</v>
      </c>
      <c r="BI84" s="4152"/>
      <c r="BJ84" s="4152">
        <f t="shared" si="330"/>
        <v>0</v>
      </c>
      <c r="BK84" s="4152">
        <f t="shared" si="331"/>
        <v>0</v>
      </c>
      <c r="BM84" s="4152"/>
      <c r="BN84" s="4152"/>
    </row>
    <row r="85" spans="1:66" x14ac:dyDescent="0.25">
      <c r="A85" s="90"/>
      <c r="B85" s="3795" t="s">
        <v>2</v>
      </c>
      <c r="C85" s="7337" t="s">
        <v>50</v>
      </c>
      <c r="D85" s="7909"/>
      <c r="E85" s="7909"/>
      <c r="F85" s="1677">
        <f>SUM(F83:F84)</f>
        <v>78698.73000000001</v>
      </c>
      <c r="G85" s="7909"/>
      <c r="H85" s="5566">
        <f>SUM(H83:H84)</f>
        <v>67347.899999999994</v>
      </c>
      <c r="I85" s="7910"/>
      <c r="J85" s="7310">
        <f t="shared" si="269"/>
        <v>146046.63</v>
      </c>
      <c r="K85" s="7909"/>
      <c r="L85" s="5678">
        <f>SUM(L83:L84)</f>
        <v>73175.629999999976</v>
      </c>
      <c r="M85" s="7873"/>
      <c r="N85" s="7301">
        <f t="shared" si="270"/>
        <v>219222.25999999998</v>
      </c>
      <c r="O85" s="7909"/>
      <c r="P85" s="5835">
        <f>SUM(P83:P84)</f>
        <v>84102.500000000015</v>
      </c>
      <c r="Q85" s="7910"/>
      <c r="R85" s="7310">
        <f t="shared" si="271"/>
        <v>303324.76</v>
      </c>
      <c r="S85" s="7909"/>
      <c r="T85" s="5891">
        <f>SUM(T83:T84)</f>
        <v>86905.930000000008</v>
      </c>
      <c r="U85" s="7910"/>
      <c r="V85" s="7310">
        <f t="shared" si="272"/>
        <v>390230.69</v>
      </c>
      <c r="W85" s="7909"/>
      <c r="X85" s="6005">
        <f>SUM(X83:X84)</f>
        <v>68689.990000000005</v>
      </c>
      <c r="Y85" s="7873">
        <f t="shared" si="332"/>
        <v>0</v>
      </c>
      <c r="Z85" s="7301">
        <f t="shared" si="273"/>
        <v>239698.42000000004</v>
      </c>
      <c r="AA85" s="7874"/>
      <c r="AB85" s="7302">
        <f t="shared" si="274"/>
        <v>458920.68000000005</v>
      </c>
      <c r="AC85" s="7909"/>
      <c r="AD85" s="6136">
        <f>SUM(AD83:AD84)</f>
        <v>52260.410000000011</v>
      </c>
      <c r="AE85" s="7910"/>
      <c r="AF85" s="7310">
        <f t="shared" si="275"/>
        <v>511181.09000000008</v>
      </c>
      <c r="AG85" s="7909"/>
      <c r="AH85" s="6298">
        <f>SUM(AH83:AH84)</f>
        <v>70091.169000000009</v>
      </c>
      <c r="AI85" s="7930"/>
      <c r="AJ85" s="7311">
        <f t="shared" si="323"/>
        <v>581272.25900000008</v>
      </c>
      <c r="AK85" s="7909"/>
      <c r="AL85" s="6547">
        <f>SUM(AL83:AL84)</f>
        <v>83237.279999999999</v>
      </c>
      <c r="AM85" s="7873">
        <f t="shared" si="333"/>
        <v>0</v>
      </c>
      <c r="AN85" s="7303">
        <f>AD85+AH85+AL85</f>
        <v>205588.85900000003</v>
      </c>
      <c r="AO85" s="7910"/>
      <c r="AP85" s="7311">
        <f t="shared" si="315"/>
        <v>664509.53900000011</v>
      </c>
      <c r="AQ85" s="7909"/>
      <c r="AR85" s="6641">
        <f>SUM(AR83:AR84)</f>
        <v>79536.070000000007</v>
      </c>
      <c r="AS85" s="7930"/>
      <c r="AT85" s="7311">
        <f t="shared" si="324"/>
        <v>744045.60900000017</v>
      </c>
      <c r="AU85" s="7909"/>
      <c r="AV85" s="6813">
        <f>SUM(AV83:AV84)</f>
        <v>77559.290000000008</v>
      </c>
      <c r="AW85" s="7930"/>
      <c r="AX85" s="7311">
        <f t="shared" si="325"/>
        <v>821604.89900000021</v>
      </c>
      <c r="AY85" s="7909"/>
      <c r="AZ85" s="6955">
        <f>SUM(AZ83:AZ84)</f>
        <v>81642.310000000012</v>
      </c>
      <c r="BA85" s="7873">
        <f t="shared" si="334"/>
        <v>0</v>
      </c>
      <c r="BB85" s="7303">
        <f>AR85+AV85+AZ85</f>
        <v>238737.67000000004</v>
      </c>
      <c r="BC85" s="7874"/>
      <c r="BD85" s="513">
        <f>AN85+BB85</f>
        <v>444326.5290000001</v>
      </c>
      <c r="BE85" s="7930"/>
      <c r="BF85" s="7311">
        <f t="shared" si="327"/>
        <v>903247.20900000026</v>
      </c>
      <c r="BG85" s="4152">
        <f t="shared" si="328"/>
        <v>0</v>
      </c>
      <c r="BH85" s="4152">
        <f t="shared" si="329"/>
        <v>0</v>
      </c>
      <c r="BI85" s="4152"/>
      <c r="BJ85" s="4152">
        <f t="shared" si="330"/>
        <v>0</v>
      </c>
      <c r="BK85" s="4152">
        <f t="shared" si="331"/>
        <v>0</v>
      </c>
      <c r="BN85" s="4152"/>
    </row>
    <row r="86" spans="1:66" ht="20.25" customHeight="1" x14ac:dyDescent="0.25">
      <c r="A86" s="144"/>
      <c r="B86" s="3793" t="s">
        <v>115</v>
      </c>
      <c r="C86" s="7436"/>
      <c r="D86" s="3793"/>
      <c r="E86" s="3804"/>
      <c r="F86" s="3804"/>
      <c r="G86" s="3804"/>
      <c r="H86" s="3804"/>
      <c r="I86" s="7355"/>
      <c r="J86" s="7310">
        <f t="shared" ref="J86:J151" si="335">F86+H86</f>
        <v>0</v>
      </c>
      <c r="K86" s="3804"/>
      <c r="L86" s="3804"/>
      <c r="M86" s="7369"/>
      <c r="N86" s="7301">
        <f t="shared" ref="N86:N151" si="336">J86+L86</f>
        <v>0</v>
      </c>
      <c r="O86" s="3804"/>
      <c r="P86" s="3804"/>
      <c r="Q86" s="7355"/>
      <c r="R86" s="7310">
        <f t="shared" ref="R86:R151" si="337">N86+P86</f>
        <v>0</v>
      </c>
      <c r="S86" s="3804"/>
      <c r="T86" s="3804"/>
      <c r="U86" s="7355"/>
      <c r="V86" s="7310">
        <f t="shared" ref="V86:V151" si="338">R86+T86</f>
        <v>0</v>
      </c>
      <c r="W86" s="3804"/>
      <c r="X86" s="3804"/>
      <c r="Y86" s="7369"/>
      <c r="Z86" s="7301">
        <f t="shared" ref="Z86:Z151" si="339">P86+T86+X86</f>
        <v>0</v>
      </c>
      <c r="AA86" s="7383"/>
      <c r="AB86" s="7302">
        <f t="shared" ref="AB86:AB151" si="340">N86+Z86</f>
        <v>0</v>
      </c>
      <c r="AC86" s="3804"/>
      <c r="AD86" s="3804"/>
      <c r="AE86" s="7355"/>
      <c r="AF86" s="7310">
        <f t="shared" ref="AF86:AF151" si="341">AB86+AD86</f>
        <v>0</v>
      </c>
      <c r="AG86" s="3804"/>
      <c r="AH86" s="3804"/>
      <c r="AI86" s="7355"/>
      <c r="AJ86" s="7355"/>
      <c r="AK86" s="3804"/>
      <c r="AL86" s="3804"/>
      <c r="AM86" s="7369"/>
      <c r="AN86" s="7369"/>
      <c r="AO86" s="7355"/>
      <c r="AP86" s="7355"/>
      <c r="AQ86" s="3804"/>
      <c r="AR86" s="3804"/>
      <c r="AS86" s="7355"/>
      <c r="AT86" s="7355"/>
      <c r="AU86" s="3804"/>
      <c r="AV86" s="3804"/>
      <c r="AW86" s="7355"/>
      <c r="AX86" s="7355"/>
      <c r="AY86" s="3804"/>
      <c r="AZ86" s="3804"/>
      <c r="BA86" s="7369"/>
      <c r="BB86" s="7369"/>
      <c r="BC86" s="7383"/>
      <c r="BD86" s="7383"/>
      <c r="BE86" s="7355"/>
      <c r="BF86" s="7355"/>
      <c r="BG86" s="4152">
        <f t="shared" si="328"/>
        <v>0</v>
      </c>
      <c r="BH86" s="4152">
        <f t="shared" si="329"/>
        <v>0</v>
      </c>
      <c r="BI86" s="4152"/>
      <c r="BJ86" s="4152">
        <f t="shared" si="330"/>
        <v>0</v>
      </c>
      <c r="BK86" s="4152">
        <f t="shared" si="331"/>
        <v>0</v>
      </c>
      <c r="BN86" s="4152"/>
    </row>
    <row r="87" spans="1:66" ht="20.25" customHeight="1" x14ac:dyDescent="0.25">
      <c r="A87" s="90"/>
      <c r="B87" s="945" t="s">
        <v>22</v>
      </c>
      <c r="C87" s="7337" t="s">
        <v>50</v>
      </c>
      <c r="D87" s="7909">
        <f>+D74</f>
        <v>850000</v>
      </c>
      <c r="E87" s="7909">
        <f>+E74</f>
        <v>56000</v>
      </c>
      <c r="F87" s="1819">
        <v>40321.253000000004</v>
      </c>
      <c r="G87" s="7909">
        <f>+G74</f>
        <v>65000</v>
      </c>
      <c r="H87" s="25">
        <v>42191.7</v>
      </c>
      <c r="I87" s="7910">
        <f>G87+E87</f>
        <v>121000</v>
      </c>
      <c r="J87" s="7310">
        <f t="shared" si="335"/>
        <v>82512.953000000009</v>
      </c>
      <c r="K87" s="7909">
        <f>+K74</f>
        <v>62500</v>
      </c>
      <c r="L87" s="25">
        <v>45178.16</v>
      </c>
      <c r="M87" s="7873">
        <f>E87+G87+K87</f>
        <v>183500</v>
      </c>
      <c r="N87" s="7301">
        <f t="shared" si="336"/>
        <v>127691.11300000001</v>
      </c>
      <c r="O87" s="7909">
        <f>+O74</f>
        <v>65000</v>
      </c>
      <c r="P87" s="25">
        <v>44981.19999999999</v>
      </c>
      <c r="Q87" s="7910">
        <f>O87+M87</f>
        <v>248500</v>
      </c>
      <c r="R87" s="7310">
        <f t="shared" si="337"/>
        <v>172672.31299999999</v>
      </c>
      <c r="S87" s="7909">
        <f>+S74</f>
        <v>65000</v>
      </c>
      <c r="T87" s="2985">
        <v>35382.239999999991</v>
      </c>
      <c r="U87" s="7910">
        <f>S87+Q87</f>
        <v>313500</v>
      </c>
      <c r="V87" s="7310">
        <f t="shared" si="338"/>
        <v>208054.55299999999</v>
      </c>
      <c r="W87" s="7909">
        <f>+W74</f>
        <v>33500</v>
      </c>
      <c r="X87" s="2985">
        <v>36388.539999999994</v>
      </c>
      <c r="Y87" s="7873">
        <f>O87+S87+W87</f>
        <v>163500</v>
      </c>
      <c r="Z87" s="7301">
        <f t="shared" si="339"/>
        <v>116751.97999999997</v>
      </c>
      <c r="AA87" s="7874">
        <f>M87+Y87</f>
        <v>347000</v>
      </c>
      <c r="AB87" s="7302">
        <f t="shared" si="340"/>
        <v>244443.09299999999</v>
      </c>
      <c r="AC87" s="7909">
        <f>+AC74</f>
        <v>67000</v>
      </c>
      <c r="AD87" s="2985">
        <v>24083.659999999996</v>
      </c>
      <c r="AE87" s="7910">
        <f>AC87+AA87</f>
        <v>414000</v>
      </c>
      <c r="AF87" s="7310">
        <f t="shared" si="341"/>
        <v>268526.75299999997</v>
      </c>
      <c r="AG87" s="7909">
        <f>+AG74</f>
        <v>65000</v>
      </c>
      <c r="AH87" s="2985">
        <v>36001.94</v>
      </c>
      <c r="AI87" s="7928">
        <f>AG87+AE87</f>
        <v>479000</v>
      </c>
      <c r="AJ87" s="7310">
        <f t="shared" ref="AJ87:AJ89" si="342">AF87+AH87</f>
        <v>304528.69299999997</v>
      </c>
      <c r="AK87" s="7909">
        <f>+AK74</f>
        <v>67500</v>
      </c>
      <c r="AL87" s="2985">
        <v>34806.000999999997</v>
      </c>
      <c r="AM87" s="7873">
        <f>AC87+AG87+AK87</f>
        <v>199500</v>
      </c>
      <c r="AN87" s="7301">
        <f>AD87+AH87+AL87</f>
        <v>94891.600999999995</v>
      </c>
      <c r="AO87" s="7910">
        <f>AI87+AK87</f>
        <v>546500</v>
      </c>
      <c r="AP87" s="7310">
        <f t="shared" si="315"/>
        <v>339334.69399999996</v>
      </c>
      <c r="AQ87" s="7909">
        <f>+AQ74</f>
        <v>68000</v>
      </c>
      <c r="AR87" s="2985">
        <v>39871.539999999994</v>
      </c>
      <c r="AS87" s="7928">
        <f>AQ87+AO87</f>
        <v>614500</v>
      </c>
      <c r="AT87" s="7310">
        <f t="shared" ref="AT87:AT89" si="343">AP87+AR87</f>
        <v>379206.23399999994</v>
      </c>
      <c r="AU87" s="7909">
        <f>+AU74</f>
        <v>61000</v>
      </c>
      <c r="AV87" s="2985">
        <v>39750.140000000014</v>
      </c>
      <c r="AW87" s="7928">
        <f>AU87+AS87</f>
        <v>675500</v>
      </c>
      <c r="AX87" s="7310">
        <f t="shared" ref="AX87:AX89" si="344">AT87+AV87</f>
        <v>418956.37399999995</v>
      </c>
      <c r="AY87" s="7909">
        <f>+AY74</f>
        <v>68500</v>
      </c>
      <c r="AZ87" s="2985">
        <v>45440.041999999994</v>
      </c>
      <c r="BA87" s="7873">
        <f>AQ87+AU87+AY87</f>
        <v>197500</v>
      </c>
      <c r="BB87" s="7301">
        <f>AR87+AV87+AZ87</f>
        <v>125061.72200000001</v>
      </c>
      <c r="BC87" s="7874">
        <f>AM87+BA87</f>
        <v>397000</v>
      </c>
      <c r="BD87" s="7302">
        <f t="shared" ref="BD87:BD88" si="345">AN87+BB87</f>
        <v>219953.323</v>
      </c>
      <c r="BE87" s="7928">
        <f>AY87+AW87</f>
        <v>744000</v>
      </c>
      <c r="BF87" s="7310">
        <f t="shared" ref="BF87:BF89" si="346">AX87+AZ87</f>
        <v>464396.41599999997</v>
      </c>
      <c r="BG87" s="4152">
        <f t="shared" si="328"/>
        <v>0</v>
      </c>
      <c r="BH87" s="4152">
        <f t="shared" si="329"/>
        <v>0</v>
      </c>
      <c r="BI87" s="4152"/>
      <c r="BJ87" s="4152">
        <f t="shared" si="330"/>
        <v>0</v>
      </c>
      <c r="BK87" s="4152">
        <f t="shared" si="331"/>
        <v>0</v>
      </c>
      <c r="BN87" s="4152"/>
    </row>
    <row r="88" spans="1:66" ht="20.25" customHeight="1" x14ac:dyDescent="0.25">
      <c r="A88" s="90"/>
      <c r="B88" s="945" t="s">
        <v>23</v>
      </c>
      <c r="C88" s="7337" t="s">
        <v>50</v>
      </c>
      <c r="D88" s="7909"/>
      <c r="E88" s="7909"/>
      <c r="F88" s="1819">
        <v>10219.67</v>
      </c>
      <c r="G88" s="7909"/>
      <c r="H88" s="1819">
        <v>15524.300000000003</v>
      </c>
      <c r="I88" s="7910"/>
      <c r="J88" s="7310">
        <f t="shared" si="335"/>
        <v>25743.97</v>
      </c>
      <c r="K88" s="7909"/>
      <c r="L88" s="1819">
        <v>11542.519999999997</v>
      </c>
      <c r="M88" s="7873"/>
      <c r="N88" s="7301">
        <f t="shared" si="336"/>
        <v>37286.49</v>
      </c>
      <c r="O88" s="7909"/>
      <c r="P88" s="1819">
        <v>12283.629999999997</v>
      </c>
      <c r="Q88" s="7910"/>
      <c r="R88" s="7310">
        <f t="shared" si="337"/>
        <v>49570.119999999995</v>
      </c>
      <c r="S88" s="7909"/>
      <c r="T88" s="1819">
        <v>11841.9</v>
      </c>
      <c r="U88" s="7910"/>
      <c r="V88" s="7310">
        <f t="shared" si="338"/>
        <v>61412.02</v>
      </c>
      <c r="W88" s="7909"/>
      <c r="X88" s="1819">
        <v>9559.5800000000017</v>
      </c>
      <c r="Y88" s="7873">
        <f t="shared" ref="Y88:Y89" si="347">O88+S88+W88</f>
        <v>0</v>
      </c>
      <c r="Z88" s="7301">
        <f t="shared" si="339"/>
        <v>33685.11</v>
      </c>
      <c r="AA88" s="7874"/>
      <c r="AB88" s="7302">
        <f t="shared" si="340"/>
        <v>70971.600000000006</v>
      </c>
      <c r="AC88" s="7909"/>
      <c r="AD88" s="1819">
        <v>6132.2199999999993</v>
      </c>
      <c r="AE88" s="7910"/>
      <c r="AF88" s="7310">
        <f t="shared" si="341"/>
        <v>77103.820000000007</v>
      </c>
      <c r="AG88" s="7909"/>
      <c r="AH88" s="1819">
        <v>13442.809999999994</v>
      </c>
      <c r="AI88" s="7929"/>
      <c r="AJ88" s="7310">
        <f t="shared" si="342"/>
        <v>90546.63</v>
      </c>
      <c r="AK88" s="7909"/>
      <c r="AL88" s="1819">
        <v>16732.88</v>
      </c>
      <c r="AM88" s="7873">
        <f t="shared" ref="AM88:AM89" si="348">AC88+AG88+AK88</f>
        <v>0</v>
      </c>
      <c r="AN88" s="7301">
        <f>AD88+AH88+AL88</f>
        <v>36307.909999999989</v>
      </c>
      <c r="AO88" s="7910"/>
      <c r="AP88" s="7310">
        <f t="shared" si="315"/>
        <v>107279.51000000001</v>
      </c>
      <c r="AQ88" s="7909"/>
      <c r="AR88" s="1819">
        <v>15525.399999999996</v>
      </c>
      <c r="AS88" s="7929"/>
      <c r="AT88" s="7310">
        <f t="shared" si="343"/>
        <v>122804.91</v>
      </c>
      <c r="AU88" s="7909"/>
      <c r="AV88" s="1819">
        <v>13321.349999999999</v>
      </c>
      <c r="AW88" s="7929"/>
      <c r="AX88" s="7310">
        <f t="shared" si="344"/>
        <v>136126.26</v>
      </c>
      <c r="AY88" s="7909"/>
      <c r="AZ88" s="1819">
        <v>13360.17</v>
      </c>
      <c r="BA88" s="7873">
        <f t="shared" ref="BA88:BA89" si="349">AQ88+AU88+AY88</f>
        <v>0</v>
      </c>
      <c r="BB88" s="7301">
        <f>AR88+AV88+AZ88</f>
        <v>42206.919999999991</v>
      </c>
      <c r="BC88" s="7874"/>
      <c r="BD88" s="7302">
        <f t="shared" si="345"/>
        <v>78514.829999999987</v>
      </c>
      <c r="BE88" s="7929"/>
      <c r="BF88" s="7310">
        <f t="shared" si="346"/>
        <v>149486.43000000002</v>
      </c>
      <c r="BG88" s="4152">
        <f t="shared" si="328"/>
        <v>0</v>
      </c>
      <c r="BH88" s="4152">
        <f t="shared" si="329"/>
        <v>0</v>
      </c>
      <c r="BI88" s="4152"/>
      <c r="BJ88" s="4152">
        <f t="shared" si="330"/>
        <v>0</v>
      </c>
      <c r="BK88" s="4152">
        <f t="shared" si="331"/>
        <v>0</v>
      </c>
      <c r="BM88" s="4152"/>
      <c r="BN88" s="4152"/>
    </row>
    <row r="89" spans="1:66" x14ac:dyDescent="0.25">
      <c r="A89" s="90"/>
      <c r="B89" s="3795" t="s">
        <v>2</v>
      </c>
      <c r="C89" s="7337" t="s">
        <v>50</v>
      </c>
      <c r="D89" s="7909"/>
      <c r="E89" s="7909"/>
      <c r="F89" s="1677">
        <f>SUM(F87:F88)</f>
        <v>50540.923000000003</v>
      </c>
      <c r="G89" s="7909"/>
      <c r="H89" s="5566">
        <f>SUM(H87:H88)</f>
        <v>57716</v>
      </c>
      <c r="I89" s="7910"/>
      <c r="J89" s="7310">
        <f t="shared" si="335"/>
        <v>108256.92300000001</v>
      </c>
      <c r="K89" s="7909"/>
      <c r="L89" s="5678">
        <f>SUM(L87:L88)</f>
        <v>56720.68</v>
      </c>
      <c r="M89" s="7873"/>
      <c r="N89" s="7301">
        <f t="shared" si="336"/>
        <v>164977.603</v>
      </c>
      <c r="O89" s="7909"/>
      <c r="P89" s="5835">
        <f>SUM(P87:P88)</f>
        <v>57264.829999999987</v>
      </c>
      <c r="Q89" s="7910"/>
      <c r="R89" s="7310">
        <f t="shared" si="337"/>
        <v>222242.43299999999</v>
      </c>
      <c r="S89" s="7909"/>
      <c r="T89" s="5891">
        <f>SUM(T87:T88)</f>
        <v>47224.139999999992</v>
      </c>
      <c r="U89" s="7910"/>
      <c r="V89" s="7310">
        <f t="shared" si="338"/>
        <v>269466.57299999997</v>
      </c>
      <c r="W89" s="7909"/>
      <c r="X89" s="6005">
        <f>SUM(X87:X88)</f>
        <v>45948.119999999995</v>
      </c>
      <c r="Y89" s="7873">
        <f t="shared" si="347"/>
        <v>0</v>
      </c>
      <c r="Z89" s="7301">
        <f t="shared" si="339"/>
        <v>150437.08999999997</v>
      </c>
      <c r="AA89" s="7874"/>
      <c r="AB89" s="7302">
        <f t="shared" si="340"/>
        <v>315414.69299999997</v>
      </c>
      <c r="AC89" s="7909"/>
      <c r="AD89" s="6136">
        <f>SUM(AD87:AD88)</f>
        <v>30215.879999999997</v>
      </c>
      <c r="AE89" s="7910"/>
      <c r="AF89" s="7310">
        <f t="shared" si="341"/>
        <v>345630.57299999997</v>
      </c>
      <c r="AG89" s="7909"/>
      <c r="AH89" s="6298">
        <f>SUM(AH87:AH88)</f>
        <v>49444.75</v>
      </c>
      <c r="AI89" s="7930"/>
      <c r="AJ89" s="7311">
        <f t="shared" si="342"/>
        <v>395075.32299999997</v>
      </c>
      <c r="AK89" s="7909"/>
      <c r="AL89" s="6547">
        <f>SUM(AL87:AL88)</f>
        <v>51538.880999999994</v>
      </c>
      <c r="AM89" s="7873">
        <f t="shared" si="348"/>
        <v>0</v>
      </c>
      <c r="AN89" s="7303">
        <f>AD89+AH89+AL89</f>
        <v>131199.511</v>
      </c>
      <c r="AO89" s="7910"/>
      <c r="AP89" s="7311">
        <f t="shared" si="315"/>
        <v>446614.20399999997</v>
      </c>
      <c r="AQ89" s="7909"/>
      <c r="AR89" s="6641">
        <f>SUM(AR87:AR88)</f>
        <v>55396.939999999988</v>
      </c>
      <c r="AS89" s="7930"/>
      <c r="AT89" s="7311">
        <f t="shared" si="343"/>
        <v>502011.14399999997</v>
      </c>
      <c r="AU89" s="7909"/>
      <c r="AV89" s="6813">
        <f>SUM(AV87:AV88)</f>
        <v>53071.490000000013</v>
      </c>
      <c r="AW89" s="7930"/>
      <c r="AX89" s="7311">
        <f t="shared" si="344"/>
        <v>555082.63399999996</v>
      </c>
      <c r="AY89" s="7909"/>
      <c r="AZ89" s="6955">
        <f>SUM(AZ87:AZ88)</f>
        <v>58800.211999999992</v>
      </c>
      <c r="BA89" s="7873">
        <f t="shared" si="349"/>
        <v>0</v>
      </c>
      <c r="BB89" s="7303">
        <f>AR89+AV89+AZ89</f>
        <v>167268.64199999999</v>
      </c>
      <c r="BC89" s="7874"/>
      <c r="BD89" s="513">
        <f>AN89+BB89</f>
        <v>298468.15299999999</v>
      </c>
      <c r="BE89" s="7930"/>
      <c r="BF89" s="7311">
        <f t="shared" si="346"/>
        <v>613882.8459999999</v>
      </c>
      <c r="BG89" s="4152">
        <f t="shared" si="328"/>
        <v>0</v>
      </c>
      <c r="BH89" s="4152">
        <f t="shared" si="329"/>
        <v>0</v>
      </c>
      <c r="BI89" s="4152"/>
      <c r="BJ89" s="4152">
        <f t="shared" si="330"/>
        <v>0</v>
      </c>
      <c r="BK89" s="4152">
        <f t="shared" si="331"/>
        <v>0</v>
      </c>
      <c r="BN89" s="4152"/>
    </row>
    <row r="90" spans="1:66" x14ac:dyDescent="0.25">
      <c r="A90" s="144"/>
      <c r="B90" s="3793" t="s">
        <v>488</v>
      </c>
      <c r="C90" s="7436"/>
      <c r="D90" s="3793"/>
      <c r="E90" s="3804"/>
      <c r="F90" s="3804"/>
      <c r="G90" s="3804"/>
      <c r="H90" s="3804"/>
      <c r="I90" s="7355"/>
      <c r="J90" s="7310">
        <f t="shared" si="335"/>
        <v>0</v>
      </c>
      <c r="K90" s="3804"/>
      <c r="L90" s="3804"/>
      <c r="M90" s="7369"/>
      <c r="N90" s="7301">
        <f t="shared" si="336"/>
        <v>0</v>
      </c>
      <c r="O90" s="3804"/>
      <c r="P90" s="3804"/>
      <c r="Q90" s="7355"/>
      <c r="R90" s="7310">
        <f t="shared" si="337"/>
        <v>0</v>
      </c>
      <c r="S90" s="3804"/>
      <c r="T90" s="3804"/>
      <c r="U90" s="7355"/>
      <c r="V90" s="7310">
        <f t="shared" si="338"/>
        <v>0</v>
      </c>
      <c r="W90" s="3804"/>
      <c r="X90" s="3804"/>
      <c r="Y90" s="7369"/>
      <c r="Z90" s="7301">
        <f t="shared" si="339"/>
        <v>0</v>
      </c>
      <c r="AA90" s="7383"/>
      <c r="AB90" s="7302">
        <f t="shared" si="340"/>
        <v>0</v>
      </c>
      <c r="AC90" s="3804"/>
      <c r="AD90" s="3804"/>
      <c r="AE90" s="7355"/>
      <c r="AF90" s="7310">
        <f t="shared" si="341"/>
        <v>0</v>
      </c>
      <c r="AG90" s="3804"/>
      <c r="AH90" s="3804"/>
      <c r="AI90" s="7355"/>
      <c r="AJ90" s="7355"/>
      <c r="AK90" s="3804"/>
      <c r="AL90" s="3804"/>
      <c r="AM90" s="7369"/>
      <c r="AN90" s="7369"/>
      <c r="AO90" s="7355"/>
      <c r="AP90" s="7355"/>
      <c r="AQ90" s="3804"/>
      <c r="AR90" s="3804"/>
      <c r="AS90" s="7355"/>
      <c r="AT90" s="7355"/>
      <c r="AU90" s="3804"/>
      <c r="AV90" s="3804"/>
      <c r="AW90" s="7355"/>
      <c r="AX90" s="7355"/>
      <c r="AY90" s="3804"/>
      <c r="AZ90" s="3804"/>
      <c r="BA90" s="7369"/>
      <c r="BB90" s="7369"/>
      <c r="BC90" s="7383"/>
      <c r="BD90" s="7383"/>
      <c r="BE90" s="7355"/>
      <c r="BF90" s="7355"/>
      <c r="BG90" s="4152">
        <f t="shared" si="328"/>
        <v>0</v>
      </c>
      <c r="BH90" s="4152">
        <f t="shared" si="329"/>
        <v>0</v>
      </c>
      <c r="BI90" s="4152"/>
      <c r="BJ90" s="4152">
        <f t="shared" si="330"/>
        <v>0</v>
      </c>
      <c r="BK90" s="4152">
        <f t="shared" si="331"/>
        <v>0</v>
      </c>
      <c r="BN90" s="4152"/>
    </row>
    <row r="91" spans="1:66" ht="20.25" customHeight="1" x14ac:dyDescent="0.25">
      <c r="A91" s="90"/>
      <c r="B91" s="945" t="s">
        <v>22</v>
      </c>
      <c r="C91" s="7337" t="s">
        <v>50</v>
      </c>
      <c r="D91" s="7909">
        <f>+D75</f>
        <v>350000</v>
      </c>
      <c r="E91" s="7909">
        <f>+E75</f>
        <v>20999.957109341791</v>
      </c>
      <c r="F91" s="1819">
        <v>20288.099999999999</v>
      </c>
      <c r="G91" s="7909">
        <f>+G75</f>
        <v>48499.576671657102</v>
      </c>
      <c r="H91" s="1819">
        <v>35675.959999999992</v>
      </c>
      <c r="I91" s="7910">
        <f>E91+G91</f>
        <v>69499.5337809989</v>
      </c>
      <c r="J91" s="7310">
        <f t="shared" si="335"/>
        <v>55964.05999999999</v>
      </c>
      <c r="K91" s="7909">
        <f>+K75</f>
        <v>48000.110883115201</v>
      </c>
      <c r="L91" s="1819">
        <v>37175.06</v>
      </c>
      <c r="M91" s="7873">
        <f>E91+G91+K91</f>
        <v>117499.64466411411</v>
      </c>
      <c r="N91" s="7301">
        <f t="shared" si="336"/>
        <v>93139.12</v>
      </c>
      <c r="O91" s="7909">
        <f>+O75</f>
        <v>43500.141355320899</v>
      </c>
      <c r="P91" s="1819">
        <v>36920.9</v>
      </c>
      <c r="Q91" s="7910">
        <f>M91+O91</f>
        <v>160999.78601943501</v>
      </c>
      <c r="R91" s="7310">
        <f t="shared" si="337"/>
        <v>130060.01999999999</v>
      </c>
      <c r="S91" s="7909">
        <f>+S75</f>
        <v>43500.141355320899</v>
      </c>
      <c r="T91" s="1819">
        <v>50322.420000000006</v>
      </c>
      <c r="U91" s="7910">
        <f>Q91+S91</f>
        <v>204499.92737475591</v>
      </c>
      <c r="V91" s="7310">
        <f t="shared" si="338"/>
        <v>180382.44</v>
      </c>
      <c r="W91" s="7909">
        <f>+W75</f>
        <v>15300.0147648532</v>
      </c>
      <c r="X91" s="1819">
        <v>38909.94</v>
      </c>
      <c r="Y91" s="7873">
        <f>O91+S91+W91</f>
        <v>102300.297475495</v>
      </c>
      <c r="Z91" s="7301">
        <f t="shared" si="339"/>
        <v>126153.26000000001</v>
      </c>
      <c r="AA91" s="7874">
        <f>M91+Y91</f>
        <v>219799.94213960911</v>
      </c>
      <c r="AB91" s="7302">
        <f t="shared" si="340"/>
        <v>219292.38</v>
      </c>
      <c r="AC91" s="7909">
        <f>+AC75</f>
        <v>48999.528159756301</v>
      </c>
      <c r="AD91" s="1819">
        <v>47175.419999999991</v>
      </c>
      <c r="AE91" s="7910">
        <f>AA91+AC91</f>
        <v>268799.47029936541</v>
      </c>
      <c r="AF91" s="7310">
        <f t="shared" si="341"/>
        <v>266467.8</v>
      </c>
      <c r="AG91" s="7909">
        <f>+AG75</f>
        <v>45499.588455674595</v>
      </c>
      <c r="AH91" s="1819">
        <v>43090.12</v>
      </c>
      <c r="AI91" s="7928">
        <f>AE91+AG91</f>
        <v>314299.05875503999</v>
      </c>
      <c r="AJ91" s="7310">
        <f t="shared" ref="AJ91:AJ93" si="350">AF91+AH91</f>
        <v>309557.92</v>
      </c>
      <c r="AK91" s="7909">
        <f>+AK75</f>
        <v>46000.054244216401</v>
      </c>
      <c r="AL91" s="1819">
        <v>35096.200000000004</v>
      </c>
      <c r="AM91" s="7873">
        <f>AC91+AG91+AK91</f>
        <v>140499.17085964727</v>
      </c>
      <c r="AN91" s="7301">
        <f>AD91+AH91+AL91</f>
        <v>125361.73999999999</v>
      </c>
      <c r="AO91" s="7910">
        <f>AI91+AK91</f>
        <v>360299.11299925641</v>
      </c>
      <c r="AP91" s="7310">
        <f t="shared" si="315"/>
        <v>344654.12</v>
      </c>
      <c r="AQ91" s="7909">
        <f>+AQ75</f>
        <v>48499.664678463945</v>
      </c>
      <c r="AR91" s="1819">
        <v>28532.959999999995</v>
      </c>
      <c r="AS91" s="7928">
        <f>AO91+AQ91</f>
        <v>408798.77767772035</v>
      </c>
      <c r="AT91" s="7310">
        <f t="shared" ref="AT91:AT93" si="351">AP91+AR91</f>
        <v>373187.08</v>
      </c>
      <c r="AU91" s="7909">
        <f>+AU75</f>
        <v>41500.010429203743</v>
      </c>
      <c r="AV91" s="1819">
        <v>9250.66</v>
      </c>
      <c r="AW91" s="7928">
        <f>AS91+AU91</f>
        <v>450298.7881069241</v>
      </c>
      <c r="AX91" s="7310">
        <f t="shared" ref="AX91:AX93" si="352">AT91+AV91</f>
        <v>382437.74</v>
      </c>
      <c r="AY91" s="7909">
        <f>+AY75</f>
        <v>46999.690762923987</v>
      </c>
      <c r="AZ91" s="1819">
        <v>30071.229999999996</v>
      </c>
      <c r="BA91" s="7873">
        <f>AQ91+AU91+AY91</f>
        <v>136999.36587059166</v>
      </c>
      <c r="BB91" s="7301">
        <f>AR91+AV91+AZ91</f>
        <v>67854.849999999991</v>
      </c>
      <c r="BC91" s="7874">
        <f>AM91+BA91</f>
        <v>277498.53673023893</v>
      </c>
      <c r="BD91" s="7302">
        <f t="shared" ref="BD91:BD92" si="353">AN91+BB91</f>
        <v>193216.58999999997</v>
      </c>
      <c r="BE91" s="7928">
        <f>AW91+AY91</f>
        <v>497298.47886984807</v>
      </c>
      <c r="BF91" s="7310">
        <f t="shared" ref="BF91:BF93" si="354">AX91+AZ91</f>
        <v>412508.97</v>
      </c>
      <c r="BG91" s="4152">
        <f t="shared" si="328"/>
        <v>0</v>
      </c>
      <c r="BH91" s="4152">
        <f t="shared" si="329"/>
        <v>0</v>
      </c>
      <c r="BI91" s="4152"/>
      <c r="BJ91" s="4152">
        <f t="shared" si="330"/>
        <v>0</v>
      </c>
      <c r="BK91" s="4152">
        <f t="shared" si="331"/>
        <v>0</v>
      </c>
      <c r="BN91" s="4152"/>
    </row>
    <row r="92" spans="1:66" ht="20.25" customHeight="1" x14ac:dyDescent="0.25">
      <c r="A92" s="90"/>
      <c r="B92" s="945" t="s">
        <v>23</v>
      </c>
      <c r="C92" s="7337" t="s">
        <v>50</v>
      </c>
      <c r="D92" s="7909"/>
      <c r="E92" s="7909"/>
      <c r="F92" s="1819">
        <v>11818.610000000004</v>
      </c>
      <c r="G92" s="7909"/>
      <c r="H92" s="1819">
        <v>17359.149999999998</v>
      </c>
      <c r="I92" s="7910"/>
      <c r="J92" s="7310">
        <f t="shared" si="335"/>
        <v>29177.760000000002</v>
      </c>
      <c r="K92" s="7909"/>
      <c r="L92" s="1819">
        <v>13924.959999999995</v>
      </c>
      <c r="M92" s="7873"/>
      <c r="N92" s="7301">
        <f t="shared" si="336"/>
        <v>43102.720000000001</v>
      </c>
      <c r="O92" s="7909"/>
      <c r="P92" s="1819">
        <v>21138.309999999998</v>
      </c>
      <c r="Q92" s="7910"/>
      <c r="R92" s="7310">
        <f t="shared" si="337"/>
        <v>64241.03</v>
      </c>
      <c r="S92" s="7909"/>
      <c r="T92" s="1819">
        <v>19654.54</v>
      </c>
      <c r="U92" s="7910"/>
      <c r="V92" s="7310">
        <f t="shared" si="338"/>
        <v>83895.57</v>
      </c>
      <c r="W92" s="7909"/>
      <c r="X92" s="1819">
        <v>16690.590000000004</v>
      </c>
      <c r="Y92" s="7873">
        <f t="shared" ref="Y92:Y93" si="355">O92+S92+W92</f>
        <v>0</v>
      </c>
      <c r="Z92" s="7301">
        <f t="shared" si="339"/>
        <v>57483.44</v>
      </c>
      <c r="AA92" s="7874"/>
      <c r="AB92" s="7302">
        <f t="shared" si="340"/>
        <v>100586.16</v>
      </c>
      <c r="AC92" s="7909"/>
      <c r="AD92" s="1819">
        <v>12125.859999999999</v>
      </c>
      <c r="AE92" s="7910"/>
      <c r="AF92" s="7310">
        <f t="shared" si="341"/>
        <v>112712.02</v>
      </c>
      <c r="AG92" s="7909"/>
      <c r="AH92" s="1819">
        <v>19952.91</v>
      </c>
      <c r="AI92" s="7929"/>
      <c r="AJ92" s="7310">
        <f t="shared" si="350"/>
        <v>132664.93</v>
      </c>
      <c r="AK92" s="7909"/>
      <c r="AL92" s="1819">
        <v>19411.210000000003</v>
      </c>
      <c r="AM92" s="7873">
        <f t="shared" ref="AM92:AM93" si="356">AC92+AG92+AK92</f>
        <v>0</v>
      </c>
      <c r="AN92" s="7301">
        <f>AD92+AH92+AL92</f>
        <v>51489.979999999996</v>
      </c>
      <c r="AO92" s="7910"/>
      <c r="AP92" s="7310">
        <f t="shared" si="315"/>
        <v>152076.13999999998</v>
      </c>
      <c r="AQ92" s="7909"/>
      <c r="AR92" s="1819">
        <v>13472.080000000002</v>
      </c>
      <c r="AS92" s="7929"/>
      <c r="AT92" s="7310">
        <f t="shared" si="351"/>
        <v>165548.21999999997</v>
      </c>
      <c r="AU92" s="7909"/>
      <c r="AV92" s="1819">
        <v>9394.4000000000015</v>
      </c>
      <c r="AW92" s="7929"/>
      <c r="AX92" s="7310">
        <f t="shared" si="352"/>
        <v>174942.61999999997</v>
      </c>
      <c r="AY92" s="7909"/>
      <c r="AZ92" s="1819">
        <v>12792.630000000001</v>
      </c>
      <c r="BA92" s="7873">
        <f t="shared" ref="BA92:BA93" si="357">AQ92+AU92+AY92</f>
        <v>0</v>
      </c>
      <c r="BB92" s="7301">
        <f>AR92+AV92+AZ92</f>
        <v>35659.11</v>
      </c>
      <c r="BC92" s="7874"/>
      <c r="BD92" s="7302">
        <f t="shared" si="353"/>
        <v>87149.09</v>
      </c>
      <c r="BE92" s="7929"/>
      <c r="BF92" s="7310">
        <f t="shared" si="354"/>
        <v>187735.24999999997</v>
      </c>
      <c r="BG92" s="4152">
        <f t="shared" si="328"/>
        <v>0</v>
      </c>
      <c r="BH92" s="4152">
        <f t="shared" si="329"/>
        <v>0</v>
      </c>
      <c r="BI92" s="4152"/>
      <c r="BJ92" s="4152">
        <f t="shared" si="330"/>
        <v>0</v>
      </c>
      <c r="BK92" s="4152">
        <f t="shared" si="331"/>
        <v>0</v>
      </c>
      <c r="BM92" s="4152"/>
      <c r="BN92" s="4152"/>
    </row>
    <row r="93" spans="1:66" x14ac:dyDescent="0.25">
      <c r="A93" s="90"/>
      <c r="B93" s="3795" t="s">
        <v>2</v>
      </c>
      <c r="C93" s="7337" t="s">
        <v>50</v>
      </c>
      <c r="D93" s="7909"/>
      <c r="E93" s="7909"/>
      <c r="F93" s="1677">
        <f>SUM(F91:F92)</f>
        <v>32106.710000000003</v>
      </c>
      <c r="G93" s="7909"/>
      <c r="H93" s="5566">
        <f>SUM(H91:H92)</f>
        <v>53035.109999999986</v>
      </c>
      <c r="I93" s="7910"/>
      <c r="J93" s="7310">
        <f t="shared" si="335"/>
        <v>85141.819999999992</v>
      </c>
      <c r="K93" s="7909"/>
      <c r="L93" s="5678">
        <f>SUM(L91:L92)</f>
        <v>51100.01999999999</v>
      </c>
      <c r="M93" s="7873"/>
      <c r="N93" s="7301">
        <f t="shared" si="336"/>
        <v>136241.83999999997</v>
      </c>
      <c r="O93" s="7909"/>
      <c r="P93" s="5835">
        <f>SUM(P91:P92)</f>
        <v>58059.21</v>
      </c>
      <c r="Q93" s="7910"/>
      <c r="R93" s="7310">
        <f t="shared" si="337"/>
        <v>194301.04999999996</v>
      </c>
      <c r="S93" s="7909"/>
      <c r="T93" s="5891">
        <f>SUM(T91:T92)</f>
        <v>69976.960000000006</v>
      </c>
      <c r="U93" s="7910"/>
      <c r="V93" s="7310">
        <f t="shared" si="338"/>
        <v>264278.00999999995</v>
      </c>
      <c r="W93" s="7909"/>
      <c r="X93" s="6005">
        <f>SUM(X91:X92)</f>
        <v>55600.530000000006</v>
      </c>
      <c r="Y93" s="7873">
        <f t="shared" si="355"/>
        <v>0</v>
      </c>
      <c r="Z93" s="7301">
        <f t="shared" si="339"/>
        <v>183636.7</v>
      </c>
      <c r="AA93" s="7874"/>
      <c r="AB93" s="7302">
        <f t="shared" si="340"/>
        <v>319878.53999999998</v>
      </c>
      <c r="AC93" s="7909"/>
      <c r="AD93" s="6136">
        <f>SUM(AD91:AD92)</f>
        <v>59301.279999999992</v>
      </c>
      <c r="AE93" s="7910"/>
      <c r="AF93" s="7310">
        <f t="shared" si="341"/>
        <v>379179.81999999995</v>
      </c>
      <c r="AG93" s="7909"/>
      <c r="AH93" s="6298">
        <f>SUM(AH91:AH92)</f>
        <v>63043.03</v>
      </c>
      <c r="AI93" s="7930"/>
      <c r="AJ93" s="7311">
        <f t="shared" si="350"/>
        <v>442222.85</v>
      </c>
      <c r="AK93" s="7909"/>
      <c r="AL93" s="6547">
        <f>SUM(AL91:AL92)</f>
        <v>54507.41</v>
      </c>
      <c r="AM93" s="7873">
        <f t="shared" si="356"/>
        <v>0</v>
      </c>
      <c r="AN93" s="7303">
        <f>AD93+AH93+AL93</f>
        <v>176851.72</v>
      </c>
      <c r="AO93" s="7910"/>
      <c r="AP93" s="7311">
        <f t="shared" si="315"/>
        <v>496730.26</v>
      </c>
      <c r="AQ93" s="7909"/>
      <c r="AR93" s="6641">
        <f>SUM(AR91:AR92)</f>
        <v>42005.039999999994</v>
      </c>
      <c r="AS93" s="7930"/>
      <c r="AT93" s="7311">
        <f t="shared" si="351"/>
        <v>538735.30000000005</v>
      </c>
      <c r="AU93" s="7909"/>
      <c r="AV93" s="6813">
        <f>SUM(AV91:AV92)</f>
        <v>18645.060000000001</v>
      </c>
      <c r="AW93" s="7930"/>
      <c r="AX93" s="7311">
        <f t="shared" si="352"/>
        <v>557380.3600000001</v>
      </c>
      <c r="AY93" s="7909"/>
      <c r="AZ93" s="6955">
        <f>SUM(AZ91:AZ92)</f>
        <v>42863.86</v>
      </c>
      <c r="BA93" s="7873">
        <f t="shared" si="357"/>
        <v>0</v>
      </c>
      <c r="BB93" s="7303">
        <f>AR93+AV93+AZ93</f>
        <v>103513.95999999999</v>
      </c>
      <c r="BC93" s="7874"/>
      <c r="BD93" s="513">
        <f>AN93+BB93</f>
        <v>280365.68</v>
      </c>
      <c r="BE93" s="7930"/>
      <c r="BF93" s="7311">
        <f t="shared" si="354"/>
        <v>600244.22000000009</v>
      </c>
      <c r="BG93" s="4152">
        <f t="shared" si="328"/>
        <v>0</v>
      </c>
      <c r="BH93" s="4152">
        <f t="shared" si="329"/>
        <v>0</v>
      </c>
      <c r="BI93" s="4152"/>
      <c r="BJ93" s="4152">
        <f t="shared" si="330"/>
        <v>0</v>
      </c>
      <c r="BK93" s="4152">
        <f t="shared" si="331"/>
        <v>0</v>
      </c>
    </row>
    <row r="94" spans="1:66" x14ac:dyDescent="0.25">
      <c r="A94" s="144"/>
      <c r="B94" s="808" t="s">
        <v>116</v>
      </c>
      <c r="C94" s="3922"/>
      <c r="D94" s="808"/>
      <c r="E94" s="3800"/>
      <c r="F94" s="3800"/>
      <c r="G94" s="3800"/>
      <c r="H94" s="3800"/>
      <c r="I94" s="7351"/>
      <c r="J94" s="7310">
        <f t="shared" si="335"/>
        <v>0</v>
      </c>
      <c r="K94" s="3800"/>
      <c r="L94" s="3800"/>
      <c r="M94" s="7368"/>
      <c r="N94" s="7301">
        <f t="shared" si="336"/>
        <v>0</v>
      </c>
      <c r="O94" s="3800"/>
      <c r="P94" s="3800"/>
      <c r="Q94" s="7351"/>
      <c r="R94" s="7310">
        <f t="shared" si="337"/>
        <v>0</v>
      </c>
      <c r="S94" s="3800"/>
      <c r="T94" s="3800"/>
      <c r="U94" s="7351"/>
      <c r="V94" s="7310">
        <f t="shared" si="338"/>
        <v>0</v>
      </c>
      <c r="W94" s="3800"/>
      <c r="X94" s="3800"/>
      <c r="Y94" s="7368"/>
      <c r="Z94" s="7301">
        <f t="shared" si="339"/>
        <v>0</v>
      </c>
      <c r="AA94" s="7380"/>
      <c r="AB94" s="7302">
        <f t="shared" si="340"/>
        <v>0</v>
      </c>
      <c r="AC94" s="3800"/>
      <c r="AD94" s="3800"/>
      <c r="AE94" s="7351"/>
      <c r="AF94" s="7310">
        <f t="shared" si="341"/>
        <v>0</v>
      </c>
      <c r="AG94" s="3800"/>
      <c r="AH94" s="3800"/>
      <c r="AI94" s="7351"/>
      <c r="AJ94" s="7351"/>
      <c r="AK94" s="3800"/>
      <c r="AL94" s="3800"/>
      <c r="AM94" s="7368"/>
      <c r="AN94" s="7368"/>
      <c r="AO94" s="7351"/>
      <c r="AP94" s="7351"/>
      <c r="AQ94" s="3800"/>
      <c r="AR94" s="3800"/>
      <c r="AS94" s="7351"/>
      <c r="AT94" s="7351"/>
      <c r="AU94" s="3800"/>
      <c r="AV94" s="3800"/>
      <c r="AW94" s="7351"/>
      <c r="AX94" s="7351"/>
      <c r="AY94" s="3800"/>
      <c r="AZ94" s="3800"/>
      <c r="BA94" s="7368"/>
      <c r="BB94" s="7368"/>
      <c r="BC94" s="7380"/>
      <c r="BD94" s="7380"/>
      <c r="BE94" s="7351"/>
      <c r="BF94" s="7351"/>
      <c r="BG94" s="4152">
        <f t="shared" si="328"/>
        <v>0</v>
      </c>
      <c r="BH94" s="4152">
        <f t="shared" si="329"/>
        <v>0</v>
      </c>
      <c r="BI94" s="4152"/>
      <c r="BJ94" s="4152">
        <f t="shared" si="330"/>
        <v>0</v>
      </c>
      <c r="BK94" s="4152">
        <f t="shared" si="331"/>
        <v>0</v>
      </c>
    </row>
    <row r="95" spans="1:66" x14ac:dyDescent="0.25">
      <c r="A95" s="90"/>
      <c r="B95" s="3795" t="s">
        <v>22</v>
      </c>
      <c r="C95" s="7337" t="s">
        <v>50</v>
      </c>
      <c r="D95" s="7909">
        <f>+D79+D83+D87+D91</f>
        <v>2710000</v>
      </c>
      <c r="E95" s="7909">
        <f>+E79+E83+E87+E91</f>
        <v>181999.95710934181</v>
      </c>
      <c r="F95" s="1677">
        <f>+F79+F83+F87+F91</f>
        <v>164894.72300000003</v>
      </c>
      <c r="G95" s="7909">
        <f>+G79+G83+G87+G91</f>
        <v>236499.57667165709</v>
      </c>
      <c r="H95" s="5566">
        <f>+H79+H83+H87+H91</f>
        <v>175451.51999999999</v>
      </c>
      <c r="I95" s="7910">
        <f>E95+G95</f>
        <v>418499.5337809989</v>
      </c>
      <c r="J95" s="7310">
        <f t="shared" si="335"/>
        <v>340346.24300000002</v>
      </c>
      <c r="K95" s="7909">
        <f>+K79+K83+K87+K91</f>
        <v>229000.11088311521</v>
      </c>
      <c r="L95" s="5678">
        <f>+L79+L83+L87+L91</f>
        <v>185082.03999999998</v>
      </c>
      <c r="M95" s="7873">
        <f>E95+G95+K95</f>
        <v>647499.64466411411</v>
      </c>
      <c r="N95" s="7301">
        <f t="shared" si="336"/>
        <v>525428.28300000005</v>
      </c>
      <c r="O95" s="7909">
        <f>+O79+O83+O87+O91</f>
        <v>231500.1413553209</v>
      </c>
      <c r="P95" s="5835">
        <f>+P79+P83+P87+P91</f>
        <v>192470.12</v>
      </c>
      <c r="Q95" s="7910">
        <f>M95+O95</f>
        <v>878999.78601943504</v>
      </c>
      <c r="R95" s="7310">
        <f t="shared" si="337"/>
        <v>717898.40300000005</v>
      </c>
      <c r="S95" s="7909">
        <f>+S79+S83+S87+S91</f>
        <v>231500.1413553209</v>
      </c>
      <c r="T95" s="5891">
        <f>+T79+T83+T87+T91</f>
        <v>199128.72</v>
      </c>
      <c r="U95" s="7910">
        <f>Q95+S95</f>
        <v>1110499.927374756</v>
      </c>
      <c r="V95" s="7310">
        <f t="shared" si="338"/>
        <v>917027.12300000002</v>
      </c>
      <c r="W95" s="7909">
        <f>+W79+W83+W87+W91</f>
        <v>121300.0147648532</v>
      </c>
      <c r="X95" s="6005">
        <f>+X79+X83+X87+X91</f>
        <v>164142.78000000003</v>
      </c>
      <c r="Y95" s="7873">
        <f>O95+S95+W95</f>
        <v>584300.29747549503</v>
      </c>
      <c r="Z95" s="7301">
        <f t="shared" si="339"/>
        <v>555741.62</v>
      </c>
      <c r="AA95" s="7874">
        <f>M95+Y95</f>
        <v>1231799.9421396093</v>
      </c>
      <c r="AB95" s="7302">
        <f t="shared" si="340"/>
        <v>1081169.9029999999</v>
      </c>
      <c r="AC95" s="7909">
        <f>+AC79+AC83+AC87+AC91</f>
        <v>236499.5281597563</v>
      </c>
      <c r="AD95" s="6136">
        <f>+AD79+AD83+AD87+AD91</f>
        <v>145794.66</v>
      </c>
      <c r="AE95" s="7910">
        <f>AA95+AC95</f>
        <v>1468299.4702993655</v>
      </c>
      <c r="AF95" s="7310">
        <f t="shared" si="341"/>
        <v>1226964.5629999998</v>
      </c>
      <c r="AG95" s="7909">
        <f>+AG79+AG83+AG87+AG91</f>
        <v>228999.58845567459</v>
      </c>
      <c r="AH95" s="6298">
        <f>+AH79+AH83+AH87+AH91</f>
        <v>168162.38500000001</v>
      </c>
      <c r="AI95" s="7928">
        <f>AE95+AG95</f>
        <v>1697299.0587550402</v>
      </c>
      <c r="AJ95" s="7311">
        <f t="shared" ref="AJ95:AJ97" si="358">AF95+AH95</f>
        <v>1395126.9479999999</v>
      </c>
      <c r="AK95" s="7909">
        <f>+AK79+AK83+AK87+AK91</f>
        <v>236500.05424421642</v>
      </c>
      <c r="AL95" s="6547">
        <f>+AL79+AL83+AL87+AL91</f>
        <v>173711.40100000001</v>
      </c>
      <c r="AM95" s="7873">
        <f>AC95+AG95+AK95</f>
        <v>701999.17085964733</v>
      </c>
      <c r="AN95" s="7303">
        <f>AD95+AH95+AL95</f>
        <v>487668.44600000005</v>
      </c>
      <c r="AO95" s="7910">
        <f>AI95+AK95</f>
        <v>1933799.1129992567</v>
      </c>
      <c r="AP95" s="7311">
        <f t="shared" si="315"/>
        <v>1568838.3489999999</v>
      </c>
      <c r="AQ95" s="7909">
        <f>+AQ79+AQ83+AQ87+AQ91</f>
        <v>239999.66467846395</v>
      </c>
      <c r="AR95" s="6641">
        <f>+AR79+AR83+AR87+AR91</f>
        <v>175869.74100000001</v>
      </c>
      <c r="AS95" s="7928">
        <f>AO95+AQ95</f>
        <v>2173798.7776777204</v>
      </c>
      <c r="AT95" s="7311">
        <f t="shared" ref="AT95:AT97" si="359">AP95+AR95</f>
        <v>1744708.0899999999</v>
      </c>
      <c r="AU95" s="7909">
        <f>+AU79+AU83+AU87+AU91</f>
        <v>214000.01042920374</v>
      </c>
      <c r="AV95" s="6813">
        <f>+AV79+AV83+AV87+AV91</f>
        <v>153661.6</v>
      </c>
      <c r="AW95" s="7928">
        <f>AS95+AU95</f>
        <v>2387798.7881069239</v>
      </c>
      <c r="AX95" s="7311">
        <f t="shared" ref="AX95:AX97" si="360">AT95+AV95</f>
        <v>1898369.69</v>
      </c>
      <c r="AY95" s="7909">
        <f>+AY79+AY83+AY87+AY91</f>
        <v>239999.69076292397</v>
      </c>
      <c r="AZ95" s="6955">
        <f>+AZ79+AZ83+AZ87+AZ91</f>
        <v>193134.93200000003</v>
      </c>
      <c r="BA95" s="7873">
        <f>AQ95+AU95+AY95</f>
        <v>693999.36587059172</v>
      </c>
      <c r="BB95" s="7303">
        <f>AR95+AV95+AZ95</f>
        <v>522666.27300000004</v>
      </c>
      <c r="BC95" s="7874">
        <f>AM95+BA95</f>
        <v>1395998.5367302392</v>
      </c>
      <c r="BD95" s="513">
        <f>AN95+BB95</f>
        <v>1010334.719</v>
      </c>
      <c r="BE95" s="7928">
        <f>AW95+AY95</f>
        <v>2627798.478869848</v>
      </c>
      <c r="BF95" s="7311">
        <f t="shared" ref="BF95:BF97" si="361">AX95+AZ95</f>
        <v>2091504.622</v>
      </c>
      <c r="BG95" s="4152">
        <f t="shared" si="328"/>
        <v>0</v>
      </c>
      <c r="BH95" s="4152">
        <f t="shared" si="329"/>
        <v>0</v>
      </c>
      <c r="BI95" s="4152"/>
      <c r="BJ95" s="4152">
        <f t="shared" si="330"/>
        <v>0</v>
      </c>
      <c r="BK95" s="4152">
        <f t="shared" si="331"/>
        <v>0</v>
      </c>
    </row>
    <row r="96" spans="1:66" x14ac:dyDescent="0.25">
      <c r="A96" s="90"/>
      <c r="B96" s="3799" t="s">
        <v>23</v>
      </c>
      <c r="C96" s="194" t="s">
        <v>50</v>
      </c>
      <c r="D96" s="7909"/>
      <c r="E96" s="7909"/>
      <c r="F96" s="1820">
        <f>+F80+F84+F88+F92</f>
        <v>37527.87000000001</v>
      </c>
      <c r="G96" s="7909"/>
      <c r="H96" s="1820">
        <f>+H80+H84+H88+H92</f>
        <v>42014.509999999995</v>
      </c>
      <c r="I96" s="7910"/>
      <c r="J96" s="7310">
        <f t="shared" si="335"/>
        <v>79542.38</v>
      </c>
      <c r="K96" s="7909"/>
      <c r="L96" s="1820">
        <f>+L80+L84+L88+L92</f>
        <v>33422.349999999991</v>
      </c>
      <c r="M96" s="7873"/>
      <c r="N96" s="7301">
        <f t="shared" si="336"/>
        <v>112964.73</v>
      </c>
      <c r="O96" s="7909"/>
      <c r="P96" s="1820">
        <f>+P80+P84+P88+P92</f>
        <v>51153.71</v>
      </c>
      <c r="Q96" s="7910"/>
      <c r="R96" s="7310">
        <f t="shared" si="337"/>
        <v>164118.44</v>
      </c>
      <c r="S96" s="7909"/>
      <c r="T96" s="1820">
        <f>+T80+T84+T88+T92</f>
        <v>47189.729999999996</v>
      </c>
      <c r="U96" s="7910"/>
      <c r="V96" s="7310">
        <f t="shared" si="338"/>
        <v>211308.16999999998</v>
      </c>
      <c r="W96" s="7909"/>
      <c r="X96" s="1820">
        <f>+X80+X84+X88+X92</f>
        <v>43122.55</v>
      </c>
      <c r="Y96" s="7873">
        <f t="shared" ref="Y96:Y97" si="362">O96+S96+W96</f>
        <v>0</v>
      </c>
      <c r="Z96" s="7301">
        <f t="shared" si="339"/>
        <v>141465.99</v>
      </c>
      <c r="AA96" s="7874"/>
      <c r="AB96" s="7302">
        <f t="shared" si="340"/>
        <v>254430.71999999997</v>
      </c>
      <c r="AC96" s="7909"/>
      <c r="AD96" s="1820">
        <f>+AD80+AD84+AD88+AD92</f>
        <v>27763.03</v>
      </c>
      <c r="AE96" s="7910"/>
      <c r="AF96" s="7310">
        <f t="shared" si="341"/>
        <v>282193.75</v>
      </c>
      <c r="AG96" s="7909"/>
      <c r="AH96" s="1820">
        <f>+AH80+AH84+AH88+AH92</f>
        <v>52751.3</v>
      </c>
      <c r="AI96" s="7929"/>
      <c r="AJ96" s="7311">
        <f t="shared" si="358"/>
        <v>334945.05</v>
      </c>
      <c r="AK96" s="7909"/>
      <c r="AL96" s="1820">
        <f>+AL80+AL84+AL88+AL92</f>
        <v>57004.08</v>
      </c>
      <c r="AM96" s="7873">
        <f t="shared" ref="AM96:AM97" si="363">AC96+AG96+AK96</f>
        <v>0</v>
      </c>
      <c r="AN96" s="7303">
        <f t="shared" ref="AN96:AN97" si="364">AD96+AH96+AL96</f>
        <v>137518.41</v>
      </c>
      <c r="AO96" s="7910"/>
      <c r="AP96" s="7311">
        <f t="shared" si="315"/>
        <v>391949.13</v>
      </c>
      <c r="AQ96" s="7909"/>
      <c r="AR96" s="1820">
        <f>+AR80+AR84+AR88+AR92</f>
        <v>40820.869999999995</v>
      </c>
      <c r="AS96" s="7929"/>
      <c r="AT96" s="7311">
        <f t="shared" si="359"/>
        <v>432770</v>
      </c>
      <c r="AU96" s="7909"/>
      <c r="AV96" s="1820">
        <f>+AV80+AV84+AV88+AV92</f>
        <v>37797.64</v>
      </c>
      <c r="AW96" s="7929"/>
      <c r="AX96" s="7311">
        <f t="shared" si="360"/>
        <v>470567.64</v>
      </c>
      <c r="AY96" s="7909"/>
      <c r="AZ96" s="1820">
        <f>+AZ80+AZ84+AZ88+AZ92</f>
        <v>38244.770000000004</v>
      </c>
      <c r="BA96" s="7873">
        <f t="shared" ref="BA96:BA97" si="365">AQ96+AU96+AY96</f>
        <v>0</v>
      </c>
      <c r="BB96" s="7303">
        <f t="shared" ref="BB96:BB97" si="366">AR96+AV96+AZ96</f>
        <v>116863.28</v>
      </c>
      <c r="BC96" s="7874"/>
      <c r="BD96" s="513">
        <f>AN96+BB96</f>
        <v>254381.69</v>
      </c>
      <c r="BE96" s="7929"/>
      <c r="BF96" s="7311">
        <f t="shared" si="361"/>
        <v>508812.41000000003</v>
      </c>
      <c r="BG96" s="4152">
        <f t="shared" si="328"/>
        <v>0</v>
      </c>
      <c r="BH96" s="4152">
        <f t="shared" si="329"/>
        <v>0</v>
      </c>
      <c r="BI96" s="4152"/>
      <c r="BJ96" s="4152">
        <f t="shared" si="330"/>
        <v>0</v>
      </c>
      <c r="BK96" s="4152">
        <f t="shared" si="331"/>
        <v>0</v>
      </c>
    </row>
    <row r="97" spans="1:63" ht="20.25" customHeight="1" x14ac:dyDescent="0.25">
      <c r="A97" s="90"/>
      <c r="B97" s="3795" t="s">
        <v>2</v>
      </c>
      <c r="C97" s="7337" t="s">
        <v>50</v>
      </c>
      <c r="D97" s="7909"/>
      <c r="E97" s="7909"/>
      <c r="F97" s="1677">
        <f>SUM(F95:F96)</f>
        <v>202422.59300000005</v>
      </c>
      <c r="G97" s="7909"/>
      <c r="H97" s="5566">
        <f>SUM(H95:H96)</f>
        <v>217466.02999999997</v>
      </c>
      <c r="I97" s="7910"/>
      <c r="J97" s="7310">
        <f t="shared" si="335"/>
        <v>419888.62300000002</v>
      </c>
      <c r="K97" s="7909"/>
      <c r="L97" s="5678">
        <f>SUM(L95:L96)</f>
        <v>218504.38999999996</v>
      </c>
      <c r="M97" s="7873"/>
      <c r="N97" s="7301">
        <f t="shared" si="336"/>
        <v>638393.01300000004</v>
      </c>
      <c r="O97" s="7909"/>
      <c r="P97" s="5835">
        <f>SUM(P95:P96)</f>
        <v>243623.83</v>
      </c>
      <c r="Q97" s="7910"/>
      <c r="R97" s="7310">
        <f t="shared" si="337"/>
        <v>882016.84299999999</v>
      </c>
      <c r="S97" s="7909"/>
      <c r="T97" s="5891">
        <f>SUM(T95:T96)</f>
        <v>246318.45</v>
      </c>
      <c r="U97" s="7910"/>
      <c r="V97" s="7310">
        <f t="shared" si="338"/>
        <v>1128335.2930000001</v>
      </c>
      <c r="W97" s="7909"/>
      <c r="X97" s="6005">
        <f>SUM(X95:X96)</f>
        <v>207265.33000000002</v>
      </c>
      <c r="Y97" s="7873">
        <f t="shared" si="362"/>
        <v>0</v>
      </c>
      <c r="Z97" s="7301">
        <f t="shared" si="339"/>
        <v>697207.6100000001</v>
      </c>
      <c r="AA97" s="7874"/>
      <c r="AB97" s="7302">
        <f t="shared" si="340"/>
        <v>1335600.6230000001</v>
      </c>
      <c r="AC97" s="7909"/>
      <c r="AD97" s="6136">
        <f>SUM(AD95:AD96)</f>
        <v>173557.69</v>
      </c>
      <c r="AE97" s="7910"/>
      <c r="AF97" s="7310">
        <f t="shared" si="341"/>
        <v>1509158.3130000001</v>
      </c>
      <c r="AG97" s="7909"/>
      <c r="AH97" s="6298">
        <f>SUM(AH95:AH96)</f>
        <v>220913.685</v>
      </c>
      <c r="AI97" s="7930"/>
      <c r="AJ97" s="7311">
        <f t="shared" si="358"/>
        <v>1730071.9980000001</v>
      </c>
      <c r="AK97" s="7909"/>
      <c r="AL97" s="6547">
        <f>SUM(AL95:AL96)</f>
        <v>230715.48100000003</v>
      </c>
      <c r="AM97" s="7873">
        <f t="shared" si="363"/>
        <v>0</v>
      </c>
      <c r="AN97" s="7303">
        <f t="shared" si="364"/>
        <v>625186.85600000003</v>
      </c>
      <c r="AO97" s="7910"/>
      <c r="AP97" s="7311">
        <f t="shared" si="315"/>
        <v>1960787.4790000003</v>
      </c>
      <c r="AQ97" s="7909"/>
      <c r="AR97" s="6641">
        <f>SUM(AR95:AR96)</f>
        <v>216690.611</v>
      </c>
      <c r="AS97" s="7930"/>
      <c r="AT97" s="7311">
        <f t="shared" si="359"/>
        <v>2177478.0900000003</v>
      </c>
      <c r="AU97" s="7909"/>
      <c r="AV97" s="6813">
        <f>SUM(AV95:AV96)</f>
        <v>191459.24</v>
      </c>
      <c r="AW97" s="7930"/>
      <c r="AX97" s="7311">
        <f t="shared" si="360"/>
        <v>2368937.33</v>
      </c>
      <c r="AY97" s="7909"/>
      <c r="AZ97" s="6955">
        <f>SUM(AZ95:AZ96)</f>
        <v>231379.70200000005</v>
      </c>
      <c r="BA97" s="7873">
        <f t="shared" si="365"/>
        <v>0</v>
      </c>
      <c r="BB97" s="7303">
        <f t="shared" si="366"/>
        <v>639529.55300000007</v>
      </c>
      <c r="BC97" s="7874"/>
      <c r="BD97" s="513">
        <f>AN97+BB97</f>
        <v>1264716.409</v>
      </c>
      <c r="BE97" s="7930"/>
      <c r="BF97" s="7311">
        <f t="shared" si="361"/>
        <v>2600317.0320000001</v>
      </c>
      <c r="BG97" s="4152">
        <f t="shared" si="328"/>
        <v>0</v>
      </c>
      <c r="BH97" s="4152">
        <f t="shared" si="329"/>
        <v>0</v>
      </c>
      <c r="BI97" s="4152"/>
      <c r="BJ97" s="4152">
        <f t="shared" si="330"/>
        <v>0</v>
      </c>
      <c r="BK97" s="4152">
        <f t="shared" si="331"/>
        <v>0</v>
      </c>
    </row>
    <row r="98" spans="1:63" x14ac:dyDescent="0.25">
      <c r="A98" s="90"/>
      <c r="B98" s="3795" t="s">
        <v>625</v>
      </c>
      <c r="C98" s="7337" t="s">
        <v>49</v>
      </c>
      <c r="D98" s="3786"/>
      <c r="E98" s="3786"/>
      <c r="F98" s="3806">
        <f>+F96/F97*100</f>
        <v>18.539368280891452</v>
      </c>
      <c r="G98" s="5569"/>
      <c r="H98" s="3806">
        <f>+H96/H97*100</f>
        <v>19.320033570300613</v>
      </c>
      <c r="I98" s="7315"/>
      <c r="J98" s="3802">
        <f>+J96/J97*100</f>
        <v>18.943685454416325</v>
      </c>
      <c r="K98" s="5682"/>
      <c r="L98" s="3806">
        <f>+L96/L97*100</f>
        <v>15.295962703541106</v>
      </c>
      <c r="M98" s="7307"/>
      <c r="N98" s="588">
        <f>+N96/N97*100</f>
        <v>17.695170169414119</v>
      </c>
      <c r="O98" s="5839"/>
      <c r="P98" s="3806">
        <f>+P96/P97*100</f>
        <v>20.997005916867824</v>
      </c>
      <c r="Q98" s="7315"/>
      <c r="R98" s="3802">
        <f>+R96/R97*100</f>
        <v>18.607177550236422</v>
      </c>
      <c r="S98" s="5894"/>
      <c r="T98" s="3806">
        <f>+T96/T97*100</f>
        <v>19.15801678680586</v>
      </c>
      <c r="U98" s="7315"/>
      <c r="V98" s="3802">
        <f>+V96/V97*100</f>
        <v>18.727427149617661</v>
      </c>
      <c r="W98" s="6008"/>
      <c r="X98" s="3806">
        <f>+X96/X97*100</f>
        <v>20.805481553523688</v>
      </c>
      <c r="Y98" s="7307"/>
      <c r="Z98" s="588">
        <f>+Z96/Z97*100</f>
        <v>20.290368029689173</v>
      </c>
      <c r="AA98" s="7325"/>
      <c r="AB98" s="7381">
        <f>+AB96/AB97*100</f>
        <v>19.049910251501878</v>
      </c>
      <c r="AC98" s="6139"/>
      <c r="AD98" s="3806">
        <f>+AD96/AD97*100</f>
        <v>15.996427470312607</v>
      </c>
      <c r="AE98" s="7315"/>
      <c r="AF98" s="3802">
        <f>+AF96/AF97*100</f>
        <v>18.698750659169576</v>
      </c>
      <c r="AG98" s="6301"/>
      <c r="AH98" s="3806">
        <f>+AH96/AH97*100</f>
        <v>23.878692712042714</v>
      </c>
      <c r="AI98" s="7315"/>
      <c r="AJ98" s="3802">
        <f>+AJ96/AJ97*100</f>
        <v>19.360179829926359</v>
      </c>
      <c r="AK98" s="6550"/>
      <c r="AL98" s="3806">
        <f>+AL96/AL97*100</f>
        <v>24.707522769137451</v>
      </c>
      <c r="AM98" s="7307"/>
      <c r="AN98" s="588">
        <f>+AN96/AN97*100</f>
        <v>21.996369354252707</v>
      </c>
      <c r="AO98" s="7315"/>
      <c r="AP98" s="3802">
        <f>+AP96/AP97*100</f>
        <v>19.989373361354474</v>
      </c>
      <c r="AQ98" s="6644"/>
      <c r="AR98" s="3806">
        <f>+AR96/AR97*100</f>
        <v>18.838319672281507</v>
      </c>
      <c r="AS98" s="7315"/>
      <c r="AT98" s="3802">
        <f>+AT96/AT97*100</f>
        <v>19.874826846133729</v>
      </c>
      <c r="AU98" s="6816"/>
      <c r="AV98" s="3806">
        <f>+AV96/AV97*100</f>
        <v>19.741872996048663</v>
      </c>
      <c r="AW98" s="7315"/>
      <c r="AX98" s="3802">
        <f>+AX96/AX97*100</f>
        <v>19.864081419156836</v>
      </c>
      <c r="AY98" s="6958"/>
      <c r="AZ98" s="3806">
        <f>+AZ96/AZ97*100</f>
        <v>16.529008235994702</v>
      </c>
      <c r="BA98" s="7307"/>
      <c r="BB98" s="588">
        <f>+BB96/BB97*100</f>
        <v>18.273319731949901</v>
      </c>
      <c r="BC98" s="7325"/>
      <c r="BD98" s="7381">
        <f>+BD96/BD97*100</f>
        <v>20.113733655210289</v>
      </c>
      <c r="BE98" s="7315"/>
      <c r="BF98" s="3802">
        <f>+BF96/BF97*100</f>
        <v>19.567322127973512</v>
      </c>
      <c r="BG98" s="4152"/>
      <c r="BH98" s="4152"/>
      <c r="BI98" s="4152"/>
      <c r="BJ98" s="4152"/>
      <c r="BK98" s="4152"/>
    </row>
    <row r="99" spans="1:63" ht="49.5" customHeight="1" thickBot="1" x14ac:dyDescent="0.3">
      <c r="A99" s="144"/>
      <c r="B99" s="3807" t="s">
        <v>317</v>
      </c>
      <c r="C99" s="7438" t="s">
        <v>1215</v>
      </c>
      <c r="D99" s="3808"/>
      <c r="E99" s="3808"/>
      <c r="F99" s="3808"/>
      <c r="G99" s="3808"/>
      <c r="H99" s="3808"/>
      <c r="I99" s="7356"/>
      <c r="J99" s="7310">
        <f t="shared" si="335"/>
        <v>0</v>
      </c>
      <c r="K99" s="3808"/>
      <c r="L99" s="3808"/>
      <c r="M99" s="7370"/>
      <c r="N99" s="7301">
        <f t="shared" si="336"/>
        <v>0</v>
      </c>
      <c r="O99" s="3808"/>
      <c r="P99" s="3808"/>
      <c r="Q99" s="7356"/>
      <c r="R99" s="7310">
        <f t="shared" si="337"/>
        <v>0</v>
      </c>
      <c r="S99" s="3808"/>
      <c r="T99" s="3808"/>
      <c r="U99" s="7356"/>
      <c r="V99" s="7310">
        <f t="shared" si="338"/>
        <v>0</v>
      </c>
      <c r="W99" s="3808"/>
      <c r="X99" s="3808"/>
      <c r="Y99" s="7370"/>
      <c r="Z99" s="7301">
        <f t="shared" si="339"/>
        <v>0</v>
      </c>
      <c r="AA99" s="7384"/>
      <c r="AB99" s="7302">
        <f t="shared" si="340"/>
        <v>0</v>
      </c>
      <c r="AC99" s="3808"/>
      <c r="AD99" s="3808"/>
      <c r="AE99" s="7356"/>
      <c r="AF99" s="7310">
        <f t="shared" si="341"/>
        <v>0</v>
      </c>
      <c r="AG99" s="3808"/>
      <c r="AH99" s="3808"/>
      <c r="AI99" s="7356"/>
      <c r="AJ99" s="7356"/>
      <c r="AK99" s="3808"/>
      <c r="AL99" s="3808"/>
      <c r="AM99" s="7370"/>
      <c r="AN99" s="7370"/>
      <c r="AO99" s="7356"/>
      <c r="AP99" s="7356"/>
      <c r="AQ99" s="3808"/>
      <c r="AR99" s="3808"/>
      <c r="AS99" s="7356"/>
      <c r="AT99" s="7356"/>
      <c r="AU99" s="3808"/>
      <c r="AV99" s="3808"/>
      <c r="AW99" s="7356"/>
      <c r="AX99" s="7356"/>
      <c r="AY99" s="3808"/>
      <c r="AZ99" s="3808"/>
      <c r="BA99" s="7370"/>
      <c r="BB99" s="7370"/>
      <c r="BC99" s="7384"/>
      <c r="BD99" s="7384"/>
      <c r="BE99" s="7356"/>
      <c r="BF99" s="7356"/>
      <c r="BG99" s="4152">
        <f t="shared" si="328"/>
        <v>0</v>
      </c>
      <c r="BH99" s="4152">
        <f t="shared" si="329"/>
        <v>0</v>
      </c>
      <c r="BI99" s="4152"/>
      <c r="BJ99" s="4152">
        <f t="shared" si="330"/>
        <v>0</v>
      </c>
      <c r="BK99" s="4152">
        <f t="shared" si="331"/>
        <v>0</v>
      </c>
    </row>
    <row r="100" spans="1:63" ht="15.75" thickBot="1" x14ac:dyDescent="0.3">
      <c r="A100" s="90"/>
      <c r="B100" s="3809" t="s">
        <v>827</v>
      </c>
      <c r="C100" s="3810" t="s">
        <v>865</v>
      </c>
      <c r="D100" s="3810"/>
      <c r="E100" s="3811"/>
      <c r="F100" s="147">
        <v>20.7</v>
      </c>
      <c r="G100" s="3811"/>
      <c r="H100" s="147">
        <v>894.52</v>
      </c>
      <c r="I100" s="3812"/>
      <c r="J100" s="7310">
        <f t="shared" si="335"/>
        <v>915.22</v>
      </c>
      <c r="K100" s="3811"/>
      <c r="L100" s="147">
        <v>823.06</v>
      </c>
      <c r="M100" s="3813"/>
      <c r="N100" s="7301">
        <f t="shared" si="336"/>
        <v>1738.28</v>
      </c>
      <c r="O100" s="3811"/>
      <c r="P100" s="147">
        <v>128.01999999999998</v>
      </c>
      <c r="Q100" s="3812"/>
      <c r="R100" s="7310">
        <f t="shared" si="337"/>
        <v>1866.3</v>
      </c>
      <c r="S100" s="3811"/>
      <c r="T100" s="147"/>
      <c r="U100" s="3812"/>
      <c r="V100" s="7310">
        <f t="shared" si="338"/>
        <v>1866.3</v>
      </c>
      <c r="W100" s="3811"/>
      <c r="X100" s="147"/>
      <c r="Y100" s="3813"/>
      <c r="Z100" s="7301">
        <f t="shared" si="339"/>
        <v>128.01999999999998</v>
      </c>
      <c r="AA100" s="7385"/>
      <c r="AB100" s="7302">
        <f t="shared" si="340"/>
        <v>1866.3</v>
      </c>
      <c r="AC100" s="3811"/>
      <c r="AD100" s="147"/>
      <c r="AE100" s="3812"/>
      <c r="AF100" s="7310">
        <f t="shared" si="341"/>
        <v>1866.3</v>
      </c>
      <c r="AG100" s="3811"/>
      <c r="AH100" s="147">
        <v>26.69</v>
      </c>
      <c r="AI100" s="3812"/>
      <c r="AJ100" s="349">
        <f t="shared" ref="AJ100:AJ202" si="367">AF100+AH100</f>
        <v>1892.99</v>
      </c>
      <c r="AK100" s="3811"/>
      <c r="AL100" s="147">
        <v>30.687000000000001</v>
      </c>
      <c r="AM100" s="3813"/>
      <c r="AN100" s="586">
        <f t="shared" ref="AN100:AN196" si="368">AD100+AH100+AL100</f>
        <v>57.377000000000002</v>
      </c>
      <c r="AO100" s="3812"/>
      <c r="AP100" s="349">
        <f t="shared" ref="AP100:AP193" si="369">AJ100+AL100</f>
        <v>1923.6769999999999</v>
      </c>
      <c r="AQ100" s="3811"/>
      <c r="AR100" s="147"/>
      <c r="AS100" s="3812"/>
      <c r="AT100" s="41">
        <f t="shared" ref="AT100:AT202" si="370">AP100+AR100</f>
        <v>1923.6769999999999</v>
      </c>
      <c r="AU100" s="3811"/>
      <c r="AV100" s="147"/>
      <c r="AW100" s="3812"/>
      <c r="AX100" s="41">
        <f t="shared" ref="AX100:AX202" si="371">AT100+AV100</f>
        <v>1923.6769999999999</v>
      </c>
      <c r="AY100" s="3811"/>
      <c r="AZ100" s="147">
        <v>521.42999999999995</v>
      </c>
      <c r="BA100" s="3813"/>
      <c r="BB100" s="586">
        <f t="shared" ref="BB100:BB166" si="372">AR100+AV100+AZ100</f>
        <v>521.42999999999995</v>
      </c>
      <c r="BC100" s="7385"/>
      <c r="BD100" s="7302">
        <f t="shared" ref="BD100:BD195" si="373">AN100+BB100</f>
        <v>578.8069999999999</v>
      </c>
      <c r="BE100" s="3812"/>
      <c r="BF100" s="41">
        <f t="shared" ref="BF100:BF202" si="374">AX100+AZ100</f>
        <v>2445.107</v>
      </c>
      <c r="BG100" s="4152">
        <f t="shared" si="328"/>
        <v>0</v>
      </c>
      <c r="BH100" s="4152">
        <f t="shared" si="329"/>
        <v>0</v>
      </c>
      <c r="BI100" s="4152"/>
      <c r="BJ100" s="4152">
        <f t="shared" si="330"/>
        <v>0</v>
      </c>
      <c r="BK100" s="4152">
        <f t="shared" si="331"/>
        <v>0</v>
      </c>
    </row>
    <row r="101" spans="1:63" s="5207" customFormat="1" ht="15.75" customHeight="1" thickBot="1" x14ac:dyDescent="0.3">
      <c r="A101" s="90"/>
      <c r="B101" s="3822" t="s">
        <v>827</v>
      </c>
      <c r="C101" s="3823" t="s">
        <v>867</v>
      </c>
      <c r="D101" s="3823"/>
      <c r="E101" s="5213"/>
      <c r="F101" s="5208"/>
      <c r="G101" s="5213"/>
      <c r="H101" s="5574"/>
      <c r="I101" s="5214"/>
      <c r="J101" s="7310">
        <f t="shared" si="335"/>
        <v>0</v>
      </c>
      <c r="K101" s="5213"/>
      <c r="L101" s="5690"/>
      <c r="M101" s="5215"/>
      <c r="N101" s="7301">
        <f t="shared" si="336"/>
        <v>0</v>
      </c>
      <c r="O101" s="5213"/>
      <c r="P101" s="5855"/>
      <c r="Q101" s="5214"/>
      <c r="R101" s="7310">
        <f t="shared" si="337"/>
        <v>0</v>
      </c>
      <c r="S101" s="5213"/>
      <c r="T101" s="5898"/>
      <c r="U101" s="5214"/>
      <c r="V101" s="7310">
        <f t="shared" si="338"/>
        <v>0</v>
      </c>
      <c r="W101" s="5213"/>
      <c r="X101" s="6019"/>
      <c r="Y101" s="5215"/>
      <c r="Z101" s="7301">
        <f t="shared" si="339"/>
        <v>0</v>
      </c>
      <c r="AA101" s="7386"/>
      <c r="AB101" s="7302">
        <f t="shared" si="340"/>
        <v>0</v>
      </c>
      <c r="AC101" s="5213"/>
      <c r="AD101" s="6154"/>
      <c r="AE101" s="5214"/>
      <c r="AF101" s="7310">
        <f t="shared" si="341"/>
        <v>0</v>
      </c>
      <c r="AG101" s="5213"/>
      <c r="AH101" s="6316"/>
      <c r="AI101" s="5214"/>
      <c r="AJ101" s="349">
        <f t="shared" si="367"/>
        <v>0</v>
      </c>
      <c r="AK101" s="5213"/>
      <c r="AL101" s="6554"/>
      <c r="AM101" s="5215"/>
      <c r="AN101" s="586">
        <f t="shared" si="368"/>
        <v>0</v>
      </c>
      <c r="AO101" s="5214"/>
      <c r="AP101" s="349">
        <f t="shared" si="369"/>
        <v>0</v>
      </c>
      <c r="AQ101" s="5213"/>
      <c r="AR101" s="6653"/>
      <c r="AS101" s="5214"/>
      <c r="AT101" s="41">
        <f t="shared" si="370"/>
        <v>0</v>
      </c>
      <c r="AU101" s="5213"/>
      <c r="AV101" s="6819"/>
      <c r="AW101" s="5214"/>
      <c r="AX101" s="41">
        <f t="shared" si="371"/>
        <v>0</v>
      </c>
      <c r="AY101" s="5213"/>
      <c r="AZ101" s="6962"/>
      <c r="BA101" s="5215"/>
      <c r="BB101" s="586">
        <f t="shared" si="372"/>
        <v>0</v>
      </c>
      <c r="BC101" s="7386"/>
      <c r="BD101" s="7302">
        <f t="shared" si="373"/>
        <v>0</v>
      </c>
      <c r="BE101" s="3812"/>
      <c r="BF101" s="41">
        <f t="shared" si="374"/>
        <v>0</v>
      </c>
      <c r="BG101" s="4152">
        <f t="shared" si="328"/>
        <v>0</v>
      </c>
      <c r="BH101" s="4152">
        <f t="shared" si="329"/>
        <v>0</v>
      </c>
      <c r="BI101" s="4152"/>
      <c r="BJ101" s="4152">
        <f t="shared" si="330"/>
        <v>0</v>
      </c>
      <c r="BK101" s="4152">
        <f t="shared" si="331"/>
        <v>0</v>
      </c>
    </row>
    <row r="102" spans="1:63" ht="15.75" thickBot="1" x14ac:dyDescent="0.3">
      <c r="A102" s="90"/>
      <c r="B102" s="3814" t="s">
        <v>827</v>
      </c>
      <c r="C102" s="3815" t="s">
        <v>1454</v>
      </c>
      <c r="D102" s="3815"/>
      <c r="E102" s="1819"/>
      <c r="F102" s="1819"/>
      <c r="G102" s="1819"/>
      <c r="H102" s="1819"/>
      <c r="I102" s="7310"/>
      <c r="J102" s="7310">
        <f t="shared" si="335"/>
        <v>0</v>
      </c>
      <c r="K102" s="1819"/>
      <c r="L102" s="1819"/>
      <c r="M102" s="7301"/>
      <c r="N102" s="7301">
        <f t="shared" si="336"/>
        <v>0</v>
      </c>
      <c r="O102" s="1819"/>
      <c r="P102" s="1819"/>
      <c r="Q102" s="7310"/>
      <c r="R102" s="7310">
        <f t="shared" si="337"/>
        <v>0</v>
      </c>
      <c r="S102" s="1819"/>
      <c r="T102" s="1819"/>
      <c r="U102" s="7310"/>
      <c r="V102" s="7310">
        <f t="shared" si="338"/>
        <v>0</v>
      </c>
      <c r="W102" s="1819"/>
      <c r="X102" s="1819"/>
      <c r="Y102" s="7301"/>
      <c r="Z102" s="7301">
        <f t="shared" si="339"/>
        <v>0</v>
      </c>
      <c r="AA102" s="7302"/>
      <c r="AB102" s="7302">
        <f t="shared" si="340"/>
        <v>0</v>
      </c>
      <c r="AC102" s="1819"/>
      <c r="AD102" s="1819"/>
      <c r="AE102" s="7310"/>
      <c r="AF102" s="7310">
        <f t="shared" si="341"/>
        <v>0</v>
      </c>
      <c r="AG102" s="1819"/>
      <c r="AH102" s="1819"/>
      <c r="AI102" s="7310"/>
      <c r="AJ102" s="349">
        <f t="shared" si="367"/>
        <v>0</v>
      </c>
      <c r="AK102" s="1819"/>
      <c r="AL102" s="1819"/>
      <c r="AM102" s="7301"/>
      <c r="AN102" s="586">
        <f t="shared" si="368"/>
        <v>0</v>
      </c>
      <c r="AO102" s="7310"/>
      <c r="AP102" s="349">
        <f t="shared" si="369"/>
        <v>0</v>
      </c>
      <c r="AQ102" s="1819"/>
      <c r="AR102" s="1819"/>
      <c r="AS102" s="7310"/>
      <c r="AT102" s="41">
        <f t="shared" si="370"/>
        <v>0</v>
      </c>
      <c r="AU102" s="1819"/>
      <c r="AV102" s="1819"/>
      <c r="AW102" s="7310"/>
      <c r="AX102" s="41">
        <f t="shared" si="371"/>
        <v>0</v>
      </c>
      <c r="AY102" s="1819"/>
      <c r="AZ102" s="1819"/>
      <c r="BA102" s="7301"/>
      <c r="BB102" s="586">
        <f t="shared" si="372"/>
        <v>0</v>
      </c>
      <c r="BC102" s="7302"/>
      <c r="BD102" s="7302">
        <f t="shared" si="373"/>
        <v>0</v>
      </c>
      <c r="BE102" s="3812"/>
      <c r="BF102" s="41">
        <f t="shared" si="374"/>
        <v>0</v>
      </c>
      <c r="BG102" s="4152">
        <f t="shared" si="328"/>
        <v>0</v>
      </c>
      <c r="BH102" s="4152">
        <f t="shared" si="329"/>
        <v>0</v>
      </c>
      <c r="BI102" s="4152"/>
      <c r="BJ102" s="4152">
        <f t="shared" si="330"/>
        <v>0</v>
      </c>
      <c r="BK102" s="4152">
        <f t="shared" si="331"/>
        <v>0</v>
      </c>
    </row>
    <row r="103" spans="1:63" s="4421" customFormat="1" ht="15.75" customHeight="1" thickBot="1" x14ac:dyDescent="0.3">
      <c r="A103" s="90"/>
      <c r="B103" s="3814" t="s">
        <v>827</v>
      </c>
      <c r="C103" s="3846" t="s">
        <v>1396</v>
      </c>
      <c r="D103" s="3846"/>
      <c r="E103" s="4422"/>
      <c r="F103" s="4422"/>
      <c r="G103" s="5575"/>
      <c r="H103" s="5575"/>
      <c r="I103" s="7318"/>
      <c r="J103" s="7310">
        <f t="shared" si="335"/>
        <v>0</v>
      </c>
      <c r="K103" s="5695"/>
      <c r="L103" s="5695"/>
      <c r="M103" s="7320"/>
      <c r="N103" s="7301">
        <f t="shared" si="336"/>
        <v>0</v>
      </c>
      <c r="O103" s="5857"/>
      <c r="P103" s="5857"/>
      <c r="Q103" s="7318"/>
      <c r="R103" s="7310">
        <f t="shared" si="337"/>
        <v>0</v>
      </c>
      <c r="S103" s="5902"/>
      <c r="T103" s="5902"/>
      <c r="U103" s="7318"/>
      <c r="V103" s="7310">
        <f t="shared" si="338"/>
        <v>0</v>
      </c>
      <c r="W103" s="6021"/>
      <c r="X103" s="6021"/>
      <c r="Y103" s="7320"/>
      <c r="Z103" s="7301">
        <f t="shared" si="339"/>
        <v>0</v>
      </c>
      <c r="AA103" s="7302"/>
      <c r="AB103" s="7302">
        <f t="shared" si="340"/>
        <v>0</v>
      </c>
      <c r="AC103" s="6156"/>
      <c r="AD103" s="6156"/>
      <c r="AE103" s="7318"/>
      <c r="AF103" s="7310">
        <f t="shared" si="341"/>
        <v>0</v>
      </c>
      <c r="AG103" s="6318"/>
      <c r="AH103" s="6318"/>
      <c r="AI103" s="7318"/>
      <c r="AJ103" s="349">
        <f t="shared" si="367"/>
        <v>0</v>
      </c>
      <c r="AK103" s="6557"/>
      <c r="AL103" s="6557"/>
      <c r="AM103" s="7320"/>
      <c r="AN103" s="586">
        <f t="shared" si="368"/>
        <v>0</v>
      </c>
      <c r="AO103" s="7318"/>
      <c r="AP103" s="349">
        <f t="shared" si="369"/>
        <v>0</v>
      </c>
      <c r="AQ103" s="6657"/>
      <c r="AR103" s="6657"/>
      <c r="AS103" s="7318"/>
      <c r="AT103" s="41">
        <f t="shared" si="370"/>
        <v>0</v>
      </c>
      <c r="AU103" s="6822"/>
      <c r="AV103" s="6822"/>
      <c r="AW103" s="7318"/>
      <c r="AX103" s="41">
        <f t="shared" si="371"/>
        <v>0</v>
      </c>
      <c r="AY103" s="6966"/>
      <c r="AZ103" s="6966"/>
      <c r="BA103" s="7320"/>
      <c r="BB103" s="586">
        <f t="shared" si="372"/>
        <v>0</v>
      </c>
      <c r="BC103" s="7321"/>
      <c r="BD103" s="7302">
        <f t="shared" si="373"/>
        <v>0</v>
      </c>
      <c r="BE103" s="3812"/>
      <c r="BF103" s="41">
        <f t="shared" si="374"/>
        <v>0</v>
      </c>
      <c r="BG103" s="4152">
        <f t="shared" si="328"/>
        <v>0</v>
      </c>
      <c r="BH103" s="4152">
        <f t="shared" si="329"/>
        <v>0</v>
      </c>
      <c r="BI103" s="4152"/>
      <c r="BJ103" s="4152">
        <f t="shared" si="330"/>
        <v>0</v>
      </c>
      <c r="BK103" s="4152">
        <f t="shared" si="331"/>
        <v>0</v>
      </c>
    </row>
    <row r="104" spans="1:63" ht="15.75" thickBot="1" x14ac:dyDescent="0.3">
      <c r="A104" s="90"/>
      <c r="B104" s="3814" t="s">
        <v>827</v>
      </c>
      <c r="C104" s="3815" t="s">
        <v>866</v>
      </c>
      <c r="D104" s="3815"/>
      <c r="E104" s="1819"/>
      <c r="F104" s="1819">
        <v>15.96</v>
      </c>
      <c r="G104" s="1819"/>
      <c r="H104" s="1819">
        <v>576.46</v>
      </c>
      <c r="I104" s="7310"/>
      <c r="J104" s="7310">
        <f t="shared" si="335"/>
        <v>592.42000000000007</v>
      </c>
      <c r="K104" s="1819"/>
      <c r="L104" s="1819">
        <v>955.2</v>
      </c>
      <c r="M104" s="7301"/>
      <c r="N104" s="7301">
        <f t="shared" si="336"/>
        <v>1547.6200000000001</v>
      </c>
      <c r="O104" s="1819"/>
      <c r="P104" s="1819">
        <v>191.73999999999998</v>
      </c>
      <c r="Q104" s="7310"/>
      <c r="R104" s="7310">
        <f t="shared" si="337"/>
        <v>1739.3600000000001</v>
      </c>
      <c r="S104" s="1819"/>
      <c r="T104" s="1819"/>
      <c r="U104" s="7310"/>
      <c r="V104" s="7310">
        <f t="shared" si="338"/>
        <v>1739.3600000000001</v>
      </c>
      <c r="W104" s="1819"/>
      <c r="X104" s="1819"/>
      <c r="Y104" s="7301"/>
      <c r="Z104" s="7301">
        <f t="shared" si="339"/>
        <v>191.73999999999998</v>
      </c>
      <c r="AA104" s="7302"/>
      <c r="AB104" s="7302">
        <f t="shared" si="340"/>
        <v>1739.3600000000001</v>
      </c>
      <c r="AC104" s="1819"/>
      <c r="AD104" s="1819"/>
      <c r="AE104" s="7310"/>
      <c r="AF104" s="7310">
        <f t="shared" si="341"/>
        <v>1739.3600000000001</v>
      </c>
      <c r="AG104" s="1819"/>
      <c r="AH104" s="1819">
        <v>24.64</v>
      </c>
      <c r="AI104" s="7310"/>
      <c r="AJ104" s="349">
        <f t="shared" si="367"/>
        <v>1764.0000000000002</v>
      </c>
      <c r="AK104" s="1819"/>
      <c r="AL104" s="1819">
        <v>6.1379999999999999</v>
      </c>
      <c r="AM104" s="7301"/>
      <c r="AN104" s="586">
        <f t="shared" si="368"/>
        <v>30.777999999999999</v>
      </c>
      <c r="AO104" s="7310"/>
      <c r="AP104" s="349">
        <f t="shared" si="369"/>
        <v>1770.1380000000001</v>
      </c>
      <c r="AQ104" s="1819"/>
      <c r="AR104" s="1819"/>
      <c r="AS104" s="7310"/>
      <c r="AT104" s="41">
        <f t="shared" si="370"/>
        <v>1770.1380000000001</v>
      </c>
      <c r="AU104" s="1819"/>
      <c r="AV104" s="1819"/>
      <c r="AW104" s="7310"/>
      <c r="AX104" s="41">
        <f t="shared" si="371"/>
        <v>1770.1380000000001</v>
      </c>
      <c r="AY104" s="1819"/>
      <c r="AZ104" s="1819">
        <v>1337.68</v>
      </c>
      <c r="BA104" s="7301"/>
      <c r="BB104" s="586">
        <f t="shared" si="372"/>
        <v>1337.68</v>
      </c>
      <c r="BC104" s="7302"/>
      <c r="BD104" s="7302">
        <f t="shared" si="373"/>
        <v>1368.4580000000001</v>
      </c>
      <c r="BE104" s="3812"/>
      <c r="BF104" s="41">
        <f t="shared" si="374"/>
        <v>3107.8180000000002</v>
      </c>
      <c r="BG104" s="4152">
        <f t="shared" si="328"/>
        <v>0</v>
      </c>
      <c r="BH104" s="4152">
        <f t="shared" si="329"/>
        <v>0</v>
      </c>
      <c r="BI104" s="4152"/>
      <c r="BJ104" s="4152">
        <f t="shared" si="330"/>
        <v>0</v>
      </c>
      <c r="BK104" s="4152">
        <f t="shared" si="331"/>
        <v>0</v>
      </c>
    </row>
    <row r="105" spans="1:63" ht="15.75" thickBot="1" x14ac:dyDescent="0.3">
      <c r="A105" s="90"/>
      <c r="B105" s="3816" t="s">
        <v>827</v>
      </c>
      <c r="C105" s="3817" t="s">
        <v>909</v>
      </c>
      <c r="D105" s="3817"/>
      <c r="E105" s="105"/>
      <c r="F105" s="105"/>
      <c r="G105" s="105"/>
      <c r="H105" s="105">
        <v>62.96</v>
      </c>
      <c r="I105" s="557"/>
      <c r="J105" s="7310">
        <f t="shared" si="335"/>
        <v>62.96</v>
      </c>
      <c r="K105" s="105"/>
      <c r="L105" s="105"/>
      <c r="M105" s="462"/>
      <c r="N105" s="7301">
        <f t="shared" si="336"/>
        <v>62.96</v>
      </c>
      <c r="O105" s="105"/>
      <c r="P105" s="105"/>
      <c r="Q105" s="557"/>
      <c r="R105" s="7310">
        <f t="shared" si="337"/>
        <v>62.96</v>
      </c>
      <c r="S105" s="105"/>
      <c r="T105" s="105"/>
      <c r="U105" s="557"/>
      <c r="V105" s="7310">
        <f t="shared" si="338"/>
        <v>62.96</v>
      </c>
      <c r="W105" s="105"/>
      <c r="X105" s="105"/>
      <c r="Y105" s="462"/>
      <c r="Z105" s="7301">
        <f t="shared" si="339"/>
        <v>0</v>
      </c>
      <c r="AA105" s="1063"/>
      <c r="AB105" s="7302">
        <f t="shared" si="340"/>
        <v>62.96</v>
      </c>
      <c r="AC105" s="105"/>
      <c r="AD105" s="105"/>
      <c r="AE105" s="557"/>
      <c r="AF105" s="7310">
        <f t="shared" si="341"/>
        <v>62.96</v>
      </c>
      <c r="AG105" s="105"/>
      <c r="AH105" s="105"/>
      <c r="AI105" s="557"/>
      <c r="AJ105" s="349">
        <f t="shared" si="367"/>
        <v>62.96</v>
      </c>
      <c r="AK105" s="105"/>
      <c r="AL105" s="105"/>
      <c r="AM105" s="462"/>
      <c r="AN105" s="586">
        <f t="shared" si="368"/>
        <v>0</v>
      </c>
      <c r="AO105" s="557"/>
      <c r="AP105" s="349">
        <f t="shared" si="369"/>
        <v>62.96</v>
      </c>
      <c r="AQ105" s="105"/>
      <c r="AR105" s="105"/>
      <c r="AS105" s="557"/>
      <c r="AT105" s="41">
        <f t="shared" si="370"/>
        <v>62.96</v>
      </c>
      <c r="AU105" s="105"/>
      <c r="AV105" s="105"/>
      <c r="AW105" s="557"/>
      <c r="AX105" s="41">
        <f t="shared" si="371"/>
        <v>62.96</v>
      </c>
      <c r="AY105" s="105"/>
      <c r="AZ105" s="105"/>
      <c r="BA105" s="462"/>
      <c r="BB105" s="586">
        <f t="shared" si="372"/>
        <v>0</v>
      </c>
      <c r="BC105" s="1063"/>
      <c r="BD105" s="7302">
        <f t="shared" si="373"/>
        <v>0</v>
      </c>
      <c r="BE105" s="557"/>
      <c r="BF105" s="41">
        <f t="shared" si="374"/>
        <v>62.96</v>
      </c>
      <c r="BG105" s="4152">
        <f t="shared" si="328"/>
        <v>0</v>
      </c>
      <c r="BH105" s="4152">
        <f t="shared" si="329"/>
        <v>0</v>
      </c>
      <c r="BI105" s="4152"/>
      <c r="BJ105" s="4152">
        <f t="shared" si="330"/>
        <v>0</v>
      </c>
      <c r="BK105" s="4152">
        <f t="shared" si="331"/>
        <v>0</v>
      </c>
    </row>
    <row r="106" spans="1:63" ht="15.75" customHeight="1" thickBot="1" x14ac:dyDescent="0.3">
      <c r="A106" s="90"/>
      <c r="B106" s="3809" t="s">
        <v>844</v>
      </c>
      <c r="C106" s="3810" t="s">
        <v>1454</v>
      </c>
      <c r="D106" s="3810"/>
      <c r="E106" s="147"/>
      <c r="F106" s="147"/>
      <c r="G106" s="147"/>
      <c r="H106" s="147"/>
      <c r="I106" s="349"/>
      <c r="J106" s="7310">
        <f t="shared" si="335"/>
        <v>0</v>
      </c>
      <c r="K106" s="147"/>
      <c r="L106" s="147"/>
      <c r="M106" s="586"/>
      <c r="N106" s="7301">
        <f t="shared" si="336"/>
        <v>0</v>
      </c>
      <c r="O106" s="147"/>
      <c r="P106" s="147"/>
      <c r="Q106" s="349"/>
      <c r="R106" s="7310">
        <f t="shared" si="337"/>
        <v>0</v>
      </c>
      <c r="S106" s="147"/>
      <c r="T106" s="147"/>
      <c r="U106" s="349"/>
      <c r="V106" s="7310">
        <f t="shared" si="338"/>
        <v>0</v>
      </c>
      <c r="W106" s="147"/>
      <c r="X106" s="147"/>
      <c r="Y106" s="586"/>
      <c r="Z106" s="7301">
        <f t="shared" si="339"/>
        <v>0</v>
      </c>
      <c r="AA106" s="975"/>
      <c r="AB106" s="7302">
        <f t="shared" si="340"/>
        <v>0</v>
      </c>
      <c r="AC106" s="147"/>
      <c r="AD106" s="147"/>
      <c r="AE106" s="349"/>
      <c r="AF106" s="7310">
        <f t="shared" si="341"/>
        <v>0</v>
      </c>
      <c r="AG106" s="147"/>
      <c r="AH106" s="147"/>
      <c r="AI106" s="349"/>
      <c r="AJ106" s="349">
        <f t="shared" si="367"/>
        <v>0</v>
      </c>
      <c r="AK106" s="147"/>
      <c r="AL106" s="147"/>
      <c r="AM106" s="586"/>
      <c r="AN106" s="586">
        <f t="shared" si="368"/>
        <v>0</v>
      </c>
      <c r="AO106" s="349"/>
      <c r="AP106" s="349">
        <f t="shared" si="369"/>
        <v>0</v>
      </c>
      <c r="AQ106" s="147"/>
      <c r="AR106" s="147"/>
      <c r="AS106" s="349"/>
      <c r="AT106" s="41">
        <f t="shared" si="370"/>
        <v>0</v>
      </c>
      <c r="AU106" s="147"/>
      <c r="AV106" s="147"/>
      <c r="AW106" s="349"/>
      <c r="AX106" s="41">
        <f t="shared" si="371"/>
        <v>0</v>
      </c>
      <c r="AY106" s="147"/>
      <c r="AZ106" s="147"/>
      <c r="BA106" s="586"/>
      <c r="BB106" s="586">
        <f t="shared" si="372"/>
        <v>0</v>
      </c>
      <c r="BC106" s="975"/>
      <c r="BD106" s="7302">
        <f t="shared" si="373"/>
        <v>0</v>
      </c>
      <c r="BE106" s="349"/>
      <c r="BF106" s="41">
        <f t="shared" si="374"/>
        <v>0</v>
      </c>
      <c r="BG106" s="4152">
        <f t="shared" si="328"/>
        <v>0</v>
      </c>
      <c r="BH106" s="4152">
        <f t="shared" si="329"/>
        <v>0</v>
      </c>
      <c r="BI106" s="4152"/>
      <c r="BJ106" s="4152">
        <f t="shared" si="330"/>
        <v>0</v>
      </c>
      <c r="BK106" s="4152">
        <f t="shared" si="331"/>
        <v>0</v>
      </c>
    </row>
    <row r="107" spans="1:63" s="4421" customFormat="1" ht="15.75" customHeight="1" thickBot="1" x14ac:dyDescent="0.3">
      <c r="A107" s="90"/>
      <c r="B107" s="3822" t="s">
        <v>844</v>
      </c>
      <c r="C107" s="3823" t="s">
        <v>1396</v>
      </c>
      <c r="D107" s="3823"/>
      <c r="E107" s="1121"/>
      <c r="F107" s="1121"/>
      <c r="G107" s="5574"/>
      <c r="H107" s="5574"/>
      <c r="I107" s="7309"/>
      <c r="J107" s="7310">
        <f t="shared" si="335"/>
        <v>0</v>
      </c>
      <c r="K107" s="5690"/>
      <c r="L107" s="5690"/>
      <c r="M107" s="2244"/>
      <c r="N107" s="7301">
        <f t="shared" si="336"/>
        <v>0</v>
      </c>
      <c r="O107" s="5855"/>
      <c r="P107" s="5855"/>
      <c r="Q107" s="7309"/>
      <c r="R107" s="7310">
        <f t="shared" si="337"/>
        <v>0</v>
      </c>
      <c r="S107" s="5898"/>
      <c r="T107" s="5898"/>
      <c r="U107" s="7309"/>
      <c r="V107" s="7310">
        <f t="shared" si="338"/>
        <v>0</v>
      </c>
      <c r="W107" s="6019"/>
      <c r="X107" s="6019"/>
      <c r="Y107" s="2244"/>
      <c r="Z107" s="7301">
        <f t="shared" si="339"/>
        <v>0</v>
      </c>
      <c r="AA107" s="975"/>
      <c r="AB107" s="7302">
        <f t="shared" si="340"/>
        <v>0</v>
      </c>
      <c r="AC107" s="6154"/>
      <c r="AD107" s="6154"/>
      <c r="AE107" s="7309"/>
      <c r="AF107" s="7310">
        <f t="shared" si="341"/>
        <v>0</v>
      </c>
      <c r="AG107" s="6316"/>
      <c r="AH107" s="6316"/>
      <c r="AI107" s="7309"/>
      <c r="AJ107" s="349">
        <f t="shared" si="367"/>
        <v>0</v>
      </c>
      <c r="AK107" s="6554"/>
      <c r="AL107" s="6554"/>
      <c r="AM107" s="2244"/>
      <c r="AN107" s="586">
        <f t="shared" si="368"/>
        <v>0</v>
      </c>
      <c r="AO107" s="7309"/>
      <c r="AP107" s="349">
        <f t="shared" si="369"/>
        <v>0</v>
      </c>
      <c r="AQ107" s="6653"/>
      <c r="AR107" s="6653"/>
      <c r="AS107" s="7309"/>
      <c r="AT107" s="41">
        <f t="shared" si="370"/>
        <v>0</v>
      </c>
      <c r="AU107" s="6819"/>
      <c r="AV107" s="6819"/>
      <c r="AW107" s="7309"/>
      <c r="AX107" s="41">
        <f t="shared" si="371"/>
        <v>0</v>
      </c>
      <c r="AY107" s="6962"/>
      <c r="AZ107" s="6962"/>
      <c r="BA107" s="2244"/>
      <c r="BB107" s="586">
        <f t="shared" si="372"/>
        <v>0</v>
      </c>
      <c r="BC107" s="975"/>
      <c r="BD107" s="7302">
        <f t="shared" si="373"/>
        <v>0</v>
      </c>
      <c r="BE107" s="349"/>
      <c r="BF107" s="41">
        <f t="shared" si="374"/>
        <v>0</v>
      </c>
      <c r="BG107" s="4152">
        <f t="shared" si="328"/>
        <v>0</v>
      </c>
      <c r="BH107" s="4152">
        <f t="shared" si="329"/>
        <v>0</v>
      </c>
      <c r="BI107" s="4152"/>
      <c r="BJ107" s="4152">
        <f t="shared" si="330"/>
        <v>0</v>
      </c>
      <c r="BK107" s="4152">
        <f t="shared" si="331"/>
        <v>0</v>
      </c>
    </row>
    <row r="108" spans="1:63" ht="20.25" customHeight="1" thickBot="1" x14ac:dyDescent="0.3">
      <c r="A108" s="90"/>
      <c r="B108" s="3814" t="s">
        <v>844</v>
      </c>
      <c r="C108" s="3815" t="s">
        <v>865</v>
      </c>
      <c r="D108" s="3815"/>
      <c r="E108" s="1819"/>
      <c r="F108" s="1819">
        <v>803.82</v>
      </c>
      <c r="G108" s="1819"/>
      <c r="H108" s="1819">
        <v>513.5</v>
      </c>
      <c r="I108" s="7310"/>
      <c r="J108" s="7310">
        <f t="shared" si="335"/>
        <v>1317.3200000000002</v>
      </c>
      <c r="K108" s="1819"/>
      <c r="L108" s="1819">
        <v>64.319999999999993</v>
      </c>
      <c r="M108" s="7301"/>
      <c r="N108" s="7301">
        <f t="shared" si="336"/>
        <v>1381.64</v>
      </c>
      <c r="O108" s="1819"/>
      <c r="P108" s="1819"/>
      <c r="Q108" s="7310"/>
      <c r="R108" s="7310">
        <f t="shared" si="337"/>
        <v>1381.64</v>
      </c>
      <c r="S108" s="1819"/>
      <c r="T108" s="1819">
        <v>63.74</v>
      </c>
      <c r="U108" s="7310"/>
      <c r="V108" s="7310">
        <f t="shared" si="338"/>
        <v>1445.38</v>
      </c>
      <c r="W108" s="1819"/>
      <c r="X108" s="1819"/>
      <c r="Y108" s="7301"/>
      <c r="Z108" s="7301">
        <f t="shared" si="339"/>
        <v>63.74</v>
      </c>
      <c r="AA108" s="7302"/>
      <c r="AB108" s="7302">
        <f t="shared" si="340"/>
        <v>1445.38</v>
      </c>
      <c r="AC108" s="1819"/>
      <c r="AD108" s="1819"/>
      <c r="AE108" s="7310"/>
      <c r="AF108" s="7310">
        <f t="shared" si="341"/>
        <v>1445.38</v>
      </c>
      <c r="AG108" s="1819"/>
      <c r="AH108" s="1819">
        <v>12.33</v>
      </c>
      <c r="AI108" s="7310"/>
      <c r="AJ108" s="349">
        <f t="shared" si="367"/>
        <v>1457.71</v>
      </c>
      <c r="AK108" s="1819"/>
      <c r="AL108" s="1819">
        <v>189.9</v>
      </c>
      <c r="AM108" s="7301"/>
      <c r="AN108" s="586">
        <f t="shared" si="368"/>
        <v>202.23000000000002</v>
      </c>
      <c r="AO108" s="7310"/>
      <c r="AP108" s="349">
        <f t="shared" si="369"/>
        <v>1647.6100000000001</v>
      </c>
      <c r="AQ108" s="1819"/>
      <c r="AR108" s="1819">
        <v>256.5</v>
      </c>
      <c r="AS108" s="7310"/>
      <c r="AT108" s="41">
        <f t="shared" si="370"/>
        <v>1904.1100000000001</v>
      </c>
      <c r="AU108" s="1819"/>
      <c r="AV108" s="1819"/>
      <c r="AW108" s="7310"/>
      <c r="AX108" s="41">
        <f t="shared" si="371"/>
        <v>1904.1100000000001</v>
      </c>
      <c r="AY108" s="1819"/>
      <c r="AZ108" s="1819">
        <v>1213.52</v>
      </c>
      <c r="BA108" s="7301"/>
      <c r="BB108" s="586">
        <f t="shared" si="372"/>
        <v>1470.02</v>
      </c>
      <c r="BC108" s="7302"/>
      <c r="BD108" s="7302">
        <f t="shared" si="373"/>
        <v>1672.25</v>
      </c>
      <c r="BE108" s="7310"/>
      <c r="BF108" s="41">
        <f t="shared" si="374"/>
        <v>3117.63</v>
      </c>
      <c r="BG108" s="4152">
        <f t="shared" si="328"/>
        <v>0</v>
      </c>
      <c r="BH108" s="4152">
        <f t="shared" si="329"/>
        <v>0</v>
      </c>
      <c r="BI108" s="4152"/>
      <c r="BJ108" s="4152">
        <f t="shared" si="330"/>
        <v>0</v>
      </c>
      <c r="BK108" s="4152">
        <f t="shared" si="331"/>
        <v>0</v>
      </c>
    </row>
    <row r="109" spans="1:63" s="6880" customFormat="1" ht="20.25" customHeight="1" thickBot="1" x14ac:dyDescent="0.3">
      <c r="A109" s="90"/>
      <c r="B109" s="3814" t="s">
        <v>844</v>
      </c>
      <c r="C109" s="6688" t="s">
        <v>867</v>
      </c>
      <c r="D109" s="6688"/>
      <c r="E109" s="6365"/>
      <c r="F109" s="6365"/>
      <c r="G109" s="6365"/>
      <c r="H109" s="6365"/>
      <c r="I109" s="6366"/>
      <c r="J109" s="6366"/>
      <c r="K109" s="6365"/>
      <c r="L109" s="6365"/>
      <c r="M109" s="6367"/>
      <c r="N109" s="6367"/>
      <c r="O109" s="6365"/>
      <c r="P109" s="6365"/>
      <c r="Q109" s="6366"/>
      <c r="R109" s="6366"/>
      <c r="S109" s="6365"/>
      <c r="T109" s="6365"/>
      <c r="U109" s="6366"/>
      <c r="V109" s="6366"/>
      <c r="W109" s="6365"/>
      <c r="X109" s="6365"/>
      <c r="Y109" s="6367"/>
      <c r="Z109" s="6367"/>
      <c r="AA109" s="6895"/>
      <c r="AB109" s="6895"/>
      <c r="AC109" s="6365"/>
      <c r="AD109" s="6365"/>
      <c r="AE109" s="6366"/>
      <c r="AF109" s="6366"/>
      <c r="AG109" s="6365"/>
      <c r="AH109" s="6365"/>
      <c r="AI109" s="6366"/>
      <c r="AJ109" s="349"/>
      <c r="AK109" s="6365"/>
      <c r="AL109" s="6365"/>
      <c r="AM109" s="6367"/>
      <c r="AN109" s="586"/>
      <c r="AO109" s="6366"/>
      <c r="AP109" s="349"/>
      <c r="AQ109" s="6365"/>
      <c r="AR109" s="6365"/>
      <c r="AS109" s="6366"/>
      <c r="AT109" s="41"/>
      <c r="AU109" s="6365"/>
      <c r="AV109" s="6365">
        <v>126.86</v>
      </c>
      <c r="AW109" s="6366"/>
      <c r="AX109" s="41">
        <f t="shared" si="371"/>
        <v>126.86</v>
      </c>
      <c r="AY109" s="6365"/>
      <c r="AZ109" s="6365"/>
      <c r="BA109" s="6367"/>
      <c r="BB109" s="586">
        <f t="shared" si="372"/>
        <v>126.86</v>
      </c>
      <c r="BC109" s="6895"/>
      <c r="BD109" s="7302">
        <f t="shared" si="373"/>
        <v>126.86</v>
      </c>
      <c r="BE109" s="6366"/>
      <c r="BF109" s="41">
        <f t="shared" si="374"/>
        <v>126.86</v>
      </c>
      <c r="BG109" s="4152">
        <f t="shared" si="328"/>
        <v>0</v>
      </c>
      <c r="BH109" s="4152">
        <f t="shared" si="329"/>
        <v>0</v>
      </c>
      <c r="BI109" s="4152"/>
      <c r="BJ109" s="4152">
        <f t="shared" si="330"/>
        <v>0</v>
      </c>
      <c r="BK109" s="4152">
        <f t="shared" si="331"/>
        <v>0</v>
      </c>
    </row>
    <row r="110" spans="1:63" ht="20.25" customHeight="1" thickBot="1" x14ac:dyDescent="0.3">
      <c r="A110" s="90"/>
      <c r="B110" s="3814" t="s">
        <v>844</v>
      </c>
      <c r="C110" s="3815" t="s">
        <v>866</v>
      </c>
      <c r="D110" s="3815"/>
      <c r="E110" s="1819"/>
      <c r="F110" s="1819">
        <v>64.06</v>
      </c>
      <c r="G110" s="1819"/>
      <c r="H110" s="1819">
        <v>320.34000000000003</v>
      </c>
      <c r="I110" s="7310"/>
      <c r="J110" s="7310">
        <f t="shared" si="335"/>
        <v>384.40000000000003</v>
      </c>
      <c r="K110" s="1819"/>
      <c r="L110" s="1819">
        <v>691.12</v>
      </c>
      <c r="M110" s="7301"/>
      <c r="N110" s="7301">
        <f t="shared" si="336"/>
        <v>1075.52</v>
      </c>
      <c r="O110" s="1819"/>
      <c r="P110" s="1819"/>
      <c r="Q110" s="7310"/>
      <c r="R110" s="7310">
        <f t="shared" si="337"/>
        <v>1075.52</v>
      </c>
      <c r="S110" s="1819"/>
      <c r="T110" s="1819"/>
      <c r="U110" s="7310"/>
      <c r="V110" s="7310">
        <f t="shared" si="338"/>
        <v>1075.52</v>
      </c>
      <c r="W110" s="1819"/>
      <c r="X110" s="1819"/>
      <c r="Y110" s="7301"/>
      <c r="Z110" s="7301">
        <f t="shared" si="339"/>
        <v>0</v>
      </c>
      <c r="AA110" s="7302"/>
      <c r="AB110" s="7302">
        <f t="shared" si="340"/>
        <v>1075.52</v>
      </c>
      <c r="AC110" s="1819"/>
      <c r="AD110" s="1819"/>
      <c r="AE110" s="7310"/>
      <c r="AF110" s="7310">
        <f t="shared" si="341"/>
        <v>1075.52</v>
      </c>
      <c r="AG110" s="1819"/>
      <c r="AH110" s="1819"/>
      <c r="AI110" s="7310"/>
      <c r="AJ110" s="349">
        <f t="shared" si="367"/>
        <v>1075.52</v>
      </c>
      <c r="AK110" s="1819"/>
      <c r="AL110" s="1819">
        <v>977.56</v>
      </c>
      <c r="AM110" s="7301"/>
      <c r="AN110" s="586">
        <f t="shared" si="368"/>
        <v>977.56</v>
      </c>
      <c r="AO110" s="7310"/>
      <c r="AP110" s="349">
        <f t="shared" si="369"/>
        <v>2053.08</v>
      </c>
      <c r="AQ110" s="1819"/>
      <c r="AR110" s="1819">
        <v>132.13999999999999</v>
      </c>
      <c r="AS110" s="7310"/>
      <c r="AT110" s="41">
        <f t="shared" si="370"/>
        <v>2185.2199999999998</v>
      </c>
      <c r="AU110" s="1819"/>
      <c r="AV110" s="1819"/>
      <c r="AW110" s="7310"/>
      <c r="AX110" s="41">
        <f t="shared" si="371"/>
        <v>2185.2199999999998</v>
      </c>
      <c r="AY110" s="1819"/>
      <c r="AZ110" s="1819">
        <v>960.84</v>
      </c>
      <c r="BA110" s="7301"/>
      <c r="BB110" s="586">
        <f t="shared" si="372"/>
        <v>1092.98</v>
      </c>
      <c r="BC110" s="7302"/>
      <c r="BD110" s="7302">
        <f t="shared" si="373"/>
        <v>2070.54</v>
      </c>
      <c r="BE110" s="7310"/>
      <c r="BF110" s="41">
        <f t="shared" si="374"/>
        <v>3146.06</v>
      </c>
      <c r="BG110" s="4152">
        <f t="shared" si="328"/>
        <v>0</v>
      </c>
      <c r="BH110" s="4152">
        <f t="shared" si="329"/>
        <v>0</v>
      </c>
      <c r="BI110" s="4152"/>
      <c r="BJ110" s="4152">
        <f t="shared" si="330"/>
        <v>0</v>
      </c>
      <c r="BK110" s="4152">
        <f t="shared" si="331"/>
        <v>0</v>
      </c>
    </row>
    <row r="111" spans="1:63" ht="15.75" thickBot="1" x14ac:dyDescent="0.3">
      <c r="A111" s="90"/>
      <c r="B111" s="3816" t="s">
        <v>844</v>
      </c>
      <c r="C111" s="3817" t="s">
        <v>909</v>
      </c>
      <c r="D111" s="3817"/>
      <c r="E111" s="105"/>
      <c r="F111" s="105"/>
      <c r="G111" s="105"/>
      <c r="H111" s="105">
        <v>250.32</v>
      </c>
      <c r="I111" s="557"/>
      <c r="J111" s="7310">
        <f t="shared" si="335"/>
        <v>250.32</v>
      </c>
      <c r="K111" s="105"/>
      <c r="L111" s="105"/>
      <c r="M111" s="462"/>
      <c r="N111" s="7301">
        <f t="shared" si="336"/>
        <v>250.32</v>
      </c>
      <c r="O111" s="105"/>
      <c r="P111" s="105"/>
      <c r="Q111" s="557"/>
      <c r="R111" s="7310">
        <f t="shared" si="337"/>
        <v>250.32</v>
      </c>
      <c r="S111" s="105"/>
      <c r="T111" s="105"/>
      <c r="U111" s="557"/>
      <c r="V111" s="7310">
        <f t="shared" si="338"/>
        <v>250.32</v>
      </c>
      <c r="W111" s="105"/>
      <c r="X111" s="105"/>
      <c r="Y111" s="462"/>
      <c r="Z111" s="7301">
        <f t="shared" si="339"/>
        <v>0</v>
      </c>
      <c r="AA111" s="1063"/>
      <c r="AB111" s="7302">
        <f t="shared" si="340"/>
        <v>250.32</v>
      </c>
      <c r="AC111" s="105"/>
      <c r="AD111" s="105"/>
      <c r="AE111" s="557"/>
      <c r="AF111" s="7310">
        <f t="shared" si="341"/>
        <v>250.32</v>
      </c>
      <c r="AG111" s="105"/>
      <c r="AH111" s="105"/>
      <c r="AI111" s="557"/>
      <c r="AJ111" s="349">
        <f t="shared" si="367"/>
        <v>250.32</v>
      </c>
      <c r="AK111" s="105"/>
      <c r="AL111" s="105"/>
      <c r="AM111" s="462"/>
      <c r="AN111" s="586">
        <f t="shared" si="368"/>
        <v>0</v>
      </c>
      <c r="AO111" s="557"/>
      <c r="AP111" s="349">
        <f t="shared" si="369"/>
        <v>250.32</v>
      </c>
      <c r="AQ111" s="105"/>
      <c r="AR111" s="105"/>
      <c r="AS111" s="557"/>
      <c r="AT111" s="41">
        <f t="shared" si="370"/>
        <v>250.32</v>
      </c>
      <c r="AU111" s="105"/>
      <c r="AV111" s="105"/>
      <c r="AW111" s="557"/>
      <c r="AX111" s="41">
        <f t="shared" si="371"/>
        <v>250.32</v>
      </c>
      <c r="AY111" s="105"/>
      <c r="AZ111" s="105"/>
      <c r="BA111" s="462"/>
      <c r="BB111" s="586">
        <f t="shared" si="372"/>
        <v>0</v>
      </c>
      <c r="BC111" s="1063"/>
      <c r="BD111" s="7302">
        <f t="shared" si="373"/>
        <v>0</v>
      </c>
      <c r="BE111" s="557"/>
      <c r="BF111" s="41">
        <f t="shared" si="374"/>
        <v>250.32</v>
      </c>
      <c r="BG111" s="4152">
        <f t="shared" si="328"/>
        <v>0</v>
      </c>
      <c r="BH111" s="4152">
        <f t="shared" si="329"/>
        <v>0</v>
      </c>
      <c r="BI111" s="4152"/>
      <c r="BJ111" s="4152">
        <f t="shared" si="330"/>
        <v>0</v>
      </c>
      <c r="BK111" s="4152">
        <f t="shared" si="331"/>
        <v>0</v>
      </c>
    </row>
    <row r="112" spans="1:63" ht="15.75" customHeight="1" thickBot="1" x14ac:dyDescent="0.3">
      <c r="A112" s="90"/>
      <c r="B112" s="3809" t="s">
        <v>1275</v>
      </c>
      <c r="C112" s="3810" t="s">
        <v>866</v>
      </c>
      <c r="D112" s="3810"/>
      <c r="E112" s="147"/>
      <c r="F112" s="147"/>
      <c r="G112" s="147"/>
      <c r="H112" s="147"/>
      <c r="I112" s="349"/>
      <c r="J112" s="7310">
        <f t="shared" si="335"/>
        <v>0</v>
      </c>
      <c r="K112" s="147"/>
      <c r="L112" s="147"/>
      <c r="M112" s="586"/>
      <c r="N112" s="7301">
        <f t="shared" si="336"/>
        <v>0</v>
      </c>
      <c r="O112" s="147"/>
      <c r="P112" s="147"/>
      <c r="Q112" s="349"/>
      <c r="R112" s="7310">
        <f t="shared" si="337"/>
        <v>0</v>
      </c>
      <c r="S112" s="147"/>
      <c r="T112" s="147"/>
      <c r="U112" s="349"/>
      <c r="V112" s="7310">
        <f t="shared" si="338"/>
        <v>0</v>
      </c>
      <c r="W112" s="147"/>
      <c r="X112" s="147"/>
      <c r="Y112" s="586"/>
      <c r="Z112" s="7301">
        <f t="shared" si="339"/>
        <v>0</v>
      </c>
      <c r="AA112" s="975"/>
      <c r="AB112" s="7302">
        <f t="shared" si="340"/>
        <v>0</v>
      </c>
      <c r="AC112" s="147"/>
      <c r="AD112" s="147"/>
      <c r="AE112" s="349"/>
      <c r="AF112" s="7310">
        <f t="shared" si="341"/>
        <v>0</v>
      </c>
      <c r="AG112" s="147"/>
      <c r="AH112" s="147"/>
      <c r="AI112" s="349"/>
      <c r="AJ112" s="349">
        <f t="shared" si="367"/>
        <v>0</v>
      </c>
      <c r="AK112" s="147"/>
      <c r="AL112" s="147"/>
      <c r="AM112" s="586"/>
      <c r="AN112" s="586">
        <f t="shared" si="368"/>
        <v>0</v>
      </c>
      <c r="AO112" s="349"/>
      <c r="AP112" s="349">
        <f t="shared" si="369"/>
        <v>0</v>
      </c>
      <c r="AQ112" s="147"/>
      <c r="AR112" s="147"/>
      <c r="AS112" s="349"/>
      <c r="AT112" s="41">
        <f t="shared" si="370"/>
        <v>0</v>
      </c>
      <c r="AU112" s="147"/>
      <c r="AV112" s="147"/>
      <c r="AW112" s="349"/>
      <c r="AX112" s="41">
        <f t="shared" si="371"/>
        <v>0</v>
      </c>
      <c r="AY112" s="147"/>
      <c r="AZ112" s="147"/>
      <c r="BA112" s="586"/>
      <c r="BB112" s="586">
        <f t="shared" si="372"/>
        <v>0</v>
      </c>
      <c r="BC112" s="975"/>
      <c r="BD112" s="7302">
        <f t="shared" si="373"/>
        <v>0</v>
      </c>
      <c r="BE112" s="349"/>
      <c r="BF112" s="41">
        <f t="shared" si="374"/>
        <v>0</v>
      </c>
      <c r="BG112" s="4152">
        <f t="shared" si="328"/>
        <v>0</v>
      </c>
      <c r="BH112" s="4152">
        <f t="shared" si="329"/>
        <v>0</v>
      </c>
      <c r="BI112" s="4152"/>
      <c r="BJ112" s="4152">
        <f t="shared" si="330"/>
        <v>0</v>
      </c>
      <c r="BK112" s="4152">
        <f t="shared" si="331"/>
        <v>0</v>
      </c>
    </row>
    <row r="113" spans="1:63" ht="15.75" customHeight="1" thickBot="1" x14ac:dyDescent="0.3">
      <c r="A113" s="90"/>
      <c r="B113" s="3816" t="s">
        <v>1275</v>
      </c>
      <c r="C113" s="3817" t="s">
        <v>865</v>
      </c>
      <c r="D113" s="3817"/>
      <c r="E113" s="105"/>
      <c r="F113" s="105"/>
      <c r="G113" s="105"/>
      <c r="H113" s="105"/>
      <c r="I113" s="557"/>
      <c r="J113" s="7310">
        <f t="shared" si="335"/>
        <v>0</v>
      </c>
      <c r="K113" s="105"/>
      <c r="L113" s="105"/>
      <c r="M113" s="462"/>
      <c r="N113" s="7301">
        <f t="shared" si="336"/>
        <v>0</v>
      </c>
      <c r="O113" s="105"/>
      <c r="P113" s="105"/>
      <c r="Q113" s="557"/>
      <c r="R113" s="7310">
        <f t="shared" si="337"/>
        <v>0</v>
      </c>
      <c r="S113" s="105"/>
      <c r="T113" s="105"/>
      <c r="U113" s="557"/>
      <c r="V113" s="7310">
        <f t="shared" si="338"/>
        <v>0</v>
      </c>
      <c r="W113" s="105"/>
      <c r="X113" s="105"/>
      <c r="Y113" s="462"/>
      <c r="Z113" s="7301">
        <f t="shared" si="339"/>
        <v>0</v>
      </c>
      <c r="AA113" s="1063"/>
      <c r="AB113" s="7302">
        <f t="shared" si="340"/>
        <v>0</v>
      </c>
      <c r="AC113" s="105"/>
      <c r="AD113" s="105"/>
      <c r="AE113" s="557"/>
      <c r="AF113" s="7310">
        <f t="shared" si="341"/>
        <v>0</v>
      </c>
      <c r="AG113" s="105"/>
      <c r="AH113" s="105"/>
      <c r="AI113" s="557"/>
      <c r="AJ113" s="349">
        <f t="shared" si="367"/>
        <v>0</v>
      </c>
      <c r="AK113" s="105"/>
      <c r="AL113" s="105"/>
      <c r="AM113" s="462"/>
      <c r="AN113" s="586">
        <f t="shared" si="368"/>
        <v>0</v>
      </c>
      <c r="AO113" s="557"/>
      <c r="AP113" s="349">
        <f t="shared" si="369"/>
        <v>0</v>
      </c>
      <c r="AQ113" s="105"/>
      <c r="AR113" s="105"/>
      <c r="AS113" s="557"/>
      <c r="AT113" s="41">
        <f t="shared" si="370"/>
        <v>0</v>
      </c>
      <c r="AU113" s="105"/>
      <c r="AV113" s="105"/>
      <c r="AW113" s="557"/>
      <c r="AX113" s="41">
        <f t="shared" si="371"/>
        <v>0</v>
      </c>
      <c r="AY113" s="105"/>
      <c r="AZ113" s="105"/>
      <c r="BA113" s="462"/>
      <c r="BB113" s="586">
        <f t="shared" si="372"/>
        <v>0</v>
      </c>
      <c r="BC113" s="1063"/>
      <c r="BD113" s="7302">
        <f t="shared" si="373"/>
        <v>0</v>
      </c>
      <c r="BE113" s="557"/>
      <c r="BF113" s="41">
        <f t="shared" si="374"/>
        <v>0</v>
      </c>
      <c r="BG113" s="4152">
        <f t="shared" si="328"/>
        <v>0</v>
      </c>
      <c r="BH113" s="4152">
        <f t="shared" si="329"/>
        <v>0</v>
      </c>
      <c r="BI113" s="4152"/>
      <c r="BJ113" s="4152">
        <f t="shared" si="330"/>
        <v>0</v>
      </c>
      <c r="BK113" s="4152">
        <f t="shared" si="331"/>
        <v>0</v>
      </c>
    </row>
    <row r="114" spans="1:63" ht="15.75" thickBot="1" x14ac:dyDescent="0.3">
      <c r="A114" s="90"/>
      <c r="B114" s="3809" t="s">
        <v>828</v>
      </c>
      <c r="C114" s="3810" t="s">
        <v>865</v>
      </c>
      <c r="D114" s="3810"/>
      <c r="E114" s="147"/>
      <c r="F114" s="147">
        <v>130.63</v>
      </c>
      <c r="G114" s="147"/>
      <c r="H114" s="147">
        <v>1019.6400000000001</v>
      </c>
      <c r="I114" s="349"/>
      <c r="J114" s="7310">
        <f t="shared" si="335"/>
        <v>1150.27</v>
      </c>
      <c r="K114" s="147"/>
      <c r="L114" s="147">
        <v>820.60000000000014</v>
      </c>
      <c r="M114" s="586"/>
      <c r="N114" s="7301">
        <f t="shared" si="336"/>
        <v>1970.8700000000001</v>
      </c>
      <c r="O114" s="147"/>
      <c r="P114" s="147">
        <v>82.5</v>
      </c>
      <c r="Q114" s="349"/>
      <c r="R114" s="7310">
        <f t="shared" si="337"/>
        <v>2053.37</v>
      </c>
      <c r="S114" s="147"/>
      <c r="T114" s="147">
        <v>3439.6299999999992</v>
      </c>
      <c r="U114" s="349"/>
      <c r="V114" s="7310">
        <f t="shared" si="338"/>
        <v>5492.9999999999991</v>
      </c>
      <c r="W114" s="147"/>
      <c r="X114" s="147">
        <v>1563.5</v>
      </c>
      <c r="Y114" s="586"/>
      <c r="Z114" s="7301">
        <f t="shared" si="339"/>
        <v>5085.6299999999992</v>
      </c>
      <c r="AA114" s="975"/>
      <c r="AB114" s="7302">
        <f t="shared" si="340"/>
        <v>7056.4999999999991</v>
      </c>
      <c r="AC114" s="147"/>
      <c r="AD114" s="147">
        <v>1979.6999999999996</v>
      </c>
      <c r="AE114" s="349"/>
      <c r="AF114" s="7310">
        <f t="shared" si="341"/>
        <v>9036.1999999999989</v>
      </c>
      <c r="AG114" s="147"/>
      <c r="AH114" s="147">
        <v>10.25</v>
      </c>
      <c r="AI114" s="349"/>
      <c r="AJ114" s="349">
        <f t="shared" si="367"/>
        <v>9046.4499999999989</v>
      </c>
      <c r="AK114" s="147"/>
      <c r="AL114" s="147">
        <v>5136.1200000000008</v>
      </c>
      <c r="AM114" s="586"/>
      <c r="AN114" s="586">
        <f t="shared" si="368"/>
        <v>7126.0700000000006</v>
      </c>
      <c r="AO114" s="349"/>
      <c r="AP114" s="349">
        <f t="shared" si="369"/>
        <v>14182.57</v>
      </c>
      <c r="AQ114" s="147"/>
      <c r="AR114" s="147">
        <v>142.41999999999999</v>
      </c>
      <c r="AS114" s="349"/>
      <c r="AT114" s="41">
        <f t="shared" si="370"/>
        <v>14324.99</v>
      </c>
      <c r="AU114" s="147"/>
      <c r="AV114" s="147">
        <v>3748.18</v>
      </c>
      <c r="AW114" s="349"/>
      <c r="AX114" s="41">
        <f t="shared" si="371"/>
        <v>18073.169999999998</v>
      </c>
      <c r="AY114" s="147"/>
      <c r="AZ114" s="147">
        <v>6280.3</v>
      </c>
      <c r="BA114" s="586"/>
      <c r="BB114" s="586">
        <f t="shared" si="372"/>
        <v>10170.9</v>
      </c>
      <c r="BC114" s="975"/>
      <c r="BD114" s="7302">
        <f t="shared" si="373"/>
        <v>17296.97</v>
      </c>
      <c r="BE114" s="349"/>
      <c r="BF114" s="41">
        <f t="shared" si="374"/>
        <v>24353.469999999998</v>
      </c>
      <c r="BG114" s="4152">
        <f t="shared" si="328"/>
        <v>0</v>
      </c>
      <c r="BH114" s="4152">
        <f t="shared" si="329"/>
        <v>0</v>
      </c>
      <c r="BI114" s="4152"/>
      <c r="BJ114" s="4152">
        <f t="shared" si="330"/>
        <v>0</v>
      </c>
      <c r="BK114" s="4152">
        <f t="shared" si="331"/>
        <v>0</v>
      </c>
    </row>
    <row r="115" spans="1:63" ht="15.75" thickBot="1" x14ac:dyDescent="0.3">
      <c r="A115" s="90"/>
      <c r="B115" s="3814" t="s">
        <v>828</v>
      </c>
      <c r="C115" s="3815" t="s">
        <v>909</v>
      </c>
      <c r="D115" s="3815"/>
      <c r="E115" s="3805"/>
      <c r="F115" s="1819"/>
      <c r="G115" s="3805"/>
      <c r="H115" s="1819">
        <v>255.5</v>
      </c>
      <c r="I115" s="799"/>
      <c r="J115" s="7310">
        <f t="shared" si="335"/>
        <v>255.5</v>
      </c>
      <c r="K115" s="3805"/>
      <c r="L115" s="1819"/>
      <c r="M115" s="848"/>
      <c r="N115" s="7301">
        <f t="shared" si="336"/>
        <v>255.5</v>
      </c>
      <c r="O115" s="3805"/>
      <c r="P115" s="1819"/>
      <c r="Q115" s="799"/>
      <c r="R115" s="7310">
        <f t="shared" si="337"/>
        <v>255.5</v>
      </c>
      <c r="S115" s="3805"/>
      <c r="T115" s="1819"/>
      <c r="U115" s="799"/>
      <c r="V115" s="7310">
        <f t="shared" si="338"/>
        <v>255.5</v>
      </c>
      <c r="W115" s="3805"/>
      <c r="X115" s="1819"/>
      <c r="Y115" s="848"/>
      <c r="Z115" s="7301">
        <f t="shared" si="339"/>
        <v>0</v>
      </c>
      <c r="AA115" s="4498"/>
      <c r="AB115" s="7302">
        <f t="shared" si="340"/>
        <v>255.5</v>
      </c>
      <c r="AC115" s="3805"/>
      <c r="AD115" s="1819"/>
      <c r="AE115" s="799"/>
      <c r="AF115" s="7310">
        <f t="shared" si="341"/>
        <v>255.5</v>
      </c>
      <c r="AG115" s="3805"/>
      <c r="AH115" s="1819"/>
      <c r="AI115" s="799"/>
      <c r="AJ115" s="349">
        <f t="shared" si="367"/>
        <v>255.5</v>
      </c>
      <c r="AK115" s="3805"/>
      <c r="AL115" s="1819"/>
      <c r="AM115" s="848"/>
      <c r="AN115" s="586">
        <f t="shared" si="368"/>
        <v>0</v>
      </c>
      <c r="AO115" s="799"/>
      <c r="AP115" s="349">
        <f t="shared" si="369"/>
        <v>255.5</v>
      </c>
      <c r="AQ115" s="3805"/>
      <c r="AR115" s="1819">
        <v>62.86</v>
      </c>
      <c r="AS115" s="799"/>
      <c r="AT115" s="41">
        <f t="shared" si="370"/>
        <v>318.36</v>
      </c>
      <c r="AU115" s="3805"/>
      <c r="AV115" s="1819"/>
      <c r="AW115" s="799"/>
      <c r="AX115" s="41">
        <f t="shared" si="371"/>
        <v>318.36</v>
      </c>
      <c r="AY115" s="3805"/>
      <c r="AZ115" s="1819"/>
      <c r="BA115" s="848"/>
      <c r="BB115" s="586">
        <f t="shared" si="372"/>
        <v>62.86</v>
      </c>
      <c r="BC115" s="4498"/>
      <c r="BD115" s="7302">
        <f t="shared" si="373"/>
        <v>62.86</v>
      </c>
      <c r="BE115" s="799"/>
      <c r="BF115" s="41">
        <f t="shared" si="374"/>
        <v>318.36</v>
      </c>
      <c r="BG115" s="4152">
        <f t="shared" si="328"/>
        <v>0</v>
      </c>
      <c r="BH115" s="4152">
        <f t="shared" si="329"/>
        <v>0</v>
      </c>
      <c r="BI115" s="4152"/>
      <c r="BJ115" s="4152">
        <f t="shared" si="330"/>
        <v>0</v>
      </c>
      <c r="BK115" s="4152">
        <f t="shared" si="331"/>
        <v>0</v>
      </c>
    </row>
    <row r="116" spans="1:63" ht="15.75" thickBot="1" x14ac:dyDescent="0.3">
      <c r="A116" s="90"/>
      <c r="B116" s="3814" t="s">
        <v>828</v>
      </c>
      <c r="C116" s="3815" t="s">
        <v>867</v>
      </c>
      <c r="D116" s="3815"/>
      <c r="E116" s="3805"/>
      <c r="F116" s="1819"/>
      <c r="G116" s="3805"/>
      <c r="H116" s="1819"/>
      <c r="I116" s="799"/>
      <c r="J116" s="7310">
        <f t="shared" si="335"/>
        <v>0</v>
      </c>
      <c r="K116" s="3805"/>
      <c r="L116" s="1819"/>
      <c r="M116" s="848"/>
      <c r="N116" s="7301">
        <f t="shared" si="336"/>
        <v>0</v>
      </c>
      <c r="O116" s="3805"/>
      <c r="P116" s="1819"/>
      <c r="Q116" s="799"/>
      <c r="R116" s="7310">
        <f t="shared" si="337"/>
        <v>0</v>
      </c>
      <c r="S116" s="3805"/>
      <c r="T116" s="1819">
        <v>42.22</v>
      </c>
      <c r="U116" s="799"/>
      <c r="V116" s="7310">
        <f t="shared" si="338"/>
        <v>42.22</v>
      </c>
      <c r="W116" s="3805"/>
      <c r="X116" s="1819"/>
      <c r="Y116" s="848"/>
      <c r="Z116" s="7301">
        <f t="shared" si="339"/>
        <v>42.22</v>
      </c>
      <c r="AA116" s="4498"/>
      <c r="AB116" s="7302">
        <f t="shared" si="340"/>
        <v>42.22</v>
      </c>
      <c r="AC116" s="3805"/>
      <c r="AD116" s="1819"/>
      <c r="AE116" s="799"/>
      <c r="AF116" s="7310">
        <f t="shared" si="341"/>
        <v>42.22</v>
      </c>
      <c r="AG116" s="3805"/>
      <c r="AH116" s="1819"/>
      <c r="AI116" s="799"/>
      <c r="AJ116" s="349">
        <f t="shared" si="367"/>
        <v>42.22</v>
      </c>
      <c r="AK116" s="3805"/>
      <c r="AL116" s="1819">
        <v>643.54</v>
      </c>
      <c r="AM116" s="848"/>
      <c r="AN116" s="586">
        <f t="shared" si="368"/>
        <v>643.54</v>
      </c>
      <c r="AO116" s="799"/>
      <c r="AP116" s="349">
        <f t="shared" si="369"/>
        <v>685.76</v>
      </c>
      <c r="AQ116" s="3805"/>
      <c r="AR116" s="1819"/>
      <c r="AS116" s="799"/>
      <c r="AT116" s="41">
        <f t="shared" si="370"/>
        <v>685.76</v>
      </c>
      <c r="AU116" s="3805"/>
      <c r="AV116" s="1819">
        <v>636.08000000000004</v>
      </c>
      <c r="AW116" s="799"/>
      <c r="AX116" s="41">
        <f t="shared" si="371"/>
        <v>1321.8400000000001</v>
      </c>
      <c r="AY116" s="3805"/>
      <c r="AZ116" s="1819">
        <v>255.64</v>
      </c>
      <c r="BA116" s="848"/>
      <c r="BB116" s="586">
        <f t="shared" si="372"/>
        <v>891.72</v>
      </c>
      <c r="BC116" s="4498"/>
      <c r="BD116" s="7302">
        <f t="shared" si="373"/>
        <v>1535.26</v>
      </c>
      <c r="BE116" s="799"/>
      <c r="BF116" s="41">
        <f t="shared" si="374"/>
        <v>1577.48</v>
      </c>
      <c r="BG116" s="4152">
        <f t="shared" si="328"/>
        <v>0</v>
      </c>
      <c r="BH116" s="4152">
        <f t="shared" si="329"/>
        <v>0</v>
      </c>
      <c r="BI116" s="4152"/>
      <c r="BJ116" s="4152">
        <f t="shared" si="330"/>
        <v>0</v>
      </c>
      <c r="BK116" s="4152">
        <f t="shared" si="331"/>
        <v>0</v>
      </c>
    </row>
    <row r="117" spans="1:63" ht="15.75" thickBot="1" x14ac:dyDescent="0.3">
      <c r="A117" s="90"/>
      <c r="B117" s="3814" t="s">
        <v>828</v>
      </c>
      <c r="C117" s="3815" t="s">
        <v>1454</v>
      </c>
      <c r="D117" s="3815"/>
      <c r="E117" s="3805"/>
      <c r="F117" s="1819"/>
      <c r="G117" s="3805"/>
      <c r="H117" s="1819"/>
      <c r="I117" s="799"/>
      <c r="J117" s="7310">
        <f t="shared" si="335"/>
        <v>0</v>
      </c>
      <c r="K117" s="3805"/>
      <c r="L117" s="1819"/>
      <c r="M117" s="848"/>
      <c r="N117" s="7301">
        <f t="shared" si="336"/>
        <v>0</v>
      </c>
      <c r="O117" s="3805"/>
      <c r="P117" s="1819"/>
      <c r="Q117" s="799"/>
      <c r="R117" s="7310">
        <f t="shared" si="337"/>
        <v>0</v>
      </c>
      <c r="S117" s="3805"/>
      <c r="T117" s="1819"/>
      <c r="U117" s="799"/>
      <c r="V117" s="7310">
        <f t="shared" si="338"/>
        <v>0</v>
      </c>
      <c r="W117" s="3805"/>
      <c r="X117" s="1819"/>
      <c r="Y117" s="848"/>
      <c r="Z117" s="7301">
        <f t="shared" si="339"/>
        <v>0</v>
      </c>
      <c r="AA117" s="4498"/>
      <c r="AB117" s="7302">
        <f t="shared" si="340"/>
        <v>0</v>
      </c>
      <c r="AC117" s="3805"/>
      <c r="AD117" s="1819"/>
      <c r="AE117" s="799"/>
      <c r="AF117" s="7310">
        <f t="shared" si="341"/>
        <v>0</v>
      </c>
      <c r="AG117" s="3805"/>
      <c r="AH117" s="1819"/>
      <c r="AI117" s="799"/>
      <c r="AJ117" s="349">
        <f t="shared" si="367"/>
        <v>0</v>
      </c>
      <c r="AK117" s="3805"/>
      <c r="AL117" s="1819"/>
      <c r="AM117" s="848"/>
      <c r="AN117" s="586">
        <f t="shared" si="368"/>
        <v>0</v>
      </c>
      <c r="AO117" s="799"/>
      <c r="AP117" s="349">
        <f t="shared" si="369"/>
        <v>0</v>
      </c>
      <c r="AQ117" s="3805"/>
      <c r="AR117" s="1819"/>
      <c r="AS117" s="799"/>
      <c r="AT117" s="41">
        <f t="shared" si="370"/>
        <v>0</v>
      </c>
      <c r="AU117" s="3805"/>
      <c r="AV117" s="1819">
        <v>123.34</v>
      </c>
      <c r="AW117" s="799"/>
      <c r="AX117" s="41">
        <f t="shared" si="371"/>
        <v>123.34</v>
      </c>
      <c r="AY117" s="3805"/>
      <c r="AZ117" s="1819"/>
      <c r="BA117" s="848"/>
      <c r="BB117" s="586">
        <f t="shared" si="372"/>
        <v>123.34</v>
      </c>
      <c r="BC117" s="4498"/>
      <c r="BD117" s="7302">
        <f t="shared" si="373"/>
        <v>123.34</v>
      </c>
      <c r="BE117" s="799"/>
      <c r="BF117" s="41">
        <f t="shared" si="374"/>
        <v>123.34</v>
      </c>
      <c r="BG117" s="4152">
        <f t="shared" si="328"/>
        <v>0</v>
      </c>
      <c r="BH117" s="4152">
        <f t="shared" si="329"/>
        <v>0</v>
      </c>
      <c r="BI117" s="4152"/>
      <c r="BJ117" s="4152">
        <f t="shared" si="330"/>
        <v>0</v>
      </c>
      <c r="BK117" s="4152">
        <f t="shared" si="331"/>
        <v>0</v>
      </c>
    </row>
    <row r="118" spans="1:63" ht="15.75" thickBot="1" x14ac:dyDescent="0.3">
      <c r="A118" s="90"/>
      <c r="B118" s="3814" t="s">
        <v>828</v>
      </c>
      <c r="C118" s="3815" t="s">
        <v>1396</v>
      </c>
      <c r="D118" s="3815"/>
      <c r="E118" s="3805"/>
      <c r="F118" s="1819"/>
      <c r="G118" s="3805"/>
      <c r="H118" s="1819"/>
      <c r="I118" s="799"/>
      <c r="J118" s="7310">
        <f t="shared" si="335"/>
        <v>0</v>
      </c>
      <c r="K118" s="3805"/>
      <c r="L118" s="1819"/>
      <c r="M118" s="848"/>
      <c r="N118" s="7301">
        <f t="shared" si="336"/>
        <v>0</v>
      </c>
      <c r="O118" s="3805"/>
      <c r="P118" s="1819"/>
      <c r="Q118" s="799"/>
      <c r="R118" s="7310">
        <f t="shared" si="337"/>
        <v>0</v>
      </c>
      <c r="S118" s="3805"/>
      <c r="T118" s="1819"/>
      <c r="U118" s="799"/>
      <c r="V118" s="7310">
        <f t="shared" si="338"/>
        <v>0</v>
      </c>
      <c r="W118" s="3805"/>
      <c r="X118" s="1819"/>
      <c r="Y118" s="848"/>
      <c r="Z118" s="7301">
        <f t="shared" si="339"/>
        <v>0</v>
      </c>
      <c r="AA118" s="4498"/>
      <c r="AB118" s="7302">
        <f t="shared" si="340"/>
        <v>0</v>
      </c>
      <c r="AC118" s="3805"/>
      <c r="AD118" s="1819"/>
      <c r="AE118" s="799"/>
      <c r="AF118" s="7310">
        <f t="shared" si="341"/>
        <v>0</v>
      </c>
      <c r="AG118" s="3805"/>
      <c r="AH118" s="1819"/>
      <c r="AI118" s="799"/>
      <c r="AJ118" s="349">
        <f t="shared" si="367"/>
        <v>0</v>
      </c>
      <c r="AK118" s="3805"/>
      <c r="AL118" s="1819"/>
      <c r="AM118" s="848"/>
      <c r="AN118" s="586">
        <f t="shared" si="368"/>
        <v>0</v>
      </c>
      <c r="AO118" s="799"/>
      <c r="AP118" s="349">
        <f t="shared" si="369"/>
        <v>0</v>
      </c>
      <c r="AQ118" s="3805"/>
      <c r="AR118" s="1819"/>
      <c r="AS118" s="799"/>
      <c r="AT118" s="41">
        <f t="shared" si="370"/>
        <v>0</v>
      </c>
      <c r="AU118" s="3805"/>
      <c r="AV118" s="1819"/>
      <c r="AW118" s="799"/>
      <c r="AX118" s="41">
        <f t="shared" si="371"/>
        <v>0</v>
      </c>
      <c r="AY118" s="3805"/>
      <c r="AZ118" s="1819"/>
      <c r="BA118" s="848"/>
      <c r="BB118" s="586">
        <f t="shared" si="372"/>
        <v>0</v>
      </c>
      <c r="BC118" s="4498"/>
      <c r="BD118" s="7302">
        <f t="shared" si="373"/>
        <v>0</v>
      </c>
      <c r="BE118" s="799"/>
      <c r="BF118" s="41">
        <f t="shared" si="374"/>
        <v>0</v>
      </c>
      <c r="BG118" s="4152">
        <f t="shared" si="328"/>
        <v>0</v>
      </c>
      <c r="BH118" s="4152">
        <f t="shared" si="329"/>
        <v>0</v>
      </c>
      <c r="BI118" s="4152"/>
      <c r="BJ118" s="4152">
        <f t="shared" si="330"/>
        <v>0</v>
      </c>
      <c r="BK118" s="4152">
        <f t="shared" si="331"/>
        <v>0</v>
      </c>
    </row>
    <row r="119" spans="1:63" s="6586" customFormat="1" ht="15.75" thickBot="1" x14ac:dyDescent="0.3">
      <c r="A119" s="90"/>
      <c r="B119" s="4468" t="s">
        <v>828</v>
      </c>
      <c r="C119" s="6603" t="s">
        <v>1104</v>
      </c>
      <c r="D119" s="6603"/>
      <c r="E119" s="6604"/>
      <c r="F119" s="6605"/>
      <c r="G119" s="6604"/>
      <c r="H119" s="6605"/>
      <c r="I119" s="6606"/>
      <c r="J119" s="6366"/>
      <c r="K119" s="6604"/>
      <c r="L119" s="6605"/>
      <c r="M119" s="6607"/>
      <c r="N119" s="6367"/>
      <c r="O119" s="6604"/>
      <c r="P119" s="6605"/>
      <c r="Q119" s="6606"/>
      <c r="R119" s="6366"/>
      <c r="S119" s="6604"/>
      <c r="T119" s="6605"/>
      <c r="U119" s="6606"/>
      <c r="V119" s="6366"/>
      <c r="W119" s="6604"/>
      <c r="X119" s="6605"/>
      <c r="Y119" s="6607"/>
      <c r="Z119" s="6367"/>
      <c r="AA119" s="7387"/>
      <c r="AB119" s="6895"/>
      <c r="AC119" s="6604"/>
      <c r="AD119" s="6605"/>
      <c r="AE119" s="6606"/>
      <c r="AF119" s="6366"/>
      <c r="AG119" s="6604"/>
      <c r="AH119" s="6605"/>
      <c r="AI119" s="6606"/>
      <c r="AJ119" s="349">
        <f t="shared" ref="AJ119" si="375">AF119+AH119</f>
        <v>0</v>
      </c>
      <c r="AK119" s="3805"/>
      <c r="AL119" s="1819">
        <v>833.11999999999989</v>
      </c>
      <c r="AM119" s="848"/>
      <c r="AN119" s="586">
        <f t="shared" ref="AN119" si="376">AD119+AH119+AL119</f>
        <v>833.11999999999989</v>
      </c>
      <c r="AO119" s="799"/>
      <c r="AP119" s="349">
        <f t="shared" ref="AP119" si="377">AJ119+AL119</f>
        <v>833.11999999999989</v>
      </c>
      <c r="AQ119" s="3805"/>
      <c r="AR119" s="1819"/>
      <c r="AS119" s="799"/>
      <c r="AT119" s="41">
        <f t="shared" si="370"/>
        <v>833.11999999999989</v>
      </c>
      <c r="AU119" s="3805"/>
      <c r="AV119" s="1819">
        <v>687.63</v>
      </c>
      <c r="AW119" s="799"/>
      <c r="AX119" s="41">
        <f t="shared" ref="AX119" si="378">AT119+AV119</f>
        <v>1520.75</v>
      </c>
      <c r="AY119" s="3805"/>
      <c r="AZ119" s="1819"/>
      <c r="BA119" s="848"/>
      <c r="BB119" s="586">
        <f t="shared" si="372"/>
        <v>687.63</v>
      </c>
      <c r="BC119" s="4498"/>
      <c r="BD119" s="7302">
        <f t="shared" ref="BD119" si="379">AN119+BB119</f>
        <v>1520.75</v>
      </c>
      <c r="BE119" s="799"/>
      <c r="BF119" s="41">
        <f t="shared" si="374"/>
        <v>1520.75</v>
      </c>
      <c r="BG119" s="4152">
        <f t="shared" si="328"/>
        <v>0</v>
      </c>
      <c r="BH119" s="4152">
        <f t="shared" si="329"/>
        <v>0</v>
      </c>
      <c r="BI119" s="4152"/>
      <c r="BJ119" s="4152">
        <f t="shared" si="330"/>
        <v>0</v>
      </c>
      <c r="BK119" s="4152">
        <f t="shared" si="331"/>
        <v>0</v>
      </c>
    </row>
    <row r="120" spans="1:63" ht="15.75" thickBot="1" x14ac:dyDescent="0.3">
      <c r="A120" s="90"/>
      <c r="B120" s="3816" t="s">
        <v>828</v>
      </c>
      <c r="C120" s="3817" t="s">
        <v>866</v>
      </c>
      <c r="D120" s="3817"/>
      <c r="E120" s="3818"/>
      <c r="F120" s="105">
        <v>41.73</v>
      </c>
      <c r="G120" s="3818"/>
      <c r="H120" s="105">
        <v>1022.2799999999999</v>
      </c>
      <c r="I120" s="3168"/>
      <c r="J120" s="7310">
        <f t="shared" si="335"/>
        <v>1064.0099999999998</v>
      </c>
      <c r="K120" s="3818"/>
      <c r="L120" s="105">
        <v>889.56000000000006</v>
      </c>
      <c r="M120" s="3819"/>
      <c r="N120" s="7301">
        <f t="shared" si="336"/>
        <v>1953.5699999999997</v>
      </c>
      <c r="O120" s="3818"/>
      <c r="P120" s="105"/>
      <c r="Q120" s="3168"/>
      <c r="R120" s="7310">
        <f t="shared" si="337"/>
        <v>1953.5699999999997</v>
      </c>
      <c r="S120" s="3818"/>
      <c r="T120" s="105">
        <v>1321.0800000000002</v>
      </c>
      <c r="U120" s="3168"/>
      <c r="V120" s="7310">
        <f t="shared" si="338"/>
        <v>3274.6499999999996</v>
      </c>
      <c r="W120" s="3818"/>
      <c r="X120" s="105"/>
      <c r="Y120" s="3819"/>
      <c r="Z120" s="7301">
        <f t="shared" si="339"/>
        <v>1321.0800000000002</v>
      </c>
      <c r="AA120" s="7388"/>
      <c r="AB120" s="7302">
        <f t="shared" si="340"/>
        <v>3274.6499999999996</v>
      </c>
      <c r="AC120" s="3818"/>
      <c r="AD120" s="105">
        <v>635.46</v>
      </c>
      <c r="AE120" s="3168"/>
      <c r="AF120" s="7310">
        <f t="shared" si="341"/>
        <v>3910.1099999999997</v>
      </c>
      <c r="AG120" s="3818"/>
      <c r="AH120" s="105">
        <v>246.51999999999998</v>
      </c>
      <c r="AI120" s="3168"/>
      <c r="AJ120" s="349">
        <f t="shared" si="367"/>
        <v>4156.6299999999992</v>
      </c>
      <c r="AK120" s="3818"/>
      <c r="AL120" s="105">
        <v>1475.8600000000001</v>
      </c>
      <c r="AM120" s="3819"/>
      <c r="AN120" s="586">
        <f t="shared" si="368"/>
        <v>2357.84</v>
      </c>
      <c r="AO120" s="3168"/>
      <c r="AP120" s="349">
        <f t="shared" si="369"/>
        <v>5632.49</v>
      </c>
      <c r="AQ120" s="3818"/>
      <c r="AR120" s="105">
        <v>66.3</v>
      </c>
      <c r="AS120" s="3168"/>
      <c r="AT120" s="41">
        <f t="shared" si="370"/>
        <v>5698.79</v>
      </c>
      <c r="AU120" s="3818"/>
      <c r="AV120" s="105">
        <v>734.91</v>
      </c>
      <c r="AW120" s="3168"/>
      <c r="AX120" s="41">
        <f t="shared" si="371"/>
        <v>6433.7</v>
      </c>
      <c r="AY120" s="3818"/>
      <c r="AZ120" s="105">
        <v>973.42</v>
      </c>
      <c r="BA120" s="3819"/>
      <c r="BB120" s="586">
        <f t="shared" si="372"/>
        <v>1774.6299999999999</v>
      </c>
      <c r="BC120" s="7388"/>
      <c r="BD120" s="7302">
        <f t="shared" si="373"/>
        <v>4132.47</v>
      </c>
      <c r="BE120" s="3168"/>
      <c r="BF120" s="41">
        <f t="shared" si="374"/>
        <v>7407.12</v>
      </c>
      <c r="BG120" s="4152">
        <f t="shared" si="328"/>
        <v>0</v>
      </c>
      <c r="BH120" s="4152">
        <f t="shared" si="329"/>
        <v>0</v>
      </c>
      <c r="BI120" s="4152"/>
      <c r="BJ120" s="4152">
        <f t="shared" si="330"/>
        <v>0</v>
      </c>
      <c r="BK120" s="4152">
        <f t="shared" si="331"/>
        <v>0</v>
      </c>
    </row>
    <row r="121" spans="1:63" ht="15.75" thickBot="1" x14ac:dyDescent="0.3">
      <c r="A121" s="90"/>
      <c r="B121" s="3809" t="s">
        <v>840</v>
      </c>
      <c r="C121" s="3810" t="s">
        <v>865</v>
      </c>
      <c r="D121" s="3810"/>
      <c r="E121" s="3820"/>
      <c r="F121" s="147"/>
      <c r="G121" s="3820"/>
      <c r="H121" s="147">
        <v>182.64</v>
      </c>
      <c r="I121" s="3165"/>
      <c r="J121" s="7310">
        <f t="shared" si="335"/>
        <v>182.64</v>
      </c>
      <c r="K121" s="3820"/>
      <c r="L121" s="147"/>
      <c r="M121" s="3821"/>
      <c r="N121" s="7301">
        <f t="shared" si="336"/>
        <v>182.64</v>
      </c>
      <c r="O121" s="3820"/>
      <c r="P121" s="147"/>
      <c r="Q121" s="3165"/>
      <c r="R121" s="7310">
        <f t="shared" si="337"/>
        <v>182.64</v>
      </c>
      <c r="S121" s="3820"/>
      <c r="T121" s="147"/>
      <c r="U121" s="3165"/>
      <c r="V121" s="7310">
        <f t="shared" si="338"/>
        <v>182.64</v>
      </c>
      <c r="W121" s="3820"/>
      <c r="X121" s="147"/>
      <c r="Y121" s="3821"/>
      <c r="Z121" s="7301">
        <f t="shared" si="339"/>
        <v>0</v>
      </c>
      <c r="AA121" s="5363"/>
      <c r="AB121" s="7302">
        <f t="shared" si="340"/>
        <v>182.64</v>
      </c>
      <c r="AC121" s="3820"/>
      <c r="AD121" s="147"/>
      <c r="AE121" s="3165"/>
      <c r="AF121" s="7310">
        <f t="shared" si="341"/>
        <v>182.64</v>
      </c>
      <c r="AG121" s="3820"/>
      <c r="AH121" s="147"/>
      <c r="AI121" s="3165"/>
      <c r="AJ121" s="349">
        <f t="shared" si="367"/>
        <v>182.64</v>
      </c>
      <c r="AK121" s="3820"/>
      <c r="AL121" s="147">
        <v>8.1839999999999993</v>
      </c>
      <c r="AM121" s="3821"/>
      <c r="AN121" s="586">
        <f t="shared" si="368"/>
        <v>8.1839999999999993</v>
      </c>
      <c r="AO121" s="3165"/>
      <c r="AP121" s="349">
        <f t="shared" si="369"/>
        <v>190.82399999999998</v>
      </c>
      <c r="AQ121" s="3820"/>
      <c r="AR121" s="147"/>
      <c r="AS121" s="3165"/>
      <c r="AT121" s="41">
        <f t="shared" si="370"/>
        <v>190.82399999999998</v>
      </c>
      <c r="AU121" s="3820"/>
      <c r="AV121" s="147"/>
      <c r="AW121" s="3165"/>
      <c r="AX121" s="41">
        <f t="shared" si="371"/>
        <v>190.82399999999998</v>
      </c>
      <c r="AY121" s="3820"/>
      <c r="AZ121" s="147"/>
      <c r="BA121" s="3821"/>
      <c r="BB121" s="586">
        <f t="shared" si="372"/>
        <v>0</v>
      </c>
      <c r="BC121" s="5363"/>
      <c r="BD121" s="7302">
        <f t="shared" si="373"/>
        <v>8.1839999999999993</v>
      </c>
      <c r="BE121" s="3165"/>
      <c r="BF121" s="41">
        <f t="shared" si="374"/>
        <v>190.82399999999998</v>
      </c>
      <c r="BG121" s="4152">
        <f t="shared" si="328"/>
        <v>0</v>
      </c>
      <c r="BH121" s="4152">
        <f t="shared" si="329"/>
        <v>0</v>
      </c>
      <c r="BI121" s="4152"/>
      <c r="BJ121" s="4152">
        <f t="shared" si="330"/>
        <v>0</v>
      </c>
      <c r="BK121" s="4152">
        <f t="shared" si="331"/>
        <v>0</v>
      </c>
    </row>
    <row r="122" spans="1:63" ht="15.75" customHeight="1" thickBot="1" x14ac:dyDescent="0.3">
      <c r="A122" s="90"/>
      <c r="B122" s="3822" t="s">
        <v>840</v>
      </c>
      <c r="C122" s="3823" t="s">
        <v>867</v>
      </c>
      <c r="D122" s="3823"/>
      <c r="E122" s="3824"/>
      <c r="F122" s="1121"/>
      <c r="G122" s="3824"/>
      <c r="H122" s="5574"/>
      <c r="I122" s="3825"/>
      <c r="J122" s="7310">
        <f t="shared" si="335"/>
        <v>0</v>
      </c>
      <c r="K122" s="3824"/>
      <c r="L122" s="5690"/>
      <c r="M122" s="3826"/>
      <c r="N122" s="7301">
        <f t="shared" si="336"/>
        <v>0</v>
      </c>
      <c r="O122" s="3824"/>
      <c r="P122" s="5855"/>
      <c r="Q122" s="3825"/>
      <c r="R122" s="7310">
        <f t="shared" si="337"/>
        <v>0</v>
      </c>
      <c r="S122" s="3824"/>
      <c r="T122" s="5898"/>
      <c r="U122" s="3825"/>
      <c r="V122" s="7310">
        <f t="shared" si="338"/>
        <v>0</v>
      </c>
      <c r="W122" s="3824"/>
      <c r="X122" s="6019"/>
      <c r="Y122" s="3826"/>
      <c r="Z122" s="7301">
        <f t="shared" si="339"/>
        <v>0</v>
      </c>
      <c r="AA122" s="7389"/>
      <c r="AB122" s="7302">
        <f t="shared" si="340"/>
        <v>0</v>
      </c>
      <c r="AC122" s="3824"/>
      <c r="AD122" s="6154"/>
      <c r="AE122" s="3825"/>
      <c r="AF122" s="7310">
        <f t="shared" si="341"/>
        <v>0</v>
      </c>
      <c r="AG122" s="3824"/>
      <c r="AH122" s="6316"/>
      <c r="AI122" s="3825"/>
      <c r="AJ122" s="349">
        <f t="shared" si="367"/>
        <v>0</v>
      </c>
      <c r="AK122" s="3824"/>
      <c r="AL122" s="6554"/>
      <c r="AM122" s="3826"/>
      <c r="AN122" s="586">
        <f t="shared" si="368"/>
        <v>0</v>
      </c>
      <c r="AO122" s="3825"/>
      <c r="AP122" s="349">
        <f t="shared" si="369"/>
        <v>0</v>
      </c>
      <c r="AQ122" s="3824"/>
      <c r="AR122" s="6653"/>
      <c r="AS122" s="3825"/>
      <c r="AT122" s="41">
        <f t="shared" si="370"/>
        <v>0</v>
      </c>
      <c r="AU122" s="3824"/>
      <c r="AV122" s="6819"/>
      <c r="AW122" s="3825"/>
      <c r="AX122" s="41">
        <f t="shared" si="371"/>
        <v>0</v>
      </c>
      <c r="AY122" s="3824"/>
      <c r="AZ122" s="6962"/>
      <c r="BA122" s="3826"/>
      <c r="BB122" s="586">
        <f t="shared" si="372"/>
        <v>0</v>
      </c>
      <c r="BC122" s="7389"/>
      <c r="BD122" s="7302">
        <f t="shared" si="373"/>
        <v>0</v>
      </c>
      <c r="BE122" s="3825"/>
      <c r="BF122" s="41">
        <f t="shared" si="374"/>
        <v>0</v>
      </c>
      <c r="BG122" s="4152">
        <f t="shared" si="328"/>
        <v>0</v>
      </c>
      <c r="BH122" s="4152">
        <f t="shared" si="329"/>
        <v>0</v>
      </c>
      <c r="BI122" s="4152"/>
      <c r="BJ122" s="4152">
        <f t="shared" si="330"/>
        <v>0</v>
      </c>
      <c r="BK122" s="4152">
        <f t="shared" si="331"/>
        <v>0</v>
      </c>
    </row>
    <row r="123" spans="1:63" ht="15.75" thickBot="1" x14ac:dyDescent="0.3">
      <c r="A123" s="90"/>
      <c r="B123" s="3822" t="s">
        <v>840</v>
      </c>
      <c r="C123" s="3823" t="s">
        <v>909</v>
      </c>
      <c r="D123" s="3823"/>
      <c r="E123" s="3824"/>
      <c r="F123" s="1121"/>
      <c r="G123" s="3824"/>
      <c r="H123" s="5574">
        <v>61.28</v>
      </c>
      <c r="I123" s="3825"/>
      <c r="J123" s="7310">
        <f t="shared" si="335"/>
        <v>61.28</v>
      </c>
      <c r="K123" s="3824"/>
      <c r="L123" s="5690"/>
      <c r="M123" s="3826"/>
      <c r="N123" s="7301">
        <f t="shared" si="336"/>
        <v>61.28</v>
      </c>
      <c r="O123" s="3824"/>
      <c r="P123" s="5855"/>
      <c r="Q123" s="3825"/>
      <c r="R123" s="7310">
        <f t="shared" si="337"/>
        <v>61.28</v>
      </c>
      <c r="S123" s="3824"/>
      <c r="T123" s="5898"/>
      <c r="U123" s="3825"/>
      <c r="V123" s="7310">
        <f t="shared" si="338"/>
        <v>61.28</v>
      </c>
      <c r="W123" s="3824"/>
      <c r="X123" s="6019"/>
      <c r="Y123" s="3826"/>
      <c r="Z123" s="7301">
        <f t="shared" si="339"/>
        <v>0</v>
      </c>
      <c r="AA123" s="7389"/>
      <c r="AB123" s="7302">
        <f t="shared" si="340"/>
        <v>61.28</v>
      </c>
      <c r="AC123" s="3824"/>
      <c r="AD123" s="6154"/>
      <c r="AE123" s="3825"/>
      <c r="AF123" s="7310">
        <f t="shared" si="341"/>
        <v>61.28</v>
      </c>
      <c r="AG123" s="3824"/>
      <c r="AH123" s="6316"/>
      <c r="AI123" s="3825"/>
      <c r="AJ123" s="349">
        <f t="shared" si="367"/>
        <v>61.28</v>
      </c>
      <c r="AK123" s="3824"/>
      <c r="AL123" s="6554"/>
      <c r="AM123" s="3826"/>
      <c r="AN123" s="586">
        <f t="shared" si="368"/>
        <v>0</v>
      </c>
      <c r="AO123" s="3825"/>
      <c r="AP123" s="349">
        <f t="shared" si="369"/>
        <v>61.28</v>
      </c>
      <c r="AQ123" s="3824"/>
      <c r="AR123" s="6653"/>
      <c r="AS123" s="3825"/>
      <c r="AT123" s="41">
        <f t="shared" si="370"/>
        <v>61.28</v>
      </c>
      <c r="AU123" s="3824"/>
      <c r="AV123" s="6819"/>
      <c r="AW123" s="3825"/>
      <c r="AX123" s="41">
        <f t="shared" si="371"/>
        <v>61.28</v>
      </c>
      <c r="AY123" s="3824"/>
      <c r="AZ123" s="6962"/>
      <c r="BA123" s="3826"/>
      <c r="BB123" s="586">
        <f t="shared" si="372"/>
        <v>0</v>
      </c>
      <c r="BC123" s="7389"/>
      <c r="BD123" s="7302">
        <f t="shared" si="373"/>
        <v>0</v>
      </c>
      <c r="BE123" s="3825"/>
      <c r="BF123" s="41">
        <f t="shared" si="374"/>
        <v>61.28</v>
      </c>
      <c r="BG123" s="4152">
        <f t="shared" si="328"/>
        <v>0</v>
      </c>
      <c r="BH123" s="4152">
        <f t="shared" si="329"/>
        <v>0</v>
      </c>
      <c r="BI123" s="4152"/>
      <c r="BJ123" s="4152">
        <f t="shared" si="330"/>
        <v>0</v>
      </c>
      <c r="BK123" s="4152">
        <f t="shared" si="331"/>
        <v>0</v>
      </c>
    </row>
    <row r="124" spans="1:63" ht="15.75" customHeight="1" thickBot="1" x14ac:dyDescent="0.3">
      <c r="A124" s="90"/>
      <c r="B124" s="3814" t="s">
        <v>840</v>
      </c>
      <c r="C124" s="3815" t="s">
        <v>1345</v>
      </c>
      <c r="D124" s="3815"/>
      <c r="E124" s="3805"/>
      <c r="F124" s="1819"/>
      <c r="G124" s="3805"/>
      <c r="H124" s="1819"/>
      <c r="I124" s="799"/>
      <c r="J124" s="7310">
        <f t="shared" si="335"/>
        <v>0</v>
      </c>
      <c r="K124" s="3805"/>
      <c r="L124" s="1819"/>
      <c r="M124" s="848"/>
      <c r="N124" s="7301">
        <f t="shared" si="336"/>
        <v>0</v>
      </c>
      <c r="O124" s="3805"/>
      <c r="P124" s="1819"/>
      <c r="Q124" s="799"/>
      <c r="R124" s="7310">
        <f t="shared" si="337"/>
        <v>0</v>
      </c>
      <c r="S124" s="3805"/>
      <c r="T124" s="1819"/>
      <c r="U124" s="799"/>
      <c r="V124" s="7310">
        <f t="shared" si="338"/>
        <v>0</v>
      </c>
      <c r="W124" s="3805"/>
      <c r="X124" s="1819"/>
      <c r="Y124" s="848"/>
      <c r="Z124" s="7301">
        <f t="shared" si="339"/>
        <v>0</v>
      </c>
      <c r="AA124" s="4498"/>
      <c r="AB124" s="7302">
        <f t="shared" si="340"/>
        <v>0</v>
      </c>
      <c r="AC124" s="3805"/>
      <c r="AD124" s="1819"/>
      <c r="AE124" s="799"/>
      <c r="AF124" s="7310">
        <f t="shared" si="341"/>
        <v>0</v>
      </c>
      <c r="AG124" s="3805"/>
      <c r="AH124" s="1819"/>
      <c r="AI124" s="799"/>
      <c r="AJ124" s="349">
        <f t="shared" si="367"/>
        <v>0</v>
      </c>
      <c r="AK124" s="3805"/>
      <c r="AL124" s="1819"/>
      <c r="AM124" s="848"/>
      <c r="AN124" s="586">
        <f t="shared" si="368"/>
        <v>0</v>
      </c>
      <c r="AO124" s="799"/>
      <c r="AP124" s="349">
        <f t="shared" si="369"/>
        <v>0</v>
      </c>
      <c r="AQ124" s="3805"/>
      <c r="AR124" s="1819"/>
      <c r="AS124" s="799"/>
      <c r="AT124" s="41">
        <f t="shared" si="370"/>
        <v>0</v>
      </c>
      <c r="AU124" s="3805"/>
      <c r="AV124" s="1819"/>
      <c r="AW124" s="799"/>
      <c r="AX124" s="41">
        <f t="shared" si="371"/>
        <v>0</v>
      </c>
      <c r="AY124" s="3805"/>
      <c r="AZ124" s="1819"/>
      <c r="BA124" s="848"/>
      <c r="BB124" s="586">
        <f t="shared" si="372"/>
        <v>0</v>
      </c>
      <c r="BC124" s="4498"/>
      <c r="BD124" s="7302">
        <f t="shared" si="373"/>
        <v>0</v>
      </c>
      <c r="BE124" s="799"/>
      <c r="BF124" s="41">
        <f t="shared" si="374"/>
        <v>0</v>
      </c>
      <c r="BG124" s="4152">
        <f t="shared" si="328"/>
        <v>0</v>
      </c>
      <c r="BH124" s="4152">
        <f t="shared" si="329"/>
        <v>0</v>
      </c>
      <c r="BI124" s="4152"/>
      <c r="BJ124" s="4152">
        <f t="shared" si="330"/>
        <v>0</v>
      </c>
      <c r="BK124" s="4152">
        <f t="shared" si="331"/>
        <v>0</v>
      </c>
    </row>
    <row r="125" spans="1:63" ht="15.75" customHeight="1" thickBot="1" x14ac:dyDescent="0.3">
      <c r="A125" s="90"/>
      <c r="B125" s="3814" t="s">
        <v>840</v>
      </c>
      <c r="C125" s="3815" t="s">
        <v>1396</v>
      </c>
      <c r="D125" s="3815"/>
      <c r="E125" s="3805"/>
      <c r="F125" s="1819"/>
      <c r="G125" s="3805"/>
      <c r="H125" s="1819"/>
      <c r="I125" s="799"/>
      <c r="J125" s="7310">
        <f t="shared" si="335"/>
        <v>0</v>
      </c>
      <c r="K125" s="3805"/>
      <c r="L125" s="1819"/>
      <c r="M125" s="848"/>
      <c r="N125" s="7301">
        <f t="shared" si="336"/>
        <v>0</v>
      </c>
      <c r="O125" s="3805"/>
      <c r="P125" s="1819"/>
      <c r="Q125" s="799"/>
      <c r="R125" s="7310">
        <f t="shared" si="337"/>
        <v>0</v>
      </c>
      <c r="S125" s="3805"/>
      <c r="T125" s="1819"/>
      <c r="U125" s="799"/>
      <c r="V125" s="7310">
        <f t="shared" si="338"/>
        <v>0</v>
      </c>
      <c r="W125" s="3805"/>
      <c r="X125" s="1819"/>
      <c r="Y125" s="848"/>
      <c r="Z125" s="7301">
        <f t="shared" si="339"/>
        <v>0</v>
      </c>
      <c r="AA125" s="4498"/>
      <c r="AB125" s="7302">
        <f t="shared" si="340"/>
        <v>0</v>
      </c>
      <c r="AC125" s="3805"/>
      <c r="AD125" s="1819"/>
      <c r="AE125" s="799"/>
      <c r="AF125" s="7310">
        <f t="shared" si="341"/>
        <v>0</v>
      </c>
      <c r="AG125" s="3805"/>
      <c r="AH125" s="1819"/>
      <c r="AI125" s="799"/>
      <c r="AJ125" s="349">
        <f t="shared" si="367"/>
        <v>0</v>
      </c>
      <c r="AK125" s="3805"/>
      <c r="AL125" s="1819"/>
      <c r="AM125" s="848"/>
      <c r="AN125" s="586">
        <f t="shared" si="368"/>
        <v>0</v>
      </c>
      <c r="AO125" s="799"/>
      <c r="AP125" s="349">
        <f t="shared" si="369"/>
        <v>0</v>
      </c>
      <c r="AQ125" s="3805"/>
      <c r="AR125" s="1819"/>
      <c r="AS125" s="799"/>
      <c r="AT125" s="41">
        <f t="shared" si="370"/>
        <v>0</v>
      </c>
      <c r="AU125" s="3805"/>
      <c r="AV125" s="1819"/>
      <c r="AW125" s="799"/>
      <c r="AX125" s="41">
        <f t="shared" si="371"/>
        <v>0</v>
      </c>
      <c r="AY125" s="3805"/>
      <c r="AZ125" s="1819"/>
      <c r="BA125" s="848"/>
      <c r="BB125" s="586">
        <f t="shared" si="372"/>
        <v>0</v>
      </c>
      <c r="BC125" s="4498"/>
      <c r="BD125" s="7302">
        <f t="shared" si="373"/>
        <v>0</v>
      </c>
      <c r="BE125" s="799"/>
      <c r="BF125" s="41">
        <f t="shared" si="374"/>
        <v>0</v>
      </c>
      <c r="BG125" s="4152">
        <f t="shared" si="328"/>
        <v>0</v>
      </c>
      <c r="BH125" s="4152">
        <f t="shared" si="329"/>
        <v>0</v>
      </c>
      <c r="BI125" s="4152"/>
      <c r="BJ125" s="4152">
        <f t="shared" si="330"/>
        <v>0</v>
      </c>
      <c r="BK125" s="4152">
        <f t="shared" si="331"/>
        <v>0</v>
      </c>
    </row>
    <row r="126" spans="1:63" ht="15.75" customHeight="1" thickBot="1" x14ac:dyDescent="0.3">
      <c r="A126" s="90"/>
      <c r="B126" s="3814" t="s">
        <v>840</v>
      </c>
      <c r="C126" s="3815" t="s">
        <v>841</v>
      </c>
      <c r="D126" s="3815"/>
      <c r="E126" s="3805"/>
      <c r="F126" s="1819"/>
      <c r="G126" s="3805"/>
      <c r="H126" s="1819"/>
      <c r="I126" s="799"/>
      <c r="J126" s="7310">
        <f t="shared" si="335"/>
        <v>0</v>
      </c>
      <c r="K126" s="3805"/>
      <c r="L126" s="1819"/>
      <c r="M126" s="848"/>
      <c r="N126" s="7301">
        <f t="shared" si="336"/>
        <v>0</v>
      </c>
      <c r="O126" s="3805"/>
      <c r="P126" s="1819"/>
      <c r="Q126" s="799"/>
      <c r="R126" s="7310">
        <f t="shared" si="337"/>
        <v>0</v>
      </c>
      <c r="S126" s="3805"/>
      <c r="T126" s="1819"/>
      <c r="U126" s="799"/>
      <c r="V126" s="7310">
        <f t="shared" si="338"/>
        <v>0</v>
      </c>
      <c r="W126" s="3805"/>
      <c r="X126" s="1819"/>
      <c r="Y126" s="848"/>
      <c r="Z126" s="7301">
        <f t="shared" si="339"/>
        <v>0</v>
      </c>
      <c r="AA126" s="4498"/>
      <c r="AB126" s="7302">
        <f t="shared" si="340"/>
        <v>0</v>
      </c>
      <c r="AC126" s="3805"/>
      <c r="AD126" s="1819">
        <v>50.74</v>
      </c>
      <c r="AE126" s="799"/>
      <c r="AF126" s="7310">
        <f t="shared" si="341"/>
        <v>50.74</v>
      </c>
      <c r="AG126" s="3805"/>
      <c r="AH126" s="1819"/>
      <c r="AI126" s="799"/>
      <c r="AJ126" s="349">
        <f t="shared" si="367"/>
        <v>50.74</v>
      </c>
      <c r="AK126" s="3805"/>
      <c r="AL126" s="1819"/>
      <c r="AM126" s="848"/>
      <c r="AN126" s="586">
        <f t="shared" si="368"/>
        <v>50.74</v>
      </c>
      <c r="AO126" s="799"/>
      <c r="AP126" s="349">
        <f t="shared" si="369"/>
        <v>50.74</v>
      </c>
      <c r="AQ126" s="3805"/>
      <c r="AR126" s="1819"/>
      <c r="AS126" s="799"/>
      <c r="AT126" s="41">
        <f t="shared" si="370"/>
        <v>50.74</v>
      </c>
      <c r="AU126" s="3805"/>
      <c r="AV126" s="1819"/>
      <c r="AW126" s="799"/>
      <c r="AX126" s="41">
        <f t="shared" si="371"/>
        <v>50.74</v>
      </c>
      <c r="AY126" s="3805"/>
      <c r="AZ126" s="1819"/>
      <c r="BA126" s="848"/>
      <c r="BB126" s="586">
        <f t="shared" si="372"/>
        <v>0</v>
      </c>
      <c r="BC126" s="4498"/>
      <c r="BD126" s="7302">
        <f t="shared" si="373"/>
        <v>50.74</v>
      </c>
      <c r="BE126" s="799"/>
      <c r="BF126" s="41">
        <f t="shared" si="374"/>
        <v>50.74</v>
      </c>
      <c r="BG126" s="4152">
        <f t="shared" si="328"/>
        <v>0</v>
      </c>
      <c r="BH126" s="4152">
        <f t="shared" si="329"/>
        <v>0</v>
      </c>
      <c r="BI126" s="4152"/>
      <c r="BJ126" s="4152">
        <f t="shared" si="330"/>
        <v>0</v>
      </c>
      <c r="BK126" s="4152">
        <f t="shared" si="331"/>
        <v>0</v>
      </c>
    </row>
    <row r="127" spans="1:63" ht="15.75" customHeight="1" thickBot="1" x14ac:dyDescent="0.3">
      <c r="A127" s="90"/>
      <c r="B127" s="3814" t="s">
        <v>840</v>
      </c>
      <c r="C127" s="3815" t="s">
        <v>877</v>
      </c>
      <c r="D127" s="3815"/>
      <c r="E127" s="3805"/>
      <c r="F127" s="1819"/>
      <c r="G127" s="3805"/>
      <c r="H127" s="1819"/>
      <c r="I127" s="799"/>
      <c r="J127" s="7310">
        <f t="shared" si="335"/>
        <v>0</v>
      </c>
      <c r="K127" s="3805"/>
      <c r="L127" s="1819"/>
      <c r="M127" s="848"/>
      <c r="N127" s="7301">
        <f t="shared" si="336"/>
        <v>0</v>
      </c>
      <c r="O127" s="3805"/>
      <c r="P127" s="1819"/>
      <c r="Q127" s="799"/>
      <c r="R127" s="7310">
        <f t="shared" si="337"/>
        <v>0</v>
      </c>
      <c r="S127" s="3805"/>
      <c r="T127" s="1819"/>
      <c r="U127" s="799"/>
      <c r="V127" s="7310">
        <f t="shared" si="338"/>
        <v>0</v>
      </c>
      <c r="W127" s="3805"/>
      <c r="X127" s="1819"/>
      <c r="Y127" s="848"/>
      <c r="Z127" s="7301">
        <f t="shared" si="339"/>
        <v>0</v>
      </c>
      <c r="AA127" s="4498"/>
      <c r="AB127" s="7302">
        <f t="shared" si="340"/>
        <v>0</v>
      </c>
      <c r="AC127" s="3805"/>
      <c r="AD127" s="1819"/>
      <c r="AE127" s="799"/>
      <c r="AF127" s="7310">
        <f t="shared" si="341"/>
        <v>0</v>
      </c>
      <c r="AG127" s="3805"/>
      <c r="AH127" s="1819"/>
      <c r="AI127" s="799"/>
      <c r="AJ127" s="349">
        <f t="shared" si="367"/>
        <v>0</v>
      </c>
      <c r="AK127" s="3805"/>
      <c r="AL127" s="1819"/>
      <c r="AM127" s="848"/>
      <c r="AN127" s="586">
        <f t="shared" si="368"/>
        <v>0</v>
      </c>
      <c r="AO127" s="799"/>
      <c r="AP127" s="349">
        <f t="shared" si="369"/>
        <v>0</v>
      </c>
      <c r="AQ127" s="3805"/>
      <c r="AR127" s="1819"/>
      <c r="AS127" s="799"/>
      <c r="AT127" s="41">
        <f t="shared" si="370"/>
        <v>0</v>
      </c>
      <c r="AU127" s="3805"/>
      <c r="AV127" s="1819"/>
      <c r="AW127" s="799"/>
      <c r="AX127" s="41">
        <f t="shared" si="371"/>
        <v>0</v>
      </c>
      <c r="AY127" s="3805"/>
      <c r="AZ127" s="1819"/>
      <c r="BA127" s="848"/>
      <c r="BB127" s="586">
        <f t="shared" si="372"/>
        <v>0</v>
      </c>
      <c r="BC127" s="4498"/>
      <c r="BD127" s="7302">
        <f t="shared" si="373"/>
        <v>0</v>
      </c>
      <c r="BE127" s="799"/>
      <c r="BF127" s="41">
        <f t="shared" si="374"/>
        <v>0</v>
      </c>
      <c r="BG127" s="4152">
        <f t="shared" si="328"/>
        <v>0</v>
      </c>
      <c r="BH127" s="4152">
        <f t="shared" si="329"/>
        <v>0</v>
      </c>
      <c r="BI127" s="4152"/>
      <c r="BJ127" s="4152">
        <f t="shared" si="330"/>
        <v>0</v>
      </c>
      <c r="BK127" s="4152">
        <f t="shared" si="331"/>
        <v>0</v>
      </c>
    </row>
    <row r="128" spans="1:63" s="4421" customFormat="1" ht="15.75" customHeight="1" thickBot="1" x14ac:dyDescent="0.3">
      <c r="A128" s="90"/>
      <c r="B128" s="4468" t="s">
        <v>840</v>
      </c>
      <c r="C128" s="4465" t="s">
        <v>1790</v>
      </c>
      <c r="D128" s="4465"/>
      <c r="E128" s="4425"/>
      <c r="F128" s="4454"/>
      <c r="G128" s="4425"/>
      <c r="H128" s="4454"/>
      <c r="I128" s="4453"/>
      <c r="J128" s="7310">
        <f t="shared" si="335"/>
        <v>0</v>
      </c>
      <c r="K128" s="4425"/>
      <c r="L128" s="4454"/>
      <c r="M128" s="4452"/>
      <c r="N128" s="7301">
        <f t="shared" si="336"/>
        <v>0</v>
      </c>
      <c r="O128" s="4425"/>
      <c r="P128" s="4454"/>
      <c r="Q128" s="4453"/>
      <c r="R128" s="7310">
        <f t="shared" si="337"/>
        <v>0</v>
      </c>
      <c r="S128" s="4425"/>
      <c r="T128" s="4454"/>
      <c r="U128" s="4453"/>
      <c r="V128" s="7310">
        <f t="shared" si="338"/>
        <v>0</v>
      </c>
      <c r="W128" s="4425"/>
      <c r="X128" s="4454"/>
      <c r="Y128" s="4452"/>
      <c r="Z128" s="7301">
        <f t="shared" si="339"/>
        <v>0</v>
      </c>
      <c r="AA128" s="4498"/>
      <c r="AB128" s="7302">
        <f t="shared" si="340"/>
        <v>0</v>
      </c>
      <c r="AC128" s="4425"/>
      <c r="AD128" s="4454"/>
      <c r="AE128" s="4453"/>
      <c r="AF128" s="7310">
        <f t="shared" si="341"/>
        <v>0</v>
      </c>
      <c r="AG128" s="4425"/>
      <c r="AH128" s="4454"/>
      <c r="AI128" s="4453"/>
      <c r="AJ128" s="349">
        <f t="shared" si="367"/>
        <v>0</v>
      </c>
      <c r="AK128" s="4425"/>
      <c r="AL128" s="4454"/>
      <c r="AM128" s="4452"/>
      <c r="AN128" s="586">
        <f t="shared" si="368"/>
        <v>0</v>
      </c>
      <c r="AO128" s="4453"/>
      <c r="AP128" s="349">
        <f t="shared" si="369"/>
        <v>0</v>
      </c>
      <c r="AQ128" s="4425"/>
      <c r="AR128" s="4454"/>
      <c r="AS128" s="4453"/>
      <c r="AT128" s="41">
        <f t="shared" si="370"/>
        <v>0</v>
      </c>
      <c r="AU128" s="4425"/>
      <c r="AV128" s="4454"/>
      <c r="AW128" s="4453"/>
      <c r="AX128" s="41">
        <f t="shared" si="371"/>
        <v>0</v>
      </c>
      <c r="AY128" s="4425"/>
      <c r="AZ128" s="4454"/>
      <c r="BA128" s="4452"/>
      <c r="BB128" s="586">
        <f t="shared" si="372"/>
        <v>0</v>
      </c>
      <c r="BC128" s="7426"/>
      <c r="BD128" s="7302">
        <f t="shared" si="373"/>
        <v>0</v>
      </c>
      <c r="BE128" s="799"/>
      <c r="BF128" s="41">
        <f t="shared" si="374"/>
        <v>0</v>
      </c>
      <c r="BG128" s="4152">
        <f t="shared" si="328"/>
        <v>0</v>
      </c>
      <c r="BH128" s="4152">
        <f t="shared" si="329"/>
        <v>0</v>
      </c>
      <c r="BI128" s="4152"/>
      <c r="BJ128" s="4152">
        <f t="shared" si="330"/>
        <v>0</v>
      </c>
      <c r="BK128" s="4152">
        <f t="shared" si="331"/>
        <v>0</v>
      </c>
    </row>
    <row r="129" spans="1:63" ht="15.75" thickBot="1" x14ac:dyDescent="0.3">
      <c r="A129" s="90"/>
      <c r="B129" s="3816" t="s">
        <v>840</v>
      </c>
      <c r="C129" s="3817" t="s">
        <v>866</v>
      </c>
      <c r="D129" s="3817"/>
      <c r="E129" s="3818"/>
      <c r="F129" s="105"/>
      <c r="G129" s="3818"/>
      <c r="H129" s="105">
        <v>165.63</v>
      </c>
      <c r="I129" s="3168"/>
      <c r="J129" s="7310">
        <f t="shared" si="335"/>
        <v>165.63</v>
      </c>
      <c r="K129" s="3818"/>
      <c r="L129" s="105"/>
      <c r="M129" s="3819"/>
      <c r="N129" s="7301">
        <f t="shared" si="336"/>
        <v>165.63</v>
      </c>
      <c r="O129" s="3818"/>
      <c r="P129" s="105"/>
      <c r="Q129" s="3168"/>
      <c r="R129" s="7310">
        <f t="shared" si="337"/>
        <v>165.63</v>
      </c>
      <c r="S129" s="3818"/>
      <c r="T129" s="105"/>
      <c r="U129" s="3168"/>
      <c r="V129" s="7310">
        <f t="shared" si="338"/>
        <v>165.63</v>
      </c>
      <c r="W129" s="3818"/>
      <c r="X129" s="105"/>
      <c r="Y129" s="3819"/>
      <c r="Z129" s="7301">
        <f t="shared" si="339"/>
        <v>0</v>
      </c>
      <c r="AA129" s="7388"/>
      <c r="AB129" s="7302">
        <f t="shared" si="340"/>
        <v>165.63</v>
      </c>
      <c r="AC129" s="3818"/>
      <c r="AD129" s="105"/>
      <c r="AE129" s="3168"/>
      <c r="AF129" s="7310">
        <f t="shared" si="341"/>
        <v>165.63</v>
      </c>
      <c r="AG129" s="3818"/>
      <c r="AH129" s="105"/>
      <c r="AI129" s="3168"/>
      <c r="AJ129" s="349">
        <f t="shared" si="367"/>
        <v>165.63</v>
      </c>
      <c r="AK129" s="3818"/>
      <c r="AL129" s="105">
        <v>10.23</v>
      </c>
      <c r="AM129" s="3819"/>
      <c r="AN129" s="586">
        <f t="shared" si="368"/>
        <v>10.23</v>
      </c>
      <c r="AO129" s="3168"/>
      <c r="AP129" s="349">
        <f t="shared" si="369"/>
        <v>175.85999999999999</v>
      </c>
      <c r="AQ129" s="3818"/>
      <c r="AR129" s="105"/>
      <c r="AS129" s="3168"/>
      <c r="AT129" s="41">
        <f t="shared" si="370"/>
        <v>175.85999999999999</v>
      </c>
      <c r="AU129" s="3818"/>
      <c r="AV129" s="105"/>
      <c r="AW129" s="3168"/>
      <c r="AX129" s="41">
        <f t="shared" si="371"/>
        <v>175.85999999999999</v>
      </c>
      <c r="AY129" s="3818"/>
      <c r="AZ129" s="105"/>
      <c r="BA129" s="3819"/>
      <c r="BB129" s="586">
        <f t="shared" si="372"/>
        <v>0</v>
      </c>
      <c r="BC129" s="7388"/>
      <c r="BD129" s="7302">
        <f t="shared" si="373"/>
        <v>10.23</v>
      </c>
      <c r="BE129" s="799"/>
      <c r="BF129" s="41">
        <f t="shared" si="374"/>
        <v>175.85999999999999</v>
      </c>
      <c r="BG129" s="4152">
        <f t="shared" si="328"/>
        <v>0</v>
      </c>
      <c r="BH129" s="4152">
        <f t="shared" si="329"/>
        <v>0</v>
      </c>
      <c r="BI129" s="4152"/>
      <c r="BJ129" s="4152">
        <f t="shared" si="330"/>
        <v>0</v>
      </c>
      <c r="BK129" s="4152">
        <f t="shared" si="331"/>
        <v>0</v>
      </c>
    </row>
    <row r="130" spans="1:63" ht="20.25" customHeight="1" thickBot="1" x14ac:dyDescent="0.3">
      <c r="A130" s="90"/>
      <c r="B130" s="3827" t="s">
        <v>1633</v>
      </c>
      <c r="C130" s="3828" t="s">
        <v>865</v>
      </c>
      <c r="D130" s="3828"/>
      <c r="E130" s="3829"/>
      <c r="F130" s="3830"/>
      <c r="G130" s="3829"/>
      <c r="H130" s="5573"/>
      <c r="I130" s="3831"/>
      <c r="J130" s="7310">
        <f t="shared" si="335"/>
        <v>0</v>
      </c>
      <c r="K130" s="3829"/>
      <c r="L130" s="5689"/>
      <c r="M130" s="3832"/>
      <c r="N130" s="7301">
        <f t="shared" si="336"/>
        <v>0</v>
      </c>
      <c r="O130" s="3829"/>
      <c r="P130" s="5854"/>
      <c r="Q130" s="3831"/>
      <c r="R130" s="7310">
        <f t="shared" si="337"/>
        <v>0</v>
      </c>
      <c r="S130" s="3829"/>
      <c r="T130" s="5897"/>
      <c r="U130" s="3831"/>
      <c r="V130" s="7310">
        <f t="shared" si="338"/>
        <v>0</v>
      </c>
      <c r="W130" s="3829"/>
      <c r="X130" s="6018"/>
      <c r="Y130" s="3832"/>
      <c r="Z130" s="7301">
        <f t="shared" si="339"/>
        <v>0</v>
      </c>
      <c r="AA130" s="7390"/>
      <c r="AB130" s="7302">
        <f t="shared" si="340"/>
        <v>0</v>
      </c>
      <c r="AC130" s="3829"/>
      <c r="AD130" s="6153"/>
      <c r="AE130" s="3831"/>
      <c r="AF130" s="7310">
        <f t="shared" si="341"/>
        <v>0</v>
      </c>
      <c r="AG130" s="3829"/>
      <c r="AH130" s="6315"/>
      <c r="AI130" s="3831"/>
      <c r="AJ130" s="349">
        <f t="shared" si="367"/>
        <v>0</v>
      </c>
      <c r="AK130" s="3829"/>
      <c r="AL130" s="6553"/>
      <c r="AM130" s="3832"/>
      <c r="AN130" s="586">
        <f t="shared" si="368"/>
        <v>0</v>
      </c>
      <c r="AO130" s="3831"/>
      <c r="AP130" s="349">
        <f t="shared" si="369"/>
        <v>0</v>
      </c>
      <c r="AQ130" s="3829"/>
      <c r="AR130" s="6652"/>
      <c r="AS130" s="3831"/>
      <c r="AT130" s="41">
        <f t="shared" si="370"/>
        <v>0</v>
      </c>
      <c r="AU130" s="3829"/>
      <c r="AV130" s="6818"/>
      <c r="AW130" s="3831"/>
      <c r="AX130" s="41">
        <f t="shared" si="371"/>
        <v>0</v>
      </c>
      <c r="AY130" s="3829"/>
      <c r="AZ130" s="6961"/>
      <c r="BA130" s="3832"/>
      <c r="BB130" s="586">
        <f t="shared" si="372"/>
        <v>0</v>
      </c>
      <c r="BC130" s="7390"/>
      <c r="BD130" s="7302">
        <f t="shared" si="373"/>
        <v>0</v>
      </c>
      <c r="BE130" s="799"/>
      <c r="BF130" s="41">
        <f t="shared" si="374"/>
        <v>0</v>
      </c>
      <c r="BG130" s="4152">
        <f t="shared" si="328"/>
        <v>0</v>
      </c>
      <c r="BH130" s="4152">
        <f t="shared" si="329"/>
        <v>0</v>
      </c>
      <c r="BI130" s="4152"/>
      <c r="BJ130" s="4152">
        <f t="shared" si="330"/>
        <v>0</v>
      </c>
      <c r="BK130" s="4152">
        <f t="shared" si="331"/>
        <v>0</v>
      </c>
    </row>
    <row r="131" spans="1:63" ht="20.25" customHeight="1" thickBot="1" x14ac:dyDescent="0.3">
      <c r="A131" s="90"/>
      <c r="B131" s="3834" t="s">
        <v>829</v>
      </c>
      <c r="C131" s="3835" t="s">
        <v>867</v>
      </c>
      <c r="D131" s="3835"/>
      <c r="E131" s="3820"/>
      <c r="F131" s="147"/>
      <c r="G131" s="3820"/>
      <c r="H131" s="147">
        <v>831.61999999999989</v>
      </c>
      <c r="I131" s="3165"/>
      <c r="J131" s="7310">
        <f t="shared" si="335"/>
        <v>831.61999999999989</v>
      </c>
      <c r="K131" s="3820"/>
      <c r="L131" s="147"/>
      <c r="M131" s="3821"/>
      <c r="N131" s="7301">
        <f t="shared" si="336"/>
        <v>831.61999999999989</v>
      </c>
      <c r="O131" s="3820"/>
      <c r="P131" s="147">
        <v>590.04000000000008</v>
      </c>
      <c r="Q131" s="3165"/>
      <c r="R131" s="7310">
        <f t="shared" si="337"/>
        <v>1421.6599999999999</v>
      </c>
      <c r="S131" s="3820"/>
      <c r="T131" s="147">
        <v>769.81</v>
      </c>
      <c r="U131" s="3165"/>
      <c r="V131" s="7310">
        <f t="shared" si="338"/>
        <v>2191.4699999999998</v>
      </c>
      <c r="W131" s="3820"/>
      <c r="X131" s="147">
        <v>129.28</v>
      </c>
      <c r="Y131" s="3821"/>
      <c r="Z131" s="7301">
        <f t="shared" si="339"/>
        <v>1489.1299999999999</v>
      </c>
      <c r="AA131" s="5363"/>
      <c r="AB131" s="7302">
        <f t="shared" si="340"/>
        <v>2320.75</v>
      </c>
      <c r="AC131" s="3820"/>
      <c r="AD131" s="147">
        <v>965.6</v>
      </c>
      <c r="AE131" s="3165"/>
      <c r="AF131" s="7310">
        <f t="shared" si="341"/>
        <v>3286.35</v>
      </c>
      <c r="AG131" s="3820"/>
      <c r="AH131" s="147">
        <v>319</v>
      </c>
      <c r="AI131" s="3165"/>
      <c r="AJ131" s="349">
        <f t="shared" si="367"/>
        <v>3605.35</v>
      </c>
      <c r="AK131" s="3820"/>
      <c r="AL131" s="147">
        <v>1399.2529999999999</v>
      </c>
      <c r="AM131" s="3821"/>
      <c r="AN131" s="586">
        <f t="shared" si="368"/>
        <v>2683.8530000000001</v>
      </c>
      <c r="AO131" s="3165"/>
      <c r="AP131" s="349">
        <f t="shared" si="369"/>
        <v>5004.6030000000001</v>
      </c>
      <c r="AQ131" s="3820"/>
      <c r="AR131" s="147">
        <v>1644.28</v>
      </c>
      <c r="AS131" s="3165"/>
      <c r="AT131" s="41">
        <f t="shared" si="370"/>
        <v>6648.8829999999998</v>
      </c>
      <c r="AU131" s="3820"/>
      <c r="AV131" s="147">
        <v>510.12</v>
      </c>
      <c r="AW131" s="3165"/>
      <c r="AX131" s="41">
        <f t="shared" si="371"/>
        <v>7159.0029999999997</v>
      </c>
      <c r="AY131" s="3820"/>
      <c r="AZ131" s="147"/>
      <c r="BA131" s="3821"/>
      <c r="BB131" s="586">
        <f t="shared" si="372"/>
        <v>2154.4</v>
      </c>
      <c r="BC131" s="5363"/>
      <c r="BD131" s="7302">
        <f t="shared" si="373"/>
        <v>4838.2530000000006</v>
      </c>
      <c r="BE131" s="3165"/>
      <c r="BF131" s="41">
        <f t="shared" si="374"/>
        <v>7159.0029999999997</v>
      </c>
      <c r="BG131" s="4152">
        <f t="shared" si="328"/>
        <v>0</v>
      </c>
      <c r="BH131" s="4152">
        <f t="shared" si="329"/>
        <v>0</v>
      </c>
      <c r="BI131" s="4152"/>
      <c r="BJ131" s="4152">
        <f t="shared" si="330"/>
        <v>0</v>
      </c>
      <c r="BK131" s="4152">
        <f t="shared" si="331"/>
        <v>0</v>
      </c>
    </row>
    <row r="132" spans="1:63" s="4290" customFormat="1" ht="20.25" customHeight="1" thickBot="1" x14ac:dyDescent="0.3">
      <c r="A132" s="90"/>
      <c r="B132" s="3834" t="s">
        <v>829</v>
      </c>
      <c r="C132" s="3828" t="s">
        <v>865</v>
      </c>
      <c r="D132" s="3842"/>
      <c r="E132" s="3824"/>
      <c r="F132" s="1121"/>
      <c r="G132" s="3824"/>
      <c r="H132" s="5574"/>
      <c r="I132" s="3825"/>
      <c r="J132" s="7310">
        <f t="shared" si="335"/>
        <v>0</v>
      </c>
      <c r="K132" s="3824"/>
      <c r="L132" s="5690"/>
      <c r="M132" s="3826"/>
      <c r="N132" s="7301">
        <f t="shared" si="336"/>
        <v>0</v>
      </c>
      <c r="O132" s="3824"/>
      <c r="P132" s="5855"/>
      <c r="Q132" s="3825"/>
      <c r="R132" s="7310">
        <f t="shared" si="337"/>
        <v>0</v>
      </c>
      <c r="S132" s="3824"/>
      <c r="T132" s="5898"/>
      <c r="U132" s="3825"/>
      <c r="V132" s="7310">
        <f t="shared" si="338"/>
        <v>0</v>
      </c>
      <c r="W132" s="3824"/>
      <c r="X132" s="6019">
        <v>327.44</v>
      </c>
      <c r="Y132" s="3826"/>
      <c r="Z132" s="7301">
        <f t="shared" si="339"/>
        <v>327.44</v>
      </c>
      <c r="AA132" s="7389"/>
      <c r="AB132" s="7302">
        <f t="shared" si="340"/>
        <v>327.44</v>
      </c>
      <c r="AC132" s="3824"/>
      <c r="AD132" s="6154">
        <v>59.36</v>
      </c>
      <c r="AE132" s="3825"/>
      <c r="AF132" s="7310">
        <f t="shared" si="341"/>
        <v>386.8</v>
      </c>
      <c r="AG132" s="3824"/>
      <c r="AH132" s="6316">
        <v>16.399999999999999</v>
      </c>
      <c r="AI132" s="3825"/>
      <c r="AJ132" s="349">
        <f t="shared" si="367"/>
        <v>403.2</v>
      </c>
      <c r="AK132" s="3824"/>
      <c r="AL132" s="6554"/>
      <c r="AM132" s="3826"/>
      <c r="AN132" s="586">
        <f t="shared" si="368"/>
        <v>75.759999999999991</v>
      </c>
      <c r="AO132" s="3825"/>
      <c r="AP132" s="349">
        <f t="shared" si="369"/>
        <v>403.2</v>
      </c>
      <c r="AQ132" s="3824"/>
      <c r="AR132" s="6653"/>
      <c r="AS132" s="3825"/>
      <c r="AT132" s="41">
        <f t="shared" si="370"/>
        <v>403.2</v>
      </c>
      <c r="AU132" s="3824"/>
      <c r="AV132" s="6819"/>
      <c r="AW132" s="3825"/>
      <c r="AX132" s="41">
        <f t="shared" si="371"/>
        <v>403.2</v>
      </c>
      <c r="AY132" s="3824"/>
      <c r="AZ132" s="6962"/>
      <c r="BA132" s="3826"/>
      <c r="BB132" s="586">
        <f t="shared" si="372"/>
        <v>0</v>
      </c>
      <c r="BC132" s="7389"/>
      <c r="BD132" s="7302">
        <f t="shared" si="373"/>
        <v>75.759999999999991</v>
      </c>
      <c r="BE132" s="3165"/>
      <c r="BF132" s="41">
        <f t="shared" si="374"/>
        <v>403.2</v>
      </c>
      <c r="BG132" s="4152">
        <f t="shared" si="328"/>
        <v>0</v>
      </c>
      <c r="BH132" s="4152">
        <f t="shared" si="329"/>
        <v>0</v>
      </c>
      <c r="BI132" s="4152"/>
      <c r="BJ132" s="4152">
        <f t="shared" si="330"/>
        <v>0</v>
      </c>
      <c r="BK132" s="4152">
        <f t="shared" si="331"/>
        <v>0</v>
      </c>
    </row>
    <row r="133" spans="1:63" ht="15.75" thickBot="1" x14ac:dyDescent="0.3">
      <c r="A133" s="90"/>
      <c r="B133" s="3814" t="s">
        <v>829</v>
      </c>
      <c r="C133" s="3815" t="s">
        <v>1104</v>
      </c>
      <c r="D133" s="3836"/>
      <c r="E133" s="3805"/>
      <c r="F133" s="1819"/>
      <c r="G133" s="3805"/>
      <c r="H133" s="1819">
        <v>257.89999999999998</v>
      </c>
      <c r="I133" s="799"/>
      <c r="J133" s="7310">
        <f t="shared" si="335"/>
        <v>257.89999999999998</v>
      </c>
      <c r="K133" s="3805"/>
      <c r="L133" s="1819"/>
      <c r="M133" s="848"/>
      <c r="N133" s="7301">
        <f t="shared" si="336"/>
        <v>257.89999999999998</v>
      </c>
      <c r="O133" s="3805"/>
      <c r="P133" s="1819">
        <v>1125.6199999999999</v>
      </c>
      <c r="Q133" s="799"/>
      <c r="R133" s="7310">
        <f t="shared" si="337"/>
        <v>1383.52</v>
      </c>
      <c r="S133" s="3805"/>
      <c r="T133" s="1819">
        <v>61.62</v>
      </c>
      <c r="U133" s="799"/>
      <c r="V133" s="7310">
        <f t="shared" si="338"/>
        <v>1445.1399999999999</v>
      </c>
      <c r="W133" s="3805"/>
      <c r="X133" s="1819">
        <v>920.38</v>
      </c>
      <c r="Y133" s="848"/>
      <c r="Z133" s="7301">
        <f t="shared" si="339"/>
        <v>2107.62</v>
      </c>
      <c r="AA133" s="4498"/>
      <c r="AB133" s="7302">
        <f t="shared" si="340"/>
        <v>2365.52</v>
      </c>
      <c r="AC133" s="3805"/>
      <c r="AD133" s="1819">
        <v>392.08000000000004</v>
      </c>
      <c r="AE133" s="799"/>
      <c r="AF133" s="7310">
        <f t="shared" si="341"/>
        <v>2757.6</v>
      </c>
      <c r="AG133" s="3805"/>
      <c r="AH133" s="1819">
        <v>458.6</v>
      </c>
      <c r="AI133" s="799"/>
      <c r="AJ133" s="349">
        <f t="shared" si="367"/>
        <v>3216.2</v>
      </c>
      <c r="AK133" s="3805"/>
      <c r="AL133" s="1819">
        <v>1288.7280000000001</v>
      </c>
      <c r="AM133" s="848"/>
      <c r="AN133" s="586">
        <f t="shared" si="368"/>
        <v>2139.4080000000004</v>
      </c>
      <c r="AO133" s="799"/>
      <c r="AP133" s="349">
        <f t="shared" si="369"/>
        <v>4504.9279999999999</v>
      </c>
      <c r="AQ133" s="3805"/>
      <c r="AR133" s="1819">
        <v>1197.2000000000003</v>
      </c>
      <c r="AS133" s="799"/>
      <c r="AT133" s="41">
        <f t="shared" si="370"/>
        <v>5702.1280000000006</v>
      </c>
      <c r="AU133" s="3805"/>
      <c r="AV133" s="1819">
        <v>129.88</v>
      </c>
      <c r="AW133" s="799"/>
      <c r="AX133" s="41">
        <f t="shared" si="371"/>
        <v>5832.0080000000007</v>
      </c>
      <c r="AY133" s="3805"/>
      <c r="AZ133" s="1819"/>
      <c r="BA133" s="848"/>
      <c r="BB133" s="586">
        <f t="shared" si="372"/>
        <v>1327.0800000000004</v>
      </c>
      <c r="BC133" s="4498"/>
      <c r="BD133" s="7302">
        <f t="shared" si="373"/>
        <v>3466.4880000000007</v>
      </c>
      <c r="BE133" s="3165"/>
      <c r="BF133" s="41">
        <f t="shared" si="374"/>
        <v>5832.0080000000007</v>
      </c>
      <c r="BG133" s="4152">
        <f t="shared" si="328"/>
        <v>0</v>
      </c>
      <c r="BH133" s="4152">
        <f t="shared" si="329"/>
        <v>0</v>
      </c>
      <c r="BI133" s="4152"/>
      <c r="BJ133" s="4152">
        <f t="shared" si="330"/>
        <v>0</v>
      </c>
      <c r="BK133" s="4152">
        <f t="shared" si="331"/>
        <v>0</v>
      </c>
    </row>
    <row r="134" spans="1:63" ht="15.75" customHeight="1" thickBot="1" x14ac:dyDescent="0.3">
      <c r="A134" s="90"/>
      <c r="B134" s="3814" t="s">
        <v>829</v>
      </c>
      <c r="C134" s="3815" t="s">
        <v>846</v>
      </c>
      <c r="D134" s="3836"/>
      <c r="E134" s="3805"/>
      <c r="F134" s="1819"/>
      <c r="G134" s="3805"/>
      <c r="H134" s="1819"/>
      <c r="I134" s="799"/>
      <c r="J134" s="7310">
        <f t="shared" si="335"/>
        <v>0</v>
      </c>
      <c r="K134" s="3805"/>
      <c r="L134" s="1819"/>
      <c r="M134" s="848"/>
      <c r="N134" s="7301">
        <f t="shared" si="336"/>
        <v>0</v>
      </c>
      <c r="O134" s="3805"/>
      <c r="P134" s="1819"/>
      <c r="Q134" s="799"/>
      <c r="R134" s="7310">
        <f t="shared" si="337"/>
        <v>0</v>
      </c>
      <c r="S134" s="3805"/>
      <c r="T134" s="1819"/>
      <c r="U134" s="799"/>
      <c r="V134" s="7310">
        <f t="shared" si="338"/>
        <v>0</v>
      </c>
      <c r="W134" s="3805"/>
      <c r="X134" s="1819"/>
      <c r="Y134" s="848"/>
      <c r="Z134" s="7301">
        <f t="shared" si="339"/>
        <v>0</v>
      </c>
      <c r="AA134" s="4498"/>
      <c r="AB134" s="7302">
        <f t="shared" si="340"/>
        <v>0</v>
      </c>
      <c r="AC134" s="3805"/>
      <c r="AD134" s="1819"/>
      <c r="AE134" s="799"/>
      <c r="AF134" s="7310">
        <f t="shared" si="341"/>
        <v>0</v>
      </c>
      <c r="AG134" s="3805"/>
      <c r="AH134" s="1819"/>
      <c r="AI134" s="799"/>
      <c r="AJ134" s="349">
        <f t="shared" si="367"/>
        <v>0</v>
      </c>
      <c r="AK134" s="3805"/>
      <c r="AL134" s="1819"/>
      <c r="AM134" s="848"/>
      <c r="AN134" s="586">
        <f t="shared" si="368"/>
        <v>0</v>
      </c>
      <c r="AO134" s="799"/>
      <c r="AP134" s="349">
        <f t="shared" si="369"/>
        <v>0</v>
      </c>
      <c r="AQ134" s="3805"/>
      <c r="AR134" s="1819"/>
      <c r="AS134" s="799"/>
      <c r="AT134" s="41">
        <f t="shared" si="370"/>
        <v>0</v>
      </c>
      <c r="AU134" s="3805"/>
      <c r="AV134" s="1819"/>
      <c r="AW134" s="799"/>
      <c r="AX134" s="41">
        <f t="shared" si="371"/>
        <v>0</v>
      </c>
      <c r="AY134" s="3805"/>
      <c r="AZ134" s="1819"/>
      <c r="BA134" s="848"/>
      <c r="BB134" s="586">
        <f t="shared" si="372"/>
        <v>0</v>
      </c>
      <c r="BC134" s="4498"/>
      <c r="BD134" s="7302">
        <f t="shared" si="373"/>
        <v>0</v>
      </c>
      <c r="BE134" s="3165"/>
      <c r="BF134" s="41">
        <f t="shared" si="374"/>
        <v>0</v>
      </c>
      <c r="BG134" s="4152">
        <f t="shared" si="328"/>
        <v>0</v>
      </c>
      <c r="BH134" s="4152">
        <f t="shared" si="329"/>
        <v>0</v>
      </c>
      <c r="BI134" s="4152"/>
      <c r="BJ134" s="4152">
        <f t="shared" si="330"/>
        <v>0</v>
      </c>
      <c r="BK134" s="4152">
        <f t="shared" si="331"/>
        <v>0</v>
      </c>
    </row>
    <row r="135" spans="1:63" s="4290" customFormat="1" ht="15.75" customHeight="1" thickBot="1" x14ac:dyDescent="0.3">
      <c r="A135" s="90"/>
      <c r="B135" s="3814" t="s">
        <v>829</v>
      </c>
      <c r="C135" s="3846" t="s">
        <v>866</v>
      </c>
      <c r="D135" s="3845"/>
      <c r="E135" s="3669"/>
      <c r="F135" s="4291"/>
      <c r="G135" s="3669"/>
      <c r="H135" s="5575"/>
      <c r="I135" s="3166"/>
      <c r="J135" s="7310">
        <f t="shared" si="335"/>
        <v>0</v>
      </c>
      <c r="K135" s="3669"/>
      <c r="L135" s="5695"/>
      <c r="M135" s="3123"/>
      <c r="N135" s="7301">
        <f t="shared" si="336"/>
        <v>0</v>
      </c>
      <c r="O135" s="3669"/>
      <c r="P135" s="5857"/>
      <c r="Q135" s="3166"/>
      <c r="R135" s="7310">
        <f t="shared" si="337"/>
        <v>0</v>
      </c>
      <c r="S135" s="3669"/>
      <c r="T135" s="5902"/>
      <c r="U135" s="3166"/>
      <c r="V135" s="7310">
        <f t="shared" si="338"/>
        <v>0</v>
      </c>
      <c r="W135" s="3669"/>
      <c r="X135" s="6021"/>
      <c r="Y135" s="3123"/>
      <c r="Z135" s="7301">
        <f t="shared" si="339"/>
        <v>0</v>
      </c>
      <c r="AA135" s="4499"/>
      <c r="AB135" s="7302">
        <f t="shared" si="340"/>
        <v>0</v>
      </c>
      <c r="AC135" s="3669"/>
      <c r="AD135" s="6156">
        <v>63.04</v>
      </c>
      <c r="AE135" s="3166"/>
      <c r="AF135" s="7310">
        <f t="shared" si="341"/>
        <v>63.04</v>
      </c>
      <c r="AG135" s="3669"/>
      <c r="AH135" s="6318"/>
      <c r="AI135" s="3166"/>
      <c r="AJ135" s="349">
        <f t="shared" si="367"/>
        <v>63.04</v>
      </c>
      <c r="AK135" s="3669"/>
      <c r="AL135" s="6557"/>
      <c r="AM135" s="3123"/>
      <c r="AN135" s="586">
        <f t="shared" si="368"/>
        <v>63.04</v>
      </c>
      <c r="AO135" s="3166"/>
      <c r="AP135" s="349">
        <f t="shared" si="369"/>
        <v>63.04</v>
      </c>
      <c r="AQ135" s="3669"/>
      <c r="AR135" s="6657"/>
      <c r="AS135" s="3166"/>
      <c r="AT135" s="41">
        <f t="shared" si="370"/>
        <v>63.04</v>
      </c>
      <c r="AU135" s="3669"/>
      <c r="AV135" s="6822">
        <v>157.05000000000001</v>
      </c>
      <c r="AW135" s="3166"/>
      <c r="AX135" s="41">
        <f t="shared" si="371"/>
        <v>220.09</v>
      </c>
      <c r="AY135" s="3669"/>
      <c r="AZ135" s="6966"/>
      <c r="BA135" s="3123"/>
      <c r="BB135" s="586">
        <f t="shared" si="372"/>
        <v>157.05000000000001</v>
      </c>
      <c r="BC135" s="4499"/>
      <c r="BD135" s="7302">
        <f t="shared" si="373"/>
        <v>220.09</v>
      </c>
      <c r="BE135" s="3165"/>
      <c r="BF135" s="41">
        <f t="shared" si="374"/>
        <v>220.09</v>
      </c>
      <c r="BG135" s="4152">
        <f t="shared" si="328"/>
        <v>0</v>
      </c>
      <c r="BH135" s="4152">
        <f t="shared" si="329"/>
        <v>0</v>
      </c>
      <c r="BI135" s="4152"/>
      <c r="BJ135" s="4152">
        <f t="shared" si="330"/>
        <v>0</v>
      </c>
      <c r="BK135" s="4152">
        <f t="shared" si="331"/>
        <v>0</v>
      </c>
    </row>
    <row r="136" spans="1:63" ht="20.25" customHeight="1" thickBot="1" x14ac:dyDescent="0.3">
      <c r="A136" s="90"/>
      <c r="B136" s="3837" t="s">
        <v>829</v>
      </c>
      <c r="C136" s="3836" t="s">
        <v>909</v>
      </c>
      <c r="D136" s="3836"/>
      <c r="E136" s="3805"/>
      <c r="F136" s="1819"/>
      <c r="G136" s="3805"/>
      <c r="H136" s="1819">
        <v>246.92000000000002</v>
      </c>
      <c r="I136" s="799"/>
      <c r="J136" s="7310">
        <f t="shared" si="335"/>
        <v>246.92000000000002</v>
      </c>
      <c r="K136" s="3805"/>
      <c r="L136" s="1819"/>
      <c r="M136" s="848"/>
      <c r="N136" s="7301">
        <f t="shared" si="336"/>
        <v>246.92000000000002</v>
      </c>
      <c r="O136" s="3805"/>
      <c r="P136" s="1819"/>
      <c r="Q136" s="799"/>
      <c r="R136" s="7310">
        <f t="shared" si="337"/>
        <v>246.92000000000002</v>
      </c>
      <c r="S136" s="3805"/>
      <c r="T136" s="1819"/>
      <c r="U136" s="799"/>
      <c r="V136" s="7310">
        <f t="shared" si="338"/>
        <v>246.92000000000002</v>
      </c>
      <c r="W136" s="3805"/>
      <c r="X136" s="1819"/>
      <c r="Y136" s="848"/>
      <c r="Z136" s="7301">
        <f t="shared" si="339"/>
        <v>0</v>
      </c>
      <c r="AA136" s="4498"/>
      <c r="AB136" s="7302">
        <f t="shared" si="340"/>
        <v>246.92000000000002</v>
      </c>
      <c r="AC136" s="3805"/>
      <c r="AD136" s="1819"/>
      <c r="AE136" s="799"/>
      <c r="AF136" s="7310">
        <f t="shared" si="341"/>
        <v>246.92000000000002</v>
      </c>
      <c r="AG136" s="3805"/>
      <c r="AH136" s="1819">
        <v>188.4</v>
      </c>
      <c r="AI136" s="799"/>
      <c r="AJ136" s="349">
        <f t="shared" si="367"/>
        <v>435.32000000000005</v>
      </c>
      <c r="AK136" s="3805"/>
      <c r="AL136" s="1819"/>
      <c r="AM136" s="848"/>
      <c r="AN136" s="586">
        <f t="shared" si="368"/>
        <v>188.4</v>
      </c>
      <c r="AO136" s="799"/>
      <c r="AP136" s="349">
        <f t="shared" si="369"/>
        <v>435.32000000000005</v>
      </c>
      <c r="AQ136" s="3805"/>
      <c r="AR136" s="1819">
        <v>37.277000000000001</v>
      </c>
      <c r="AS136" s="799"/>
      <c r="AT136" s="41">
        <f t="shared" si="370"/>
        <v>472.59700000000004</v>
      </c>
      <c r="AU136" s="3805"/>
      <c r="AV136" s="1819"/>
      <c r="AW136" s="799"/>
      <c r="AX136" s="41">
        <f t="shared" si="371"/>
        <v>472.59700000000004</v>
      </c>
      <c r="AY136" s="3805"/>
      <c r="AZ136" s="1819"/>
      <c r="BA136" s="848"/>
      <c r="BB136" s="586">
        <f t="shared" si="372"/>
        <v>37.277000000000001</v>
      </c>
      <c r="BC136" s="4498"/>
      <c r="BD136" s="7302">
        <f t="shared" si="373"/>
        <v>225.67700000000002</v>
      </c>
      <c r="BE136" s="799"/>
      <c r="BF136" s="41">
        <f t="shared" si="374"/>
        <v>472.59700000000004</v>
      </c>
      <c r="BG136" s="4152">
        <f t="shared" si="328"/>
        <v>0</v>
      </c>
      <c r="BH136" s="4152">
        <f t="shared" si="329"/>
        <v>0</v>
      </c>
      <c r="BI136" s="4152"/>
      <c r="BJ136" s="4152">
        <f t="shared" si="330"/>
        <v>0</v>
      </c>
      <c r="BK136" s="4152">
        <f t="shared" si="331"/>
        <v>0</v>
      </c>
    </row>
    <row r="137" spans="1:63" ht="15.75" customHeight="1" thickBot="1" x14ac:dyDescent="0.3">
      <c r="A137" s="90"/>
      <c r="B137" s="3837" t="s">
        <v>829</v>
      </c>
      <c r="C137" s="3836" t="s">
        <v>1396</v>
      </c>
      <c r="D137" s="3836"/>
      <c r="E137" s="3805"/>
      <c r="F137" s="1819"/>
      <c r="G137" s="3805"/>
      <c r="H137" s="1819"/>
      <c r="I137" s="799"/>
      <c r="J137" s="7310">
        <f t="shared" si="335"/>
        <v>0</v>
      </c>
      <c r="K137" s="3805"/>
      <c r="L137" s="1819"/>
      <c r="M137" s="848"/>
      <c r="N137" s="7301">
        <f t="shared" si="336"/>
        <v>0</v>
      </c>
      <c r="O137" s="3805"/>
      <c r="P137" s="1819"/>
      <c r="Q137" s="799"/>
      <c r="R137" s="7310">
        <f t="shared" si="337"/>
        <v>0</v>
      </c>
      <c r="S137" s="3805"/>
      <c r="T137" s="1819"/>
      <c r="U137" s="799"/>
      <c r="V137" s="7310">
        <f t="shared" si="338"/>
        <v>0</v>
      </c>
      <c r="W137" s="3805"/>
      <c r="X137" s="1819"/>
      <c r="Y137" s="848"/>
      <c r="Z137" s="7301">
        <f t="shared" si="339"/>
        <v>0</v>
      </c>
      <c r="AA137" s="4498"/>
      <c r="AB137" s="7302">
        <f t="shared" si="340"/>
        <v>0</v>
      </c>
      <c r="AC137" s="3805"/>
      <c r="AD137" s="1819"/>
      <c r="AE137" s="799"/>
      <c r="AF137" s="7310">
        <f t="shared" si="341"/>
        <v>0</v>
      </c>
      <c r="AG137" s="3805"/>
      <c r="AH137" s="1819"/>
      <c r="AI137" s="799"/>
      <c r="AJ137" s="349">
        <f t="shared" si="367"/>
        <v>0</v>
      </c>
      <c r="AK137" s="3805"/>
      <c r="AL137" s="1819"/>
      <c r="AM137" s="848"/>
      <c r="AN137" s="586">
        <f t="shared" si="368"/>
        <v>0</v>
      </c>
      <c r="AO137" s="799"/>
      <c r="AP137" s="349">
        <f t="shared" si="369"/>
        <v>0</v>
      </c>
      <c r="AQ137" s="3805"/>
      <c r="AR137" s="1819"/>
      <c r="AS137" s="799"/>
      <c r="AT137" s="41">
        <f t="shared" si="370"/>
        <v>0</v>
      </c>
      <c r="AU137" s="3805"/>
      <c r="AV137" s="1819"/>
      <c r="AW137" s="799"/>
      <c r="AX137" s="41">
        <f t="shared" si="371"/>
        <v>0</v>
      </c>
      <c r="AY137" s="3805"/>
      <c r="AZ137" s="1819"/>
      <c r="BA137" s="848"/>
      <c r="BB137" s="586">
        <f t="shared" si="372"/>
        <v>0</v>
      </c>
      <c r="BC137" s="4498"/>
      <c r="BD137" s="7302">
        <f t="shared" si="373"/>
        <v>0</v>
      </c>
      <c r="BE137" s="799"/>
      <c r="BF137" s="41">
        <f t="shared" si="374"/>
        <v>0</v>
      </c>
      <c r="BG137" s="4152">
        <f t="shared" si="328"/>
        <v>0</v>
      </c>
      <c r="BH137" s="4152">
        <f t="shared" si="329"/>
        <v>0</v>
      </c>
      <c r="BI137" s="4152"/>
      <c r="BJ137" s="4152">
        <f t="shared" si="330"/>
        <v>0</v>
      </c>
      <c r="BK137" s="4152">
        <f t="shared" si="331"/>
        <v>0</v>
      </c>
    </row>
    <row r="138" spans="1:63" s="4290" customFormat="1" ht="15.75" customHeight="1" thickBot="1" x14ac:dyDescent="0.3">
      <c r="A138" s="90"/>
      <c r="B138" s="3837" t="s">
        <v>829</v>
      </c>
      <c r="C138" s="3835" t="s">
        <v>841</v>
      </c>
      <c r="D138" s="4306"/>
      <c r="E138" s="4307"/>
      <c r="F138" s="1134"/>
      <c r="G138" s="4307"/>
      <c r="H138" s="1134"/>
      <c r="I138" s="4308"/>
      <c r="J138" s="7310">
        <f t="shared" si="335"/>
        <v>0</v>
      </c>
      <c r="K138" s="4307"/>
      <c r="L138" s="1134"/>
      <c r="M138" s="4309"/>
      <c r="N138" s="7301">
        <f t="shared" si="336"/>
        <v>0</v>
      </c>
      <c r="O138" s="4307"/>
      <c r="P138" s="1134"/>
      <c r="Q138" s="4308"/>
      <c r="R138" s="7310">
        <f t="shared" si="337"/>
        <v>0</v>
      </c>
      <c r="S138" s="4307"/>
      <c r="T138" s="1134"/>
      <c r="U138" s="4308"/>
      <c r="V138" s="7310">
        <f t="shared" si="338"/>
        <v>0</v>
      </c>
      <c r="W138" s="4307"/>
      <c r="X138" s="1134"/>
      <c r="Y138" s="4309"/>
      <c r="Z138" s="7301">
        <f t="shared" si="339"/>
        <v>0</v>
      </c>
      <c r="AA138" s="7391"/>
      <c r="AB138" s="7302">
        <f t="shared" si="340"/>
        <v>0</v>
      </c>
      <c r="AC138" s="4307"/>
      <c r="AD138" s="1134">
        <v>60.48</v>
      </c>
      <c r="AE138" s="4308"/>
      <c r="AF138" s="7310">
        <f t="shared" si="341"/>
        <v>60.48</v>
      </c>
      <c r="AG138" s="4307"/>
      <c r="AH138" s="1134"/>
      <c r="AI138" s="4308"/>
      <c r="AJ138" s="349">
        <f t="shared" si="367"/>
        <v>60.48</v>
      </c>
      <c r="AK138" s="4307"/>
      <c r="AL138" s="1134"/>
      <c r="AM138" s="4309"/>
      <c r="AN138" s="586">
        <f t="shared" si="368"/>
        <v>60.48</v>
      </c>
      <c r="AO138" s="4308"/>
      <c r="AP138" s="349">
        <f t="shared" si="369"/>
        <v>60.48</v>
      </c>
      <c r="AQ138" s="4307"/>
      <c r="AR138" s="1134"/>
      <c r="AS138" s="4308"/>
      <c r="AT138" s="41">
        <f t="shared" si="370"/>
        <v>60.48</v>
      </c>
      <c r="AU138" s="4307"/>
      <c r="AV138" s="1134"/>
      <c r="AW138" s="4308"/>
      <c r="AX138" s="41">
        <f t="shared" si="371"/>
        <v>60.48</v>
      </c>
      <c r="AY138" s="4307"/>
      <c r="AZ138" s="1134"/>
      <c r="BA138" s="4309"/>
      <c r="BB138" s="586">
        <f t="shared" si="372"/>
        <v>0</v>
      </c>
      <c r="BC138" s="7391"/>
      <c r="BD138" s="7302">
        <f t="shared" si="373"/>
        <v>60.48</v>
      </c>
      <c r="BE138" s="799"/>
      <c r="BF138" s="41">
        <f t="shared" si="374"/>
        <v>60.48</v>
      </c>
      <c r="BG138" s="4152">
        <f t="shared" si="328"/>
        <v>0</v>
      </c>
      <c r="BH138" s="4152">
        <f t="shared" si="329"/>
        <v>0</v>
      </c>
      <c r="BI138" s="4152"/>
      <c r="BJ138" s="4152">
        <f t="shared" si="330"/>
        <v>0</v>
      </c>
      <c r="BK138" s="4152">
        <f t="shared" si="331"/>
        <v>0</v>
      </c>
    </row>
    <row r="139" spans="1:63" ht="15.75" thickBot="1" x14ac:dyDescent="0.3">
      <c r="A139" s="90"/>
      <c r="B139" s="3838" t="s">
        <v>829</v>
      </c>
      <c r="C139" s="3839" t="s">
        <v>1454</v>
      </c>
      <c r="D139" s="3839"/>
      <c r="E139" s="3818"/>
      <c r="F139" s="105"/>
      <c r="G139" s="3818"/>
      <c r="H139" s="105">
        <v>189.62</v>
      </c>
      <c r="I139" s="3168"/>
      <c r="J139" s="7310">
        <f t="shared" si="335"/>
        <v>189.62</v>
      </c>
      <c r="K139" s="3818"/>
      <c r="L139" s="105"/>
      <c r="M139" s="3819"/>
      <c r="N139" s="7301">
        <f t="shared" si="336"/>
        <v>189.62</v>
      </c>
      <c r="O139" s="3818"/>
      <c r="P139" s="105"/>
      <c r="Q139" s="3168"/>
      <c r="R139" s="7310">
        <f t="shared" si="337"/>
        <v>189.62</v>
      </c>
      <c r="S139" s="3818"/>
      <c r="T139" s="105"/>
      <c r="U139" s="3168"/>
      <c r="V139" s="7310">
        <f t="shared" si="338"/>
        <v>189.62</v>
      </c>
      <c r="W139" s="3818"/>
      <c r="X139" s="105"/>
      <c r="Y139" s="3819"/>
      <c r="Z139" s="7301">
        <f t="shared" si="339"/>
        <v>0</v>
      </c>
      <c r="AA139" s="7388"/>
      <c r="AB139" s="7302">
        <f t="shared" si="340"/>
        <v>189.62</v>
      </c>
      <c r="AC139" s="3818"/>
      <c r="AD139" s="105"/>
      <c r="AE139" s="3168"/>
      <c r="AF139" s="7310">
        <f t="shared" si="341"/>
        <v>189.62</v>
      </c>
      <c r="AG139" s="3818"/>
      <c r="AH139" s="105"/>
      <c r="AI139" s="3168"/>
      <c r="AJ139" s="349">
        <f t="shared" si="367"/>
        <v>189.62</v>
      </c>
      <c r="AK139" s="3818"/>
      <c r="AL139" s="105"/>
      <c r="AM139" s="3819"/>
      <c r="AN139" s="586">
        <f t="shared" si="368"/>
        <v>0</v>
      </c>
      <c r="AO139" s="3168"/>
      <c r="AP139" s="349">
        <f t="shared" si="369"/>
        <v>189.62</v>
      </c>
      <c r="AQ139" s="3818"/>
      <c r="AR139" s="105"/>
      <c r="AS139" s="3168"/>
      <c r="AT139" s="41">
        <f t="shared" si="370"/>
        <v>189.62</v>
      </c>
      <c r="AU139" s="3818"/>
      <c r="AV139" s="105">
        <v>62.3</v>
      </c>
      <c r="AW139" s="3168"/>
      <c r="AX139" s="41">
        <f t="shared" si="371"/>
        <v>251.92000000000002</v>
      </c>
      <c r="AY139" s="3818"/>
      <c r="AZ139" s="105"/>
      <c r="BA139" s="3819"/>
      <c r="BB139" s="586">
        <f t="shared" si="372"/>
        <v>62.3</v>
      </c>
      <c r="BC139" s="7388"/>
      <c r="BD139" s="7302">
        <f t="shared" si="373"/>
        <v>62.3</v>
      </c>
      <c r="BE139" s="799"/>
      <c r="BF139" s="41">
        <f t="shared" si="374"/>
        <v>251.92000000000002</v>
      </c>
      <c r="BG139" s="4152">
        <f t="shared" si="328"/>
        <v>0</v>
      </c>
      <c r="BH139" s="4152">
        <f t="shared" si="329"/>
        <v>0</v>
      </c>
      <c r="BI139" s="4152"/>
      <c r="BJ139" s="4152">
        <f t="shared" si="330"/>
        <v>0</v>
      </c>
      <c r="BK139" s="4152">
        <f t="shared" si="331"/>
        <v>0</v>
      </c>
    </row>
    <row r="140" spans="1:63" s="4677" customFormat="1" ht="15.75" customHeight="1" thickBot="1" x14ac:dyDescent="0.3">
      <c r="A140" s="90"/>
      <c r="B140" s="3837" t="s">
        <v>1803</v>
      </c>
      <c r="C140" s="3836" t="s">
        <v>1815</v>
      </c>
      <c r="D140" s="3880"/>
      <c r="E140" s="3829"/>
      <c r="F140" s="4678"/>
      <c r="G140" s="3829"/>
      <c r="H140" s="5573"/>
      <c r="I140" s="3831"/>
      <c r="J140" s="7310">
        <f t="shared" si="335"/>
        <v>0</v>
      </c>
      <c r="K140" s="3829"/>
      <c r="L140" s="5689"/>
      <c r="M140" s="3832"/>
      <c r="N140" s="7301">
        <f t="shared" si="336"/>
        <v>0</v>
      </c>
      <c r="O140" s="3829"/>
      <c r="P140" s="5854"/>
      <c r="Q140" s="3831"/>
      <c r="R140" s="7310">
        <f t="shared" si="337"/>
        <v>0</v>
      </c>
      <c r="S140" s="3829"/>
      <c r="T140" s="5897"/>
      <c r="U140" s="3831"/>
      <c r="V140" s="7310">
        <f t="shared" si="338"/>
        <v>0</v>
      </c>
      <c r="W140" s="3829"/>
      <c r="X140" s="6018"/>
      <c r="Y140" s="3832"/>
      <c r="Z140" s="7301">
        <f t="shared" si="339"/>
        <v>0</v>
      </c>
      <c r="AA140" s="7390"/>
      <c r="AB140" s="7302">
        <f t="shared" si="340"/>
        <v>0</v>
      </c>
      <c r="AC140" s="3829"/>
      <c r="AD140" s="6153"/>
      <c r="AE140" s="3831"/>
      <c r="AF140" s="7310">
        <f t="shared" si="341"/>
        <v>0</v>
      </c>
      <c r="AG140" s="3829"/>
      <c r="AH140" s="6315"/>
      <c r="AI140" s="3831"/>
      <c r="AJ140" s="349">
        <f t="shared" si="367"/>
        <v>0</v>
      </c>
      <c r="AK140" s="3829"/>
      <c r="AL140" s="6553">
        <v>60.7</v>
      </c>
      <c r="AM140" s="3832"/>
      <c r="AN140" s="586">
        <f t="shared" si="368"/>
        <v>60.7</v>
      </c>
      <c r="AO140" s="3831"/>
      <c r="AP140" s="349">
        <f t="shared" si="369"/>
        <v>60.7</v>
      </c>
      <c r="AQ140" s="3829"/>
      <c r="AR140" s="6652"/>
      <c r="AS140" s="3831"/>
      <c r="AT140" s="41">
        <f t="shared" si="370"/>
        <v>60.7</v>
      </c>
      <c r="AU140" s="3829"/>
      <c r="AV140" s="6818"/>
      <c r="AW140" s="3831"/>
      <c r="AX140" s="41">
        <f t="shared" si="371"/>
        <v>60.7</v>
      </c>
      <c r="AY140" s="3829"/>
      <c r="AZ140" s="6961"/>
      <c r="BA140" s="3832"/>
      <c r="BB140" s="586">
        <f t="shared" si="372"/>
        <v>0</v>
      </c>
      <c r="BC140" s="7390"/>
      <c r="BD140" s="7302">
        <f t="shared" si="373"/>
        <v>60.7</v>
      </c>
      <c r="BE140" s="799"/>
      <c r="BF140" s="41">
        <f t="shared" si="374"/>
        <v>60.7</v>
      </c>
      <c r="BG140" s="4152">
        <f t="shared" si="328"/>
        <v>0</v>
      </c>
      <c r="BH140" s="4152">
        <f t="shared" si="329"/>
        <v>0</v>
      </c>
      <c r="BI140" s="4152"/>
      <c r="BJ140" s="4152">
        <f t="shared" si="330"/>
        <v>0</v>
      </c>
      <c r="BK140" s="4152">
        <f t="shared" si="331"/>
        <v>0</v>
      </c>
    </row>
    <row r="141" spans="1:63" s="4677" customFormat="1" ht="15.75" customHeight="1" thickBot="1" x14ac:dyDescent="0.3">
      <c r="A141" s="90"/>
      <c r="B141" s="3837" t="s">
        <v>1803</v>
      </c>
      <c r="C141" s="3835" t="s">
        <v>1816</v>
      </c>
      <c r="D141" s="3880"/>
      <c r="E141" s="3829"/>
      <c r="F141" s="4678"/>
      <c r="G141" s="3829"/>
      <c r="H141" s="5573">
        <v>477.29</v>
      </c>
      <c r="I141" s="3831"/>
      <c r="J141" s="7310">
        <f t="shared" si="335"/>
        <v>477.29</v>
      </c>
      <c r="K141" s="3829"/>
      <c r="L141" s="5689">
        <v>165.88</v>
      </c>
      <c r="M141" s="3832"/>
      <c r="N141" s="7301">
        <f t="shared" si="336"/>
        <v>643.17000000000007</v>
      </c>
      <c r="O141" s="3829"/>
      <c r="P141" s="5854"/>
      <c r="Q141" s="3831"/>
      <c r="R141" s="7310">
        <f t="shared" si="337"/>
        <v>643.17000000000007</v>
      </c>
      <c r="S141" s="3829"/>
      <c r="T141" s="5897">
        <v>475.31</v>
      </c>
      <c r="U141" s="3831"/>
      <c r="V141" s="7310">
        <f t="shared" si="338"/>
        <v>1118.48</v>
      </c>
      <c r="W141" s="3829"/>
      <c r="X141" s="6018">
        <v>158.9</v>
      </c>
      <c r="Y141" s="3832"/>
      <c r="Z141" s="7301">
        <f t="shared" si="339"/>
        <v>634.21</v>
      </c>
      <c r="AA141" s="7390"/>
      <c r="AB141" s="7302">
        <f t="shared" si="340"/>
        <v>1277.3800000000001</v>
      </c>
      <c r="AC141" s="3829"/>
      <c r="AD141" s="6153"/>
      <c r="AE141" s="3831"/>
      <c r="AF141" s="7310">
        <f t="shared" si="341"/>
        <v>1277.3800000000001</v>
      </c>
      <c r="AG141" s="3829"/>
      <c r="AH141" s="6315"/>
      <c r="AI141" s="3831"/>
      <c r="AJ141" s="349">
        <f t="shared" si="367"/>
        <v>1277.3800000000001</v>
      </c>
      <c r="AK141" s="3829"/>
      <c r="AL141" s="6553">
        <v>148.09400000000002</v>
      </c>
      <c r="AM141" s="3832"/>
      <c r="AN141" s="586">
        <f t="shared" si="368"/>
        <v>148.09400000000002</v>
      </c>
      <c r="AO141" s="3831"/>
      <c r="AP141" s="349">
        <f t="shared" si="369"/>
        <v>1425.4740000000002</v>
      </c>
      <c r="AQ141" s="3829"/>
      <c r="AR141" s="6652"/>
      <c r="AS141" s="3831"/>
      <c r="AT141" s="41">
        <f t="shared" si="370"/>
        <v>1425.4740000000002</v>
      </c>
      <c r="AU141" s="3829"/>
      <c r="AV141" s="6818"/>
      <c r="AW141" s="3831"/>
      <c r="AX141" s="41">
        <f t="shared" si="371"/>
        <v>1425.4740000000002</v>
      </c>
      <c r="AY141" s="3829"/>
      <c r="AZ141" s="6961"/>
      <c r="BA141" s="3832"/>
      <c r="BB141" s="586">
        <f t="shared" si="372"/>
        <v>0</v>
      </c>
      <c r="BC141" s="7390"/>
      <c r="BD141" s="7302">
        <f t="shared" si="373"/>
        <v>148.09400000000002</v>
      </c>
      <c r="BE141" s="799"/>
      <c r="BF141" s="41">
        <f t="shared" si="374"/>
        <v>1425.4740000000002</v>
      </c>
      <c r="BG141" s="4152">
        <f t="shared" si="328"/>
        <v>0</v>
      </c>
      <c r="BH141" s="4152">
        <f t="shared" si="329"/>
        <v>0</v>
      </c>
      <c r="BI141" s="4152"/>
      <c r="BJ141" s="4152">
        <f t="shared" si="330"/>
        <v>0</v>
      </c>
      <c r="BK141" s="4152">
        <f t="shared" si="331"/>
        <v>0</v>
      </c>
    </row>
    <row r="142" spans="1:63" s="5460" customFormat="1" ht="15.75" customHeight="1" thickBot="1" x14ac:dyDescent="0.3">
      <c r="A142" s="90"/>
      <c r="B142" s="5475" t="s">
        <v>1803</v>
      </c>
      <c r="C142" s="3835" t="s">
        <v>1104</v>
      </c>
      <c r="D142" s="3880"/>
      <c r="E142" s="3829"/>
      <c r="F142" s="5461"/>
      <c r="G142" s="3829"/>
      <c r="H142" s="5573"/>
      <c r="I142" s="3831"/>
      <c r="J142" s="7310">
        <f t="shared" si="335"/>
        <v>0</v>
      </c>
      <c r="K142" s="3829"/>
      <c r="L142" s="5689"/>
      <c r="M142" s="3832"/>
      <c r="N142" s="7301">
        <f t="shared" si="336"/>
        <v>0</v>
      </c>
      <c r="O142" s="3829"/>
      <c r="P142" s="5854"/>
      <c r="Q142" s="3831"/>
      <c r="R142" s="7310">
        <f t="shared" si="337"/>
        <v>0</v>
      </c>
      <c r="S142" s="3829"/>
      <c r="T142" s="5897">
        <v>1140.6199999999999</v>
      </c>
      <c r="U142" s="3831"/>
      <c r="V142" s="7310">
        <f t="shared" si="338"/>
        <v>1140.6199999999999</v>
      </c>
      <c r="W142" s="3829"/>
      <c r="X142" s="6018"/>
      <c r="Y142" s="3832"/>
      <c r="Z142" s="7301">
        <f t="shared" si="339"/>
        <v>1140.6199999999999</v>
      </c>
      <c r="AA142" s="7390"/>
      <c r="AB142" s="7302">
        <f t="shared" si="340"/>
        <v>1140.6199999999999</v>
      </c>
      <c r="AC142" s="3829"/>
      <c r="AD142" s="6153"/>
      <c r="AE142" s="3831"/>
      <c r="AF142" s="7310">
        <f t="shared" si="341"/>
        <v>1140.6199999999999</v>
      </c>
      <c r="AG142" s="3829"/>
      <c r="AH142" s="6315"/>
      <c r="AI142" s="3831"/>
      <c r="AJ142" s="349">
        <f t="shared" si="367"/>
        <v>1140.6199999999999</v>
      </c>
      <c r="AK142" s="3829"/>
      <c r="AL142" s="6553"/>
      <c r="AM142" s="3832"/>
      <c r="AN142" s="586">
        <f t="shared" si="368"/>
        <v>0</v>
      </c>
      <c r="AO142" s="3831"/>
      <c r="AP142" s="349">
        <f t="shared" si="369"/>
        <v>1140.6199999999999</v>
      </c>
      <c r="AQ142" s="3829"/>
      <c r="AR142" s="6652"/>
      <c r="AS142" s="3831"/>
      <c r="AT142" s="41">
        <f t="shared" si="370"/>
        <v>1140.6199999999999</v>
      </c>
      <c r="AU142" s="3829"/>
      <c r="AV142" s="6818"/>
      <c r="AW142" s="3831"/>
      <c r="AX142" s="41">
        <f t="shared" si="371"/>
        <v>1140.6199999999999</v>
      </c>
      <c r="AY142" s="3829"/>
      <c r="AZ142" s="6961"/>
      <c r="BA142" s="3832"/>
      <c r="BB142" s="586"/>
      <c r="BC142" s="7390"/>
      <c r="BD142" s="5360"/>
      <c r="BE142" s="5357"/>
      <c r="BF142" s="41">
        <f t="shared" si="374"/>
        <v>1140.6199999999999</v>
      </c>
      <c r="BG142" s="4152">
        <f t="shared" si="328"/>
        <v>0</v>
      </c>
      <c r="BH142" s="4152">
        <f t="shared" si="329"/>
        <v>0</v>
      </c>
      <c r="BI142" s="4152"/>
      <c r="BJ142" s="4152">
        <f t="shared" si="330"/>
        <v>0</v>
      </c>
      <c r="BK142" s="4152">
        <f t="shared" si="331"/>
        <v>0</v>
      </c>
    </row>
    <row r="143" spans="1:63" ht="15.75" customHeight="1" thickBot="1" x14ac:dyDescent="0.3">
      <c r="A143" s="90"/>
      <c r="B143" s="3837" t="s">
        <v>830</v>
      </c>
      <c r="C143" s="3835" t="s">
        <v>841</v>
      </c>
      <c r="D143" s="3835"/>
      <c r="E143" s="3820"/>
      <c r="F143" s="147"/>
      <c r="G143" s="3820"/>
      <c r="H143" s="147"/>
      <c r="I143" s="3165"/>
      <c r="J143" s="7310">
        <f t="shared" si="335"/>
        <v>0</v>
      </c>
      <c r="K143" s="3820"/>
      <c r="L143" s="147"/>
      <c r="M143" s="3821"/>
      <c r="N143" s="7301">
        <f t="shared" si="336"/>
        <v>0</v>
      </c>
      <c r="O143" s="3820"/>
      <c r="P143" s="147"/>
      <c r="Q143" s="3165"/>
      <c r="R143" s="7310">
        <f t="shared" si="337"/>
        <v>0</v>
      </c>
      <c r="S143" s="3820"/>
      <c r="T143" s="147"/>
      <c r="U143" s="3165"/>
      <c r="V143" s="7310">
        <f t="shared" si="338"/>
        <v>0</v>
      </c>
      <c r="W143" s="3820"/>
      <c r="X143" s="147"/>
      <c r="Y143" s="3821"/>
      <c r="Z143" s="7301">
        <f t="shared" si="339"/>
        <v>0</v>
      </c>
      <c r="AA143" s="5363"/>
      <c r="AB143" s="7302">
        <f t="shared" si="340"/>
        <v>0</v>
      </c>
      <c r="AC143" s="3820"/>
      <c r="AD143" s="147"/>
      <c r="AE143" s="3165"/>
      <c r="AF143" s="7310">
        <f t="shared" si="341"/>
        <v>0</v>
      </c>
      <c r="AG143" s="3820"/>
      <c r="AH143" s="147"/>
      <c r="AI143" s="3165"/>
      <c r="AJ143" s="349">
        <f t="shared" si="367"/>
        <v>0</v>
      </c>
      <c r="AK143" s="3820"/>
      <c r="AL143" s="147"/>
      <c r="AM143" s="3821"/>
      <c r="AN143" s="586">
        <f t="shared" si="368"/>
        <v>0</v>
      </c>
      <c r="AO143" s="3165"/>
      <c r="AP143" s="349">
        <f t="shared" si="369"/>
        <v>0</v>
      </c>
      <c r="AQ143" s="3820"/>
      <c r="AR143" s="147"/>
      <c r="AS143" s="3165"/>
      <c r="AT143" s="41">
        <f t="shared" si="370"/>
        <v>0</v>
      </c>
      <c r="AU143" s="3820"/>
      <c r="AV143" s="147"/>
      <c r="AW143" s="3165"/>
      <c r="AX143" s="41">
        <f t="shared" si="371"/>
        <v>0</v>
      </c>
      <c r="AY143" s="3820"/>
      <c r="AZ143" s="147"/>
      <c r="BA143" s="3821"/>
      <c r="BB143" s="586">
        <f t="shared" si="372"/>
        <v>0</v>
      </c>
      <c r="BC143" s="5363"/>
      <c r="BD143" s="7302">
        <f t="shared" si="373"/>
        <v>0</v>
      </c>
      <c r="BE143" s="799"/>
      <c r="BF143" s="41">
        <f t="shared" si="374"/>
        <v>0</v>
      </c>
      <c r="BG143" s="4152">
        <f t="shared" si="328"/>
        <v>0</v>
      </c>
      <c r="BH143" s="4152">
        <f t="shared" si="329"/>
        <v>0</v>
      </c>
      <c r="BI143" s="4152"/>
      <c r="BJ143" s="4152">
        <f t="shared" si="330"/>
        <v>0</v>
      </c>
      <c r="BK143" s="4152">
        <f t="shared" si="331"/>
        <v>0</v>
      </c>
    </row>
    <row r="144" spans="1:63" s="4421" customFormat="1" ht="15.75" customHeight="1" thickBot="1" x14ac:dyDescent="0.3">
      <c r="A144" s="90"/>
      <c r="B144" s="3843" t="s">
        <v>830</v>
      </c>
      <c r="C144" s="3842" t="s">
        <v>1790</v>
      </c>
      <c r="D144" s="3842"/>
      <c r="E144" s="3824"/>
      <c r="F144" s="1121"/>
      <c r="G144" s="3824"/>
      <c r="H144" s="5574"/>
      <c r="I144" s="3825"/>
      <c r="J144" s="7310">
        <f t="shared" si="335"/>
        <v>0</v>
      </c>
      <c r="K144" s="3824"/>
      <c r="L144" s="5690"/>
      <c r="M144" s="3826"/>
      <c r="N144" s="7301">
        <f t="shared" si="336"/>
        <v>0</v>
      </c>
      <c r="O144" s="3824"/>
      <c r="P144" s="5855"/>
      <c r="Q144" s="3825"/>
      <c r="R144" s="7310">
        <f t="shared" si="337"/>
        <v>0</v>
      </c>
      <c r="S144" s="3824"/>
      <c r="T144" s="5898"/>
      <c r="U144" s="3825"/>
      <c r="V144" s="7310">
        <f t="shared" si="338"/>
        <v>0</v>
      </c>
      <c r="W144" s="3824"/>
      <c r="X144" s="6019"/>
      <c r="Y144" s="3826"/>
      <c r="Z144" s="7301">
        <f t="shared" si="339"/>
        <v>0</v>
      </c>
      <c r="AA144" s="7389"/>
      <c r="AB144" s="7302">
        <f t="shared" si="340"/>
        <v>0</v>
      </c>
      <c r="AC144" s="3824"/>
      <c r="AD144" s="6154"/>
      <c r="AE144" s="3825"/>
      <c r="AF144" s="7310">
        <f t="shared" si="341"/>
        <v>0</v>
      </c>
      <c r="AG144" s="3824"/>
      <c r="AH144" s="6316"/>
      <c r="AI144" s="3825"/>
      <c r="AJ144" s="349">
        <f t="shared" si="367"/>
        <v>0</v>
      </c>
      <c r="AK144" s="3824"/>
      <c r="AL144" s="6554"/>
      <c r="AM144" s="3826"/>
      <c r="AN144" s="586">
        <f t="shared" si="368"/>
        <v>0</v>
      </c>
      <c r="AO144" s="3825"/>
      <c r="AP144" s="349">
        <f t="shared" si="369"/>
        <v>0</v>
      </c>
      <c r="AQ144" s="3824"/>
      <c r="AR144" s="6653"/>
      <c r="AS144" s="3825"/>
      <c r="AT144" s="41">
        <f t="shared" si="370"/>
        <v>0</v>
      </c>
      <c r="AU144" s="3824"/>
      <c r="AV144" s="6819"/>
      <c r="AW144" s="3825"/>
      <c r="AX144" s="41">
        <f t="shared" si="371"/>
        <v>0</v>
      </c>
      <c r="AY144" s="3824"/>
      <c r="AZ144" s="6962"/>
      <c r="BA144" s="3826"/>
      <c r="BB144" s="586">
        <f t="shared" si="372"/>
        <v>0</v>
      </c>
      <c r="BC144" s="7389"/>
      <c r="BD144" s="7302">
        <f t="shared" si="373"/>
        <v>0</v>
      </c>
      <c r="BE144" s="799"/>
      <c r="BF144" s="41">
        <f t="shared" si="374"/>
        <v>0</v>
      </c>
      <c r="BG144" s="4152">
        <f t="shared" si="328"/>
        <v>0</v>
      </c>
      <c r="BH144" s="4152">
        <f t="shared" si="329"/>
        <v>0</v>
      </c>
      <c r="BI144" s="4152"/>
      <c r="BJ144" s="4152">
        <f t="shared" si="330"/>
        <v>0</v>
      </c>
      <c r="BK144" s="4152">
        <f t="shared" si="331"/>
        <v>0</v>
      </c>
    </row>
    <row r="145" spans="1:63" s="4290" customFormat="1" ht="15.75" customHeight="1" thickBot="1" x14ac:dyDescent="0.3">
      <c r="A145" s="90"/>
      <c r="B145" s="3841" t="s">
        <v>830</v>
      </c>
      <c r="C145" s="3845" t="s">
        <v>1109</v>
      </c>
      <c r="D145" s="3842"/>
      <c r="E145" s="3824"/>
      <c r="F145" s="1121"/>
      <c r="G145" s="3824"/>
      <c r="H145" s="5574"/>
      <c r="I145" s="3825"/>
      <c r="J145" s="7310">
        <f t="shared" si="335"/>
        <v>0</v>
      </c>
      <c r="K145" s="3824"/>
      <c r="L145" s="5690"/>
      <c r="M145" s="3826"/>
      <c r="N145" s="7301">
        <f t="shared" si="336"/>
        <v>0</v>
      </c>
      <c r="O145" s="3824"/>
      <c r="P145" s="5855"/>
      <c r="Q145" s="3825"/>
      <c r="R145" s="7310">
        <f t="shared" si="337"/>
        <v>0</v>
      </c>
      <c r="S145" s="3824"/>
      <c r="T145" s="5898"/>
      <c r="U145" s="3825"/>
      <c r="V145" s="7310">
        <f t="shared" si="338"/>
        <v>0</v>
      </c>
      <c r="W145" s="3824"/>
      <c r="X145" s="6019"/>
      <c r="Y145" s="3826"/>
      <c r="Z145" s="7301">
        <f t="shared" si="339"/>
        <v>0</v>
      </c>
      <c r="AA145" s="7389"/>
      <c r="AB145" s="7302">
        <f t="shared" si="340"/>
        <v>0</v>
      </c>
      <c r="AC145" s="3824"/>
      <c r="AD145" s="6154"/>
      <c r="AE145" s="3825"/>
      <c r="AF145" s="7310">
        <f t="shared" si="341"/>
        <v>0</v>
      </c>
      <c r="AG145" s="3824"/>
      <c r="AH145" s="6316"/>
      <c r="AI145" s="3825"/>
      <c r="AJ145" s="349">
        <f t="shared" si="367"/>
        <v>0</v>
      </c>
      <c r="AK145" s="3824"/>
      <c r="AL145" s="6554"/>
      <c r="AM145" s="3826"/>
      <c r="AN145" s="586">
        <f t="shared" si="368"/>
        <v>0</v>
      </c>
      <c r="AO145" s="3825"/>
      <c r="AP145" s="349">
        <f t="shared" si="369"/>
        <v>0</v>
      </c>
      <c r="AQ145" s="3824"/>
      <c r="AR145" s="6653"/>
      <c r="AS145" s="3825"/>
      <c r="AT145" s="41">
        <f t="shared" si="370"/>
        <v>0</v>
      </c>
      <c r="AU145" s="3824"/>
      <c r="AV145" s="6819"/>
      <c r="AW145" s="3825"/>
      <c r="AX145" s="41">
        <f t="shared" si="371"/>
        <v>0</v>
      </c>
      <c r="AY145" s="3824"/>
      <c r="AZ145" s="6962"/>
      <c r="BA145" s="3826"/>
      <c r="BB145" s="586">
        <f t="shared" si="372"/>
        <v>0</v>
      </c>
      <c r="BC145" s="7389"/>
      <c r="BD145" s="7302">
        <f t="shared" si="373"/>
        <v>0</v>
      </c>
      <c r="BE145" s="799"/>
      <c r="BF145" s="41">
        <f t="shared" si="374"/>
        <v>0</v>
      </c>
      <c r="BG145" s="4152">
        <f t="shared" si="328"/>
        <v>0</v>
      </c>
      <c r="BH145" s="4152">
        <f t="shared" si="329"/>
        <v>0</v>
      </c>
      <c r="BI145" s="4152"/>
      <c r="BJ145" s="4152">
        <f t="shared" si="330"/>
        <v>0</v>
      </c>
      <c r="BK145" s="4152">
        <f t="shared" si="331"/>
        <v>0</v>
      </c>
    </row>
    <row r="146" spans="1:63" s="4372" customFormat="1" ht="15.75" customHeight="1" thickBot="1" x14ac:dyDescent="0.3">
      <c r="A146" s="90"/>
      <c r="B146" s="3843" t="s">
        <v>830</v>
      </c>
      <c r="C146" s="3845" t="s">
        <v>873</v>
      </c>
      <c r="D146" s="3842"/>
      <c r="E146" s="3824"/>
      <c r="F146" s="1121"/>
      <c r="G146" s="3824"/>
      <c r="H146" s="5574"/>
      <c r="I146" s="3825"/>
      <c r="J146" s="7310">
        <f t="shared" si="335"/>
        <v>0</v>
      </c>
      <c r="K146" s="3824"/>
      <c r="L146" s="5690"/>
      <c r="M146" s="3826"/>
      <c r="N146" s="7301">
        <f t="shared" si="336"/>
        <v>0</v>
      </c>
      <c r="O146" s="3824"/>
      <c r="P146" s="5855"/>
      <c r="Q146" s="3825"/>
      <c r="R146" s="7310">
        <f t="shared" si="337"/>
        <v>0</v>
      </c>
      <c r="S146" s="3824"/>
      <c r="T146" s="5898"/>
      <c r="U146" s="3825"/>
      <c r="V146" s="7310">
        <f t="shared" si="338"/>
        <v>0</v>
      </c>
      <c r="W146" s="3824"/>
      <c r="X146" s="6019"/>
      <c r="Y146" s="3826"/>
      <c r="Z146" s="7301">
        <f t="shared" si="339"/>
        <v>0</v>
      </c>
      <c r="AA146" s="7389"/>
      <c r="AB146" s="7302">
        <f t="shared" si="340"/>
        <v>0</v>
      </c>
      <c r="AC146" s="3824"/>
      <c r="AD146" s="6154"/>
      <c r="AE146" s="3825"/>
      <c r="AF146" s="7310">
        <f t="shared" si="341"/>
        <v>0</v>
      </c>
      <c r="AG146" s="3824"/>
      <c r="AH146" s="6316"/>
      <c r="AI146" s="3825"/>
      <c r="AJ146" s="349">
        <f t="shared" si="367"/>
        <v>0</v>
      </c>
      <c r="AK146" s="3824"/>
      <c r="AL146" s="6554"/>
      <c r="AM146" s="3826"/>
      <c r="AN146" s="586">
        <f t="shared" si="368"/>
        <v>0</v>
      </c>
      <c r="AO146" s="3825"/>
      <c r="AP146" s="349">
        <f t="shared" si="369"/>
        <v>0</v>
      </c>
      <c r="AQ146" s="3824"/>
      <c r="AR146" s="6653"/>
      <c r="AS146" s="3825"/>
      <c r="AT146" s="41">
        <f t="shared" si="370"/>
        <v>0</v>
      </c>
      <c r="AU146" s="3824"/>
      <c r="AV146" s="6819"/>
      <c r="AW146" s="3825"/>
      <c r="AX146" s="41">
        <f t="shared" si="371"/>
        <v>0</v>
      </c>
      <c r="AY146" s="3824"/>
      <c r="AZ146" s="6962"/>
      <c r="BA146" s="3826"/>
      <c r="BB146" s="586">
        <f t="shared" si="372"/>
        <v>0</v>
      </c>
      <c r="BC146" s="7389"/>
      <c r="BD146" s="7302">
        <f t="shared" si="373"/>
        <v>0</v>
      </c>
      <c r="BE146" s="799"/>
      <c r="BF146" s="41">
        <f t="shared" si="374"/>
        <v>0</v>
      </c>
      <c r="BG146" s="4152">
        <f t="shared" si="328"/>
        <v>0</v>
      </c>
      <c r="BH146" s="4152">
        <f t="shared" si="329"/>
        <v>0</v>
      </c>
      <c r="BI146" s="4152"/>
      <c r="BJ146" s="4152">
        <f t="shared" si="330"/>
        <v>0</v>
      </c>
      <c r="BK146" s="4152">
        <f t="shared" si="331"/>
        <v>0</v>
      </c>
    </row>
    <row r="147" spans="1:63" ht="15.75" thickBot="1" x14ac:dyDescent="0.3">
      <c r="A147" s="90"/>
      <c r="B147" s="3841" t="s">
        <v>830</v>
      </c>
      <c r="C147" s="3842" t="s">
        <v>909</v>
      </c>
      <c r="D147" s="3842"/>
      <c r="E147" s="3824"/>
      <c r="F147" s="1121"/>
      <c r="G147" s="3824"/>
      <c r="H147" s="5574">
        <v>188.02</v>
      </c>
      <c r="I147" s="3825"/>
      <c r="J147" s="7310">
        <f t="shared" si="335"/>
        <v>188.02</v>
      </c>
      <c r="K147" s="3824"/>
      <c r="L147" s="5690"/>
      <c r="M147" s="3826"/>
      <c r="N147" s="7301">
        <f t="shared" si="336"/>
        <v>188.02</v>
      </c>
      <c r="O147" s="3824"/>
      <c r="P147" s="5855"/>
      <c r="Q147" s="3825"/>
      <c r="R147" s="7310">
        <f t="shared" si="337"/>
        <v>188.02</v>
      </c>
      <c r="S147" s="3824"/>
      <c r="T147" s="5898"/>
      <c r="U147" s="3825"/>
      <c r="V147" s="7310">
        <f t="shared" si="338"/>
        <v>188.02</v>
      </c>
      <c r="W147" s="3824"/>
      <c r="X147" s="6019"/>
      <c r="Y147" s="3826"/>
      <c r="Z147" s="7301">
        <f t="shared" si="339"/>
        <v>0</v>
      </c>
      <c r="AA147" s="7389"/>
      <c r="AB147" s="7302">
        <f t="shared" si="340"/>
        <v>188.02</v>
      </c>
      <c r="AC147" s="3824"/>
      <c r="AD147" s="6154"/>
      <c r="AE147" s="3825"/>
      <c r="AF147" s="7310">
        <f t="shared" si="341"/>
        <v>188.02</v>
      </c>
      <c r="AG147" s="3824"/>
      <c r="AH147" s="6316">
        <v>65</v>
      </c>
      <c r="AI147" s="3825"/>
      <c r="AJ147" s="349">
        <f t="shared" si="367"/>
        <v>253.02</v>
      </c>
      <c r="AK147" s="3824"/>
      <c r="AL147" s="6554"/>
      <c r="AM147" s="3826"/>
      <c r="AN147" s="586">
        <f t="shared" si="368"/>
        <v>65</v>
      </c>
      <c r="AO147" s="3825"/>
      <c r="AP147" s="349">
        <f t="shared" si="369"/>
        <v>253.02</v>
      </c>
      <c r="AQ147" s="3824"/>
      <c r="AR147" s="6653"/>
      <c r="AS147" s="3825"/>
      <c r="AT147" s="41">
        <f t="shared" si="370"/>
        <v>253.02</v>
      </c>
      <c r="AU147" s="3824"/>
      <c r="AV147" s="6819"/>
      <c r="AW147" s="3825"/>
      <c r="AX147" s="41">
        <f t="shared" si="371"/>
        <v>253.02</v>
      </c>
      <c r="AY147" s="3824"/>
      <c r="AZ147" s="6962"/>
      <c r="BA147" s="3826"/>
      <c r="BB147" s="586">
        <f t="shared" si="372"/>
        <v>0</v>
      </c>
      <c r="BC147" s="7389"/>
      <c r="BD147" s="7302">
        <f t="shared" si="373"/>
        <v>65</v>
      </c>
      <c r="BE147" s="799"/>
      <c r="BF147" s="41">
        <f t="shared" si="374"/>
        <v>253.02</v>
      </c>
      <c r="BG147" s="4152">
        <f t="shared" ref="BG147:BG210" si="380">AY147+AU147+AQ147+AK147+AG147+AC147+W147+S147+O147+K147+G147+E147-BE147</f>
        <v>0</v>
      </c>
      <c r="BH147" s="4152">
        <f t="shared" ref="BH147:BH210" si="381">AZ147+AV147+AR147+AL147+AH147+AD147+X147+T147+P147+L147+H147+F147-BF147</f>
        <v>0</v>
      </c>
      <c r="BI147" s="4152"/>
      <c r="BJ147" s="4152">
        <f t="shared" ref="BJ147:BJ210" si="382">AY147+AU147+AQ147+AK147+AG147+AC147-BC147</f>
        <v>0</v>
      </c>
      <c r="BK147" s="4152">
        <f t="shared" ref="BK147:BK210" si="383">AZ147+AV147+AR147+AL147+AH147+AD147-BD147</f>
        <v>0</v>
      </c>
    </row>
    <row r="148" spans="1:63" ht="15.75" customHeight="1" thickBot="1" x14ac:dyDescent="0.3">
      <c r="A148" s="90"/>
      <c r="B148" s="3843" t="s">
        <v>830</v>
      </c>
      <c r="C148" s="3836" t="s">
        <v>1455</v>
      </c>
      <c r="D148" s="3815"/>
      <c r="E148" s="3805"/>
      <c r="F148" s="1819"/>
      <c r="G148" s="3805"/>
      <c r="H148" s="1819"/>
      <c r="I148" s="799"/>
      <c r="J148" s="7310">
        <f t="shared" si="335"/>
        <v>0</v>
      </c>
      <c r="K148" s="3805"/>
      <c r="L148" s="1819"/>
      <c r="M148" s="848"/>
      <c r="N148" s="7301">
        <f t="shared" si="336"/>
        <v>0</v>
      </c>
      <c r="O148" s="3805"/>
      <c r="P148" s="1819"/>
      <c r="Q148" s="799"/>
      <c r="R148" s="7310">
        <f t="shared" si="337"/>
        <v>0</v>
      </c>
      <c r="S148" s="3805"/>
      <c r="T148" s="1819"/>
      <c r="U148" s="799"/>
      <c r="V148" s="7310">
        <f t="shared" si="338"/>
        <v>0</v>
      </c>
      <c r="W148" s="3805"/>
      <c r="X148" s="1819"/>
      <c r="Y148" s="848"/>
      <c r="Z148" s="7301">
        <f t="shared" si="339"/>
        <v>0</v>
      </c>
      <c r="AA148" s="4498"/>
      <c r="AB148" s="7302">
        <f t="shared" si="340"/>
        <v>0</v>
      </c>
      <c r="AC148" s="3805"/>
      <c r="AD148" s="1819"/>
      <c r="AE148" s="799"/>
      <c r="AF148" s="7310">
        <f t="shared" si="341"/>
        <v>0</v>
      </c>
      <c r="AG148" s="3805"/>
      <c r="AH148" s="1819"/>
      <c r="AI148" s="799"/>
      <c r="AJ148" s="349">
        <f t="shared" si="367"/>
        <v>0</v>
      </c>
      <c r="AK148" s="3805"/>
      <c r="AL148" s="1819"/>
      <c r="AM148" s="848"/>
      <c r="AN148" s="586">
        <f t="shared" si="368"/>
        <v>0</v>
      </c>
      <c r="AO148" s="799"/>
      <c r="AP148" s="349">
        <f t="shared" si="369"/>
        <v>0</v>
      </c>
      <c r="AQ148" s="3805"/>
      <c r="AR148" s="1819"/>
      <c r="AS148" s="799"/>
      <c r="AT148" s="41">
        <f t="shared" si="370"/>
        <v>0</v>
      </c>
      <c r="AU148" s="3805"/>
      <c r="AV148" s="1819"/>
      <c r="AW148" s="799"/>
      <c r="AX148" s="41">
        <f t="shared" si="371"/>
        <v>0</v>
      </c>
      <c r="AY148" s="3805"/>
      <c r="AZ148" s="1819"/>
      <c r="BA148" s="848"/>
      <c r="BB148" s="586">
        <f t="shared" si="372"/>
        <v>0</v>
      </c>
      <c r="BC148" s="4498"/>
      <c r="BD148" s="7302">
        <f t="shared" si="373"/>
        <v>0</v>
      </c>
      <c r="BE148" s="799"/>
      <c r="BF148" s="41">
        <f t="shared" si="374"/>
        <v>0</v>
      </c>
      <c r="BG148" s="4152">
        <f t="shared" si="380"/>
        <v>0</v>
      </c>
      <c r="BH148" s="4152">
        <f t="shared" si="381"/>
        <v>0</v>
      </c>
      <c r="BI148" s="4152"/>
      <c r="BJ148" s="4152">
        <f t="shared" si="382"/>
        <v>0</v>
      </c>
      <c r="BK148" s="4152">
        <f t="shared" si="383"/>
        <v>0</v>
      </c>
    </row>
    <row r="149" spans="1:63" ht="15.75" thickBot="1" x14ac:dyDescent="0.3">
      <c r="A149" s="90"/>
      <c r="B149" s="3841" t="s">
        <v>830</v>
      </c>
      <c r="C149" s="3836" t="s">
        <v>1396</v>
      </c>
      <c r="D149" s="3815"/>
      <c r="E149" s="3805"/>
      <c r="F149" s="1819"/>
      <c r="G149" s="3805"/>
      <c r="H149" s="1819"/>
      <c r="I149" s="799"/>
      <c r="J149" s="7310">
        <f t="shared" si="335"/>
        <v>0</v>
      </c>
      <c r="K149" s="3805"/>
      <c r="L149" s="1819"/>
      <c r="M149" s="848"/>
      <c r="N149" s="7301">
        <f t="shared" si="336"/>
        <v>0</v>
      </c>
      <c r="O149" s="3805"/>
      <c r="P149" s="1819"/>
      <c r="Q149" s="799"/>
      <c r="R149" s="7310">
        <f t="shared" si="337"/>
        <v>0</v>
      </c>
      <c r="S149" s="3805"/>
      <c r="T149" s="1819"/>
      <c r="U149" s="799"/>
      <c r="V149" s="7310">
        <f t="shared" si="338"/>
        <v>0</v>
      </c>
      <c r="W149" s="3805"/>
      <c r="X149" s="1819"/>
      <c r="Y149" s="848"/>
      <c r="Z149" s="7301">
        <f t="shared" si="339"/>
        <v>0</v>
      </c>
      <c r="AA149" s="4498"/>
      <c r="AB149" s="7302">
        <f t="shared" si="340"/>
        <v>0</v>
      </c>
      <c r="AC149" s="3805"/>
      <c r="AD149" s="1819"/>
      <c r="AE149" s="799"/>
      <c r="AF149" s="7310">
        <f t="shared" si="341"/>
        <v>0</v>
      </c>
      <c r="AG149" s="3805"/>
      <c r="AH149" s="1819"/>
      <c r="AI149" s="799"/>
      <c r="AJ149" s="349">
        <f t="shared" si="367"/>
        <v>0</v>
      </c>
      <c r="AK149" s="3805"/>
      <c r="AL149" s="1819"/>
      <c r="AM149" s="848"/>
      <c r="AN149" s="586">
        <f t="shared" si="368"/>
        <v>0</v>
      </c>
      <c r="AO149" s="799"/>
      <c r="AP149" s="349">
        <f t="shared" si="369"/>
        <v>0</v>
      </c>
      <c r="AQ149" s="3805"/>
      <c r="AR149" s="1819"/>
      <c r="AS149" s="799"/>
      <c r="AT149" s="41">
        <f t="shared" si="370"/>
        <v>0</v>
      </c>
      <c r="AU149" s="3805"/>
      <c r="AV149" s="1819"/>
      <c r="AW149" s="799"/>
      <c r="AX149" s="41">
        <f t="shared" si="371"/>
        <v>0</v>
      </c>
      <c r="AY149" s="3805"/>
      <c r="AZ149" s="1819"/>
      <c r="BA149" s="848"/>
      <c r="BB149" s="586">
        <f t="shared" si="372"/>
        <v>0</v>
      </c>
      <c r="BC149" s="4498"/>
      <c r="BD149" s="7302">
        <f t="shared" si="373"/>
        <v>0</v>
      </c>
      <c r="BE149" s="799"/>
      <c r="BF149" s="41">
        <f t="shared" si="374"/>
        <v>0</v>
      </c>
      <c r="BG149" s="4152">
        <f t="shared" si="380"/>
        <v>0</v>
      </c>
      <c r="BH149" s="4152">
        <f t="shared" si="381"/>
        <v>0</v>
      </c>
      <c r="BI149" s="4152"/>
      <c r="BJ149" s="4152">
        <f t="shared" si="382"/>
        <v>0</v>
      </c>
      <c r="BK149" s="4152">
        <f t="shared" si="383"/>
        <v>0</v>
      </c>
    </row>
    <row r="150" spans="1:63" ht="15.75" thickBot="1" x14ac:dyDescent="0.3">
      <c r="A150" s="90"/>
      <c r="B150" s="3843" t="s">
        <v>830</v>
      </c>
      <c r="C150" s="3836" t="s">
        <v>1454</v>
      </c>
      <c r="D150" s="3815"/>
      <c r="E150" s="3805"/>
      <c r="F150" s="1819"/>
      <c r="G150" s="3805"/>
      <c r="H150" s="1819"/>
      <c r="I150" s="799"/>
      <c r="J150" s="7310">
        <f t="shared" si="335"/>
        <v>0</v>
      </c>
      <c r="K150" s="3805"/>
      <c r="L150" s="1819"/>
      <c r="M150" s="848"/>
      <c r="N150" s="7301">
        <f t="shared" si="336"/>
        <v>0</v>
      </c>
      <c r="O150" s="3805"/>
      <c r="P150" s="1819"/>
      <c r="Q150" s="799"/>
      <c r="R150" s="7310">
        <f t="shared" si="337"/>
        <v>0</v>
      </c>
      <c r="S150" s="3805"/>
      <c r="T150" s="1819"/>
      <c r="U150" s="799"/>
      <c r="V150" s="7310">
        <f t="shared" si="338"/>
        <v>0</v>
      </c>
      <c r="W150" s="3805"/>
      <c r="X150" s="1819"/>
      <c r="Y150" s="848"/>
      <c r="Z150" s="7301">
        <f t="shared" si="339"/>
        <v>0</v>
      </c>
      <c r="AA150" s="4498"/>
      <c r="AB150" s="7302">
        <f t="shared" si="340"/>
        <v>0</v>
      </c>
      <c r="AC150" s="3805"/>
      <c r="AD150" s="1819">
        <v>63.76</v>
      </c>
      <c r="AE150" s="799"/>
      <c r="AF150" s="7310">
        <f t="shared" si="341"/>
        <v>63.76</v>
      </c>
      <c r="AG150" s="3805"/>
      <c r="AH150" s="1819"/>
      <c r="AI150" s="799"/>
      <c r="AJ150" s="349">
        <f t="shared" si="367"/>
        <v>63.76</v>
      </c>
      <c r="AK150" s="3805"/>
      <c r="AL150" s="1819"/>
      <c r="AM150" s="848"/>
      <c r="AN150" s="586">
        <f t="shared" si="368"/>
        <v>63.76</v>
      </c>
      <c r="AO150" s="799"/>
      <c r="AP150" s="349">
        <f t="shared" si="369"/>
        <v>63.76</v>
      </c>
      <c r="AQ150" s="3805"/>
      <c r="AR150" s="1819"/>
      <c r="AS150" s="799"/>
      <c r="AT150" s="41">
        <f t="shared" si="370"/>
        <v>63.76</v>
      </c>
      <c r="AU150" s="3805"/>
      <c r="AV150" s="1819"/>
      <c r="AW150" s="799"/>
      <c r="AX150" s="41">
        <f t="shared" si="371"/>
        <v>63.76</v>
      </c>
      <c r="AY150" s="3805"/>
      <c r="AZ150" s="1819"/>
      <c r="BA150" s="848"/>
      <c r="BB150" s="586">
        <f t="shared" si="372"/>
        <v>0</v>
      </c>
      <c r="BC150" s="4498"/>
      <c r="BD150" s="7302">
        <f t="shared" si="373"/>
        <v>63.76</v>
      </c>
      <c r="BE150" s="799"/>
      <c r="BF150" s="41">
        <f t="shared" si="374"/>
        <v>63.76</v>
      </c>
      <c r="BG150" s="4152">
        <f t="shared" si="380"/>
        <v>0</v>
      </c>
      <c r="BH150" s="4152">
        <f t="shared" si="381"/>
        <v>0</v>
      </c>
      <c r="BI150" s="4152"/>
      <c r="BJ150" s="4152">
        <f t="shared" si="382"/>
        <v>0</v>
      </c>
      <c r="BK150" s="4152">
        <f t="shared" si="383"/>
        <v>0</v>
      </c>
    </row>
    <row r="151" spans="1:63" ht="20.25" customHeight="1" thickBot="1" x14ac:dyDescent="0.3">
      <c r="A151" s="90"/>
      <c r="B151" s="3841" t="s">
        <v>830</v>
      </c>
      <c r="C151" s="3836" t="s">
        <v>1104</v>
      </c>
      <c r="D151" s="3815"/>
      <c r="E151" s="3805"/>
      <c r="F151" s="1819"/>
      <c r="G151" s="3805"/>
      <c r="H151" s="1819">
        <v>316.89999999999998</v>
      </c>
      <c r="I151" s="799"/>
      <c r="J151" s="7310">
        <f t="shared" si="335"/>
        <v>316.89999999999998</v>
      </c>
      <c r="K151" s="3805"/>
      <c r="L151" s="1819">
        <v>126.78</v>
      </c>
      <c r="M151" s="848"/>
      <c r="N151" s="7301">
        <f t="shared" si="336"/>
        <v>443.67999999999995</v>
      </c>
      <c r="O151" s="3805"/>
      <c r="P151" s="1819"/>
      <c r="Q151" s="799"/>
      <c r="R151" s="7310">
        <f t="shared" si="337"/>
        <v>443.67999999999995</v>
      </c>
      <c r="S151" s="3805"/>
      <c r="T151" s="1819">
        <v>963.69999999999993</v>
      </c>
      <c r="U151" s="799"/>
      <c r="V151" s="7310">
        <f t="shared" si="338"/>
        <v>1407.3799999999999</v>
      </c>
      <c r="W151" s="3805"/>
      <c r="X151" s="1819">
        <v>758.28000000000009</v>
      </c>
      <c r="Y151" s="848"/>
      <c r="Z151" s="7301">
        <f t="shared" si="339"/>
        <v>1721.98</v>
      </c>
      <c r="AA151" s="4498"/>
      <c r="AB151" s="7302">
        <f t="shared" si="340"/>
        <v>2165.66</v>
      </c>
      <c r="AC151" s="3805"/>
      <c r="AD151" s="1819">
        <v>504.14</v>
      </c>
      <c r="AE151" s="799"/>
      <c r="AF151" s="7310">
        <f t="shared" si="341"/>
        <v>2669.7999999999997</v>
      </c>
      <c r="AG151" s="3805"/>
      <c r="AH151" s="1819"/>
      <c r="AI151" s="799"/>
      <c r="AJ151" s="349">
        <f t="shared" si="367"/>
        <v>2669.7999999999997</v>
      </c>
      <c r="AK151" s="3805"/>
      <c r="AL151" s="1819"/>
      <c r="AM151" s="848"/>
      <c r="AN151" s="586">
        <f t="shared" si="368"/>
        <v>504.14</v>
      </c>
      <c r="AO151" s="799"/>
      <c r="AP151" s="349">
        <f t="shared" si="369"/>
        <v>2669.7999999999997</v>
      </c>
      <c r="AQ151" s="3805"/>
      <c r="AR151" s="1819"/>
      <c r="AS151" s="799"/>
      <c r="AT151" s="41">
        <f t="shared" si="370"/>
        <v>2669.7999999999997</v>
      </c>
      <c r="AU151" s="3805"/>
      <c r="AV151" s="1819"/>
      <c r="AW151" s="799"/>
      <c r="AX151" s="41">
        <f t="shared" si="371"/>
        <v>2669.7999999999997</v>
      </c>
      <c r="AY151" s="3805"/>
      <c r="AZ151" s="1819"/>
      <c r="BA151" s="848"/>
      <c r="BB151" s="586">
        <f t="shared" si="372"/>
        <v>0</v>
      </c>
      <c r="BC151" s="4498"/>
      <c r="BD151" s="7302">
        <f t="shared" si="373"/>
        <v>504.14</v>
      </c>
      <c r="BE151" s="799"/>
      <c r="BF151" s="41">
        <f t="shared" si="374"/>
        <v>2669.7999999999997</v>
      </c>
      <c r="BG151" s="4152">
        <f t="shared" si="380"/>
        <v>0</v>
      </c>
      <c r="BH151" s="4152">
        <f t="shared" si="381"/>
        <v>0</v>
      </c>
      <c r="BI151" s="4152"/>
      <c r="BJ151" s="4152">
        <f t="shared" si="382"/>
        <v>0</v>
      </c>
      <c r="BK151" s="4152">
        <f t="shared" si="383"/>
        <v>0</v>
      </c>
    </row>
    <row r="152" spans="1:63" ht="15.75" thickBot="1" x14ac:dyDescent="0.3">
      <c r="A152" s="90"/>
      <c r="B152" s="3843" t="s">
        <v>830</v>
      </c>
      <c r="C152" s="3839" t="s">
        <v>867</v>
      </c>
      <c r="D152" s="3817"/>
      <c r="E152" s="3818"/>
      <c r="F152" s="105"/>
      <c r="G152" s="3818"/>
      <c r="H152" s="105">
        <v>501.52</v>
      </c>
      <c r="I152" s="3168"/>
      <c r="J152" s="7310">
        <f t="shared" ref="J152:J216" si="384">F152+H152</f>
        <v>501.52</v>
      </c>
      <c r="K152" s="3818"/>
      <c r="L152" s="105"/>
      <c r="M152" s="3819"/>
      <c r="N152" s="7301">
        <f t="shared" ref="N152:N216" si="385">J152+L152</f>
        <v>501.52</v>
      </c>
      <c r="O152" s="3818"/>
      <c r="P152" s="105"/>
      <c r="Q152" s="3168"/>
      <c r="R152" s="7310">
        <f t="shared" ref="R152:R216" si="386">N152+P152</f>
        <v>501.52</v>
      </c>
      <c r="S152" s="3818"/>
      <c r="T152" s="105">
        <v>127.86</v>
      </c>
      <c r="U152" s="3168"/>
      <c r="V152" s="7310">
        <f t="shared" ref="V152:V216" si="387">R152+T152</f>
        <v>629.38</v>
      </c>
      <c r="W152" s="3818"/>
      <c r="X152" s="105">
        <v>195.88</v>
      </c>
      <c r="Y152" s="3819"/>
      <c r="Z152" s="7301">
        <f t="shared" ref="Z152:Z216" si="388">P152+T152+X152</f>
        <v>323.74</v>
      </c>
      <c r="AA152" s="7388"/>
      <c r="AB152" s="7302">
        <f t="shared" ref="AB152:AB216" si="389">N152+Z152</f>
        <v>825.26</v>
      </c>
      <c r="AC152" s="3818"/>
      <c r="AD152" s="105">
        <v>117.3</v>
      </c>
      <c r="AE152" s="3168"/>
      <c r="AF152" s="7310">
        <f t="shared" ref="AF152:AF216" si="390">AB152+AD152</f>
        <v>942.56</v>
      </c>
      <c r="AG152" s="3818"/>
      <c r="AH152" s="105"/>
      <c r="AI152" s="3168"/>
      <c r="AJ152" s="349">
        <f t="shared" si="367"/>
        <v>942.56</v>
      </c>
      <c r="AK152" s="3818"/>
      <c r="AL152" s="105"/>
      <c r="AM152" s="3819"/>
      <c r="AN152" s="586">
        <f t="shared" si="368"/>
        <v>117.3</v>
      </c>
      <c r="AO152" s="3168"/>
      <c r="AP152" s="349">
        <f t="shared" si="369"/>
        <v>942.56</v>
      </c>
      <c r="AQ152" s="3818"/>
      <c r="AR152" s="105"/>
      <c r="AS152" s="3168"/>
      <c r="AT152" s="41">
        <f t="shared" si="370"/>
        <v>942.56</v>
      </c>
      <c r="AU152" s="3818"/>
      <c r="AV152" s="105"/>
      <c r="AW152" s="3168"/>
      <c r="AX152" s="41">
        <f t="shared" si="371"/>
        <v>942.56</v>
      </c>
      <c r="AY152" s="3818"/>
      <c r="AZ152" s="105"/>
      <c r="BA152" s="3819"/>
      <c r="BB152" s="586">
        <f t="shared" si="372"/>
        <v>0</v>
      </c>
      <c r="BC152" s="7388"/>
      <c r="BD152" s="7302">
        <f t="shared" si="373"/>
        <v>117.3</v>
      </c>
      <c r="BE152" s="799"/>
      <c r="BF152" s="41">
        <f t="shared" si="374"/>
        <v>942.56</v>
      </c>
      <c r="BG152" s="4152">
        <f t="shared" si="380"/>
        <v>0</v>
      </c>
      <c r="BH152" s="4152">
        <f t="shared" si="381"/>
        <v>0</v>
      </c>
      <c r="BI152" s="4152"/>
      <c r="BJ152" s="4152">
        <f t="shared" si="382"/>
        <v>0</v>
      </c>
      <c r="BK152" s="4152">
        <f t="shared" si="383"/>
        <v>0</v>
      </c>
    </row>
    <row r="153" spans="1:63" s="5073" customFormat="1" ht="15.75" customHeight="1" thickBot="1" x14ac:dyDescent="0.3">
      <c r="A153" s="90"/>
      <c r="B153" s="3841" t="s">
        <v>830</v>
      </c>
      <c r="C153" s="3828" t="s">
        <v>865</v>
      </c>
      <c r="D153" s="3828"/>
      <c r="E153" s="3829"/>
      <c r="F153" s="5074"/>
      <c r="G153" s="3829"/>
      <c r="H153" s="5573">
        <v>387.21999999999997</v>
      </c>
      <c r="I153" s="3831"/>
      <c r="J153" s="7310">
        <f t="shared" si="384"/>
        <v>387.21999999999997</v>
      </c>
      <c r="K153" s="3829"/>
      <c r="L153" s="5689"/>
      <c r="M153" s="3832"/>
      <c r="N153" s="7301">
        <f t="shared" si="385"/>
        <v>387.21999999999997</v>
      </c>
      <c r="O153" s="3829"/>
      <c r="P153" s="5854"/>
      <c r="Q153" s="3831"/>
      <c r="R153" s="7310">
        <f t="shared" si="386"/>
        <v>387.21999999999997</v>
      </c>
      <c r="S153" s="3829"/>
      <c r="T153" s="5897"/>
      <c r="U153" s="3831"/>
      <c r="V153" s="7310">
        <f t="shared" si="387"/>
        <v>387.21999999999997</v>
      </c>
      <c r="W153" s="3829"/>
      <c r="X153" s="6018">
        <v>195.72000000000003</v>
      </c>
      <c r="Y153" s="3832"/>
      <c r="Z153" s="7301">
        <f t="shared" si="388"/>
        <v>195.72000000000003</v>
      </c>
      <c r="AA153" s="7390"/>
      <c r="AB153" s="7302">
        <f t="shared" si="389"/>
        <v>582.94000000000005</v>
      </c>
      <c r="AC153" s="3829"/>
      <c r="AD153" s="6153">
        <v>124.86</v>
      </c>
      <c r="AE153" s="3831"/>
      <c r="AF153" s="7310">
        <f t="shared" si="390"/>
        <v>707.80000000000007</v>
      </c>
      <c r="AG153" s="3829"/>
      <c r="AH153" s="6315"/>
      <c r="AI153" s="3831"/>
      <c r="AJ153" s="349">
        <f t="shared" si="367"/>
        <v>707.80000000000007</v>
      </c>
      <c r="AK153" s="3829"/>
      <c r="AL153" s="6553"/>
      <c r="AM153" s="3832"/>
      <c r="AN153" s="586">
        <f t="shared" si="368"/>
        <v>124.86</v>
      </c>
      <c r="AO153" s="3831"/>
      <c r="AP153" s="349">
        <f t="shared" si="369"/>
        <v>707.80000000000007</v>
      </c>
      <c r="AQ153" s="3829"/>
      <c r="AR153" s="6652"/>
      <c r="AS153" s="3831"/>
      <c r="AT153" s="41">
        <f t="shared" si="370"/>
        <v>707.80000000000007</v>
      </c>
      <c r="AU153" s="3829"/>
      <c r="AV153" s="6818"/>
      <c r="AW153" s="3831"/>
      <c r="AX153" s="41">
        <f t="shared" si="371"/>
        <v>707.80000000000007</v>
      </c>
      <c r="AY153" s="3829"/>
      <c r="AZ153" s="6961"/>
      <c r="BA153" s="3832"/>
      <c r="BB153" s="586">
        <f t="shared" si="372"/>
        <v>0</v>
      </c>
      <c r="BC153" s="7390"/>
      <c r="BD153" s="7302">
        <f t="shared" si="373"/>
        <v>124.86</v>
      </c>
      <c r="BE153" s="799"/>
      <c r="BF153" s="41">
        <f t="shared" si="374"/>
        <v>707.80000000000007</v>
      </c>
      <c r="BG153" s="4152">
        <f t="shared" si="380"/>
        <v>0</v>
      </c>
      <c r="BH153" s="4152">
        <f t="shared" si="381"/>
        <v>0</v>
      </c>
      <c r="BI153" s="4152"/>
      <c r="BJ153" s="4152">
        <f t="shared" si="382"/>
        <v>0</v>
      </c>
      <c r="BK153" s="4152">
        <f t="shared" si="383"/>
        <v>0</v>
      </c>
    </row>
    <row r="154" spans="1:63" ht="20.25" customHeight="1" thickBot="1" x14ac:dyDescent="0.3">
      <c r="A154" s="90"/>
      <c r="B154" s="3840" t="s">
        <v>831</v>
      </c>
      <c r="C154" s="3810" t="s">
        <v>867</v>
      </c>
      <c r="D154" s="3810"/>
      <c r="E154" s="3820"/>
      <c r="F154" s="147"/>
      <c r="G154" s="3820"/>
      <c r="H154" s="147"/>
      <c r="I154" s="3165"/>
      <c r="J154" s="7310">
        <f t="shared" si="384"/>
        <v>0</v>
      </c>
      <c r="K154" s="3820"/>
      <c r="L154" s="147"/>
      <c r="M154" s="3821"/>
      <c r="N154" s="7301">
        <f t="shared" si="385"/>
        <v>0</v>
      </c>
      <c r="O154" s="3820"/>
      <c r="P154" s="147"/>
      <c r="Q154" s="3165"/>
      <c r="R154" s="7310">
        <f t="shared" si="386"/>
        <v>0</v>
      </c>
      <c r="S154" s="3820"/>
      <c r="T154" s="147"/>
      <c r="U154" s="3165"/>
      <c r="V154" s="7310">
        <f t="shared" si="387"/>
        <v>0</v>
      </c>
      <c r="W154" s="3820"/>
      <c r="X154" s="147"/>
      <c r="Y154" s="3821"/>
      <c r="Z154" s="7301">
        <f t="shared" si="388"/>
        <v>0</v>
      </c>
      <c r="AA154" s="5363"/>
      <c r="AB154" s="7302">
        <f t="shared" si="389"/>
        <v>0</v>
      </c>
      <c r="AC154" s="3820"/>
      <c r="AD154" s="147"/>
      <c r="AE154" s="3165"/>
      <c r="AF154" s="7310">
        <f t="shared" si="390"/>
        <v>0</v>
      </c>
      <c r="AG154" s="3820"/>
      <c r="AH154" s="147"/>
      <c r="AI154" s="3165"/>
      <c r="AJ154" s="349">
        <f t="shared" si="367"/>
        <v>0</v>
      </c>
      <c r="AK154" s="3820"/>
      <c r="AL154" s="147"/>
      <c r="AM154" s="3821"/>
      <c r="AN154" s="586">
        <f t="shared" si="368"/>
        <v>0</v>
      </c>
      <c r="AO154" s="3165"/>
      <c r="AP154" s="349">
        <f t="shared" si="369"/>
        <v>0</v>
      </c>
      <c r="AQ154" s="3820"/>
      <c r="AR154" s="147"/>
      <c r="AS154" s="3165"/>
      <c r="AT154" s="41">
        <f t="shared" si="370"/>
        <v>0</v>
      </c>
      <c r="AU154" s="3820"/>
      <c r="AV154" s="147"/>
      <c r="AW154" s="3165"/>
      <c r="AX154" s="41">
        <f t="shared" si="371"/>
        <v>0</v>
      </c>
      <c r="AY154" s="3820"/>
      <c r="AZ154" s="147"/>
      <c r="BA154" s="3821"/>
      <c r="BB154" s="586">
        <f t="shared" si="372"/>
        <v>0</v>
      </c>
      <c r="BC154" s="5363"/>
      <c r="BD154" s="7302">
        <f t="shared" si="373"/>
        <v>0</v>
      </c>
      <c r="BE154" s="799"/>
      <c r="BF154" s="41">
        <f t="shared" si="374"/>
        <v>0</v>
      </c>
      <c r="BG154" s="4152">
        <f t="shared" si="380"/>
        <v>0</v>
      </c>
      <c r="BH154" s="4152">
        <f t="shared" si="381"/>
        <v>0</v>
      </c>
      <c r="BI154" s="4152"/>
      <c r="BJ154" s="4152">
        <f t="shared" si="382"/>
        <v>0</v>
      </c>
      <c r="BK154" s="4152">
        <f t="shared" si="383"/>
        <v>0</v>
      </c>
    </row>
    <row r="155" spans="1:63" ht="15.75" customHeight="1" thickBot="1" x14ac:dyDescent="0.3">
      <c r="A155" s="90"/>
      <c r="B155" s="3843" t="s">
        <v>831</v>
      </c>
      <c r="C155" s="3836" t="s">
        <v>846</v>
      </c>
      <c r="D155" s="3815"/>
      <c r="E155" s="1819"/>
      <c r="F155" s="1819">
        <v>1745.06</v>
      </c>
      <c r="G155" s="1819"/>
      <c r="H155" s="1819"/>
      <c r="I155" s="7310"/>
      <c r="J155" s="7310">
        <f t="shared" si="384"/>
        <v>1745.06</v>
      </c>
      <c r="K155" s="1819"/>
      <c r="L155" s="1819"/>
      <c r="M155" s="7301"/>
      <c r="N155" s="7301">
        <f t="shared" si="385"/>
        <v>1745.06</v>
      </c>
      <c r="O155" s="1819"/>
      <c r="P155" s="1819"/>
      <c r="Q155" s="7310"/>
      <c r="R155" s="7310">
        <f t="shared" si="386"/>
        <v>1745.06</v>
      </c>
      <c r="S155" s="1819"/>
      <c r="T155" s="1819"/>
      <c r="U155" s="7310"/>
      <c r="V155" s="7310">
        <f t="shared" si="387"/>
        <v>1745.06</v>
      </c>
      <c r="W155" s="1819"/>
      <c r="X155" s="1819"/>
      <c r="Y155" s="7301"/>
      <c r="Z155" s="7301">
        <f t="shared" si="388"/>
        <v>0</v>
      </c>
      <c r="AA155" s="7302"/>
      <c r="AB155" s="7302">
        <f t="shared" si="389"/>
        <v>1745.06</v>
      </c>
      <c r="AC155" s="1819"/>
      <c r="AD155" s="1819"/>
      <c r="AE155" s="7310"/>
      <c r="AF155" s="7310">
        <f t="shared" si="390"/>
        <v>1745.06</v>
      </c>
      <c r="AG155" s="1819"/>
      <c r="AH155" s="1819"/>
      <c r="AI155" s="7310"/>
      <c r="AJ155" s="349">
        <f t="shared" si="367"/>
        <v>1745.06</v>
      </c>
      <c r="AK155" s="1819"/>
      <c r="AL155" s="1819"/>
      <c r="AM155" s="7301"/>
      <c r="AN155" s="586">
        <f t="shared" si="368"/>
        <v>0</v>
      </c>
      <c r="AO155" s="7310"/>
      <c r="AP155" s="349">
        <f t="shared" si="369"/>
        <v>1745.06</v>
      </c>
      <c r="AQ155" s="1819"/>
      <c r="AR155" s="1819"/>
      <c r="AS155" s="7310"/>
      <c r="AT155" s="41">
        <f t="shared" si="370"/>
        <v>1745.06</v>
      </c>
      <c r="AU155" s="1819"/>
      <c r="AV155" s="1819"/>
      <c r="AW155" s="7310"/>
      <c r="AX155" s="41">
        <f t="shared" si="371"/>
        <v>1745.06</v>
      </c>
      <c r="AY155" s="1819"/>
      <c r="AZ155" s="1819"/>
      <c r="BA155" s="7301"/>
      <c r="BB155" s="586">
        <f t="shared" si="372"/>
        <v>0</v>
      </c>
      <c r="BC155" s="7302"/>
      <c r="BD155" s="7302">
        <f t="shared" si="373"/>
        <v>0</v>
      </c>
      <c r="BE155" s="799"/>
      <c r="BF155" s="41">
        <f t="shared" si="374"/>
        <v>1745.06</v>
      </c>
      <c r="BG155" s="4152">
        <f t="shared" si="380"/>
        <v>0</v>
      </c>
      <c r="BH155" s="4152">
        <f t="shared" si="381"/>
        <v>0</v>
      </c>
      <c r="BI155" s="4152"/>
      <c r="BJ155" s="4152">
        <f t="shared" si="382"/>
        <v>0</v>
      </c>
      <c r="BK155" s="4152">
        <f t="shared" si="383"/>
        <v>0</v>
      </c>
    </row>
    <row r="156" spans="1:63" ht="15.75" customHeight="1" thickBot="1" x14ac:dyDescent="0.3">
      <c r="A156" s="90"/>
      <c r="B156" s="3843" t="s">
        <v>831</v>
      </c>
      <c r="C156" s="3836" t="s">
        <v>868</v>
      </c>
      <c r="D156" s="3815"/>
      <c r="E156" s="1819"/>
      <c r="F156" s="1819"/>
      <c r="G156" s="1819"/>
      <c r="H156" s="1819"/>
      <c r="I156" s="7310"/>
      <c r="J156" s="7310">
        <f t="shared" si="384"/>
        <v>0</v>
      </c>
      <c r="K156" s="1819"/>
      <c r="L156" s="1819"/>
      <c r="M156" s="7301"/>
      <c r="N156" s="7301">
        <f t="shared" si="385"/>
        <v>0</v>
      </c>
      <c r="O156" s="1819"/>
      <c r="P156" s="1819"/>
      <c r="Q156" s="7310"/>
      <c r="R156" s="7310">
        <f t="shared" si="386"/>
        <v>0</v>
      </c>
      <c r="S156" s="1819"/>
      <c r="T156" s="1819"/>
      <c r="U156" s="7310"/>
      <c r="V156" s="7310">
        <f t="shared" si="387"/>
        <v>0</v>
      </c>
      <c r="W156" s="1819"/>
      <c r="X156" s="1819"/>
      <c r="Y156" s="7301"/>
      <c r="Z156" s="7301">
        <f t="shared" si="388"/>
        <v>0</v>
      </c>
      <c r="AA156" s="7302"/>
      <c r="AB156" s="7302">
        <f t="shared" si="389"/>
        <v>0</v>
      </c>
      <c r="AC156" s="1819"/>
      <c r="AD156" s="1819"/>
      <c r="AE156" s="7310"/>
      <c r="AF156" s="7310">
        <f t="shared" si="390"/>
        <v>0</v>
      </c>
      <c r="AG156" s="1819"/>
      <c r="AH156" s="1819"/>
      <c r="AI156" s="7310"/>
      <c r="AJ156" s="349">
        <f t="shared" si="367"/>
        <v>0</v>
      </c>
      <c r="AK156" s="1819"/>
      <c r="AL156" s="1819"/>
      <c r="AM156" s="7301"/>
      <c r="AN156" s="586">
        <f t="shared" si="368"/>
        <v>0</v>
      </c>
      <c r="AO156" s="7310"/>
      <c r="AP156" s="349">
        <f t="shared" si="369"/>
        <v>0</v>
      </c>
      <c r="AQ156" s="1819"/>
      <c r="AR156" s="1819"/>
      <c r="AS156" s="7310"/>
      <c r="AT156" s="41">
        <f t="shared" si="370"/>
        <v>0</v>
      </c>
      <c r="AU156" s="1819"/>
      <c r="AV156" s="1819"/>
      <c r="AW156" s="7310"/>
      <c r="AX156" s="41">
        <f t="shared" si="371"/>
        <v>0</v>
      </c>
      <c r="AY156" s="1819"/>
      <c r="AZ156" s="1819"/>
      <c r="BA156" s="7301"/>
      <c r="BB156" s="586">
        <f t="shared" si="372"/>
        <v>0</v>
      </c>
      <c r="BC156" s="7302"/>
      <c r="BD156" s="7302">
        <f t="shared" si="373"/>
        <v>0</v>
      </c>
      <c r="BE156" s="799"/>
      <c r="BF156" s="41">
        <f t="shared" si="374"/>
        <v>0</v>
      </c>
      <c r="BG156" s="4152">
        <f t="shared" si="380"/>
        <v>0</v>
      </c>
      <c r="BH156" s="4152">
        <f t="shared" si="381"/>
        <v>0</v>
      </c>
      <c r="BI156" s="4152"/>
      <c r="BJ156" s="4152">
        <f t="shared" si="382"/>
        <v>0</v>
      </c>
      <c r="BK156" s="4152">
        <f t="shared" si="383"/>
        <v>0</v>
      </c>
    </row>
    <row r="157" spans="1:63" ht="15.75" customHeight="1" thickBot="1" x14ac:dyDescent="0.3">
      <c r="A157" s="90"/>
      <c r="B157" s="3843" t="s">
        <v>831</v>
      </c>
      <c r="C157" s="3845" t="s">
        <v>1107</v>
      </c>
      <c r="D157" s="3846"/>
      <c r="E157" s="3790"/>
      <c r="F157" s="3790"/>
      <c r="G157" s="5575"/>
      <c r="H157" s="5575"/>
      <c r="I157" s="7318"/>
      <c r="J157" s="7310">
        <f t="shared" si="384"/>
        <v>0</v>
      </c>
      <c r="K157" s="5695"/>
      <c r="L157" s="5695"/>
      <c r="M157" s="7320"/>
      <c r="N157" s="7301">
        <f t="shared" si="385"/>
        <v>0</v>
      </c>
      <c r="O157" s="5857"/>
      <c r="P157" s="5857"/>
      <c r="Q157" s="7318"/>
      <c r="R157" s="7310">
        <f t="shared" si="386"/>
        <v>0</v>
      </c>
      <c r="S157" s="5902"/>
      <c r="T157" s="5902"/>
      <c r="U157" s="7318"/>
      <c r="V157" s="7310">
        <f t="shared" si="387"/>
        <v>0</v>
      </c>
      <c r="W157" s="6021"/>
      <c r="X157" s="6021"/>
      <c r="Y157" s="7320"/>
      <c r="Z157" s="7301">
        <f t="shared" si="388"/>
        <v>0</v>
      </c>
      <c r="AA157" s="7321"/>
      <c r="AB157" s="7302">
        <f t="shared" si="389"/>
        <v>0</v>
      </c>
      <c r="AC157" s="6156"/>
      <c r="AD157" s="6156"/>
      <c r="AE157" s="7318"/>
      <c r="AF157" s="7310">
        <f t="shared" si="390"/>
        <v>0</v>
      </c>
      <c r="AG157" s="6318"/>
      <c r="AH157" s="6318"/>
      <c r="AI157" s="7318"/>
      <c r="AJ157" s="349">
        <f t="shared" si="367"/>
        <v>0</v>
      </c>
      <c r="AK157" s="6557"/>
      <c r="AL157" s="6557"/>
      <c r="AM157" s="7320"/>
      <c r="AN157" s="586">
        <f t="shared" si="368"/>
        <v>0</v>
      </c>
      <c r="AO157" s="7318"/>
      <c r="AP157" s="349">
        <f t="shared" si="369"/>
        <v>0</v>
      </c>
      <c r="AQ157" s="6657"/>
      <c r="AR157" s="6657"/>
      <c r="AS157" s="7318"/>
      <c r="AT157" s="41">
        <f t="shared" si="370"/>
        <v>0</v>
      </c>
      <c r="AU157" s="6822"/>
      <c r="AV157" s="6822"/>
      <c r="AW157" s="7318"/>
      <c r="AX157" s="41">
        <f t="shared" si="371"/>
        <v>0</v>
      </c>
      <c r="AY157" s="6966"/>
      <c r="AZ157" s="6966"/>
      <c r="BA157" s="7320"/>
      <c r="BB157" s="586">
        <f t="shared" si="372"/>
        <v>0</v>
      </c>
      <c r="BC157" s="7321"/>
      <c r="BD157" s="7302">
        <f t="shared" si="373"/>
        <v>0</v>
      </c>
      <c r="BE157" s="799"/>
      <c r="BF157" s="41">
        <f t="shared" si="374"/>
        <v>0</v>
      </c>
      <c r="BG157" s="4152">
        <f t="shared" si="380"/>
        <v>0</v>
      </c>
      <c r="BH157" s="4152">
        <f t="shared" si="381"/>
        <v>0</v>
      </c>
      <c r="BI157" s="4152"/>
      <c r="BJ157" s="4152">
        <f t="shared" si="382"/>
        <v>0</v>
      </c>
      <c r="BK157" s="4152">
        <f t="shared" si="383"/>
        <v>0</v>
      </c>
    </row>
    <row r="158" spans="1:63" ht="15.75" customHeight="1" thickBot="1" x14ac:dyDescent="0.3">
      <c r="A158" s="90"/>
      <c r="B158" s="3843" t="s">
        <v>831</v>
      </c>
      <c r="C158" s="3845" t="s">
        <v>864</v>
      </c>
      <c r="D158" s="3846"/>
      <c r="E158" s="3790"/>
      <c r="F158" s="3790"/>
      <c r="G158" s="5575"/>
      <c r="H158" s="5575"/>
      <c r="I158" s="7318"/>
      <c r="J158" s="7310">
        <f t="shared" si="384"/>
        <v>0</v>
      </c>
      <c r="K158" s="5695"/>
      <c r="L158" s="5695"/>
      <c r="M158" s="7320"/>
      <c r="N158" s="7301">
        <f t="shared" si="385"/>
        <v>0</v>
      </c>
      <c r="O158" s="5857"/>
      <c r="P158" s="5857"/>
      <c r="Q158" s="7318"/>
      <c r="R158" s="7310">
        <f t="shared" si="386"/>
        <v>0</v>
      </c>
      <c r="S158" s="5902"/>
      <c r="T158" s="5902"/>
      <c r="U158" s="7318"/>
      <c r="V158" s="7310">
        <f t="shared" si="387"/>
        <v>0</v>
      </c>
      <c r="W158" s="6021"/>
      <c r="X158" s="6021"/>
      <c r="Y158" s="7320"/>
      <c r="Z158" s="7301">
        <f t="shared" si="388"/>
        <v>0</v>
      </c>
      <c r="AA158" s="7321"/>
      <c r="AB158" s="7302">
        <f t="shared" si="389"/>
        <v>0</v>
      </c>
      <c r="AC158" s="6156"/>
      <c r="AD158" s="6156"/>
      <c r="AE158" s="7318"/>
      <c r="AF158" s="7310">
        <f t="shared" si="390"/>
        <v>0</v>
      </c>
      <c r="AG158" s="6318"/>
      <c r="AH158" s="6318"/>
      <c r="AI158" s="7318"/>
      <c r="AJ158" s="349">
        <f t="shared" si="367"/>
        <v>0</v>
      </c>
      <c r="AK158" s="6557"/>
      <c r="AL158" s="6557"/>
      <c r="AM158" s="7320"/>
      <c r="AN158" s="586">
        <f t="shared" si="368"/>
        <v>0</v>
      </c>
      <c r="AO158" s="7318"/>
      <c r="AP158" s="349">
        <f t="shared" si="369"/>
        <v>0</v>
      </c>
      <c r="AQ158" s="6657"/>
      <c r="AR158" s="6657"/>
      <c r="AS158" s="7318"/>
      <c r="AT158" s="41">
        <f t="shared" si="370"/>
        <v>0</v>
      </c>
      <c r="AU158" s="6822"/>
      <c r="AV158" s="6822"/>
      <c r="AW158" s="7318"/>
      <c r="AX158" s="41">
        <f t="shared" si="371"/>
        <v>0</v>
      </c>
      <c r="AY158" s="6966"/>
      <c r="AZ158" s="6966"/>
      <c r="BA158" s="7320"/>
      <c r="BB158" s="586">
        <f t="shared" si="372"/>
        <v>0</v>
      </c>
      <c r="BC158" s="7321"/>
      <c r="BD158" s="7302">
        <f t="shared" si="373"/>
        <v>0</v>
      </c>
      <c r="BE158" s="799"/>
      <c r="BF158" s="41">
        <f t="shared" si="374"/>
        <v>0</v>
      </c>
      <c r="BG158" s="4152">
        <f t="shared" si="380"/>
        <v>0</v>
      </c>
      <c r="BH158" s="4152">
        <f t="shared" si="381"/>
        <v>0</v>
      </c>
      <c r="BI158" s="4152"/>
      <c r="BJ158" s="4152">
        <f t="shared" si="382"/>
        <v>0</v>
      </c>
      <c r="BK158" s="4152">
        <f t="shared" si="383"/>
        <v>0</v>
      </c>
    </row>
    <row r="159" spans="1:63" ht="15.75" customHeight="1" thickBot="1" x14ac:dyDescent="0.3">
      <c r="A159" s="90"/>
      <c r="B159" s="3843" t="s">
        <v>831</v>
      </c>
      <c r="C159" s="3845" t="s">
        <v>909</v>
      </c>
      <c r="D159" s="3846"/>
      <c r="E159" s="3790"/>
      <c r="F159" s="3790"/>
      <c r="G159" s="5575"/>
      <c r="H159" s="5575"/>
      <c r="I159" s="7318"/>
      <c r="J159" s="7310">
        <f t="shared" si="384"/>
        <v>0</v>
      </c>
      <c r="K159" s="5695"/>
      <c r="L159" s="5695"/>
      <c r="M159" s="7320"/>
      <c r="N159" s="7301">
        <f t="shared" si="385"/>
        <v>0</v>
      </c>
      <c r="O159" s="5857"/>
      <c r="P159" s="5857"/>
      <c r="Q159" s="7318"/>
      <c r="R159" s="7310">
        <f t="shared" si="386"/>
        <v>0</v>
      </c>
      <c r="S159" s="5902"/>
      <c r="T159" s="5902"/>
      <c r="U159" s="7318"/>
      <c r="V159" s="7310">
        <f t="shared" si="387"/>
        <v>0</v>
      </c>
      <c r="W159" s="6021"/>
      <c r="X159" s="6021"/>
      <c r="Y159" s="7320"/>
      <c r="Z159" s="7301">
        <f t="shared" si="388"/>
        <v>0</v>
      </c>
      <c r="AA159" s="7321"/>
      <c r="AB159" s="7302">
        <f t="shared" si="389"/>
        <v>0</v>
      </c>
      <c r="AC159" s="6156"/>
      <c r="AD159" s="6156"/>
      <c r="AE159" s="7318"/>
      <c r="AF159" s="7310">
        <f t="shared" si="390"/>
        <v>0</v>
      </c>
      <c r="AG159" s="6318"/>
      <c r="AH159" s="6318"/>
      <c r="AI159" s="7318"/>
      <c r="AJ159" s="349">
        <f t="shared" si="367"/>
        <v>0</v>
      </c>
      <c r="AK159" s="6557"/>
      <c r="AL159" s="6557"/>
      <c r="AM159" s="7320"/>
      <c r="AN159" s="586">
        <f t="shared" si="368"/>
        <v>0</v>
      </c>
      <c r="AO159" s="7318"/>
      <c r="AP159" s="349">
        <f t="shared" si="369"/>
        <v>0</v>
      </c>
      <c r="AQ159" s="6657"/>
      <c r="AR159" s="6657">
        <v>23.588000000000001</v>
      </c>
      <c r="AS159" s="7318"/>
      <c r="AT159" s="41">
        <f t="shared" si="370"/>
        <v>23.588000000000001</v>
      </c>
      <c r="AU159" s="6822"/>
      <c r="AV159" s="6822"/>
      <c r="AW159" s="7318"/>
      <c r="AX159" s="41">
        <f t="shared" si="371"/>
        <v>23.588000000000001</v>
      </c>
      <c r="AY159" s="6966"/>
      <c r="AZ159" s="6966"/>
      <c r="BA159" s="7320"/>
      <c r="BB159" s="586">
        <f t="shared" si="372"/>
        <v>23.588000000000001</v>
      </c>
      <c r="BC159" s="7321"/>
      <c r="BD159" s="7302">
        <f t="shared" si="373"/>
        <v>23.588000000000001</v>
      </c>
      <c r="BE159" s="799"/>
      <c r="BF159" s="41">
        <f t="shared" si="374"/>
        <v>23.588000000000001</v>
      </c>
      <c r="BG159" s="4152">
        <f t="shared" si="380"/>
        <v>0</v>
      </c>
      <c r="BH159" s="4152">
        <f t="shared" si="381"/>
        <v>0</v>
      </c>
      <c r="BI159" s="4152"/>
      <c r="BJ159" s="4152">
        <f t="shared" si="382"/>
        <v>0</v>
      </c>
      <c r="BK159" s="4152">
        <f t="shared" si="383"/>
        <v>0</v>
      </c>
    </row>
    <row r="160" spans="1:63" ht="15.75" customHeight="1" thickBot="1" x14ac:dyDescent="0.3">
      <c r="A160" s="90"/>
      <c r="B160" s="3843" t="s">
        <v>831</v>
      </c>
      <c r="C160" s="3836" t="s">
        <v>1396</v>
      </c>
      <c r="D160" s="3836"/>
      <c r="E160" s="1819"/>
      <c r="F160" s="1819"/>
      <c r="G160" s="1819"/>
      <c r="H160" s="1819"/>
      <c r="I160" s="7310"/>
      <c r="J160" s="7310">
        <f t="shared" si="384"/>
        <v>0</v>
      </c>
      <c r="K160" s="1819"/>
      <c r="L160" s="1819"/>
      <c r="M160" s="7301"/>
      <c r="N160" s="7301">
        <f t="shared" si="385"/>
        <v>0</v>
      </c>
      <c r="O160" s="1819"/>
      <c r="P160" s="1819"/>
      <c r="Q160" s="7310"/>
      <c r="R160" s="7310">
        <f t="shared" si="386"/>
        <v>0</v>
      </c>
      <c r="S160" s="1819"/>
      <c r="T160" s="1819"/>
      <c r="U160" s="7310"/>
      <c r="V160" s="7310">
        <f t="shared" si="387"/>
        <v>0</v>
      </c>
      <c r="W160" s="1819"/>
      <c r="X160" s="1819"/>
      <c r="Y160" s="7301"/>
      <c r="Z160" s="7301">
        <f t="shared" si="388"/>
        <v>0</v>
      </c>
      <c r="AA160" s="7302"/>
      <c r="AB160" s="7302">
        <f t="shared" si="389"/>
        <v>0</v>
      </c>
      <c r="AC160" s="1819"/>
      <c r="AD160" s="1819"/>
      <c r="AE160" s="7310"/>
      <c r="AF160" s="7310">
        <f t="shared" si="390"/>
        <v>0</v>
      </c>
      <c r="AG160" s="1819"/>
      <c r="AH160" s="1819"/>
      <c r="AI160" s="7310"/>
      <c r="AJ160" s="349">
        <f t="shared" si="367"/>
        <v>0</v>
      </c>
      <c r="AK160" s="1819"/>
      <c r="AL160" s="1819"/>
      <c r="AM160" s="7301"/>
      <c r="AN160" s="586">
        <f t="shared" si="368"/>
        <v>0</v>
      </c>
      <c r="AO160" s="7310"/>
      <c r="AP160" s="349">
        <f t="shared" si="369"/>
        <v>0</v>
      </c>
      <c r="AQ160" s="1819"/>
      <c r="AR160" s="1819"/>
      <c r="AS160" s="7310"/>
      <c r="AT160" s="41">
        <f t="shared" si="370"/>
        <v>0</v>
      </c>
      <c r="AU160" s="1819"/>
      <c r="AV160" s="1819"/>
      <c r="AW160" s="7310"/>
      <c r="AX160" s="41">
        <f t="shared" si="371"/>
        <v>0</v>
      </c>
      <c r="AY160" s="1819"/>
      <c r="AZ160" s="1819"/>
      <c r="BA160" s="7301"/>
      <c r="BB160" s="586">
        <f t="shared" si="372"/>
        <v>0</v>
      </c>
      <c r="BC160" s="7302"/>
      <c r="BD160" s="7302">
        <f t="shared" si="373"/>
        <v>0</v>
      </c>
      <c r="BE160" s="799"/>
      <c r="BF160" s="41">
        <f t="shared" si="374"/>
        <v>0</v>
      </c>
      <c r="BG160" s="4152">
        <f t="shared" si="380"/>
        <v>0</v>
      </c>
      <c r="BH160" s="4152">
        <f t="shared" si="381"/>
        <v>0</v>
      </c>
      <c r="BI160" s="4152"/>
      <c r="BJ160" s="4152">
        <f t="shared" si="382"/>
        <v>0</v>
      </c>
      <c r="BK160" s="4152">
        <f t="shared" si="383"/>
        <v>0</v>
      </c>
    </row>
    <row r="161" spans="1:63" ht="15.75" thickBot="1" x14ac:dyDescent="0.3">
      <c r="A161" s="90"/>
      <c r="B161" s="3844" t="s">
        <v>831</v>
      </c>
      <c r="C161" s="3839" t="s">
        <v>1106</v>
      </c>
      <c r="D161" s="3817"/>
      <c r="E161" s="105"/>
      <c r="F161" s="105"/>
      <c r="G161" s="105"/>
      <c r="H161" s="105"/>
      <c r="I161" s="557"/>
      <c r="J161" s="7310">
        <f t="shared" si="384"/>
        <v>0</v>
      </c>
      <c r="K161" s="105"/>
      <c r="L161" s="105"/>
      <c r="M161" s="462"/>
      <c r="N161" s="7301">
        <f t="shared" si="385"/>
        <v>0</v>
      </c>
      <c r="O161" s="105"/>
      <c r="P161" s="105"/>
      <c r="Q161" s="557"/>
      <c r="R161" s="7310">
        <f t="shared" si="386"/>
        <v>0</v>
      </c>
      <c r="S161" s="105"/>
      <c r="T161" s="105">
        <v>1399.68</v>
      </c>
      <c r="U161" s="557"/>
      <c r="V161" s="7310">
        <f t="shared" si="387"/>
        <v>1399.68</v>
      </c>
      <c r="W161" s="105"/>
      <c r="X161" s="105"/>
      <c r="Y161" s="462"/>
      <c r="Z161" s="7301">
        <f t="shared" si="388"/>
        <v>1399.68</v>
      </c>
      <c r="AA161" s="1063"/>
      <c r="AB161" s="7302">
        <f t="shared" si="389"/>
        <v>1399.68</v>
      </c>
      <c r="AC161" s="105"/>
      <c r="AD161" s="105"/>
      <c r="AE161" s="557"/>
      <c r="AF161" s="7310">
        <f t="shared" si="390"/>
        <v>1399.68</v>
      </c>
      <c r="AG161" s="105"/>
      <c r="AH161" s="105"/>
      <c r="AI161" s="557"/>
      <c r="AJ161" s="349">
        <f t="shared" si="367"/>
        <v>1399.68</v>
      </c>
      <c r="AK161" s="105"/>
      <c r="AL161" s="105"/>
      <c r="AM161" s="462"/>
      <c r="AN161" s="586">
        <f t="shared" si="368"/>
        <v>0</v>
      </c>
      <c r="AO161" s="557"/>
      <c r="AP161" s="349">
        <f t="shared" si="369"/>
        <v>1399.68</v>
      </c>
      <c r="AQ161" s="105"/>
      <c r="AR161" s="105"/>
      <c r="AS161" s="557"/>
      <c r="AT161" s="41">
        <f t="shared" si="370"/>
        <v>1399.68</v>
      </c>
      <c r="AU161" s="105"/>
      <c r="AV161" s="105"/>
      <c r="AW161" s="557"/>
      <c r="AX161" s="41">
        <f t="shared" si="371"/>
        <v>1399.68</v>
      </c>
      <c r="AY161" s="105"/>
      <c r="AZ161" s="105"/>
      <c r="BA161" s="462"/>
      <c r="BB161" s="586">
        <f t="shared" si="372"/>
        <v>0</v>
      </c>
      <c r="BC161" s="1063"/>
      <c r="BD161" s="7302">
        <f t="shared" si="373"/>
        <v>0</v>
      </c>
      <c r="BE161" s="799"/>
      <c r="BF161" s="41">
        <f t="shared" si="374"/>
        <v>1399.68</v>
      </c>
      <c r="BG161" s="4152">
        <f t="shared" si="380"/>
        <v>0</v>
      </c>
      <c r="BH161" s="4152">
        <f t="shared" si="381"/>
        <v>0</v>
      </c>
      <c r="BI161" s="4152"/>
      <c r="BJ161" s="4152">
        <f t="shared" si="382"/>
        <v>0</v>
      </c>
      <c r="BK161" s="4152">
        <f t="shared" si="383"/>
        <v>0</v>
      </c>
    </row>
    <row r="162" spans="1:63" ht="20.25" customHeight="1" thickBot="1" x14ac:dyDescent="0.3">
      <c r="A162" s="90"/>
      <c r="B162" s="3840" t="s">
        <v>832</v>
      </c>
      <c r="C162" s="3835" t="s">
        <v>909</v>
      </c>
      <c r="D162" s="3810"/>
      <c r="E162" s="147"/>
      <c r="F162" s="147"/>
      <c r="G162" s="147"/>
      <c r="H162" s="147">
        <v>245.6</v>
      </c>
      <c r="I162" s="349"/>
      <c r="J162" s="7310">
        <f t="shared" si="384"/>
        <v>245.6</v>
      </c>
      <c r="K162" s="147"/>
      <c r="L162" s="147">
        <v>61.04</v>
      </c>
      <c r="M162" s="586"/>
      <c r="N162" s="7301">
        <f t="shared" si="385"/>
        <v>306.64</v>
      </c>
      <c r="O162" s="147"/>
      <c r="P162" s="147"/>
      <c r="Q162" s="349"/>
      <c r="R162" s="7310">
        <f t="shared" si="386"/>
        <v>306.64</v>
      </c>
      <c r="S162" s="147"/>
      <c r="T162" s="147"/>
      <c r="U162" s="349"/>
      <c r="V162" s="7310">
        <f t="shared" si="387"/>
        <v>306.64</v>
      </c>
      <c r="W162" s="147"/>
      <c r="X162" s="147"/>
      <c r="Y162" s="586"/>
      <c r="Z162" s="7301">
        <f t="shared" si="388"/>
        <v>0</v>
      </c>
      <c r="AA162" s="975"/>
      <c r="AB162" s="7302">
        <f t="shared" si="389"/>
        <v>306.64</v>
      </c>
      <c r="AC162" s="147"/>
      <c r="AD162" s="147"/>
      <c r="AE162" s="349"/>
      <c r="AF162" s="7310">
        <f t="shared" si="390"/>
        <v>306.64</v>
      </c>
      <c r="AG162" s="147"/>
      <c r="AH162" s="147">
        <v>122.4</v>
      </c>
      <c r="AI162" s="349"/>
      <c r="AJ162" s="349">
        <f t="shared" si="367"/>
        <v>429.03999999999996</v>
      </c>
      <c r="AK162" s="147"/>
      <c r="AL162" s="147"/>
      <c r="AM162" s="586"/>
      <c r="AN162" s="586">
        <f t="shared" si="368"/>
        <v>122.4</v>
      </c>
      <c r="AO162" s="349"/>
      <c r="AP162" s="349">
        <f t="shared" si="369"/>
        <v>429.03999999999996</v>
      </c>
      <c r="AQ162" s="147"/>
      <c r="AR162" s="147">
        <v>23.542999999999999</v>
      </c>
      <c r="AS162" s="349"/>
      <c r="AT162" s="41">
        <f t="shared" si="370"/>
        <v>452.58299999999997</v>
      </c>
      <c r="AU162" s="147"/>
      <c r="AV162" s="147"/>
      <c r="AW162" s="349"/>
      <c r="AX162" s="41">
        <f t="shared" si="371"/>
        <v>452.58299999999997</v>
      </c>
      <c r="AY162" s="147"/>
      <c r="AZ162" s="147"/>
      <c r="BA162" s="586"/>
      <c r="BB162" s="586">
        <f t="shared" si="372"/>
        <v>23.542999999999999</v>
      </c>
      <c r="BC162" s="975"/>
      <c r="BD162" s="7302">
        <f t="shared" si="373"/>
        <v>145.94300000000001</v>
      </c>
      <c r="BE162" s="799"/>
      <c r="BF162" s="41">
        <f t="shared" si="374"/>
        <v>452.58299999999997</v>
      </c>
      <c r="BG162" s="4152">
        <f t="shared" si="380"/>
        <v>0</v>
      </c>
      <c r="BH162" s="4152">
        <f t="shared" si="381"/>
        <v>0</v>
      </c>
      <c r="BI162" s="4152"/>
      <c r="BJ162" s="4152">
        <f t="shared" si="382"/>
        <v>0</v>
      </c>
      <c r="BK162" s="4152">
        <f t="shared" si="383"/>
        <v>0</v>
      </c>
    </row>
    <row r="163" spans="1:63" ht="15.75" thickBot="1" x14ac:dyDescent="0.3">
      <c r="A163" s="90"/>
      <c r="B163" s="3843" t="s">
        <v>832</v>
      </c>
      <c r="C163" s="3836" t="s">
        <v>845</v>
      </c>
      <c r="D163" s="3815"/>
      <c r="E163" s="3805"/>
      <c r="F163" s="1819">
        <v>1047.8</v>
      </c>
      <c r="G163" s="3805"/>
      <c r="H163" s="1819">
        <v>125.42</v>
      </c>
      <c r="I163" s="799"/>
      <c r="J163" s="7310">
        <f t="shared" si="384"/>
        <v>1173.22</v>
      </c>
      <c r="K163" s="3805"/>
      <c r="L163" s="1819">
        <v>370.84000000000003</v>
      </c>
      <c r="M163" s="848"/>
      <c r="N163" s="7301">
        <f t="shared" si="385"/>
        <v>1544.06</v>
      </c>
      <c r="O163" s="3805"/>
      <c r="P163" s="1819">
        <v>727.42000000000007</v>
      </c>
      <c r="Q163" s="799"/>
      <c r="R163" s="7310">
        <f t="shared" si="386"/>
        <v>2271.48</v>
      </c>
      <c r="S163" s="3805"/>
      <c r="T163" s="1819">
        <v>437.34000000000003</v>
      </c>
      <c r="U163" s="799"/>
      <c r="V163" s="7310">
        <f t="shared" si="387"/>
        <v>2708.82</v>
      </c>
      <c r="W163" s="3805"/>
      <c r="X163" s="1819">
        <v>495.94000000000005</v>
      </c>
      <c r="Y163" s="848"/>
      <c r="Z163" s="7301">
        <f t="shared" si="388"/>
        <v>1660.7000000000003</v>
      </c>
      <c r="AA163" s="4498"/>
      <c r="AB163" s="7302">
        <f t="shared" si="389"/>
        <v>3204.76</v>
      </c>
      <c r="AC163" s="3805"/>
      <c r="AD163" s="1819">
        <v>485.12</v>
      </c>
      <c r="AE163" s="799"/>
      <c r="AF163" s="7310">
        <f t="shared" si="390"/>
        <v>3689.88</v>
      </c>
      <c r="AG163" s="3805"/>
      <c r="AH163" s="1819">
        <v>557.9</v>
      </c>
      <c r="AI163" s="799"/>
      <c r="AJ163" s="349">
        <f t="shared" si="367"/>
        <v>4247.78</v>
      </c>
      <c r="AK163" s="3805"/>
      <c r="AL163" s="1819">
        <v>605.07999999999993</v>
      </c>
      <c r="AM163" s="848"/>
      <c r="AN163" s="586">
        <f t="shared" si="368"/>
        <v>1648.1</v>
      </c>
      <c r="AO163" s="799"/>
      <c r="AP163" s="349">
        <f t="shared" si="369"/>
        <v>4852.8599999999997</v>
      </c>
      <c r="AQ163" s="3805"/>
      <c r="AR163" s="1819">
        <v>1055.46</v>
      </c>
      <c r="AS163" s="799"/>
      <c r="AT163" s="41">
        <f t="shared" si="370"/>
        <v>5908.32</v>
      </c>
      <c r="AU163" s="3805"/>
      <c r="AV163" s="1819">
        <v>1163.92</v>
      </c>
      <c r="AW163" s="799"/>
      <c r="AX163" s="41">
        <f t="shared" si="371"/>
        <v>7072.24</v>
      </c>
      <c r="AY163" s="3805"/>
      <c r="AZ163" s="1819">
        <v>683.5</v>
      </c>
      <c r="BA163" s="848"/>
      <c r="BB163" s="586">
        <f t="shared" si="372"/>
        <v>2902.88</v>
      </c>
      <c r="BC163" s="4498"/>
      <c r="BD163" s="7302">
        <f t="shared" si="373"/>
        <v>4550.9799999999996</v>
      </c>
      <c r="BE163" s="799"/>
      <c r="BF163" s="41">
        <f t="shared" si="374"/>
        <v>7755.74</v>
      </c>
      <c r="BG163" s="4152">
        <f t="shared" si="380"/>
        <v>0</v>
      </c>
      <c r="BH163" s="4152">
        <f t="shared" si="381"/>
        <v>0</v>
      </c>
      <c r="BI163" s="4152"/>
      <c r="BJ163" s="4152">
        <f t="shared" si="382"/>
        <v>0</v>
      </c>
      <c r="BK163" s="4152">
        <f t="shared" si="383"/>
        <v>0</v>
      </c>
    </row>
    <row r="164" spans="1:63" ht="15.75" thickBot="1" x14ac:dyDescent="0.3">
      <c r="A164" s="90"/>
      <c r="B164" s="3843" t="s">
        <v>832</v>
      </c>
      <c r="C164" s="3836" t="s">
        <v>1104</v>
      </c>
      <c r="D164" s="148"/>
      <c r="E164" s="148"/>
      <c r="F164" s="1819">
        <v>191.52</v>
      </c>
      <c r="G164" s="5564"/>
      <c r="H164" s="1819">
        <v>316.74</v>
      </c>
      <c r="I164" s="7312"/>
      <c r="J164" s="7310">
        <f t="shared" si="384"/>
        <v>508.26</v>
      </c>
      <c r="K164" s="5676"/>
      <c r="L164" s="1819">
        <v>570.52</v>
      </c>
      <c r="M164" s="7304"/>
      <c r="N164" s="7301">
        <f t="shared" si="385"/>
        <v>1078.78</v>
      </c>
      <c r="O164" s="5831"/>
      <c r="P164" s="1819">
        <v>258.86</v>
      </c>
      <c r="Q164" s="7312"/>
      <c r="R164" s="7310">
        <f t="shared" si="386"/>
        <v>1337.6399999999999</v>
      </c>
      <c r="S164" s="5889"/>
      <c r="T164" s="1819">
        <v>576.0200000000001</v>
      </c>
      <c r="U164" s="7312"/>
      <c r="V164" s="7310">
        <f t="shared" si="387"/>
        <v>1913.6599999999999</v>
      </c>
      <c r="W164" s="6002"/>
      <c r="X164" s="1819"/>
      <c r="Y164" s="7304"/>
      <c r="Z164" s="7301">
        <f t="shared" si="388"/>
        <v>834.88000000000011</v>
      </c>
      <c r="AA164" s="7323"/>
      <c r="AB164" s="7302">
        <f t="shared" si="389"/>
        <v>1913.66</v>
      </c>
      <c r="AC164" s="6133"/>
      <c r="AD164" s="1819">
        <v>191.62</v>
      </c>
      <c r="AE164" s="7312"/>
      <c r="AF164" s="7310">
        <f t="shared" si="390"/>
        <v>2105.2800000000002</v>
      </c>
      <c r="AG164" s="6295"/>
      <c r="AH164" s="1819"/>
      <c r="AI164" s="7312"/>
      <c r="AJ164" s="349">
        <f t="shared" si="367"/>
        <v>2105.2800000000002</v>
      </c>
      <c r="AK164" s="6545"/>
      <c r="AL164" s="1819">
        <v>445.49999999999994</v>
      </c>
      <c r="AM164" s="7304"/>
      <c r="AN164" s="586">
        <f t="shared" si="368"/>
        <v>637.11999999999989</v>
      </c>
      <c r="AO164" s="7312"/>
      <c r="AP164" s="349">
        <f t="shared" si="369"/>
        <v>2550.7800000000002</v>
      </c>
      <c r="AQ164" s="6639"/>
      <c r="AR164" s="1819">
        <v>327.3</v>
      </c>
      <c r="AS164" s="7312"/>
      <c r="AT164" s="41">
        <f t="shared" si="370"/>
        <v>2878.0800000000004</v>
      </c>
      <c r="AU164" s="6811"/>
      <c r="AV164" s="1819">
        <v>65.22</v>
      </c>
      <c r="AW164" s="7312"/>
      <c r="AX164" s="41">
        <f t="shared" si="371"/>
        <v>2943.3</v>
      </c>
      <c r="AY164" s="6953"/>
      <c r="AZ164" s="1819">
        <v>332.86</v>
      </c>
      <c r="BA164" s="7304"/>
      <c r="BB164" s="586">
        <f t="shared" si="372"/>
        <v>725.38</v>
      </c>
      <c r="BC164" s="7323"/>
      <c r="BD164" s="7302">
        <f t="shared" si="373"/>
        <v>1362.5</v>
      </c>
      <c r="BE164" s="799"/>
      <c r="BF164" s="41">
        <f t="shared" si="374"/>
        <v>3276.1600000000003</v>
      </c>
      <c r="BG164" s="4152">
        <f t="shared" si="380"/>
        <v>0</v>
      </c>
      <c r="BH164" s="4152">
        <f t="shared" si="381"/>
        <v>0</v>
      </c>
      <c r="BI164" s="4152"/>
      <c r="BJ164" s="4152">
        <f t="shared" si="382"/>
        <v>0</v>
      </c>
      <c r="BK164" s="4152">
        <f t="shared" si="383"/>
        <v>0</v>
      </c>
    </row>
    <row r="165" spans="1:63" s="5140" customFormat="1" ht="15.75" customHeight="1" thickBot="1" x14ac:dyDescent="0.3">
      <c r="A165" s="90"/>
      <c r="B165" s="5145" t="s">
        <v>832</v>
      </c>
      <c r="C165" s="5146" t="s">
        <v>1851</v>
      </c>
      <c r="D165" s="5147"/>
      <c r="E165" s="5147"/>
      <c r="F165" s="5118"/>
      <c r="G165" s="5565"/>
      <c r="H165" s="5118">
        <v>189.16000000000003</v>
      </c>
      <c r="I165" s="7314"/>
      <c r="J165" s="7310">
        <f t="shared" si="384"/>
        <v>189.16000000000003</v>
      </c>
      <c r="K165" s="5677"/>
      <c r="L165" s="5118"/>
      <c r="M165" s="7306"/>
      <c r="N165" s="7301">
        <f t="shared" si="385"/>
        <v>189.16000000000003</v>
      </c>
      <c r="O165" s="5834"/>
      <c r="P165" s="5118">
        <v>165.56</v>
      </c>
      <c r="Q165" s="7314"/>
      <c r="R165" s="7310">
        <f t="shared" si="386"/>
        <v>354.72</v>
      </c>
      <c r="S165" s="5890"/>
      <c r="T165" s="5118">
        <v>40.950000000000003</v>
      </c>
      <c r="U165" s="7314"/>
      <c r="V165" s="7310">
        <f t="shared" si="387"/>
        <v>395.67</v>
      </c>
      <c r="W165" s="6004"/>
      <c r="X165" s="5118"/>
      <c r="Y165" s="7306"/>
      <c r="Z165" s="7301">
        <f t="shared" si="388"/>
        <v>206.51</v>
      </c>
      <c r="AA165" s="6510"/>
      <c r="AB165" s="7302">
        <f t="shared" si="389"/>
        <v>395.67</v>
      </c>
      <c r="AC165" s="6135"/>
      <c r="AD165" s="5118"/>
      <c r="AE165" s="7314"/>
      <c r="AF165" s="7310">
        <f t="shared" si="390"/>
        <v>395.67</v>
      </c>
      <c r="AG165" s="6297"/>
      <c r="AH165" s="5118"/>
      <c r="AI165" s="7314"/>
      <c r="AJ165" s="349">
        <f t="shared" si="367"/>
        <v>395.67</v>
      </c>
      <c r="AK165" s="6546"/>
      <c r="AL165" s="5118"/>
      <c r="AM165" s="7306"/>
      <c r="AN165" s="586">
        <f t="shared" si="368"/>
        <v>0</v>
      </c>
      <c r="AO165" s="7314"/>
      <c r="AP165" s="349">
        <f t="shared" si="369"/>
        <v>395.67</v>
      </c>
      <c r="AQ165" s="6640"/>
      <c r="AR165" s="5118"/>
      <c r="AS165" s="7314"/>
      <c r="AT165" s="41">
        <f t="shared" si="370"/>
        <v>395.67</v>
      </c>
      <c r="AU165" s="6812"/>
      <c r="AV165" s="5118"/>
      <c r="AW165" s="7314"/>
      <c r="AX165" s="41">
        <f t="shared" si="371"/>
        <v>395.67</v>
      </c>
      <c r="AY165" s="6954"/>
      <c r="AZ165" s="5118"/>
      <c r="BA165" s="7306"/>
      <c r="BB165" s="586">
        <f t="shared" si="372"/>
        <v>0</v>
      </c>
      <c r="BC165" s="6510"/>
      <c r="BD165" s="7302">
        <f t="shared" si="373"/>
        <v>0</v>
      </c>
      <c r="BE165" s="799"/>
      <c r="BF165" s="41">
        <f t="shared" si="374"/>
        <v>395.67</v>
      </c>
      <c r="BG165" s="4152">
        <f t="shared" si="380"/>
        <v>0</v>
      </c>
      <c r="BH165" s="4152">
        <f t="shared" si="381"/>
        <v>0</v>
      </c>
      <c r="BI165" s="4152"/>
      <c r="BJ165" s="4152">
        <f t="shared" si="382"/>
        <v>0</v>
      </c>
      <c r="BK165" s="4152">
        <f t="shared" si="383"/>
        <v>0</v>
      </c>
    </row>
    <row r="166" spans="1:63" ht="15.75" customHeight="1" thickBot="1" x14ac:dyDescent="0.3">
      <c r="A166" s="90"/>
      <c r="B166" s="3843" t="s">
        <v>832</v>
      </c>
      <c r="C166" s="3836" t="s">
        <v>867</v>
      </c>
      <c r="D166" s="3836"/>
      <c r="E166" s="3805"/>
      <c r="F166" s="1819"/>
      <c r="G166" s="3805"/>
      <c r="H166" s="1819"/>
      <c r="I166" s="799"/>
      <c r="J166" s="7310">
        <f t="shared" si="384"/>
        <v>0</v>
      </c>
      <c r="K166" s="3805"/>
      <c r="L166" s="1819"/>
      <c r="M166" s="848"/>
      <c r="N166" s="7301">
        <f t="shared" si="385"/>
        <v>0</v>
      </c>
      <c r="O166" s="3805"/>
      <c r="P166" s="1819"/>
      <c r="Q166" s="799"/>
      <c r="R166" s="7310">
        <f t="shared" si="386"/>
        <v>0</v>
      </c>
      <c r="S166" s="3805"/>
      <c r="T166" s="1819"/>
      <c r="U166" s="799"/>
      <c r="V166" s="7310">
        <f t="shared" si="387"/>
        <v>0</v>
      </c>
      <c r="W166" s="3805"/>
      <c r="X166" s="1819"/>
      <c r="Y166" s="848"/>
      <c r="Z166" s="7301">
        <f t="shared" si="388"/>
        <v>0</v>
      </c>
      <c r="AA166" s="4498"/>
      <c r="AB166" s="7302">
        <f t="shared" si="389"/>
        <v>0</v>
      </c>
      <c r="AC166" s="3805"/>
      <c r="AD166" s="1819">
        <v>190.78</v>
      </c>
      <c r="AE166" s="799"/>
      <c r="AF166" s="7310">
        <f t="shared" si="390"/>
        <v>190.78</v>
      </c>
      <c r="AG166" s="3805"/>
      <c r="AH166" s="1819"/>
      <c r="AI166" s="799"/>
      <c r="AJ166" s="349">
        <f t="shared" si="367"/>
        <v>190.78</v>
      </c>
      <c r="AK166" s="3805"/>
      <c r="AL166" s="1819"/>
      <c r="AM166" s="848"/>
      <c r="AN166" s="586">
        <f t="shared" si="368"/>
        <v>190.78</v>
      </c>
      <c r="AO166" s="799"/>
      <c r="AP166" s="349">
        <f t="shared" si="369"/>
        <v>190.78</v>
      </c>
      <c r="AQ166" s="3805"/>
      <c r="AR166" s="1819"/>
      <c r="AS166" s="799"/>
      <c r="AT166" s="41">
        <f t="shared" si="370"/>
        <v>190.78</v>
      </c>
      <c r="AU166" s="3805"/>
      <c r="AV166" s="1819"/>
      <c r="AW166" s="799"/>
      <c r="AX166" s="41">
        <f t="shared" si="371"/>
        <v>190.78</v>
      </c>
      <c r="AY166" s="3805"/>
      <c r="AZ166" s="1819"/>
      <c r="BA166" s="848"/>
      <c r="BB166" s="586">
        <f t="shared" si="372"/>
        <v>0</v>
      </c>
      <c r="BC166" s="4498"/>
      <c r="BD166" s="7302">
        <f t="shared" si="373"/>
        <v>190.78</v>
      </c>
      <c r="BE166" s="799"/>
      <c r="BF166" s="41">
        <f t="shared" si="374"/>
        <v>190.78</v>
      </c>
      <c r="BG166" s="4152">
        <f t="shared" si="380"/>
        <v>0</v>
      </c>
      <c r="BH166" s="4152">
        <f t="shared" si="381"/>
        <v>0</v>
      </c>
      <c r="BI166" s="4152"/>
      <c r="BJ166" s="4152">
        <f t="shared" si="382"/>
        <v>0</v>
      </c>
      <c r="BK166" s="4152">
        <f t="shared" si="383"/>
        <v>0</v>
      </c>
    </row>
    <row r="167" spans="1:63" ht="15.75" thickBot="1" x14ac:dyDescent="0.3">
      <c r="A167" s="90"/>
      <c r="B167" s="3843" t="s">
        <v>832</v>
      </c>
      <c r="C167" s="3836" t="s">
        <v>955</v>
      </c>
      <c r="D167" s="3815"/>
      <c r="E167" s="3805"/>
      <c r="F167" s="1819">
        <v>238.66</v>
      </c>
      <c r="G167" s="3805"/>
      <c r="H167" s="1819"/>
      <c r="I167" s="799"/>
      <c r="J167" s="7310">
        <f t="shared" si="384"/>
        <v>238.66</v>
      </c>
      <c r="K167" s="3805"/>
      <c r="L167" s="1819">
        <v>185.56</v>
      </c>
      <c r="M167" s="848"/>
      <c r="N167" s="7301">
        <f t="shared" si="385"/>
        <v>424.22</v>
      </c>
      <c r="O167" s="3805"/>
      <c r="P167" s="1819">
        <v>112.96000000000001</v>
      </c>
      <c r="Q167" s="799"/>
      <c r="R167" s="7310">
        <f t="shared" si="386"/>
        <v>537.18000000000006</v>
      </c>
      <c r="S167" s="3805"/>
      <c r="T167" s="1819">
        <v>179.34</v>
      </c>
      <c r="U167" s="799"/>
      <c r="V167" s="7310">
        <f t="shared" si="387"/>
        <v>716.5200000000001</v>
      </c>
      <c r="W167" s="3805"/>
      <c r="X167" s="1819"/>
      <c r="Y167" s="848"/>
      <c r="Z167" s="7301">
        <f t="shared" si="388"/>
        <v>292.3</v>
      </c>
      <c r="AA167" s="4498"/>
      <c r="AB167" s="7302">
        <f t="shared" si="389"/>
        <v>716.52</v>
      </c>
      <c r="AC167" s="3805"/>
      <c r="AD167" s="1819">
        <v>54.48</v>
      </c>
      <c r="AE167" s="799"/>
      <c r="AF167" s="7310">
        <f t="shared" si="390"/>
        <v>771</v>
      </c>
      <c r="AG167" s="3805"/>
      <c r="AH167" s="1819">
        <v>852.52</v>
      </c>
      <c r="AI167" s="799"/>
      <c r="AJ167" s="349">
        <f t="shared" si="367"/>
        <v>1623.52</v>
      </c>
      <c r="AK167" s="3805"/>
      <c r="AL167" s="1819"/>
      <c r="AM167" s="848"/>
      <c r="AN167" s="586">
        <f t="shared" si="368"/>
        <v>907</v>
      </c>
      <c r="AO167" s="799"/>
      <c r="AP167" s="349">
        <f t="shared" si="369"/>
        <v>1623.52</v>
      </c>
      <c r="AQ167" s="3805"/>
      <c r="AR167" s="1819">
        <v>239.52</v>
      </c>
      <c r="AS167" s="799"/>
      <c r="AT167" s="41">
        <f t="shared" si="370"/>
        <v>1863.04</v>
      </c>
      <c r="AU167" s="3805"/>
      <c r="AV167" s="1819"/>
      <c r="AW167" s="799"/>
      <c r="AX167" s="41">
        <f t="shared" si="371"/>
        <v>1863.04</v>
      </c>
      <c r="AY167" s="3805"/>
      <c r="AZ167" s="1819"/>
      <c r="BA167" s="848"/>
      <c r="BB167" s="586">
        <f t="shared" ref="BB167:BB235" si="391">AR167+AV167+AZ167</f>
        <v>239.52</v>
      </c>
      <c r="BC167" s="4498"/>
      <c r="BD167" s="7302">
        <f t="shared" si="373"/>
        <v>1146.52</v>
      </c>
      <c r="BE167" s="799"/>
      <c r="BF167" s="41">
        <f t="shared" si="374"/>
        <v>1863.04</v>
      </c>
      <c r="BG167" s="4152">
        <f t="shared" si="380"/>
        <v>0</v>
      </c>
      <c r="BH167" s="4152">
        <f t="shared" si="381"/>
        <v>0</v>
      </c>
      <c r="BI167" s="4152"/>
      <c r="BJ167" s="4152">
        <f t="shared" si="382"/>
        <v>0</v>
      </c>
      <c r="BK167" s="4152">
        <f t="shared" si="383"/>
        <v>0</v>
      </c>
    </row>
    <row r="168" spans="1:63" s="4991" customFormat="1" ht="15.75" customHeight="1" thickBot="1" x14ac:dyDescent="0.3">
      <c r="A168" s="90"/>
      <c r="B168" s="3843" t="s">
        <v>832</v>
      </c>
      <c r="C168" s="4995" t="s">
        <v>864</v>
      </c>
      <c r="D168" s="4996"/>
      <c r="E168" s="4997"/>
      <c r="F168" s="4947"/>
      <c r="G168" s="4997"/>
      <c r="H168" s="4947"/>
      <c r="I168" s="4983"/>
      <c r="J168" s="7310">
        <f t="shared" si="384"/>
        <v>0</v>
      </c>
      <c r="K168" s="4997"/>
      <c r="L168" s="4947"/>
      <c r="M168" s="4984"/>
      <c r="N168" s="7301">
        <f t="shared" si="385"/>
        <v>0</v>
      </c>
      <c r="O168" s="4997"/>
      <c r="P168" s="4947"/>
      <c r="Q168" s="4983"/>
      <c r="R168" s="7310">
        <f t="shared" si="386"/>
        <v>0</v>
      </c>
      <c r="S168" s="4997"/>
      <c r="T168" s="4947"/>
      <c r="U168" s="4983"/>
      <c r="V168" s="7310">
        <f t="shared" si="387"/>
        <v>0</v>
      </c>
      <c r="W168" s="4997"/>
      <c r="X168" s="4947"/>
      <c r="Y168" s="4984"/>
      <c r="Z168" s="7301">
        <f t="shared" si="388"/>
        <v>0</v>
      </c>
      <c r="AA168" s="7392"/>
      <c r="AB168" s="7302">
        <f t="shared" si="389"/>
        <v>0</v>
      </c>
      <c r="AC168" s="4997"/>
      <c r="AD168" s="4947"/>
      <c r="AE168" s="4983"/>
      <c r="AF168" s="7310">
        <f t="shared" si="390"/>
        <v>0</v>
      </c>
      <c r="AG168" s="4997"/>
      <c r="AH168" s="4947"/>
      <c r="AI168" s="4983"/>
      <c r="AJ168" s="349"/>
      <c r="AK168" s="4997"/>
      <c r="AL168" s="4947"/>
      <c r="AM168" s="4984"/>
      <c r="AN168" s="586">
        <f t="shared" si="368"/>
        <v>0</v>
      </c>
      <c r="AO168" s="4983"/>
      <c r="AP168" s="349">
        <f t="shared" si="369"/>
        <v>0</v>
      </c>
      <c r="AQ168" s="4997"/>
      <c r="AR168" s="4947"/>
      <c r="AS168" s="4983"/>
      <c r="AT168" s="41">
        <f t="shared" si="370"/>
        <v>0</v>
      </c>
      <c r="AU168" s="4997"/>
      <c r="AV168" s="4947"/>
      <c r="AW168" s="4983"/>
      <c r="AX168" s="41">
        <f t="shared" si="371"/>
        <v>0</v>
      </c>
      <c r="AY168" s="4997"/>
      <c r="AZ168" s="4947"/>
      <c r="BA168" s="4984"/>
      <c r="BB168" s="586">
        <f t="shared" si="391"/>
        <v>0</v>
      </c>
      <c r="BC168" s="7392"/>
      <c r="BD168" s="7302">
        <f t="shared" si="373"/>
        <v>0</v>
      </c>
      <c r="BE168" s="799"/>
      <c r="BF168" s="41">
        <f t="shared" si="374"/>
        <v>0</v>
      </c>
      <c r="BG168" s="4152">
        <f t="shared" si="380"/>
        <v>0</v>
      </c>
      <c r="BH168" s="4152">
        <f t="shared" si="381"/>
        <v>0</v>
      </c>
      <c r="BI168" s="4152"/>
      <c r="BJ168" s="4152">
        <f t="shared" si="382"/>
        <v>0</v>
      </c>
      <c r="BK168" s="4152">
        <f t="shared" si="383"/>
        <v>0</v>
      </c>
    </row>
    <row r="169" spans="1:63" ht="15.75" thickBot="1" x14ac:dyDescent="0.3">
      <c r="A169" s="90"/>
      <c r="B169" s="3843" t="s">
        <v>832</v>
      </c>
      <c r="C169" s="3845" t="s">
        <v>1109</v>
      </c>
      <c r="D169" s="3846"/>
      <c r="E169" s="3669"/>
      <c r="F169" s="7613">
        <v>252.8</v>
      </c>
      <c r="G169" s="3669"/>
      <c r="H169" s="5575">
        <v>60.76</v>
      </c>
      <c r="I169" s="3166"/>
      <c r="J169" s="7310">
        <f t="shared" si="384"/>
        <v>313.56</v>
      </c>
      <c r="K169" s="3669"/>
      <c r="L169" s="5695"/>
      <c r="M169" s="3123"/>
      <c r="N169" s="7301">
        <f t="shared" si="385"/>
        <v>313.56</v>
      </c>
      <c r="O169" s="3669"/>
      <c r="P169" s="5857"/>
      <c r="Q169" s="3166"/>
      <c r="R169" s="7310">
        <f t="shared" si="386"/>
        <v>313.56</v>
      </c>
      <c r="S169" s="3669"/>
      <c r="T169" s="5902"/>
      <c r="U169" s="3166"/>
      <c r="V169" s="7310">
        <f t="shared" si="387"/>
        <v>313.56</v>
      </c>
      <c r="W169" s="3669"/>
      <c r="X169" s="6021">
        <v>125.14</v>
      </c>
      <c r="Y169" s="3123"/>
      <c r="Z169" s="7301">
        <f t="shared" si="388"/>
        <v>125.14</v>
      </c>
      <c r="AA169" s="4499"/>
      <c r="AB169" s="7302">
        <f t="shared" si="389"/>
        <v>438.7</v>
      </c>
      <c r="AC169" s="3669"/>
      <c r="AD169" s="6156">
        <v>181.57999999999998</v>
      </c>
      <c r="AE169" s="3166"/>
      <c r="AF169" s="7310">
        <f t="shared" si="390"/>
        <v>620.28</v>
      </c>
      <c r="AG169" s="3669"/>
      <c r="AH169" s="6318"/>
      <c r="AI169" s="3166"/>
      <c r="AJ169" s="349">
        <f t="shared" si="367"/>
        <v>620.28</v>
      </c>
      <c r="AK169" s="3669"/>
      <c r="AL169" s="6557">
        <v>120.66</v>
      </c>
      <c r="AM169" s="3123"/>
      <c r="AN169" s="586">
        <f t="shared" si="368"/>
        <v>302.24</v>
      </c>
      <c r="AO169" s="3166"/>
      <c r="AP169" s="349">
        <f t="shared" si="369"/>
        <v>740.93999999999994</v>
      </c>
      <c r="AQ169" s="3669"/>
      <c r="AR169" s="6657"/>
      <c r="AS169" s="3166"/>
      <c r="AT169" s="41">
        <f t="shared" si="370"/>
        <v>740.93999999999994</v>
      </c>
      <c r="AU169" s="3669"/>
      <c r="AV169" s="6822">
        <v>180.56</v>
      </c>
      <c r="AW169" s="3166"/>
      <c r="AX169" s="41">
        <f t="shared" si="371"/>
        <v>921.5</v>
      </c>
      <c r="AY169" s="3669"/>
      <c r="AZ169" s="6966">
        <v>553.96</v>
      </c>
      <c r="BA169" s="3123"/>
      <c r="BB169" s="586">
        <f t="shared" si="391"/>
        <v>734.52</v>
      </c>
      <c r="BC169" s="4499"/>
      <c r="BD169" s="7302">
        <f t="shared" si="373"/>
        <v>1036.76</v>
      </c>
      <c r="BE169" s="799"/>
      <c r="BF169" s="41">
        <f t="shared" si="374"/>
        <v>1475.46</v>
      </c>
      <c r="BG169" s="4152">
        <f t="shared" si="380"/>
        <v>0</v>
      </c>
      <c r="BH169" s="4152">
        <f t="shared" si="381"/>
        <v>0</v>
      </c>
      <c r="BI169" s="4152"/>
      <c r="BJ169" s="4152">
        <f t="shared" si="382"/>
        <v>0</v>
      </c>
      <c r="BK169" s="4152">
        <f t="shared" si="383"/>
        <v>0</v>
      </c>
    </row>
    <row r="170" spans="1:63" ht="15.75" customHeight="1" thickBot="1" x14ac:dyDescent="0.3">
      <c r="A170" s="90"/>
      <c r="B170" s="3843" t="s">
        <v>832</v>
      </c>
      <c r="C170" s="3836" t="s">
        <v>873</v>
      </c>
      <c r="D170" s="3815"/>
      <c r="E170" s="3805"/>
      <c r="F170" s="1819"/>
      <c r="G170" s="3805"/>
      <c r="H170" s="1819"/>
      <c r="I170" s="799"/>
      <c r="J170" s="7310">
        <f t="shared" si="384"/>
        <v>0</v>
      </c>
      <c r="K170" s="3805"/>
      <c r="L170" s="1819"/>
      <c r="M170" s="848"/>
      <c r="N170" s="7301">
        <f t="shared" si="385"/>
        <v>0</v>
      </c>
      <c r="O170" s="3805"/>
      <c r="P170" s="1819"/>
      <c r="Q170" s="799"/>
      <c r="R170" s="7310">
        <f t="shared" si="386"/>
        <v>0</v>
      </c>
      <c r="S170" s="3805"/>
      <c r="T170" s="1819"/>
      <c r="U170" s="799"/>
      <c r="V170" s="7310">
        <f t="shared" si="387"/>
        <v>0</v>
      </c>
      <c r="W170" s="3805"/>
      <c r="X170" s="1819"/>
      <c r="Y170" s="848"/>
      <c r="Z170" s="7301">
        <f t="shared" si="388"/>
        <v>0</v>
      </c>
      <c r="AA170" s="4498"/>
      <c r="AB170" s="7302">
        <f t="shared" si="389"/>
        <v>0</v>
      </c>
      <c r="AC170" s="3805"/>
      <c r="AD170" s="1819">
        <v>243.96</v>
      </c>
      <c r="AE170" s="799"/>
      <c r="AF170" s="7310">
        <f t="shared" si="390"/>
        <v>243.96</v>
      </c>
      <c r="AG170" s="3805"/>
      <c r="AH170" s="1819">
        <v>32.51</v>
      </c>
      <c r="AI170" s="799"/>
      <c r="AJ170" s="349">
        <f t="shared" si="367"/>
        <v>276.47000000000003</v>
      </c>
      <c r="AK170" s="3805"/>
      <c r="AL170" s="1819"/>
      <c r="AM170" s="848"/>
      <c r="AN170" s="586">
        <f t="shared" si="368"/>
        <v>276.47000000000003</v>
      </c>
      <c r="AO170" s="799"/>
      <c r="AP170" s="349">
        <f t="shared" si="369"/>
        <v>276.47000000000003</v>
      </c>
      <c r="AQ170" s="3805"/>
      <c r="AR170" s="1819"/>
      <c r="AS170" s="799"/>
      <c r="AT170" s="41">
        <f t="shared" si="370"/>
        <v>276.47000000000003</v>
      </c>
      <c r="AU170" s="3805"/>
      <c r="AV170" s="1819">
        <v>194.55</v>
      </c>
      <c r="AW170" s="799"/>
      <c r="AX170" s="41">
        <f t="shared" si="371"/>
        <v>471.02000000000004</v>
      </c>
      <c r="AY170" s="3805"/>
      <c r="AZ170" s="1819">
        <v>242.6</v>
      </c>
      <c r="BA170" s="848"/>
      <c r="BB170" s="586">
        <f t="shared" si="391"/>
        <v>437.15</v>
      </c>
      <c r="BC170" s="4498"/>
      <c r="BD170" s="7302">
        <f t="shared" si="373"/>
        <v>713.62</v>
      </c>
      <c r="BE170" s="799"/>
      <c r="BF170" s="41">
        <f t="shared" si="374"/>
        <v>713.62</v>
      </c>
      <c r="BG170" s="4152">
        <f t="shared" si="380"/>
        <v>0</v>
      </c>
      <c r="BH170" s="4152">
        <f t="shared" si="381"/>
        <v>0</v>
      </c>
      <c r="BI170" s="4152"/>
      <c r="BJ170" s="4152">
        <f t="shared" si="382"/>
        <v>0</v>
      </c>
      <c r="BK170" s="4152">
        <f t="shared" si="383"/>
        <v>0</v>
      </c>
    </row>
    <row r="171" spans="1:63" ht="15.75" thickBot="1" x14ac:dyDescent="0.3">
      <c r="A171" s="90"/>
      <c r="B171" s="3843" t="s">
        <v>832</v>
      </c>
      <c r="C171" s="3836" t="s">
        <v>1105</v>
      </c>
      <c r="D171" s="3815"/>
      <c r="E171" s="3805"/>
      <c r="F171" s="1819">
        <v>81.290000000000006</v>
      </c>
      <c r="G171" s="3805"/>
      <c r="H171" s="1819"/>
      <c r="I171" s="799"/>
      <c r="J171" s="7310">
        <f t="shared" si="384"/>
        <v>81.290000000000006</v>
      </c>
      <c r="K171" s="3805"/>
      <c r="L171" s="1819"/>
      <c r="M171" s="848"/>
      <c r="N171" s="7301">
        <f t="shared" si="385"/>
        <v>81.290000000000006</v>
      </c>
      <c r="O171" s="3805"/>
      <c r="P171" s="1819"/>
      <c r="Q171" s="799"/>
      <c r="R171" s="7310">
        <f t="shared" si="386"/>
        <v>81.290000000000006</v>
      </c>
      <c r="S171" s="3805"/>
      <c r="T171" s="1819"/>
      <c r="U171" s="799"/>
      <c r="V171" s="7310">
        <f t="shared" si="387"/>
        <v>81.290000000000006</v>
      </c>
      <c r="W171" s="3805"/>
      <c r="X171" s="1819"/>
      <c r="Y171" s="848"/>
      <c r="Z171" s="7301">
        <f t="shared" si="388"/>
        <v>0</v>
      </c>
      <c r="AA171" s="4498"/>
      <c r="AB171" s="7302">
        <f t="shared" si="389"/>
        <v>81.290000000000006</v>
      </c>
      <c r="AC171" s="3805"/>
      <c r="AD171" s="1819">
        <v>54.36</v>
      </c>
      <c r="AE171" s="799"/>
      <c r="AF171" s="7310">
        <f t="shared" si="390"/>
        <v>135.65</v>
      </c>
      <c r="AG171" s="3805"/>
      <c r="AH171" s="1819">
        <v>119.21</v>
      </c>
      <c r="AI171" s="799"/>
      <c r="AJ171" s="349">
        <f t="shared" si="367"/>
        <v>254.86</v>
      </c>
      <c r="AK171" s="3805"/>
      <c r="AL171" s="1819">
        <v>248.22</v>
      </c>
      <c r="AM171" s="848"/>
      <c r="AN171" s="586">
        <f t="shared" si="368"/>
        <v>421.78999999999996</v>
      </c>
      <c r="AO171" s="799"/>
      <c r="AP171" s="349">
        <f t="shared" si="369"/>
        <v>503.08000000000004</v>
      </c>
      <c r="AQ171" s="3805"/>
      <c r="AR171" s="1819"/>
      <c r="AS171" s="799"/>
      <c r="AT171" s="41">
        <f t="shared" si="370"/>
        <v>503.08000000000004</v>
      </c>
      <c r="AU171" s="3805"/>
      <c r="AV171" s="1819"/>
      <c r="AW171" s="799"/>
      <c r="AX171" s="41">
        <f t="shared" si="371"/>
        <v>503.08000000000004</v>
      </c>
      <c r="AY171" s="3805"/>
      <c r="AZ171" s="1819">
        <v>61.1</v>
      </c>
      <c r="BA171" s="848"/>
      <c r="BB171" s="586">
        <f t="shared" si="391"/>
        <v>61.1</v>
      </c>
      <c r="BC171" s="4498"/>
      <c r="BD171" s="7302">
        <f t="shared" si="373"/>
        <v>482.89</v>
      </c>
      <c r="BE171" s="799"/>
      <c r="BF171" s="41">
        <f t="shared" si="374"/>
        <v>564.18000000000006</v>
      </c>
      <c r="BG171" s="4152">
        <f t="shared" si="380"/>
        <v>0</v>
      </c>
      <c r="BH171" s="4152">
        <f t="shared" si="381"/>
        <v>0</v>
      </c>
      <c r="BI171" s="4152"/>
      <c r="BJ171" s="4152">
        <f t="shared" si="382"/>
        <v>0</v>
      </c>
      <c r="BK171" s="4152">
        <f t="shared" si="383"/>
        <v>0</v>
      </c>
    </row>
    <row r="172" spans="1:63" ht="15.75" customHeight="1" thickBot="1" x14ac:dyDescent="0.3">
      <c r="A172" s="90"/>
      <c r="B172" s="3843" t="s">
        <v>832</v>
      </c>
      <c r="C172" s="3845" t="s">
        <v>841</v>
      </c>
      <c r="D172" s="3846"/>
      <c r="E172" s="3669"/>
      <c r="F172" s="3790"/>
      <c r="G172" s="3669"/>
      <c r="H172" s="5575"/>
      <c r="I172" s="3166"/>
      <c r="J172" s="7310">
        <f t="shared" si="384"/>
        <v>0</v>
      </c>
      <c r="K172" s="3669"/>
      <c r="L172" s="5695"/>
      <c r="M172" s="3123"/>
      <c r="N172" s="7301">
        <f t="shared" si="385"/>
        <v>0</v>
      </c>
      <c r="O172" s="3669"/>
      <c r="P172" s="5857"/>
      <c r="Q172" s="3166"/>
      <c r="R172" s="7310">
        <f t="shared" si="386"/>
        <v>0</v>
      </c>
      <c r="S172" s="3669"/>
      <c r="T172" s="5902"/>
      <c r="U172" s="3166"/>
      <c r="V172" s="7310">
        <f t="shared" si="387"/>
        <v>0</v>
      </c>
      <c r="W172" s="3669"/>
      <c r="X172" s="6021"/>
      <c r="Y172" s="3123"/>
      <c r="Z172" s="7301">
        <f t="shared" si="388"/>
        <v>0</v>
      </c>
      <c r="AA172" s="4499"/>
      <c r="AB172" s="7302">
        <f t="shared" si="389"/>
        <v>0</v>
      </c>
      <c r="AC172" s="3669"/>
      <c r="AD172" s="6156"/>
      <c r="AE172" s="3166"/>
      <c r="AF172" s="7310">
        <f t="shared" si="390"/>
        <v>0</v>
      </c>
      <c r="AG172" s="3669"/>
      <c r="AH172" s="6318"/>
      <c r="AI172" s="3166"/>
      <c r="AJ172" s="349">
        <f t="shared" si="367"/>
        <v>0</v>
      </c>
      <c r="AK172" s="3669"/>
      <c r="AL172" s="6557"/>
      <c r="AM172" s="3123"/>
      <c r="AN172" s="586">
        <f t="shared" si="368"/>
        <v>0</v>
      </c>
      <c r="AO172" s="3166"/>
      <c r="AP172" s="349">
        <f t="shared" si="369"/>
        <v>0</v>
      </c>
      <c r="AQ172" s="3669"/>
      <c r="AR172" s="6657"/>
      <c r="AS172" s="3166"/>
      <c r="AT172" s="41">
        <f t="shared" si="370"/>
        <v>0</v>
      </c>
      <c r="AU172" s="3669"/>
      <c r="AV172" s="6822"/>
      <c r="AW172" s="3166"/>
      <c r="AX172" s="41">
        <f t="shared" si="371"/>
        <v>0</v>
      </c>
      <c r="AY172" s="3669"/>
      <c r="AZ172" s="6966"/>
      <c r="BA172" s="3123"/>
      <c r="BB172" s="586">
        <f t="shared" si="391"/>
        <v>0</v>
      </c>
      <c r="BC172" s="4499"/>
      <c r="BD172" s="7302">
        <f t="shared" si="373"/>
        <v>0</v>
      </c>
      <c r="BE172" s="799"/>
      <c r="BF172" s="41">
        <f t="shared" si="374"/>
        <v>0</v>
      </c>
      <c r="BG172" s="4152">
        <f t="shared" si="380"/>
        <v>0</v>
      </c>
      <c r="BH172" s="4152">
        <f t="shared" si="381"/>
        <v>0</v>
      </c>
      <c r="BI172" s="4152"/>
      <c r="BJ172" s="4152">
        <f t="shared" si="382"/>
        <v>0</v>
      </c>
      <c r="BK172" s="4152">
        <f t="shared" si="383"/>
        <v>0</v>
      </c>
    </row>
    <row r="173" spans="1:63" ht="15.75" customHeight="1" thickBot="1" x14ac:dyDescent="0.3">
      <c r="A173" s="144"/>
      <c r="B173" s="3843" t="s">
        <v>832</v>
      </c>
      <c r="C173" s="3836" t="s">
        <v>1239</v>
      </c>
      <c r="D173" s="3836"/>
      <c r="E173" s="3805"/>
      <c r="F173" s="1819"/>
      <c r="G173" s="3805"/>
      <c r="H173" s="1819"/>
      <c r="I173" s="799"/>
      <c r="J173" s="7310">
        <f t="shared" si="384"/>
        <v>0</v>
      </c>
      <c r="K173" s="3805"/>
      <c r="L173" s="1819"/>
      <c r="M173" s="848"/>
      <c r="N173" s="7301">
        <f t="shared" si="385"/>
        <v>0</v>
      </c>
      <c r="O173" s="3805"/>
      <c r="P173" s="1819"/>
      <c r="Q173" s="799"/>
      <c r="R173" s="7310">
        <f t="shared" si="386"/>
        <v>0</v>
      </c>
      <c r="S173" s="3805"/>
      <c r="T173" s="1819"/>
      <c r="U173" s="799"/>
      <c r="V173" s="7310">
        <f t="shared" si="387"/>
        <v>0</v>
      </c>
      <c r="W173" s="3805"/>
      <c r="X173" s="1819"/>
      <c r="Y173" s="848"/>
      <c r="Z173" s="7301">
        <f t="shared" si="388"/>
        <v>0</v>
      </c>
      <c r="AA173" s="4498"/>
      <c r="AB173" s="7302">
        <f t="shared" si="389"/>
        <v>0</v>
      </c>
      <c r="AC173" s="3805"/>
      <c r="AD173" s="1819"/>
      <c r="AE173" s="799"/>
      <c r="AF173" s="7310">
        <f t="shared" si="390"/>
        <v>0</v>
      </c>
      <c r="AG173" s="3805"/>
      <c r="AH173" s="1819"/>
      <c r="AI173" s="799"/>
      <c r="AJ173" s="349">
        <f t="shared" si="367"/>
        <v>0</v>
      </c>
      <c r="AK173" s="3805"/>
      <c r="AL173" s="1819"/>
      <c r="AM173" s="848"/>
      <c r="AN173" s="586">
        <f t="shared" si="368"/>
        <v>0</v>
      </c>
      <c r="AO173" s="799"/>
      <c r="AP173" s="349">
        <f t="shared" si="369"/>
        <v>0</v>
      </c>
      <c r="AQ173" s="3805"/>
      <c r="AR173" s="1819"/>
      <c r="AS173" s="799"/>
      <c r="AT173" s="41">
        <f t="shared" si="370"/>
        <v>0</v>
      </c>
      <c r="AU173" s="3805"/>
      <c r="AV173" s="1819"/>
      <c r="AW173" s="799"/>
      <c r="AX173" s="41">
        <f t="shared" si="371"/>
        <v>0</v>
      </c>
      <c r="AY173" s="3805"/>
      <c r="AZ173" s="1819"/>
      <c r="BA173" s="848"/>
      <c r="BB173" s="586">
        <f t="shared" si="391"/>
        <v>0</v>
      </c>
      <c r="BC173" s="4498"/>
      <c r="BD173" s="7302">
        <f t="shared" si="373"/>
        <v>0</v>
      </c>
      <c r="BE173" s="799"/>
      <c r="BF173" s="41">
        <f t="shared" si="374"/>
        <v>0</v>
      </c>
      <c r="BG173" s="4152">
        <f t="shared" si="380"/>
        <v>0</v>
      </c>
      <c r="BH173" s="4152">
        <f t="shared" si="381"/>
        <v>0</v>
      </c>
      <c r="BI173" s="4152"/>
      <c r="BJ173" s="4152">
        <f t="shared" si="382"/>
        <v>0</v>
      </c>
      <c r="BK173" s="4152">
        <f t="shared" si="383"/>
        <v>0</v>
      </c>
    </row>
    <row r="174" spans="1:63" ht="15.75" thickBot="1" x14ac:dyDescent="0.3">
      <c r="A174" s="144"/>
      <c r="B174" s="3843" t="s">
        <v>832</v>
      </c>
      <c r="C174" s="3845" t="s">
        <v>1107</v>
      </c>
      <c r="D174" s="3845"/>
      <c r="E174" s="3669"/>
      <c r="F174" s="3790"/>
      <c r="G174" s="3669"/>
      <c r="H174" s="5575">
        <v>63.56</v>
      </c>
      <c r="I174" s="3166"/>
      <c r="J174" s="7310">
        <f t="shared" si="384"/>
        <v>63.56</v>
      </c>
      <c r="K174" s="3669"/>
      <c r="L174" s="5695"/>
      <c r="M174" s="3123"/>
      <c r="N174" s="7301">
        <f t="shared" si="385"/>
        <v>63.56</v>
      </c>
      <c r="O174" s="3669"/>
      <c r="P174" s="5857">
        <v>63.74</v>
      </c>
      <c r="Q174" s="3166"/>
      <c r="R174" s="7310">
        <f t="shared" si="386"/>
        <v>127.30000000000001</v>
      </c>
      <c r="S174" s="3669"/>
      <c r="T174" s="5902">
        <v>125.97999999999999</v>
      </c>
      <c r="U174" s="3166"/>
      <c r="V174" s="7310">
        <f t="shared" si="387"/>
        <v>253.28</v>
      </c>
      <c r="W174" s="3669"/>
      <c r="X174" s="6021">
        <v>63.56</v>
      </c>
      <c r="Y174" s="3123"/>
      <c r="Z174" s="7301">
        <f t="shared" si="388"/>
        <v>253.28</v>
      </c>
      <c r="AA174" s="4499"/>
      <c r="AB174" s="7302">
        <f t="shared" si="389"/>
        <v>316.84000000000003</v>
      </c>
      <c r="AC174" s="3669"/>
      <c r="AD174" s="6156">
        <v>493.5</v>
      </c>
      <c r="AE174" s="3166"/>
      <c r="AF174" s="7310">
        <f t="shared" si="390"/>
        <v>810.34</v>
      </c>
      <c r="AG174" s="3669"/>
      <c r="AH174" s="6318"/>
      <c r="AI174" s="3166"/>
      <c r="AJ174" s="349">
        <f t="shared" si="367"/>
        <v>810.34</v>
      </c>
      <c r="AK174" s="3669"/>
      <c r="AL174" s="6557"/>
      <c r="AM174" s="3123"/>
      <c r="AN174" s="586">
        <f t="shared" si="368"/>
        <v>493.5</v>
      </c>
      <c r="AO174" s="3166"/>
      <c r="AP174" s="349">
        <f t="shared" si="369"/>
        <v>810.34</v>
      </c>
      <c r="AQ174" s="3669"/>
      <c r="AR174" s="6657"/>
      <c r="AS174" s="3166"/>
      <c r="AT174" s="41">
        <f t="shared" si="370"/>
        <v>810.34</v>
      </c>
      <c r="AU174" s="3669"/>
      <c r="AV174" s="6822"/>
      <c r="AW174" s="3166"/>
      <c r="AX174" s="41">
        <f t="shared" si="371"/>
        <v>810.34</v>
      </c>
      <c r="AY174" s="3669"/>
      <c r="AZ174" s="6966"/>
      <c r="BA174" s="3123"/>
      <c r="BB174" s="586">
        <f t="shared" si="391"/>
        <v>0</v>
      </c>
      <c r="BC174" s="4499"/>
      <c r="BD174" s="7302">
        <f t="shared" si="373"/>
        <v>493.5</v>
      </c>
      <c r="BE174" s="799"/>
      <c r="BF174" s="41">
        <f t="shared" si="374"/>
        <v>810.34</v>
      </c>
      <c r="BG174" s="4152">
        <f t="shared" si="380"/>
        <v>0</v>
      </c>
      <c r="BH174" s="4152">
        <f t="shared" si="381"/>
        <v>0</v>
      </c>
      <c r="BI174" s="4152"/>
      <c r="BJ174" s="4152">
        <f t="shared" si="382"/>
        <v>0</v>
      </c>
      <c r="BK174" s="4152">
        <f t="shared" si="383"/>
        <v>0</v>
      </c>
    </row>
    <row r="175" spans="1:63" ht="15.75" thickBot="1" x14ac:dyDescent="0.3">
      <c r="A175" s="144"/>
      <c r="B175" s="3843" t="s">
        <v>832</v>
      </c>
      <c r="C175" s="3836" t="s">
        <v>1108</v>
      </c>
      <c r="D175" s="3836"/>
      <c r="E175" s="3805"/>
      <c r="F175" s="1819">
        <v>1851.02</v>
      </c>
      <c r="G175" s="3805"/>
      <c r="H175" s="1819">
        <v>1727.8400000000001</v>
      </c>
      <c r="I175" s="799"/>
      <c r="J175" s="7310">
        <f t="shared" si="384"/>
        <v>3578.86</v>
      </c>
      <c r="K175" s="3805"/>
      <c r="L175" s="1819">
        <v>63.52</v>
      </c>
      <c r="M175" s="848"/>
      <c r="N175" s="7301">
        <f t="shared" si="385"/>
        <v>3642.38</v>
      </c>
      <c r="O175" s="3805"/>
      <c r="P175" s="1819">
        <v>571.64</v>
      </c>
      <c r="Q175" s="799"/>
      <c r="R175" s="7310">
        <f t="shared" si="386"/>
        <v>4214.0200000000004</v>
      </c>
      <c r="S175" s="3805"/>
      <c r="T175" s="1819">
        <v>697.56</v>
      </c>
      <c r="U175" s="799"/>
      <c r="V175" s="7310">
        <f t="shared" si="387"/>
        <v>4911.58</v>
      </c>
      <c r="W175" s="3805"/>
      <c r="X175" s="1819">
        <v>1329.6000000000001</v>
      </c>
      <c r="Y175" s="848"/>
      <c r="Z175" s="7301">
        <f t="shared" si="388"/>
        <v>2598.8000000000002</v>
      </c>
      <c r="AA175" s="4498"/>
      <c r="AB175" s="7302">
        <f t="shared" si="389"/>
        <v>6241.18</v>
      </c>
      <c r="AC175" s="3805"/>
      <c r="AD175" s="1819">
        <v>359.44</v>
      </c>
      <c r="AE175" s="799"/>
      <c r="AF175" s="7310">
        <f t="shared" si="390"/>
        <v>6600.62</v>
      </c>
      <c r="AG175" s="3805"/>
      <c r="AH175" s="1819">
        <v>1061.8200000000002</v>
      </c>
      <c r="AI175" s="799"/>
      <c r="AJ175" s="349">
        <f t="shared" si="367"/>
        <v>7662.4400000000005</v>
      </c>
      <c r="AK175" s="3805"/>
      <c r="AL175" s="1819">
        <v>1395.2400000000002</v>
      </c>
      <c r="AM175" s="848"/>
      <c r="AN175" s="586">
        <f t="shared" si="368"/>
        <v>2816.5000000000005</v>
      </c>
      <c r="AO175" s="799"/>
      <c r="AP175" s="349">
        <f t="shared" si="369"/>
        <v>9057.68</v>
      </c>
      <c r="AQ175" s="3805"/>
      <c r="AR175" s="1819">
        <v>909.65999999999985</v>
      </c>
      <c r="AS175" s="799"/>
      <c r="AT175" s="41">
        <f t="shared" si="370"/>
        <v>9967.34</v>
      </c>
      <c r="AU175" s="3805"/>
      <c r="AV175" s="1819">
        <v>1499.16</v>
      </c>
      <c r="AW175" s="799"/>
      <c r="AX175" s="41">
        <f t="shared" si="371"/>
        <v>11466.5</v>
      </c>
      <c r="AY175" s="3805"/>
      <c r="AZ175" s="1819">
        <v>3125.42</v>
      </c>
      <c r="BA175" s="848"/>
      <c r="BB175" s="586">
        <f t="shared" si="391"/>
        <v>5534.24</v>
      </c>
      <c r="BC175" s="4498"/>
      <c r="BD175" s="7302">
        <f t="shared" si="373"/>
        <v>8350.74</v>
      </c>
      <c r="BE175" s="799"/>
      <c r="BF175" s="41">
        <f t="shared" si="374"/>
        <v>14591.92</v>
      </c>
      <c r="BG175" s="4152">
        <f t="shared" si="380"/>
        <v>0</v>
      </c>
      <c r="BH175" s="4152">
        <f t="shared" si="381"/>
        <v>0</v>
      </c>
      <c r="BI175" s="4152"/>
      <c r="BJ175" s="4152">
        <f t="shared" si="382"/>
        <v>0</v>
      </c>
      <c r="BK175" s="4152">
        <f t="shared" si="383"/>
        <v>0</v>
      </c>
    </row>
    <row r="176" spans="1:63" ht="15.75" thickBot="1" x14ac:dyDescent="0.3">
      <c r="A176" s="90"/>
      <c r="B176" s="3843" t="s">
        <v>832</v>
      </c>
      <c r="C176" s="3836" t="s">
        <v>868</v>
      </c>
      <c r="D176" s="148"/>
      <c r="E176" s="148"/>
      <c r="F176" s="1819">
        <v>230.96</v>
      </c>
      <c r="G176" s="5564"/>
      <c r="H176" s="1819"/>
      <c r="I176" s="7312"/>
      <c r="J176" s="7310">
        <f t="shared" si="384"/>
        <v>230.96</v>
      </c>
      <c r="K176" s="5676"/>
      <c r="L176" s="1819"/>
      <c r="M176" s="7304"/>
      <c r="N176" s="7301">
        <f t="shared" si="385"/>
        <v>230.96</v>
      </c>
      <c r="O176" s="5831"/>
      <c r="P176" s="1819"/>
      <c r="Q176" s="7312"/>
      <c r="R176" s="7310">
        <f t="shared" si="386"/>
        <v>230.96</v>
      </c>
      <c r="S176" s="5889"/>
      <c r="T176" s="1819"/>
      <c r="U176" s="7312"/>
      <c r="V176" s="7310">
        <f t="shared" si="387"/>
        <v>230.96</v>
      </c>
      <c r="W176" s="6002"/>
      <c r="X176" s="1819"/>
      <c r="Y176" s="7304"/>
      <c r="Z176" s="7301">
        <f t="shared" si="388"/>
        <v>0</v>
      </c>
      <c r="AA176" s="7323"/>
      <c r="AB176" s="7302">
        <f t="shared" si="389"/>
        <v>230.96</v>
      </c>
      <c r="AC176" s="6133"/>
      <c r="AD176" s="1819">
        <v>62.56</v>
      </c>
      <c r="AE176" s="7312"/>
      <c r="AF176" s="7310">
        <f t="shared" si="390"/>
        <v>293.52</v>
      </c>
      <c r="AG176" s="6295"/>
      <c r="AH176" s="1819">
        <v>69.44</v>
      </c>
      <c r="AI176" s="7312"/>
      <c r="AJ176" s="349">
        <f t="shared" si="367"/>
        <v>362.96</v>
      </c>
      <c r="AK176" s="6545"/>
      <c r="AL176" s="1819">
        <v>66.2</v>
      </c>
      <c r="AM176" s="7304"/>
      <c r="AN176" s="586">
        <f t="shared" si="368"/>
        <v>198.2</v>
      </c>
      <c r="AO176" s="7312"/>
      <c r="AP176" s="349">
        <f t="shared" si="369"/>
        <v>429.15999999999997</v>
      </c>
      <c r="AQ176" s="6639"/>
      <c r="AR176" s="1819">
        <v>98.94</v>
      </c>
      <c r="AS176" s="7312"/>
      <c r="AT176" s="41">
        <f t="shared" si="370"/>
        <v>528.09999999999991</v>
      </c>
      <c r="AU176" s="6811"/>
      <c r="AV176" s="1819">
        <v>355.4</v>
      </c>
      <c r="AW176" s="7312"/>
      <c r="AX176" s="41">
        <f t="shared" si="371"/>
        <v>883.49999999999989</v>
      </c>
      <c r="AY176" s="6953"/>
      <c r="AZ176" s="1819">
        <v>190.74</v>
      </c>
      <c r="BA176" s="7304"/>
      <c r="BB176" s="586">
        <f t="shared" si="391"/>
        <v>645.07999999999993</v>
      </c>
      <c r="BC176" s="7323"/>
      <c r="BD176" s="7302">
        <f t="shared" si="373"/>
        <v>843.28</v>
      </c>
      <c r="BE176" s="7312"/>
      <c r="BF176" s="41">
        <f t="shared" si="374"/>
        <v>1074.2399999999998</v>
      </c>
      <c r="BG176" s="4152">
        <f t="shared" si="380"/>
        <v>0</v>
      </c>
      <c r="BH176" s="4152">
        <f t="shared" si="381"/>
        <v>0</v>
      </c>
      <c r="BI176" s="4152"/>
      <c r="BJ176" s="4152">
        <f t="shared" si="382"/>
        <v>0</v>
      </c>
      <c r="BK176" s="4152">
        <f t="shared" si="383"/>
        <v>0</v>
      </c>
    </row>
    <row r="177" spans="1:63" ht="15.75" thickBot="1" x14ac:dyDescent="0.3">
      <c r="A177" s="90"/>
      <c r="B177" s="3843" t="s">
        <v>832</v>
      </c>
      <c r="C177" s="3836" t="s">
        <v>846</v>
      </c>
      <c r="D177" s="3815"/>
      <c r="E177" s="3805"/>
      <c r="F177" s="1819">
        <v>15427.87</v>
      </c>
      <c r="G177" s="3805"/>
      <c r="H177" s="1819">
        <v>3683.9400000000005</v>
      </c>
      <c r="I177" s="799"/>
      <c r="J177" s="7310">
        <f t="shared" si="384"/>
        <v>19111.810000000001</v>
      </c>
      <c r="K177" s="3805"/>
      <c r="L177" s="1819">
        <v>5013.4799999999996</v>
      </c>
      <c r="M177" s="848"/>
      <c r="N177" s="7301">
        <f t="shared" si="385"/>
        <v>24125.29</v>
      </c>
      <c r="O177" s="3805"/>
      <c r="P177" s="1819">
        <v>5173.2400000000007</v>
      </c>
      <c r="Q177" s="799"/>
      <c r="R177" s="7310">
        <f t="shared" si="386"/>
        <v>29298.530000000002</v>
      </c>
      <c r="S177" s="3805"/>
      <c r="T177" s="1819">
        <v>5236.17</v>
      </c>
      <c r="U177" s="799"/>
      <c r="V177" s="7310">
        <f t="shared" si="387"/>
        <v>34534.700000000004</v>
      </c>
      <c r="W177" s="3805"/>
      <c r="X177" s="1819">
        <v>4863.4500000000007</v>
      </c>
      <c r="Y177" s="848"/>
      <c r="Z177" s="7301">
        <f t="shared" si="388"/>
        <v>15272.86</v>
      </c>
      <c r="AA177" s="4498"/>
      <c r="AB177" s="7302">
        <f t="shared" si="389"/>
        <v>39398.15</v>
      </c>
      <c r="AC177" s="3805"/>
      <c r="AD177" s="1819">
        <v>5230.3700000000008</v>
      </c>
      <c r="AE177" s="799"/>
      <c r="AF177" s="7310">
        <f t="shared" si="390"/>
        <v>44628.520000000004</v>
      </c>
      <c r="AG177" s="3805"/>
      <c r="AH177" s="1819">
        <v>7402.07</v>
      </c>
      <c r="AI177" s="799"/>
      <c r="AJ177" s="349">
        <f t="shared" si="367"/>
        <v>52030.590000000004</v>
      </c>
      <c r="AK177" s="3805"/>
      <c r="AL177" s="1819">
        <v>6901.8460000000005</v>
      </c>
      <c r="AM177" s="848"/>
      <c r="AN177" s="586">
        <f t="shared" si="368"/>
        <v>19534.286</v>
      </c>
      <c r="AO177" s="799"/>
      <c r="AP177" s="349">
        <f t="shared" si="369"/>
        <v>58932.436000000002</v>
      </c>
      <c r="AQ177" s="3805"/>
      <c r="AR177" s="1819">
        <v>7886.4199999999973</v>
      </c>
      <c r="AS177" s="799"/>
      <c r="AT177" s="41">
        <f t="shared" si="370"/>
        <v>66818.856</v>
      </c>
      <c r="AU177" s="3805"/>
      <c r="AV177" s="1819">
        <v>6622.9</v>
      </c>
      <c r="AW177" s="799"/>
      <c r="AX177" s="41">
        <f t="shared" si="371"/>
        <v>73441.755999999994</v>
      </c>
      <c r="AY177" s="3805"/>
      <c r="AZ177" s="1819">
        <v>11785.2</v>
      </c>
      <c r="BA177" s="848"/>
      <c r="BB177" s="586">
        <f t="shared" si="391"/>
        <v>26294.519999999997</v>
      </c>
      <c r="BC177" s="4498"/>
      <c r="BD177" s="7302">
        <f t="shared" si="373"/>
        <v>45828.805999999997</v>
      </c>
      <c r="BE177" s="799"/>
      <c r="BF177" s="41">
        <f t="shared" si="374"/>
        <v>85226.955999999991</v>
      </c>
      <c r="BG177" s="4152">
        <f t="shared" si="380"/>
        <v>0</v>
      </c>
      <c r="BH177" s="4152">
        <f t="shared" si="381"/>
        <v>0</v>
      </c>
      <c r="BI177" s="4152"/>
      <c r="BJ177" s="4152">
        <f t="shared" si="382"/>
        <v>0</v>
      </c>
      <c r="BK177" s="4152">
        <f t="shared" si="383"/>
        <v>0</v>
      </c>
    </row>
    <row r="178" spans="1:63" ht="15.75" thickBot="1" x14ac:dyDescent="0.3">
      <c r="A178" s="90"/>
      <c r="B178" s="3843" t="s">
        <v>832</v>
      </c>
      <c r="C178" s="3836" t="s">
        <v>1111</v>
      </c>
      <c r="D178" s="3815"/>
      <c r="E178" s="3805"/>
      <c r="F178" s="1819">
        <v>1263.18</v>
      </c>
      <c r="G178" s="3805"/>
      <c r="H178" s="1819">
        <v>1825.5500000000002</v>
      </c>
      <c r="I178" s="799"/>
      <c r="J178" s="7310">
        <f t="shared" si="384"/>
        <v>3088.7300000000005</v>
      </c>
      <c r="K178" s="3805"/>
      <c r="L178" s="1819">
        <v>804.63999999999987</v>
      </c>
      <c r="M178" s="848"/>
      <c r="N178" s="7301">
        <f t="shared" si="385"/>
        <v>3893.3700000000003</v>
      </c>
      <c r="O178" s="3805"/>
      <c r="P178" s="1819">
        <v>726.76</v>
      </c>
      <c r="Q178" s="799"/>
      <c r="R178" s="7310">
        <f t="shared" si="386"/>
        <v>4620.13</v>
      </c>
      <c r="S178" s="3805"/>
      <c r="T178" s="1819">
        <v>1447.2400000000002</v>
      </c>
      <c r="U178" s="799"/>
      <c r="V178" s="7310">
        <f t="shared" si="387"/>
        <v>6067.3700000000008</v>
      </c>
      <c r="W178" s="3805"/>
      <c r="X178" s="1819">
        <v>607.98</v>
      </c>
      <c r="Y178" s="848"/>
      <c r="Z178" s="7301">
        <f t="shared" si="388"/>
        <v>2781.98</v>
      </c>
      <c r="AA178" s="4498"/>
      <c r="AB178" s="7302">
        <f t="shared" si="389"/>
        <v>6675.35</v>
      </c>
      <c r="AC178" s="3805"/>
      <c r="AD178" s="1819">
        <v>645.38</v>
      </c>
      <c r="AE178" s="799"/>
      <c r="AF178" s="7310">
        <f t="shared" si="390"/>
        <v>7320.7300000000005</v>
      </c>
      <c r="AG178" s="3805"/>
      <c r="AH178" s="1819">
        <v>1190.8900000000001</v>
      </c>
      <c r="AI178" s="799"/>
      <c r="AJ178" s="349">
        <f t="shared" si="367"/>
        <v>8511.6200000000008</v>
      </c>
      <c r="AK178" s="3805"/>
      <c r="AL178" s="1819">
        <v>1350.73</v>
      </c>
      <c r="AM178" s="848"/>
      <c r="AN178" s="586">
        <f t="shared" si="368"/>
        <v>3187</v>
      </c>
      <c r="AO178" s="799"/>
      <c r="AP178" s="349">
        <f t="shared" si="369"/>
        <v>9862.35</v>
      </c>
      <c r="AQ178" s="3805"/>
      <c r="AR178" s="1819">
        <v>1369.48</v>
      </c>
      <c r="AS178" s="799"/>
      <c r="AT178" s="41">
        <f t="shared" si="370"/>
        <v>11231.83</v>
      </c>
      <c r="AU178" s="3805"/>
      <c r="AV178" s="1819">
        <v>973.2</v>
      </c>
      <c r="AW178" s="799"/>
      <c r="AX178" s="41">
        <f t="shared" si="371"/>
        <v>12205.03</v>
      </c>
      <c r="AY178" s="3805"/>
      <c r="AZ178" s="1819">
        <v>1757.38</v>
      </c>
      <c r="BA178" s="848"/>
      <c r="BB178" s="586">
        <f t="shared" si="391"/>
        <v>4100.0600000000004</v>
      </c>
      <c r="BC178" s="4498"/>
      <c r="BD178" s="7302">
        <f t="shared" si="373"/>
        <v>7287.06</v>
      </c>
      <c r="BE178" s="799"/>
      <c r="BF178" s="41">
        <f t="shared" si="374"/>
        <v>13962.41</v>
      </c>
      <c r="BG178" s="4152">
        <f t="shared" si="380"/>
        <v>0</v>
      </c>
      <c r="BH178" s="4152">
        <f t="shared" si="381"/>
        <v>0</v>
      </c>
      <c r="BI178" s="4152"/>
      <c r="BJ178" s="4152">
        <f t="shared" si="382"/>
        <v>0</v>
      </c>
      <c r="BK178" s="4152">
        <f t="shared" si="383"/>
        <v>0</v>
      </c>
    </row>
    <row r="179" spans="1:63" ht="15.75" customHeight="1" thickBot="1" x14ac:dyDescent="0.3">
      <c r="A179" s="90"/>
      <c r="B179" s="3840" t="s">
        <v>961</v>
      </c>
      <c r="C179" s="3835" t="s">
        <v>1107</v>
      </c>
      <c r="D179" s="3810"/>
      <c r="E179" s="3820"/>
      <c r="F179" s="147"/>
      <c r="G179" s="3820"/>
      <c r="H179" s="147"/>
      <c r="I179" s="3165"/>
      <c r="J179" s="7310">
        <f t="shared" si="384"/>
        <v>0</v>
      </c>
      <c r="K179" s="3820"/>
      <c r="L179" s="147"/>
      <c r="M179" s="3821"/>
      <c r="N179" s="7301">
        <f t="shared" si="385"/>
        <v>0</v>
      </c>
      <c r="O179" s="3820"/>
      <c r="P179" s="147"/>
      <c r="Q179" s="3165"/>
      <c r="R179" s="7310">
        <f t="shared" si="386"/>
        <v>0</v>
      </c>
      <c r="S179" s="3820"/>
      <c r="T179" s="147"/>
      <c r="U179" s="3165"/>
      <c r="V179" s="7310">
        <f t="shared" si="387"/>
        <v>0</v>
      </c>
      <c r="W179" s="3820"/>
      <c r="X179" s="147">
        <v>63.52</v>
      </c>
      <c r="Y179" s="3821"/>
      <c r="Z179" s="7301">
        <f t="shared" si="388"/>
        <v>63.52</v>
      </c>
      <c r="AA179" s="5363"/>
      <c r="AB179" s="7302">
        <f t="shared" si="389"/>
        <v>63.52</v>
      </c>
      <c r="AC179" s="3820"/>
      <c r="AD179" s="147"/>
      <c r="AE179" s="3165"/>
      <c r="AF179" s="7310">
        <f t="shared" si="390"/>
        <v>63.52</v>
      </c>
      <c r="AG179" s="3820"/>
      <c r="AH179" s="147"/>
      <c r="AI179" s="3165"/>
      <c r="AJ179" s="349">
        <f t="shared" si="367"/>
        <v>63.52</v>
      </c>
      <c r="AK179" s="3820"/>
      <c r="AL179" s="147"/>
      <c r="AM179" s="3821"/>
      <c r="AN179" s="586">
        <f t="shared" si="368"/>
        <v>0</v>
      </c>
      <c r="AO179" s="3165"/>
      <c r="AP179" s="349">
        <f t="shared" si="369"/>
        <v>63.52</v>
      </c>
      <c r="AQ179" s="3820"/>
      <c r="AR179" s="147"/>
      <c r="AS179" s="3165"/>
      <c r="AT179" s="41">
        <f t="shared" si="370"/>
        <v>63.52</v>
      </c>
      <c r="AU179" s="3820"/>
      <c r="AV179" s="147"/>
      <c r="AW179" s="3165"/>
      <c r="AX179" s="41">
        <f t="shared" si="371"/>
        <v>63.52</v>
      </c>
      <c r="AY179" s="3820"/>
      <c r="AZ179" s="147"/>
      <c r="BA179" s="3821"/>
      <c r="BB179" s="586">
        <f t="shared" si="391"/>
        <v>0</v>
      </c>
      <c r="BC179" s="5363"/>
      <c r="BD179" s="7302">
        <f t="shared" si="373"/>
        <v>0</v>
      </c>
      <c r="BE179" s="3165"/>
      <c r="BF179" s="41">
        <f t="shared" si="374"/>
        <v>63.52</v>
      </c>
      <c r="BG179" s="4152">
        <f t="shared" si="380"/>
        <v>0</v>
      </c>
      <c r="BH179" s="4152">
        <f t="shared" si="381"/>
        <v>0</v>
      </c>
      <c r="BI179" s="4152"/>
      <c r="BJ179" s="4152">
        <f t="shared" si="382"/>
        <v>0</v>
      </c>
      <c r="BK179" s="4152">
        <f t="shared" si="383"/>
        <v>0</v>
      </c>
    </row>
    <row r="180" spans="1:63" ht="15.75" customHeight="1" thickBot="1" x14ac:dyDescent="0.3">
      <c r="A180" s="90"/>
      <c r="B180" s="3843" t="s">
        <v>961</v>
      </c>
      <c r="C180" s="3836" t="s">
        <v>1104</v>
      </c>
      <c r="D180" s="3815"/>
      <c r="E180" s="3805"/>
      <c r="F180" s="1819"/>
      <c r="G180" s="3805"/>
      <c r="H180" s="1819"/>
      <c r="I180" s="799"/>
      <c r="J180" s="7310">
        <f t="shared" si="384"/>
        <v>0</v>
      </c>
      <c r="K180" s="3805"/>
      <c r="L180" s="1819"/>
      <c r="M180" s="848"/>
      <c r="N180" s="7301">
        <f t="shared" si="385"/>
        <v>0</v>
      </c>
      <c r="O180" s="3805"/>
      <c r="P180" s="1819"/>
      <c r="Q180" s="799"/>
      <c r="R180" s="7310">
        <f t="shared" si="386"/>
        <v>0</v>
      </c>
      <c r="S180" s="3805"/>
      <c r="T180" s="1819"/>
      <c r="U180" s="799"/>
      <c r="V180" s="7310">
        <f t="shared" si="387"/>
        <v>0</v>
      </c>
      <c r="W180" s="3805"/>
      <c r="X180" s="1819"/>
      <c r="Y180" s="848"/>
      <c r="Z180" s="7301">
        <f t="shared" si="388"/>
        <v>0</v>
      </c>
      <c r="AA180" s="4498"/>
      <c r="AB180" s="7302">
        <f t="shared" si="389"/>
        <v>0</v>
      </c>
      <c r="AC180" s="3805"/>
      <c r="AD180" s="1819"/>
      <c r="AE180" s="799"/>
      <c r="AF180" s="7310">
        <f t="shared" si="390"/>
        <v>0</v>
      </c>
      <c r="AG180" s="3805"/>
      <c r="AH180" s="1819"/>
      <c r="AI180" s="799"/>
      <c r="AJ180" s="349">
        <f t="shared" si="367"/>
        <v>0</v>
      </c>
      <c r="AK180" s="3805"/>
      <c r="AL180" s="1819"/>
      <c r="AM180" s="848"/>
      <c r="AN180" s="586">
        <f t="shared" si="368"/>
        <v>0</v>
      </c>
      <c r="AO180" s="799"/>
      <c r="AP180" s="349">
        <f t="shared" si="369"/>
        <v>0</v>
      </c>
      <c r="AQ180" s="3805"/>
      <c r="AR180" s="1819"/>
      <c r="AS180" s="799"/>
      <c r="AT180" s="41">
        <f t="shared" si="370"/>
        <v>0</v>
      </c>
      <c r="AU180" s="3805"/>
      <c r="AV180" s="1819"/>
      <c r="AW180" s="799"/>
      <c r="AX180" s="41">
        <f t="shared" si="371"/>
        <v>0</v>
      </c>
      <c r="AY180" s="3805"/>
      <c r="AZ180" s="1819"/>
      <c r="BA180" s="848"/>
      <c r="BB180" s="586">
        <f t="shared" si="391"/>
        <v>0</v>
      </c>
      <c r="BC180" s="4498"/>
      <c r="BD180" s="7302">
        <f t="shared" si="373"/>
        <v>0</v>
      </c>
      <c r="BE180" s="799"/>
      <c r="BF180" s="41">
        <f t="shared" si="374"/>
        <v>0</v>
      </c>
      <c r="BG180" s="4152">
        <f t="shared" si="380"/>
        <v>0</v>
      </c>
      <c r="BH180" s="4152">
        <f t="shared" si="381"/>
        <v>0</v>
      </c>
      <c r="BI180" s="4152"/>
      <c r="BJ180" s="4152">
        <f t="shared" si="382"/>
        <v>0</v>
      </c>
      <c r="BK180" s="4152">
        <f t="shared" si="383"/>
        <v>0</v>
      </c>
    </row>
    <row r="181" spans="1:63" ht="15.75" customHeight="1" thickBot="1" x14ac:dyDescent="0.3">
      <c r="A181" s="90"/>
      <c r="B181" s="3843" t="s">
        <v>961</v>
      </c>
      <c r="C181" s="3836" t="s">
        <v>846</v>
      </c>
      <c r="D181" s="3815"/>
      <c r="E181" s="3805"/>
      <c r="F181" s="1819"/>
      <c r="G181" s="3805"/>
      <c r="H181" s="1819"/>
      <c r="I181" s="799"/>
      <c r="J181" s="7310">
        <f t="shared" si="384"/>
        <v>0</v>
      </c>
      <c r="K181" s="3805"/>
      <c r="L181" s="1819"/>
      <c r="M181" s="848"/>
      <c r="N181" s="7301">
        <f t="shared" si="385"/>
        <v>0</v>
      </c>
      <c r="O181" s="3805"/>
      <c r="P181" s="1819"/>
      <c r="Q181" s="799"/>
      <c r="R181" s="7310">
        <f t="shared" si="386"/>
        <v>0</v>
      </c>
      <c r="S181" s="3805"/>
      <c r="T181" s="1819"/>
      <c r="U181" s="799"/>
      <c r="V181" s="7310">
        <f t="shared" si="387"/>
        <v>0</v>
      </c>
      <c r="W181" s="3805"/>
      <c r="X181" s="1819">
        <v>1443.08</v>
      </c>
      <c r="Y181" s="848"/>
      <c r="Z181" s="7301">
        <f t="shared" si="388"/>
        <v>1443.08</v>
      </c>
      <c r="AA181" s="4498"/>
      <c r="AB181" s="7302">
        <f t="shared" si="389"/>
        <v>1443.08</v>
      </c>
      <c r="AC181" s="3805"/>
      <c r="AD181" s="1819">
        <v>56.98</v>
      </c>
      <c r="AE181" s="799"/>
      <c r="AF181" s="7310">
        <f t="shared" si="390"/>
        <v>1500.06</v>
      </c>
      <c r="AG181" s="3805"/>
      <c r="AH181" s="1819"/>
      <c r="AI181" s="799"/>
      <c r="AJ181" s="349">
        <f t="shared" si="367"/>
        <v>1500.06</v>
      </c>
      <c r="AK181" s="3805"/>
      <c r="AL181" s="1819">
        <v>737.16000000000008</v>
      </c>
      <c r="AM181" s="848"/>
      <c r="AN181" s="586">
        <f t="shared" si="368"/>
        <v>794.1400000000001</v>
      </c>
      <c r="AO181" s="799"/>
      <c r="AP181" s="349">
        <f t="shared" si="369"/>
        <v>2237.2200000000003</v>
      </c>
      <c r="AQ181" s="3805"/>
      <c r="AR181" s="1819">
        <v>2110.48</v>
      </c>
      <c r="AS181" s="799"/>
      <c r="AT181" s="41">
        <f t="shared" si="370"/>
        <v>4347.7000000000007</v>
      </c>
      <c r="AU181" s="3805"/>
      <c r="AV181" s="1819"/>
      <c r="AW181" s="799"/>
      <c r="AX181" s="41">
        <f t="shared" si="371"/>
        <v>4347.7000000000007</v>
      </c>
      <c r="AY181" s="3805"/>
      <c r="AZ181" s="1819"/>
      <c r="BA181" s="848"/>
      <c r="BB181" s="586">
        <f t="shared" si="391"/>
        <v>2110.48</v>
      </c>
      <c r="BC181" s="4498"/>
      <c r="BD181" s="7302">
        <f t="shared" si="373"/>
        <v>2904.62</v>
      </c>
      <c r="BE181" s="799"/>
      <c r="BF181" s="41">
        <f t="shared" si="374"/>
        <v>4347.7000000000007</v>
      </c>
      <c r="BG181" s="4152">
        <f t="shared" si="380"/>
        <v>0</v>
      </c>
      <c r="BH181" s="4152">
        <f t="shared" si="381"/>
        <v>0</v>
      </c>
      <c r="BI181" s="4152"/>
      <c r="BJ181" s="4152">
        <f t="shared" si="382"/>
        <v>0</v>
      </c>
      <c r="BK181" s="4152">
        <f t="shared" si="383"/>
        <v>0</v>
      </c>
    </row>
    <row r="182" spans="1:63" s="6684" customFormat="1" ht="15.75" customHeight="1" thickBot="1" x14ac:dyDescent="0.3">
      <c r="A182" s="90"/>
      <c r="B182" s="3843" t="s">
        <v>961</v>
      </c>
      <c r="C182" s="6609" t="s">
        <v>1108</v>
      </c>
      <c r="D182" s="6688"/>
      <c r="E182" s="6689"/>
      <c r="F182" s="6365"/>
      <c r="G182" s="6689"/>
      <c r="H182" s="6365"/>
      <c r="I182" s="6690"/>
      <c r="J182" s="6366"/>
      <c r="K182" s="6689"/>
      <c r="L182" s="6365"/>
      <c r="M182" s="6691"/>
      <c r="N182" s="6367"/>
      <c r="O182" s="6689"/>
      <c r="P182" s="6365"/>
      <c r="Q182" s="6690"/>
      <c r="R182" s="6366"/>
      <c r="S182" s="6689"/>
      <c r="T182" s="6365"/>
      <c r="U182" s="6690"/>
      <c r="V182" s="6366"/>
      <c r="W182" s="6689"/>
      <c r="X182" s="6365"/>
      <c r="Y182" s="6691"/>
      <c r="Z182" s="6367"/>
      <c r="AA182" s="6894"/>
      <c r="AB182" s="6895"/>
      <c r="AC182" s="6689"/>
      <c r="AD182" s="6365"/>
      <c r="AE182" s="6690"/>
      <c r="AF182" s="6366"/>
      <c r="AG182" s="6689"/>
      <c r="AH182" s="6365"/>
      <c r="AI182" s="6690"/>
      <c r="AJ182" s="349"/>
      <c r="AK182" s="6689"/>
      <c r="AL182" s="6365"/>
      <c r="AM182" s="6691"/>
      <c r="AN182" s="586"/>
      <c r="AO182" s="6690"/>
      <c r="AP182" s="349"/>
      <c r="AQ182" s="6689"/>
      <c r="AR182" s="6365">
        <v>725.96</v>
      </c>
      <c r="AS182" s="6690"/>
      <c r="AT182" s="41">
        <f t="shared" si="370"/>
        <v>725.96</v>
      </c>
      <c r="AU182" s="6689"/>
      <c r="AV182" s="6365"/>
      <c r="AW182" s="6690"/>
      <c r="AX182" s="41">
        <f t="shared" si="371"/>
        <v>725.96</v>
      </c>
      <c r="AY182" s="6689"/>
      <c r="AZ182" s="6365"/>
      <c r="BA182" s="6691"/>
      <c r="BB182" s="586">
        <f t="shared" si="391"/>
        <v>725.96</v>
      </c>
      <c r="BC182" s="6894"/>
      <c r="BD182" s="7302">
        <f t="shared" si="373"/>
        <v>725.96</v>
      </c>
      <c r="BE182" s="6690"/>
      <c r="BF182" s="41">
        <f t="shared" si="374"/>
        <v>725.96</v>
      </c>
      <c r="BG182" s="4152">
        <f t="shared" si="380"/>
        <v>0</v>
      </c>
      <c r="BH182" s="4152">
        <f t="shared" si="381"/>
        <v>0</v>
      </c>
      <c r="BI182" s="4152"/>
      <c r="BJ182" s="4152">
        <f t="shared" si="382"/>
        <v>0</v>
      </c>
      <c r="BK182" s="4152">
        <f t="shared" si="383"/>
        <v>0</v>
      </c>
    </row>
    <row r="183" spans="1:63" ht="15.75" customHeight="1" thickBot="1" x14ac:dyDescent="0.3">
      <c r="A183" s="90"/>
      <c r="B183" s="3843" t="s">
        <v>961</v>
      </c>
      <c r="C183" s="3836" t="s">
        <v>868</v>
      </c>
      <c r="D183" s="3815"/>
      <c r="E183" s="3805"/>
      <c r="F183" s="1819"/>
      <c r="G183" s="3805"/>
      <c r="H183" s="1819"/>
      <c r="I183" s="799"/>
      <c r="J183" s="7310">
        <f t="shared" si="384"/>
        <v>0</v>
      </c>
      <c r="K183" s="3805"/>
      <c r="L183" s="1819"/>
      <c r="M183" s="848"/>
      <c r="N183" s="7301">
        <f t="shared" si="385"/>
        <v>0</v>
      </c>
      <c r="O183" s="3805"/>
      <c r="P183" s="1819"/>
      <c r="Q183" s="799"/>
      <c r="R183" s="7310">
        <f t="shared" si="386"/>
        <v>0</v>
      </c>
      <c r="S183" s="3805"/>
      <c r="T183" s="1819"/>
      <c r="U183" s="799"/>
      <c r="V183" s="7310">
        <f t="shared" si="387"/>
        <v>0</v>
      </c>
      <c r="W183" s="3805"/>
      <c r="X183" s="1819"/>
      <c r="Y183" s="848"/>
      <c r="Z183" s="7301">
        <f t="shared" si="388"/>
        <v>0</v>
      </c>
      <c r="AA183" s="4498"/>
      <c r="AB183" s="7302">
        <f t="shared" si="389"/>
        <v>0</v>
      </c>
      <c r="AC183" s="3805"/>
      <c r="AD183" s="1819"/>
      <c r="AE183" s="799"/>
      <c r="AF183" s="7310">
        <f t="shared" si="390"/>
        <v>0</v>
      </c>
      <c r="AG183" s="3805"/>
      <c r="AH183" s="1819">
        <v>1007.34</v>
      </c>
      <c r="AI183" s="799"/>
      <c r="AJ183" s="349">
        <f t="shared" si="367"/>
        <v>1007.34</v>
      </c>
      <c r="AK183" s="3805"/>
      <c r="AL183" s="1819">
        <v>1646.4800000000002</v>
      </c>
      <c r="AM183" s="848"/>
      <c r="AN183" s="586">
        <f t="shared" si="368"/>
        <v>2653.82</v>
      </c>
      <c r="AO183" s="799"/>
      <c r="AP183" s="349">
        <f t="shared" si="369"/>
        <v>2653.82</v>
      </c>
      <c r="AQ183" s="3805"/>
      <c r="AR183" s="1819">
        <v>63.38</v>
      </c>
      <c r="AS183" s="799"/>
      <c r="AT183" s="41">
        <f t="shared" si="370"/>
        <v>2717.2000000000003</v>
      </c>
      <c r="AU183" s="3805"/>
      <c r="AV183" s="1819">
        <v>216.06</v>
      </c>
      <c r="AW183" s="799"/>
      <c r="AX183" s="41">
        <f t="shared" si="371"/>
        <v>2933.26</v>
      </c>
      <c r="AY183" s="3805"/>
      <c r="AZ183" s="1819"/>
      <c r="BA183" s="848"/>
      <c r="BB183" s="586">
        <f t="shared" si="391"/>
        <v>279.44</v>
      </c>
      <c r="BC183" s="4498"/>
      <c r="BD183" s="7302">
        <f t="shared" si="373"/>
        <v>2933.26</v>
      </c>
      <c r="BE183" s="799"/>
      <c r="BF183" s="41">
        <f t="shared" si="374"/>
        <v>2933.26</v>
      </c>
      <c r="BG183" s="4152">
        <f t="shared" si="380"/>
        <v>0</v>
      </c>
      <c r="BH183" s="4152">
        <f t="shared" si="381"/>
        <v>0</v>
      </c>
      <c r="BI183" s="4152"/>
      <c r="BJ183" s="4152">
        <f t="shared" si="382"/>
        <v>0</v>
      </c>
      <c r="BK183" s="4152">
        <f t="shared" si="383"/>
        <v>0</v>
      </c>
    </row>
    <row r="184" spans="1:63" ht="15.75" customHeight="1" thickBot="1" x14ac:dyDescent="0.3">
      <c r="A184" s="90"/>
      <c r="B184" s="3843" t="s">
        <v>961</v>
      </c>
      <c r="C184" s="3836" t="s">
        <v>873</v>
      </c>
      <c r="D184" s="3815"/>
      <c r="E184" s="3805"/>
      <c r="F184" s="1819"/>
      <c r="G184" s="3805"/>
      <c r="H184" s="1819"/>
      <c r="I184" s="799"/>
      <c r="J184" s="7310">
        <f t="shared" si="384"/>
        <v>0</v>
      </c>
      <c r="K184" s="3805"/>
      <c r="L184" s="1819"/>
      <c r="M184" s="848"/>
      <c r="N184" s="7301">
        <f t="shared" si="385"/>
        <v>0</v>
      </c>
      <c r="O184" s="3805"/>
      <c r="P184" s="1819"/>
      <c r="Q184" s="799"/>
      <c r="R184" s="7310">
        <f t="shared" si="386"/>
        <v>0</v>
      </c>
      <c r="S184" s="3805"/>
      <c r="T184" s="1819"/>
      <c r="U184" s="799"/>
      <c r="V184" s="7310">
        <f t="shared" si="387"/>
        <v>0</v>
      </c>
      <c r="W184" s="3805"/>
      <c r="X184" s="1819"/>
      <c r="Y184" s="848"/>
      <c r="Z184" s="7301">
        <f t="shared" si="388"/>
        <v>0</v>
      </c>
      <c r="AA184" s="4498"/>
      <c r="AB184" s="7302">
        <f t="shared" si="389"/>
        <v>0</v>
      </c>
      <c r="AC184" s="3805"/>
      <c r="AD184" s="1819"/>
      <c r="AE184" s="799"/>
      <c r="AF184" s="7310">
        <f t="shared" si="390"/>
        <v>0</v>
      </c>
      <c r="AG184" s="3805"/>
      <c r="AH184" s="1819">
        <v>20.52</v>
      </c>
      <c r="AI184" s="799"/>
      <c r="AJ184" s="349">
        <f t="shared" si="367"/>
        <v>20.52</v>
      </c>
      <c r="AK184" s="3805"/>
      <c r="AL184" s="1819"/>
      <c r="AM184" s="848"/>
      <c r="AN184" s="586">
        <f t="shared" si="368"/>
        <v>20.52</v>
      </c>
      <c r="AO184" s="799"/>
      <c r="AP184" s="349">
        <f t="shared" si="369"/>
        <v>20.52</v>
      </c>
      <c r="AQ184" s="3805"/>
      <c r="AR184" s="1819"/>
      <c r="AS184" s="799"/>
      <c r="AT184" s="41">
        <f t="shared" si="370"/>
        <v>20.52</v>
      </c>
      <c r="AU184" s="3805"/>
      <c r="AV184" s="1819"/>
      <c r="AW184" s="799"/>
      <c r="AX184" s="41">
        <f t="shared" si="371"/>
        <v>20.52</v>
      </c>
      <c r="AY184" s="3805"/>
      <c r="AZ184" s="1819"/>
      <c r="BA184" s="848"/>
      <c r="BB184" s="586">
        <f t="shared" si="391"/>
        <v>0</v>
      </c>
      <c r="BC184" s="4498"/>
      <c r="BD184" s="7302">
        <f t="shared" si="373"/>
        <v>20.52</v>
      </c>
      <c r="BE184" s="799"/>
      <c r="BF184" s="41">
        <f t="shared" si="374"/>
        <v>20.52</v>
      </c>
      <c r="BG184" s="4152">
        <f t="shared" si="380"/>
        <v>0</v>
      </c>
      <c r="BH184" s="4152">
        <f t="shared" si="381"/>
        <v>0</v>
      </c>
      <c r="BI184" s="4152"/>
      <c r="BJ184" s="4152">
        <f t="shared" si="382"/>
        <v>0</v>
      </c>
      <c r="BK184" s="4152">
        <f t="shared" si="383"/>
        <v>0</v>
      </c>
    </row>
    <row r="185" spans="1:63" ht="15.75" thickBot="1" x14ac:dyDescent="0.3">
      <c r="A185" s="90"/>
      <c r="B185" s="3843" t="s">
        <v>961</v>
      </c>
      <c r="C185" s="3847" t="s">
        <v>909</v>
      </c>
      <c r="D185" s="3848"/>
      <c r="E185" s="3849"/>
      <c r="F185" s="2656"/>
      <c r="G185" s="3849"/>
      <c r="H185" s="2656">
        <v>184.8</v>
      </c>
      <c r="I185" s="2657"/>
      <c r="J185" s="7310">
        <f t="shared" si="384"/>
        <v>184.8</v>
      </c>
      <c r="K185" s="3849"/>
      <c r="L185" s="2656"/>
      <c r="M185" s="2659"/>
      <c r="N185" s="7301">
        <f t="shared" si="385"/>
        <v>184.8</v>
      </c>
      <c r="O185" s="3849"/>
      <c r="P185" s="2656"/>
      <c r="Q185" s="2657"/>
      <c r="R185" s="7310">
        <f t="shared" si="386"/>
        <v>184.8</v>
      </c>
      <c r="S185" s="3849"/>
      <c r="T185" s="2656"/>
      <c r="U185" s="2657"/>
      <c r="V185" s="7310">
        <f t="shared" si="387"/>
        <v>184.8</v>
      </c>
      <c r="W185" s="3849"/>
      <c r="X185" s="2656"/>
      <c r="Y185" s="2659"/>
      <c r="Z185" s="7301">
        <f t="shared" si="388"/>
        <v>0</v>
      </c>
      <c r="AA185" s="4500"/>
      <c r="AB185" s="7302">
        <f t="shared" si="389"/>
        <v>184.8</v>
      </c>
      <c r="AC185" s="3849"/>
      <c r="AD185" s="2656"/>
      <c r="AE185" s="2657"/>
      <c r="AF185" s="7310">
        <f t="shared" si="390"/>
        <v>184.8</v>
      </c>
      <c r="AG185" s="3849"/>
      <c r="AH185" s="2656"/>
      <c r="AI185" s="2657"/>
      <c r="AJ185" s="349">
        <f t="shared" si="367"/>
        <v>184.8</v>
      </c>
      <c r="AK185" s="3849"/>
      <c r="AL185" s="2656"/>
      <c r="AM185" s="2659"/>
      <c r="AN185" s="586">
        <f t="shared" si="368"/>
        <v>0</v>
      </c>
      <c r="AO185" s="2657"/>
      <c r="AP185" s="349">
        <f t="shared" si="369"/>
        <v>184.8</v>
      </c>
      <c r="AQ185" s="3849"/>
      <c r="AR185" s="2656"/>
      <c r="AS185" s="2657"/>
      <c r="AT185" s="41">
        <f t="shared" si="370"/>
        <v>184.8</v>
      </c>
      <c r="AU185" s="3849"/>
      <c r="AV185" s="2656"/>
      <c r="AW185" s="2657"/>
      <c r="AX185" s="41">
        <f t="shared" si="371"/>
        <v>184.8</v>
      </c>
      <c r="AY185" s="3849"/>
      <c r="AZ185" s="2656"/>
      <c r="BA185" s="2659"/>
      <c r="BB185" s="586">
        <f t="shared" si="391"/>
        <v>0</v>
      </c>
      <c r="BC185" s="4500"/>
      <c r="BD185" s="7302">
        <f t="shared" si="373"/>
        <v>0</v>
      </c>
      <c r="BE185" s="2657"/>
      <c r="BF185" s="41">
        <f t="shared" si="374"/>
        <v>184.8</v>
      </c>
      <c r="BG185" s="4152">
        <f t="shared" si="380"/>
        <v>0</v>
      </c>
      <c r="BH185" s="4152">
        <f t="shared" si="381"/>
        <v>0</v>
      </c>
      <c r="BI185" s="4152"/>
      <c r="BJ185" s="4152">
        <f t="shared" si="382"/>
        <v>0</v>
      </c>
      <c r="BK185" s="4152">
        <f t="shared" si="383"/>
        <v>0</v>
      </c>
    </row>
    <row r="186" spans="1:63" ht="15.75" customHeight="1" thickBot="1" x14ac:dyDescent="0.3">
      <c r="A186" s="90"/>
      <c r="B186" s="3843" t="s">
        <v>961</v>
      </c>
      <c r="C186" s="3836" t="s">
        <v>868</v>
      </c>
      <c r="D186" s="148"/>
      <c r="E186" s="148"/>
      <c r="F186" s="1819"/>
      <c r="G186" s="5564"/>
      <c r="H186" s="1819"/>
      <c r="I186" s="7312"/>
      <c r="J186" s="7310">
        <f t="shared" si="384"/>
        <v>0</v>
      </c>
      <c r="K186" s="5676"/>
      <c r="L186" s="1819"/>
      <c r="M186" s="7304"/>
      <c r="N186" s="7301">
        <f t="shared" si="385"/>
        <v>0</v>
      </c>
      <c r="O186" s="5831"/>
      <c r="P186" s="1819"/>
      <c r="Q186" s="7312"/>
      <c r="R186" s="7310">
        <f t="shared" si="386"/>
        <v>0</v>
      </c>
      <c r="S186" s="5889"/>
      <c r="T186" s="1819"/>
      <c r="U186" s="7312"/>
      <c r="V186" s="7310">
        <f t="shared" si="387"/>
        <v>0</v>
      </c>
      <c r="W186" s="6002"/>
      <c r="X186" s="1819"/>
      <c r="Y186" s="7304"/>
      <c r="Z186" s="7301">
        <f t="shared" si="388"/>
        <v>0</v>
      </c>
      <c r="AA186" s="7323"/>
      <c r="AB186" s="7302">
        <f t="shared" si="389"/>
        <v>0</v>
      </c>
      <c r="AC186" s="6133"/>
      <c r="AD186" s="1819"/>
      <c r="AE186" s="7312"/>
      <c r="AF186" s="7310">
        <f t="shared" si="390"/>
        <v>0</v>
      </c>
      <c r="AG186" s="6295"/>
      <c r="AH186" s="1819"/>
      <c r="AI186" s="7312"/>
      <c r="AJ186" s="349">
        <f t="shared" si="367"/>
        <v>0</v>
      </c>
      <c r="AK186" s="6545"/>
      <c r="AL186" s="1819"/>
      <c r="AM186" s="7304"/>
      <c r="AN186" s="586">
        <f t="shared" si="368"/>
        <v>0</v>
      </c>
      <c r="AO186" s="7312"/>
      <c r="AP186" s="349">
        <f t="shared" si="369"/>
        <v>0</v>
      </c>
      <c r="AQ186" s="6639"/>
      <c r="AR186" s="1819"/>
      <c r="AS186" s="7312"/>
      <c r="AT186" s="41">
        <f t="shared" si="370"/>
        <v>0</v>
      </c>
      <c r="AU186" s="6811"/>
      <c r="AV186" s="1819"/>
      <c r="AW186" s="7312"/>
      <c r="AX186" s="41">
        <f t="shared" si="371"/>
        <v>0</v>
      </c>
      <c r="AY186" s="6953"/>
      <c r="AZ186" s="1819"/>
      <c r="BA186" s="7304"/>
      <c r="BB186" s="586">
        <f t="shared" si="391"/>
        <v>0</v>
      </c>
      <c r="BC186" s="7323"/>
      <c r="BD186" s="7302">
        <f t="shared" si="373"/>
        <v>0</v>
      </c>
      <c r="BE186" s="7312"/>
      <c r="BF186" s="41">
        <f t="shared" si="374"/>
        <v>0</v>
      </c>
      <c r="BG186" s="4152">
        <f t="shared" si="380"/>
        <v>0</v>
      </c>
      <c r="BH186" s="4152">
        <f t="shared" si="381"/>
        <v>0</v>
      </c>
      <c r="BI186" s="4152"/>
      <c r="BJ186" s="4152">
        <f t="shared" si="382"/>
        <v>0</v>
      </c>
      <c r="BK186" s="4152">
        <f t="shared" si="383"/>
        <v>0</v>
      </c>
    </row>
    <row r="187" spans="1:63" ht="15.75" customHeight="1" thickBot="1" x14ac:dyDescent="0.3">
      <c r="A187" s="90"/>
      <c r="B187" s="3843" t="s">
        <v>961</v>
      </c>
      <c r="C187" s="3836" t="s">
        <v>1108</v>
      </c>
      <c r="D187" s="148"/>
      <c r="E187" s="148"/>
      <c r="F187" s="1819"/>
      <c r="G187" s="5564"/>
      <c r="H187" s="1819"/>
      <c r="I187" s="7312"/>
      <c r="J187" s="7310">
        <f t="shared" si="384"/>
        <v>0</v>
      </c>
      <c r="K187" s="5676"/>
      <c r="L187" s="1819"/>
      <c r="M187" s="7304"/>
      <c r="N187" s="7301">
        <f t="shared" si="385"/>
        <v>0</v>
      </c>
      <c r="O187" s="5831"/>
      <c r="P187" s="1819"/>
      <c r="Q187" s="7312"/>
      <c r="R187" s="7310">
        <f t="shared" si="386"/>
        <v>0</v>
      </c>
      <c r="S187" s="5889"/>
      <c r="T187" s="1819"/>
      <c r="U187" s="7312"/>
      <c r="V187" s="7310">
        <f t="shared" si="387"/>
        <v>0</v>
      </c>
      <c r="W187" s="6002"/>
      <c r="X187" s="1819"/>
      <c r="Y187" s="7304"/>
      <c r="Z187" s="7301">
        <f t="shared" si="388"/>
        <v>0</v>
      </c>
      <c r="AA187" s="7323"/>
      <c r="AB187" s="7302">
        <f t="shared" si="389"/>
        <v>0</v>
      </c>
      <c r="AC187" s="6133"/>
      <c r="AD187" s="1819"/>
      <c r="AE187" s="7312"/>
      <c r="AF187" s="7310">
        <f t="shared" si="390"/>
        <v>0</v>
      </c>
      <c r="AG187" s="6295"/>
      <c r="AH187" s="1819"/>
      <c r="AI187" s="7312"/>
      <c r="AJ187" s="349">
        <f t="shared" si="367"/>
        <v>0</v>
      </c>
      <c r="AK187" s="6545"/>
      <c r="AL187" s="1819"/>
      <c r="AM187" s="7304"/>
      <c r="AN187" s="586">
        <f t="shared" si="368"/>
        <v>0</v>
      </c>
      <c r="AO187" s="7312"/>
      <c r="AP187" s="349">
        <f t="shared" si="369"/>
        <v>0</v>
      </c>
      <c r="AQ187" s="6639"/>
      <c r="AR187" s="1819"/>
      <c r="AS187" s="7312"/>
      <c r="AT187" s="41">
        <f t="shared" si="370"/>
        <v>0</v>
      </c>
      <c r="AU187" s="6811"/>
      <c r="AV187" s="1819"/>
      <c r="AW187" s="7312"/>
      <c r="AX187" s="41">
        <f t="shared" si="371"/>
        <v>0</v>
      </c>
      <c r="AY187" s="6953"/>
      <c r="AZ187" s="1819"/>
      <c r="BA187" s="7304"/>
      <c r="BB187" s="586">
        <f t="shared" si="391"/>
        <v>0</v>
      </c>
      <c r="BC187" s="7323"/>
      <c r="BD187" s="7302">
        <f t="shared" si="373"/>
        <v>0</v>
      </c>
      <c r="BE187" s="7312"/>
      <c r="BF187" s="41">
        <f t="shared" si="374"/>
        <v>0</v>
      </c>
      <c r="BG187" s="4152">
        <f t="shared" si="380"/>
        <v>0</v>
      </c>
      <c r="BH187" s="4152">
        <f t="shared" si="381"/>
        <v>0</v>
      </c>
      <c r="BI187" s="4152"/>
      <c r="BJ187" s="4152">
        <f t="shared" si="382"/>
        <v>0</v>
      </c>
      <c r="BK187" s="4152">
        <f t="shared" si="383"/>
        <v>0</v>
      </c>
    </row>
    <row r="188" spans="1:63" ht="15.75" customHeight="1" thickBot="1" x14ac:dyDescent="0.3">
      <c r="A188" s="90"/>
      <c r="B188" s="3844" t="s">
        <v>961</v>
      </c>
      <c r="C188" s="3839" t="s">
        <v>1111</v>
      </c>
      <c r="D188" s="839"/>
      <c r="E188" s="839"/>
      <c r="F188" s="105"/>
      <c r="G188" s="839"/>
      <c r="H188" s="105"/>
      <c r="I188" s="3640"/>
      <c r="J188" s="7310">
        <f t="shared" si="384"/>
        <v>0</v>
      </c>
      <c r="K188" s="839"/>
      <c r="L188" s="105"/>
      <c r="M188" s="3641"/>
      <c r="N188" s="7301">
        <f t="shared" si="385"/>
        <v>0</v>
      </c>
      <c r="O188" s="839"/>
      <c r="P188" s="105"/>
      <c r="Q188" s="3640"/>
      <c r="R188" s="7310">
        <f t="shared" si="386"/>
        <v>0</v>
      </c>
      <c r="S188" s="839"/>
      <c r="T188" s="105"/>
      <c r="U188" s="3640"/>
      <c r="V188" s="7310">
        <f t="shared" si="387"/>
        <v>0</v>
      </c>
      <c r="W188" s="839"/>
      <c r="X188" s="105"/>
      <c r="Y188" s="3641"/>
      <c r="Z188" s="7301">
        <f t="shared" si="388"/>
        <v>0</v>
      </c>
      <c r="AA188" s="7393"/>
      <c r="AB188" s="7302">
        <f t="shared" si="389"/>
        <v>0</v>
      </c>
      <c r="AC188" s="839"/>
      <c r="AD188" s="105"/>
      <c r="AE188" s="3640"/>
      <c r="AF188" s="7310">
        <f t="shared" si="390"/>
        <v>0</v>
      </c>
      <c r="AG188" s="839"/>
      <c r="AH188" s="105"/>
      <c r="AI188" s="3640"/>
      <c r="AJ188" s="349">
        <f t="shared" si="367"/>
        <v>0</v>
      </c>
      <c r="AK188" s="839"/>
      <c r="AL188" s="105"/>
      <c r="AM188" s="3641"/>
      <c r="AN188" s="586">
        <f t="shared" si="368"/>
        <v>0</v>
      </c>
      <c r="AO188" s="3640"/>
      <c r="AP188" s="349">
        <f t="shared" si="369"/>
        <v>0</v>
      </c>
      <c r="AQ188" s="839"/>
      <c r="AR188" s="105"/>
      <c r="AS188" s="3640"/>
      <c r="AT188" s="41">
        <f t="shared" si="370"/>
        <v>0</v>
      </c>
      <c r="AU188" s="839"/>
      <c r="AV188" s="105"/>
      <c r="AW188" s="3640"/>
      <c r="AX188" s="41">
        <f t="shared" si="371"/>
        <v>0</v>
      </c>
      <c r="AY188" s="839"/>
      <c r="AZ188" s="105"/>
      <c r="BA188" s="3641"/>
      <c r="BB188" s="586">
        <f t="shared" si="391"/>
        <v>0</v>
      </c>
      <c r="BC188" s="7393"/>
      <c r="BD188" s="7302">
        <f t="shared" si="373"/>
        <v>0</v>
      </c>
      <c r="BE188" s="3640"/>
      <c r="BF188" s="41">
        <f t="shared" si="374"/>
        <v>0</v>
      </c>
      <c r="BG188" s="4152">
        <f t="shared" si="380"/>
        <v>0</v>
      </c>
      <c r="BH188" s="4152">
        <f t="shared" si="381"/>
        <v>0</v>
      </c>
      <c r="BI188" s="4152"/>
      <c r="BJ188" s="4152">
        <f t="shared" si="382"/>
        <v>0</v>
      </c>
      <c r="BK188" s="4152">
        <f t="shared" si="383"/>
        <v>0</v>
      </c>
    </row>
    <row r="189" spans="1:63" ht="15.75" thickBot="1" x14ac:dyDescent="0.3">
      <c r="A189" s="112"/>
      <c r="B189" s="3840" t="s">
        <v>833</v>
      </c>
      <c r="C189" s="3835" t="s">
        <v>1109</v>
      </c>
      <c r="D189" s="3810"/>
      <c r="E189" s="3820"/>
      <c r="F189" s="147">
        <v>1580.74</v>
      </c>
      <c r="G189" s="3820"/>
      <c r="H189" s="147">
        <v>495.78</v>
      </c>
      <c r="I189" s="3165"/>
      <c r="J189" s="7310">
        <f t="shared" si="384"/>
        <v>2076.52</v>
      </c>
      <c r="K189" s="3820"/>
      <c r="L189" s="147">
        <v>363.68</v>
      </c>
      <c r="M189" s="3821"/>
      <c r="N189" s="7301">
        <f t="shared" si="385"/>
        <v>2440.1999999999998</v>
      </c>
      <c r="O189" s="3820"/>
      <c r="P189" s="147">
        <v>60.82</v>
      </c>
      <c r="Q189" s="3165"/>
      <c r="R189" s="7310">
        <f t="shared" si="386"/>
        <v>2501.02</v>
      </c>
      <c r="S189" s="3820"/>
      <c r="T189" s="147">
        <v>247.58</v>
      </c>
      <c r="U189" s="3165"/>
      <c r="V189" s="7310">
        <f t="shared" si="387"/>
        <v>2748.6</v>
      </c>
      <c r="W189" s="3820"/>
      <c r="X189" s="147">
        <v>58.24</v>
      </c>
      <c r="Y189" s="3821"/>
      <c r="Z189" s="7301">
        <f t="shared" si="388"/>
        <v>366.64000000000004</v>
      </c>
      <c r="AA189" s="5363"/>
      <c r="AB189" s="7302">
        <f t="shared" si="389"/>
        <v>2806.8399999999997</v>
      </c>
      <c r="AC189" s="3820"/>
      <c r="AD189" s="147">
        <v>732.2</v>
      </c>
      <c r="AE189" s="3165"/>
      <c r="AF189" s="7310">
        <f t="shared" si="390"/>
        <v>3539.04</v>
      </c>
      <c r="AG189" s="3820"/>
      <c r="AH189" s="147">
        <v>1737.6200000000001</v>
      </c>
      <c r="AI189" s="3165"/>
      <c r="AJ189" s="349">
        <f t="shared" si="367"/>
        <v>5276.66</v>
      </c>
      <c r="AK189" s="3820"/>
      <c r="AL189" s="147"/>
      <c r="AM189" s="3821"/>
      <c r="AN189" s="586">
        <f t="shared" si="368"/>
        <v>2469.8200000000002</v>
      </c>
      <c r="AO189" s="3165"/>
      <c r="AP189" s="349">
        <f t="shared" si="369"/>
        <v>5276.66</v>
      </c>
      <c r="AQ189" s="3820"/>
      <c r="AR189" s="147">
        <v>791.52</v>
      </c>
      <c r="AS189" s="3165"/>
      <c r="AT189" s="41">
        <f t="shared" si="370"/>
        <v>6068.18</v>
      </c>
      <c r="AU189" s="3820"/>
      <c r="AV189" s="147">
        <v>360.54</v>
      </c>
      <c r="AW189" s="3165"/>
      <c r="AX189" s="41">
        <f t="shared" si="371"/>
        <v>6428.72</v>
      </c>
      <c r="AY189" s="3820"/>
      <c r="AZ189" s="6966">
        <v>249.8</v>
      </c>
      <c r="BA189" s="3821"/>
      <c r="BB189" s="586">
        <f t="shared" si="391"/>
        <v>1401.86</v>
      </c>
      <c r="BC189" s="5363"/>
      <c r="BD189" s="7302">
        <f t="shared" si="373"/>
        <v>3871.6800000000003</v>
      </c>
      <c r="BE189" s="3165"/>
      <c r="BF189" s="41">
        <f t="shared" si="374"/>
        <v>6678.52</v>
      </c>
      <c r="BG189" s="4152">
        <f t="shared" si="380"/>
        <v>0</v>
      </c>
      <c r="BH189" s="4152">
        <f t="shared" si="381"/>
        <v>0</v>
      </c>
      <c r="BI189" s="4152"/>
      <c r="BJ189" s="4152">
        <f t="shared" si="382"/>
        <v>0</v>
      </c>
      <c r="BK189" s="4152">
        <f t="shared" si="383"/>
        <v>0</v>
      </c>
    </row>
    <row r="190" spans="1:63" s="4372" customFormat="1" ht="15.75" customHeight="1" thickBot="1" x14ac:dyDescent="0.3">
      <c r="A190" s="112"/>
      <c r="B190" s="3840" t="s">
        <v>833</v>
      </c>
      <c r="C190" s="3842" t="s">
        <v>1110</v>
      </c>
      <c r="D190" s="3823"/>
      <c r="E190" s="3824"/>
      <c r="F190" s="7612">
        <v>122.78</v>
      </c>
      <c r="G190" s="3824"/>
      <c r="H190" s="5574"/>
      <c r="I190" s="3825"/>
      <c r="J190" s="7310">
        <f t="shared" si="384"/>
        <v>122.78</v>
      </c>
      <c r="K190" s="3824"/>
      <c r="L190" s="5690"/>
      <c r="M190" s="3826"/>
      <c r="N190" s="7301">
        <f t="shared" si="385"/>
        <v>122.78</v>
      </c>
      <c r="O190" s="3824"/>
      <c r="P190" s="5855"/>
      <c r="Q190" s="3825"/>
      <c r="R190" s="7310">
        <f t="shared" si="386"/>
        <v>122.78</v>
      </c>
      <c r="S190" s="3824"/>
      <c r="T190" s="5898"/>
      <c r="U190" s="3825"/>
      <c r="V190" s="7310">
        <f t="shared" si="387"/>
        <v>122.78</v>
      </c>
      <c r="W190" s="3824"/>
      <c r="X190" s="6019"/>
      <c r="Y190" s="3826"/>
      <c r="Z190" s="7301">
        <f t="shared" si="388"/>
        <v>0</v>
      </c>
      <c r="AA190" s="7389"/>
      <c r="AB190" s="7302">
        <f t="shared" si="389"/>
        <v>122.78</v>
      </c>
      <c r="AC190" s="3824"/>
      <c r="AD190" s="6154"/>
      <c r="AE190" s="3825"/>
      <c r="AF190" s="7310">
        <f t="shared" si="390"/>
        <v>122.78</v>
      </c>
      <c r="AG190" s="3824"/>
      <c r="AH190" s="6316"/>
      <c r="AI190" s="3825"/>
      <c r="AJ190" s="349">
        <f t="shared" si="367"/>
        <v>122.78</v>
      </c>
      <c r="AK190" s="3824"/>
      <c r="AL190" s="6554"/>
      <c r="AM190" s="3826"/>
      <c r="AN190" s="586">
        <f t="shared" si="368"/>
        <v>0</v>
      </c>
      <c r="AO190" s="3825"/>
      <c r="AP190" s="349">
        <f t="shared" si="369"/>
        <v>122.78</v>
      </c>
      <c r="AQ190" s="3824"/>
      <c r="AR190" s="6653">
        <v>180.58</v>
      </c>
      <c r="AS190" s="3825"/>
      <c r="AT190" s="41">
        <f t="shared" si="370"/>
        <v>303.36</v>
      </c>
      <c r="AU190" s="3824"/>
      <c r="AV190" s="6819"/>
      <c r="AW190" s="3825"/>
      <c r="AX190" s="41">
        <f t="shared" si="371"/>
        <v>303.36</v>
      </c>
      <c r="AY190" s="3824"/>
      <c r="AZ190" s="6962"/>
      <c r="BA190" s="3826"/>
      <c r="BB190" s="586">
        <f t="shared" si="391"/>
        <v>180.58</v>
      </c>
      <c r="BC190" s="7389"/>
      <c r="BD190" s="7302">
        <f t="shared" si="373"/>
        <v>180.58</v>
      </c>
      <c r="BE190" s="3825"/>
      <c r="BF190" s="41">
        <f t="shared" si="374"/>
        <v>303.36</v>
      </c>
      <c r="BG190" s="4152">
        <f t="shared" si="380"/>
        <v>0</v>
      </c>
      <c r="BH190" s="4152">
        <f t="shared" si="381"/>
        <v>0</v>
      </c>
      <c r="BI190" s="4152"/>
      <c r="BJ190" s="4152">
        <f t="shared" si="382"/>
        <v>0</v>
      </c>
      <c r="BK190" s="4152">
        <f t="shared" si="383"/>
        <v>0</v>
      </c>
    </row>
    <row r="191" spans="1:63" ht="15.75" thickBot="1" x14ac:dyDescent="0.3">
      <c r="A191" s="90"/>
      <c r="B191" s="3843" t="s">
        <v>833</v>
      </c>
      <c r="C191" s="3836" t="s">
        <v>845</v>
      </c>
      <c r="D191" s="3815"/>
      <c r="E191" s="3805"/>
      <c r="F191" s="1819">
        <v>409.32</v>
      </c>
      <c r="G191" s="3805"/>
      <c r="H191" s="1819">
        <v>349.26</v>
      </c>
      <c r="I191" s="799"/>
      <c r="J191" s="7310">
        <f t="shared" si="384"/>
        <v>758.57999999999993</v>
      </c>
      <c r="K191" s="3805"/>
      <c r="L191" s="1819">
        <v>182.94</v>
      </c>
      <c r="M191" s="848"/>
      <c r="N191" s="7301">
        <f t="shared" si="385"/>
        <v>941.52</v>
      </c>
      <c r="O191" s="3805"/>
      <c r="P191" s="1819"/>
      <c r="Q191" s="799"/>
      <c r="R191" s="7310">
        <f t="shared" si="386"/>
        <v>941.52</v>
      </c>
      <c r="S191" s="3805"/>
      <c r="T191" s="1819"/>
      <c r="U191" s="799"/>
      <c r="V191" s="7310">
        <f t="shared" si="387"/>
        <v>941.52</v>
      </c>
      <c r="W191" s="3805"/>
      <c r="X191" s="1819"/>
      <c r="Y191" s="848"/>
      <c r="Z191" s="7301">
        <f t="shared" si="388"/>
        <v>0</v>
      </c>
      <c r="AA191" s="4498"/>
      <c r="AB191" s="7302">
        <f t="shared" si="389"/>
        <v>941.52</v>
      </c>
      <c r="AC191" s="3805"/>
      <c r="AD191" s="1819">
        <v>775.54</v>
      </c>
      <c r="AE191" s="799"/>
      <c r="AF191" s="7310">
        <f t="shared" si="390"/>
        <v>1717.06</v>
      </c>
      <c r="AG191" s="3805"/>
      <c r="AH191" s="1819">
        <v>572.99</v>
      </c>
      <c r="AI191" s="799"/>
      <c r="AJ191" s="349">
        <f t="shared" si="367"/>
        <v>2290.0500000000002</v>
      </c>
      <c r="AK191" s="3805"/>
      <c r="AL191" s="1819"/>
      <c r="AM191" s="848"/>
      <c r="AN191" s="586">
        <f t="shared" si="368"/>
        <v>1348.53</v>
      </c>
      <c r="AO191" s="799"/>
      <c r="AP191" s="349">
        <f t="shared" si="369"/>
        <v>2290.0500000000002</v>
      </c>
      <c r="AQ191" s="3805"/>
      <c r="AR191" s="1819">
        <v>383.94000000000005</v>
      </c>
      <c r="AS191" s="799"/>
      <c r="AT191" s="41">
        <f t="shared" si="370"/>
        <v>2673.9900000000002</v>
      </c>
      <c r="AU191" s="3805"/>
      <c r="AV191" s="1819">
        <v>40.24</v>
      </c>
      <c r="AW191" s="799"/>
      <c r="AX191" s="41">
        <f t="shared" si="371"/>
        <v>2714.23</v>
      </c>
      <c r="AY191" s="3805"/>
      <c r="AZ191" s="1819">
        <v>195.72</v>
      </c>
      <c r="BA191" s="848"/>
      <c r="BB191" s="586">
        <f t="shared" si="391"/>
        <v>619.90000000000009</v>
      </c>
      <c r="BC191" s="4498"/>
      <c r="BD191" s="7302">
        <f t="shared" si="373"/>
        <v>1968.43</v>
      </c>
      <c r="BE191" s="799"/>
      <c r="BF191" s="41">
        <f t="shared" si="374"/>
        <v>2909.95</v>
      </c>
      <c r="BG191" s="4152">
        <f t="shared" si="380"/>
        <v>0</v>
      </c>
      <c r="BH191" s="4152">
        <f t="shared" si="381"/>
        <v>0</v>
      </c>
      <c r="BI191" s="4152"/>
      <c r="BJ191" s="4152">
        <f t="shared" si="382"/>
        <v>0</v>
      </c>
      <c r="BK191" s="4152">
        <f t="shared" si="383"/>
        <v>0</v>
      </c>
    </row>
    <row r="192" spans="1:63" s="4290" customFormat="1" ht="15.75" thickBot="1" x14ac:dyDescent="0.3">
      <c r="A192" s="90"/>
      <c r="B192" s="3843" t="s">
        <v>833</v>
      </c>
      <c r="C192" s="3836" t="s">
        <v>864</v>
      </c>
      <c r="D192" s="3846"/>
      <c r="E192" s="3669"/>
      <c r="F192" s="4291"/>
      <c r="G192" s="3669"/>
      <c r="H192" s="5575">
        <v>300.5</v>
      </c>
      <c r="I192" s="3166"/>
      <c r="J192" s="7310">
        <f t="shared" si="384"/>
        <v>300.5</v>
      </c>
      <c r="K192" s="3669"/>
      <c r="L192" s="5695"/>
      <c r="M192" s="3123"/>
      <c r="N192" s="7301">
        <f t="shared" si="385"/>
        <v>300.5</v>
      </c>
      <c r="O192" s="3669"/>
      <c r="P192" s="5857">
        <v>57.54</v>
      </c>
      <c r="Q192" s="3166"/>
      <c r="R192" s="7310">
        <f t="shared" si="386"/>
        <v>358.04</v>
      </c>
      <c r="S192" s="3669"/>
      <c r="T192" s="5902"/>
      <c r="U192" s="3166"/>
      <c r="V192" s="7310">
        <f t="shared" si="387"/>
        <v>358.04</v>
      </c>
      <c r="W192" s="3669"/>
      <c r="X192" s="6021"/>
      <c r="Y192" s="3123"/>
      <c r="Z192" s="7301">
        <f t="shared" si="388"/>
        <v>57.54</v>
      </c>
      <c r="AA192" s="4499"/>
      <c r="AB192" s="7302">
        <f t="shared" si="389"/>
        <v>358.04</v>
      </c>
      <c r="AC192" s="3669"/>
      <c r="AD192" s="6156">
        <v>300.91999999999996</v>
      </c>
      <c r="AE192" s="3166"/>
      <c r="AF192" s="7310">
        <f t="shared" si="390"/>
        <v>658.96</v>
      </c>
      <c r="AG192" s="3669"/>
      <c r="AH192" s="6318"/>
      <c r="AI192" s="3166"/>
      <c r="AJ192" s="349">
        <f t="shared" si="367"/>
        <v>658.96</v>
      </c>
      <c r="AK192" s="3669"/>
      <c r="AL192" s="6557"/>
      <c r="AM192" s="3123"/>
      <c r="AN192" s="586">
        <f t="shared" si="368"/>
        <v>300.91999999999996</v>
      </c>
      <c r="AO192" s="3166"/>
      <c r="AP192" s="349">
        <f t="shared" si="369"/>
        <v>658.96</v>
      </c>
      <c r="AQ192" s="3669"/>
      <c r="AR192" s="6657">
        <v>62.52</v>
      </c>
      <c r="AS192" s="3166"/>
      <c r="AT192" s="41">
        <f t="shared" si="370"/>
        <v>721.48</v>
      </c>
      <c r="AU192" s="3669"/>
      <c r="AV192" s="6822"/>
      <c r="AW192" s="3166"/>
      <c r="AX192" s="41">
        <f t="shared" si="371"/>
        <v>721.48</v>
      </c>
      <c r="AY192" s="3669"/>
      <c r="BA192" s="3123"/>
      <c r="BB192" s="586">
        <f t="shared" si="391"/>
        <v>62.52</v>
      </c>
      <c r="BC192" s="4499"/>
      <c r="BD192" s="7302">
        <f t="shared" si="373"/>
        <v>363.43999999999994</v>
      </c>
      <c r="BE192" s="3166"/>
      <c r="BF192" s="41">
        <f t="shared" si="374"/>
        <v>721.48</v>
      </c>
      <c r="BG192" s="4152">
        <f t="shared" si="380"/>
        <v>0</v>
      </c>
      <c r="BH192" s="4152">
        <f t="shared" si="381"/>
        <v>0</v>
      </c>
      <c r="BI192" s="4152"/>
      <c r="BJ192" s="4152">
        <f t="shared" si="382"/>
        <v>0</v>
      </c>
      <c r="BK192" s="4152">
        <f t="shared" si="383"/>
        <v>0</v>
      </c>
    </row>
    <row r="193" spans="1:63" ht="15.75" thickBot="1" x14ac:dyDescent="0.3">
      <c r="A193" s="144"/>
      <c r="B193" s="3843" t="s">
        <v>833</v>
      </c>
      <c r="C193" s="3836" t="s">
        <v>955</v>
      </c>
      <c r="D193" s="3836"/>
      <c r="E193" s="3805"/>
      <c r="F193" s="1819"/>
      <c r="G193" s="3805"/>
      <c r="H193" s="1819">
        <v>116.72</v>
      </c>
      <c r="I193" s="799"/>
      <c r="J193" s="7310">
        <f t="shared" si="384"/>
        <v>116.72</v>
      </c>
      <c r="K193" s="3805"/>
      <c r="L193" s="1819"/>
      <c r="M193" s="848"/>
      <c r="N193" s="7301">
        <f t="shared" si="385"/>
        <v>116.72</v>
      </c>
      <c r="O193" s="3805"/>
      <c r="P193" s="1819"/>
      <c r="Q193" s="799"/>
      <c r="R193" s="7310">
        <f t="shared" si="386"/>
        <v>116.72</v>
      </c>
      <c r="S193" s="3805"/>
      <c r="T193" s="1819"/>
      <c r="U193" s="799"/>
      <c r="V193" s="7310">
        <f t="shared" si="387"/>
        <v>116.72</v>
      </c>
      <c r="W193" s="3805"/>
      <c r="X193" s="1819"/>
      <c r="Y193" s="848"/>
      <c r="Z193" s="7301">
        <f t="shared" si="388"/>
        <v>0</v>
      </c>
      <c r="AA193" s="4498"/>
      <c r="AB193" s="7302">
        <f t="shared" si="389"/>
        <v>116.72</v>
      </c>
      <c r="AC193" s="3805"/>
      <c r="AD193" s="1819"/>
      <c r="AE193" s="799"/>
      <c r="AF193" s="7310">
        <f t="shared" si="390"/>
        <v>116.72</v>
      </c>
      <c r="AG193" s="3805"/>
      <c r="AH193" s="1819">
        <v>312.79999999999995</v>
      </c>
      <c r="AI193" s="799"/>
      <c r="AJ193" s="349">
        <f t="shared" si="367"/>
        <v>429.52</v>
      </c>
      <c r="AK193" s="3805"/>
      <c r="AL193" s="1819"/>
      <c r="AM193" s="848"/>
      <c r="AN193" s="586">
        <f t="shared" si="368"/>
        <v>312.79999999999995</v>
      </c>
      <c r="AO193" s="799"/>
      <c r="AP193" s="349">
        <f t="shared" si="369"/>
        <v>429.52</v>
      </c>
      <c r="AQ193" s="3805"/>
      <c r="AR193" s="1819">
        <v>423.90000000000009</v>
      </c>
      <c r="AS193" s="799"/>
      <c r="AT193" s="41">
        <f t="shared" si="370"/>
        <v>853.42000000000007</v>
      </c>
      <c r="AU193" s="3805"/>
      <c r="AV193" s="1819"/>
      <c r="AW193" s="799"/>
      <c r="AX193" s="41">
        <f t="shared" si="371"/>
        <v>853.42000000000007</v>
      </c>
      <c r="AY193" s="3805"/>
      <c r="AZ193" s="1819"/>
      <c r="BA193" s="848"/>
      <c r="BB193" s="586">
        <f t="shared" si="391"/>
        <v>423.90000000000009</v>
      </c>
      <c r="BC193" s="4498"/>
      <c r="BD193" s="7302">
        <f t="shared" si="373"/>
        <v>736.7</v>
      </c>
      <c r="BE193" s="799"/>
      <c r="BF193" s="41">
        <f t="shared" si="374"/>
        <v>853.42000000000007</v>
      </c>
      <c r="BG193" s="4152">
        <f t="shared" si="380"/>
        <v>0</v>
      </c>
      <c r="BH193" s="4152">
        <f t="shared" si="381"/>
        <v>0</v>
      </c>
      <c r="BI193" s="4152"/>
      <c r="BJ193" s="4152">
        <f t="shared" si="382"/>
        <v>0</v>
      </c>
      <c r="BK193" s="4152">
        <f t="shared" si="383"/>
        <v>0</v>
      </c>
    </row>
    <row r="194" spans="1:63" ht="15.75" customHeight="1" thickBot="1" x14ac:dyDescent="0.3">
      <c r="A194" s="90"/>
      <c r="B194" s="3843" t="s">
        <v>833</v>
      </c>
      <c r="C194" s="3836" t="s">
        <v>873</v>
      </c>
      <c r="D194" s="3815"/>
      <c r="E194" s="3805"/>
      <c r="F194" s="1819"/>
      <c r="G194" s="3805"/>
      <c r="H194" s="1819"/>
      <c r="I194" s="799"/>
      <c r="J194" s="7310">
        <f t="shared" si="384"/>
        <v>0</v>
      </c>
      <c r="K194" s="3805"/>
      <c r="L194" s="1819"/>
      <c r="M194" s="848"/>
      <c r="N194" s="7301">
        <f t="shared" si="385"/>
        <v>0</v>
      </c>
      <c r="O194" s="3805"/>
      <c r="P194" s="1819"/>
      <c r="Q194" s="799"/>
      <c r="R194" s="7310">
        <f t="shared" si="386"/>
        <v>0</v>
      </c>
      <c r="S194" s="3805"/>
      <c r="T194" s="1819"/>
      <c r="U194" s="799"/>
      <c r="V194" s="7310">
        <f t="shared" si="387"/>
        <v>0</v>
      </c>
      <c r="W194" s="3805"/>
      <c r="X194" s="1819"/>
      <c r="Y194" s="848"/>
      <c r="Z194" s="7301">
        <f t="shared" si="388"/>
        <v>0</v>
      </c>
      <c r="AA194" s="4498"/>
      <c r="AB194" s="7302">
        <f t="shared" si="389"/>
        <v>0</v>
      </c>
      <c r="AC194" s="3805"/>
      <c r="AD194" s="1819">
        <v>183.24</v>
      </c>
      <c r="AE194" s="799"/>
      <c r="AF194" s="7310">
        <f t="shared" si="390"/>
        <v>183.24</v>
      </c>
      <c r="AG194" s="3805"/>
      <c r="AH194" s="1819"/>
      <c r="AI194" s="799"/>
      <c r="AJ194" s="349">
        <f t="shared" si="367"/>
        <v>183.24</v>
      </c>
      <c r="AK194" s="3805"/>
      <c r="AL194" s="1819"/>
      <c r="AM194" s="848"/>
      <c r="AN194" s="586">
        <f t="shared" si="368"/>
        <v>183.24</v>
      </c>
      <c r="AO194" s="799"/>
      <c r="AP194" s="349">
        <f t="shared" ref="AP194:AP225" si="392">AJ194+AL194</f>
        <v>183.24</v>
      </c>
      <c r="AQ194" s="3805"/>
      <c r="AR194" s="1819">
        <v>62.2</v>
      </c>
      <c r="AS194" s="799"/>
      <c r="AT194" s="41">
        <f t="shared" si="370"/>
        <v>245.44</v>
      </c>
      <c r="AU194" s="3805"/>
      <c r="AV194" s="1819"/>
      <c r="AW194" s="799"/>
      <c r="AX194" s="41">
        <f t="shared" si="371"/>
        <v>245.44</v>
      </c>
      <c r="AY194" s="3805"/>
      <c r="AZ194" s="1819"/>
      <c r="BA194" s="848"/>
      <c r="BB194" s="586">
        <f t="shared" si="391"/>
        <v>62.2</v>
      </c>
      <c r="BC194" s="4498"/>
      <c r="BD194" s="7302">
        <f t="shared" si="373"/>
        <v>245.44</v>
      </c>
      <c r="BE194" s="799"/>
      <c r="BF194" s="41">
        <f t="shared" si="374"/>
        <v>245.44</v>
      </c>
      <c r="BG194" s="4152">
        <f t="shared" si="380"/>
        <v>0</v>
      </c>
      <c r="BH194" s="4152">
        <f t="shared" si="381"/>
        <v>0</v>
      </c>
      <c r="BI194" s="4152"/>
      <c r="BJ194" s="4152">
        <f t="shared" si="382"/>
        <v>0</v>
      </c>
      <c r="BK194" s="4152">
        <f t="shared" si="383"/>
        <v>0</v>
      </c>
    </row>
    <row r="195" spans="1:63" ht="15.75" thickBot="1" x14ac:dyDescent="0.3">
      <c r="A195" s="144"/>
      <c r="B195" s="3843" t="s">
        <v>833</v>
      </c>
      <c r="C195" s="3836" t="s">
        <v>1280</v>
      </c>
      <c r="D195" s="3836"/>
      <c r="E195" s="3805"/>
      <c r="F195" s="1819">
        <v>615.65</v>
      </c>
      <c r="G195" s="3805"/>
      <c r="H195" s="1819">
        <v>127.47999999999999</v>
      </c>
      <c r="I195" s="799"/>
      <c r="J195" s="7310">
        <f t="shared" si="384"/>
        <v>743.13</v>
      </c>
      <c r="K195" s="3805"/>
      <c r="L195" s="1819"/>
      <c r="M195" s="848"/>
      <c r="N195" s="7301">
        <f t="shared" si="385"/>
        <v>743.13</v>
      </c>
      <c r="O195" s="3805"/>
      <c r="P195" s="1819"/>
      <c r="Q195" s="799"/>
      <c r="R195" s="7310">
        <f t="shared" si="386"/>
        <v>743.13</v>
      </c>
      <c r="S195" s="3805"/>
      <c r="T195" s="1819"/>
      <c r="U195" s="799"/>
      <c r="V195" s="7310">
        <f t="shared" si="387"/>
        <v>743.13</v>
      </c>
      <c r="W195" s="3805"/>
      <c r="X195" s="1819"/>
      <c r="Y195" s="848"/>
      <c r="Z195" s="7301">
        <f t="shared" si="388"/>
        <v>0</v>
      </c>
      <c r="AA195" s="4498"/>
      <c r="AB195" s="7302">
        <f t="shared" si="389"/>
        <v>743.13</v>
      </c>
      <c r="AC195" s="3805"/>
      <c r="AD195" s="1819"/>
      <c r="AE195" s="799"/>
      <c r="AF195" s="7310">
        <f t="shared" si="390"/>
        <v>743.13</v>
      </c>
      <c r="AG195" s="3805"/>
      <c r="AH195" s="1819">
        <v>153.08000000000001</v>
      </c>
      <c r="AI195" s="799"/>
      <c r="AJ195" s="349">
        <f t="shared" si="367"/>
        <v>896.21</v>
      </c>
      <c r="AK195" s="3805"/>
      <c r="AL195" s="1819"/>
      <c r="AM195" s="848"/>
      <c r="AN195" s="586">
        <f t="shared" si="368"/>
        <v>153.08000000000001</v>
      </c>
      <c r="AO195" s="799"/>
      <c r="AP195" s="349">
        <f t="shared" si="392"/>
        <v>896.21</v>
      </c>
      <c r="AQ195" s="3805"/>
      <c r="AR195" s="1819">
        <v>452.07</v>
      </c>
      <c r="AS195" s="799"/>
      <c r="AT195" s="41">
        <f t="shared" si="370"/>
        <v>1348.28</v>
      </c>
      <c r="AU195" s="3805"/>
      <c r="AV195" s="1819">
        <v>608.53</v>
      </c>
      <c r="AW195" s="799"/>
      <c r="AX195" s="41">
        <f t="shared" si="371"/>
        <v>1956.81</v>
      </c>
      <c r="AY195" s="3805"/>
      <c r="AZ195" s="1819">
        <v>39.79</v>
      </c>
      <c r="BA195" s="848"/>
      <c r="BB195" s="586">
        <f t="shared" si="391"/>
        <v>1100.3899999999999</v>
      </c>
      <c r="BC195" s="4498"/>
      <c r="BD195" s="7302">
        <f t="shared" si="373"/>
        <v>1253.4699999999998</v>
      </c>
      <c r="BE195" s="799"/>
      <c r="BF195" s="41">
        <f t="shared" si="374"/>
        <v>1996.6</v>
      </c>
      <c r="BG195" s="4152">
        <f t="shared" si="380"/>
        <v>0</v>
      </c>
      <c r="BH195" s="4152">
        <f t="shared" si="381"/>
        <v>0</v>
      </c>
      <c r="BI195" s="4152"/>
      <c r="BJ195" s="4152">
        <f t="shared" si="382"/>
        <v>0</v>
      </c>
      <c r="BK195" s="4152">
        <f t="shared" si="383"/>
        <v>0</v>
      </c>
    </row>
    <row r="196" spans="1:63" ht="15.75" thickBot="1" x14ac:dyDescent="0.3">
      <c r="A196" s="90"/>
      <c r="B196" s="3843" t="s">
        <v>833</v>
      </c>
      <c r="C196" s="3836" t="s">
        <v>867</v>
      </c>
      <c r="D196" s="148"/>
      <c r="E196" s="148"/>
      <c r="F196" s="1819"/>
      <c r="G196" s="5564"/>
      <c r="H196" s="1819"/>
      <c r="I196" s="7312"/>
      <c r="J196" s="7310">
        <f t="shared" si="384"/>
        <v>0</v>
      </c>
      <c r="K196" s="5676"/>
      <c r="L196" s="1819"/>
      <c r="M196" s="7304"/>
      <c r="N196" s="7301">
        <f t="shared" si="385"/>
        <v>0</v>
      </c>
      <c r="O196" s="5831"/>
      <c r="P196" s="1819"/>
      <c r="Q196" s="7312"/>
      <c r="R196" s="7310">
        <f t="shared" si="386"/>
        <v>0</v>
      </c>
      <c r="S196" s="5889"/>
      <c r="T196" s="1819"/>
      <c r="U196" s="7312"/>
      <c r="V196" s="7310">
        <f t="shared" si="387"/>
        <v>0</v>
      </c>
      <c r="W196" s="6002"/>
      <c r="X196" s="1819"/>
      <c r="Y196" s="7304"/>
      <c r="Z196" s="7301">
        <f t="shared" si="388"/>
        <v>0</v>
      </c>
      <c r="AA196" s="7323"/>
      <c r="AB196" s="7302">
        <f t="shared" si="389"/>
        <v>0</v>
      </c>
      <c r="AC196" s="6133"/>
      <c r="AD196" s="1819">
        <v>118.46000000000001</v>
      </c>
      <c r="AE196" s="7312"/>
      <c r="AF196" s="7310">
        <f t="shared" si="390"/>
        <v>118.46000000000001</v>
      </c>
      <c r="AG196" s="6295"/>
      <c r="AH196" s="1819"/>
      <c r="AI196" s="7312"/>
      <c r="AJ196" s="349">
        <f t="shared" si="367"/>
        <v>118.46000000000001</v>
      </c>
      <c r="AK196" s="6545"/>
      <c r="AL196" s="1819"/>
      <c r="AM196" s="7304"/>
      <c r="AN196" s="586">
        <f t="shared" si="368"/>
        <v>118.46000000000001</v>
      </c>
      <c r="AO196" s="7312"/>
      <c r="AP196" s="349">
        <f t="shared" si="392"/>
        <v>118.46000000000001</v>
      </c>
      <c r="AQ196" s="6639"/>
      <c r="AR196" s="1819"/>
      <c r="AS196" s="7312"/>
      <c r="AT196" s="41">
        <f t="shared" si="370"/>
        <v>118.46000000000001</v>
      </c>
      <c r="AU196" s="6811"/>
      <c r="AV196" s="1819"/>
      <c r="AW196" s="7312"/>
      <c r="AX196" s="41">
        <f t="shared" si="371"/>
        <v>118.46000000000001</v>
      </c>
      <c r="AY196" s="6953"/>
      <c r="AZ196" s="1819"/>
      <c r="BA196" s="7304"/>
      <c r="BB196" s="586">
        <f t="shared" si="391"/>
        <v>0</v>
      </c>
      <c r="BC196" s="7323"/>
      <c r="BD196" s="7302">
        <f t="shared" ref="BD196:BD235" si="393">AN196+BB196</f>
        <v>118.46000000000001</v>
      </c>
      <c r="BE196" s="7312"/>
      <c r="BF196" s="41">
        <f t="shared" si="374"/>
        <v>118.46000000000001</v>
      </c>
      <c r="BG196" s="4152">
        <f t="shared" si="380"/>
        <v>0</v>
      </c>
      <c r="BH196" s="4152">
        <f t="shared" si="381"/>
        <v>0</v>
      </c>
      <c r="BI196" s="4152"/>
      <c r="BJ196" s="4152">
        <f t="shared" si="382"/>
        <v>0</v>
      </c>
      <c r="BK196" s="4152">
        <f t="shared" si="383"/>
        <v>0</v>
      </c>
    </row>
    <row r="197" spans="1:63" ht="15.75" thickBot="1" x14ac:dyDescent="0.3">
      <c r="A197" s="90"/>
      <c r="B197" s="3843" t="s">
        <v>833</v>
      </c>
      <c r="C197" s="3836" t="s">
        <v>909</v>
      </c>
      <c r="D197" s="3815"/>
      <c r="E197" s="3805"/>
      <c r="F197" s="1819"/>
      <c r="G197" s="3805"/>
      <c r="H197" s="1819">
        <v>557.69999999999993</v>
      </c>
      <c r="I197" s="799"/>
      <c r="J197" s="7310">
        <f t="shared" si="384"/>
        <v>557.69999999999993</v>
      </c>
      <c r="K197" s="3805"/>
      <c r="L197" s="1819">
        <v>63.14</v>
      </c>
      <c r="M197" s="848"/>
      <c r="N197" s="7301">
        <f t="shared" si="385"/>
        <v>620.83999999999992</v>
      </c>
      <c r="O197" s="3805"/>
      <c r="P197" s="1819"/>
      <c r="Q197" s="799"/>
      <c r="R197" s="7310">
        <f t="shared" si="386"/>
        <v>620.83999999999992</v>
      </c>
      <c r="S197" s="3805"/>
      <c r="T197" s="1819"/>
      <c r="U197" s="799"/>
      <c r="V197" s="7310">
        <f t="shared" si="387"/>
        <v>620.83999999999992</v>
      </c>
      <c r="W197" s="3805"/>
      <c r="X197" s="1819"/>
      <c r="Y197" s="848"/>
      <c r="Z197" s="7301">
        <f t="shared" si="388"/>
        <v>0</v>
      </c>
      <c r="AA197" s="4498"/>
      <c r="AB197" s="7302">
        <f t="shared" si="389"/>
        <v>620.83999999999992</v>
      </c>
      <c r="AC197" s="3805"/>
      <c r="AD197" s="1819"/>
      <c r="AE197" s="799"/>
      <c r="AF197" s="7310">
        <f t="shared" si="390"/>
        <v>620.83999999999992</v>
      </c>
      <c r="AG197" s="3805"/>
      <c r="AH197" s="1819">
        <v>242.26</v>
      </c>
      <c r="AI197" s="799"/>
      <c r="AJ197" s="349">
        <f t="shared" si="367"/>
        <v>863.09999999999991</v>
      </c>
      <c r="AK197" s="3805"/>
      <c r="AL197" s="1819"/>
      <c r="AM197" s="848"/>
      <c r="AN197" s="586">
        <f t="shared" ref="AN197:AN226" si="394">AD197+AH197+AL197</f>
        <v>242.26</v>
      </c>
      <c r="AO197" s="799"/>
      <c r="AP197" s="349">
        <f t="shared" si="392"/>
        <v>863.09999999999991</v>
      </c>
      <c r="AQ197" s="3805"/>
      <c r="AR197" s="1819">
        <v>39.313000000000002</v>
      </c>
      <c r="AS197" s="799"/>
      <c r="AT197" s="41">
        <f t="shared" si="370"/>
        <v>902.4129999999999</v>
      </c>
      <c r="AU197" s="3805"/>
      <c r="AV197" s="1819"/>
      <c r="AW197" s="799"/>
      <c r="AX197" s="41">
        <f t="shared" si="371"/>
        <v>902.4129999999999</v>
      </c>
      <c r="AY197" s="3805"/>
      <c r="AZ197" s="1819"/>
      <c r="BA197" s="848"/>
      <c r="BB197" s="586">
        <f t="shared" si="391"/>
        <v>39.313000000000002</v>
      </c>
      <c r="BC197" s="4498"/>
      <c r="BD197" s="7302">
        <f t="shared" si="393"/>
        <v>281.57299999999998</v>
      </c>
      <c r="BE197" s="799"/>
      <c r="BF197" s="41">
        <f t="shared" si="374"/>
        <v>902.4129999999999</v>
      </c>
      <c r="BG197" s="4152">
        <f t="shared" si="380"/>
        <v>0</v>
      </c>
      <c r="BH197" s="4152">
        <f t="shared" si="381"/>
        <v>0</v>
      </c>
      <c r="BI197" s="4152"/>
      <c r="BJ197" s="4152">
        <f t="shared" si="382"/>
        <v>0</v>
      </c>
      <c r="BK197" s="4152">
        <f t="shared" si="383"/>
        <v>0</v>
      </c>
    </row>
    <row r="198" spans="1:63" ht="15.75" customHeight="1" thickBot="1" x14ac:dyDescent="0.3">
      <c r="A198" s="90"/>
      <c r="B198" s="3843" t="s">
        <v>833</v>
      </c>
      <c r="C198" s="3836" t="s">
        <v>1455</v>
      </c>
      <c r="D198" s="3815"/>
      <c r="E198" s="3805"/>
      <c r="F198" s="1819"/>
      <c r="G198" s="3805"/>
      <c r="H198" s="1819"/>
      <c r="I198" s="799"/>
      <c r="J198" s="7310">
        <f t="shared" si="384"/>
        <v>0</v>
      </c>
      <c r="K198" s="3805"/>
      <c r="L198" s="1819"/>
      <c r="M198" s="848"/>
      <c r="N198" s="7301">
        <f t="shared" si="385"/>
        <v>0</v>
      </c>
      <c r="O198" s="3805"/>
      <c r="P198" s="1819"/>
      <c r="Q198" s="799"/>
      <c r="R198" s="7310">
        <f t="shared" si="386"/>
        <v>0</v>
      </c>
      <c r="S198" s="3805"/>
      <c r="T198" s="1819"/>
      <c r="U198" s="799"/>
      <c r="V198" s="7310">
        <f t="shared" si="387"/>
        <v>0</v>
      </c>
      <c r="W198" s="3805"/>
      <c r="X198" s="1819"/>
      <c r="Y198" s="848"/>
      <c r="Z198" s="7301">
        <f t="shared" si="388"/>
        <v>0</v>
      </c>
      <c r="AA198" s="4498"/>
      <c r="AB198" s="7302">
        <f t="shared" si="389"/>
        <v>0</v>
      </c>
      <c r="AC198" s="3805"/>
      <c r="AD198" s="1819"/>
      <c r="AE198" s="799"/>
      <c r="AF198" s="7310">
        <f t="shared" si="390"/>
        <v>0</v>
      </c>
      <c r="AG198" s="3805"/>
      <c r="AH198" s="1819"/>
      <c r="AI198" s="799"/>
      <c r="AJ198" s="349">
        <f t="shared" si="367"/>
        <v>0</v>
      </c>
      <c r="AK198" s="3805"/>
      <c r="AL198" s="1819"/>
      <c r="AM198" s="848"/>
      <c r="AN198" s="586">
        <f t="shared" si="394"/>
        <v>0</v>
      </c>
      <c r="AO198" s="799"/>
      <c r="AP198" s="349">
        <f t="shared" si="392"/>
        <v>0</v>
      </c>
      <c r="AQ198" s="3805"/>
      <c r="AR198" s="1819"/>
      <c r="AS198" s="799"/>
      <c r="AT198" s="41">
        <f t="shared" si="370"/>
        <v>0</v>
      </c>
      <c r="AU198" s="3805"/>
      <c r="AV198" s="1819"/>
      <c r="AW198" s="799"/>
      <c r="AX198" s="41">
        <f t="shared" si="371"/>
        <v>0</v>
      </c>
      <c r="AY198" s="3805"/>
      <c r="AZ198" s="1819"/>
      <c r="BA198" s="848"/>
      <c r="BB198" s="586">
        <f t="shared" si="391"/>
        <v>0</v>
      </c>
      <c r="BC198" s="4498"/>
      <c r="BD198" s="7302">
        <f t="shared" si="393"/>
        <v>0</v>
      </c>
      <c r="BE198" s="799"/>
      <c r="BF198" s="41">
        <f t="shared" si="374"/>
        <v>0</v>
      </c>
      <c r="BG198" s="4152">
        <f t="shared" si="380"/>
        <v>0</v>
      </c>
      <c r="BH198" s="4152">
        <f t="shared" si="381"/>
        <v>0</v>
      </c>
      <c r="BI198" s="4152"/>
      <c r="BJ198" s="4152">
        <f t="shared" si="382"/>
        <v>0</v>
      </c>
      <c r="BK198" s="4152">
        <f t="shared" si="383"/>
        <v>0</v>
      </c>
    </row>
    <row r="199" spans="1:63" ht="15.75" customHeight="1" thickBot="1" x14ac:dyDescent="0.3">
      <c r="A199" s="90"/>
      <c r="B199" s="3843" t="s">
        <v>833</v>
      </c>
      <c r="C199" s="3836" t="s">
        <v>1396</v>
      </c>
      <c r="D199" s="3815"/>
      <c r="E199" s="3805"/>
      <c r="F199" s="1819"/>
      <c r="G199" s="3805"/>
      <c r="H199" s="1819"/>
      <c r="I199" s="799"/>
      <c r="J199" s="7310">
        <f t="shared" si="384"/>
        <v>0</v>
      </c>
      <c r="K199" s="3805"/>
      <c r="L199" s="1819"/>
      <c r="M199" s="848"/>
      <c r="N199" s="7301">
        <f t="shared" si="385"/>
        <v>0</v>
      </c>
      <c r="O199" s="3805"/>
      <c r="P199" s="1819"/>
      <c r="Q199" s="799"/>
      <c r="R199" s="7310">
        <f t="shared" si="386"/>
        <v>0</v>
      </c>
      <c r="S199" s="3805"/>
      <c r="T199" s="1819"/>
      <c r="U199" s="799"/>
      <c r="V199" s="7310">
        <f t="shared" si="387"/>
        <v>0</v>
      </c>
      <c r="W199" s="3805"/>
      <c r="X199" s="1819"/>
      <c r="Y199" s="848"/>
      <c r="Z199" s="7301">
        <f t="shared" si="388"/>
        <v>0</v>
      </c>
      <c r="AA199" s="4498"/>
      <c r="AB199" s="7302">
        <f t="shared" si="389"/>
        <v>0</v>
      </c>
      <c r="AC199" s="3805"/>
      <c r="AD199" s="1819"/>
      <c r="AE199" s="799"/>
      <c r="AF199" s="7310">
        <f t="shared" si="390"/>
        <v>0</v>
      </c>
      <c r="AG199" s="3805"/>
      <c r="AH199" s="1819"/>
      <c r="AI199" s="799"/>
      <c r="AJ199" s="349">
        <f t="shared" si="367"/>
        <v>0</v>
      </c>
      <c r="AK199" s="3805"/>
      <c r="AL199" s="1819"/>
      <c r="AM199" s="848"/>
      <c r="AN199" s="586">
        <f t="shared" si="394"/>
        <v>0</v>
      </c>
      <c r="AO199" s="799"/>
      <c r="AP199" s="349">
        <f t="shared" si="392"/>
        <v>0</v>
      </c>
      <c r="AQ199" s="3805"/>
      <c r="AR199" s="1819"/>
      <c r="AS199" s="799"/>
      <c r="AT199" s="41">
        <f t="shared" si="370"/>
        <v>0</v>
      </c>
      <c r="AU199" s="3805"/>
      <c r="AV199" s="1819"/>
      <c r="AW199" s="799"/>
      <c r="AX199" s="41">
        <f t="shared" si="371"/>
        <v>0</v>
      </c>
      <c r="AY199" s="3805"/>
      <c r="AZ199" s="1819"/>
      <c r="BA199" s="848"/>
      <c r="BB199" s="586">
        <f t="shared" si="391"/>
        <v>0</v>
      </c>
      <c r="BC199" s="4498"/>
      <c r="BD199" s="7302">
        <f t="shared" si="393"/>
        <v>0</v>
      </c>
      <c r="BE199" s="799"/>
      <c r="BF199" s="41">
        <f t="shared" si="374"/>
        <v>0</v>
      </c>
      <c r="BG199" s="4152">
        <f t="shared" si="380"/>
        <v>0</v>
      </c>
      <c r="BH199" s="4152">
        <f t="shared" si="381"/>
        <v>0</v>
      </c>
      <c r="BI199" s="4152"/>
      <c r="BJ199" s="4152">
        <f t="shared" si="382"/>
        <v>0</v>
      </c>
      <c r="BK199" s="4152">
        <f t="shared" si="383"/>
        <v>0</v>
      </c>
    </row>
    <row r="200" spans="1:63" ht="15.75" customHeight="1" thickBot="1" x14ac:dyDescent="0.3">
      <c r="A200" s="90"/>
      <c r="B200" s="3843" t="s">
        <v>833</v>
      </c>
      <c r="C200" s="3836" t="s">
        <v>1454</v>
      </c>
      <c r="D200" s="3815"/>
      <c r="E200" s="3805"/>
      <c r="F200" s="1819"/>
      <c r="G200" s="3805"/>
      <c r="H200" s="1819"/>
      <c r="I200" s="799"/>
      <c r="J200" s="7310">
        <f t="shared" si="384"/>
        <v>0</v>
      </c>
      <c r="K200" s="3805"/>
      <c r="L200" s="1819"/>
      <c r="M200" s="848"/>
      <c r="N200" s="7301">
        <f t="shared" si="385"/>
        <v>0</v>
      </c>
      <c r="O200" s="3805"/>
      <c r="P200" s="1819"/>
      <c r="Q200" s="799"/>
      <c r="R200" s="7310">
        <f t="shared" si="386"/>
        <v>0</v>
      </c>
      <c r="S200" s="3805"/>
      <c r="T200" s="1819"/>
      <c r="U200" s="799"/>
      <c r="V200" s="7310">
        <f t="shared" si="387"/>
        <v>0</v>
      </c>
      <c r="W200" s="3805"/>
      <c r="X200" s="1819"/>
      <c r="Y200" s="848"/>
      <c r="Z200" s="7301">
        <f t="shared" si="388"/>
        <v>0</v>
      </c>
      <c r="AA200" s="4498"/>
      <c r="AB200" s="7302">
        <f t="shared" si="389"/>
        <v>0</v>
      </c>
      <c r="AC200" s="3805"/>
      <c r="AD200" s="1819"/>
      <c r="AE200" s="799"/>
      <c r="AF200" s="7310">
        <f t="shared" si="390"/>
        <v>0</v>
      </c>
      <c r="AG200" s="3805"/>
      <c r="AH200" s="1819"/>
      <c r="AI200" s="799"/>
      <c r="AJ200" s="349">
        <f t="shared" si="367"/>
        <v>0</v>
      </c>
      <c r="AK200" s="3805"/>
      <c r="AL200" s="1819"/>
      <c r="AM200" s="848"/>
      <c r="AN200" s="586">
        <f t="shared" si="394"/>
        <v>0</v>
      </c>
      <c r="AO200" s="799"/>
      <c r="AP200" s="349">
        <f t="shared" si="392"/>
        <v>0</v>
      </c>
      <c r="AQ200" s="3805"/>
      <c r="AR200" s="1819"/>
      <c r="AS200" s="799"/>
      <c r="AT200" s="41">
        <f t="shared" si="370"/>
        <v>0</v>
      </c>
      <c r="AU200" s="3805"/>
      <c r="AV200" s="1819"/>
      <c r="AW200" s="799"/>
      <c r="AX200" s="41">
        <f t="shared" si="371"/>
        <v>0</v>
      </c>
      <c r="AY200" s="3805"/>
      <c r="AZ200" s="1819"/>
      <c r="BA200" s="848"/>
      <c r="BB200" s="586">
        <f t="shared" si="391"/>
        <v>0</v>
      </c>
      <c r="BC200" s="4498"/>
      <c r="BD200" s="7302">
        <f t="shared" si="393"/>
        <v>0</v>
      </c>
      <c r="BE200" s="799"/>
      <c r="BF200" s="41">
        <f t="shared" si="374"/>
        <v>0</v>
      </c>
      <c r="BG200" s="4152">
        <f t="shared" si="380"/>
        <v>0</v>
      </c>
      <c r="BH200" s="4152">
        <f t="shared" si="381"/>
        <v>0</v>
      </c>
      <c r="BI200" s="4152"/>
      <c r="BJ200" s="4152">
        <f t="shared" si="382"/>
        <v>0</v>
      </c>
      <c r="BK200" s="4152">
        <f t="shared" si="383"/>
        <v>0</v>
      </c>
    </row>
    <row r="201" spans="1:63" ht="15.75" thickBot="1" x14ac:dyDescent="0.3">
      <c r="A201" s="90"/>
      <c r="B201" s="3843" t="s">
        <v>833</v>
      </c>
      <c r="C201" s="3836" t="s">
        <v>1107</v>
      </c>
      <c r="D201" s="148"/>
      <c r="E201" s="148"/>
      <c r="F201" s="1819"/>
      <c r="G201" s="5564"/>
      <c r="H201" s="1819">
        <v>6082.54</v>
      </c>
      <c r="I201" s="7312"/>
      <c r="J201" s="7310">
        <f t="shared" si="384"/>
        <v>6082.54</v>
      </c>
      <c r="K201" s="5676"/>
      <c r="L201" s="1819">
        <v>5628.0299999999988</v>
      </c>
      <c r="M201" s="7304"/>
      <c r="N201" s="7301">
        <f t="shared" si="385"/>
        <v>11710.57</v>
      </c>
      <c r="O201" s="5831"/>
      <c r="P201" s="1819">
        <v>9016.16</v>
      </c>
      <c r="Q201" s="7312"/>
      <c r="R201" s="7310">
        <f t="shared" si="386"/>
        <v>20726.73</v>
      </c>
      <c r="S201" s="5889"/>
      <c r="T201" s="1819">
        <v>10555.499999999998</v>
      </c>
      <c r="U201" s="7312"/>
      <c r="V201" s="7310">
        <f t="shared" si="387"/>
        <v>31282.229999999996</v>
      </c>
      <c r="W201" s="6002"/>
      <c r="X201" s="1819">
        <v>9723.43</v>
      </c>
      <c r="Y201" s="7304"/>
      <c r="Z201" s="7301">
        <f t="shared" si="388"/>
        <v>29295.089999999997</v>
      </c>
      <c r="AA201" s="7323"/>
      <c r="AB201" s="7302">
        <f t="shared" si="389"/>
        <v>41005.659999999996</v>
      </c>
      <c r="AC201" s="6133"/>
      <c r="AD201" s="1819">
        <v>7436.1100000000006</v>
      </c>
      <c r="AE201" s="7312"/>
      <c r="AF201" s="7310">
        <f t="shared" si="390"/>
        <v>48441.77</v>
      </c>
      <c r="AG201" s="6295"/>
      <c r="AH201" s="1819">
        <v>8484.840000000002</v>
      </c>
      <c r="AI201" s="7312"/>
      <c r="AJ201" s="349">
        <f t="shared" si="367"/>
        <v>56926.61</v>
      </c>
      <c r="AK201" s="6545"/>
      <c r="AL201" s="1819">
        <v>6217.9999999999991</v>
      </c>
      <c r="AM201" s="7304"/>
      <c r="AN201" s="586">
        <f t="shared" si="394"/>
        <v>22138.95</v>
      </c>
      <c r="AO201" s="7312"/>
      <c r="AP201" s="349">
        <f t="shared" si="392"/>
        <v>63144.61</v>
      </c>
      <c r="AQ201" s="6639"/>
      <c r="AR201" s="1819">
        <v>9052.86</v>
      </c>
      <c r="AS201" s="7312"/>
      <c r="AT201" s="41">
        <f t="shared" si="370"/>
        <v>72197.47</v>
      </c>
      <c r="AU201" s="6811"/>
      <c r="AV201" s="1819">
        <v>8333.09</v>
      </c>
      <c r="AW201" s="7312"/>
      <c r="AX201" s="41">
        <f t="shared" si="371"/>
        <v>80530.559999999998</v>
      </c>
      <c r="AY201" s="6953"/>
      <c r="AZ201" s="1819"/>
      <c r="BA201" s="7304"/>
      <c r="BB201" s="586">
        <f t="shared" si="391"/>
        <v>17385.95</v>
      </c>
      <c r="BC201" s="7323"/>
      <c r="BD201" s="7302">
        <f t="shared" si="393"/>
        <v>39524.9</v>
      </c>
      <c r="BE201" s="7312"/>
      <c r="BF201" s="41">
        <f t="shared" si="374"/>
        <v>80530.559999999998</v>
      </c>
      <c r="BG201" s="4152">
        <f t="shared" si="380"/>
        <v>0</v>
      </c>
      <c r="BH201" s="4152">
        <f t="shared" si="381"/>
        <v>0</v>
      </c>
      <c r="BI201" s="4152"/>
      <c r="BJ201" s="4152">
        <f t="shared" si="382"/>
        <v>0</v>
      </c>
      <c r="BK201" s="4152">
        <f t="shared" si="383"/>
        <v>0</v>
      </c>
    </row>
    <row r="202" spans="1:63" ht="15.75" thickBot="1" x14ac:dyDescent="0.3">
      <c r="A202" s="90"/>
      <c r="B202" s="3843" t="s">
        <v>833</v>
      </c>
      <c r="C202" s="3836" t="s">
        <v>868</v>
      </c>
      <c r="D202" s="148"/>
      <c r="E202" s="148"/>
      <c r="F202" s="1819">
        <v>63.22</v>
      </c>
      <c r="G202" s="5564"/>
      <c r="H202" s="1819">
        <v>1637.2599999999998</v>
      </c>
      <c r="I202" s="7312"/>
      <c r="J202" s="7310">
        <f t="shared" si="384"/>
        <v>1700.4799999999998</v>
      </c>
      <c r="K202" s="5676"/>
      <c r="L202" s="1819">
        <v>2158.02</v>
      </c>
      <c r="M202" s="7304"/>
      <c r="N202" s="7301">
        <f t="shared" si="385"/>
        <v>3858.5</v>
      </c>
      <c r="O202" s="5831"/>
      <c r="P202" s="1819">
        <v>2393.17</v>
      </c>
      <c r="Q202" s="7312"/>
      <c r="R202" s="7310">
        <f t="shared" si="386"/>
        <v>6251.67</v>
      </c>
      <c r="S202" s="5889"/>
      <c r="T202" s="1819">
        <v>1326.42</v>
      </c>
      <c r="U202" s="7312"/>
      <c r="V202" s="7310">
        <f t="shared" si="387"/>
        <v>7578.09</v>
      </c>
      <c r="W202" s="6002"/>
      <c r="X202" s="1819">
        <v>1257.1299999999999</v>
      </c>
      <c r="Y202" s="7304"/>
      <c r="Z202" s="7301">
        <f t="shared" si="388"/>
        <v>4976.72</v>
      </c>
      <c r="AA202" s="7323"/>
      <c r="AB202" s="7302">
        <f t="shared" si="389"/>
        <v>8835.2200000000012</v>
      </c>
      <c r="AC202" s="6133"/>
      <c r="AD202" s="1819">
        <v>753.7</v>
      </c>
      <c r="AE202" s="7312"/>
      <c r="AF202" s="7310">
        <f t="shared" si="390"/>
        <v>9588.9200000000019</v>
      </c>
      <c r="AG202" s="6295"/>
      <c r="AH202" s="1819">
        <v>952.17000000000007</v>
      </c>
      <c r="AI202" s="7312"/>
      <c r="AJ202" s="349">
        <f t="shared" si="367"/>
        <v>10541.090000000002</v>
      </c>
      <c r="AK202" s="6545"/>
      <c r="AL202" s="1819">
        <v>1193.1400000000001</v>
      </c>
      <c r="AM202" s="7304"/>
      <c r="AN202" s="586">
        <f t="shared" si="394"/>
        <v>2899.01</v>
      </c>
      <c r="AO202" s="7312"/>
      <c r="AP202" s="349">
        <f t="shared" si="392"/>
        <v>11734.230000000001</v>
      </c>
      <c r="AQ202" s="6639"/>
      <c r="AR202" s="1819">
        <v>979.02</v>
      </c>
      <c r="AS202" s="7312"/>
      <c r="AT202" s="41">
        <f t="shared" si="370"/>
        <v>12713.250000000002</v>
      </c>
      <c r="AU202" s="6811"/>
      <c r="AV202" s="1819"/>
      <c r="AW202" s="7312"/>
      <c r="AX202" s="41">
        <f t="shared" si="371"/>
        <v>12713.250000000002</v>
      </c>
      <c r="AY202" s="6953"/>
      <c r="AZ202" s="1819">
        <f>854.18+40.83</f>
        <v>895.01</v>
      </c>
      <c r="BA202" s="7304"/>
      <c r="BB202" s="586">
        <f t="shared" si="391"/>
        <v>1874.03</v>
      </c>
      <c r="BC202" s="7323"/>
      <c r="BD202" s="7302">
        <f t="shared" si="393"/>
        <v>4773.04</v>
      </c>
      <c r="BE202" s="7312"/>
      <c r="BF202" s="41">
        <f t="shared" si="374"/>
        <v>13608.260000000002</v>
      </c>
      <c r="BG202" s="4152">
        <f t="shared" si="380"/>
        <v>0</v>
      </c>
      <c r="BH202" s="4152">
        <f t="shared" si="381"/>
        <v>0</v>
      </c>
      <c r="BI202" s="4152"/>
      <c r="BJ202" s="4152">
        <f t="shared" si="382"/>
        <v>0</v>
      </c>
      <c r="BK202" s="4152">
        <f t="shared" si="383"/>
        <v>0</v>
      </c>
    </row>
    <row r="203" spans="1:63" ht="15.75" thickBot="1" x14ac:dyDescent="0.3">
      <c r="A203" s="90"/>
      <c r="B203" s="3843" t="s">
        <v>833</v>
      </c>
      <c r="C203" s="3836" t="s">
        <v>1851</v>
      </c>
      <c r="D203" s="148"/>
      <c r="E203" s="148"/>
      <c r="F203" s="1819"/>
      <c r="G203" s="5564"/>
      <c r="H203" s="1819"/>
      <c r="I203" s="7312"/>
      <c r="J203" s="7310">
        <f t="shared" si="384"/>
        <v>0</v>
      </c>
      <c r="K203" s="5676"/>
      <c r="L203" s="1819"/>
      <c r="M203" s="7304"/>
      <c r="N203" s="7301">
        <f t="shared" si="385"/>
        <v>0</v>
      </c>
      <c r="O203" s="5831"/>
      <c r="P203" s="1819"/>
      <c r="Q203" s="7312"/>
      <c r="R203" s="7310">
        <f t="shared" si="386"/>
        <v>0</v>
      </c>
      <c r="S203" s="5889"/>
      <c r="T203" s="1819">
        <v>187.36</v>
      </c>
      <c r="U203" s="7312"/>
      <c r="V203" s="7310">
        <f t="shared" si="387"/>
        <v>187.36</v>
      </c>
      <c r="W203" s="6002"/>
      <c r="X203" s="1819">
        <v>558.38</v>
      </c>
      <c r="Y203" s="7304"/>
      <c r="Z203" s="7301">
        <f t="shared" si="388"/>
        <v>745.74</v>
      </c>
      <c r="AA203" s="7323"/>
      <c r="AB203" s="7302">
        <f t="shared" si="389"/>
        <v>745.74</v>
      </c>
      <c r="AC203" s="6133"/>
      <c r="AD203" s="1819">
        <v>60.66</v>
      </c>
      <c r="AE203" s="7312"/>
      <c r="AF203" s="7310">
        <f t="shared" si="390"/>
        <v>806.4</v>
      </c>
      <c r="AG203" s="6295"/>
      <c r="AH203" s="1819"/>
      <c r="AI203" s="7312"/>
      <c r="AJ203" s="349">
        <f t="shared" ref="AJ203:AJ223" si="395">AF203+AH203</f>
        <v>806.4</v>
      </c>
      <c r="AK203" s="6545"/>
      <c r="AL203" s="1819"/>
      <c r="AM203" s="7304"/>
      <c r="AN203" s="586">
        <f t="shared" si="394"/>
        <v>60.66</v>
      </c>
      <c r="AO203" s="7312"/>
      <c r="AP203" s="349">
        <f t="shared" si="392"/>
        <v>806.4</v>
      </c>
      <c r="AQ203" s="6639"/>
      <c r="AR203" s="1819">
        <v>197.96</v>
      </c>
      <c r="AS203" s="7312"/>
      <c r="AT203" s="41">
        <f t="shared" ref="AT203:AT235" si="396">AP203+AR203</f>
        <v>1004.36</v>
      </c>
      <c r="AU203" s="6811"/>
      <c r="AV203" s="1819">
        <v>40.32</v>
      </c>
      <c r="AW203" s="7312"/>
      <c r="AX203" s="41">
        <f t="shared" ref="AX203:AX235" si="397">AT203+AV203</f>
        <v>1044.68</v>
      </c>
      <c r="AY203" s="6953"/>
      <c r="AZ203" s="1819"/>
      <c r="BA203" s="7304"/>
      <c r="BB203" s="586">
        <f t="shared" si="391"/>
        <v>238.28</v>
      </c>
      <c r="BC203" s="7323"/>
      <c r="BD203" s="7302">
        <f t="shared" si="393"/>
        <v>298.94</v>
      </c>
      <c r="BE203" s="7312"/>
      <c r="BF203" s="41">
        <f t="shared" ref="BF203:BF235" si="398">AX203+AZ203</f>
        <v>1044.68</v>
      </c>
      <c r="BG203" s="4152">
        <f t="shared" si="380"/>
        <v>0</v>
      </c>
      <c r="BH203" s="4152">
        <f t="shared" si="381"/>
        <v>0</v>
      </c>
      <c r="BI203" s="4152"/>
      <c r="BJ203" s="4152">
        <f t="shared" si="382"/>
        <v>0</v>
      </c>
      <c r="BK203" s="4152">
        <f t="shared" si="383"/>
        <v>0</v>
      </c>
    </row>
    <row r="204" spans="1:63" ht="15.75" customHeight="1" thickBot="1" x14ac:dyDescent="0.3">
      <c r="A204" s="90"/>
      <c r="B204" s="3843" t="s">
        <v>833</v>
      </c>
      <c r="C204" s="3836" t="s">
        <v>1104</v>
      </c>
      <c r="D204" s="3815"/>
      <c r="E204" s="3805"/>
      <c r="F204" s="1819"/>
      <c r="G204" s="3805"/>
      <c r="H204" s="1819"/>
      <c r="I204" s="799"/>
      <c r="J204" s="7310">
        <f t="shared" si="384"/>
        <v>0</v>
      </c>
      <c r="K204" s="3805"/>
      <c r="L204" s="1819"/>
      <c r="M204" s="848"/>
      <c r="N204" s="7301">
        <f t="shared" si="385"/>
        <v>0</v>
      </c>
      <c r="O204" s="3805"/>
      <c r="P204" s="1819"/>
      <c r="Q204" s="799"/>
      <c r="R204" s="7310">
        <f t="shared" si="386"/>
        <v>0</v>
      </c>
      <c r="S204" s="3805"/>
      <c r="T204" s="1819"/>
      <c r="U204" s="799"/>
      <c r="V204" s="7310">
        <f t="shared" si="387"/>
        <v>0</v>
      </c>
      <c r="W204" s="3805"/>
      <c r="X204" s="1819"/>
      <c r="Y204" s="848"/>
      <c r="Z204" s="7301">
        <f t="shared" si="388"/>
        <v>0</v>
      </c>
      <c r="AA204" s="4498"/>
      <c r="AB204" s="7302">
        <f t="shared" si="389"/>
        <v>0</v>
      </c>
      <c r="AC204" s="3805"/>
      <c r="AD204" s="1819"/>
      <c r="AE204" s="799"/>
      <c r="AF204" s="7310">
        <f t="shared" si="390"/>
        <v>0</v>
      </c>
      <c r="AG204" s="3805"/>
      <c r="AH204" s="1819"/>
      <c r="AI204" s="799"/>
      <c r="AJ204" s="349">
        <f t="shared" si="395"/>
        <v>0</v>
      </c>
      <c r="AK204" s="3805"/>
      <c r="AL204" s="1819"/>
      <c r="AM204" s="848"/>
      <c r="AN204" s="586">
        <f t="shared" si="394"/>
        <v>0</v>
      </c>
      <c r="AO204" s="799"/>
      <c r="AP204" s="349">
        <f t="shared" si="392"/>
        <v>0</v>
      </c>
      <c r="AQ204" s="3805"/>
      <c r="AR204" s="1819"/>
      <c r="AS204" s="799"/>
      <c r="AT204" s="41">
        <f t="shared" si="396"/>
        <v>0</v>
      </c>
      <c r="AU204" s="3805"/>
      <c r="AV204" s="1819"/>
      <c r="AW204" s="799"/>
      <c r="AX204" s="41">
        <f t="shared" si="397"/>
        <v>0</v>
      </c>
      <c r="AY204" s="3805"/>
      <c r="AZ204" s="1819"/>
      <c r="BA204" s="848"/>
      <c r="BB204" s="586">
        <f t="shared" si="391"/>
        <v>0</v>
      </c>
      <c r="BC204" s="4498"/>
      <c r="BD204" s="7302">
        <f t="shared" si="393"/>
        <v>0</v>
      </c>
      <c r="BE204" s="799"/>
      <c r="BF204" s="41">
        <f t="shared" si="398"/>
        <v>0</v>
      </c>
      <c r="BG204" s="4152">
        <f t="shared" si="380"/>
        <v>0</v>
      </c>
      <c r="BH204" s="4152">
        <f t="shared" si="381"/>
        <v>0</v>
      </c>
      <c r="BI204" s="4152"/>
      <c r="BJ204" s="4152">
        <f t="shared" si="382"/>
        <v>0</v>
      </c>
      <c r="BK204" s="4152">
        <f t="shared" si="383"/>
        <v>0</v>
      </c>
    </row>
    <row r="205" spans="1:63" s="4677" customFormat="1" ht="15.75" customHeight="1" thickBot="1" x14ac:dyDescent="0.3">
      <c r="A205" s="90"/>
      <c r="B205" s="3843" t="s">
        <v>833</v>
      </c>
      <c r="C205" s="4685" t="s">
        <v>1818</v>
      </c>
      <c r="D205" s="4686"/>
      <c r="E205" s="4687"/>
      <c r="F205" s="4688"/>
      <c r="G205" s="4687"/>
      <c r="H205" s="4688">
        <v>114.39</v>
      </c>
      <c r="I205" s="4689"/>
      <c r="J205" s="7310">
        <f t="shared" si="384"/>
        <v>114.39</v>
      </c>
      <c r="K205" s="4687"/>
      <c r="L205" s="4688"/>
      <c r="M205" s="4690"/>
      <c r="N205" s="7301">
        <f t="shared" si="385"/>
        <v>114.39</v>
      </c>
      <c r="O205" s="4687"/>
      <c r="P205" s="4688"/>
      <c r="Q205" s="4689"/>
      <c r="R205" s="7310">
        <f t="shared" si="386"/>
        <v>114.39</v>
      </c>
      <c r="S205" s="4687"/>
      <c r="T205" s="4688"/>
      <c r="U205" s="4689"/>
      <c r="V205" s="7310">
        <f t="shared" si="387"/>
        <v>114.39</v>
      </c>
      <c r="W205" s="4687"/>
      <c r="X205" s="4688"/>
      <c r="Y205" s="4690"/>
      <c r="Z205" s="7301">
        <f t="shared" si="388"/>
        <v>0</v>
      </c>
      <c r="AA205" s="7394"/>
      <c r="AB205" s="7302">
        <f t="shared" si="389"/>
        <v>114.39</v>
      </c>
      <c r="AC205" s="4687"/>
      <c r="AD205" s="4688"/>
      <c r="AE205" s="4689"/>
      <c r="AF205" s="7310">
        <f t="shared" si="390"/>
        <v>114.39</v>
      </c>
      <c r="AG205" s="4687"/>
      <c r="AH205" s="4688"/>
      <c r="AI205" s="4689"/>
      <c r="AJ205" s="349">
        <f t="shared" si="395"/>
        <v>114.39</v>
      </c>
      <c r="AK205" s="4687"/>
      <c r="AL205" s="4688"/>
      <c r="AM205" s="4690"/>
      <c r="AN205" s="586">
        <f t="shared" si="394"/>
        <v>0</v>
      </c>
      <c r="AO205" s="4689"/>
      <c r="AP205" s="349">
        <f t="shared" si="392"/>
        <v>114.39</v>
      </c>
      <c r="AQ205" s="4687"/>
      <c r="AR205" s="4688"/>
      <c r="AS205" s="4689"/>
      <c r="AT205" s="41">
        <f t="shared" si="396"/>
        <v>114.39</v>
      </c>
      <c r="AU205" s="4687"/>
      <c r="AV205" s="4688"/>
      <c r="AW205" s="4689"/>
      <c r="AX205" s="41">
        <f t="shared" si="397"/>
        <v>114.39</v>
      </c>
      <c r="AY205" s="4687"/>
      <c r="AZ205" s="4688"/>
      <c r="BA205" s="4690"/>
      <c r="BB205" s="586">
        <f t="shared" si="391"/>
        <v>0</v>
      </c>
      <c r="BC205" s="7394"/>
      <c r="BD205" s="7302">
        <f t="shared" si="393"/>
        <v>0</v>
      </c>
      <c r="BE205" s="4689"/>
      <c r="BF205" s="41">
        <f t="shared" si="398"/>
        <v>114.39</v>
      </c>
      <c r="BG205" s="4152">
        <f t="shared" si="380"/>
        <v>0</v>
      </c>
      <c r="BH205" s="4152">
        <f t="shared" si="381"/>
        <v>0</v>
      </c>
      <c r="BI205" s="4152"/>
      <c r="BJ205" s="4152">
        <f t="shared" si="382"/>
        <v>0</v>
      </c>
      <c r="BK205" s="4152">
        <f t="shared" si="383"/>
        <v>0</v>
      </c>
    </row>
    <row r="206" spans="1:63" ht="15.75" customHeight="1" thickBot="1" x14ac:dyDescent="0.3">
      <c r="A206" s="90"/>
      <c r="B206" s="3843" t="s">
        <v>833</v>
      </c>
      <c r="C206" s="3836" t="s">
        <v>1108</v>
      </c>
      <c r="D206" s="3815"/>
      <c r="E206" s="3805"/>
      <c r="F206" s="1819"/>
      <c r="G206" s="3805"/>
      <c r="H206" s="1819"/>
      <c r="I206" s="799"/>
      <c r="J206" s="7310">
        <f t="shared" si="384"/>
        <v>0</v>
      </c>
      <c r="K206" s="3805"/>
      <c r="L206" s="1819"/>
      <c r="M206" s="848"/>
      <c r="N206" s="7301">
        <f t="shared" si="385"/>
        <v>0</v>
      </c>
      <c r="O206" s="3805"/>
      <c r="P206" s="1819"/>
      <c r="Q206" s="799"/>
      <c r="R206" s="7310">
        <f t="shared" si="386"/>
        <v>0</v>
      </c>
      <c r="S206" s="3805"/>
      <c r="T206" s="1819"/>
      <c r="U206" s="799"/>
      <c r="V206" s="7310">
        <f t="shared" si="387"/>
        <v>0</v>
      </c>
      <c r="W206" s="3805"/>
      <c r="X206" s="1819"/>
      <c r="Y206" s="848"/>
      <c r="Z206" s="7301">
        <f t="shared" si="388"/>
        <v>0</v>
      </c>
      <c r="AA206" s="4498"/>
      <c r="AB206" s="7302">
        <f t="shared" si="389"/>
        <v>0</v>
      </c>
      <c r="AC206" s="3805"/>
      <c r="AD206" s="1819"/>
      <c r="AE206" s="799"/>
      <c r="AF206" s="7310">
        <f t="shared" si="390"/>
        <v>0</v>
      </c>
      <c r="AG206" s="3805"/>
      <c r="AH206" s="1819"/>
      <c r="AI206" s="799"/>
      <c r="AJ206" s="349">
        <f t="shared" si="395"/>
        <v>0</v>
      </c>
      <c r="AK206" s="3805"/>
      <c r="AL206" s="1819"/>
      <c r="AM206" s="848"/>
      <c r="AN206" s="586">
        <f t="shared" si="394"/>
        <v>0</v>
      </c>
      <c r="AO206" s="799"/>
      <c r="AP206" s="349">
        <f t="shared" si="392"/>
        <v>0</v>
      </c>
      <c r="AQ206" s="3805"/>
      <c r="AR206" s="1819"/>
      <c r="AS206" s="799"/>
      <c r="AT206" s="41">
        <f t="shared" si="396"/>
        <v>0</v>
      </c>
      <c r="AU206" s="3805"/>
      <c r="AV206" s="1819">
        <v>944</v>
      </c>
      <c r="AW206" s="799"/>
      <c r="AX206" s="41">
        <f t="shared" si="397"/>
        <v>944</v>
      </c>
      <c r="AY206" s="3805"/>
      <c r="AZ206" s="1819"/>
      <c r="BA206" s="848"/>
      <c r="BB206" s="586">
        <f t="shared" si="391"/>
        <v>944</v>
      </c>
      <c r="BC206" s="4498"/>
      <c r="BD206" s="7302">
        <f t="shared" si="393"/>
        <v>944</v>
      </c>
      <c r="BE206" s="799"/>
      <c r="BF206" s="41">
        <f t="shared" si="398"/>
        <v>944</v>
      </c>
      <c r="BG206" s="4152">
        <f t="shared" si="380"/>
        <v>0</v>
      </c>
      <c r="BH206" s="4152">
        <f t="shared" si="381"/>
        <v>0</v>
      </c>
      <c r="BI206" s="4152"/>
      <c r="BJ206" s="4152">
        <f t="shared" si="382"/>
        <v>0</v>
      </c>
      <c r="BK206" s="4152">
        <f t="shared" si="383"/>
        <v>0</v>
      </c>
    </row>
    <row r="207" spans="1:63" ht="15.75" thickBot="1" x14ac:dyDescent="0.3">
      <c r="A207" s="90"/>
      <c r="B207" s="3843" t="s">
        <v>833</v>
      </c>
      <c r="C207" s="3836" t="s">
        <v>846</v>
      </c>
      <c r="D207" s="3815"/>
      <c r="E207" s="3805"/>
      <c r="F207" s="1819">
        <v>480.6</v>
      </c>
      <c r="G207" s="3805"/>
      <c r="H207" s="1819">
        <v>118.03999999999999</v>
      </c>
      <c r="I207" s="799"/>
      <c r="J207" s="7310">
        <f t="shared" si="384"/>
        <v>598.64</v>
      </c>
      <c r="K207" s="3805"/>
      <c r="L207" s="1819">
        <v>786.96</v>
      </c>
      <c r="M207" s="848"/>
      <c r="N207" s="7301">
        <f t="shared" si="385"/>
        <v>1385.6</v>
      </c>
      <c r="O207" s="3805"/>
      <c r="P207" s="1819">
        <v>959.27999999999986</v>
      </c>
      <c r="Q207" s="799"/>
      <c r="R207" s="7310">
        <f t="shared" si="386"/>
        <v>2344.8799999999997</v>
      </c>
      <c r="S207" s="3805"/>
      <c r="T207" s="1819">
        <v>64.16</v>
      </c>
      <c r="U207" s="799"/>
      <c r="V207" s="7310">
        <f t="shared" si="387"/>
        <v>2409.0399999999995</v>
      </c>
      <c r="W207" s="3805"/>
      <c r="X207" s="1819"/>
      <c r="Y207" s="848"/>
      <c r="Z207" s="7301">
        <f t="shared" si="388"/>
        <v>1023.4399999999998</v>
      </c>
      <c r="AA207" s="4498"/>
      <c r="AB207" s="7302">
        <f t="shared" si="389"/>
        <v>2409.04</v>
      </c>
      <c r="AC207" s="3805"/>
      <c r="AD207" s="1819">
        <v>1471.54</v>
      </c>
      <c r="AE207" s="799"/>
      <c r="AF207" s="7310">
        <f t="shared" si="390"/>
        <v>3880.58</v>
      </c>
      <c r="AG207" s="3805"/>
      <c r="AH207" s="1819">
        <v>37.619999999999997</v>
      </c>
      <c r="AI207" s="799"/>
      <c r="AJ207" s="349">
        <f t="shared" si="395"/>
        <v>3918.2</v>
      </c>
      <c r="AK207" s="3805"/>
      <c r="AL207" s="1819"/>
      <c r="AM207" s="848"/>
      <c r="AN207" s="586">
        <f t="shared" si="394"/>
        <v>1509.1599999999999</v>
      </c>
      <c r="AO207" s="799"/>
      <c r="AP207" s="349">
        <f t="shared" si="392"/>
        <v>3918.2</v>
      </c>
      <c r="AQ207" s="3805"/>
      <c r="AR207" s="1819">
        <v>247.94</v>
      </c>
      <c r="AS207" s="799"/>
      <c r="AT207" s="41">
        <f t="shared" si="396"/>
        <v>4166.1399999999994</v>
      </c>
      <c r="AU207" s="3805"/>
      <c r="AV207" s="1819">
        <v>749.32</v>
      </c>
      <c r="AW207" s="799"/>
      <c r="AX207" s="41">
        <f t="shared" si="397"/>
        <v>4915.4599999999991</v>
      </c>
      <c r="AY207" s="3805"/>
      <c r="AZ207" s="1819">
        <v>121.68</v>
      </c>
      <c r="BA207" s="848"/>
      <c r="BB207" s="586">
        <f t="shared" si="391"/>
        <v>1118.94</v>
      </c>
      <c r="BC207" s="4498"/>
      <c r="BD207" s="7302">
        <f t="shared" si="393"/>
        <v>2628.1</v>
      </c>
      <c r="BE207" s="799"/>
      <c r="BF207" s="41">
        <f t="shared" si="398"/>
        <v>5037.1399999999994</v>
      </c>
      <c r="BG207" s="4152">
        <f t="shared" si="380"/>
        <v>0</v>
      </c>
      <c r="BH207" s="4152">
        <f t="shared" si="381"/>
        <v>0</v>
      </c>
      <c r="BI207" s="4152"/>
      <c r="BJ207" s="4152">
        <f t="shared" si="382"/>
        <v>0</v>
      </c>
      <c r="BK207" s="4152">
        <f t="shared" si="383"/>
        <v>0</v>
      </c>
    </row>
    <row r="208" spans="1:63" ht="15.75" thickBot="1" x14ac:dyDescent="0.3">
      <c r="A208" s="144"/>
      <c r="B208" s="3843" t="s">
        <v>833</v>
      </c>
      <c r="C208" s="3836" t="s">
        <v>1111</v>
      </c>
      <c r="D208" s="3815"/>
      <c r="E208" s="3805"/>
      <c r="F208" s="1819">
        <v>7977.92</v>
      </c>
      <c r="G208" s="3805"/>
      <c r="H208" s="1819">
        <v>6974.48</v>
      </c>
      <c r="I208" s="799"/>
      <c r="J208" s="7310">
        <f t="shared" si="384"/>
        <v>14952.4</v>
      </c>
      <c r="K208" s="3805"/>
      <c r="L208" s="1819">
        <v>3928.4800000000005</v>
      </c>
      <c r="M208" s="848"/>
      <c r="N208" s="7301">
        <f t="shared" si="385"/>
        <v>18880.88</v>
      </c>
      <c r="O208" s="3805"/>
      <c r="P208" s="1819">
        <v>6099.73</v>
      </c>
      <c r="Q208" s="799"/>
      <c r="R208" s="7310">
        <f t="shared" si="386"/>
        <v>24980.61</v>
      </c>
      <c r="S208" s="3805"/>
      <c r="T208" s="1819">
        <v>4633.2500000000009</v>
      </c>
      <c r="U208" s="799"/>
      <c r="V208" s="7310">
        <f t="shared" si="387"/>
        <v>29613.86</v>
      </c>
      <c r="W208" s="3805"/>
      <c r="X208" s="1819">
        <v>4740.5</v>
      </c>
      <c r="Y208" s="848"/>
      <c r="Z208" s="7301">
        <f t="shared" si="388"/>
        <v>15473.48</v>
      </c>
      <c r="AA208" s="4498"/>
      <c r="AB208" s="7302">
        <f t="shared" si="389"/>
        <v>34354.36</v>
      </c>
      <c r="AC208" s="3805"/>
      <c r="AD208" s="1819">
        <v>5437.74</v>
      </c>
      <c r="AE208" s="799"/>
      <c r="AF208" s="7310">
        <f t="shared" si="390"/>
        <v>39792.1</v>
      </c>
      <c r="AG208" s="3805"/>
      <c r="AH208" s="1819">
        <v>6882.8</v>
      </c>
      <c r="AI208" s="799"/>
      <c r="AJ208" s="349">
        <f t="shared" si="395"/>
        <v>46674.9</v>
      </c>
      <c r="AK208" s="3805"/>
      <c r="AL208" s="1819">
        <v>3954.5900000000006</v>
      </c>
      <c r="AM208" s="848"/>
      <c r="AN208" s="586">
        <f t="shared" si="394"/>
        <v>16275.130000000001</v>
      </c>
      <c r="AO208" s="799"/>
      <c r="AP208" s="349">
        <f t="shared" si="392"/>
        <v>50629.490000000005</v>
      </c>
      <c r="AQ208" s="3805"/>
      <c r="AR208" s="1819">
        <v>4219.6899999999987</v>
      </c>
      <c r="AS208" s="799"/>
      <c r="AT208" s="41">
        <f t="shared" si="396"/>
        <v>54849.180000000008</v>
      </c>
      <c r="AU208" s="3805"/>
      <c r="AV208" s="1819">
        <v>8618.51</v>
      </c>
      <c r="AW208" s="799"/>
      <c r="AX208" s="41">
        <f t="shared" si="397"/>
        <v>63467.69000000001</v>
      </c>
      <c r="AY208" s="3805"/>
      <c r="AZ208" s="1819">
        <v>7097.08</v>
      </c>
      <c r="BA208" s="848"/>
      <c r="BB208" s="586">
        <f t="shared" si="391"/>
        <v>19935.28</v>
      </c>
      <c r="BC208" s="4498"/>
      <c r="BD208" s="7302">
        <f t="shared" si="393"/>
        <v>36210.410000000003</v>
      </c>
      <c r="BE208" s="799"/>
      <c r="BF208" s="41">
        <f t="shared" si="398"/>
        <v>70564.77</v>
      </c>
      <c r="BG208" s="4152">
        <f t="shared" si="380"/>
        <v>0</v>
      </c>
      <c r="BH208" s="4152">
        <f t="shared" si="381"/>
        <v>0</v>
      </c>
      <c r="BI208" s="4152"/>
      <c r="BJ208" s="4152">
        <f t="shared" si="382"/>
        <v>0</v>
      </c>
      <c r="BK208" s="4152">
        <f t="shared" si="383"/>
        <v>0</v>
      </c>
    </row>
    <row r="209" spans="1:63" ht="15.75" thickBot="1" x14ac:dyDescent="0.3">
      <c r="A209" s="144"/>
      <c r="B209" s="3844" t="s">
        <v>833</v>
      </c>
      <c r="C209" s="3839" t="s">
        <v>1239</v>
      </c>
      <c r="D209" s="3817"/>
      <c r="E209" s="3818"/>
      <c r="F209" s="105">
        <v>6318.86</v>
      </c>
      <c r="G209" s="3818"/>
      <c r="H209" s="105">
        <v>1271.58</v>
      </c>
      <c r="I209" s="3168"/>
      <c r="J209" s="7310">
        <f t="shared" si="384"/>
        <v>7590.44</v>
      </c>
      <c r="K209" s="3818"/>
      <c r="L209" s="105">
        <v>517.29</v>
      </c>
      <c r="M209" s="3819"/>
      <c r="N209" s="7301">
        <f t="shared" si="385"/>
        <v>8107.73</v>
      </c>
      <c r="O209" s="3818"/>
      <c r="P209" s="105">
        <v>996.20000000000016</v>
      </c>
      <c r="Q209" s="3168"/>
      <c r="R209" s="7310">
        <f t="shared" si="386"/>
        <v>9103.93</v>
      </c>
      <c r="S209" s="3818"/>
      <c r="T209" s="105">
        <v>260.81</v>
      </c>
      <c r="U209" s="3168"/>
      <c r="V209" s="7310">
        <f t="shared" si="387"/>
        <v>9364.74</v>
      </c>
      <c r="W209" s="3818"/>
      <c r="X209" s="105">
        <v>1275.9900000000002</v>
      </c>
      <c r="Y209" s="3819"/>
      <c r="Z209" s="7301">
        <f t="shared" si="388"/>
        <v>2533.0000000000005</v>
      </c>
      <c r="AA209" s="7388"/>
      <c r="AB209" s="7302">
        <f t="shared" si="389"/>
        <v>10640.73</v>
      </c>
      <c r="AC209" s="3818"/>
      <c r="AD209" s="105">
        <v>400.21999999999997</v>
      </c>
      <c r="AE209" s="3168"/>
      <c r="AF209" s="7310">
        <f t="shared" si="390"/>
        <v>11040.949999999999</v>
      </c>
      <c r="AG209" s="3818"/>
      <c r="AH209" s="105">
        <v>1004.6299999999999</v>
      </c>
      <c r="AI209" s="3168"/>
      <c r="AJ209" s="349">
        <f t="shared" si="395"/>
        <v>12045.579999999998</v>
      </c>
      <c r="AK209" s="3818"/>
      <c r="AL209" s="105">
        <v>906.33999999999992</v>
      </c>
      <c r="AM209" s="3819"/>
      <c r="AN209" s="586">
        <f t="shared" si="394"/>
        <v>2311.1899999999996</v>
      </c>
      <c r="AO209" s="3168"/>
      <c r="AP209" s="349">
        <f t="shared" si="392"/>
        <v>12951.919999999998</v>
      </c>
      <c r="AQ209" s="3818"/>
      <c r="AR209" s="105"/>
      <c r="AS209" s="3168"/>
      <c r="AT209" s="41">
        <f t="shared" si="396"/>
        <v>12951.919999999998</v>
      </c>
      <c r="AU209" s="3818"/>
      <c r="AV209" s="105">
        <v>1281.72</v>
      </c>
      <c r="AW209" s="3168"/>
      <c r="AX209" s="41">
        <f t="shared" si="397"/>
        <v>14233.639999999998</v>
      </c>
      <c r="AY209" s="3818"/>
      <c r="AZ209" s="105">
        <v>5443.73</v>
      </c>
      <c r="BA209" s="3819"/>
      <c r="BB209" s="586">
        <f t="shared" si="391"/>
        <v>6725.45</v>
      </c>
      <c r="BC209" s="7388"/>
      <c r="BD209" s="7302">
        <f t="shared" si="393"/>
        <v>9036.64</v>
      </c>
      <c r="BE209" s="3168"/>
      <c r="BF209" s="41">
        <f t="shared" si="398"/>
        <v>19677.369999999995</v>
      </c>
      <c r="BG209" s="4152">
        <f t="shared" si="380"/>
        <v>0</v>
      </c>
      <c r="BH209" s="4152">
        <f t="shared" si="381"/>
        <v>0</v>
      </c>
      <c r="BI209" s="4152"/>
      <c r="BJ209" s="4152">
        <f t="shared" si="382"/>
        <v>0</v>
      </c>
      <c r="BK209" s="4152">
        <f t="shared" si="383"/>
        <v>0</v>
      </c>
    </row>
    <row r="210" spans="1:63" ht="15.75" thickBot="1" x14ac:dyDescent="0.3">
      <c r="A210" s="144"/>
      <c r="B210" s="3840" t="s">
        <v>834</v>
      </c>
      <c r="C210" s="3835" t="s">
        <v>909</v>
      </c>
      <c r="D210" s="3810"/>
      <c r="E210" s="3820"/>
      <c r="F210" s="147"/>
      <c r="G210" s="3820"/>
      <c r="H210" s="147">
        <v>57.6</v>
      </c>
      <c r="I210" s="3165"/>
      <c r="J210" s="7310">
        <f t="shared" si="384"/>
        <v>57.6</v>
      </c>
      <c r="K210" s="3820"/>
      <c r="L210" s="147"/>
      <c r="M210" s="3821"/>
      <c r="N210" s="7301">
        <f t="shared" si="385"/>
        <v>57.6</v>
      </c>
      <c r="O210" s="3820"/>
      <c r="P210" s="147"/>
      <c r="Q210" s="3165"/>
      <c r="R210" s="7310">
        <f t="shared" si="386"/>
        <v>57.6</v>
      </c>
      <c r="S210" s="3820"/>
      <c r="T210" s="147"/>
      <c r="U210" s="3165"/>
      <c r="V210" s="7310">
        <f t="shared" si="387"/>
        <v>57.6</v>
      </c>
      <c r="W210" s="3820"/>
      <c r="X210" s="147"/>
      <c r="Y210" s="3821"/>
      <c r="Z210" s="7301">
        <f t="shared" si="388"/>
        <v>0</v>
      </c>
      <c r="AA210" s="5363"/>
      <c r="AB210" s="7302">
        <f t="shared" si="389"/>
        <v>57.6</v>
      </c>
      <c r="AC210" s="3820"/>
      <c r="AD210" s="147"/>
      <c r="AE210" s="3165"/>
      <c r="AF210" s="7310">
        <f t="shared" si="390"/>
        <v>57.6</v>
      </c>
      <c r="AG210" s="3820"/>
      <c r="AH210" s="147"/>
      <c r="AI210" s="3165"/>
      <c r="AJ210" s="349">
        <f t="shared" si="395"/>
        <v>57.6</v>
      </c>
      <c r="AK210" s="3820"/>
      <c r="AL210" s="147"/>
      <c r="AM210" s="3821"/>
      <c r="AN210" s="586">
        <f t="shared" si="394"/>
        <v>0</v>
      </c>
      <c r="AO210" s="3165"/>
      <c r="AP210" s="349">
        <f t="shared" si="392"/>
        <v>57.6</v>
      </c>
      <c r="AQ210" s="3820"/>
      <c r="AR210" s="147"/>
      <c r="AS210" s="3165"/>
      <c r="AT210" s="41">
        <f t="shared" si="396"/>
        <v>57.6</v>
      </c>
      <c r="AU210" s="3820"/>
      <c r="AV210" s="147"/>
      <c r="AW210" s="3165"/>
      <c r="AX210" s="41">
        <f t="shared" si="397"/>
        <v>57.6</v>
      </c>
      <c r="AY210" s="3820"/>
      <c r="AZ210" s="147"/>
      <c r="BA210" s="3821"/>
      <c r="BB210" s="586">
        <f t="shared" si="391"/>
        <v>0</v>
      </c>
      <c r="BC210" s="5363"/>
      <c r="BD210" s="7302">
        <f t="shared" si="393"/>
        <v>0</v>
      </c>
      <c r="BE210" s="3165"/>
      <c r="BF210" s="41">
        <f t="shared" si="398"/>
        <v>57.6</v>
      </c>
      <c r="BG210" s="4152">
        <f t="shared" si="380"/>
        <v>0</v>
      </c>
      <c r="BH210" s="4152">
        <f t="shared" si="381"/>
        <v>0</v>
      </c>
      <c r="BI210" s="4152"/>
      <c r="BJ210" s="4152">
        <f t="shared" si="382"/>
        <v>0</v>
      </c>
      <c r="BK210" s="4152">
        <f t="shared" si="383"/>
        <v>0</v>
      </c>
    </row>
    <row r="211" spans="1:63" ht="15.75" thickBot="1" x14ac:dyDescent="0.3">
      <c r="A211" s="144"/>
      <c r="B211" s="3843" t="s">
        <v>834</v>
      </c>
      <c r="C211" s="3836" t="s">
        <v>955</v>
      </c>
      <c r="D211" s="3815"/>
      <c r="E211" s="3805"/>
      <c r="F211" s="1819"/>
      <c r="G211" s="3805"/>
      <c r="H211" s="1819">
        <v>368.26</v>
      </c>
      <c r="I211" s="799"/>
      <c r="J211" s="7310">
        <f t="shared" si="384"/>
        <v>368.26</v>
      </c>
      <c r="K211" s="3805"/>
      <c r="L211" s="1819">
        <v>525.28</v>
      </c>
      <c r="M211" s="848"/>
      <c r="N211" s="7301">
        <f t="shared" si="385"/>
        <v>893.54</v>
      </c>
      <c r="O211" s="3805"/>
      <c r="P211" s="1819">
        <v>355.22</v>
      </c>
      <c r="Q211" s="799"/>
      <c r="R211" s="7310">
        <f t="shared" si="386"/>
        <v>1248.76</v>
      </c>
      <c r="S211" s="3805"/>
      <c r="T211" s="1819">
        <v>554.47</v>
      </c>
      <c r="U211" s="799"/>
      <c r="V211" s="7310">
        <f t="shared" si="387"/>
        <v>1803.23</v>
      </c>
      <c r="W211" s="3805"/>
      <c r="X211" s="1819">
        <v>1177.52</v>
      </c>
      <c r="Y211" s="848"/>
      <c r="Z211" s="7301">
        <f t="shared" si="388"/>
        <v>2087.21</v>
      </c>
      <c r="AA211" s="4498"/>
      <c r="AB211" s="7302">
        <f t="shared" si="389"/>
        <v>2980.75</v>
      </c>
      <c r="AC211" s="3805"/>
      <c r="AD211" s="1819"/>
      <c r="AE211" s="799"/>
      <c r="AF211" s="7310">
        <f t="shared" si="390"/>
        <v>2980.75</v>
      </c>
      <c r="AG211" s="3805"/>
      <c r="AH211" s="1819">
        <v>269.67599999999999</v>
      </c>
      <c r="AI211" s="799"/>
      <c r="AJ211" s="349">
        <f t="shared" si="395"/>
        <v>3250.4259999999999</v>
      </c>
      <c r="AK211" s="3805"/>
      <c r="AL211" s="1819">
        <v>337.46000000000004</v>
      </c>
      <c r="AM211" s="848"/>
      <c r="AN211" s="586">
        <f t="shared" si="394"/>
        <v>607.13599999999997</v>
      </c>
      <c r="AO211" s="799"/>
      <c r="AP211" s="349">
        <f t="shared" si="392"/>
        <v>3587.886</v>
      </c>
      <c r="AQ211" s="3805"/>
      <c r="AR211" s="1819">
        <v>348.75</v>
      </c>
      <c r="AS211" s="799"/>
      <c r="AT211" s="41">
        <f t="shared" si="396"/>
        <v>3936.636</v>
      </c>
      <c r="AU211" s="3805"/>
      <c r="AV211" s="1819">
        <v>907.09</v>
      </c>
      <c r="AW211" s="799"/>
      <c r="AX211" s="41">
        <f t="shared" si="397"/>
        <v>4843.7259999999997</v>
      </c>
      <c r="AY211" s="3805"/>
      <c r="AZ211" s="1819">
        <v>246.84</v>
      </c>
      <c r="BA211" s="848"/>
      <c r="BB211" s="586">
        <f t="shared" si="391"/>
        <v>1502.68</v>
      </c>
      <c r="BC211" s="4498"/>
      <c r="BD211" s="7302">
        <f t="shared" si="393"/>
        <v>2109.8159999999998</v>
      </c>
      <c r="BE211" s="799"/>
      <c r="BF211" s="41">
        <f t="shared" si="398"/>
        <v>5090.5659999999998</v>
      </c>
      <c r="BG211" s="4152">
        <f t="shared" ref="BG211:BG274" si="399">AY211+AU211+AQ211+AK211+AG211+AC211+W211+S211+O211+K211+G211+E211-BE211</f>
        <v>0</v>
      </c>
      <c r="BH211" s="4152">
        <f t="shared" ref="BH211:BH274" si="400">AZ211+AV211+AR211+AL211+AH211+AD211+X211+T211+P211+L211+H211+F211-BF211</f>
        <v>0</v>
      </c>
      <c r="BI211" s="4152"/>
      <c r="BJ211" s="4152">
        <f t="shared" ref="BJ211:BJ274" si="401">AY211+AU211+AQ211+AK211+AG211+AC211-BC211</f>
        <v>0</v>
      </c>
      <c r="BK211" s="4152">
        <f t="shared" ref="BK211:BK274" si="402">AZ211+AV211+AR211+AL211+AH211+AD211-BD211</f>
        <v>0</v>
      </c>
    </row>
    <row r="212" spans="1:63" ht="20.25" customHeight="1" thickBot="1" x14ac:dyDescent="0.3">
      <c r="A212" s="144"/>
      <c r="B212" s="3843" t="s">
        <v>834</v>
      </c>
      <c r="C212" s="3836" t="s">
        <v>1548</v>
      </c>
      <c r="D212" s="3815"/>
      <c r="E212" s="3805"/>
      <c r="F212" s="1819"/>
      <c r="G212" s="3805"/>
      <c r="H212" s="1819"/>
      <c r="I212" s="799"/>
      <c r="J212" s="7310">
        <f t="shared" si="384"/>
        <v>0</v>
      </c>
      <c r="K212" s="3805"/>
      <c r="L212" s="1819"/>
      <c r="M212" s="848"/>
      <c r="N212" s="7301">
        <f t="shared" si="385"/>
        <v>0</v>
      </c>
      <c r="O212" s="3805"/>
      <c r="P212" s="1819"/>
      <c r="Q212" s="799"/>
      <c r="R212" s="7310">
        <f t="shared" si="386"/>
        <v>0</v>
      </c>
      <c r="S212" s="3805"/>
      <c r="T212" s="1819"/>
      <c r="U212" s="799"/>
      <c r="V212" s="7310">
        <f t="shared" si="387"/>
        <v>0</v>
      </c>
      <c r="W212" s="3805"/>
      <c r="X212" s="1819"/>
      <c r="Y212" s="848"/>
      <c r="Z212" s="7301">
        <f t="shared" si="388"/>
        <v>0</v>
      </c>
      <c r="AA212" s="4498"/>
      <c r="AB212" s="7302">
        <f t="shared" si="389"/>
        <v>0</v>
      </c>
      <c r="AC212" s="3805"/>
      <c r="AD212" s="1819"/>
      <c r="AE212" s="799"/>
      <c r="AF212" s="7310">
        <f t="shared" si="390"/>
        <v>0</v>
      </c>
      <c r="AG212" s="3805"/>
      <c r="AH212" s="1819"/>
      <c r="AI212" s="799"/>
      <c r="AJ212" s="349">
        <f t="shared" si="395"/>
        <v>0</v>
      </c>
      <c r="AK212" s="3805"/>
      <c r="AL212" s="1819"/>
      <c r="AM212" s="848"/>
      <c r="AN212" s="586">
        <f t="shared" si="394"/>
        <v>0</v>
      </c>
      <c r="AO212" s="799"/>
      <c r="AP212" s="349">
        <f t="shared" si="392"/>
        <v>0</v>
      </c>
      <c r="AQ212" s="3805"/>
      <c r="AR212" s="1819"/>
      <c r="AS212" s="799"/>
      <c r="AT212" s="41">
        <f t="shared" si="396"/>
        <v>0</v>
      </c>
      <c r="AU212" s="3805"/>
      <c r="AV212" s="1819"/>
      <c r="AW212" s="799"/>
      <c r="AX212" s="41">
        <f t="shared" si="397"/>
        <v>0</v>
      </c>
      <c r="AY212" s="3805"/>
      <c r="AZ212" s="1819"/>
      <c r="BA212" s="848"/>
      <c r="BB212" s="586">
        <f t="shared" si="391"/>
        <v>0</v>
      </c>
      <c r="BC212" s="4498"/>
      <c r="BD212" s="7302">
        <f t="shared" si="393"/>
        <v>0</v>
      </c>
      <c r="BE212" s="799"/>
      <c r="BF212" s="41">
        <f t="shared" si="398"/>
        <v>0</v>
      </c>
      <c r="BG212" s="4152">
        <f t="shared" si="399"/>
        <v>0</v>
      </c>
      <c r="BH212" s="4152">
        <f t="shared" si="400"/>
        <v>0</v>
      </c>
      <c r="BI212" s="4152"/>
      <c r="BJ212" s="4152">
        <f t="shared" si="401"/>
        <v>0</v>
      </c>
      <c r="BK212" s="4152">
        <f t="shared" si="402"/>
        <v>0</v>
      </c>
    </row>
    <row r="213" spans="1:63" ht="19.5" customHeight="1" thickBot="1" x14ac:dyDescent="0.3">
      <c r="A213" s="144"/>
      <c r="B213" s="3843" t="s">
        <v>834</v>
      </c>
      <c r="C213" s="3836" t="s">
        <v>864</v>
      </c>
      <c r="D213" s="3836"/>
      <c r="E213" s="3805"/>
      <c r="F213" s="1819"/>
      <c r="G213" s="3805"/>
      <c r="H213" s="1819">
        <v>251.24</v>
      </c>
      <c r="I213" s="799"/>
      <c r="J213" s="7310">
        <f t="shared" si="384"/>
        <v>251.24</v>
      </c>
      <c r="K213" s="3805"/>
      <c r="L213" s="1819">
        <v>502.02</v>
      </c>
      <c r="M213" s="848"/>
      <c r="N213" s="7301">
        <f t="shared" si="385"/>
        <v>753.26</v>
      </c>
      <c r="O213" s="3805"/>
      <c r="P213" s="1819">
        <v>302.06</v>
      </c>
      <c r="Q213" s="799"/>
      <c r="R213" s="7310">
        <f t="shared" si="386"/>
        <v>1055.32</v>
      </c>
      <c r="S213" s="3805"/>
      <c r="T213" s="1819">
        <v>123.38</v>
      </c>
      <c r="U213" s="799"/>
      <c r="V213" s="7310">
        <f t="shared" si="387"/>
        <v>1178.6999999999998</v>
      </c>
      <c r="W213" s="3805"/>
      <c r="X213" s="1819">
        <v>186.73999999999998</v>
      </c>
      <c r="Y213" s="848"/>
      <c r="Z213" s="7301">
        <f t="shared" si="388"/>
        <v>612.17999999999995</v>
      </c>
      <c r="AA213" s="4498"/>
      <c r="AB213" s="7302">
        <f t="shared" si="389"/>
        <v>1365.44</v>
      </c>
      <c r="AC213" s="3805"/>
      <c r="AD213" s="1819"/>
      <c r="AE213" s="799"/>
      <c r="AF213" s="7310">
        <f t="shared" si="390"/>
        <v>1365.44</v>
      </c>
      <c r="AG213" s="3805"/>
      <c r="AH213" s="1819">
        <v>29.68</v>
      </c>
      <c r="AI213" s="799"/>
      <c r="AJ213" s="349">
        <f t="shared" si="395"/>
        <v>1395.1200000000001</v>
      </c>
      <c r="AK213" s="3805"/>
      <c r="AL213" s="1819">
        <v>630.76</v>
      </c>
      <c r="AM213" s="848"/>
      <c r="AN213" s="586">
        <f t="shared" si="394"/>
        <v>660.43999999999994</v>
      </c>
      <c r="AO213" s="799"/>
      <c r="AP213" s="349">
        <f t="shared" si="392"/>
        <v>2025.88</v>
      </c>
      <c r="AQ213" s="3805"/>
      <c r="AR213" s="1819">
        <v>626.42000000000007</v>
      </c>
      <c r="AS213" s="799"/>
      <c r="AT213" s="41">
        <f t="shared" si="396"/>
        <v>2652.3</v>
      </c>
      <c r="AU213" s="3805"/>
      <c r="AV213" s="1819">
        <v>42.18</v>
      </c>
      <c r="AW213" s="799"/>
      <c r="AX213" s="41">
        <f t="shared" si="397"/>
        <v>2694.48</v>
      </c>
      <c r="AY213" s="3805"/>
      <c r="AZ213" s="1819">
        <v>101.55</v>
      </c>
      <c r="BA213" s="848"/>
      <c r="BB213" s="586">
        <f t="shared" si="391"/>
        <v>770.15</v>
      </c>
      <c r="BC213" s="4498"/>
      <c r="BD213" s="7302">
        <f t="shared" si="393"/>
        <v>1430.59</v>
      </c>
      <c r="BE213" s="799"/>
      <c r="BF213" s="41">
        <f t="shared" si="398"/>
        <v>2796.03</v>
      </c>
      <c r="BG213" s="4152">
        <f t="shared" si="399"/>
        <v>0</v>
      </c>
      <c r="BH213" s="4152">
        <f t="shared" si="400"/>
        <v>0</v>
      </c>
      <c r="BI213" s="4152"/>
      <c r="BJ213" s="4152">
        <f t="shared" si="401"/>
        <v>0</v>
      </c>
      <c r="BK213" s="4152">
        <f t="shared" si="402"/>
        <v>0</v>
      </c>
    </row>
    <row r="214" spans="1:63" ht="15.75" customHeight="1" thickBot="1" x14ac:dyDescent="0.3">
      <c r="A214" s="144"/>
      <c r="B214" s="3843" t="s">
        <v>834</v>
      </c>
      <c r="C214" s="3836" t="s">
        <v>1555</v>
      </c>
      <c r="D214" s="3815"/>
      <c r="E214" s="3805"/>
      <c r="F214" s="1819"/>
      <c r="G214" s="3805"/>
      <c r="H214" s="1819"/>
      <c r="I214" s="799"/>
      <c r="J214" s="7310">
        <f t="shared" si="384"/>
        <v>0</v>
      </c>
      <c r="K214" s="3805"/>
      <c r="L214" s="1819"/>
      <c r="M214" s="848"/>
      <c r="N214" s="7301">
        <f t="shared" si="385"/>
        <v>0</v>
      </c>
      <c r="O214" s="3805"/>
      <c r="P214" s="1819"/>
      <c r="Q214" s="799"/>
      <c r="R214" s="7310">
        <f t="shared" si="386"/>
        <v>0</v>
      </c>
      <c r="S214" s="3805"/>
      <c r="T214" s="1819"/>
      <c r="U214" s="799"/>
      <c r="V214" s="7310">
        <f t="shared" si="387"/>
        <v>0</v>
      </c>
      <c r="W214" s="3805"/>
      <c r="X214" s="1819"/>
      <c r="Y214" s="848"/>
      <c r="Z214" s="7301">
        <f t="shared" si="388"/>
        <v>0</v>
      </c>
      <c r="AA214" s="4498"/>
      <c r="AB214" s="7302">
        <f t="shared" si="389"/>
        <v>0</v>
      </c>
      <c r="AC214" s="3805"/>
      <c r="AD214" s="1819"/>
      <c r="AE214" s="799"/>
      <c r="AF214" s="7310">
        <f t="shared" si="390"/>
        <v>0</v>
      </c>
      <c r="AG214" s="3805"/>
      <c r="AH214" s="1819"/>
      <c r="AI214" s="799"/>
      <c r="AJ214" s="349">
        <f t="shared" si="395"/>
        <v>0</v>
      </c>
      <c r="AK214" s="3805"/>
      <c r="AL214" s="1819"/>
      <c r="AM214" s="848"/>
      <c r="AN214" s="586">
        <f t="shared" si="394"/>
        <v>0</v>
      </c>
      <c r="AO214" s="799"/>
      <c r="AP214" s="349">
        <f t="shared" si="392"/>
        <v>0</v>
      </c>
      <c r="AQ214" s="3805"/>
      <c r="AR214" s="1819"/>
      <c r="AS214" s="799"/>
      <c r="AT214" s="41">
        <f t="shared" si="396"/>
        <v>0</v>
      </c>
      <c r="AU214" s="3805"/>
      <c r="AV214" s="1819"/>
      <c r="AW214" s="799"/>
      <c r="AX214" s="41">
        <f t="shared" si="397"/>
        <v>0</v>
      </c>
      <c r="AY214" s="3805"/>
      <c r="AZ214" s="1819"/>
      <c r="BA214" s="848"/>
      <c r="BB214" s="586">
        <f t="shared" si="391"/>
        <v>0</v>
      </c>
      <c r="BC214" s="4498"/>
      <c r="BD214" s="7302">
        <f t="shared" si="393"/>
        <v>0</v>
      </c>
      <c r="BE214" s="799"/>
      <c r="BF214" s="41">
        <f t="shared" si="398"/>
        <v>0</v>
      </c>
      <c r="BG214" s="4152">
        <f t="shared" si="399"/>
        <v>0</v>
      </c>
      <c r="BH214" s="4152">
        <f t="shared" si="400"/>
        <v>0</v>
      </c>
      <c r="BI214" s="4152"/>
      <c r="BJ214" s="4152">
        <f t="shared" si="401"/>
        <v>0</v>
      </c>
      <c r="BK214" s="4152">
        <f t="shared" si="402"/>
        <v>0</v>
      </c>
    </row>
    <row r="215" spans="1:63" ht="15.75" thickBot="1" x14ac:dyDescent="0.3">
      <c r="A215" s="144"/>
      <c r="B215" s="3843" t="s">
        <v>834</v>
      </c>
      <c r="C215" s="3836" t="s">
        <v>845</v>
      </c>
      <c r="D215" s="3815"/>
      <c r="E215" s="3805"/>
      <c r="F215" s="1819"/>
      <c r="G215" s="3805"/>
      <c r="H215" s="1819">
        <v>489.58000000000004</v>
      </c>
      <c r="I215" s="799"/>
      <c r="J215" s="7310">
        <f t="shared" si="384"/>
        <v>489.58000000000004</v>
      </c>
      <c r="K215" s="3805"/>
      <c r="L215" s="1819">
        <v>431.18</v>
      </c>
      <c r="M215" s="848"/>
      <c r="N215" s="7301">
        <f t="shared" si="385"/>
        <v>920.76</v>
      </c>
      <c r="O215" s="3805"/>
      <c r="P215" s="1819">
        <v>353.12</v>
      </c>
      <c r="Q215" s="799"/>
      <c r="R215" s="7310">
        <f t="shared" si="386"/>
        <v>1273.8800000000001</v>
      </c>
      <c r="S215" s="3805"/>
      <c r="T215" s="1819">
        <v>1111.52</v>
      </c>
      <c r="U215" s="799"/>
      <c r="V215" s="7310">
        <f t="shared" si="387"/>
        <v>2385.4</v>
      </c>
      <c r="W215" s="3805"/>
      <c r="X215" s="1819">
        <v>560.68000000000006</v>
      </c>
      <c r="Y215" s="848"/>
      <c r="Z215" s="7301">
        <f t="shared" si="388"/>
        <v>2025.32</v>
      </c>
      <c r="AA215" s="4498"/>
      <c r="AB215" s="7302">
        <f t="shared" si="389"/>
        <v>2946.08</v>
      </c>
      <c r="AC215" s="3805"/>
      <c r="AD215" s="1819"/>
      <c r="AE215" s="799"/>
      <c r="AF215" s="7310">
        <f t="shared" si="390"/>
        <v>2946.08</v>
      </c>
      <c r="AG215" s="3805"/>
      <c r="AH215" s="1819">
        <v>688.36</v>
      </c>
      <c r="AI215" s="799"/>
      <c r="AJ215" s="349">
        <f t="shared" si="395"/>
        <v>3634.44</v>
      </c>
      <c r="AK215" s="3805"/>
      <c r="AL215" s="1819">
        <v>603.78</v>
      </c>
      <c r="AM215" s="848"/>
      <c r="AN215" s="586">
        <f t="shared" si="394"/>
        <v>1292.1399999999999</v>
      </c>
      <c r="AO215" s="799"/>
      <c r="AP215" s="349">
        <f t="shared" si="392"/>
        <v>4238.22</v>
      </c>
      <c r="AQ215" s="3805"/>
      <c r="AR215" s="1819">
        <v>924.80000000000007</v>
      </c>
      <c r="AS215" s="799"/>
      <c r="AT215" s="41">
        <f t="shared" si="396"/>
        <v>5163.0200000000004</v>
      </c>
      <c r="AU215" s="3805"/>
      <c r="AV215" s="1819">
        <v>211.15</v>
      </c>
      <c r="AW215" s="799"/>
      <c r="AX215" s="41">
        <f t="shared" si="397"/>
        <v>5374.17</v>
      </c>
      <c r="AY215" s="3805"/>
      <c r="AZ215" s="1819">
        <v>627.05999999999995</v>
      </c>
      <c r="BA215" s="848"/>
      <c r="BB215" s="586">
        <f t="shared" si="391"/>
        <v>1763.01</v>
      </c>
      <c r="BC215" s="4498"/>
      <c r="BD215" s="7302">
        <f t="shared" si="393"/>
        <v>3055.1499999999996</v>
      </c>
      <c r="BE215" s="799"/>
      <c r="BF215" s="41">
        <f t="shared" si="398"/>
        <v>6001.23</v>
      </c>
      <c r="BG215" s="4152">
        <f t="shared" si="399"/>
        <v>0</v>
      </c>
      <c r="BH215" s="4152">
        <f t="shared" si="400"/>
        <v>0</v>
      </c>
      <c r="BI215" s="4152"/>
      <c r="BJ215" s="4152">
        <f t="shared" si="401"/>
        <v>0</v>
      </c>
      <c r="BK215" s="4152">
        <f t="shared" si="402"/>
        <v>0</v>
      </c>
    </row>
    <row r="216" spans="1:63" ht="15.75" thickBot="1" x14ac:dyDescent="0.3">
      <c r="A216" s="144"/>
      <c r="B216" s="3843" t="s">
        <v>834</v>
      </c>
      <c r="C216" s="3836" t="s">
        <v>1110</v>
      </c>
      <c r="D216" s="3815"/>
      <c r="E216" s="3805"/>
      <c r="F216" s="1819">
        <v>40.06</v>
      </c>
      <c r="G216" s="3805"/>
      <c r="H216" s="1819">
        <v>186.76</v>
      </c>
      <c r="I216" s="799"/>
      <c r="J216" s="7310">
        <f t="shared" si="384"/>
        <v>226.82</v>
      </c>
      <c r="K216" s="3805"/>
      <c r="L216" s="1819">
        <v>60.04</v>
      </c>
      <c r="M216" s="848"/>
      <c r="N216" s="7301">
        <f t="shared" si="385"/>
        <v>286.86</v>
      </c>
      <c r="O216" s="3805"/>
      <c r="P216" s="1819">
        <v>176.26</v>
      </c>
      <c r="Q216" s="799"/>
      <c r="R216" s="7310">
        <f t="shared" si="386"/>
        <v>463.12</v>
      </c>
      <c r="S216" s="3805"/>
      <c r="T216" s="1819">
        <v>122.66</v>
      </c>
      <c r="U216" s="799"/>
      <c r="V216" s="7310">
        <f t="shared" si="387"/>
        <v>585.78</v>
      </c>
      <c r="W216" s="3805"/>
      <c r="X216" s="1819">
        <v>250.32</v>
      </c>
      <c r="Y216" s="848"/>
      <c r="Z216" s="7301">
        <f t="shared" si="388"/>
        <v>549.24</v>
      </c>
      <c r="AA216" s="4498"/>
      <c r="AB216" s="7302">
        <f t="shared" si="389"/>
        <v>836.1</v>
      </c>
      <c r="AC216" s="3805"/>
      <c r="AD216" s="1819"/>
      <c r="AE216" s="799"/>
      <c r="AF216" s="7310">
        <f t="shared" si="390"/>
        <v>836.1</v>
      </c>
      <c r="AG216" s="3805"/>
      <c r="AH216" s="1819"/>
      <c r="AI216" s="799"/>
      <c r="AJ216" s="349">
        <f t="shared" si="395"/>
        <v>836.1</v>
      </c>
      <c r="AK216" s="3805"/>
      <c r="AL216" s="1819">
        <v>310.86</v>
      </c>
      <c r="AM216" s="848"/>
      <c r="AN216" s="586">
        <f t="shared" si="394"/>
        <v>310.86</v>
      </c>
      <c r="AO216" s="799"/>
      <c r="AP216" s="349">
        <f t="shared" si="392"/>
        <v>1146.96</v>
      </c>
      <c r="AQ216" s="3805"/>
      <c r="AR216" s="1819">
        <v>372.22</v>
      </c>
      <c r="AS216" s="799"/>
      <c r="AT216" s="41">
        <f t="shared" si="396"/>
        <v>1519.18</v>
      </c>
      <c r="AU216" s="3805"/>
      <c r="AV216" s="1819">
        <v>271.2</v>
      </c>
      <c r="AW216" s="799"/>
      <c r="AX216" s="41">
        <f t="shared" si="397"/>
        <v>1790.38</v>
      </c>
      <c r="AY216" s="3805"/>
      <c r="AZ216" s="1819"/>
      <c r="BA216" s="848"/>
      <c r="BB216" s="586">
        <f t="shared" si="391"/>
        <v>643.42000000000007</v>
      </c>
      <c r="BC216" s="4498"/>
      <c r="BD216" s="7302">
        <f t="shared" si="393"/>
        <v>954.28000000000009</v>
      </c>
      <c r="BE216" s="799"/>
      <c r="BF216" s="41">
        <f t="shared" si="398"/>
        <v>1790.38</v>
      </c>
      <c r="BG216" s="4152">
        <f t="shared" si="399"/>
        <v>0</v>
      </c>
      <c r="BH216" s="4152">
        <f t="shared" si="400"/>
        <v>0</v>
      </c>
      <c r="BI216" s="4152"/>
      <c r="BJ216" s="4152">
        <f t="shared" si="401"/>
        <v>0</v>
      </c>
      <c r="BK216" s="4152">
        <f t="shared" si="402"/>
        <v>0</v>
      </c>
    </row>
    <row r="217" spans="1:63" ht="20.25" customHeight="1" thickBot="1" x14ac:dyDescent="0.3">
      <c r="A217" s="144"/>
      <c r="B217" s="3843" t="s">
        <v>834</v>
      </c>
      <c r="C217" s="3836" t="s">
        <v>1109</v>
      </c>
      <c r="D217" s="3815"/>
      <c r="E217" s="3805"/>
      <c r="F217" s="1819"/>
      <c r="G217" s="3805"/>
      <c r="H217" s="1819">
        <v>1573.5600000000002</v>
      </c>
      <c r="I217" s="799"/>
      <c r="J217" s="7310">
        <f t="shared" ref="J217:J289" si="403">F217+H217</f>
        <v>1573.5600000000002</v>
      </c>
      <c r="K217" s="3805"/>
      <c r="L217" s="1819">
        <v>1386.56</v>
      </c>
      <c r="M217" s="848"/>
      <c r="N217" s="7301">
        <f t="shared" ref="N217:N289" si="404">J217+L217</f>
        <v>2960.12</v>
      </c>
      <c r="O217" s="3805"/>
      <c r="P217" s="1819">
        <v>1005.6700000000001</v>
      </c>
      <c r="Q217" s="799"/>
      <c r="R217" s="7310">
        <f t="shared" ref="R217:R289" si="405">N217+P217</f>
        <v>3965.79</v>
      </c>
      <c r="S217" s="3805"/>
      <c r="T217" s="1819">
        <v>1812.4</v>
      </c>
      <c r="U217" s="799"/>
      <c r="V217" s="7310">
        <f t="shared" ref="V217:V289" si="406">R217+T217</f>
        <v>5778.1900000000005</v>
      </c>
      <c r="W217" s="3805"/>
      <c r="X217" s="1819">
        <v>809.02</v>
      </c>
      <c r="Y217" s="848"/>
      <c r="Z217" s="7301">
        <f t="shared" ref="Z217:Z289" si="407">P217+T217+X217</f>
        <v>3627.09</v>
      </c>
      <c r="AA217" s="4498"/>
      <c r="AB217" s="7302">
        <f t="shared" ref="AB217:AB289" si="408">N217+Z217</f>
        <v>6587.21</v>
      </c>
      <c r="AC217" s="3805"/>
      <c r="AD217" s="1819"/>
      <c r="AE217" s="799"/>
      <c r="AF217" s="7310">
        <f t="shared" ref="AF217:AF289" si="409">AB217+AD217</f>
        <v>6587.21</v>
      </c>
      <c r="AG217" s="3805"/>
      <c r="AH217" s="1819">
        <v>930.26</v>
      </c>
      <c r="AI217" s="799"/>
      <c r="AJ217" s="349">
        <f t="shared" si="395"/>
        <v>7517.47</v>
      </c>
      <c r="AK217" s="3805"/>
      <c r="AL217" s="1819">
        <v>623.58000000000004</v>
      </c>
      <c r="AM217" s="848"/>
      <c r="AN217" s="586">
        <f t="shared" si="394"/>
        <v>1553.8400000000001</v>
      </c>
      <c r="AO217" s="799"/>
      <c r="AP217" s="349">
        <f t="shared" si="392"/>
        <v>8141.05</v>
      </c>
      <c r="AQ217" s="3805"/>
      <c r="AR217" s="1819">
        <v>1245.22</v>
      </c>
      <c r="AS217" s="799"/>
      <c r="AT217" s="41">
        <f t="shared" si="396"/>
        <v>9386.27</v>
      </c>
      <c r="AU217" s="3805"/>
      <c r="AV217" s="1819">
        <v>328.51</v>
      </c>
      <c r="AW217" s="799"/>
      <c r="AX217" s="41">
        <f t="shared" si="397"/>
        <v>9714.7800000000007</v>
      </c>
      <c r="AY217" s="3805"/>
      <c r="AZ217" s="1819">
        <v>1631.89</v>
      </c>
      <c r="BA217" s="848"/>
      <c r="BB217" s="586">
        <f t="shared" si="391"/>
        <v>3205.62</v>
      </c>
      <c r="BC217" s="4498"/>
      <c r="BD217" s="7302">
        <f t="shared" si="393"/>
        <v>4759.46</v>
      </c>
      <c r="BE217" s="799"/>
      <c r="BF217" s="41">
        <f t="shared" si="398"/>
        <v>11346.67</v>
      </c>
      <c r="BG217" s="4152">
        <f t="shared" si="399"/>
        <v>0</v>
      </c>
      <c r="BH217" s="4152">
        <f t="shared" si="400"/>
        <v>0</v>
      </c>
      <c r="BI217" s="4152"/>
      <c r="BJ217" s="4152">
        <f t="shared" si="401"/>
        <v>0</v>
      </c>
      <c r="BK217" s="4152">
        <f t="shared" si="402"/>
        <v>0</v>
      </c>
    </row>
    <row r="218" spans="1:63" s="7067" customFormat="1" ht="20.25" customHeight="1" thickBot="1" x14ac:dyDescent="0.3">
      <c r="A218" s="144"/>
      <c r="B218" s="3843" t="s">
        <v>834</v>
      </c>
      <c r="C218" s="3836" t="s">
        <v>873</v>
      </c>
      <c r="D218" s="7043"/>
      <c r="E218" s="7069"/>
      <c r="F218" s="7034"/>
      <c r="G218" s="7069"/>
      <c r="H218" s="7034"/>
      <c r="I218" s="7070"/>
      <c r="J218" s="7044"/>
      <c r="K218" s="7069"/>
      <c r="L218" s="7034"/>
      <c r="M218" s="7071"/>
      <c r="N218" s="7045"/>
      <c r="O218" s="7069"/>
      <c r="P218" s="7034"/>
      <c r="Q218" s="7070"/>
      <c r="R218" s="7044"/>
      <c r="S218" s="7069"/>
      <c r="T218" s="7034"/>
      <c r="U218" s="7070"/>
      <c r="V218" s="7044"/>
      <c r="W218" s="7069"/>
      <c r="X218" s="7034"/>
      <c r="Y218" s="7071"/>
      <c r="Z218" s="7045"/>
      <c r="AA218" s="7395"/>
      <c r="AB218" s="7379"/>
      <c r="AC218" s="7069"/>
      <c r="AD218" s="7034"/>
      <c r="AE218" s="7070"/>
      <c r="AF218" s="7044"/>
      <c r="AG218" s="7069"/>
      <c r="AH218" s="7034"/>
      <c r="AI218" s="7070"/>
      <c r="AJ218" s="349"/>
      <c r="AK218" s="7069"/>
      <c r="AL218" s="7034"/>
      <c r="AM218" s="7071"/>
      <c r="AN218" s="586"/>
      <c r="AO218" s="7070"/>
      <c r="AP218" s="349"/>
      <c r="AQ218" s="7069"/>
      <c r="AR218" s="7034"/>
      <c r="AS218" s="7070"/>
      <c r="AT218" s="41"/>
      <c r="AU218" s="7069"/>
      <c r="AV218" s="7034"/>
      <c r="AW218" s="7070"/>
      <c r="AX218" s="41"/>
      <c r="AY218" s="7069"/>
      <c r="AZ218" s="7034">
        <v>118.88</v>
      </c>
      <c r="BA218" s="7071"/>
      <c r="BB218" s="586">
        <f t="shared" ref="BB218" si="410">AR218+AV218+AZ218</f>
        <v>118.88</v>
      </c>
      <c r="BC218" s="4498"/>
      <c r="BD218" s="7302">
        <f t="shared" ref="BD218" si="411">AN218+BB218</f>
        <v>118.88</v>
      </c>
      <c r="BE218" s="799"/>
      <c r="BF218" s="41">
        <f t="shared" si="398"/>
        <v>118.88</v>
      </c>
      <c r="BG218" s="4152">
        <f t="shared" si="399"/>
        <v>0</v>
      </c>
      <c r="BH218" s="4152">
        <f t="shared" si="400"/>
        <v>0</v>
      </c>
      <c r="BI218" s="4152"/>
      <c r="BJ218" s="4152">
        <f t="shared" si="401"/>
        <v>0</v>
      </c>
      <c r="BK218" s="4152">
        <f t="shared" si="402"/>
        <v>0</v>
      </c>
    </row>
    <row r="219" spans="1:63" s="7067" customFormat="1" ht="20.25" customHeight="1" thickBot="1" x14ac:dyDescent="0.3">
      <c r="A219" s="144"/>
      <c r="B219" s="3843" t="s">
        <v>834</v>
      </c>
      <c r="C219" s="3836" t="s">
        <v>1105</v>
      </c>
      <c r="D219" s="7043"/>
      <c r="E219" s="7069"/>
      <c r="F219" s="7034"/>
      <c r="G219" s="7069"/>
      <c r="H219" s="7034"/>
      <c r="I219" s="7070"/>
      <c r="J219" s="7044"/>
      <c r="K219" s="7069"/>
      <c r="L219" s="7034"/>
      <c r="M219" s="7071"/>
      <c r="N219" s="7045"/>
      <c r="O219" s="7069"/>
      <c r="P219" s="7034"/>
      <c r="Q219" s="7070"/>
      <c r="R219" s="7044"/>
      <c r="S219" s="7069"/>
      <c r="T219" s="7034"/>
      <c r="U219" s="7070"/>
      <c r="V219" s="7044"/>
      <c r="W219" s="7069"/>
      <c r="X219" s="7034"/>
      <c r="Y219" s="7071"/>
      <c r="Z219" s="7045"/>
      <c r="AA219" s="7395"/>
      <c r="AB219" s="7379"/>
      <c r="AC219" s="7069"/>
      <c r="AD219" s="7034"/>
      <c r="AE219" s="7070"/>
      <c r="AF219" s="7044"/>
      <c r="AG219" s="7069"/>
      <c r="AH219" s="7034"/>
      <c r="AI219" s="7070"/>
      <c r="AJ219" s="349"/>
      <c r="AK219" s="7069"/>
      <c r="AL219" s="7034"/>
      <c r="AM219" s="7071"/>
      <c r="AN219" s="586"/>
      <c r="AO219" s="7070"/>
      <c r="AP219" s="349"/>
      <c r="AQ219" s="7069"/>
      <c r="AR219" s="7034"/>
      <c r="AS219" s="7070"/>
      <c r="AT219" s="41"/>
      <c r="AU219" s="7069"/>
      <c r="AV219" s="7034"/>
      <c r="AW219" s="7070"/>
      <c r="AX219" s="41"/>
      <c r="AY219" s="7069"/>
      <c r="AZ219" s="7034">
        <v>357.44</v>
      </c>
      <c r="BA219" s="7071"/>
      <c r="BB219" s="586">
        <f t="shared" ref="BB219" si="412">AR219+AV219+AZ219</f>
        <v>357.44</v>
      </c>
      <c r="BC219" s="4498"/>
      <c r="BD219" s="7302">
        <f t="shared" ref="BD219" si="413">AN219+BB219</f>
        <v>357.44</v>
      </c>
      <c r="BE219" s="799"/>
      <c r="BF219" s="41">
        <f t="shared" si="398"/>
        <v>357.44</v>
      </c>
      <c r="BG219" s="4152">
        <f t="shared" si="399"/>
        <v>0</v>
      </c>
      <c r="BH219" s="4152">
        <f t="shared" si="400"/>
        <v>0</v>
      </c>
      <c r="BI219" s="4152"/>
      <c r="BJ219" s="4152">
        <f t="shared" si="401"/>
        <v>0</v>
      </c>
      <c r="BK219" s="4152">
        <f t="shared" si="402"/>
        <v>0</v>
      </c>
    </row>
    <row r="220" spans="1:63" ht="19.5" customHeight="1" thickBot="1" x14ac:dyDescent="0.3">
      <c r="A220" s="144"/>
      <c r="B220" s="3843" t="s">
        <v>834</v>
      </c>
      <c r="C220" s="3836" t="s">
        <v>1280</v>
      </c>
      <c r="D220" s="3836"/>
      <c r="E220" s="3805"/>
      <c r="F220" s="1819"/>
      <c r="G220" s="3805"/>
      <c r="H220" s="1819"/>
      <c r="I220" s="799"/>
      <c r="J220" s="7310">
        <f t="shared" si="403"/>
        <v>0</v>
      </c>
      <c r="K220" s="3805"/>
      <c r="L220" s="1819">
        <v>123.7</v>
      </c>
      <c r="M220" s="848"/>
      <c r="N220" s="7301">
        <f t="shared" si="404"/>
        <v>123.7</v>
      </c>
      <c r="O220" s="3805"/>
      <c r="P220" s="1819">
        <v>677.18</v>
      </c>
      <c r="Q220" s="799"/>
      <c r="R220" s="7310">
        <f t="shared" si="405"/>
        <v>800.88</v>
      </c>
      <c r="S220" s="3805"/>
      <c r="T220" s="1819">
        <v>186.22</v>
      </c>
      <c r="U220" s="799"/>
      <c r="V220" s="7310">
        <f t="shared" si="406"/>
        <v>987.1</v>
      </c>
      <c r="W220" s="3805"/>
      <c r="X220" s="1819">
        <v>1233.23</v>
      </c>
      <c r="Y220" s="848"/>
      <c r="Z220" s="7301">
        <f t="shared" si="407"/>
        <v>2096.63</v>
      </c>
      <c r="AA220" s="4498"/>
      <c r="AB220" s="7302">
        <f t="shared" si="408"/>
        <v>2220.33</v>
      </c>
      <c r="AC220" s="3805"/>
      <c r="AD220" s="1819">
        <v>61.44</v>
      </c>
      <c r="AE220" s="799"/>
      <c r="AF220" s="7310">
        <f t="shared" si="409"/>
        <v>2281.77</v>
      </c>
      <c r="AG220" s="3805"/>
      <c r="AH220" s="1819"/>
      <c r="AI220" s="799"/>
      <c r="AJ220" s="349">
        <f t="shared" si="395"/>
        <v>2281.77</v>
      </c>
      <c r="AK220" s="3805"/>
      <c r="AL220" s="1819"/>
      <c r="AM220" s="848"/>
      <c r="AN220" s="586">
        <f t="shared" si="394"/>
        <v>61.44</v>
      </c>
      <c r="AO220" s="799"/>
      <c r="AP220" s="349">
        <f t="shared" si="392"/>
        <v>2281.77</v>
      </c>
      <c r="AQ220" s="3805"/>
      <c r="AR220" s="1819">
        <v>450.30999999999995</v>
      </c>
      <c r="AS220" s="799"/>
      <c r="AT220" s="41">
        <f t="shared" si="396"/>
        <v>2732.08</v>
      </c>
      <c r="AU220" s="3805"/>
      <c r="AV220" s="1819">
        <v>204.87</v>
      </c>
      <c r="AW220" s="799"/>
      <c r="AX220" s="41">
        <f t="shared" si="397"/>
        <v>2936.95</v>
      </c>
      <c r="AY220" s="3805"/>
      <c r="AZ220" s="1819"/>
      <c r="BA220" s="848"/>
      <c r="BB220" s="586">
        <f t="shared" si="391"/>
        <v>655.17999999999995</v>
      </c>
      <c r="BC220" s="4498"/>
      <c r="BD220" s="7302">
        <f t="shared" si="393"/>
        <v>716.61999999999989</v>
      </c>
      <c r="BE220" s="799"/>
      <c r="BF220" s="41">
        <f t="shared" si="398"/>
        <v>2936.95</v>
      </c>
      <c r="BG220" s="4152">
        <f t="shared" si="399"/>
        <v>0</v>
      </c>
      <c r="BH220" s="4152">
        <f t="shared" si="400"/>
        <v>0</v>
      </c>
      <c r="BI220" s="4152"/>
      <c r="BJ220" s="4152">
        <f t="shared" si="401"/>
        <v>0</v>
      </c>
      <c r="BK220" s="4152">
        <f t="shared" si="402"/>
        <v>0</v>
      </c>
    </row>
    <row r="221" spans="1:63" ht="15.75" thickBot="1" x14ac:dyDescent="0.3">
      <c r="A221" s="144"/>
      <c r="B221" s="3843" t="s">
        <v>834</v>
      </c>
      <c r="C221" s="3836" t="s">
        <v>960</v>
      </c>
      <c r="D221" s="194"/>
      <c r="E221" s="194"/>
      <c r="F221" s="2237"/>
      <c r="G221" s="194"/>
      <c r="H221" s="5568">
        <v>432.36</v>
      </c>
      <c r="I221" s="7312"/>
      <c r="J221" s="7310">
        <f t="shared" si="403"/>
        <v>432.36</v>
      </c>
      <c r="K221" s="194"/>
      <c r="L221" s="5680">
        <v>372.38</v>
      </c>
      <c r="M221" s="7304"/>
      <c r="N221" s="7301">
        <f t="shared" si="404"/>
        <v>804.74</v>
      </c>
      <c r="O221" s="194"/>
      <c r="P221" s="5837">
        <v>124.16</v>
      </c>
      <c r="Q221" s="7312"/>
      <c r="R221" s="7310">
        <f t="shared" si="405"/>
        <v>928.9</v>
      </c>
      <c r="S221" s="194"/>
      <c r="T221" s="5893"/>
      <c r="U221" s="7312"/>
      <c r="V221" s="7310">
        <f t="shared" si="406"/>
        <v>928.9</v>
      </c>
      <c r="W221" s="194"/>
      <c r="X221" s="6007"/>
      <c r="Y221" s="7304"/>
      <c r="Z221" s="7301">
        <f t="shared" si="407"/>
        <v>124.16</v>
      </c>
      <c r="AA221" s="7323"/>
      <c r="AB221" s="7302">
        <f t="shared" si="408"/>
        <v>928.9</v>
      </c>
      <c r="AC221" s="194"/>
      <c r="AD221" s="6138"/>
      <c r="AE221" s="7312"/>
      <c r="AF221" s="7310">
        <f t="shared" si="409"/>
        <v>928.9</v>
      </c>
      <c r="AG221" s="194"/>
      <c r="AH221" s="6300">
        <v>189.03</v>
      </c>
      <c r="AI221" s="7312"/>
      <c r="AJ221" s="349">
        <f t="shared" si="395"/>
        <v>1117.93</v>
      </c>
      <c r="AK221" s="194"/>
      <c r="AL221" s="6549"/>
      <c r="AM221" s="7304"/>
      <c r="AN221" s="586">
        <f t="shared" si="394"/>
        <v>189.03</v>
      </c>
      <c r="AO221" s="7312"/>
      <c r="AP221" s="349">
        <f t="shared" si="392"/>
        <v>1117.93</v>
      </c>
      <c r="AQ221" s="194"/>
      <c r="AR221" s="6643"/>
      <c r="AS221" s="7312"/>
      <c r="AT221" s="41">
        <f t="shared" si="396"/>
        <v>1117.93</v>
      </c>
      <c r="AU221" s="194"/>
      <c r="AV221" s="6815">
        <v>302.26</v>
      </c>
      <c r="AW221" s="7312"/>
      <c r="AX221" s="41">
        <f t="shared" si="397"/>
        <v>1420.19</v>
      </c>
      <c r="AY221" s="194"/>
      <c r="AZ221" s="6957">
        <v>386.41</v>
      </c>
      <c r="BA221" s="7304"/>
      <c r="BB221" s="586">
        <f t="shared" si="391"/>
        <v>688.67000000000007</v>
      </c>
      <c r="BC221" s="7323"/>
      <c r="BD221" s="7302">
        <f t="shared" si="393"/>
        <v>877.7</v>
      </c>
      <c r="BE221" s="7312"/>
      <c r="BF221" s="41">
        <f t="shared" si="398"/>
        <v>1806.6000000000001</v>
      </c>
      <c r="BG221" s="4152">
        <f t="shared" si="399"/>
        <v>0</v>
      </c>
      <c r="BH221" s="4152">
        <f t="shared" si="400"/>
        <v>0</v>
      </c>
      <c r="BI221" s="4152"/>
      <c r="BJ221" s="4152">
        <f t="shared" si="401"/>
        <v>0</v>
      </c>
      <c r="BK221" s="4152">
        <f t="shared" si="402"/>
        <v>0</v>
      </c>
    </row>
    <row r="222" spans="1:63" ht="15.75" customHeight="1" thickBot="1" x14ac:dyDescent="0.3">
      <c r="A222" s="144"/>
      <c r="B222" s="3843" t="s">
        <v>834</v>
      </c>
      <c r="C222" s="3845" t="s">
        <v>1104</v>
      </c>
      <c r="D222" s="3239"/>
      <c r="E222" s="3239"/>
      <c r="F222" s="3789"/>
      <c r="G222" s="3239"/>
      <c r="H222" s="5572"/>
      <c r="I222" s="7313"/>
      <c r="J222" s="7310">
        <f t="shared" si="403"/>
        <v>0</v>
      </c>
      <c r="K222" s="3239"/>
      <c r="L222" s="5692"/>
      <c r="M222" s="7305"/>
      <c r="N222" s="7301">
        <f t="shared" si="404"/>
        <v>0</v>
      </c>
      <c r="O222" s="3239"/>
      <c r="P222" s="5849"/>
      <c r="Q222" s="7313"/>
      <c r="R222" s="7310">
        <f t="shared" si="405"/>
        <v>0</v>
      </c>
      <c r="S222" s="3239"/>
      <c r="T222" s="5900"/>
      <c r="U222" s="7313"/>
      <c r="V222" s="7310">
        <f t="shared" si="406"/>
        <v>0</v>
      </c>
      <c r="W222" s="3239"/>
      <c r="X222" s="6015"/>
      <c r="Y222" s="7305"/>
      <c r="Z222" s="7301">
        <f t="shared" si="407"/>
        <v>0</v>
      </c>
      <c r="AA222" s="3624"/>
      <c r="AB222" s="7302">
        <f t="shared" si="408"/>
        <v>0</v>
      </c>
      <c r="AC222" s="3239"/>
      <c r="AD222" s="6148"/>
      <c r="AE222" s="7313"/>
      <c r="AF222" s="7310">
        <f t="shared" si="409"/>
        <v>0</v>
      </c>
      <c r="AG222" s="3239"/>
      <c r="AH222" s="6310"/>
      <c r="AI222" s="7313"/>
      <c r="AJ222" s="349">
        <f t="shared" si="395"/>
        <v>0</v>
      </c>
      <c r="AK222" s="3239"/>
      <c r="AL222" s="6556"/>
      <c r="AM222" s="7305"/>
      <c r="AN222" s="586">
        <f t="shared" si="394"/>
        <v>0</v>
      </c>
      <c r="AO222" s="7313"/>
      <c r="AP222" s="349">
        <f t="shared" si="392"/>
        <v>0</v>
      </c>
      <c r="AQ222" s="3239"/>
      <c r="AR222" s="6655"/>
      <c r="AS222" s="7313"/>
      <c r="AT222" s="41">
        <f t="shared" si="396"/>
        <v>0</v>
      </c>
      <c r="AU222" s="3239"/>
      <c r="AV222" s="6821"/>
      <c r="AW222" s="7313"/>
      <c r="AX222" s="41">
        <f t="shared" si="397"/>
        <v>0</v>
      </c>
      <c r="AY222" s="3239"/>
      <c r="AZ222" s="6964"/>
      <c r="BA222" s="7305"/>
      <c r="BB222" s="586">
        <f t="shared" si="391"/>
        <v>0</v>
      </c>
      <c r="BC222" s="3624"/>
      <c r="BD222" s="7302">
        <f t="shared" si="393"/>
        <v>0</v>
      </c>
      <c r="BE222" s="7313"/>
      <c r="BF222" s="41">
        <f t="shared" si="398"/>
        <v>0</v>
      </c>
      <c r="BG222" s="4152">
        <f t="shared" si="399"/>
        <v>0</v>
      </c>
      <c r="BH222" s="4152">
        <f t="shared" si="400"/>
        <v>0</v>
      </c>
      <c r="BI222" s="4152"/>
      <c r="BJ222" s="4152">
        <f t="shared" si="401"/>
        <v>0</v>
      </c>
      <c r="BK222" s="4152">
        <f t="shared" si="402"/>
        <v>0</v>
      </c>
    </row>
    <row r="223" spans="1:63" ht="15.75" customHeight="1" thickBot="1" x14ac:dyDescent="0.3">
      <c r="A223" s="144"/>
      <c r="B223" s="3843" t="s">
        <v>834</v>
      </c>
      <c r="C223" s="3836" t="s">
        <v>868</v>
      </c>
      <c r="D223" s="194"/>
      <c r="E223" s="194"/>
      <c r="F223" s="7610">
        <v>60.02</v>
      </c>
      <c r="G223" s="194"/>
      <c r="H223" s="5568"/>
      <c r="I223" s="7312"/>
      <c r="J223" s="7310">
        <f t="shared" si="403"/>
        <v>60.02</v>
      </c>
      <c r="K223" s="194"/>
      <c r="L223" s="5680"/>
      <c r="M223" s="7304"/>
      <c r="N223" s="7301">
        <f t="shared" si="404"/>
        <v>60.02</v>
      </c>
      <c r="O223" s="194"/>
      <c r="P223" s="5837"/>
      <c r="Q223" s="7312"/>
      <c r="R223" s="7310">
        <f t="shared" si="405"/>
        <v>60.02</v>
      </c>
      <c r="S223" s="194"/>
      <c r="T223" s="5893"/>
      <c r="U223" s="7312"/>
      <c r="V223" s="7310">
        <f t="shared" si="406"/>
        <v>60.02</v>
      </c>
      <c r="W223" s="194"/>
      <c r="X223" s="6007"/>
      <c r="Y223" s="7304"/>
      <c r="Z223" s="7301">
        <f t="shared" si="407"/>
        <v>0</v>
      </c>
      <c r="AA223" s="7323"/>
      <c r="AB223" s="7302">
        <f t="shared" si="408"/>
        <v>60.02</v>
      </c>
      <c r="AC223" s="194"/>
      <c r="AD223" s="6138"/>
      <c r="AE223" s="7312"/>
      <c r="AF223" s="7310">
        <f t="shared" si="409"/>
        <v>60.02</v>
      </c>
      <c r="AG223" s="194"/>
      <c r="AH223" s="6300"/>
      <c r="AI223" s="7312"/>
      <c r="AJ223" s="349">
        <f t="shared" si="395"/>
        <v>60.02</v>
      </c>
      <c r="AK223" s="194"/>
      <c r="AL223" s="6549"/>
      <c r="AM223" s="7304"/>
      <c r="AN223" s="586">
        <f t="shared" si="394"/>
        <v>0</v>
      </c>
      <c r="AO223" s="7312"/>
      <c r="AP223" s="349">
        <f t="shared" si="392"/>
        <v>60.02</v>
      </c>
      <c r="AQ223" s="194"/>
      <c r="AR223" s="6643"/>
      <c r="AS223" s="7312"/>
      <c r="AT223" s="41">
        <f t="shared" si="396"/>
        <v>60.02</v>
      </c>
      <c r="AU223" s="194"/>
      <c r="AV223" s="6815"/>
      <c r="AW223" s="7312"/>
      <c r="AX223" s="41">
        <f t="shared" si="397"/>
        <v>60.02</v>
      </c>
      <c r="AY223" s="194"/>
      <c r="AZ223" s="6957"/>
      <c r="BA223" s="7304"/>
      <c r="BB223" s="586">
        <f t="shared" si="391"/>
        <v>0</v>
      </c>
      <c r="BC223" s="7323"/>
      <c r="BD223" s="7302">
        <f t="shared" si="393"/>
        <v>0</v>
      </c>
      <c r="BE223" s="7312"/>
      <c r="BF223" s="41">
        <f t="shared" si="398"/>
        <v>60.02</v>
      </c>
      <c r="BG223" s="4152">
        <f t="shared" si="399"/>
        <v>0</v>
      </c>
      <c r="BH223" s="4152">
        <f t="shared" si="400"/>
        <v>0</v>
      </c>
      <c r="BI223" s="4152"/>
      <c r="BJ223" s="4152">
        <f t="shared" si="401"/>
        <v>0</v>
      </c>
      <c r="BK223" s="4152">
        <f t="shared" si="402"/>
        <v>0</v>
      </c>
    </row>
    <row r="224" spans="1:63" ht="15.75" customHeight="1" thickBot="1" x14ac:dyDescent="0.3">
      <c r="A224" s="144"/>
      <c r="B224" s="3843" t="s">
        <v>834</v>
      </c>
      <c r="C224" s="3836" t="s">
        <v>1108</v>
      </c>
      <c r="D224" s="194"/>
      <c r="E224" s="194"/>
      <c r="F224" s="2237"/>
      <c r="G224" s="194"/>
      <c r="H224" s="5568"/>
      <c r="I224" s="7312"/>
      <c r="J224" s="7310">
        <f t="shared" si="403"/>
        <v>0</v>
      </c>
      <c r="K224" s="194"/>
      <c r="L224" s="5680"/>
      <c r="M224" s="7304"/>
      <c r="N224" s="7301">
        <f t="shared" si="404"/>
        <v>0</v>
      </c>
      <c r="O224" s="194"/>
      <c r="P224" s="5837"/>
      <c r="Q224" s="7312"/>
      <c r="R224" s="7310">
        <f t="shared" si="405"/>
        <v>0</v>
      </c>
      <c r="S224" s="194"/>
      <c r="T224" s="5893"/>
      <c r="U224" s="7312"/>
      <c r="V224" s="7310">
        <f t="shared" si="406"/>
        <v>0</v>
      </c>
      <c r="W224" s="194"/>
      <c r="X224" s="6007"/>
      <c r="Y224" s="7304"/>
      <c r="Z224" s="7301">
        <f t="shared" si="407"/>
        <v>0</v>
      </c>
      <c r="AA224" s="7323"/>
      <c r="AB224" s="7302">
        <f t="shared" si="408"/>
        <v>0</v>
      </c>
      <c r="AC224" s="194"/>
      <c r="AD224" s="6138"/>
      <c r="AE224" s="7312"/>
      <c r="AF224" s="7310">
        <f t="shared" si="409"/>
        <v>0</v>
      </c>
      <c r="AG224" s="194"/>
      <c r="AH224" s="6300"/>
      <c r="AI224" s="7312"/>
      <c r="AJ224" s="7310">
        <f t="shared" ref="AJ224:AJ236" si="414">AF224+AH224</f>
        <v>0</v>
      </c>
      <c r="AK224" s="194"/>
      <c r="AL224" s="6549"/>
      <c r="AM224" s="7304"/>
      <c r="AN224" s="586">
        <f t="shared" si="394"/>
        <v>0</v>
      </c>
      <c r="AO224" s="7312"/>
      <c r="AP224" s="349">
        <f t="shared" si="392"/>
        <v>0</v>
      </c>
      <c r="AQ224" s="194"/>
      <c r="AR224" s="6643"/>
      <c r="AS224" s="7312"/>
      <c r="AT224" s="41">
        <f t="shared" si="396"/>
        <v>0</v>
      </c>
      <c r="AU224" s="194"/>
      <c r="AV224" s="6815"/>
      <c r="AW224" s="7312"/>
      <c r="AX224" s="41">
        <f t="shared" si="397"/>
        <v>0</v>
      </c>
      <c r="AY224" s="194"/>
      <c r="AZ224" s="6957"/>
      <c r="BA224" s="7304"/>
      <c r="BB224" s="586">
        <f t="shared" si="391"/>
        <v>0</v>
      </c>
      <c r="BC224" s="7323"/>
      <c r="BD224" s="7302">
        <f t="shared" si="393"/>
        <v>0</v>
      </c>
      <c r="BE224" s="7312"/>
      <c r="BF224" s="41">
        <f t="shared" si="398"/>
        <v>0</v>
      </c>
      <c r="BG224" s="4152">
        <f t="shared" si="399"/>
        <v>0</v>
      </c>
      <c r="BH224" s="4152">
        <f t="shared" si="400"/>
        <v>0</v>
      </c>
      <c r="BI224" s="4152"/>
      <c r="BJ224" s="4152">
        <f t="shared" si="401"/>
        <v>0</v>
      </c>
      <c r="BK224" s="4152">
        <f t="shared" si="402"/>
        <v>0</v>
      </c>
    </row>
    <row r="225" spans="1:63" ht="15.75" thickBot="1" x14ac:dyDescent="0.3">
      <c r="A225" s="144"/>
      <c r="B225" s="3843" t="s">
        <v>834</v>
      </c>
      <c r="C225" s="3836" t="s">
        <v>1107</v>
      </c>
      <c r="D225" s="3836"/>
      <c r="E225" s="3805"/>
      <c r="F225" s="1819"/>
      <c r="G225" s="3805"/>
      <c r="H225" s="1819"/>
      <c r="I225" s="799"/>
      <c r="J225" s="7310">
        <f t="shared" si="403"/>
        <v>0</v>
      </c>
      <c r="K225" s="3805"/>
      <c r="L225" s="1819"/>
      <c r="M225" s="848"/>
      <c r="N225" s="7301">
        <f t="shared" si="404"/>
        <v>0</v>
      </c>
      <c r="O225" s="3805"/>
      <c r="P225" s="1819"/>
      <c r="Q225" s="799"/>
      <c r="R225" s="7310">
        <f t="shared" si="405"/>
        <v>0</v>
      </c>
      <c r="S225" s="3805"/>
      <c r="T225" s="1819"/>
      <c r="U225" s="799"/>
      <c r="V225" s="7310">
        <f t="shared" si="406"/>
        <v>0</v>
      </c>
      <c r="W225" s="3805"/>
      <c r="X225" s="1819"/>
      <c r="Y225" s="848"/>
      <c r="Z225" s="7301">
        <f t="shared" si="407"/>
        <v>0</v>
      </c>
      <c r="AA225" s="4498"/>
      <c r="AB225" s="7302">
        <f t="shared" si="408"/>
        <v>0</v>
      </c>
      <c r="AC225" s="3805"/>
      <c r="AD225" s="1819"/>
      <c r="AE225" s="799"/>
      <c r="AF225" s="7310">
        <f t="shared" si="409"/>
        <v>0</v>
      </c>
      <c r="AG225" s="3805"/>
      <c r="AH225" s="1819"/>
      <c r="AI225" s="799"/>
      <c r="AJ225" s="7310">
        <f t="shared" si="414"/>
        <v>0</v>
      </c>
      <c r="AK225" s="3805"/>
      <c r="AL225" s="1819"/>
      <c r="AM225" s="848"/>
      <c r="AN225" s="586">
        <f t="shared" si="394"/>
        <v>0</v>
      </c>
      <c r="AO225" s="799"/>
      <c r="AP225" s="349">
        <f t="shared" si="392"/>
        <v>0</v>
      </c>
      <c r="AQ225" s="3805"/>
      <c r="AR225" s="1819"/>
      <c r="AS225" s="799"/>
      <c r="AT225" s="41">
        <f t="shared" si="396"/>
        <v>0</v>
      </c>
      <c r="AU225" s="3805"/>
      <c r="AV225" s="1819"/>
      <c r="AW225" s="799"/>
      <c r="AX225" s="41">
        <f t="shared" si="397"/>
        <v>0</v>
      </c>
      <c r="AY225" s="3805"/>
      <c r="AZ225" s="1819"/>
      <c r="BA225" s="848"/>
      <c r="BB225" s="586">
        <f t="shared" si="391"/>
        <v>0</v>
      </c>
      <c r="BC225" s="4498"/>
      <c r="BD225" s="7302">
        <f t="shared" si="393"/>
        <v>0</v>
      </c>
      <c r="BE225" s="799"/>
      <c r="BF225" s="41">
        <f t="shared" si="398"/>
        <v>0</v>
      </c>
      <c r="BG225" s="4152">
        <f t="shared" si="399"/>
        <v>0</v>
      </c>
      <c r="BH225" s="4152">
        <f t="shared" si="400"/>
        <v>0</v>
      </c>
      <c r="BI225" s="4152"/>
      <c r="BJ225" s="4152">
        <f t="shared" si="401"/>
        <v>0</v>
      </c>
      <c r="BK225" s="4152">
        <f t="shared" si="402"/>
        <v>0</v>
      </c>
    </row>
    <row r="226" spans="1:63" ht="15.75" customHeight="1" thickBot="1" x14ac:dyDescent="0.3">
      <c r="A226" s="144"/>
      <c r="B226" s="3843" t="s">
        <v>834</v>
      </c>
      <c r="C226" s="3836" t="s">
        <v>1239</v>
      </c>
      <c r="D226" s="3836"/>
      <c r="E226" s="3805"/>
      <c r="F226" s="1819"/>
      <c r="G226" s="3805"/>
      <c r="H226" s="1819"/>
      <c r="I226" s="799"/>
      <c r="J226" s="7310">
        <f t="shared" si="403"/>
        <v>0</v>
      </c>
      <c r="K226" s="3805"/>
      <c r="L226" s="1819"/>
      <c r="M226" s="848"/>
      <c r="N226" s="7301">
        <f t="shared" si="404"/>
        <v>0</v>
      </c>
      <c r="O226" s="3805"/>
      <c r="P226" s="1819"/>
      <c r="Q226" s="799"/>
      <c r="R226" s="7310">
        <f t="shared" si="405"/>
        <v>0</v>
      </c>
      <c r="S226" s="3805"/>
      <c r="T226" s="1819"/>
      <c r="U226" s="799"/>
      <c r="V226" s="7310">
        <f t="shared" si="406"/>
        <v>0</v>
      </c>
      <c r="W226" s="3805"/>
      <c r="X226" s="1819"/>
      <c r="Y226" s="848"/>
      <c r="Z226" s="7301">
        <f t="shared" si="407"/>
        <v>0</v>
      </c>
      <c r="AA226" s="4498"/>
      <c r="AB226" s="7302">
        <f t="shared" si="408"/>
        <v>0</v>
      </c>
      <c r="AC226" s="3805"/>
      <c r="AD226" s="1819"/>
      <c r="AE226" s="799"/>
      <c r="AF226" s="7310">
        <f t="shared" si="409"/>
        <v>0</v>
      </c>
      <c r="AG226" s="3805"/>
      <c r="AH226" s="1819"/>
      <c r="AI226" s="799"/>
      <c r="AJ226" s="7310">
        <f t="shared" si="414"/>
        <v>0</v>
      </c>
      <c r="AK226" s="3805"/>
      <c r="AL226" s="1819"/>
      <c r="AM226" s="848"/>
      <c r="AN226" s="586">
        <f t="shared" si="394"/>
        <v>0</v>
      </c>
      <c r="AO226" s="799"/>
      <c r="AP226" s="7310">
        <f t="shared" ref="AP226:AP236" si="415">AJ226+AL226</f>
        <v>0</v>
      </c>
      <c r="AQ226" s="3805"/>
      <c r="AR226" s="1819"/>
      <c r="AS226" s="799"/>
      <c r="AT226" s="41">
        <f t="shared" si="396"/>
        <v>0</v>
      </c>
      <c r="AU226" s="3805"/>
      <c r="AV226" s="1819"/>
      <c r="AW226" s="799"/>
      <c r="AX226" s="41">
        <f t="shared" si="397"/>
        <v>0</v>
      </c>
      <c r="AY226" s="3805"/>
      <c r="AZ226" s="1819"/>
      <c r="BA226" s="848"/>
      <c r="BB226" s="586">
        <f t="shared" si="391"/>
        <v>0</v>
      </c>
      <c r="BC226" s="4498"/>
      <c r="BD226" s="7302">
        <f t="shared" si="393"/>
        <v>0</v>
      </c>
      <c r="BE226" s="799"/>
      <c r="BF226" s="41">
        <f t="shared" si="398"/>
        <v>0</v>
      </c>
      <c r="BG226" s="4152">
        <f t="shared" si="399"/>
        <v>0</v>
      </c>
      <c r="BH226" s="4152">
        <f t="shared" si="400"/>
        <v>0</v>
      </c>
      <c r="BI226" s="4152"/>
      <c r="BJ226" s="4152">
        <f t="shared" si="401"/>
        <v>0</v>
      </c>
      <c r="BK226" s="4152">
        <f t="shared" si="402"/>
        <v>0</v>
      </c>
    </row>
    <row r="227" spans="1:63" ht="15.75" thickBot="1" x14ac:dyDescent="0.3">
      <c r="A227" s="144"/>
      <c r="B227" s="3844" t="s">
        <v>834</v>
      </c>
      <c r="C227" s="3839" t="s">
        <v>1111</v>
      </c>
      <c r="D227" s="3839"/>
      <c r="E227" s="3818"/>
      <c r="F227" s="105"/>
      <c r="G227" s="3818"/>
      <c r="H227" s="105">
        <v>662.66000000000008</v>
      </c>
      <c r="I227" s="3168"/>
      <c r="J227" s="7310">
        <f t="shared" si="403"/>
        <v>662.66000000000008</v>
      </c>
      <c r="K227" s="3818"/>
      <c r="L227" s="105">
        <v>626.24</v>
      </c>
      <c r="M227" s="3819"/>
      <c r="N227" s="7301">
        <f t="shared" si="404"/>
        <v>1288.9000000000001</v>
      </c>
      <c r="O227" s="3818"/>
      <c r="P227" s="105">
        <v>81.64</v>
      </c>
      <c r="Q227" s="3168"/>
      <c r="R227" s="7310">
        <f t="shared" si="405"/>
        <v>1370.5400000000002</v>
      </c>
      <c r="S227" s="3818"/>
      <c r="T227" s="105">
        <v>920.01</v>
      </c>
      <c r="U227" s="3168"/>
      <c r="V227" s="7310">
        <f t="shared" si="406"/>
        <v>2290.5500000000002</v>
      </c>
      <c r="W227" s="3818"/>
      <c r="X227" s="105">
        <v>1260.1399999999999</v>
      </c>
      <c r="Y227" s="3819"/>
      <c r="Z227" s="7301">
        <f t="shared" si="407"/>
        <v>2261.79</v>
      </c>
      <c r="AA227" s="7388"/>
      <c r="AB227" s="7302">
        <f t="shared" si="408"/>
        <v>3550.69</v>
      </c>
      <c r="AC227" s="3818"/>
      <c r="AD227" s="105"/>
      <c r="AE227" s="3168"/>
      <c r="AF227" s="7310">
        <f t="shared" si="409"/>
        <v>3550.69</v>
      </c>
      <c r="AG227" s="3818"/>
      <c r="AH227" s="105">
        <v>2010.9900000000002</v>
      </c>
      <c r="AI227" s="3168"/>
      <c r="AJ227" s="557">
        <f t="shared" si="414"/>
        <v>5561.68</v>
      </c>
      <c r="AK227" s="3818"/>
      <c r="AL227" s="105">
        <v>628.13000000000011</v>
      </c>
      <c r="AM227" s="3819"/>
      <c r="AN227" s="462">
        <f t="shared" ref="AN227:AN236" si="416">AD227+AH227+AL227</f>
        <v>2639.1200000000003</v>
      </c>
      <c r="AO227" s="3168"/>
      <c r="AP227" s="557">
        <f t="shared" si="415"/>
        <v>6189.81</v>
      </c>
      <c r="AQ227" s="3818"/>
      <c r="AR227" s="105">
        <v>318.62</v>
      </c>
      <c r="AS227" s="3168"/>
      <c r="AT227" s="41">
        <f t="shared" si="396"/>
        <v>6508.43</v>
      </c>
      <c r="AU227" s="3818"/>
      <c r="AV227" s="105">
        <v>440.99</v>
      </c>
      <c r="AW227" s="3168"/>
      <c r="AX227" s="41">
        <f t="shared" si="397"/>
        <v>6949.42</v>
      </c>
      <c r="AY227" s="3818"/>
      <c r="AZ227" s="105">
        <v>284.85000000000002</v>
      </c>
      <c r="BA227" s="3819"/>
      <c r="BB227" s="586">
        <f t="shared" si="391"/>
        <v>1044.46</v>
      </c>
      <c r="BC227" s="7388"/>
      <c r="BD227" s="7302">
        <f t="shared" si="393"/>
        <v>3683.5800000000004</v>
      </c>
      <c r="BE227" s="3168"/>
      <c r="BF227" s="41">
        <f t="shared" si="398"/>
        <v>7234.27</v>
      </c>
      <c r="BG227" s="4152">
        <f t="shared" si="399"/>
        <v>0</v>
      </c>
      <c r="BH227" s="4152">
        <f t="shared" si="400"/>
        <v>0</v>
      </c>
      <c r="BI227" s="4152"/>
      <c r="BJ227" s="4152">
        <f t="shared" si="401"/>
        <v>0</v>
      </c>
      <c r="BK227" s="4152">
        <f t="shared" si="402"/>
        <v>0</v>
      </c>
    </row>
    <row r="228" spans="1:63" s="5729" customFormat="1" ht="15.75" thickBot="1" x14ac:dyDescent="0.3">
      <c r="A228" s="144"/>
      <c r="B228" s="5793" t="s">
        <v>1989</v>
      </c>
      <c r="C228" s="3880" t="s">
        <v>838</v>
      </c>
      <c r="D228" s="3880"/>
      <c r="E228" s="3829"/>
      <c r="F228" s="5731"/>
      <c r="G228" s="3829"/>
      <c r="H228" s="5731"/>
      <c r="I228" s="3831"/>
      <c r="J228" s="7310">
        <f t="shared" si="403"/>
        <v>0</v>
      </c>
      <c r="K228" s="3829"/>
      <c r="L228" s="5731">
        <v>2413.7600000000002</v>
      </c>
      <c r="M228" s="3832"/>
      <c r="N228" s="7301">
        <f t="shared" si="404"/>
        <v>2413.7600000000002</v>
      </c>
      <c r="O228" s="3829"/>
      <c r="P228" s="5854">
        <v>1332.1200000000001</v>
      </c>
      <c r="Q228" s="3831"/>
      <c r="R228" s="7310">
        <f t="shared" si="405"/>
        <v>3745.88</v>
      </c>
      <c r="S228" s="3829"/>
      <c r="T228" s="5897">
        <v>74.930000000000007</v>
      </c>
      <c r="U228" s="3831"/>
      <c r="V228" s="7310">
        <f t="shared" si="406"/>
        <v>3820.81</v>
      </c>
      <c r="W228" s="3829"/>
      <c r="X228" s="6018"/>
      <c r="Y228" s="3832"/>
      <c r="Z228" s="7301">
        <f t="shared" si="407"/>
        <v>1407.0500000000002</v>
      </c>
      <c r="AA228" s="7390"/>
      <c r="AB228" s="7302">
        <f t="shared" si="408"/>
        <v>3820.8100000000004</v>
      </c>
      <c r="AC228" s="3829"/>
      <c r="AD228" s="6153">
        <v>33.880000000000003</v>
      </c>
      <c r="AE228" s="3831"/>
      <c r="AF228" s="7310">
        <f t="shared" si="409"/>
        <v>3854.6900000000005</v>
      </c>
      <c r="AG228" s="3829"/>
      <c r="AH228" s="6315">
        <v>13.59</v>
      </c>
      <c r="AI228" s="3831"/>
      <c r="AJ228" s="557">
        <f t="shared" si="414"/>
        <v>3868.2800000000007</v>
      </c>
      <c r="AK228" s="3829"/>
      <c r="AL228" s="6553"/>
      <c r="AM228" s="3832"/>
      <c r="AN228" s="462">
        <f t="shared" si="416"/>
        <v>47.47</v>
      </c>
      <c r="AO228" s="3831"/>
      <c r="AP228" s="557">
        <f t="shared" si="415"/>
        <v>3868.2800000000007</v>
      </c>
      <c r="AQ228" s="3829"/>
      <c r="AR228" s="6652"/>
      <c r="AS228" s="3831"/>
      <c r="AT228" s="41">
        <f t="shared" si="396"/>
        <v>3868.2800000000007</v>
      </c>
      <c r="AU228" s="3829"/>
      <c r="AV228" s="6818"/>
      <c r="AW228" s="3831"/>
      <c r="AX228" s="41">
        <f t="shared" si="397"/>
        <v>3868.2800000000007</v>
      </c>
      <c r="AY228" s="3829"/>
      <c r="AZ228" s="6961"/>
      <c r="BA228" s="3832"/>
      <c r="BB228" s="586">
        <f t="shared" si="391"/>
        <v>0</v>
      </c>
      <c r="BC228" s="7390"/>
      <c r="BD228" s="7302">
        <f t="shared" si="393"/>
        <v>47.47</v>
      </c>
      <c r="BE228" s="3831"/>
      <c r="BF228" s="41">
        <f t="shared" si="398"/>
        <v>3868.2800000000007</v>
      </c>
      <c r="BG228" s="4152">
        <f t="shared" si="399"/>
        <v>0</v>
      </c>
      <c r="BH228" s="4152">
        <f t="shared" si="400"/>
        <v>0</v>
      </c>
      <c r="BI228" s="4152"/>
      <c r="BJ228" s="4152">
        <f t="shared" si="401"/>
        <v>0</v>
      </c>
      <c r="BK228" s="4152">
        <f t="shared" si="402"/>
        <v>0</v>
      </c>
    </row>
    <row r="229" spans="1:63" s="5729" customFormat="1" ht="15.75" thickBot="1" x14ac:dyDescent="0.3">
      <c r="A229" s="144"/>
      <c r="B229" s="5793" t="s">
        <v>1989</v>
      </c>
      <c r="C229" s="3880" t="s">
        <v>847</v>
      </c>
      <c r="D229" s="3880"/>
      <c r="E229" s="3829"/>
      <c r="F229" s="5731"/>
      <c r="G229" s="3829"/>
      <c r="H229" s="5731"/>
      <c r="I229" s="3831"/>
      <c r="J229" s="7310">
        <f t="shared" si="403"/>
        <v>0</v>
      </c>
      <c r="K229" s="3829"/>
      <c r="L229" s="5731">
        <v>2699.1199999999994</v>
      </c>
      <c r="M229" s="3832"/>
      <c r="N229" s="7301">
        <f t="shared" si="404"/>
        <v>2699.1199999999994</v>
      </c>
      <c r="O229" s="3829"/>
      <c r="P229" s="5854">
        <v>9269.260000000002</v>
      </c>
      <c r="Q229" s="3831"/>
      <c r="R229" s="7310">
        <f t="shared" si="405"/>
        <v>11968.380000000001</v>
      </c>
      <c r="S229" s="3829"/>
      <c r="T229" s="5897"/>
      <c r="U229" s="3831"/>
      <c r="V229" s="7310">
        <f t="shared" si="406"/>
        <v>11968.380000000001</v>
      </c>
      <c r="W229" s="3829"/>
      <c r="X229" s="6018"/>
      <c r="Y229" s="3832"/>
      <c r="Z229" s="7301">
        <f t="shared" si="407"/>
        <v>9269.260000000002</v>
      </c>
      <c r="AA229" s="7390"/>
      <c r="AB229" s="7302">
        <f t="shared" si="408"/>
        <v>11968.380000000001</v>
      </c>
      <c r="AC229" s="3829"/>
      <c r="AD229" s="6153"/>
      <c r="AE229" s="3831"/>
      <c r="AF229" s="7310">
        <f t="shared" si="409"/>
        <v>11968.380000000001</v>
      </c>
      <c r="AG229" s="3829"/>
      <c r="AH229" s="6315">
        <v>17.89</v>
      </c>
      <c r="AI229" s="3831"/>
      <c r="AJ229" s="557">
        <f t="shared" si="414"/>
        <v>11986.27</v>
      </c>
      <c r="AK229" s="3829"/>
      <c r="AL229" s="6553">
        <v>17.981000000000002</v>
      </c>
      <c r="AM229" s="3832"/>
      <c r="AN229" s="462">
        <f t="shared" si="416"/>
        <v>35.871000000000002</v>
      </c>
      <c r="AO229" s="3831"/>
      <c r="AP229" s="557">
        <f t="shared" si="415"/>
        <v>12004.251</v>
      </c>
      <c r="AQ229" s="3829"/>
      <c r="AR229" s="6652"/>
      <c r="AS229" s="3831"/>
      <c r="AT229" s="41">
        <f t="shared" si="396"/>
        <v>12004.251</v>
      </c>
      <c r="AU229" s="3829"/>
      <c r="AV229" s="6818"/>
      <c r="AW229" s="3831"/>
      <c r="AX229" s="41">
        <f t="shared" si="397"/>
        <v>12004.251</v>
      </c>
      <c r="AY229" s="3829"/>
      <c r="AZ229" s="6961"/>
      <c r="BA229" s="3832"/>
      <c r="BB229" s="586">
        <f t="shared" si="391"/>
        <v>0</v>
      </c>
      <c r="BC229" s="7390"/>
      <c r="BD229" s="7302">
        <f t="shared" si="393"/>
        <v>35.871000000000002</v>
      </c>
      <c r="BE229" s="3831"/>
      <c r="BF229" s="41">
        <f t="shared" si="398"/>
        <v>12004.251</v>
      </c>
      <c r="BG229" s="4152">
        <f t="shared" si="399"/>
        <v>0</v>
      </c>
      <c r="BH229" s="4152">
        <f t="shared" si="400"/>
        <v>0</v>
      </c>
      <c r="BI229" s="4152"/>
      <c r="BJ229" s="4152">
        <f t="shared" si="401"/>
        <v>0</v>
      </c>
      <c r="BK229" s="4152">
        <f t="shared" si="402"/>
        <v>0</v>
      </c>
    </row>
    <row r="230" spans="1:63" ht="15.75" thickBot="1" x14ac:dyDescent="0.3">
      <c r="A230" s="144"/>
      <c r="B230" s="3840" t="s">
        <v>835</v>
      </c>
      <c r="C230" s="3835" t="s">
        <v>838</v>
      </c>
      <c r="D230" s="3835"/>
      <c r="E230" s="3820"/>
      <c r="F230" s="147"/>
      <c r="G230" s="3820"/>
      <c r="H230" s="147">
        <v>53.82</v>
      </c>
      <c r="I230" s="3165"/>
      <c r="J230" s="7310">
        <f t="shared" si="403"/>
        <v>53.82</v>
      </c>
      <c r="K230" s="3820"/>
      <c r="L230" s="147">
        <v>2294.2400000000007</v>
      </c>
      <c r="M230" s="3821"/>
      <c r="N230" s="7301">
        <f t="shared" si="404"/>
        <v>2348.0600000000009</v>
      </c>
      <c r="O230" s="3820"/>
      <c r="P230" s="147">
        <v>955.5</v>
      </c>
      <c r="Q230" s="3165"/>
      <c r="R230" s="7310">
        <f t="shared" si="405"/>
        <v>3303.5600000000009</v>
      </c>
      <c r="S230" s="3820"/>
      <c r="T230" s="147"/>
      <c r="U230" s="3165"/>
      <c r="V230" s="7310">
        <f t="shared" si="406"/>
        <v>3303.5600000000009</v>
      </c>
      <c r="W230" s="3820"/>
      <c r="X230" s="147"/>
      <c r="Y230" s="3821"/>
      <c r="Z230" s="7301">
        <f t="shared" si="407"/>
        <v>955.5</v>
      </c>
      <c r="AA230" s="5363"/>
      <c r="AB230" s="7302">
        <f t="shared" si="408"/>
        <v>3303.5600000000009</v>
      </c>
      <c r="AC230" s="3820"/>
      <c r="AD230" s="147"/>
      <c r="AE230" s="3165"/>
      <c r="AF230" s="7310">
        <f t="shared" si="409"/>
        <v>3303.5600000000009</v>
      </c>
      <c r="AG230" s="3820"/>
      <c r="AH230" s="147"/>
      <c r="AI230" s="3165"/>
      <c r="AJ230" s="557">
        <f t="shared" si="414"/>
        <v>3303.5600000000009</v>
      </c>
      <c r="AK230" s="3820"/>
      <c r="AL230" s="147">
        <v>37.959000000000003</v>
      </c>
      <c r="AM230" s="3821"/>
      <c r="AN230" s="462">
        <f t="shared" si="416"/>
        <v>37.959000000000003</v>
      </c>
      <c r="AO230" s="3165"/>
      <c r="AP230" s="557">
        <f t="shared" si="415"/>
        <v>3341.5190000000007</v>
      </c>
      <c r="AQ230" s="3820"/>
      <c r="AR230" s="147"/>
      <c r="AS230" s="3165"/>
      <c r="AT230" s="41">
        <f t="shared" si="396"/>
        <v>3341.5190000000007</v>
      </c>
      <c r="AU230" s="3820"/>
      <c r="AV230" s="147"/>
      <c r="AW230" s="3165"/>
      <c r="AX230" s="41">
        <f t="shared" si="397"/>
        <v>3341.5190000000007</v>
      </c>
      <c r="AY230" s="3820"/>
      <c r="AZ230" s="147"/>
      <c r="BA230" s="3821"/>
      <c r="BB230" s="586">
        <f t="shared" si="391"/>
        <v>0</v>
      </c>
      <c r="BC230" s="5363"/>
      <c r="BD230" s="7302">
        <f t="shared" si="393"/>
        <v>37.959000000000003</v>
      </c>
      <c r="BE230" s="3165"/>
      <c r="BF230" s="41">
        <f t="shared" si="398"/>
        <v>3341.5190000000007</v>
      </c>
      <c r="BG230" s="4152">
        <f t="shared" si="399"/>
        <v>0</v>
      </c>
      <c r="BH230" s="4152">
        <f t="shared" si="400"/>
        <v>0</v>
      </c>
      <c r="BI230" s="4152"/>
      <c r="BJ230" s="4152">
        <f t="shared" si="401"/>
        <v>0</v>
      </c>
      <c r="BK230" s="4152">
        <f t="shared" si="402"/>
        <v>0</v>
      </c>
    </row>
    <row r="231" spans="1:63" s="5729" customFormat="1" ht="15.75" thickBot="1" x14ac:dyDescent="0.3">
      <c r="A231" s="144"/>
      <c r="B231" s="5793" t="s">
        <v>835</v>
      </c>
      <c r="C231" s="3880" t="s">
        <v>847</v>
      </c>
      <c r="D231" s="3880"/>
      <c r="E231" s="3829"/>
      <c r="F231" s="5731"/>
      <c r="G231" s="3829"/>
      <c r="H231" s="5731"/>
      <c r="I231" s="3831"/>
      <c r="J231" s="7310">
        <f t="shared" si="403"/>
        <v>0</v>
      </c>
      <c r="K231" s="3829"/>
      <c r="L231" s="5731">
        <v>838.88000000000011</v>
      </c>
      <c r="M231" s="3832"/>
      <c r="N231" s="7301">
        <f t="shared" si="404"/>
        <v>838.88000000000011</v>
      </c>
      <c r="O231" s="3829"/>
      <c r="P231" s="5854"/>
      <c r="Q231" s="3831"/>
      <c r="R231" s="7310">
        <f t="shared" si="405"/>
        <v>838.88000000000011</v>
      </c>
      <c r="S231" s="3829"/>
      <c r="T231" s="5897"/>
      <c r="U231" s="3831"/>
      <c r="V231" s="7310">
        <f t="shared" si="406"/>
        <v>838.88000000000011</v>
      </c>
      <c r="W231" s="3829"/>
      <c r="X231" s="6018"/>
      <c r="Y231" s="3832"/>
      <c r="Z231" s="7301">
        <f t="shared" si="407"/>
        <v>0</v>
      </c>
      <c r="AA231" s="7390"/>
      <c r="AB231" s="7302">
        <f t="shared" si="408"/>
        <v>838.88000000000011</v>
      </c>
      <c r="AC231" s="3829"/>
      <c r="AD231" s="6153"/>
      <c r="AE231" s="3831"/>
      <c r="AF231" s="7310">
        <f t="shared" si="409"/>
        <v>838.88000000000011</v>
      </c>
      <c r="AG231" s="3829"/>
      <c r="AH231" s="6315"/>
      <c r="AI231" s="3831"/>
      <c r="AJ231" s="557">
        <f t="shared" si="414"/>
        <v>838.88000000000011</v>
      </c>
      <c r="AK231" s="3829"/>
      <c r="AL231" s="6553"/>
      <c r="AM231" s="3832"/>
      <c r="AN231" s="462">
        <f t="shared" si="416"/>
        <v>0</v>
      </c>
      <c r="AO231" s="3831"/>
      <c r="AP231" s="557">
        <f t="shared" si="415"/>
        <v>838.88000000000011</v>
      </c>
      <c r="AQ231" s="3829"/>
      <c r="AR231" s="6652"/>
      <c r="AS231" s="3831"/>
      <c r="AT231" s="41">
        <f t="shared" si="396"/>
        <v>838.88000000000011</v>
      </c>
      <c r="AU231" s="3829"/>
      <c r="AV231" s="6818"/>
      <c r="AW231" s="3831"/>
      <c r="AX231" s="41">
        <f t="shared" si="397"/>
        <v>838.88000000000011</v>
      </c>
      <c r="AY231" s="3829"/>
      <c r="AZ231" s="6961"/>
      <c r="BA231" s="3832"/>
      <c r="BB231" s="586">
        <f t="shared" si="391"/>
        <v>0</v>
      </c>
      <c r="BC231" s="7390"/>
      <c r="BD231" s="7302">
        <f t="shared" si="393"/>
        <v>0</v>
      </c>
      <c r="BE231" s="3831"/>
      <c r="BF231" s="41">
        <f t="shared" si="398"/>
        <v>838.88000000000011</v>
      </c>
      <c r="BG231" s="4152">
        <f t="shared" si="399"/>
        <v>0</v>
      </c>
      <c r="BH231" s="4152">
        <f t="shared" si="400"/>
        <v>0</v>
      </c>
      <c r="BI231" s="4152"/>
      <c r="BJ231" s="4152">
        <f t="shared" si="401"/>
        <v>0</v>
      </c>
      <c r="BK231" s="4152">
        <f t="shared" si="402"/>
        <v>0</v>
      </c>
    </row>
    <row r="232" spans="1:63" ht="15.75" thickBot="1" x14ac:dyDescent="0.3">
      <c r="A232" s="90"/>
      <c r="B232" s="3844" t="s">
        <v>835</v>
      </c>
      <c r="C232" s="3839" t="s">
        <v>826</v>
      </c>
      <c r="D232" s="3839"/>
      <c r="E232" s="3818"/>
      <c r="F232" s="105"/>
      <c r="G232" s="3818"/>
      <c r="H232" s="105"/>
      <c r="I232" s="3168"/>
      <c r="J232" s="7310">
        <f t="shared" si="403"/>
        <v>0</v>
      </c>
      <c r="K232" s="3818"/>
      <c r="L232" s="105"/>
      <c r="M232" s="3819"/>
      <c r="N232" s="7301">
        <f t="shared" si="404"/>
        <v>0</v>
      </c>
      <c r="O232" s="3818"/>
      <c r="P232" s="105"/>
      <c r="Q232" s="3168"/>
      <c r="R232" s="7310">
        <f t="shared" si="405"/>
        <v>0</v>
      </c>
      <c r="S232" s="3818"/>
      <c r="T232" s="105"/>
      <c r="U232" s="3168"/>
      <c r="V232" s="7310">
        <f t="shared" si="406"/>
        <v>0</v>
      </c>
      <c r="W232" s="3818"/>
      <c r="X232" s="105"/>
      <c r="Y232" s="3819"/>
      <c r="Z232" s="7301">
        <f t="shared" si="407"/>
        <v>0</v>
      </c>
      <c r="AA232" s="7388"/>
      <c r="AB232" s="7302">
        <f t="shared" si="408"/>
        <v>0</v>
      </c>
      <c r="AC232" s="3818"/>
      <c r="AD232" s="105"/>
      <c r="AE232" s="3168"/>
      <c r="AF232" s="7310">
        <f t="shared" si="409"/>
        <v>0</v>
      </c>
      <c r="AG232" s="3818"/>
      <c r="AH232" s="105"/>
      <c r="AI232" s="3168"/>
      <c r="AJ232" s="557">
        <f t="shared" si="414"/>
        <v>0</v>
      </c>
      <c r="AK232" s="3818"/>
      <c r="AL232" s="105"/>
      <c r="AM232" s="3819"/>
      <c r="AN232" s="462">
        <f t="shared" si="416"/>
        <v>0</v>
      </c>
      <c r="AO232" s="3168"/>
      <c r="AP232" s="557">
        <f t="shared" si="415"/>
        <v>0</v>
      </c>
      <c r="AQ232" s="3818"/>
      <c r="AR232" s="105"/>
      <c r="AS232" s="3168"/>
      <c r="AT232" s="41">
        <f t="shared" si="396"/>
        <v>0</v>
      </c>
      <c r="AU232" s="3818"/>
      <c r="AV232" s="105"/>
      <c r="AW232" s="3168"/>
      <c r="AX232" s="41">
        <f t="shared" si="397"/>
        <v>0</v>
      </c>
      <c r="AY232" s="3818"/>
      <c r="AZ232" s="105"/>
      <c r="BA232" s="3819"/>
      <c r="BB232" s="586">
        <f t="shared" si="391"/>
        <v>0</v>
      </c>
      <c r="BC232" s="7388"/>
      <c r="BD232" s="7302">
        <f t="shared" si="393"/>
        <v>0</v>
      </c>
      <c r="BE232" s="3168"/>
      <c r="BF232" s="41">
        <f t="shared" si="398"/>
        <v>0</v>
      </c>
      <c r="BG232" s="4152">
        <f t="shared" si="399"/>
        <v>0</v>
      </c>
      <c r="BH232" s="4152">
        <f t="shared" si="400"/>
        <v>0</v>
      </c>
      <c r="BI232" s="4152"/>
      <c r="BJ232" s="4152">
        <f t="shared" si="401"/>
        <v>0</v>
      </c>
      <c r="BK232" s="4152">
        <f t="shared" si="402"/>
        <v>0</v>
      </c>
    </row>
    <row r="233" spans="1:63" ht="15.75" thickBot="1" x14ac:dyDescent="0.3">
      <c r="A233" s="90"/>
      <c r="B233" s="3850" t="s">
        <v>77</v>
      </c>
      <c r="C233" s="3842" t="s">
        <v>1738</v>
      </c>
      <c r="D233" s="3842"/>
      <c r="E233" s="3824"/>
      <c r="F233" s="1121">
        <f>F11</f>
        <v>0</v>
      </c>
      <c r="G233" s="3824"/>
      <c r="H233" s="5574">
        <f>H11</f>
        <v>0</v>
      </c>
      <c r="I233" s="3825"/>
      <c r="J233" s="7310">
        <f t="shared" si="403"/>
        <v>0</v>
      </c>
      <c r="K233" s="3824"/>
      <c r="L233" s="5690">
        <f>L11</f>
        <v>0</v>
      </c>
      <c r="M233" s="3826"/>
      <c r="N233" s="7301">
        <f t="shared" si="404"/>
        <v>0</v>
      </c>
      <c r="O233" s="3824"/>
      <c r="P233" s="5855">
        <f>P11</f>
        <v>64.099999999999994</v>
      </c>
      <c r="Q233" s="3825"/>
      <c r="R233" s="7310">
        <f t="shared" si="405"/>
        <v>64.099999999999994</v>
      </c>
      <c r="S233" s="3824"/>
      <c r="T233" s="5898">
        <f>T11</f>
        <v>1485.1599999999999</v>
      </c>
      <c r="U233" s="3825"/>
      <c r="V233" s="7310">
        <f t="shared" si="406"/>
        <v>1549.2599999999998</v>
      </c>
      <c r="W233" s="3824"/>
      <c r="X233" s="6019">
        <f>X11</f>
        <v>693.72</v>
      </c>
      <c r="Y233" s="3826"/>
      <c r="Z233" s="7301">
        <f t="shared" si="407"/>
        <v>2242.9799999999996</v>
      </c>
      <c r="AA233" s="7389"/>
      <c r="AB233" s="7302">
        <f t="shared" si="408"/>
        <v>2242.9799999999996</v>
      </c>
      <c r="AC233" s="3824"/>
      <c r="AD233" s="6154">
        <f>AD11</f>
        <v>747.82</v>
      </c>
      <c r="AE233" s="3825"/>
      <c r="AF233" s="7310">
        <f t="shared" si="409"/>
        <v>2990.7999999999997</v>
      </c>
      <c r="AG233" s="3824"/>
      <c r="AH233" s="6316">
        <f>AH11</f>
        <v>0</v>
      </c>
      <c r="AI233" s="3825"/>
      <c r="AJ233" s="7309">
        <f t="shared" si="414"/>
        <v>2990.7999999999997</v>
      </c>
      <c r="AK233" s="3824"/>
      <c r="AL233" s="6554">
        <f>AL11</f>
        <v>244.1</v>
      </c>
      <c r="AM233" s="3826"/>
      <c r="AN233" s="2244">
        <f t="shared" si="416"/>
        <v>991.92000000000007</v>
      </c>
      <c r="AO233" s="3825"/>
      <c r="AP233" s="557">
        <f t="shared" si="415"/>
        <v>3234.8999999999996</v>
      </c>
      <c r="AQ233" s="3824"/>
      <c r="AR233" s="6653">
        <f>AR11</f>
        <v>0</v>
      </c>
      <c r="AS233" s="3825"/>
      <c r="AT233" s="41">
        <f t="shared" si="396"/>
        <v>3234.8999999999996</v>
      </c>
      <c r="AU233" s="3824"/>
      <c r="AV233" s="6819">
        <v>0</v>
      </c>
      <c r="AW233" s="3825"/>
      <c r="AX233" s="41">
        <f t="shared" si="397"/>
        <v>3234.8999999999996</v>
      </c>
      <c r="AY233" s="3824"/>
      <c r="AZ233" s="6962"/>
      <c r="BA233" s="3826"/>
      <c r="BB233" s="586">
        <f t="shared" si="391"/>
        <v>0</v>
      </c>
      <c r="BC233" s="7389"/>
      <c r="BD233" s="7302">
        <f t="shared" si="393"/>
        <v>991.92000000000007</v>
      </c>
      <c r="BE233" s="3825"/>
      <c r="BF233" s="41">
        <f t="shared" si="398"/>
        <v>3234.8999999999996</v>
      </c>
      <c r="BG233" s="4152">
        <f t="shared" si="399"/>
        <v>0</v>
      </c>
      <c r="BH233" s="4152">
        <f t="shared" si="400"/>
        <v>0</v>
      </c>
      <c r="BI233" s="4152"/>
      <c r="BJ233" s="4152">
        <f t="shared" si="401"/>
        <v>0</v>
      </c>
      <c r="BK233" s="4152">
        <f t="shared" si="402"/>
        <v>0</v>
      </c>
    </row>
    <row r="234" spans="1:63" s="6880" customFormat="1" ht="15.75" thickBot="1" x14ac:dyDescent="0.3">
      <c r="A234" s="90"/>
      <c r="B234" s="3850" t="s">
        <v>77</v>
      </c>
      <c r="C234" s="3842" t="s">
        <v>2248</v>
      </c>
      <c r="D234" s="3842"/>
      <c r="E234" s="3824"/>
      <c r="F234" s="6881"/>
      <c r="G234" s="3824"/>
      <c r="H234" s="6881"/>
      <c r="I234" s="3825"/>
      <c r="J234" s="6366"/>
      <c r="K234" s="3824"/>
      <c r="L234" s="6881"/>
      <c r="M234" s="3826"/>
      <c r="N234" s="6367"/>
      <c r="O234" s="3824"/>
      <c r="P234" s="6881"/>
      <c r="Q234" s="3825"/>
      <c r="R234" s="6366"/>
      <c r="S234" s="3824"/>
      <c r="T234" s="6881"/>
      <c r="U234" s="3825"/>
      <c r="V234" s="6366"/>
      <c r="W234" s="3824"/>
      <c r="X234" s="6881"/>
      <c r="Y234" s="3826"/>
      <c r="Z234" s="6367"/>
      <c r="AA234" s="7389"/>
      <c r="AB234" s="6895"/>
      <c r="AC234" s="3824"/>
      <c r="AD234" s="6881"/>
      <c r="AE234" s="3825"/>
      <c r="AF234" s="6366"/>
      <c r="AG234" s="3824"/>
      <c r="AH234" s="6881"/>
      <c r="AI234" s="3825"/>
      <c r="AJ234" s="7309"/>
      <c r="AK234" s="3824"/>
      <c r="AL234" s="6881"/>
      <c r="AM234" s="3826"/>
      <c r="AN234" s="2244"/>
      <c r="AO234" s="3825"/>
      <c r="AP234" s="5152"/>
      <c r="AQ234" s="3824"/>
      <c r="AR234" s="6881"/>
      <c r="AS234" s="3825"/>
      <c r="AT234" s="41"/>
      <c r="AU234" s="3824"/>
      <c r="AV234" s="6881">
        <v>311.56</v>
      </c>
      <c r="AW234" s="3825"/>
      <c r="AX234" s="41">
        <f t="shared" si="397"/>
        <v>311.56</v>
      </c>
      <c r="AY234" s="3824"/>
      <c r="AZ234" s="6962"/>
      <c r="BA234" s="3826"/>
      <c r="BB234" s="586">
        <f t="shared" si="391"/>
        <v>311.56</v>
      </c>
      <c r="BC234" s="7389"/>
      <c r="BD234" s="7302">
        <f t="shared" si="393"/>
        <v>311.56</v>
      </c>
      <c r="BE234" s="3825"/>
      <c r="BF234" s="41">
        <f t="shared" si="398"/>
        <v>311.56</v>
      </c>
      <c r="BG234" s="4152">
        <f t="shared" si="399"/>
        <v>0</v>
      </c>
      <c r="BH234" s="4152">
        <f t="shared" si="400"/>
        <v>0</v>
      </c>
      <c r="BI234" s="4152"/>
      <c r="BJ234" s="4152">
        <f t="shared" si="401"/>
        <v>0</v>
      </c>
      <c r="BK234" s="4152">
        <f t="shared" si="402"/>
        <v>0</v>
      </c>
    </row>
    <row r="235" spans="1:63" x14ac:dyDescent="0.25">
      <c r="A235" s="90"/>
      <c r="B235" s="3851" t="s">
        <v>527</v>
      </c>
      <c r="C235" s="194"/>
      <c r="D235" s="194"/>
      <c r="E235" s="801"/>
      <c r="F235" s="2237">
        <f>F12</f>
        <v>0</v>
      </c>
      <c r="G235" s="801"/>
      <c r="H235" s="5568">
        <f>H12</f>
        <v>0</v>
      </c>
      <c r="I235" s="799"/>
      <c r="J235" s="7310">
        <f t="shared" si="403"/>
        <v>0</v>
      </c>
      <c r="K235" s="801"/>
      <c r="L235" s="5680">
        <f>L12</f>
        <v>0</v>
      </c>
      <c r="M235" s="848"/>
      <c r="N235" s="7301">
        <f t="shared" si="404"/>
        <v>0</v>
      </c>
      <c r="O235" s="801"/>
      <c r="P235" s="5837">
        <f>P12</f>
        <v>0</v>
      </c>
      <c r="Q235" s="799"/>
      <c r="R235" s="7310">
        <f t="shared" si="405"/>
        <v>0</v>
      </c>
      <c r="S235" s="801"/>
      <c r="T235" s="5893">
        <f>T12</f>
        <v>0</v>
      </c>
      <c r="U235" s="799"/>
      <c r="V235" s="7310">
        <f t="shared" si="406"/>
        <v>0</v>
      </c>
      <c r="W235" s="801"/>
      <c r="X235" s="6007">
        <f>X12</f>
        <v>0</v>
      </c>
      <c r="Y235" s="848"/>
      <c r="Z235" s="7301">
        <f t="shared" si="407"/>
        <v>0</v>
      </c>
      <c r="AA235" s="4498"/>
      <c r="AB235" s="7302">
        <f t="shared" si="408"/>
        <v>0</v>
      </c>
      <c r="AC235" s="801"/>
      <c r="AD235" s="6138">
        <f>AD12</f>
        <v>0</v>
      </c>
      <c r="AE235" s="799"/>
      <c r="AF235" s="7310">
        <f t="shared" si="409"/>
        <v>0</v>
      </c>
      <c r="AG235" s="801"/>
      <c r="AH235" s="6300">
        <f>AH12</f>
        <v>0</v>
      </c>
      <c r="AI235" s="799"/>
      <c r="AJ235" s="7310">
        <f t="shared" si="414"/>
        <v>0</v>
      </c>
      <c r="AK235" s="801"/>
      <c r="AL235" s="6549">
        <f>AL12</f>
        <v>0</v>
      </c>
      <c r="AM235" s="848"/>
      <c r="AN235" s="7301">
        <f t="shared" si="416"/>
        <v>0</v>
      </c>
      <c r="AO235" s="799"/>
      <c r="AP235" s="7310">
        <f t="shared" si="415"/>
        <v>0</v>
      </c>
      <c r="AQ235" s="801"/>
      <c r="AR235" s="6643">
        <f>AR12</f>
        <v>0</v>
      </c>
      <c r="AS235" s="799"/>
      <c r="AT235" s="41">
        <f t="shared" si="396"/>
        <v>0</v>
      </c>
      <c r="AU235" s="801"/>
      <c r="AV235" s="6815">
        <f>AV12</f>
        <v>0</v>
      </c>
      <c r="AW235" s="799"/>
      <c r="AX235" s="41">
        <f t="shared" si="397"/>
        <v>0</v>
      </c>
      <c r="AY235" s="801"/>
      <c r="AZ235" s="6957">
        <f>AZ12</f>
        <v>0</v>
      </c>
      <c r="BA235" s="848"/>
      <c r="BB235" s="586">
        <f t="shared" si="391"/>
        <v>0</v>
      </c>
      <c r="BC235" s="4498"/>
      <c r="BD235" s="7302">
        <f t="shared" si="393"/>
        <v>0</v>
      </c>
      <c r="BE235" s="799"/>
      <c r="BF235" s="41">
        <f t="shared" si="398"/>
        <v>0</v>
      </c>
      <c r="BG235" s="4152">
        <f t="shared" si="399"/>
        <v>0</v>
      </c>
      <c r="BH235" s="4152">
        <f t="shared" si="400"/>
        <v>0</v>
      </c>
      <c r="BI235" s="4152"/>
      <c r="BJ235" s="4152">
        <f t="shared" si="401"/>
        <v>0</v>
      </c>
      <c r="BK235" s="4152">
        <f t="shared" si="402"/>
        <v>0</v>
      </c>
    </row>
    <row r="236" spans="1:63" x14ac:dyDescent="0.25">
      <c r="A236" s="90"/>
      <c r="B236" s="3852" t="s">
        <v>33</v>
      </c>
      <c r="C236" s="194"/>
      <c r="D236" s="1820">
        <f>+D13</f>
        <v>520000</v>
      </c>
      <c r="E236" s="1820">
        <f>+E13</f>
        <v>36500</v>
      </c>
      <c r="F236" s="1820">
        <f>SUM(F100:F235)</f>
        <v>41076.229999999996</v>
      </c>
      <c r="G236" s="1820">
        <f>+G13</f>
        <v>44000</v>
      </c>
      <c r="H236" s="1820">
        <f>SUM(H100:H235)</f>
        <v>39367.020000000004</v>
      </c>
      <c r="I236" s="7311">
        <f>E236+G236</f>
        <v>80500</v>
      </c>
      <c r="J236" s="7310">
        <f t="shared" si="403"/>
        <v>80443.25</v>
      </c>
      <c r="K236" s="1820">
        <f>+K13</f>
        <v>42500</v>
      </c>
      <c r="L236" s="1820">
        <f>SUM(L100:L235)</f>
        <v>37508.06</v>
      </c>
      <c r="M236" s="7303">
        <f>E236+G236+K236</f>
        <v>123000</v>
      </c>
      <c r="N236" s="7301">
        <f t="shared" si="404"/>
        <v>117951.31</v>
      </c>
      <c r="O236" s="1820">
        <f>+O13</f>
        <v>44000</v>
      </c>
      <c r="P236" s="1820">
        <f>SUM(P100:P235)</f>
        <v>44197.29</v>
      </c>
      <c r="Q236" s="7311">
        <f>M236+O236</f>
        <v>167000</v>
      </c>
      <c r="R236" s="7310">
        <f t="shared" si="405"/>
        <v>162148.6</v>
      </c>
      <c r="S236" s="1820">
        <f>+S13</f>
        <v>44000</v>
      </c>
      <c r="T236" s="1820">
        <f>SUM(T100:T235)</f>
        <v>42211.700000000012</v>
      </c>
      <c r="U236" s="7311">
        <f>Q236+S236</f>
        <v>211000</v>
      </c>
      <c r="V236" s="7310">
        <f t="shared" si="406"/>
        <v>204360.30000000002</v>
      </c>
      <c r="W236" s="1820">
        <f>+W13</f>
        <v>25000</v>
      </c>
      <c r="X236" s="1820">
        <f>SUM(X100:X235)</f>
        <v>37026.69</v>
      </c>
      <c r="Y236" s="7303">
        <f t="shared" ref="Y236" si="417">O236+S236+W236</f>
        <v>113000</v>
      </c>
      <c r="Z236" s="7301">
        <f t="shared" si="407"/>
        <v>123435.68000000002</v>
      </c>
      <c r="AA236" s="513">
        <f>M236+Y236</f>
        <v>236000</v>
      </c>
      <c r="AB236" s="7302">
        <f t="shared" si="408"/>
        <v>241386.99000000002</v>
      </c>
      <c r="AC236" s="1820">
        <f>+AC13</f>
        <v>42500</v>
      </c>
      <c r="AD236" s="1820">
        <f>SUM(AD100:AD235)</f>
        <v>31780.120000000003</v>
      </c>
      <c r="AE236" s="7311">
        <f>AA236+AC236</f>
        <v>278500</v>
      </c>
      <c r="AF236" s="7310">
        <f t="shared" si="409"/>
        <v>273167.11000000004</v>
      </c>
      <c r="AG236" s="1820">
        <f>+AG13</f>
        <v>42500</v>
      </c>
      <c r="AH236" s="1820">
        <f>SUM(AH100:AH235)</f>
        <v>38334.73599999999</v>
      </c>
      <c r="AI236" s="7311">
        <f>AE236+AG236</f>
        <v>321000</v>
      </c>
      <c r="AJ236" s="7311">
        <f t="shared" si="414"/>
        <v>311501.84600000002</v>
      </c>
      <c r="AK236" s="1820">
        <f>+AK13</f>
        <v>44000</v>
      </c>
      <c r="AL236" s="1820">
        <f>SUM(AL100:AL235)</f>
        <v>41431.910000000003</v>
      </c>
      <c r="AM236" s="7303">
        <f t="shared" ref="AM236" si="418">AC236+AG236+AK236</f>
        <v>129000</v>
      </c>
      <c r="AN236" s="7303">
        <f t="shared" si="416"/>
        <v>111546.766</v>
      </c>
      <c r="AO236" s="7311">
        <f t="shared" ref="AO236" si="419">AI236+AK236</f>
        <v>365000</v>
      </c>
      <c r="AP236" s="7311">
        <f t="shared" si="415"/>
        <v>352933.75600000005</v>
      </c>
      <c r="AQ236" s="1820">
        <f>+AQ13</f>
        <v>44500</v>
      </c>
      <c r="AR236" s="1820">
        <f>SUM(AR100:AR235)</f>
        <v>39752.561000000002</v>
      </c>
      <c r="AS236" s="7311">
        <f>AO236+AQ236</f>
        <v>409500</v>
      </c>
      <c r="AT236" s="7311">
        <f t="shared" ref="AT236" si="420">AP236+AR236</f>
        <v>392686.31700000004</v>
      </c>
      <c r="AU236" s="1820">
        <f>+AU13</f>
        <v>40000</v>
      </c>
      <c r="AV236" s="1820">
        <f>SUM(AV100:AV235)</f>
        <v>42183.4</v>
      </c>
      <c r="AW236" s="7311">
        <f>AS236+AU236</f>
        <v>449500</v>
      </c>
      <c r="AX236" s="7311">
        <f t="shared" ref="AX236" si="421">AT236+AV236</f>
        <v>434869.71700000006</v>
      </c>
      <c r="AY236" s="1820">
        <f>+AY13</f>
        <v>44500</v>
      </c>
      <c r="AZ236" s="1820">
        <f>SUM(AZ100:AZ235)</f>
        <v>48073.320000000007</v>
      </c>
      <c r="BA236" s="7303">
        <f t="shared" ref="BA236" si="422">AQ236+AU236+AY236</f>
        <v>129000</v>
      </c>
      <c r="BB236" s="7303">
        <f t="shared" ref="BB236" si="423">AR236+AV236+AZ236</f>
        <v>130009.28100000002</v>
      </c>
      <c r="BC236" s="513">
        <f>AM236+BA236</f>
        <v>258000</v>
      </c>
      <c r="BD236" s="513">
        <f>AN236+BB236</f>
        <v>241556.04700000002</v>
      </c>
      <c r="BE236" s="7311">
        <f>AW236+AY236</f>
        <v>494000</v>
      </c>
      <c r="BF236" s="7311">
        <f t="shared" ref="BF236" si="424">AX236+AZ236</f>
        <v>482943.03700000007</v>
      </c>
      <c r="BG236" s="4152">
        <f t="shared" si="399"/>
        <v>0</v>
      </c>
      <c r="BH236" s="4152">
        <f t="shared" si="400"/>
        <v>0</v>
      </c>
      <c r="BI236" s="4152"/>
      <c r="BJ236" s="4152">
        <f t="shared" si="401"/>
        <v>0</v>
      </c>
      <c r="BK236" s="4152">
        <f t="shared" si="402"/>
        <v>0</v>
      </c>
    </row>
    <row r="237" spans="1:63" x14ac:dyDescent="0.25">
      <c r="A237" s="144"/>
      <c r="B237" s="3853" t="s">
        <v>602</v>
      </c>
      <c r="C237" s="4214"/>
      <c r="D237" s="1571"/>
      <c r="E237" s="1571"/>
      <c r="F237" s="1571"/>
      <c r="G237" s="1571"/>
      <c r="H237" s="1571"/>
      <c r="I237" s="7357"/>
      <c r="J237" s="7310">
        <f t="shared" si="403"/>
        <v>0</v>
      </c>
      <c r="K237" s="1571"/>
      <c r="L237" s="1571"/>
      <c r="M237" s="7371"/>
      <c r="N237" s="7301">
        <f t="shared" si="404"/>
        <v>0</v>
      </c>
      <c r="O237" s="1571"/>
      <c r="P237" s="1571"/>
      <c r="Q237" s="7363"/>
      <c r="R237" s="7310">
        <f t="shared" si="405"/>
        <v>0</v>
      </c>
      <c r="S237" s="1571"/>
      <c r="T237" s="1571"/>
      <c r="U237" s="7363"/>
      <c r="V237" s="7310">
        <f t="shared" si="406"/>
        <v>0</v>
      </c>
      <c r="W237" s="1571"/>
      <c r="X237" s="1571"/>
      <c r="Y237" s="7371"/>
      <c r="Z237" s="7301">
        <f t="shared" si="407"/>
        <v>0</v>
      </c>
      <c r="AA237" s="7396"/>
      <c r="AB237" s="7302">
        <f t="shared" si="408"/>
        <v>0</v>
      </c>
      <c r="AC237" s="1571"/>
      <c r="AD237" s="1571"/>
      <c r="AE237" s="7363"/>
      <c r="AF237" s="7310">
        <f t="shared" si="409"/>
        <v>0</v>
      </c>
      <c r="AG237" s="1571"/>
      <c r="AH237" s="1571"/>
      <c r="AI237" s="7363"/>
      <c r="AJ237" s="7363"/>
      <c r="AK237" s="1571"/>
      <c r="AL237" s="1571"/>
      <c r="AM237" s="7371"/>
      <c r="AN237" s="7371"/>
      <c r="AO237" s="7363"/>
      <c r="AP237" s="7363"/>
      <c r="AQ237" s="1571"/>
      <c r="AR237" s="1571"/>
      <c r="AS237" s="7363"/>
      <c r="AT237" s="7363"/>
      <c r="AU237" s="1571"/>
      <c r="AV237" s="1571"/>
      <c r="AW237" s="7363"/>
      <c r="AX237" s="7363"/>
      <c r="AY237" s="1571"/>
      <c r="AZ237" s="1571"/>
      <c r="BA237" s="7371"/>
      <c r="BB237" s="7371"/>
      <c r="BC237" s="7396"/>
      <c r="BD237" s="7396"/>
      <c r="BE237" s="7363"/>
      <c r="BF237" s="7363"/>
      <c r="BG237" s="4152">
        <f t="shared" si="399"/>
        <v>0</v>
      </c>
      <c r="BH237" s="4152">
        <f t="shared" si="400"/>
        <v>0</v>
      </c>
      <c r="BI237" s="4152"/>
      <c r="BJ237" s="4152">
        <f t="shared" si="401"/>
        <v>0</v>
      </c>
      <c r="BK237" s="4152">
        <f t="shared" si="402"/>
        <v>0</v>
      </c>
    </row>
    <row r="238" spans="1:63" x14ac:dyDescent="0.25">
      <c r="A238" s="90"/>
      <c r="B238" s="3854" t="s">
        <v>1794</v>
      </c>
      <c r="C238" s="194"/>
      <c r="D238" s="194"/>
      <c r="E238" s="3855"/>
      <c r="F238" s="2237"/>
      <c r="G238" s="3855"/>
      <c r="H238" s="5568"/>
      <c r="I238" s="3856"/>
      <c r="J238" s="7310">
        <f t="shared" si="403"/>
        <v>0</v>
      </c>
      <c r="K238" s="3855"/>
      <c r="L238" s="5680"/>
      <c r="M238" s="3857"/>
      <c r="N238" s="7301">
        <f t="shared" si="404"/>
        <v>0</v>
      </c>
      <c r="O238" s="3855"/>
      <c r="P238" s="5837"/>
      <c r="Q238" s="3856"/>
      <c r="R238" s="7310">
        <f t="shared" si="405"/>
        <v>0</v>
      </c>
      <c r="S238" s="3855"/>
      <c r="T238" s="5893"/>
      <c r="U238" s="3856"/>
      <c r="V238" s="7310">
        <f t="shared" si="406"/>
        <v>0</v>
      </c>
      <c r="W238" s="3855"/>
      <c r="X238" s="6007"/>
      <c r="Y238" s="3857"/>
      <c r="Z238" s="7301">
        <f t="shared" si="407"/>
        <v>0</v>
      </c>
      <c r="AA238" s="7397"/>
      <c r="AB238" s="7302">
        <f t="shared" si="408"/>
        <v>0</v>
      </c>
      <c r="AC238" s="3855"/>
      <c r="AD238" s="6138"/>
      <c r="AE238" s="3856"/>
      <c r="AF238" s="7310">
        <f t="shared" si="409"/>
        <v>0</v>
      </c>
      <c r="AG238" s="3855"/>
      <c r="AH238" s="6300"/>
      <c r="AI238" s="3856"/>
      <c r="AJ238" s="7310"/>
      <c r="AK238" s="3855"/>
      <c r="AL238" s="6549"/>
      <c r="AM238" s="3857"/>
      <c r="AN238" s="7301"/>
      <c r="AO238" s="3856"/>
      <c r="AP238" s="7310"/>
      <c r="AQ238" s="3855"/>
      <c r="AR238" s="6643"/>
      <c r="AS238" s="3856"/>
      <c r="AT238" s="7310"/>
      <c r="AU238" s="3855"/>
      <c r="AV238" s="6815"/>
      <c r="AW238" s="3856"/>
      <c r="AX238" s="7310"/>
      <c r="AY238" s="3855"/>
      <c r="AZ238" s="6957"/>
      <c r="BA238" s="3857"/>
      <c r="BB238" s="7301"/>
      <c r="BC238" s="7397"/>
      <c r="BD238" s="7302"/>
      <c r="BE238" s="3856"/>
      <c r="BF238" s="7310"/>
      <c r="BG238" s="4152">
        <f t="shared" si="399"/>
        <v>0</v>
      </c>
      <c r="BH238" s="4152">
        <f t="shared" si="400"/>
        <v>0</v>
      </c>
      <c r="BI238" s="4152"/>
      <c r="BJ238" s="4152">
        <f t="shared" si="401"/>
        <v>0</v>
      </c>
      <c r="BK238" s="4152">
        <f t="shared" si="402"/>
        <v>0</v>
      </c>
    </row>
    <row r="239" spans="1:63" x14ac:dyDescent="0.25">
      <c r="A239" s="90"/>
      <c r="B239" s="3858" t="s">
        <v>663</v>
      </c>
      <c r="C239" s="194" t="s">
        <v>50</v>
      </c>
      <c r="D239" s="148"/>
      <c r="E239" s="3855"/>
      <c r="F239" s="2237"/>
      <c r="G239" s="3855"/>
      <c r="H239" s="5568"/>
      <c r="I239" s="3856"/>
      <c r="J239" s="7310">
        <f t="shared" si="403"/>
        <v>0</v>
      </c>
      <c r="K239" s="3855"/>
      <c r="L239" s="5680"/>
      <c r="M239" s="3857"/>
      <c r="N239" s="7301">
        <f t="shared" si="404"/>
        <v>0</v>
      </c>
      <c r="O239" s="3855"/>
      <c r="P239" s="5837"/>
      <c r="Q239" s="3856"/>
      <c r="R239" s="7310">
        <f t="shared" si="405"/>
        <v>0</v>
      </c>
      <c r="S239" s="3855"/>
      <c r="T239" s="5893"/>
      <c r="U239" s="3856"/>
      <c r="V239" s="7310">
        <f t="shared" si="406"/>
        <v>0</v>
      </c>
      <c r="W239" s="3855"/>
      <c r="X239" s="6007"/>
      <c r="Y239" s="3857"/>
      <c r="Z239" s="7301">
        <f t="shared" si="407"/>
        <v>0</v>
      </c>
      <c r="AA239" s="7397"/>
      <c r="AB239" s="7302">
        <f t="shared" si="408"/>
        <v>0</v>
      </c>
      <c r="AC239" s="3855"/>
      <c r="AD239" s="6138"/>
      <c r="AE239" s="3856"/>
      <c r="AF239" s="7310">
        <f t="shared" si="409"/>
        <v>0</v>
      </c>
      <c r="AG239" s="3855"/>
      <c r="AH239" s="6300"/>
      <c r="AI239" s="3856"/>
      <c r="AJ239" s="7310">
        <f t="shared" ref="AJ239:AJ254" si="425">AF239+AH239</f>
        <v>0</v>
      </c>
      <c r="AK239" s="3855"/>
      <c r="AL239" s="6549"/>
      <c r="AM239" s="3857"/>
      <c r="AN239" s="7301">
        <f t="shared" ref="AN239:AN255" si="426">AD239+AH239+AL239</f>
        <v>0</v>
      </c>
      <c r="AO239" s="3856"/>
      <c r="AP239" s="7310">
        <f t="shared" ref="AP239:AP255" si="427">AJ239+AL239</f>
        <v>0</v>
      </c>
      <c r="AQ239" s="3855"/>
      <c r="AR239" s="6643"/>
      <c r="AS239" s="3856"/>
      <c r="AT239" s="7310">
        <f t="shared" ref="AT239:AT254" si="428">AP239+AR239</f>
        <v>0</v>
      </c>
      <c r="AU239" s="3855"/>
      <c r="AV239" s="6815"/>
      <c r="AW239" s="3856"/>
      <c r="AX239" s="7310">
        <f t="shared" ref="AX239:AX256" si="429">AT239+AV239</f>
        <v>0</v>
      </c>
      <c r="AY239" s="3855"/>
      <c r="AZ239" s="6957">
        <v>120.98</v>
      </c>
      <c r="BA239" s="3857"/>
      <c r="BB239" s="7301">
        <f t="shared" ref="BB239" si="430">AR239+AV239+AZ239</f>
        <v>120.98</v>
      </c>
      <c r="BC239" s="7397"/>
      <c r="BD239" s="7302">
        <f t="shared" ref="BD239" si="431">AN239+BB239</f>
        <v>120.98</v>
      </c>
      <c r="BE239" s="3856"/>
      <c r="BF239" s="7310">
        <f t="shared" ref="BF239" si="432">AX239+AZ239</f>
        <v>120.98</v>
      </c>
      <c r="BG239" s="4152">
        <f t="shared" si="399"/>
        <v>0</v>
      </c>
      <c r="BH239" s="4152">
        <f t="shared" si="400"/>
        <v>0</v>
      </c>
      <c r="BI239" s="4152"/>
      <c r="BJ239" s="4152">
        <f t="shared" si="401"/>
        <v>0</v>
      </c>
      <c r="BK239" s="4152">
        <f t="shared" si="402"/>
        <v>0</v>
      </c>
    </row>
    <row r="240" spans="1:63" s="7067" customFormat="1" x14ac:dyDescent="0.25">
      <c r="A240" s="90"/>
      <c r="B240" s="3854" t="s">
        <v>2275</v>
      </c>
      <c r="C240" s="194" t="s">
        <v>50</v>
      </c>
      <c r="D240" s="7046"/>
      <c r="E240" s="7072"/>
      <c r="F240" s="7040"/>
      <c r="G240" s="7072"/>
      <c r="H240" s="7040"/>
      <c r="I240" s="7073"/>
      <c r="J240" s="7044"/>
      <c r="K240" s="7072"/>
      <c r="L240" s="7040"/>
      <c r="M240" s="7074"/>
      <c r="N240" s="7045"/>
      <c r="O240" s="7072"/>
      <c r="P240" s="7040"/>
      <c r="Q240" s="7073"/>
      <c r="R240" s="7044"/>
      <c r="S240" s="7072"/>
      <c r="T240" s="7040"/>
      <c r="U240" s="7073"/>
      <c r="V240" s="7044"/>
      <c r="W240" s="7072"/>
      <c r="X240" s="7040"/>
      <c r="Y240" s="7074"/>
      <c r="Z240" s="7045"/>
      <c r="AA240" s="7398"/>
      <c r="AB240" s="7379"/>
      <c r="AC240" s="7072"/>
      <c r="AD240" s="7040"/>
      <c r="AE240" s="7073"/>
      <c r="AF240" s="7044"/>
      <c r="AG240" s="7072"/>
      <c r="AH240" s="7040"/>
      <c r="AI240" s="7073"/>
      <c r="AJ240" s="7044"/>
      <c r="AK240" s="7072"/>
      <c r="AL240" s="7040"/>
      <c r="AM240" s="7074"/>
      <c r="AN240" s="7045"/>
      <c r="AO240" s="7073"/>
      <c r="AP240" s="7044"/>
      <c r="AQ240" s="7072"/>
      <c r="AR240" s="7040"/>
      <c r="AS240" s="7073"/>
      <c r="AT240" s="7044"/>
      <c r="AU240" s="7072"/>
      <c r="AV240" s="7040"/>
      <c r="AW240" s="7073"/>
      <c r="AX240" s="7044"/>
      <c r="AY240" s="7072"/>
      <c r="AZ240" s="7040"/>
      <c r="BA240" s="7074"/>
      <c r="BB240" s="7045"/>
      <c r="BC240" s="7398"/>
      <c r="BD240" s="7379"/>
      <c r="BE240" s="7073"/>
      <c r="BF240" s="7044"/>
      <c r="BG240" s="4152">
        <f t="shared" si="399"/>
        <v>0</v>
      </c>
      <c r="BH240" s="4152">
        <f t="shared" si="400"/>
        <v>0</v>
      </c>
      <c r="BI240" s="4152"/>
      <c r="BJ240" s="4152">
        <f t="shared" si="401"/>
        <v>0</v>
      </c>
      <c r="BK240" s="4152">
        <f t="shared" si="402"/>
        <v>0</v>
      </c>
    </row>
    <row r="241" spans="1:63" s="7067" customFormat="1" x14ac:dyDescent="0.25">
      <c r="A241" s="90"/>
      <c r="B241" s="3858" t="s">
        <v>663</v>
      </c>
      <c r="C241" s="194" t="s">
        <v>50</v>
      </c>
      <c r="D241" s="7046"/>
      <c r="E241" s="7072"/>
      <c r="F241" s="7040"/>
      <c r="G241" s="7072"/>
      <c r="H241" s="7040"/>
      <c r="I241" s="7073"/>
      <c r="J241" s="7044"/>
      <c r="K241" s="7072"/>
      <c r="L241" s="7040"/>
      <c r="M241" s="7074"/>
      <c r="N241" s="7045"/>
      <c r="O241" s="7072"/>
      <c r="P241" s="7040"/>
      <c r="Q241" s="7073"/>
      <c r="R241" s="7044"/>
      <c r="S241" s="7072"/>
      <c r="T241" s="7040"/>
      <c r="U241" s="7073"/>
      <c r="V241" s="7044"/>
      <c r="W241" s="7072"/>
      <c r="X241" s="7040"/>
      <c r="Y241" s="7074"/>
      <c r="Z241" s="7045"/>
      <c r="AA241" s="7398"/>
      <c r="AB241" s="7379"/>
      <c r="AC241" s="7072"/>
      <c r="AD241" s="7040"/>
      <c r="AE241" s="7073"/>
      <c r="AF241" s="7044"/>
      <c r="AG241" s="7072"/>
      <c r="AH241" s="7040"/>
      <c r="AI241" s="7073"/>
      <c r="AJ241" s="7044"/>
      <c r="AK241" s="7072"/>
      <c r="AL241" s="7040"/>
      <c r="AM241" s="7074"/>
      <c r="AN241" s="7045"/>
      <c r="AO241" s="7073"/>
      <c r="AP241" s="7044"/>
      <c r="AQ241" s="7072"/>
      <c r="AR241" s="7040"/>
      <c r="AS241" s="7073"/>
      <c r="AT241" s="7044"/>
      <c r="AU241" s="7072"/>
      <c r="AV241" s="7040"/>
      <c r="AW241" s="7073"/>
      <c r="AX241" s="7044"/>
      <c r="AY241" s="7072"/>
      <c r="AZ241" s="7040">
        <v>118.88</v>
      </c>
      <c r="BA241" s="7074"/>
      <c r="BB241" s="7301">
        <f t="shared" ref="BB241" si="433">AR241+AV241+AZ241</f>
        <v>118.88</v>
      </c>
      <c r="BC241" s="7397"/>
      <c r="BD241" s="7302">
        <f t="shared" ref="BD241" si="434">AN241+BB241</f>
        <v>118.88</v>
      </c>
      <c r="BE241" s="3856"/>
      <c r="BF241" s="7310">
        <f t="shared" ref="BF241" si="435">AX241+AZ241</f>
        <v>118.88</v>
      </c>
      <c r="BG241" s="4152">
        <f t="shared" si="399"/>
        <v>0</v>
      </c>
      <c r="BH241" s="4152">
        <f t="shared" si="400"/>
        <v>0</v>
      </c>
      <c r="BI241" s="4152"/>
      <c r="BJ241" s="4152">
        <f t="shared" si="401"/>
        <v>0</v>
      </c>
      <c r="BK241" s="4152">
        <f t="shared" si="402"/>
        <v>0</v>
      </c>
    </row>
    <row r="242" spans="1:63" s="7067" customFormat="1" x14ac:dyDescent="0.25">
      <c r="A242" s="90"/>
      <c r="B242" s="3854" t="s">
        <v>2276</v>
      </c>
      <c r="C242" s="194" t="s">
        <v>50</v>
      </c>
      <c r="D242" s="7046"/>
      <c r="E242" s="7072"/>
      <c r="F242" s="7040"/>
      <c r="G242" s="7072"/>
      <c r="H242" s="7040"/>
      <c r="I242" s="7073"/>
      <c r="J242" s="7044"/>
      <c r="K242" s="7072"/>
      <c r="L242" s="7040"/>
      <c r="M242" s="7074"/>
      <c r="N242" s="7045"/>
      <c r="O242" s="7072"/>
      <c r="P242" s="7040"/>
      <c r="Q242" s="7073"/>
      <c r="R242" s="7044"/>
      <c r="S242" s="7072"/>
      <c r="T242" s="7040"/>
      <c r="U242" s="7073"/>
      <c r="V242" s="7044"/>
      <c r="W242" s="7072"/>
      <c r="X242" s="7040"/>
      <c r="Y242" s="7074"/>
      <c r="Z242" s="7045"/>
      <c r="AA242" s="7398"/>
      <c r="AB242" s="7379"/>
      <c r="AC242" s="7072"/>
      <c r="AD242" s="7040"/>
      <c r="AE242" s="7073"/>
      <c r="AF242" s="7044"/>
      <c r="AG242" s="7072"/>
      <c r="AH242" s="7040"/>
      <c r="AI242" s="7073"/>
      <c r="AJ242" s="7044"/>
      <c r="AK242" s="7072"/>
      <c r="AL242" s="7040"/>
      <c r="AM242" s="7074"/>
      <c r="AN242" s="7045"/>
      <c r="AO242" s="7073"/>
      <c r="AP242" s="7044"/>
      <c r="AQ242" s="7072"/>
      <c r="AR242" s="7040"/>
      <c r="AS242" s="7073"/>
      <c r="AT242" s="7044"/>
      <c r="AU242" s="7072"/>
      <c r="AV242" s="7040"/>
      <c r="AW242" s="7073"/>
      <c r="AX242" s="7044"/>
      <c r="AY242" s="7072"/>
      <c r="AZ242" s="7040"/>
      <c r="BA242" s="7074"/>
      <c r="BB242" s="7045"/>
      <c r="BC242" s="7398"/>
      <c r="BD242" s="7379"/>
      <c r="BE242" s="7073"/>
      <c r="BF242" s="7044"/>
      <c r="BG242" s="4152">
        <f t="shared" si="399"/>
        <v>0</v>
      </c>
      <c r="BH242" s="4152">
        <f t="shared" si="400"/>
        <v>0</v>
      </c>
      <c r="BI242" s="4152"/>
      <c r="BJ242" s="4152">
        <f t="shared" si="401"/>
        <v>0</v>
      </c>
      <c r="BK242" s="4152">
        <f t="shared" si="402"/>
        <v>0</v>
      </c>
    </row>
    <row r="243" spans="1:63" s="7067" customFormat="1" x14ac:dyDescent="0.25">
      <c r="A243" s="90"/>
      <c r="B243" s="3858" t="s">
        <v>663</v>
      </c>
      <c r="C243" s="194" t="s">
        <v>50</v>
      </c>
      <c r="D243" s="7046"/>
      <c r="E243" s="7072"/>
      <c r="F243" s="7040"/>
      <c r="G243" s="7072"/>
      <c r="H243" s="7040"/>
      <c r="I243" s="7073"/>
      <c r="J243" s="7044"/>
      <c r="K243" s="7072"/>
      <c r="L243" s="7040"/>
      <c r="M243" s="7074"/>
      <c r="N243" s="7045"/>
      <c r="O243" s="7072"/>
      <c r="P243" s="7040"/>
      <c r="Q243" s="7073"/>
      <c r="R243" s="7044"/>
      <c r="S243" s="7072"/>
      <c r="T243" s="7040"/>
      <c r="U243" s="7073"/>
      <c r="V243" s="7044"/>
      <c r="W243" s="7072"/>
      <c r="X243" s="7040"/>
      <c r="Y243" s="7074"/>
      <c r="Z243" s="7045"/>
      <c r="AA243" s="7398"/>
      <c r="AB243" s="7379"/>
      <c r="AC243" s="7072"/>
      <c r="AD243" s="7040"/>
      <c r="AE243" s="7073"/>
      <c r="AF243" s="7044"/>
      <c r="AG243" s="7072"/>
      <c r="AH243" s="7040"/>
      <c r="AI243" s="7073"/>
      <c r="AJ243" s="7044"/>
      <c r="AK243" s="7072"/>
      <c r="AL243" s="7040"/>
      <c r="AM243" s="7074"/>
      <c r="AN243" s="7045"/>
      <c r="AO243" s="7073"/>
      <c r="AP243" s="7044"/>
      <c r="AQ243" s="7072"/>
      <c r="AR243" s="7040"/>
      <c r="AS243" s="7073"/>
      <c r="AT243" s="7044"/>
      <c r="AU243" s="7072"/>
      <c r="AV243" s="7040"/>
      <c r="AW243" s="7073"/>
      <c r="AX243" s="7044"/>
      <c r="AY243" s="7072"/>
      <c r="AZ243" s="7040">
        <v>357.44</v>
      </c>
      <c r="BA243" s="7074"/>
      <c r="BB243" s="7301">
        <f t="shared" ref="BB243" si="436">AR243+AV243+AZ243</f>
        <v>357.44</v>
      </c>
      <c r="BC243" s="7397"/>
      <c r="BD243" s="7302">
        <f t="shared" ref="BD243" si="437">AN243+BB243</f>
        <v>357.44</v>
      </c>
      <c r="BE243" s="3856"/>
      <c r="BF243" s="7310">
        <f t="shared" ref="BF243" si="438">AX243+AZ243</f>
        <v>357.44</v>
      </c>
      <c r="BG243" s="4152">
        <f t="shared" si="399"/>
        <v>0</v>
      </c>
      <c r="BH243" s="4152">
        <f t="shared" si="400"/>
        <v>0</v>
      </c>
      <c r="BI243" s="4152"/>
      <c r="BJ243" s="4152">
        <f t="shared" si="401"/>
        <v>0</v>
      </c>
      <c r="BK243" s="4152">
        <f t="shared" si="402"/>
        <v>0</v>
      </c>
    </row>
    <row r="244" spans="1:63" x14ac:dyDescent="0.25">
      <c r="A244" s="90"/>
      <c r="B244" s="3854" t="s">
        <v>1086</v>
      </c>
      <c r="C244" s="194" t="s">
        <v>50</v>
      </c>
      <c r="D244" s="148"/>
      <c r="E244" s="3855"/>
      <c r="F244" s="2237"/>
      <c r="G244" s="3855"/>
      <c r="H244" s="5568"/>
      <c r="I244" s="3856"/>
      <c r="J244" s="7310">
        <f t="shared" si="403"/>
        <v>0</v>
      </c>
      <c r="K244" s="3855"/>
      <c r="L244" s="5680"/>
      <c r="M244" s="3857"/>
      <c r="N244" s="7301">
        <f t="shared" si="404"/>
        <v>0</v>
      </c>
      <c r="O244" s="3855"/>
      <c r="P244" s="5837"/>
      <c r="Q244" s="3856"/>
      <c r="R244" s="7310">
        <f t="shared" si="405"/>
        <v>0</v>
      </c>
      <c r="S244" s="3855"/>
      <c r="T244" s="5893"/>
      <c r="U244" s="3856"/>
      <c r="V244" s="7310">
        <f t="shared" si="406"/>
        <v>0</v>
      </c>
      <c r="W244" s="3855"/>
      <c r="X244" s="6007"/>
      <c r="Y244" s="3857"/>
      <c r="Z244" s="7301">
        <f t="shared" si="407"/>
        <v>0</v>
      </c>
      <c r="AA244" s="7397"/>
      <c r="AB244" s="7302">
        <f t="shared" si="408"/>
        <v>0</v>
      </c>
      <c r="AC244" s="3855"/>
      <c r="AD244" s="6138"/>
      <c r="AE244" s="3856"/>
      <c r="AF244" s="7310">
        <f t="shared" si="409"/>
        <v>0</v>
      </c>
      <c r="AG244" s="3855"/>
      <c r="AH244" s="6300"/>
      <c r="AI244" s="3856"/>
      <c r="AJ244" s="7310"/>
      <c r="AK244" s="3855"/>
      <c r="AL244" s="6549"/>
      <c r="AM244" s="3857"/>
      <c r="AN244" s="7301">
        <f t="shared" si="426"/>
        <v>0</v>
      </c>
      <c r="AO244" s="3856"/>
      <c r="AP244" s="7310">
        <f t="shared" si="427"/>
        <v>0</v>
      </c>
      <c r="AQ244" s="3855"/>
      <c r="AR244" s="6643"/>
      <c r="AS244" s="3856"/>
      <c r="AT244" s="7310">
        <f t="shared" si="428"/>
        <v>0</v>
      </c>
      <c r="AU244" s="3855"/>
      <c r="AV244" s="6815"/>
      <c r="AW244" s="3856"/>
      <c r="AX244" s="7310">
        <f t="shared" si="429"/>
        <v>0</v>
      </c>
      <c r="AY244" s="3855"/>
      <c r="AZ244" s="6957"/>
      <c r="BA244" s="3857"/>
      <c r="BB244" s="7301"/>
      <c r="BC244" s="7397"/>
      <c r="BD244" s="7302"/>
      <c r="BE244" s="3856"/>
      <c r="BF244" s="7310"/>
      <c r="BG244" s="4152">
        <f t="shared" si="399"/>
        <v>0</v>
      </c>
      <c r="BH244" s="4152">
        <f t="shared" si="400"/>
        <v>0</v>
      </c>
      <c r="BI244" s="4152"/>
      <c r="BJ244" s="4152">
        <f t="shared" si="401"/>
        <v>0</v>
      </c>
      <c r="BK244" s="4152">
        <f t="shared" si="402"/>
        <v>0</v>
      </c>
    </row>
    <row r="245" spans="1:63" x14ac:dyDescent="0.25">
      <c r="A245" s="90"/>
      <c r="B245" s="3858" t="s">
        <v>663</v>
      </c>
      <c r="C245" s="194" t="s">
        <v>50</v>
      </c>
      <c r="D245" s="148"/>
      <c r="E245" s="3855"/>
      <c r="F245" s="2237"/>
      <c r="G245" s="3855"/>
      <c r="H245" s="5568"/>
      <c r="I245" s="3856"/>
      <c r="J245" s="7310">
        <f t="shared" si="403"/>
        <v>0</v>
      </c>
      <c r="K245" s="3855"/>
      <c r="L245" s="5680"/>
      <c r="M245" s="3857"/>
      <c r="N245" s="7301">
        <f t="shared" si="404"/>
        <v>0</v>
      </c>
      <c r="O245" s="3855"/>
      <c r="P245" s="5837"/>
      <c r="Q245" s="3856"/>
      <c r="R245" s="7310">
        <f t="shared" si="405"/>
        <v>0</v>
      </c>
      <c r="S245" s="3855"/>
      <c r="T245" s="5893"/>
      <c r="U245" s="3856"/>
      <c r="V245" s="7310">
        <f t="shared" si="406"/>
        <v>0</v>
      </c>
      <c r="W245" s="3855"/>
      <c r="X245" s="6007"/>
      <c r="Y245" s="3857"/>
      <c r="Z245" s="7301">
        <f t="shared" si="407"/>
        <v>0</v>
      </c>
      <c r="AA245" s="7397"/>
      <c r="AB245" s="7302">
        <f t="shared" si="408"/>
        <v>0</v>
      </c>
      <c r="AC245" s="3855"/>
      <c r="AD245" s="6138"/>
      <c r="AE245" s="3856"/>
      <c r="AF245" s="7310">
        <f t="shared" si="409"/>
        <v>0</v>
      </c>
      <c r="AG245" s="3855"/>
      <c r="AH245" s="6300">
        <v>119.21</v>
      </c>
      <c r="AI245" s="3856"/>
      <c r="AJ245" s="7310">
        <f t="shared" si="425"/>
        <v>119.21</v>
      </c>
      <c r="AK245" s="3855"/>
      <c r="AL245" s="6549">
        <v>248.22</v>
      </c>
      <c r="AM245" s="3857"/>
      <c r="AN245" s="7301">
        <f t="shared" si="426"/>
        <v>367.43</v>
      </c>
      <c r="AO245" s="3856"/>
      <c r="AP245" s="7310">
        <f t="shared" si="427"/>
        <v>367.43</v>
      </c>
      <c r="AQ245" s="3855"/>
      <c r="AR245" s="6643"/>
      <c r="AS245" s="3856"/>
      <c r="AT245" s="7310">
        <f t="shared" si="428"/>
        <v>367.43</v>
      </c>
      <c r="AU245" s="3855"/>
      <c r="AV245" s="6815"/>
      <c r="AW245" s="3856"/>
      <c r="AX245" s="7310">
        <f t="shared" si="429"/>
        <v>367.43</v>
      </c>
      <c r="AY245" s="3855"/>
      <c r="AZ245" s="6957">
        <v>61.1</v>
      </c>
      <c r="BA245" s="3857"/>
      <c r="BB245" s="7301">
        <f t="shared" ref="BB245:BB254" si="439">AR245+AV245+AZ245</f>
        <v>61.1</v>
      </c>
      <c r="BC245" s="7397"/>
      <c r="BD245" s="7302">
        <f t="shared" ref="BD245:BD254" si="440">AN245+BB245</f>
        <v>428.53000000000003</v>
      </c>
      <c r="BE245" s="3856"/>
      <c r="BF245" s="7310">
        <f t="shared" ref="BF245:BF254" si="441">AX245+AZ245</f>
        <v>428.53000000000003</v>
      </c>
      <c r="BG245" s="4152">
        <f t="shared" si="399"/>
        <v>0</v>
      </c>
      <c r="BH245" s="4152">
        <f t="shared" si="400"/>
        <v>0</v>
      </c>
      <c r="BI245" s="4152"/>
      <c r="BJ245" s="4152">
        <f t="shared" si="401"/>
        <v>0</v>
      </c>
      <c r="BK245" s="4152">
        <f t="shared" si="402"/>
        <v>0</v>
      </c>
    </row>
    <row r="246" spans="1:63" x14ac:dyDescent="0.25">
      <c r="A246" s="90"/>
      <c r="B246" s="3854" t="s">
        <v>1403</v>
      </c>
      <c r="C246" s="194" t="s">
        <v>50</v>
      </c>
      <c r="D246" s="194"/>
      <c r="E246" s="3855"/>
      <c r="F246" s="2237"/>
      <c r="G246" s="3855"/>
      <c r="H246" s="5568"/>
      <c r="I246" s="3856"/>
      <c r="J246" s="7310">
        <f t="shared" si="403"/>
        <v>0</v>
      </c>
      <c r="K246" s="3855"/>
      <c r="L246" s="5680"/>
      <c r="M246" s="3857"/>
      <c r="N246" s="7301">
        <f t="shared" si="404"/>
        <v>0</v>
      </c>
      <c r="O246" s="3855"/>
      <c r="P246" s="5837"/>
      <c r="Q246" s="3856"/>
      <c r="R246" s="7310">
        <f t="shared" si="405"/>
        <v>0</v>
      </c>
      <c r="S246" s="3855"/>
      <c r="T246" s="5893"/>
      <c r="U246" s="3856"/>
      <c r="V246" s="7310">
        <f t="shared" si="406"/>
        <v>0</v>
      </c>
      <c r="W246" s="3855"/>
      <c r="X246" s="6007"/>
      <c r="Y246" s="3857"/>
      <c r="Z246" s="7301">
        <f t="shared" si="407"/>
        <v>0</v>
      </c>
      <c r="AA246" s="7397"/>
      <c r="AB246" s="7302">
        <f t="shared" si="408"/>
        <v>0</v>
      </c>
      <c r="AC246" s="3855"/>
      <c r="AD246" s="6138"/>
      <c r="AE246" s="3856"/>
      <c r="AF246" s="7310">
        <f t="shared" si="409"/>
        <v>0</v>
      </c>
      <c r="AG246" s="3855"/>
      <c r="AH246" s="6300"/>
      <c r="AI246" s="3856"/>
      <c r="AJ246" s="7310"/>
      <c r="AK246" s="3855"/>
      <c r="AL246" s="6549"/>
      <c r="AM246" s="3857"/>
      <c r="AN246" s="7301">
        <f t="shared" si="426"/>
        <v>0</v>
      </c>
      <c r="AO246" s="3856"/>
      <c r="AP246" s="7310">
        <f t="shared" si="427"/>
        <v>0</v>
      </c>
      <c r="AQ246" s="3855"/>
      <c r="AR246" s="6643"/>
      <c r="AS246" s="3856"/>
      <c r="AT246" s="7310">
        <f t="shared" si="428"/>
        <v>0</v>
      </c>
      <c r="AU246" s="3855"/>
      <c r="AV246" s="6815"/>
      <c r="AW246" s="3856"/>
      <c r="AX246" s="7310">
        <f t="shared" si="429"/>
        <v>0</v>
      </c>
      <c r="AY246" s="3855"/>
      <c r="AZ246" s="6957"/>
      <c r="BA246" s="3857"/>
      <c r="BB246" s="7301"/>
      <c r="BC246" s="7397"/>
      <c r="BD246" s="7302"/>
      <c r="BE246" s="3856"/>
      <c r="BF246" s="7310"/>
      <c r="BG246" s="4152">
        <f t="shared" si="399"/>
        <v>0</v>
      </c>
      <c r="BH246" s="4152">
        <f t="shared" si="400"/>
        <v>0</v>
      </c>
      <c r="BI246" s="4152"/>
      <c r="BJ246" s="4152">
        <f t="shared" si="401"/>
        <v>0</v>
      </c>
      <c r="BK246" s="4152">
        <f t="shared" si="402"/>
        <v>0</v>
      </c>
    </row>
    <row r="247" spans="1:63" x14ac:dyDescent="0.25">
      <c r="A247" s="90"/>
      <c r="B247" s="3858" t="s">
        <v>663</v>
      </c>
      <c r="C247" s="194" t="s">
        <v>50</v>
      </c>
      <c r="D247" s="148"/>
      <c r="E247" s="3855"/>
      <c r="F247" s="2237"/>
      <c r="G247" s="3855"/>
      <c r="H247" s="5568"/>
      <c r="I247" s="3856"/>
      <c r="J247" s="7310">
        <f t="shared" si="403"/>
        <v>0</v>
      </c>
      <c r="K247" s="3855"/>
      <c r="L247" s="5680"/>
      <c r="M247" s="3857"/>
      <c r="N247" s="7301">
        <f t="shared" si="404"/>
        <v>0</v>
      </c>
      <c r="O247" s="3855"/>
      <c r="P247" s="5837">
        <v>38.94</v>
      </c>
      <c r="Q247" s="3856"/>
      <c r="R247" s="7310">
        <f t="shared" si="405"/>
        <v>38.94</v>
      </c>
      <c r="S247" s="3855"/>
      <c r="T247" s="5893"/>
      <c r="U247" s="3856"/>
      <c r="V247" s="7310">
        <f t="shared" si="406"/>
        <v>38.94</v>
      </c>
      <c r="W247" s="3855"/>
      <c r="X247" s="6007"/>
      <c r="Y247" s="3857"/>
      <c r="Z247" s="7301">
        <f t="shared" si="407"/>
        <v>38.94</v>
      </c>
      <c r="AA247" s="7397"/>
      <c r="AB247" s="7302">
        <f t="shared" si="408"/>
        <v>38.94</v>
      </c>
      <c r="AC247" s="3855"/>
      <c r="AD247" s="6138"/>
      <c r="AE247" s="3856"/>
      <c r="AF247" s="7310">
        <f t="shared" si="409"/>
        <v>38.94</v>
      </c>
      <c r="AG247" s="3855"/>
      <c r="AH247" s="6300"/>
      <c r="AI247" s="3856"/>
      <c r="AJ247" s="7310">
        <f t="shared" si="425"/>
        <v>38.94</v>
      </c>
      <c r="AK247" s="3855"/>
      <c r="AL247" s="6549"/>
      <c r="AM247" s="3857"/>
      <c r="AN247" s="7301">
        <f t="shared" si="426"/>
        <v>0</v>
      </c>
      <c r="AO247" s="3856"/>
      <c r="AP247" s="7310">
        <f t="shared" si="427"/>
        <v>38.94</v>
      </c>
      <c r="AQ247" s="3855"/>
      <c r="AR247" s="6643"/>
      <c r="AS247" s="3856"/>
      <c r="AT247" s="7310">
        <f t="shared" si="428"/>
        <v>38.94</v>
      </c>
      <c r="AU247" s="3855"/>
      <c r="AV247" s="6815"/>
      <c r="AW247" s="3856"/>
      <c r="AX247" s="7310">
        <f t="shared" si="429"/>
        <v>38.94</v>
      </c>
      <c r="AY247" s="3855"/>
      <c r="AZ247" s="6957">
        <v>854.18</v>
      </c>
      <c r="BA247" s="3857"/>
      <c r="BB247" s="7301">
        <f t="shared" si="439"/>
        <v>854.18</v>
      </c>
      <c r="BC247" s="7397"/>
      <c r="BD247" s="7302">
        <f t="shared" si="440"/>
        <v>854.18</v>
      </c>
      <c r="BE247" s="3856"/>
      <c r="BF247" s="7310">
        <f t="shared" si="441"/>
        <v>893.11999999999989</v>
      </c>
      <c r="BG247" s="4152">
        <f t="shared" si="399"/>
        <v>0</v>
      </c>
      <c r="BH247" s="4152">
        <f t="shared" si="400"/>
        <v>0</v>
      </c>
      <c r="BI247" s="4152"/>
      <c r="BJ247" s="4152">
        <f t="shared" si="401"/>
        <v>0</v>
      </c>
      <c r="BK247" s="4152">
        <f t="shared" si="402"/>
        <v>0</v>
      </c>
    </row>
    <row r="248" spans="1:63" s="4374" customFormat="1" x14ac:dyDescent="0.25">
      <c r="A248" s="90"/>
      <c r="B248" s="3854" t="s">
        <v>1784</v>
      </c>
      <c r="C248" s="194" t="s">
        <v>50</v>
      </c>
      <c r="D248" s="4275"/>
      <c r="E248" s="4383"/>
      <c r="F248" s="4375"/>
      <c r="G248" s="4383"/>
      <c r="H248" s="5572"/>
      <c r="I248" s="4384"/>
      <c r="J248" s="7310">
        <f t="shared" si="403"/>
        <v>0</v>
      </c>
      <c r="K248" s="4383"/>
      <c r="L248" s="5692"/>
      <c r="M248" s="4385"/>
      <c r="N248" s="7301">
        <f t="shared" si="404"/>
        <v>0</v>
      </c>
      <c r="O248" s="4383"/>
      <c r="P248" s="5849"/>
      <c r="Q248" s="4384"/>
      <c r="R248" s="7310">
        <f t="shared" si="405"/>
        <v>0</v>
      </c>
      <c r="S248" s="4383"/>
      <c r="T248" s="5900"/>
      <c r="U248" s="4384"/>
      <c r="V248" s="7310">
        <f t="shared" si="406"/>
        <v>0</v>
      </c>
      <c r="W248" s="4383"/>
      <c r="X248" s="6015"/>
      <c r="Y248" s="4385"/>
      <c r="Z248" s="7301">
        <f t="shared" si="407"/>
        <v>0</v>
      </c>
      <c r="AA248" s="7399"/>
      <c r="AB248" s="7302">
        <f t="shared" si="408"/>
        <v>0</v>
      </c>
      <c r="AC248" s="4383"/>
      <c r="AD248" s="6148"/>
      <c r="AE248" s="4384"/>
      <c r="AF248" s="7310">
        <f t="shared" si="409"/>
        <v>0</v>
      </c>
      <c r="AG248" s="4383"/>
      <c r="AH248" s="6310"/>
      <c r="AI248" s="4384"/>
      <c r="AJ248" s="7310"/>
      <c r="AK248" s="4383"/>
      <c r="AL248" s="6556"/>
      <c r="AM248" s="4385"/>
      <c r="AN248" s="7301">
        <f t="shared" si="426"/>
        <v>0</v>
      </c>
      <c r="AO248" s="4384"/>
      <c r="AP248" s="7310">
        <f t="shared" si="427"/>
        <v>0</v>
      </c>
      <c r="AQ248" s="4383"/>
      <c r="AR248" s="6655"/>
      <c r="AS248" s="4384"/>
      <c r="AT248" s="7310">
        <f t="shared" si="428"/>
        <v>0</v>
      </c>
      <c r="AU248" s="4383"/>
      <c r="AV248" s="6821"/>
      <c r="AW248" s="4384"/>
      <c r="AX248" s="7310">
        <f t="shared" si="429"/>
        <v>0</v>
      </c>
      <c r="AY248" s="4383"/>
      <c r="AZ248" s="6964"/>
      <c r="BA248" s="4385"/>
      <c r="BB248" s="7301"/>
      <c r="BC248" s="7397"/>
      <c r="BD248" s="7302"/>
      <c r="BE248" s="3856"/>
      <c r="BF248" s="7310"/>
      <c r="BG248" s="4152">
        <f t="shared" si="399"/>
        <v>0</v>
      </c>
      <c r="BH248" s="4152">
        <f t="shared" si="400"/>
        <v>0</v>
      </c>
      <c r="BI248" s="4152"/>
      <c r="BJ248" s="4152">
        <f t="shared" si="401"/>
        <v>0</v>
      </c>
      <c r="BK248" s="4152">
        <f t="shared" si="402"/>
        <v>0</v>
      </c>
    </row>
    <row r="249" spans="1:63" s="4374" customFormat="1" x14ac:dyDescent="0.25">
      <c r="A249" s="90"/>
      <c r="B249" s="4382" t="s">
        <v>663</v>
      </c>
      <c r="C249" s="194" t="s">
        <v>50</v>
      </c>
      <c r="D249" s="4275"/>
      <c r="E249" s="4383"/>
      <c r="F249" s="4375"/>
      <c r="G249" s="4383"/>
      <c r="H249" s="5572"/>
      <c r="I249" s="4384"/>
      <c r="J249" s="7310">
        <f t="shared" si="403"/>
        <v>0</v>
      </c>
      <c r="K249" s="4383"/>
      <c r="L249" s="5692"/>
      <c r="M249" s="4385"/>
      <c r="N249" s="7301">
        <f t="shared" si="404"/>
        <v>0</v>
      </c>
      <c r="O249" s="4383"/>
      <c r="P249" s="5849"/>
      <c r="Q249" s="4384"/>
      <c r="R249" s="7310">
        <f t="shared" si="405"/>
        <v>0</v>
      </c>
      <c r="S249" s="4383"/>
      <c r="T249" s="5900"/>
      <c r="U249" s="4384"/>
      <c r="V249" s="7310">
        <f t="shared" si="406"/>
        <v>0</v>
      </c>
      <c r="W249" s="4383"/>
      <c r="X249" s="6015"/>
      <c r="Y249" s="4385"/>
      <c r="Z249" s="7301">
        <f t="shared" si="407"/>
        <v>0</v>
      </c>
      <c r="AA249" s="7399"/>
      <c r="AB249" s="7302">
        <f t="shared" si="408"/>
        <v>0</v>
      </c>
      <c r="AC249" s="4383"/>
      <c r="AD249" s="6148"/>
      <c r="AE249" s="4384"/>
      <c r="AF249" s="7310">
        <f t="shared" si="409"/>
        <v>0</v>
      </c>
      <c r="AG249" s="4383"/>
      <c r="AH249" s="6310"/>
      <c r="AI249" s="4384"/>
      <c r="AJ249" s="7310">
        <f t="shared" si="425"/>
        <v>0</v>
      </c>
      <c r="AK249" s="4383"/>
      <c r="AL249" s="6556"/>
      <c r="AM249" s="4385"/>
      <c r="AN249" s="7301">
        <f t="shared" si="426"/>
        <v>0</v>
      </c>
      <c r="AO249" s="4384"/>
      <c r="AP249" s="7310">
        <f t="shared" si="427"/>
        <v>0</v>
      </c>
      <c r="AQ249" s="4383"/>
      <c r="AR249" s="6655"/>
      <c r="AS249" s="4384"/>
      <c r="AT249" s="7310">
        <f t="shared" si="428"/>
        <v>0</v>
      </c>
      <c r="AU249" s="4383"/>
      <c r="AV249" s="6821"/>
      <c r="AW249" s="4384"/>
      <c r="AX249" s="7310">
        <f t="shared" si="429"/>
        <v>0</v>
      </c>
      <c r="AY249" s="4383"/>
      <c r="AZ249" s="6964"/>
      <c r="BA249" s="4385"/>
      <c r="BB249" s="7301">
        <f t="shared" si="439"/>
        <v>0</v>
      </c>
      <c r="BC249" s="7397"/>
      <c r="BD249" s="7302">
        <f t="shared" si="440"/>
        <v>0</v>
      </c>
      <c r="BE249" s="3856"/>
      <c r="BF249" s="7310">
        <f t="shared" si="441"/>
        <v>0</v>
      </c>
      <c r="BG249" s="4152">
        <f t="shared" si="399"/>
        <v>0</v>
      </c>
      <c r="BH249" s="4152">
        <f t="shared" si="400"/>
        <v>0</v>
      </c>
      <c r="BI249" s="4152"/>
      <c r="BJ249" s="4152">
        <f t="shared" si="401"/>
        <v>0</v>
      </c>
      <c r="BK249" s="4152">
        <f t="shared" si="402"/>
        <v>0</v>
      </c>
    </row>
    <row r="250" spans="1:63" s="4677" customFormat="1" x14ac:dyDescent="0.25">
      <c r="A250" s="90"/>
      <c r="B250" s="3854" t="s">
        <v>1817</v>
      </c>
      <c r="C250" s="194" t="s">
        <v>50</v>
      </c>
      <c r="D250" s="4613"/>
      <c r="E250" s="4680"/>
      <c r="F250" s="4672"/>
      <c r="G250" s="4680"/>
      <c r="H250" s="4672"/>
      <c r="I250" s="4681"/>
      <c r="J250" s="7310">
        <f t="shared" si="403"/>
        <v>0</v>
      </c>
      <c r="K250" s="4680"/>
      <c r="L250" s="4672"/>
      <c r="M250" s="4683"/>
      <c r="N250" s="7301">
        <f t="shared" si="404"/>
        <v>0</v>
      </c>
      <c r="O250" s="4680"/>
      <c r="P250" s="4672"/>
      <c r="Q250" s="4681"/>
      <c r="R250" s="7310">
        <f t="shared" si="405"/>
        <v>0</v>
      </c>
      <c r="S250" s="4680"/>
      <c r="T250" s="4672"/>
      <c r="U250" s="4681"/>
      <c r="V250" s="7310">
        <f t="shared" si="406"/>
        <v>0</v>
      </c>
      <c r="W250" s="4680"/>
      <c r="X250" s="4672"/>
      <c r="Y250" s="4683"/>
      <c r="Z250" s="7301">
        <f t="shared" si="407"/>
        <v>0</v>
      </c>
      <c r="AA250" s="7400"/>
      <c r="AB250" s="7302">
        <f t="shared" si="408"/>
        <v>0</v>
      </c>
      <c r="AC250" s="4680"/>
      <c r="AD250" s="4672"/>
      <c r="AE250" s="4681"/>
      <c r="AF250" s="7310">
        <f t="shared" si="409"/>
        <v>0</v>
      </c>
      <c r="AG250" s="4680"/>
      <c r="AH250" s="4672"/>
      <c r="AI250" s="4681"/>
      <c r="AJ250" s="4682"/>
      <c r="AK250" s="4680"/>
      <c r="AL250" s="4672"/>
      <c r="AM250" s="4683"/>
      <c r="AN250" s="7301">
        <f t="shared" si="426"/>
        <v>0</v>
      </c>
      <c r="AO250" s="4681"/>
      <c r="AP250" s="7310">
        <f t="shared" si="427"/>
        <v>0</v>
      </c>
      <c r="AQ250" s="4680"/>
      <c r="AR250" s="4672"/>
      <c r="AS250" s="4681"/>
      <c r="AT250" s="7310">
        <f t="shared" si="428"/>
        <v>0</v>
      </c>
      <c r="AU250" s="4680"/>
      <c r="AV250" s="4672"/>
      <c r="AW250" s="4681"/>
      <c r="AX250" s="7310">
        <f t="shared" si="429"/>
        <v>0</v>
      </c>
      <c r="AY250" s="4680"/>
      <c r="AZ250" s="4672"/>
      <c r="BA250" s="4683"/>
      <c r="BB250" s="7301"/>
      <c r="BC250" s="7397"/>
      <c r="BD250" s="7302"/>
      <c r="BE250" s="3856"/>
      <c r="BF250" s="7310"/>
      <c r="BG250" s="4152">
        <f t="shared" si="399"/>
        <v>0</v>
      </c>
      <c r="BH250" s="4152">
        <f t="shared" si="400"/>
        <v>0</v>
      </c>
      <c r="BI250" s="4152"/>
      <c r="BJ250" s="4152">
        <f t="shared" si="401"/>
        <v>0</v>
      </c>
      <c r="BK250" s="4152">
        <f t="shared" si="402"/>
        <v>0</v>
      </c>
    </row>
    <row r="251" spans="1:63" s="4677" customFormat="1" x14ac:dyDescent="0.25">
      <c r="A251" s="90"/>
      <c r="B251" s="4679" t="s">
        <v>663</v>
      </c>
      <c r="C251" s="194" t="s">
        <v>50</v>
      </c>
      <c r="D251" s="4613"/>
      <c r="E251" s="4680"/>
      <c r="F251" s="4672"/>
      <c r="G251" s="4680"/>
      <c r="H251" s="4672">
        <v>114.39</v>
      </c>
      <c r="I251" s="4681"/>
      <c r="J251" s="7310">
        <f t="shared" si="403"/>
        <v>114.39</v>
      </c>
      <c r="K251" s="4680"/>
      <c r="L251" s="4672"/>
      <c r="M251" s="4683"/>
      <c r="N251" s="7301">
        <f t="shared" si="404"/>
        <v>114.39</v>
      </c>
      <c r="O251" s="4680"/>
      <c r="P251" s="4672"/>
      <c r="Q251" s="4681"/>
      <c r="R251" s="7310">
        <f t="shared" si="405"/>
        <v>114.39</v>
      </c>
      <c r="S251" s="4680"/>
      <c r="T251" s="4672"/>
      <c r="U251" s="4681"/>
      <c r="V251" s="7310">
        <f t="shared" si="406"/>
        <v>114.39</v>
      </c>
      <c r="W251" s="4680"/>
      <c r="X251" s="4672"/>
      <c r="Y251" s="4683"/>
      <c r="Z251" s="7301">
        <f t="shared" si="407"/>
        <v>0</v>
      </c>
      <c r="AA251" s="7400"/>
      <c r="AB251" s="7302">
        <f t="shared" si="408"/>
        <v>114.39</v>
      </c>
      <c r="AC251" s="4680"/>
      <c r="AD251" s="4672"/>
      <c r="AE251" s="4681"/>
      <c r="AF251" s="7310">
        <f t="shared" si="409"/>
        <v>114.39</v>
      </c>
      <c r="AG251" s="4680"/>
      <c r="AH251" s="4672"/>
      <c r="AI251" s="4681"/>
      <c r="AJ251" s="7310">
        <f t="shared" si="425"/>
        <v>114.39</v>
      </c>
      <c r="AK251" s="4680"/>
      <c r="AL251" s="4672"/>
      <c r="AM251" s="4683"/>
      <c r="AN251" s="7301">
        <f t="shared" si="426"/>
        <v>0</v>
      </c>
      <c r="AO251" s="4681"/>
      <c r="AP251" s="7310">
        <f t="shared" si="427"/>
        <v>114.39</v>
      </c>
      <c r="AQ251" s="4680"/>
      <c r="AR251" s="4672"/>
      <c r="AS251" s="4681"/>
      <c r="AT251" s="7310">
        <f t="shared" si="428"/>
        <v>114.39</v>
      </c>
      <c r="AU251" s="4680"/>
      <c r="AV251" s="4672"/>
      <c r="AW251" s="4681"/>
      <c r="AX251" s="7310">
        <f t="shared" si="429"/>
        <v>114.39</v>
      </c>
      <c r="AY251" s="4680"/>
      <c r="AZ251" s="4672">
        <v>104.26</v>
      </c>
      <c r="BA251" s="4683"/>
      <c r="BB251" s="7301">
        <f t="shared" si="439"/>
        <v>104.26</v>
      </c>
      <c r="BC251" s="7397"/>
      <c r="BD251" s="7302">
        <f t="shared" si="440"/>
        <v>104.26</v>
      </c>
      <c r="BE251" s="3856"/>
      <c r="BF251" s="7310">
        <f t="shared" si="441"/>
        <v>218.65</v>
      </c>
      <c r="BG251" s="4152">
        <f t="shared" si="399"/>
        <v>0</v>
      </c>
      <c r="BH251" s="4152">
        <f t="shared" si="400"/>
        <v>0</v>
      </c>
      <c r="BI251" s="4152"/>
      <c r="BJ251" s="4152">
        <f t="shared" si="401"/>
        <v>0</v>
      </c>
      <c r="BK251" s="4152">
        <f t="shared" si="402"/>
        <v>0</v>
      </c>
    </row>
    <row r="252" spans="1:63" x14ac:dyDescent="0.25">
      <c r="A252" s="90"/>
      <c r="B252" s="3854" t="s">
        <v>2031</v>
      </c>
      <c r="C252" s="194" t="s">
        <v>50</v>
      </c>
      <c r="D252" s="194"/>
      <c r="E252" s="3855"/>
      <c r="F252" s="2237"/>
      <c r="G252" s="3855"/>
      <c r="H252" s="5568"/>
      <c r="I252" s="3856"/>
      <c r="J252" s="7310">
        <f t="shared" si="403"/>
        <v>0</v>
      </c>
      <c r="K252" s="3855"/>
      <c r="L252" s="5680"/>
      <c r="M252" s="3857"/>
      <c r="N252" s="7301">
        <f t="shared" si="404"/>
        <v>0</v>
      </c>
      <c r="O252" s="3855"/>
      <c r="P252" s="5837"/>
      <c r="Q252" s="3856"/>
      <c r="R252" s="7310">
        <f t="shared" si="405"/>
        <v>0</v>
      </c>
      <c r="S252" s="3855"/>
      <c r="T252" s="5893"/>
      <c r="U252" s="3856"/>
      <c r="V252" s="7310">
        <f t="shared" si="406"/>
        <v>0</v>
      </c>
      <c r="W252" s="3855"/>
      <c r="X252" s="6007"/>
      <c r="Y252" s="3857"/>
      <c r="Z252" s="7301">
        <f t="shared" si="407"/>
        <v>0</v>
      </c>
      <c r="AA252" s="7397"/>
      <c r="AB252" s="7302">
        <f t="shared" si="408"/>
        <v>0</v>
      </c>
      <c r="AC252" s="3855"/>
      <c r="AD252" s="6138"/>
      <c r="AE252" s="3856"/>
      <c r="AF252" s="7310">
        <f t="shared" si="409"/>
        <v>0</v>
      </c>
      <c r="AG252" s="3855"/>
      <c r="AH252" s="6300"/>
      <c r="AI252" s="3856"/>
      <c r="AJ252" s="7310"/>
      <c r="AK252" s="3855"/>
      <c r="AL252" s="6549"/>
      <c r="AM252" s="3857"/>
      <c r="AN252" s="7301">
        <f t="shared" si="426"/>
        <v>0</v>
      </c>
      <c r="AO252" s="3856"/>
      <c r="AP252" s="7310">
        <f t="shared" si="427"/>
        <v>0</v>
      </c>
      <c r="AQ252" s="3855"/>
      <c r="AR252" s="6643"/>
      <c r="AS252" s="3856"/>
      <c r="AT252" s="7310">
        <f t="shared" si="428"/>
        <v>0</v>
      </c>
      <c r="AU252" s="3855"/>
      <c r="AV252" s="6815"/>
      <c r="AW252" s="3856"/>
      <c r="AX252" s="7310">
        <f t="shared" si="429"/>
        <v>0</v>
      </c>
      <c r="AY252" s="3855"/>
      <c r="AZ252" s="6957"/>
      <c r="BA252" s="3857"/>
      <c r="BB252" s="7301"/>
      <c r="BC252" s="7397"/>
      <c r="BD252" s="7302"/>
      <c r="BE252" s="3856"/>
      <c r="BF252" s="7310"/>
      <c r="BG252" s="4152">
        <f t="shared" si="399"/>
        <v>0</v>
      </c>
      <c r="BH252" s="4152">
        <f t="shared" si="400"/>
        <v>0</v>
      </c>
      <c r="BI252" s="4152"/>
      <c r="BJ252" s="4152">
        <f t="shared" si="401"/>
        <v>0</v>
      </c>
      <c r="BK252" s="4152">
        <f t="shared" si="402"/>
        <v>0</v>
      </c>
    </row>
    <row r="253" spans="1:63" x14ac:dyDescent="0.25">
      <c r="A253" s="90"/>
      <c r="B253" s="3858" t="s">
        <v>663</v>
      </c>
      <c r="C253" s="194" t="s">
        <v>50</v>
      </c>
      <c r="D253" s="148"/>
      <c r="E253" s="3855"/>
      <c r="F253" s="2237"/>
      <c r="G253" s="3855"/>
      <c r="H253" s="5568"/>
      <c r="I253" s="3856"/>
      <c r="J253" s="7310">
        <f t="shared" si="403"/>
        <v>0</v>
      </c>
      <c r="K253" s="3855"/>
      <c r="L253" s="5680"/>
      <c r="M253" s="3857"/>
      <c r="N253" s="7301">
        <f t="shared" si="404"/>
        <v>0</v>
      </c>
      <c r="O253" s="3855"/>
      <c r="P253" s="5837"/>
      <c r="Q253" s="3856"/>
      <c r="R253" s="7310">
        <f t="shared" si="405"/>
        <v>0</v>
      </c>
      <c r="S253" s="3855"/>
      <c r="T253" s="5893">
        <v>158.79</v>
      </c>
      <c r="U253" s="3856"/>
      <c r="V253" s="7310">
        <f t="shared" si="406"/>
        <v>158.79</v>
      </c>
      <c r="W253" s="3855"/>
      <c r="X253" s="6007">
        <v>39.89</v>
      </c>
      <c r="Y253" s="3857"/>
      <c r="Z253" s="7301">
        <f t="shared" si="407"/>
        <v>198.68</v>
      </c>
      <c r="AA253" s="7397"/>
      <c r="AB253" s="7302">
        <f t="shared" si="408"/>
        <v>198.68</v>
      </c>
      <c r="AC253" s="3855"/>
      <c r="AD253" s="6138"/>
      <c r="AE253" s="3856"/>
      <c r="AF253" s="7310">
        <f t="shared" si="409"/>
        <v>198.68</v>
      </c>
      <c r="AG253" s="3855"/>
      <c r="AH253" s="6300"/>
      <c r="AI253" s="3856"/>
      <c r="AJ253" s="7310">
        <f t="shared" si="425"/>
        <v>198.68</v>
      </c>
      <c r="AK253" s="3855"/>
      <c r="AL253" s="6549"/>
      <c r="AM253" s="3857"/>
      <c r="AN253" s="7301">
        <f t="shared" si="426"/>
        <v>0</v>
      </c>
      <c r="AO253" s="3856"/>
      <c r="AP253" s="7310">
        <f t="shared" si="427"/>
        <v>198.68</v>
      </c>
      <c r="AQ253" s="3855"/>
      <c r="AR253" s="6643"/>
      <c r="AS253" s="3856"/>
      <c r="AT253" s="7310">
        <f t="shared" si="428"/>
        <v>198.68</v>
      </c>
      <c r="AU253" s="3855"/>
      <c r="AV253" s="6815"/>
      <c r="AW253" s="3856"/>
      <c r="AX253" s="7310">
        <f t="shared" si="429"/>
        <v>198.68</v>
      </c>
      <c r="AY253" s="3855"/>
      <c r="AZ253" s="6957"/>
      <c r="BA253" s="3857"/>
      <c r="BB253" s="7301">
        <f t="shared" si="439"/>
        <v>0</v>
      </c>
      <c r="BC253" s="7397"/>
      <c r="BD253" s="7302">
        <f t="shared" si="440"/>
        <v>0</v>
      </c>
      <c r="BE253" s="3856"/>
      <c r="BF253" s="7310">
        <f t="shared" si="441"/>
        <v>198.68</v>
      </c>
      <c r="BG253" s="4152">
        <f t="shared" si="399"/>
        <v>0</v>
      </c>
      <c r="BH253" s="4152">
        <f t="shared" si="400"/>
        <v>0</v>
      </c>
      <c r="BI253" s="4152"/>
      <c r="BJ253" s="4152">
        <f t="shared" si="401"/>
        <v>0</v>
      </c>
      <c r="BK253" s="4152">
        <f t="shared" si="402"/>
        <v>0</v>
      </c>
    </row>
    <row r="254" spans="1:63" ht="21.2" customHeight="1" x14ac:dyDescent="0.25">
      <c r="A254" s="144"/>
      <c r="B254" s="3854" t="s">
        <v>1793</v>
      </c>
      <c r="C254" s="194" t="s">
        <v>50</v>
      </c>
      <c r="D254" s="148"/>
      <c r="E254" s="3855"/>
      <c r="F254" s="2237"/>
      <c r="G254" s="3855"/>
      <c r="H254" s="5568"/>
      <c r="I254" s="3856"/>
      <c r="J254" s="7310">
        <f t="shared" si="403"/>
        <v>0</v>
      </c>
      <c r="K254" s="3855"/>
      <c r="L254" s="5680"/>
      <c r="M254" s="3857"/>
      <c r="N254" s="7301">
        <f t="shared" si="404"/>
        <v>0</v>
      </c>
      <c r="O254" s="3855"/>
      <c r="P254" s="5837"/>
      <c r="Q254" s="3856"/>
      <c r="R254" s="7310">
        <f t="shared" si="405"/>
        <v>0</v>
      </c>
      <c r="S254" s="3855"/>
      <c r="T254" s="5893"/>
      <c r="U254" s="3856"/>
      <c r="V254" s="7310">
        <f t="shared" si="406"/>
        <v>0</v>
      </c>
      <c r="W254" s="3855"/>
      <c r="X254" s="6007"/>
      <c r="Y254" s="3857"/>
      <c r="Z254" s="7301">
        <f t="shared" si="407"/>
        <v>0</v>
      </c>
      <c r="AA254" s="7397"/>
      <c r="AB254" s="7302">
        <f t="shared" si="408"/>
        <v>0</v>
      </c>
      <c r="AC254" s="3855"/>
      <c r="AD254" s="6138"/>
      <c r="AE254" s="3856"/>
      <c r="AF254" s="7310">
        <f t="shared" si="409"/>
        <v>0</v>
      </c>
      <c r="AG254" s="3855"/>
      <c r="AH254" s="6300"/>
      <c r="AI254" s="3856"/>
      <c r="AJ254" s="7310">
        <f t="shared" si="425"/>
        <v>0</v>
      </c>
      <c r="AK254" s="3855"/>
      <c r="AL254" s="6549"/>
      <c r="AM254" s="3857"/>
      <c r="AN254" s="7301">
        <f t="shared" si="426"/>
        <v>0</v>
      </c>
      <c r="AO254" s="3856"/>
      <c r="AP254" s="7310">
        <f t="shared" si="427"/>
        <v>0</v>
      </c>
      <c r="AQ254" s="3855"/>
      <c r="AR254" s="6643"/>
      <c r="AS254" s="3856"/>
      <c r="AT254" s="7310">
        <f t="shared" si="428"/>
        <v>0</v>
      </c>
      <c r="AU254" s="3855"/>
      <c r="AV254" s="6815"/>
      <c r="AW254" s="3856"/>
      <c r="AX254" s="7310">
        <f t="shared" si="429"/>
        <v>0</v>
      </c>
      <c r="AY254" s="3855"/>
      <c r="AZ254" s="6957"/>
      <c r="BA254" s="3857"/>
      <c r="BB254" s="7301">
        <f t="shared" si="439"/>
        <v>0</v>
      </c>
      <c r="BC254" s="7397"/>
      <c r="BD254" s="7302">
        <f t="shared" si="440"/>
        <v>0</v>
      </c>
      <c r="BE254" s="3856"/>
      <c r="BF254" s="7310">
        <f t="shared" si="441"/>
        <v>0</v>
      </c>
      <c r="BG254" s="4152">
        <f t="shared" si="399"/>
        <v>0</v>
      </c>
      <c r="BH254" s="4152">
        <f t="shared" si="400"/>
        <v>0</v>
      </c>
      <c r="BI254" s="4152"/>
      <c r="BJ254" s="4152">
        <f t="shared" si="401"/>
        <v>0</v>
      </c>
      <c r="BK254" s="4152">
        <f t="shared" si="402"/>
        <v>0</v>
      </c>
    </row>
    <row r="255" spans="1:63" x14ac:dyDescent="0.25">
      <c r="A255" s="144"/>
      <c r="B255" s="3858" t="s">
        <v>663</v>
      </c>
      <c r="C255" s="194" t="s">
        <v>50</v>
      </c>
      <c r="D255" s="148"/>
      <c r="E255" s="3855"/>
      <c r="F255" s="2237"/>
      <c r="G255" s="3855"/>
      <c r="H255" s="5568"/>
      <c r="I255" s="3856"/>
      <c r="J255" s="7310">
        <f t="shared" si="403"/>
        <v>0</v>
      </c>
      <c r="K255" s="3855"/>
      <c r="L255" s="5680"/>
      <c r="M255" s="3857"/>
      <c r="N255" s="7301">
        <f t="shared" si="404"/>
        <v>0</v>
      </c>
      <c r="O255" s="3855"/>
      <c r="P255" s="5837"/>
      <c r="Q255" s="3856"/>
      <c r="R255" s="7310">
        <f t="shared" si="405"/>
        <v>0</v>
      </c>
      <c r="S255" s="3855"/>
      <c r="T255" s="5893"/>
      <c r="U255" s="3856"/>
      <c r="V255" s="7310">
        <f t="shared" si="406"/>
        <v>0</v>
      </c>
      <c r="W255" s="3855"/>
      <c r="X255" s="6007"/>
      <c r="Y255" s="3857"/>
      <c r="Z255" s="7301">
        <f t="shared" si="407"/>
        <v>0</v>
      </c>
      <c r="AA255" s="7397"/>
      <c r="AB255" s="7302">
        <f t="shared" si="408"/>
        <v>0</v>
      </c>
      <c r="AC255" s="3855"/>
      <c r="AD255" s="6138"/>
      <c r="AE255" s="3856"/>
      <c r="AF255" s="7310">
        <f t="shared" si="409"/>
        <v>0</v>
      </c>
      <c r="AG255" s="3855"/>
      <c r="AH255" s="6300"/>
      <c r="AI255" s="3856"/>
      <c r="AJ255" s="7310">
        <f t="shared" ref="AJ255:AJ256" si="442">AF255+AH255</f>
        <v>0</v>
      </c>
      <c r="AK255" s="3855"/>
      <c r="AL255" s="6549"/>
      <c r="AM255" s="3857"/>
      <c r="AN255" s="7301">
        <f t="shared" si="426"/>
        <v>0</v>
      </c>
      <c r="AO255" s="3856"/>
      <c r="AP255" s="7310">
        <f t="shared" si="427"/>
        <v>0</v>
      </c>
      <c r="AQ255" s="3855"/>
      <c r="AR255" s="6643"/>
      <c r="AS255" s="3856"/>
      <c r="AT255" s="7310">
        <f t="shared" ref="AT255:AT256" si="443">AP255+AR255</f>
        <v>0</v>
      </c>
      <c r="AU255" s="3855"/>
      <c r="AV255" s="6815"/>
      <c r="AW255" s="3856"/>
      <c r="AX255" s="7310">
        <f t="shared" si="429"/>
        <v>0</v>
      </c>
      <c r="AY255" s="3855"/>
      <c r="AZ255" s="6957"/>
      <c r="BA255" s="3857"/>
      <c r="BB255" s="7301">
        <f t="shared" ref="BB255" si="444">AR255+AV255+AZ255</f>
        <v>0</v>
      </c>
      <c r="BC255" s="7397"/>
      <c r="BD255" s="7302">
        <f t="shared" ref="BD255" si="445">AN255+BB255</f>
        <v>0</v>
      </c>
      <c r="BE255" s="3856"/>
      <c r="BF255" s="7310">
        <f t="shared" ref="BF255:BF256" si="446">AX255+AZ255</f>
        <v>0</v>
      </c>
      <c r="BG255" s="4152">
        <f t="shared" si="399"/>
        <v>0</v>
      </c>
      <c r="BH255" s="4152">
        <f t="shared" si="400"/>
        <v>0</v>
      </c>
      <c r="BI255" s="4152"/>
      <c r="BJ255" s="4152">
        <f t="shared" si="401"/>
        <v>0</v>
      </c>
      <c r="BK255" s="4152">
        <f t="shared" si="402"/>
        <v>0</v>
      </c>
    </row>
    <row r="256" spans="1:63" ht="20.25" customHeight="1" x14ac:dyDescent="0.25">
      <c r="A256" s="144"/>
      <c r="B256" s="3859" t="s">
        <v>2</v>
      </c>
      <c r="C256" s="194" t="s">
        <v>50</v>
      </c>
      <c r="D256" s="1819">
        <f>+D9</f>
        <v>15000</v>
      </c>
      <c r="E256" s="1819">
        <f>+E9</f>
        <v>0</v>
      </c>
      <c r="F256" s="1820">
        <f>SUM(F238:F255)</f>
        <v>0</v>
      </c>
      <c r="G256" s="1819">
        <f>+G9</f>
        <v>5454.545454545455</v>
      </c>
      <c r="H256" s="1820">
        <f>SUM(H238:H255)</f>
        <v>114.39</v>
      </c>
      <c r="I256" s="7310">
        <f>E256+G256</f>
        <v>5454.545454545455</v>
      </c>
      <c r="J256" s="7310">
        <f t="shared" si="403"/>
        <v>114.39</v>
      </c>
      <c r="K256" s="1819">
        <f>+K9</f>
        <v>5454.545454545455</v>
      </c>
      <c r="L256" s="1820">
        <f>SUM(L238:L255)</f>
        <v>0</v>
      </c>
      <c r="M256" s="7301">
        <f>E256+G256+K256</f>
        <v>10909.09090909091</v>
      </c>
      <c r="N256" s="7301">
        <f t="shared" si="404"/>
        <v>114.39</v>
      </c>
      <c r="O256" s="1819">
        <f>+O9</f>
        <v>5454.545454545455</v>
      </c>
      <c r="P256" s="1820">
        <f>SUM(P238:P255)</f>
        <v>38.94</v>
      </c>
      <c r="Q256" s="7310">
        <f>M256+O256</f>
        <v>16363.636363636364</v>
      </c>
      <c r="R256" s="7310">
        <f t="shared" si="405"/>
        <v>153.32999999999998</v>
      </c>
      <c r="S256" s="1819">
        <f>+S9</f>
        <v>5454.545454545455</v>
      </c>
      <c r="T256" s="1820">
        <f>SUM(T238:T255)</f>
        <v>158.79</v>
      </c>
      <c r="U256" s="7310">
        <f>Q256+S256</f>
        <v>21818.18181818182</v>
      </c>
      <c r="V256" s="7310">
        <f t="shared" si="406"/>
        <v>312.12</v>
      </c>
      <c r="W256" s="1819">
        <f>+W9</f>
        <v>0</v>
      </c>
      <c r="X256" s="1820">
        <f>SUM(X238:X255)</f>
        <v>39.89</v>
      </c>
      <c r="Y256" s="7301">
        <f>O256+S256+W256</f>
        <v>10909.09090909091</v>
      </c>
      <c r="Z256" s="7301">
        <f t="shared" si="407"/>
        <v>237.62</v>
      </c>
      <c r="AA256" s="7302">
        <f>M256+Y256</f>
        <v>21818.18181818182</v>
      </c>
      <c r="AB256" s="7302">
        <f t="shared" si="408"/>
        <v>352.01</v>
      </c>
      <c r="AC256" s="1819">
        <f>+AC9</f>
        <v>5454.545454545455</v>
      </c>
      <c r="AD256" s="1820">
        <f>SUM(AD238:AD255)</f>
        <v>0</v>
      </c>
      <c r="AE256" s="7310">
        <f>AA256+AC256</f>
        <v>27272.727272727276</v>
      </c>
      <c r="AF256" s="7310">
        <f t="shared" si="409"/>
        <v>352.01</v>
      </c>
      <c r="AG256" s="1819">
        <f>+AG9</f>
        <v>5454.545454545455</v>
      </c>
      <c r="AH256" s="1820">
        <f>SUM(AH238:AH255)</f>
        <v>119.21</v>
      </c>
      <c r="AI256" s="7310">
        <f>AE256+AG256</f>
        <v>32727.272727272732</v>
      </c>
      <c r="AJ256" s="7311">
        <f t="shared" si="442"/>
        <v>471.21999999999997</v>
      </c>
      <c r="AK256" s="1819">
        <f>+AK9</f>
        <v>5454.545454545455</v>
      </c>
      <c r="AL256" s="1820">
        <f>SUM(AL238:AL255)</f>
        <v>248.22</v>
      </c>
      <c r="AM256" s="7301">
        <f>AC256+AG256+AK256</f>
        <v>16363.636363636364</v>
      </c>
      <c r="AN256" s="7303">
        <f>AD256+AH256+AL256</f>
        <v>367.43</v>
      </c>
      <c r="AO256" s="7310">
        <f t="shared" ref="AO256:AP256" si="447">AI256+AK256</f>
        <v>38181.818181818184</v>
      </c>
      <c r="AP256" s="7311">
        <f t="shared" si="447"/>
        <v>719.43999999999994</v>
      </c>
      <c r="AQ256" s="1819">
        <f>+AQ9</f>
        <v>5454.545454545455</v>
      </c>
      <c r="AR256" s="1820">
        <f>SUM(AR238:AR255)</f>
        <v>0</v>
      </c>
      <c r="AS256" s="7310">
        <f>AO256+AQ256</f>
        <v>43636.36363636364</v>
      </c>
      <c r="AT256" s="7311">
        <f t="shared" si="443"/>
        <v>719.43999999999994</v>
      </c>
      <c r="AU256" s="1819">
        <f>+AU9</f>
        <v>5454.545454545455</v>
      </c>
      <c r="AV256" s="1820">
        <f>SUM(AV238:AV255)</f>
        <v>0</v>
      </c>
      <c r="AW256" s="7310">
        <f>AS256+AU256</f>
        <v>49090.909090909096</v>
      </c>
      <c r="AX256" s="7311">
        <f t="shared" si="429"/>
        <v>719.43999999999994</v>
      </c>
      <c r="AY256" s="1819">
        <f>+AY9</f>
        <v>5454.545454545455</v>
      </c>
      <c r="AZ256" s="1820">
        <f>SUM(AZ238:AZ255)</f>
        <v>1616.84</v>
      </c>
      <c r="BA256" s="7301">
        <f>AQ256+AU256+AY256</f>
        <v>16363.636363636364</v>
      </c>
      <c r="BB256" s="7303">
        <f>AR256+AV256+AZ256</f>
        <v>1616.84</v>
      </c>
      <c r="BC256" s="7302">
        <f t="shared" ref="BC256" si="448">AM256+BA256</f>
        <v>32727.272727272728</v>
      </c>
      <c r="BD256" s="513">
        <f>AN256+BB256</f>
        <v>1984.27</v>
      </c>
      <c r="BE256" s="7310">
        <f>AW256+AY256</f>
        <v>54545.454545454551</v>
      </c>
      <c r="BF256" s="7311">
        <f t="shared" si="446"/>
        <v>2336.2799999999997</v>
      </c>
      <c r="BG256" s="4152">
        <f t="shared" si="399"/>
        <v>0</v>
      </c>
      <c r="BH256" s="4152">
        <f t="shared" si="400"/>
        <v>0</v>
      </c>
      <c r="BI256" s="4152"/>
      <c r="BJ256" s="4152">
        <f t="shared" si="401"/>
        <v>0</v>
      </c>
      <c r="BK256" s="4152">
        <f t="shared" si="402"/>
        <v>0</v>
      </c>
    </row>
    <row r="257" spans="1:63" ht="20.25" customHeight="1" x14ac:dyDescent="0.25">
      <c r="A257" s="144"/>
      <c r="B257" s="3860"/>
      <c r="C257" s="610"/>
      <c r="D257" s="610"/>
      <c r="E257" s="610"/>
      <c r="F257" s="1259"/>
      <c r="G257" s="610"/>
      <c r="H257" s="1259"/>
      <c r="I257" s="820"/>
      <c r="J257" s="7310">
        <f t="shared" si="403"/>
        <v>0</v>
      </c>
      <c r="K257" s="610"/>
      <c r="L257" s="1259"/>
      <c r="M257" s="821"/>
      <c r="N257" s="7301">
        <f t="shared" si="404"/>
        <v>0</v>
      </c>
      <c r="O257" s="610"/>
      <c r="P257" s="1259"/>
      <c r="Q257" s="820"/>
      <c r="R257" s="7310">
        <f t="shared" si="405"/>
        <v>0</v>
      </c>
      <c r="S257" s="610"/>
      <c r="T257" s="1259"/>
      <c r="U257" s="820"/>
      <c r="V257" s="7310">
        <f t="shared" si="406"/>
        <v>0</v>
      </c>
      <c r="W257" s="610"/>
      <c r="X257" s="1259"/>
      <c r="Y257" s="821"/>
      <c r="Z257" s="7301">
        <f t="shared" si="407"/>
        <v>0</v>
      </c>
      <c r="AA257" s="7401"/>
      <c r="AB257" s="7302">
        <f t="shared" si="408"/>
        <v>0</v>
      </c>
      <c r="AC257" s="610"/>
      <c r="AD257" s="1259"/>
      <c r="AE257" s="820"/>
      <c r="AF257" s="7310">
        <f t="shared" si="409"/>
        <v>0</v>
      </c>
      <c r="AG257" s="610"/>
      <c r="AH257" s="1259"/>
      <c r="AI257" s="820"/>
      <c r="AJ257" s="3861"/>
      <c r="AK257" s="610"/>
      <c r="AL257" s="1259"/>
      <c r="AM257" s="821"/>
      <c r="AN257" s="1616"/>
      <c r="AO257" s="820"/>
      <c r="AP257" s="3861"/>
      <c r="AQ257" s="610"/>
      <c r="AR257" s="1259"/>
      <c r="AS257" s="820"/>
      <c r="AT257" s="3861"/>
      <c r="AU257" s="610"/>
      <c r="AV257" s="1259"/>
      <c r="AW257" s="820"/>
      <c r="AX257" s="3861"/>
      <c r="AY257" s="610"/>
      <c r="AZ257" s="1259"/>
      <c r="BA257" s="821"/>
      <c r="BB257" s="1616"/>
      <c r="BC257" s="7401"/>
      <c r="BD257" s="7425"/>
      <c r="BE257" s="820"/>
      <c r="BF257" s="3861"/>
      <c r="BG257" s="4152">
        <f t="shared" si="399"/>
        <v>0</v>
      </c>
      <c r="BH257" s="4152">
        <f t="shared" si="400"/>
        <v>0</v>
      </c>
      <c r="BI257" s="4152"/>
      <c r="BJ257" s="4152">
        <f t="shared" si="401"/>
        <v>0</v>
      </c>
      <c r="BK257" s="4152">
        <f t="shared" si="402"/>
        <v>0</v>
      </c>
    </row>
    <row r="258" spans="1:63" ht="40.5" customHeight="1" x14ac:dyDescent="0.25">
      <c r="A258" s="144"/>
      <c r="B258" s="3862" t="s">
        <v>318</v>
      </c>
      <c r="C258" s="7436" t="s">
        <v>812</v>
      </c>
      <c r="D258" s="3793"/>
      <c r="E258" s="3793"/>
      <c r="F258" s="3793"/>
      <c r="G258" s="3793"/>
      <c r="H258" s="3793"/>
      <c r="I258" s="3863"/>
      <c r="J258" s="7310">
        <f t="shared" si="403"/>
        <v>0</v>
      </c>
      <c r="K258" s="3793"/>
      <c r="L258" s="3793"/>
      <c r="M258" s="3864"/>
      <c r="N258" s="7301">
        <f t="shared" si="404"/>
        <v>0</v>
      </c>
      <c r="O258" s="3793"/>
      <c r="P258" s="3793"/>
      <c r="Q258" s="3863"/>
      <c r="R258" s="7310">
        <f t="shared" si="405"/>
        <v>0</v>
      </c>
      <c r="S258" s="3793"/>
      <c r="T258" s="3793"/>
      <c r="U258" s="3863"/>
      <c r="V258" s="7310">
        <f t="shared" si="406"/>
        <v>0</v>
      </c>
      <c r="W258" s="3793"/>
      <c r="X258" s="3793"/>
      <c r="Y258" s="3864"/>
      <c r="Z258" s="7301">
        <f t="shared" si="407"/>
        <v>0</v>
      </c>
      <c r="AA258" s="3916"/>
      <c r="AB258" s="7302">
        <f t="shared" si="408"/>
        <v>0</v>
      </c>
      <c r="AC258" s="3793"/>
      <c r="AD258" s="3793"/>
      <c r="AE258" s="3863"/>
      <c r="AF258" s="7310">
        <f t="shared" si="409"/>
        <v>0</v>
      </c>
      <c r="AG258" s="3793"/>
      <c r="AH258" s="3793"/>
      <c r="AI258" s="3863"/>
      <c r="AJ258" s="3863"/>
      <c r="AK258" s="3793"/>
      <c r="AL258" s="3793"/>
      <c r="AM258" s="3864"/>
      <c r="AN258" s="3864"/>
      <c r="AO258" s="3863"/>
      <c r="AP258" s="3863"/>
      <c r="AQ258" s="3793"/>
      <c r="AR258" s="3793"/>
      <c r="AS258" s="3863"/>
      <c r="AT258" s="3863"/>
      <c r="AU258" s="3793"/>
      <c r="AV258" s="3793"/>
      <c r="AW258" s="3863"/>
      <c r="AX258" s="3863"/>
      <c r="AY258" s="3793"/>
      <c r="AZ258" s="3793"/>
      <c r="BA258" s="3864"/>
      <c r="BB258" s="3864"/>
      <c r="BC258" s="3916"/>
      <c r="BD258" s="3916"/>
      <c r="BE258" s="3863"/>
      <c r="BF258" s="3863"/>
      <c r="BG258" s="4152">
        <f t="shared" si="399"/>
        <v>0</v>
      </c>
      <c r="BH258" s="4152">
        <f t="shared" si="400"/>
        <v>0</v>
      </c>
      <c r="BI258" s="4152"/>
      <c r="BJ258" s="4152">
        <f t="shared" si="401"/>
        <v>0</v>
      </c>
      <c r="BK258" s="4152">
        <f t="shared" si="402"/>
        <v>0</v>
      </c>
    </row>
    <row r="259" spans="1:63" ht="20.25" customHeight="1" x14ac:dyDescent="0.25">
      <c r="A259" s="144"/>
      <c r="B259" s="3865" t="s">
        <v>820</v>
      </c>
      <c r="C259" s="3836" t="s">
        <v>962</v>
      </c>
      <c r="D259" s="3836"/>
      <c r="E259" s="3866"/>
      <c r="F259" s="2237"/>
      <c r="G259" s="3866"/>
      <c r="H259" s="5568"/>
      <c r="I259" s="3867"/>
      <c r="J259" s="7310">
        <f t="shared" si="403"/>
        <v>0</v>
      </c>
      <c r="K259" s="3866"/>
      <c r="L259" s="5680"/>
      <c r="M259" s="3868"/>
      <c r="N259" s="7301">
        <f t="shared" si="404"/>
        <v>0</v>
      </c>
      <c r="O259" s="3866"/>
      <c r="P259" s="5837"/>
      <c r="Q259" s="3867"/>
      <c r="R259" s="7310">
        <f t="shared" si="405"/>
        <v>0</v>
      </c>
      <c r="S259" s="3866"/>
      <c r="T259" s="5893"/>
      <c r="U259" s="3867"/>
      <c r="V259" s="7310">
        <f t="shared" si="406"/>
        <v>0</v>
      </c>
      <c r="W259" s="3866"/>
      <c r="X259" s="6007"/>
      <c r="Y259" s="3868"/>
      <c r="Z259" s="7301">
        <f t="shared" si="407"/>
        <v>0</v>
      </c>
      <c r="AA259" s="7402"/>
      <c r="AB259" s="7302">
        <f t="shared" si="408"/>
        <v>0</v>
      </c>
      <c r="AC259" s="3866"/>
      <c r="AD259" s="6138"/>
      <c r="AE259" s="3867"/>
      <c r="AF259" s="7310">
        <f t="shared" si="409"/>
        <v>0</v>
      </c>
      <c r="AG259" s="3866"/>
      <c r="AH259" s="6300">
        <v>28.334</v>
      </c>
      <c r="AI259" s="3867"/>
      <c r="AJ259" s="7310">
        <f>AF259+AH259</f>
        <v>28.334</v>
      </c>
      <c r="AK259" s="3866"/>
      <c r="AL259" s="6549"/>
      <c r="AM259" s="3868"/>
      <c r="AN259" s="420">
        <f t="shared" ref="AN259:AN299" si="449">AD259+AH259+AL259</f>
        <v>28.334</v>
      </c>
      <c r="AO259" s="3867"/>
      <c r="AP259" s="7310">
        <f t="shared" ref="AO259:AP302" si="450">AJ259+AL259</f>
        <v>28.334</v>
      </c>
      <c r="AQ259" s="3866"/>
      <c r="AR259" s="6643"/>
      <c r="AS259" s="3867"/>
      <c r="AT259" s="7310">
        <f>AP259+AR259</f>
        <v>28.334</v>
      </c>
      <c r="AU259" s="3866"/>
      <c r="AV259" s="6815"/>
      <c r="AW259" s="3867"/>
      <c r="AX259" s="7310">
        <f>AT259+AV259</f>
        <v>28.334</v>
      </c>
      <c r="AY259" s="3866"/>
      <c r="AZ259" s="6957"/>
      <c r="BA259" s="3868"/>
      <c r="BB259" s="420">
        <f t="shared" ref="BB259:BB296" si="451">AR259+AV259+AZ259</f>
        <v>0</v>
      </c>
      <c r="BC259" s="7402"/>
      <c r="BD259" s="7302">
        <f t="shared" ref="BD259:BD298" si="452">AN259+BB259</f>
        <v>28.334</v>
      </c>
      <c r="BE259" s="3867"/>
      <c r="BF259" s="7310">
        <f>AX259+AZ259</f>
        <v>28.334</v>
      </c>
      <c r="BG259" s="4152">
        <f t="shared" si="399"/>
        <v>0</v>
      </c>
      <c r="BH259" s="4152">
        <f t="shared" si="400"/>
        <v>0</v>
      </c>
      <c r="BI259" s="4152"/>
      <c r="BJ259" s="4152">
        <f t="shared" si="401"/>
        <v>0</v>
      </c>
      <c r="BK259" s="4152">
        <f t="shared" si="402"/>
        <v>0</v>
      </c>
    </row>
    <row r="260" spans="1:63" x14ac:dyDescent="0.25">
      <c r="A260" s="144"/>
      <c r="B260" s="6608" t="s">
        <v>820</v>
      </c>
      <c r="C260" s="6609" t="s">
        <v>847</v>
      </c>
      <c r="D260" s="5148"/>
      <c r="E260" s="5149"/>
      <c r="F260" s="5150"/>
      <c r="G260" s="5149"/>
      <c r="H260" s="5150"/>
      <c r="I260" s="5151"/>
      <c r="J260" s="7310">
        <f t="shared" si="403"/>
        <v>0</v>
      </c>
      <c r="K260" s="5149"/>
      <c r="L260" s="5150"/>
      <c r="M260" s="5153"/>
      <c r="N260" s="7301">
        <f t="shared" si="404"/>
        <v>0</v>
      </c>
      <c r="O260" s="5149"/>
      <c r="P260" s="5150"/>
      <c r="Q260" s="5151"/>
      <c r="R260" s="7310">
        <f t="shared" si="405"/>
        <v>0</v>
      </c>
      <c r="S260" s="5149"/>
      <c r="T260" s="5150"/>
      <c r="U260" s="5151"/>
      <c r="V260" s="7310">
        <f t="shared" si="406"/>
        <v>0</v>
      </c>
      <c r="W260" s="5149"/>
      <c r="X260" s="5150"/>
      <c r="Y260" s="5153"/>
      <c r="Z260" s="7301">
        <f t="shared" si="407"/>
        <v>0</v>
      </c>
      <c r="AA260" s="7403"/>
      <c r="AB260" s="7302">
        <f t="shared" si="408"/>
        <v>0</v>
      </c>
      <c r="AC260" s="5149"/>
      <c r="AD260" s="5150"/>
      <c r="AE260" s="5151"/>
      <c r="AF260" s="7310">
        <f t="shared" si="409"/>
        <v>0</v>
      </c>
      <c r="AG260" s="5149"/>
      <c r="AH260" s="5150">
        <v>30.513999999999999</v>
      </c>
      <c r="AI260" s="6610"/>
      <c r="AJ260" s="5152">
        <f t="shared" ref="AJ260:AJ298" si="453">AF260+AH260</f>
        <v>30.513999999999999</v>
      </c>
      <c r="AK260" s="5149"/>
      <c r="AL260" s="5150"/>
      <c r="AM260" s="5153"/>
      <c r="AN260" s="5154">
        <f t="shared" si="449"/>
        <v>30.513999999999999</v>
      </c>
      <c r="AO260" s="5151"/>
      <c r="AP260" s="5152">
        <f t="shared" si="450"/>
        <v>30.513999999999999</v>
      </c>
      <c r="AQ260" s="5149"/>
      <c r="AR260" s="5150"/>
      <c r="AS260" s="5151"/>
      <c r="AT260" s="5152">
        <f t="shared" ref="AT260:AT324" si="454">AP260+AR260</f>
        <v>30.513999999999999</v>
      </c>
      <c r="AU260" s="5149"/>
      <c r="AV260" s="5150"/>
      <c r="AW260" s="5151"/>
      <c r="AX260" s="5152">
        <f t="shared" ref="AX260:AX292" si="455">AT260+AV260</f>
        <v>30.513999999999999</v>
      </c>
      <c r="AY260" s="5149"/>
      <c r="AZ260" s="5150"/>
      <c r="BA260" s="5153"/>
      <c r="BB260" s="5154">
        <f t="shared" si="451"/>
        <v>0</v>
      </c>
      <c r="BC260" s="7403"/>
      <c r="BD260" s="7410">
        <f t="shared" si="452"/>
        <v>30.513999999999999</v>
      </c>
      <c r="BE260" s="5151"/>
      <c r="BF260" s="5152">
        <f t="shared" ref="BF260:BF296" si="456">AX260+AZ260</f>
        <v>30.513999999999999</v>
      </c>
      <c r="BG260" s="4152">
        <f t="shared" si="399"/>
        <v>0</v>
      </c>
      <c r="BH260" s="4152">
        <f t="shared" si="400"/>
        <v>0</v>
      </c>
      <c r="BI260" s="4152"/>
      <c r="BJ260" s="4152">
        <f t="shared" si="401"/>
        <v>0</v>
      </c>
      <c r="BK260" s="4152">
        <f t="shared" si="402"/>
        <v>0</v>
      </c>
    </row>
    <row r="261" spans="1:63" s="6586" customFormat="1" ht="15.75" thickBot="1" x14ac:dyDescent="0.3">
      <c r="A261" s="144"/>
      <c r="B261" s="5798" t="s">
        <v>820</v>
      </c>
      <c r="C261" s="3880" t="s">
        <v>838</v>
      </c>
      <c r="D261" s="3880"/>
      <c r="E261" s="3881"/>
      <c r="F261" s="2279"/>
      <c r="G261" s="3881"/>
      <c r="H261" s="2279"/>
      <c r="I261" s="3882"/>
      <c r="J261" s="6366"/>
      <c r="K261" s="3881"/>
      <c r="L261" s="2279"/>
      <c r="M261" s="6074"/>
      <c r="N261" s="6367"/>
      <c r="O261" s="3881"/>
      <c r="P261" s="2279"/>
      <c r="Q261" s="3882"/>
      <c r="R261" s="6366"/>
      <c r="S261" s="3881"/>
      <c r="T261" s="2279"/>
      <c r="U261" s="3882"/>
      <c r="V261" s="6366"/>
      <c r="W261" s="3881"/>
      <c r="X261" s="2279"/>
      <c r="Y261" s="6074"/>
      <c r="Z261" s="6367"/>
      <c r="AA261" s="7404"/>
      <c r="AB261" s="6895"/>
      <c r="AC261" s="3881"/>
      <c r="AD261" s="2279"/>
      <c r="AE261" s="3882"/>
      <c r="AF261" s="6366"/>
      <c r="AG261" s="3881"/>
      <c r="AH261" s="2279"/>
      <c r="AI261" s="3882"/>
      <c r="AJ261" s="5152">
        <f t="shared" ref="AJ261" si="457">AF261+AH261</f>
        <v>0</v>
      </c>
      <c r="AK261" s="5149"/>
      <c r="AL261" s="5150">
        <v>125.22</v>
      </c>
      <c r="AM261" s="5153"/>
      <c r="AN261" s="5154">
        <f t="shared" ref="AN261" si="458">AD261+AH261+AL261</f>
        <v>125.22</v>
      </c>
      <c r="AO261" s="5151"/>
      <c r="AP261" s="5152">
        <f t="shared" ref="AP261" si="459">AJ261+AL261</f>
        <v>125.22</v>
      </c>
      <c r="AQ261" s="5149"/>
      <c r="AR261" s="5150">
        <v>31.126000000000001</v>
      </c>
      <c r="AS261" s="5151"/>
      <c r="AT261" s="5152">
        <f t="shared" si="454"/>
        <v>156.346</v>
      </c>
      <c r="AU261" s="5149"/>
      <c r="AV261" s="5150"/>
      <c r="AW261" s="5151"/>
      <c r="AX261" s="5152">
        <f t="shared" ref="AX261:AX262" si="460">AT261+AV261</f>
        <v>156.346</v>
      </c>
      <c r="AY261" s="5149"/>
      <c r="AZ261" s="5150">
        <v>11.24</v>
      </c>
      <c r="BA261" s="5153"/>
      <c r="BB261" s="5154">
        <f t="shared" ref="BB261" si="461">AR261+AV261+AZ261</f>
        <v>42.366</v>
      </c>
      <c r="BC261" s="7403"/>
      <c r="BD261" s="7410">
        <f t="shared" ref="BD261" si="462">AN261+BB261</f>
        <v>167.58600000000001</v>
      </c>
      <c r="BE261" s="5151"/>
      <c r="BF261" s="5152">
        <f t="shared" ref="BF261" si="463">AX261+AZ261</f>
        <v>167.58600000000001</v>
      </c>
      <c r="BG261" s="4152">
        <f t="shared" si="399"/>
        <v>0</v>
      </c>
      <c r="BH261" s="4152">
        <f t="shared" si="400"/>
        <v>0</v>
      </c>
      <c r="BI261" s="4152"/>
      <c r="BJ261" s="4152">
        <f t="shared" si="401"/>
        <v>0</v>
      </c>
      <c r="BK261" s="4152">
        <f t="shared" si="402"/>
        <v>0</v>
      </c>
    </row>
    <row r="262" spans="1:63" s="5140" customFormat="1" ht="15.75" thickBot="1" x14ac:dyDescent="0.3">
      <c r="A262" s="144"/>
      <c r="B262" s="3887" t="s">
        <v>1859</v>
      </c>
      <c r="C262" s="3888" t="s">
        <v>838</v>
      </c>
      <c r="D262" s="3888"/>
      <c r="E262" s="3889"/>
      <c r="F262" s="3289"/>
      <c r="G262" s="3889"/>
      <c r="H262" s="3289"/>
      <c r="I262" s="3890"/>
      <c r="J262" s="7310">
        <f t="shared" si="403"/>
        <v>0</v>
      </c>
      <c r="K262" s="3889"/>
      <c r="L262" s="3289">
        <v>1703.7999999999997</v>
      </c>
      <c r="M262" s="5155"/>
      <c r="N262" s="7301">
        <f t="shared" si="404"/>
        <v>1703.7999999999997</v>
      </c>
      <c r="O262" s="3889"/>
      <c r="P262" s="3289">
        <v>318.7</v>
      </c>
      <c r="Q262" s="3890"/>
      <c r="R262" s="7310">
        <f t="shared" si="405"/>
        <v>2022.4999999999998</v>
      </c>
      <c r="S262" s="3889"/>
      <c r="T262" s="3289">
        <v>40.93</v>
      </c>
      <c r="U262" s="3890"/>
      <c r="V262" s="7310">
        <f t="shared" si="406"/>
        <v>2063.4299999999998</v>
      </c>
      <c r="W262" s="3889"/>
      <c r="X262" s="3289">
        <v>192.64</v>
      </c>
      <c r="Y262" s="5155"/>
      <c r="Z262" s="7301">
        <f t="shared" si="407"/>
        <v>552.27</v>
      </c>
      <c r="AA262" s="7405"/>
      <c r="AB262" s="7302">
        <f t="shared" si="408"/>
        <v>2256.0699999999997</v>
      </c>
      <c r="AC262" s="3889"/>
      <c r="AD262" s="3289">
        <v>64.48</v>
      </c>
      <c r="AE262" s="3890"/>
      <c r="AF262" s="7310">
        <f t="shared" si="409"/>
        <v>2320.5499999999997</v>
      </c>
      <c r="AG262" s="3889"/>
      <c r="AH262" s="3289"/>
      <c r="AI262" s="3890"/>
      <c r="AJ262" s="5152">
        <f t="shared" si="453"/>
        <v>2320.5499999999997</v>
      </c>
      <c r="AK262" s="3889"/>
      <c r="AL262" s="3289"/>
      <c r="AM262" s="5155"/>
      <c r="AN262" s="5154">
        <f t="shared" ref="AN262:AN266" si="464">AD262+AH262+AL262</f>
        <v>64.48</v>
      </c>
      <c r="AO262" s="5151"/>
      <c r="AP262" s="5152">
        <f t="shared" ref="AP262:AP266" si="465">AJ262+AL262</f>
        <v>2320.5499999999997</v>
      </c>
      <c r="AQ262" s="3889"/>
      <c r="AR262" s="3289">
        <v>15.734999999999999</v>
      </c>
      <c r="AS262" s="3890"/>
      <c r="AT262" s="3290">
        <f t="shared" si="454"/>
        <v>2336.2849999999999</v>
      </c>
      <c r="AU262" s="3889"/>
      <c r="AV262" s="3289"/>
      <c r="AW262" s="3890"/>
      <c r="AX262" s="5152">
        <f t="shared" si="460"/>
        <v>2336.2849999999999</v>
      </c>
      <c r="AY262" s="3889"/>
      <c r="AZ262" s="3289">
        <v>4028.89</v>
      </c>
      <c r="BA262" s="5155"/>
      <c r="BB262" s="5154">
        <f t="shared" si="451"/>
        <v>4044.625</v>
      </c>
      <c r="BC262" s="7405"/>
      <c r="BD262" s="7410">
        <f t="shared" si="452"/>
        <v>4109.1049999999996</v>
      </c>
      <c r="BE262" s="3890"/>
      <c r="BF262" s="5152">
        <f t="shared" si="456"/>
        <v>6365.1749999999993</v>
      </c>
      <c r="BG262" s="4152">
        <f t="shared" si="399"/>
        <v>0</v>
      </c>
      <c r="BH262" s="4152">
        <f t="shared" si="400"/>
        <v>0</v>
      </c>
      <c r="BI262" s="4152"/>
      <c r="BJ262" s="4152">
        <f t="shared" si="401"/>
        <v>0</v>
      </c>
      <c r="BK262" s="4152">
        <f t="shared" si="402"/>
        <v>0</v>
      </c>
    </row>
    <row r="263" spans="1:63" x14ac:dyDescent="0.25">
      <c r="A263" s="144"/>
      <c r="B263" s="4591" t="s">
        <v>819</v>
      </c>
      <c r="C263" s="3842" t="s">
        <v>1102</v>
      </c>
      <c r="D263" s="3842"/>
      <c r="E263" s="3885"/>
      <c r="F263" s="5103">
        <v>5096.1300000000019</v>
      </c>
      <c r="G263" s="3885"/>
      <c r="H263" s="5103">
        <v>3329.1699999999996</v>
      </c>
      <c r="I263" s="3886"/>
      <c r="J263" s="7310">
        <f t="shared" si="403"/>
        <v>8425.3000000000011</v>
      </c>
      <c r="K263" s="3885"/>
      <c r="L263" s="5103">
        <v>2553.2999999999997</v>
      </c>
      <c r="M263" s="5083"/>
      <c r="N263" s="7301">
        <f t="shared" si="404"/>
        <v>10978.6</v>
      </c>
      <c r="O263" s="3885"/>
      <c r="P263" s="5103">
        <v>2770.58</v>
      </c>
      <c r="Q263" s="3886"/>
      <c r="R263" s="7310">
        <f t="shared" si="405"/>
        <v>13749.18</v>
      </c>
      <c r="S263" s="3885"/>
      <c r="T263" s="5103">
        <v>1418.6100000000001</v>
      </c>
      <c r="U263" s="3886"/>
      <c r="V263" s="7310">
        <f t="shared" si="406"/>
        <v>15167.79</v>
      </c>
      <c r="W263" s="3885"/>
      <c r="X263" s="5103">
        <v>763.62000000000012</v>
      </c>
      <c r="Y263" s="5083"/>
      <c r="Z263" s="7301">
        <f t="shared" si="407"/>
        <v>4952.8100000000004</v>
      </c>
      <c r="AA263" s="7406"/>
      <c r="AB263" s="7302">
        <f t="shared" si="408"/>
        <v>15931.41</v>
      </c>
      <c r="AC263" s="3885"/>
      <c r="AD263" s="5103">
        <v>1451.5499999999997</v>
      </c>
      <c r="AE263" s="3886"/>
      <c r="AF263" s="7310">
        <f t="shared" si="409"/>
        <v>17382.96</v>
      </c>
      <c r="AG263" s="3885"/>
      <c r="AH263" s="5103">
        <v>1039.394</v>
      </c>
      <c r="AI263" s="3886"/>
      <c r="AJ263" s="5152">
        <f t="shared" si="453"/>
        <v>18422.353999999999</v>
      </c>
      <c r="AK263" s="3885"/>
      <c r="AL263" s="5103">
        <v>3077.92</v>
      </c>
      <c r="AM263" s="5083"/>
      <c r="AN263" s="5154">
        <f t="shared" si="464"/>
        <v>5568.8639999999996</v>
      </c>
      <c r="AO263" s="5151"/>
      <c r="AP263" s="5152">
        <f t="shared" si="465"/>
        <v>21500.273999999998</v>
      </c>
      <c r="AQ263" s="3885"/>
      <c r="AR263" s="5103">
        <v>4885.92</v>
      </c>
      <c r="AS263" s="3886"/>
      <c r="AT263" s="7309">
        <f t="shared" si="454"/>
        <v>26386.193999999996</v>
      </c>
      <c r="AU263" s="3885"/>
      <c r="AV263" s="5103">
        <v>5067.51</v>
      </c>
      <c r="AW263" s="3886"/>
      <c r="AX263" s="60">
        <f t="shared" si="455"/>
        <v>31453.703999999998</v>
      </c>
      <c r="AY263" s="3885"/>
      <c r="AZ263" s="5103">
        <v>6735.2</v>
      </c>
      <c r="BA263" s="5083"/>
      <c r="BB263" s="5084">
        <f t="shared" si="451"/>
        <v>16688.63</v>
      </c>
      <c r="BC263" s="7406"/>
      <c r="BD263" s="7300">
        <f t="shared" si="452"/>
        <v>22257.493999999999</v>
      </c>
      <c r="BE263" s="3886"/>
      <c r="BF263" s="7309">
        <f t="shared" si="456"/>
        <v>38188.903999999995</v>
      </c>
      <c r="BG263" s="4152">
        <f t="shared" si="399"/>
        <v>0</v>
      </c>
      <c r="BH263" s="4152">
        <f t="shared" si="400"/>
        <v>0</v>
      </c>
      <c r="BI263" s="4152"/>
      <c r="BJ263" s="4152">
        <f t="shared" si="401"/>
        <v>0</v>
      </c>
      <c r="BK263" s="4152">
        <f t="shared" si="402"/>
        <v>0</v>
      </c>
    </row>
    <row r="264" spans="1:63" x14ac:dyDescent="0.25">
      <c r="A264" s="144"/>
      <c r="B264" s="797" t="s">
        <v>819</v>
      </c>
      <c r="C264" s="5085" t="s">
        <v>838</v>
      </c>
      <c r="D264" s="5085"/>
      <c r="E264" s="5086"/>
      <c r="F264" s="5087">
        <v>31.11</v>
      </c>
      <c r="G264" s="5086"/>
      <c r="H264" s="5087">
        <v>4506.4000000000005</v>
      </c>
      <c r="I264" s="5088"/>
      <c r="J264" s="7310">
        <f t="shared" si="403"/>
        <v>4537.51</v>
      </c>
      <c r="K264" s="5086"/>
      <c r="L264" s="5087">
        <v>4565.2899999999991</v>
      </c>
      <c r="M264" s="5089"/>
      <c r="N264" s="7301">
        <f t="shared" si="404"/>
        <v>9102.7999999999993</v>
      </c>
      <c r="O264" s="5086"/>
      <c r="P264" s="5087">
        <v>6944.8000000000011</v>
      </c>
      <c r="Q264" s="5088"/>
      <c r="R264" s="7310">
        <f t="shared" si="405"/>
        <v>16047.6</v>
      </c>
      <c r="S264" s="5086"/>
      <c r="T264" s="5087">
        <v>5187.9499999999989</v>
      </c>
      <c r="U264" s="5088"/>
      <c r="V264" s="7310">
        <f t="shared" si="406"/>
        <v>21235.55</v>
      </c>
      <c r="W264" s="5086"/>
      <c r="X264" s="5087">
        <v>2448.8000000000002</v>
      </c>
      <c r="Y264" s="5089"/>
      <c r="Z264" s="7301">
        <f t="shared" si="407"/>
        <v>14581.55</v>
      </c>
      <c r="AA264" s="7407"/>
      <c r="AB264" s="7302">
        <f t="shared" si="408"/>
        <v>23684.35</v>
      </c>
      <c r="AC264" s="5086"/>
      <c r="AD264" s="5087">
        <v>1587.6500000000003</v>
      </c>
      <c r="AE264" s="5088"/>
      <c r="AF264" s="7310">
        <f t="shared" si="409"/>
        <v>25272</v>
      </c>
      <c r="AG264" s="5086"/>
      <c r="AH264" s="5087">
        <v>104.89</v>
      </c>
      <c r="AI264" s="5088"/>
      <c r="AJ264" s="5152">
        <f t="shared" si="453"/>
        <v>25376.89</v>
      </c>
      <c r="AK264" s="5086"/>
      <c r="AL264" s="5087">
        <v>2670.62</v>
      </c>
      <c r="AM264" s="5089"/>
      <c r="AN264" s="5154">
        <f t="shared" si="464"/>
        <v>4363.16</v>
      </c>
      <c r="AO264" s="5151"/>
      <c r="AP264" s="5152">
        <f t="shared" si="465"/>
        <v>28047.51</v>
      </c>
      <c r="AQ264" s="5086"/>
      <c r="AR264" s="5087">
        <v>9.8699999999999992</v>
      </c>
      <c r="AS264" s="5088"/>
      <c r="AT264" s="5090">
        <f t="shared" si="454"/>
        <v>28057.379999999997</v>
      </c>
      <c r="AU264" s="5086"/>
      <c r="AV264" s="5087"/>
      <c r="AW264" s="5088"/>
      <c r="AX264" s="37">
        <f t="shared" si="455"/>
        <v>28057.379999999997</v>
      </c>
      <c r="AY264" s="5086"/>
      <c r="AZ264" s="5087">
        <v>2158.6460000000002</v>
      </c>
      <c r="BA264" s="3868"/>
      <c r="BB264" s="5084">
        <f t="shared" si="451"/>
        <v>2168.5160000000001</v>
      </c>
      <c r="BC264" s="7402"/>
      <c r="BD264" s="7300">
        <f t="shared" si="452"/>
        <v>6531.6759999999995</v>
      </c>
      <c r="BE264" s="3867"/>
      <c r="BF264" s="7309">
        <f t="shared" si="456"/>
        <v>30216.025999999998</v>
      </c>
      <c r="BG264" s="4152">
        <f t="shared" si="399"/>
        <v>0</v>
      </c>
      <c r="BH264" s="4152">
        <f t="shared" si="400"/>
        <v>0</v>
      </c>
      <c r="BI264" s="4152"/>
      <c r="BJ264" s="4152">
        <f t="shared" si="401"/>
        <v>0</v>
      </c>
      <c r="BK264" s="4152">
        <f t="shared" si="402"/>
        <v>0</v>
      </c>
    </row>
    <row r="265" spans="1:63" x14ac:dyDescent="0.25">
      <c r="A265" s="144"/>
      <c r="B265" s="797" t="s">
        <v>819</v>
      </c>
      <c r="C265" s="5085" t="s">
        <v>847</v>
      </c>
      <c r="D265" s="5085"/>
      <c r="E265" s="5086"/>
      <c r="F265" s="5087">
        <v>10922.489999999998</v>
      </c>
      <c r="G265" s="5086"/>
      <c r="H265" s="5087">
        <v>6571.0600000000022</v>
      </c>
      <c r="I265" s="5088"/>
      <c r="J265" s="7310">
        <f t="shared" si="403"/>
        <v>17493.55</v>
      </c>
      <c r="K265" s="5086"/>
      <c r="L265" s="5087">
        <v>9076.2199999999993</v>
      </c>
      <c r="M265" s="5089"/>
      <c r="N265" s="7301">
        <f t="shared" si="404"/>
        <v>26569.769999999997</v>
      </c>
      <c r="O265" s="5086"/>
      <c r="P265" s="5087">
        <v>7564.7600000000011</v>
      </c>
      <c r="Q265" s="5088"/>
      <c r="R265" s="7310">
        <f t="shared" si="405"/>
        <v>34134.53</v>
      </c>
      <c r="S265" s="5086"/>
      <c r="T265" s="5087">
        <v>3975.4000000000005</v>
      </c>
      <c r="U265" s="5088"/>
      <c r="V265" s="7310">
        <f t="shared" si="406"/>
        <v>38109.93</v>
      </c>
      <c r="W265" s="5086"/>
      <c r="X265" s="5087">
        <v>12348.01</v>
      </c>
      <c r="Y265" s="5089"/>
      <c r="Z265" s="7301">
        <f t="shared" si="407"/>
        <v>23888.170000000002</v>
      </c>
      <c r="AA265" s="7407"/>
      <c r="AB265" s="7302">
        <f t="shared" si="408"/>
        <v>50457.94</v>
      </c>
      <c r="AC265" s="5086"/>
      <c r="AD265" s="5087">
        <v>8295.32</v>
      </c>
      <c r="AE265" s="5088"/>
      <c r="AF265" s="7310">
        <f t="shared" si="409"/>
        <v>58753.26</v>
      </c>
      <c r="AG265" s="5086"/>
      <c r="AH265" s="5087">
        <v>9618.8560000000016</v>
      </c>
      <c r="AI265" s="5088"/>
      <c r="AJ265" s="5152">
        <f t="shared" si="453"/>
        <v>68372.116000000009</v>
      </c>
      <c r="AK265" s="5086"/>
      <c r="AL265" s="5087">
        <v>11957.259999999998</v>
      </c>
      <c r="AM265" s="5089"/>
      <c r="AN265" s="5154">
        <f t="shared" si="464"/>
        <v>29871.435999999998</v>
      </c>
      <c r="AO265" s="5151"/>
      <c r="AP265" s="5152">
        <f t="shared" si="465"/>
        <v>80329.376000000004</v>
      </c>
      <c r="AQ265" s="5086"/>
      <c r="AR265" s="5087">
        <v>6709.6999999999989</v>
      </c>
      <c r="AS265" s="5088"/>
      <c r="AT265" s="5090">
        <f t="shared" si="454"/>
        <v>87039.076000000001</v>
      </c>
      <c r="AU265" s="5086"/>
      <c r="AV265" s="5087">
        <v>10274.030000000001</v>
      </c>
      <c r="AW265" s="5088"/>
      <c r="AX265" s="37">
        <f t="shared" si="455"/>
        <v>97313.106</v>
      </c>
      <c r="AY265" s="5086"/>
      <c r="AZ265" s="5087">
        <v>8889.0499999999993</v>
      </c>
      <c r="BA265" s="3868"/>
      <c r="BB265" s="5084">
        <f t="shared" si="451"/>
        <v>25872.78</v>
      </c>
      <c r="BC265" s="7402"/>
      <c r="BD265" s="7300">
        <f t="shared" si="452"/>
        <v>55744.216</v>
      </c>
      <c r="BE265" s="3867"/>
      <c r="BF265" s="7309">
        <f t="shared" si="456"/>
        <v>106202.156</v>
      </c>
      <c r="BG265" s="4152">
        <f t="shared" si="399"/>
        <v>0</v>
      </c>
      <c r="BH265" s="4152">
        <f t="shared" si="400"/>
        <v>0</v>
      </c>
      <c r="BI265" s="4152"/>
      <c r="BJ265" s="4152">
        <f t="shared" si="401"/>
        <v>0</v>
      </c>
      <c r="BK265" s="4152">
        <f t="shared" si="402"/>
        <v>0</v>
      </c>
    </row>
    <row r="266" spans="1:63" ht="20.25" customHeight="1" x14ac:dyDescent="0.25">
      <c r="A266" s="144"/>
      <c r="B266" s="797" t="s">
        <v>819</v>
      </c>
      <c r="C266" s="5085" t="s">
        <v>962</v>
      </c>
      <c r="D266" s="5085"/>
      <c r="E266" s="5086"/>
      <c r="F266" s="5087"/>
      <c r="G266" s="5086"/>
      <c r="H266" s="5087"/>
      <c r="I266" s="5088"/>
      <c r="J266" s="7310">
        <f t="shared" si="403"/>
        <v>0</v>
      </c>
      <c r="K266" s="5086"/>
      <c r="L266" s="5087"/>
      <c r="M266" s="5089"/>
      <c r="N266" s="7301">
        <f t="shared" si="404"/>
        <v>0</v>
      </c>
      <c r="O266" s="5086"/>
      <c r="P266" s="5087"/>
      <c r="Q266" s="5088"/>
      <c r="R266" s="7310">
        <f t="shared" si="405"/>
        <v>0</v>
      </c>
      <c r="S266" s="5086"/>
      <c r="T266" s="5087"/>
      <c r="U266" s="5088"/>
      <c r="V266" s="7310">
        <f t="shared" si="406"/>
        <v>0</v>
      </c>
      <c r="W266" s="5086"/>
      <c r="X266" s="5087"/>
      <c r="Y266" s="5089"/>
      <c r="Z266" s="7301">
        <f t="shared" si="407"/>
        <v>0</v>
      </c>
      <c r="AA266" s="7407"/>
      <c r="AB266" s="7302">
        <f t="shared" si="408"/>
        <v>0</v>
      </c>
      <c r="AC266" s="5086"/>
      <c r="AD266" s="5087"/>
      <c r="AE266" s="5088"/>
      <c r="AF266" s="7310">
        <f t="shared" si="409"/>
        <v>0</v>
      </c>
      <c r="AG266" s="5086"/>
      <c r="AH266" s="5087"/>
      <c r="AI266" s="5088"/>
      <c r="AJ266" s="5152">
        <f t="shared" si="453"/>
        <v>0</v>
      </c>
      <c r="AK266" s="5086"/>
      <c r="AL266" s="5087">
        <v>21.137</v>
      </c>
      <c r="AM266" s="5089"/>
      <c r="AN266" s="5154">
        <f t="shared" si="464"/>
        <v>21.137</v>
      </c>
      <c r="AO266" s="5151"/>
      <c r="AP266" s="5152">
        <f t="shared" si="465"/>
        <v>21.137</v>
      </c>
      <c r="AQ266" s="5086"/>
      <c r="AR266" s="5087"/>
      <c r="AS266" s="5088"/>
      <c r="AT266" s="5090">
        <f t="shared" si="454"/>
        <v>21.137</v>
      </c>
      <c r="AU266" s="5086"/>
      <c r="AV266" s="5087"/>
      <c r="AW266" s="5088"/>
      <c r="AX266" s="37">
        <f t="shared" si="455"/>
        <v>21.137</v>
      </c>
      <c r="AY266" s="5086"/>
      <c r="AZ266" s="5087"/>
      <c r="BA266" s="3868"/>
      <c r="BB266" s="5084">
        <f t="shared" si="451"/>
        <v>0</v>
      </c>
      <c r="BC266" s="7402"/>
      <c r="BD266" s="7300">
        <f t="shared" si="452"/>
        <v>21.137</v>
      </c>
      <c r="BE266" s="3867"/>
      <c r="BF266" s="7309">
        <f t="shared" si="456"/>
        <v>21.137</v>
      </c>
      <c r="BG266" s="4152">
        <f t="shared" si="399"/>
        <v>0</v>
      </c>
      <c r="BH266" s="4152">
        <f t="shared" si="400"/>
        <v>0</v>
      </c>
      <c r="BI266" s="4152"/>
      <c r="BJ266" s="4152">
        <f t="shared" si="401"/>
        <v>0</v>
      </c>
      <c r="BK266" s="4152">
        <f t="shared" si="402"/>
        <v>0</v>
      </c>
    </row>
    <row r="267" spans="1:63" x14ac:dyDescent="0.25">
      <c r="A267" s="144"/>
      <c r="B267" s="797" t="s">
        <v>819</v>
      </c>
      <c r="C267" s="5085" t="s">
        <v>1329</v>
      </c>
      <c r="D267" s="5085"/>
      <c r="E267" s="5086"/>
      <c r="F267" s="5087"/>
      <c r="G267" s="5086"/>
      <c r="H267" s="5087"/>
      <c r="I267" s="5088"/>
      <c r="J267" s="7310">
        <f t="shared" si="403"/>
        <v>0</v>
      </c>
      <c r="K267" s="5086"/>
      <c r="L267" s="5087"/>
      <c r="M267" s="5089"/>
      <c r="N267" s="7301">
        <f t="shared" si="404"/>
        <v>0</v>
      </c>
      <c r="O267" s="5086"/>
      <c r="P267" s="5087"/>
      <c r="Q267" s="5088"/>
      <c r="R267" s="7310">
        <f t="shared" si="405"/>
        <v>0</v>
      </c>
      <c r="S267" s="5086"/>
      <c r="T267" s="5087"/>
      <c r="U267" s="5088"/>
      <c r="V267" s="7310">
        <f t="shared" si="406"/>
        <v>0</v>
      </c>
      <c r="W267" s="5086"/>
      <c r="X267" s="5087"/>
      <c r="Y267" s="5089"/>
      <c r="Z267" s="7301">
        <f t="shared" si="407"/>
        <v>0</v>
      </c>
      <c r="AA267" s="7407"/>
      <c r="AB267" s="7302">
        <f t="shared" si="408"/>
        <v>0</v>
      </c>
      <c r="AC267" s="5086"/>
      <c r="AD267" s="5087"/>
      <c r="AE267" s="5088"/>
      <c r="AF267" s="7310">
        <f t="shared" si="409"/>
        <v>0</v>
      </c>
      <c r="AG267" s="5086"/>
      <c r="AH267" s="5087">
        <v>39.685000000000002</v>
      </c>
      <c r="AI267" s="5088"/>
      <c r="AJ267" s="5152">
        <f t="shared" si="453"/>
        <v>39.685000000000002</v>
      </c>
      <c r="AK267" s="5086"/>
      <c r="AL267" s="5087">
        <v>62.26</v>
      </c>
      <c r="AM267" s="5089"/>
      <c r="AN267" s="5091">
        <f t="shared" si="449"/>
        <v>101.94499999999999</v>
      </c>
      <c r="AO267" s="5088"/>
      <c r="AP267" s="5090">
        <f t="shared" si="450"/>
        <v>101.94499999999999</v>
      </c>
      <c r="AQ267" s="5086"/>
      <c r="AR267" s="5087"/>
      <c r="AS267" s="5088"/>
      <c r="AT267" s="5090">
        <f t="shared" si="454"/>
        <v>101.94499999999999</v>
      </c>
      <c r="AU267" s="5086"/>
      <c r="AV267" s="5087"/>
      <c r="AW267" s="5088"/>
      <c r="AX267" s="37">
        <f t="shared" si="455"/>
        <v>101.94499999999999</v>
      </c>
      <c r="AY267" s="5086"/>
      <c r="AZ267" s="5087"/>
      <c r="BA267" s="3868"/>
      <c r="BB267" s="5084">
        <f t="shared" si="451"/>
        <v>0</v>
      </c>
      <c r="BC267" s="7402"/>
      <c r="BD267" s="7300">
        <f t="shared" si="452"/>
        <v>101.94499999999999</v>
      </c>
      <c r="BE267" s="3867"/>
      <c r="BF267" s="7309">
        <f t="shared" si="456"/>
        <v>101.94499999999999</v>
      </c>
      <c r="BG267" s="4152">
        <f t="shared" si="399"/>
        <v>0</v>
      </c>
      <c r="BH267" s="4152">
        <f t="shared" si="400"/>
        <v>0</v>
      </c>
      <c r="BI267" s="4152"/>
      <c r="BJ267" s="4152">
        <f t="shared" si="401"/>
        <v>0</v>
      </c>
      <c r="BK267" s="4152">
        <f t="shared" si="402"/>
        <v>0</v>
      </c>
    </row>
    <row r="268" spans="1:63" ht="15.75" thickBot="1" x14ac:dyDescent="0.3">
      <c r="A268" s="144"/>
      <c r="B268" s="3157" t="s">
        <v>819</v>
      </c>
      <c r="C268" s="3839" t="s">
        <v>963</v>
      </c>
      <c r="D268" s="3839"/>
      <c r="E268" s="3877"/>
      <c r="F268" s="213">
        <v>983.4</v>
      </c>
      <c r="G268" s="3877"/>
      <c r="H268" s="213"/>
      <c r="I268" s="3878"/>
      <c r="J268" s="7310">
        <f t="shared" si="403"/>
        <v>983.4</v>
      </c>
      <c r="K268" s="3877"/>
      <c r="L268" s="213">
        <v>1526.6800000000003</v>
      </c>
      <c r="M268" s="5092"/>
      <c r="N268" s="7301">
        <f t="shared" si="404"/>
        <v>2510.0800000000004</v>
      </c>
      <c r="O268" s="3877"/>
      <c r="P268" s="213"/>
      <c r="Q268" s="3878"/>
      <c r="R268" s="7310">
        <f t="shared" si="405"/>
        <v>2510.0800000000004</v>
      </c>
      <c r="S268" s="3877"/>
      <c r="T268" s="213">
        <v>1616.32</v>
      </c>
      <c r="U268" s="3878"/>
      <c r="V268" s="7310">
        <f t="shared" si="406"/>
        <v>4126.4000000000005</v>
      </c>
      <c r="W268" s="3877"/>
      <c r="X268" s="213"/>
      <c r="Y268" s="5092"/>
      <c r="Z268" s="7301">
        <f t="shared" si="407"/>
        <v>1616.32</v>
      </c>
      <c r="AA268" s="7408"/>
      <c r="AB268" s="7302">
        <f t="shared" si="408"/>
        <v>4126.4000000000005</v>
      </c>
      <c r="AC268" s="3877"/>
      <c r="AD268" s="213">
        <v>191.33999999999997</v>
      </c>
      <c r="AE268" s="3878"/>
      <c r="AF268" s="7310">
        <f t="shared" si="409"/>
        <v>4317.7400000000007</v>
      </c>
      <c r="AG268" s="3877"/>
      <c r="AH268" s="213">
        <v>3037.12</v>
      </c>
      <c r="AI268" s="3878"/>
      <c r="AJ268" s="5152">
        <f t="shared" si="453"/>
        <v>7354.8600000000006</v>
      </c>
      <c r="AK268" s="3877"/>
      <c r="AL268" s="213">
        <v>24.864999999999998</v>
      </c>
      <c r="AM268" s="5092"/>
      <c r="AN268" s="7324">
        <f t="shared" si="449"/>
        <v>3253.3249999999998</v>
      </c>
      <c r="AO268" s="3878"/>
      <c r="AP268" s="557">
        <f t="shared" si="450"/>
        <v>7379.7250000000004</v>
      </c>
      <c r="AQ268" s="3877"/>
      <c r="AR268" s="213"/>
      <c r="AS268" s="3878"/>
      <c r="AT268" s="557">
        <f t="shared" si="454"/>
        <v>7379.7250000000004</v>
      </c>
      <c r="AU268" s="3877"/>
      <c r="AV268" s="213"/>
      <c r="AW268" s="3878"/>
      <c r="AX268" s="42">
        <f t="shared" si="455"/>
        <v>7379.7250000000004</v>
      </c>
      <c r="AY268" s="3877"/>
      <c r="AZ268" s="213"/>
      <c r="BA268" s="3868"/>
      <c r="BB268" s="5084">
        <f t="shared" si="451"/>
        <v>0</v>
      </c>
      <c r="BC268" s="7402"/>
      <c r="BD268" s="7300">
        <f t="shared" si="452"/>
        <v>3253.3249999999998</v>
      </c>
      <c r="BE268" s="3867"/>
      <c r="BF268" s="7309">
        <f t="shared" si="456"/>
        <v>7379.7250000000004</v>
      </c>
      <c r="BG268" s="4152">
        <f t="shared" si="399"/>
        <v>0</v>
      </c>
      <c r="BH268" s="4152">
        <f t="shared" si="400"/>
        <v>0</v>
      </c>
      <c r="BI268" s="4152"/>
      <c r="BJ268" s="4152">
        <f t="shared" si="401"/>
        <v>0</v>
      </c>
      <c r="BK268" s="4152">
        <f t="shared" si="402"/>
        <v>0</v>
      </c>
    </row>
    <row r="269" spans="1:63" s="6069" customFormat="1" ht="15.75" thickBot="1" x14ac:dyDescent="0.3">
      <c r="A269" s="144"/>
      <c r="B269" s="5798" t="s">
        <v>910</v>
      </c>
      <c r="C269" s="3880" t="s">
        <v>838</v>
      </c>
      <c r="D269" s="3880"/>
      <c r="E269" s="3881"/>
      <c r="F269" s="2279"/>
      <c r="G269" s="3881"/>
      <c r="H269" s="2279"/>
      <c r="I269" s="3882"/>
      <c r="J269" s="5971"/>
      <c r="K269" s="3881"/>
      <c r="L269" s="2279"/>
      <c r="M269" s="6074"/>
      <c r="N269" s="5972"/>
      <c r="O269" s="3881"/>
      <c r="P269" s="2279"/>
      <c r="Q269" s="3882"/>
      <c r="R269" s="5971"/>
      <c r="S269" s="3881"/>
      <c r="T269" s="2279"/>
      <c r="U269" s="3882"/>
      <c r="V269" s="5971"/>
      <c r="W269" s="3881"/>
      <c r="X269" s="2279">
        <v>848.38</v>
      </c>
      <c r="Y269" s="6074"/>
      <c r="Z269" s="7301">
        <f t="shared" si="407"/>
        <v>848.38</v>
      </c>
      <c r="AA269" s="7404"/>
      <c r="AB269" s="7302">
        <f t="shared" si="408"/>
        <v>848.38</v>
      </c>
      <c r="AC269" s="3881"/>
      <c r="AD269" s="2279">
        <v>251.94</v>
      </c>
      <c r="AE269" s="3882"/>
      <c r="AF269" s="7310">
        <f t="shared" si="409"/>
        <v>1100.32</v>
      </c>
      <c r="AG269" s="3881"/>
      <c r="AH269" s="2279"/>
      <c r="AI269" s="3882"/>
      <c r="AJ269" s="5152">
        <f t="shared" si="453"/>
        <v>1100.32</v>
      </c>
      <c r="AK269" s="3881"/>
      <c r="AL269" s="2279"/>
      <c r="AM269" s="6074"/>
      <c r="AN269" s="7324">
        <f t="shared" ref="AN269" si="466">AD269+AH269+AL269</f>
        <v>251.94</v>
      </c>
      <c r="AO269" s="3878"/>
      <c r="AP269" s="557">
        <f t="shared" ref="AP269" si="467">AJ269+AL269</f>
        <v>1100.32</v>
      </c>
      <c r="AQ269" s="3881"/>
      <c r="AR269" s="2279">
        <v>1099.3400000000001</v>
      </c>
      <c r="AS269" s="3878"/>
      <c r="AT269" s="557">
        <f t="shared" si="454"/>
        <v>2199.66</v>
      </c>
      <c r="AU269" s="3881"/>
      <c r="AV269" s="2279">
        <v>404.47</v>
      </c>
      <c r="AW269" s="3878"/>
      <c r="AX269" s="42">
        <f t="shared" ref="AX269" si="468">AT269+AV269</f>
        <v>2604.13</v>
      </c>
      <c r="AY269" s="3881"/>
      <c r="AZ269" s="2279"/>
      <c r="BA269" s="3868"/>
      <c r="BB269" s="5084">
        <f t="shared" ref="BB269" si="469">AR269+AV269+AZ269</f>
        <v>1503.8100000000002</v>
      </c>
      <c r="BC269" s="7402"/>
      <c r="BD269" s="7300">
        <f t="shared" ref="BD269" si="470">AN269+BB269</f>
        <v>1755.7500000000002</v>
      </c>
      <c r="BE269" s="3867"/>
      <c r="BF269" s="7309">
        <f t="shared" ref="BF269" si="471">AX269+AZ269</f>
        <v>2604.13</v>
      </c>
      <c r="BG269" s="4152">
        <f t="shared" si="399"/>
        <v>0</v>
      </c>
      <c r="BH269" s="4152">
        <f t="shared" si="400"/>
        <v>0</v>
      </c>
      <c r="BI269" s="4152"/>
      <c r="BJ269" s="4152">
        <f t="shared" si="401"/>
        <v>0</v>
      </c>
      <c r="BK269" s="4152">
        <f t="shared" si="402"/>
        <v>0</v>
      </c>
    </row>
    <row r="270" spans="1:63" ht="15.75" thickBot="1" x14ac:dyDescent="0.3">
      <c r="A270" s="144"/>
      <c r="B270" s="3879" t="s">
        <v>910</v>
      </c>
      <c r="C270" s="3880" t="s">
        <v>847</v>
      </c>
      <c r="D270" s="3880"/>
      <c r="E270" s="3881"/>
      <c r="F270" s="2279"/>
      <c r="G270" s="3881"/>
      <c r="H270" s="2279"/>
      <c r="I270" s="3882"/>
      <c r="J270" s="7310">
        <f t="shared" si="403"/>
        <v>0</v>
      </c>
      <c r="K270" s="3881"/>
      <c r="L270" s="2279"/>
      <c r="M270" s="5083"/>
      <c r="N270" s="7301">
        <f t="shared" si="404"/>
        <v>0</v>
      </c>
      <c r="O270" s="3881"/>
      <c r="P270" s="2279">
        <v>3376.12</v>
      </c>
      <c r="Q270" s="3886"/>
      <c r="R270" s="7310">
        <f t="shared" si="405"/>
        <v>3376.12</v>
      </c>
      <c r="S270" s="3881"/>
      <c r="T270" s="2279"/>
      <c r="U270" s="3886"/>
      <c r="V270" s="7310">
        <f t="shared" si="406"/>
        <v>3376.12</v>
      </c>
      <c r="W270" s="3881"/>
      <c r="X270" s="2279">
        <v>744.69999999999993</v>
      </c>
      <c r="Y270" s="5083"/>
      <c r="Z270" s="7301">
        <f t="shared" si="407"/>
        <v>4120.82</v>
      </c>
      <c r="AA270" s="7406"/>
      <c r="AB270" s="7302">
        <f t="shared" si="408"/>
        <v>4120.82</v>
      </c>
      <c r="AC270" s="3881"/>
      <c r="AD270" s="2279">
        <v>259.5</v>
      </c>
      <c r="AE270" s="3886"/>
      <c r="AF270" s="7310">
        <f t="shared" si="409"/>
        <v>4380.32</v>
      </c>
      <c r="AG270" s="3881"/>
      <c r="AH270" s="2279"/>
      <c r="AI270" s="3886"/>
      <c r="AJ270" s="5152">
        <f t="shared" si="453"/>
        <v>4380.32</v>
      </c>
      <c r="AK270" s="3881"/>
      <c r="AL270" s="2279">
        <v>21.405999999999999</v>
      </c>
      <c r="AM270" s="5083"/>
      <c r="AN270" s="5084">
        <f t="shared" si="449"/>
        <v>280.90600000000001</v>
      </c>
      <c r="AO270" s="3886"/>
      <c r="AP270" s="7309">
        <f t="shared" si="450"/>
        <v>4401.7259999999997</v>
      </c>
      <c r="AQ270" s="3881"/>
      <c r="AR270" s="2279">
        <v>710.57999999999993</v>
      </c>
      <c r="AS270" s="3886"/>
      <c r="AT270" s="7309">
        <f t="shared" si="454"/>
        <v>5112.3059999999996</v>
      </c>
      <c r="AU270" s="3881"/>
      <c r="AV270" s="2279">
        <v>840.58</v>
      </c>
      <c r="AW270" s="3886"/>
      <c r="AX270" s="7309">
        <f t="shared" si="455"/>
        <v>5952.8859999999995</v>
      </c>
      <c r="AY270" s="3881"/>
      <c r="AZ270" s="2279"/>
      <c r="BA270" s="3868"/>
      <c r="BB270" s="5084">
        <f t="shared" si="451"/>
        <v>1551.1599999999999</v>
      </c>
      <c r="BC270" s="7402"/>
      <c r="BD270" s="7300">
        <f t="shared" si="452"/>
        <v>1832.0659999999998</v>
      </c>
      <c r="BE270" s="3867"/>
      <c r="BF270" s="7309">
        <f t="shared" si="456"/>
        <v>5952.8859999999995</v>
      </c>
      <c r="BG270" s="4152">
        <f t="shared" si="399"/>
        <v>0</v>
      </c>
      <c r="BH270" s="4152">
        <f t="shared" si="400"/>
        <v>0</v>
      </c>
      <c r="BI270" s="4152"/>
      <c r="BJ270" s="4152">
        <f t="shared" si="401"/>
        <v>0</v>
      </c>
      <c r="BK270" s="4152">
        <f t="shared" si="402"/>
        <v>0</v>
      </c>
    </row>
    <row r="271" spans="1:63" x14ac:dyDescent="0.25">
      <c r="A271" s="144"/>
      <c r="B271" s="3153" t="s">
        <v>1480</v>
      </c>
      <c r="C271" s="3835" t="s">
        <v>838</v>
      </c>
      <c r="D271" s="3835"/>
      <c r="E271" s="3873"/>
      <c r="F271" s="254"/>
      <c r="G271" s="3873"/>
      <c r="H271" s="254"/>
      <c r="I271" s="3874"/>
      <c r="J271" s="7310">
        <f t="shared" si="403"/>
        <v>0</v>
      </c>
      <c r="K271" s="3873"/>
      <c r="L271" s="254"/>
      <c r="M271" s="3868"/>
      <c r="N271" s="7301">
        <f t="shared" si="404"/>
        <v>0</v>
      </c>
      <c r="O271" s="3873"/>
      <c r="P271" s="254">
        <v>2099.58</v>
      </c>
      <c r="Q271" s="3867"/>
      <c r="R271" s="7310">
        <f t="shared" si="405"/>
        <v>2099.58</v>
      </c>
      <c r="S271" s="3873"/>
      <c r="T271" s="254">
        <v>130.27999999999997</v>
      </c>
      <c r="U271" s="3867"/>
      <c r="V271" s="7310">
        <f t="shared" si="406"/>
        <v>2229.8599999999997</v>
      </c>
      <c r="W271" s="3873"/>
      <c r="X271" s="254"/>
      <c r="Y271" s="3868"/>
      <c r="Z271" s="7301">
        <f t="shared" si="407"/>
        <v>2229.8599999999997</v>
      </c>
      <c r="AA271" s="7402"/>
      <c r="AB271" s="7302">
        <f t="shared" si="408"/>
        <v>2229.8599999999997</v>
      </c>
      <c r="AC271" s="3873"/>
      <c r="AD271" s="254"/>
      <c r="AE271" s="3867"/>
      <c r="AF271" s="7310">
        <f t="shared" si="409"/>
        <v>2229.8599999999997</v>
      </c>
      <c r="AG271" s="3873"/>
      <c r="AH271" s="254"/>
      <c r="AI271" s="3867"/>
      <c r="AJ271" s="7310">
        <f t="shared" si="453"/>
        <v>2229.8599999999997</v>
      </c>
      <c r="AK271" s="3873"/>
      <c r="AL271" s="254">
        <v>63.98</v>
      </c>
      <c r="AM271" s="3868"/>
      <c r="AN271" s="420">
        <f t="shared" si="449"/>
        <v>63.98</v>
      </c>
      <c r="AO271" s="3867"/>
      <c r="AP271" s="7310">
        <f t="shared" si="450"/>
        <v>2293.8399999999997</v>
      </c>
      <c r="AQ271" s="3873"/>
      <c r="AR271" s="254">
        <v>63.49</v>
      </c>
      <c r="AS271" s="3867"/>
      <c r="AT271" s="7310">
        <f t="shared" si="454"/>
        <v>2357.3299999999995</v>
      </c>
      <c r="AU271" s="3873"/>
      <c r="AV271" s="254"/>
      <c r="AW271" s="3867"/>
      <c r="AX271" s="7310">
        <f t="shared" si="455"/>
        <v>2357.3299999999995</v>
      </c>
      <c r="AY271" s="3873"/>
      <c r="AZ271" s="254"/>
      <c r="BA271" s="3868"/>
      <c r="BB271" s="5084">
        <f t="shared" si="451"/>
        <v>63.49</v>
      </c>
      <c r="BC271" s="7402"/>
      <c r="BD271" s="7300">
        <f t="shared" si="452"/>
        <v>127.47</v>
      </c>
      <c r="BE271" s="3867"/>
      <c r="BF271" s="7309">
        <f t="shared" si="456"/>
        <v>2357.3299999999995</v>
      </c>
      <c r="BG271" s="4152">
        <f t="shared" si="399"/>
        <v>0</v>
      </c>
      <c r="BH271" s="4152">
        <f t="shared" si="400"/>
        <v>0</v>
      </c>
      <c r="BI271" s="4152"/>
      <c r="BJ271" s="4152">
        <f t="shared" si="401"/>
        <v>0</v>
      </c>
      <c r="BK271" s="4152">
        <f t="shared" si="402"/>
        <v>0</v>
      </c>
    </row>
    <row r="272" spans="1:63" s="5960" customFormat="1" x14ac:dyDescent="0.25">
      <c r="A272" s="144"/>
      <c r="B272" s="5734" t="s">
        <v>1480</v>
      </c>
      <c r="C272" s="3880" t="s">
        <v>963</v>
      </c>
      <c r="D272" s="3880"/>
      <c r="E272" s="3881"/>
      <c r="F272" s="2279"/>
      <c r="G272" s="3881"/>
      <c r="H272" s="2279"/>
      <c r="I272" s="3882"/>
      <c r="J272" s="7310">
        <f t="shared" si="403"/>
        <v>0</v>
      </c>
      <c r="K272" s="3881"/>
      <c r="L272" s="2279"/>
      <c r="M272" s="5968"/>
      <c r="N272" s="7301">
        <f t="shared" si="404"/>
        <v>0</v>
      </c>
      <c r="O272" s="3881"/>
      <c r="P272" s="2279"/>
      <c r="Q272" s="5969"/>
      <c r="R272" s="7310">
        <f t="shared" si="405"/>
        <v>0</v>
      </c>
      <c r="S272" s="3881"/>
      <c r="T272" s="2279">
        <v>970.64</v>
      </c>
      <c r="U272" s="5969"/>
      <c r="V272" s="7310">
        <f t="shared" si="406"/>
        <v>970.64</v>
      </c>
      <c r="W272" s="3881"/>
      <c r="X272" s="2279">
        <v>79.55</v>
      </c>
      <c r="Y272" s="5968"/>
      <c r="Z272" s="7301">
        <f t="shared" si="407"/>
        <v>1050.19</v>
      </c>
      <c r="AA272" s="7409"/>
      <c r="AB272" s="7302">
        <f t="shared" si="408"/>
        <v>1050.19</v>
      </c>
      <c r="AC272" s="3881"/>
      <c r="AD272" s="2279"/>
      <c r="AE272" s="5969"/>
      <c r="AF272" s="7310">
        <f t="shared" si="409"/>
        <v>1050.19</v>
      </c>
      <c r="AG272" s="3881"/>
      <c r="AH272" s="2279"/>
      <c r="AI272" s="5969"/>
      <c r="AJ272" s="7310">
        <f t="shared" si="453"/>
        <v>1050.19</v>
      </c>
      <c r="AK272" s="3881"/>
      <c r="AL272" s="2279">
        <v>19.567</v>
      </c>
      <c r="AM272" s="5968"/>
      <c r="AN272" s="420">
        <f t="shared" si="449"/>
        <v>19.567</v>
      </c>
      <c r="AO272" s="5969"/>
      <c r="AP272" s="7310">
        <f t="shared" si="450"/>
        <v>1069.7570000000001</v>
      </c>
      <c r="AQ272" s="3881"/>
      <c r="AR272" s="2279"/>
      <c r="AS272" s="5969"/>
      <c r="AT272" s="5739">
        <f t="shared" si="454"/>
        <v>1069.7570000000001</v>
      </c>
      <c r="AU272" s="3881"/>
      <c r="AV272" s="2279"/>
      <c r="AW272" s="5969"/>
      <c r="AX272" s="7310">
        <f t="shared" si="455"/>
        <v>1069.7570000000001</v>
      </c>
      <c r="AY272" s="3881"/>
      <c r="AZ272" s="2279"/>
      <c r="BA272" s="5968"/>
      <c r="BB272" s="5084">
        <f t="shared" ref="BB272" si="472">AR272+AV272+AZ272</f>
        <v>0</v>
      </c>
      <c r="BC272" s="7402"/>
      <c r="BD272" s="7300">
        <f t="shared" ref="BD272" si="473">AN272+BB272</f>
        <v>19.567</v>
      </c>
      <c r="BE272" s="3867"/>
      <c r="BF272" s="7309">
        <f t="shared" ref="BF272" si="474">AX272+AZ272</f>
        <v>1069.7570000000001</v>
      </c>
      <c r="BG272" s="4152">
        <f t="shared" si="399"/>
        <v>0</v>
      </c>
      <c r="BH272" s="4152">
        <f t="shared" si="400"/>
        <v>0</v>
      </c>
      <c r="BI272" s="4152"/>
      <c r="BJ272" s="4152">
        <f t="shared" si="401"/>
        <v>0</v>
      </c>
      <c r="BK272" s="4152">
        <f t="shared" si="402"/>
        <v>0</v>
      </c>
    </row>
    <row r="273" spans="1:63" ht="15.75" thickBot="1" x14ac:dyDescent="0.3">
      <c r="A273" s="144"/>
      <c r="B273" s="3157" t="s">
        <v>1480</v>
      </c>
      <c r="C273" s="3839" t="s">
        <v>847</v>
      </c>
      <c r="D273" s="3839"/>
      <c r="E273" s="3877"/>
      <c r="F273" s="213"/>
      <c r="G273" s="3877"/>
      <c r="H273" s="213">
        <v>65.599999999999994</v>
      </c>
      <c r="I273" s="3878"/>
      <c r="J273" s="7310">
        <f t="shared" si="403"/>
        <v>65.599999999999994</v>
      </c>
      <c r="K273" s="3877"/>
      <c r="L273" s="213"/>
      <c r="M273" s="3868"/>
      <c r="N273" s="7301">
        <f t="shared" si="404"/>
        <v>65.599999999999994</v>
      </c>
      <c r="O273" s="3877"/>
      <c r="P273" s="213">
        <v>3889.9</v>
      </c>
      <c r="Q273" s="3867"/>
      <c r="R273" s="7310">
        <f t="shared" si="405"/>
        <v>3955.5</v>
      </c>
      <c r="S273" s="3877"/>
      <c r="T273" s="213">
        <v>8653.24</v>
      </c>
      <c r="U273" s="3867"/>
      <c r="V273" s="7310">
        <f t="shared" si="406"/>
        <v>12608.74</v>
      </c>
      <c r="W273" s="3877"/>
      <c r="X273" s="213"/>
      <c r="Y273" s="3868"/>
      <c r="Z273" s="7301">
        <f t="shared" si="407"/>
        <v>12543.14</v>
      </c>
      <c r="AA273" s="7402"/>
      <c r="AB273" s="7302">
        <f t="shared" si="408"/>
        <v>12608.74</v>
      </c>
      <c r="AC273" s="3877"/>
      <c r="AD273" s="213">
        <v>69.13</v>
      </c>
      <c r="AE273" s="3867"/>
      <c r="AF273" s="7310">
        <f t="shared" si="409"/>
        <v>12677.869999999999</v>
      </c>
      <c r="AG273" s="3877"/>
      <c r="AH273" s="213">
        <v>34.085999999999999</v>
      </c>
      <c r="AI273" s="3867"/>
      <c r="AJ273" s="7310">
        <f t="shared" si="453"/>
        <v>12711.955999999998</v>
      </c>
      <c r="AK273" s="3877"/>
      <c r="AL273" s="213">
        <v>15.739000000000001</v>
      </c>
      <c r="AM273" s="3868"/>
      <c r="AN273" s="420">
        <f t="shared" si="449"/>
        <v>118.955</v>
      </c>
      <c r="AO273" s="3867"/>
      <c r="AP273" s="7310">
        <f t="shared" si="450"/>
        <v>12727.694999999998</v>
      </c>
      <c r="AQ273" s="3877"/>
      <c r="AR273" s="213"/>
      <c r="AS273" s="3867"/>
      <c r="AT273" s="7310">
        <f t="shared" si="454"/>
        <v>12727.694999999998</v>
      </c>
      <c r="AU273" s="3877"/>
      <c r="AV273" s="213"/>
      <c r="AW273" s="3867"/>
      <c r="AX273" s="7310">
        <f t="shared" si="455"/>
        <v>12727.694999999998</v>
      </c>
      <c r="AY273" s="3877"/>
      <c r="AZ273" s="213"/>
      <c r="BA273" s="3868"/>
      <c r="BB273" s="5084">
        <f t="shared" si="451"/>
        <v>0</v>
      </c>
      <c r="BC273" s="7402"/>
      <c r="BD273" s="7300">
        <f t="shared" si="452"/>
        <v>118.955</v>
      </c>
      <c r="BE273" s="3867"/>
      <c r="BF273" s="7309">
        <f t="shared" si="456"/>
        <v>12727.694999999998</v>
      </c>
      <c r="BG273" s="4152">
        <f t="shared" si="399"/>
        <v>0</v>
      </c>
      <c r="BH273" s="4152">
        <f t="shared" si="400"/>
        <v>0</v>
      </c>
      <c r="BI273" s="4152"/>
      <c r="BJ273" s="4152">
        <f t="shared" si="401"/>
        <v>0</v>
      </c>
      <c r="BK273" s="4152">
        <f t="shared" si="402"/>
        <v>0</v>
      </c>
    </row>
    <row r="274" spans="1:63" ht="15.75" customHeight="1" thickBot="1" x14ac:dyDescent="0.3">
      <c r="A274" s="144"/>
      <c r="B274" s="3879" t="s">
        <v>821</v>
      </c>
      <c r="C274" s="3880" t="s">
        <v>1329</v>
      </c>
      <c r="D274" s="3880"/>
      <c r="E274" s="3881"/>
      <c r="F274" s="2279"/>
      <c r="G274" s="3881"/>
      <c r="H274" s="2279"/>
      <c r="I274" s="3882"/>
      <c r="J274" s="7310">
        <f t="shared" si="403"/>
        <v>0</v>
      </c>
      <c r="K274" s="3881"/>
      <c r="L274" s="2279">
        <v>63.38</v>
      </c>
      <c r="M274" s="3868"/>
      <c r="N274" s="7301">
        <f t="shared" si="404"/>
        <v>63.38</v>
      </c>
      <c r="O274" s="3881"/>
      <c r="P274" s="2279"/>
      <c r="Q274" s="3867"/>
      <c r="R274" s="7310">
        <f t="shared" si="405"/>
        <v>63.38</v>
      </c>
      <c r="S274" s="3881"/>
      <c r="T274" s="2279"/>
      <c r="U274" s="3867"/>
      <c r="V274" s="7310">
        <f t="shared" si="406"/>
        <v>63.38</v>
      </c>
      <c r="W274" s="3881"/>
      <c r="X274" s="2279"/>
      <c r="Y274" s="3868"/>
      <c r="Z274" s="7301">
        <f t="shared" si="407"/>
        <v>0</v>
      </c>
      <c r="AA274" s="7402"/>
      <c r="AB274" s="7302">
        <f t="shared" si="408"/>
        <v>63.38</v>
      </c>
      <c r="AC274" s="3881"/>
      <c r="AD274" s="2279">
        <v>64.760000000000005</v>
      </c>
      <c r="AE274" s="3867"/>
      <c r="AF274" s="7310">
        <f t="shared" si="409"/>
        <v>128.14000000000001</v>
      </c>
      <c r="AG274" s="3881"/>
      <c r="AH274" s="2279"/>
      <c r="AI274" s="3867"/>
      <c r="AJ274" s="7310">
        <f t="shared" si="453"/>
        <v>128.14000000000001</v>
      </c>
      <c r="AK274" s="3881"/>
      <c r="AL274" s="2279"/>
      <c r="AM274" s="3868"/>
      <c r="AN274" s="420">
        <f t="shared" si="449"/>
        <v>64.760000000000005</v>
      </c>
      <c r="AO274" s="3867"/>
      <c r="AP274" s="7310">
        <f t="shared" si="450"/>
        <v>128.14000000000001</v>
      </c>
      <c r="AQ274" s="3881"/>
      <c r="AR274" s="2279"/>
      <c r="AS274" s="3867"/>
      <c r="AT274" s="7310">
        <f t="shared" si="454"/>
        <v>128.14000000000001</v>
      </c>
      <c r="AU274" s="3881"/>
      <c r="AV274" s="2279"/>
      <c r="AW274" s="3867"/>
      <c r="AX274" s="7310">
        <f t="shared" si="455"/>
        <v>128.14000000000001</v>
      </c>
      <c r="AY274" s="3881"/>
      <c r="AZ274" s="2279"/>
      <c r="BA274" s="3868"/>
      <c r="BB274" s="5084">
        <f t="shared" si="451"/>
        <v>0</v>
      </c>
      <c r="BC274" s="7402"/>
      <c r="BD274" s="7300">
        <f t="shared" si="452"/>
        <v>64.760000000000005</v>
      </c>
      <c r="BE274" s="3867"/>
      <c r="BF274" s="7309">
        <f t="shared" si="456"/>
        <v>128.14000000000001</v>
      </c>
      <c r="BG274" s="4152">
        <f t="shared" si="399"/>
        <v>0</v>
      </c>
      <c r="BH274" s="4152">
        <f t="shared" si="400"/>
        <v>0</v>
      </c>
      <c r="BI274" s="4152"/>
      <c r="BJ274" s="4152">
        <f t="shared" si="401"/>
        <v>0</v>
      </c>
      <c r="BK274" s="4152">
        <f t="shared" si="402"/>
        <v>0</v>
      </c>
    </row>
    <row r="275" spans="1:63" x14ac:dyDescent="0.25">
      <c r="A275" s="144"/>
      <c r="B275" s="3153" t="s">
        <v>821</v>
      </c>
      <c r="C275" s="3835" t="s">
        <v>838</v>
      </c>
      <c r="D275" s="3835"/>
      <c r="E275" s="3873"/>
      <c r="F275" s="254">
        <v>973.34000000000015</v>
      </c>
      <c r="G275" s="3873"/>
      <c r="H275" s="254">
        <v>1910</v>
      </c>
      <c r="I275" s="3874"/>
      <c r="J275" s="7310">
        <f t="shared" si="403"/>
        <v>2883.34</v>
      </c>
      <c r="K275" s="3873"/>
      <c r="L275" s="254">
        <v>1992.2999999999997</v>
      </c>
      <c r="M275" s="3868"/>
      <c r="N275" s="7301">
        <f t="shared" si="404"/>
        <v>4875.6399999999994</v>
      </c>
      <c r="O275" s="3873"/>
      <c r="P275" s="254">
        <v>1914.2300000000005</v>
      </c>
      <c r="Q275" s="3867"/>
      <c r="R275" s="7310">
        <f t="shared" si="405"/>
        <v>6789.87</v>
      </c>
      <c r="S275" s="3873"/>
      <c r="T275" s="254">
        <v>255.96</v>
      </c>
      <c r="U275" s="3867"/>
      <c r="V275" s="7310">
        <f t="shared" si="406"/>
        <v>7045.83</v>
      </c>
      <c r="W275" s="3873"/>
      <c r="X275" s="254"/>
      <c r="Y275" s="3868"/>
      <c r="Z275" s="7301">
        <f t="shared" si="407"/>
        <v>2170.1900000000005</v>
      </c>
      <c r="AA275" s="7402"/>
      <c r="AB275" s="7302">
        <f t="shared" si="408"/>
        <v>7045.83</v>
      </c>
      <c r="AC275" s="3873"/>
      <c r="AD275" s="254"/>
      <c r="AE275" s="3867"/>
      <c r="AF275" s="7310">
        <f t="shared" si="409"/>
        <v>7045.83</v>
      </c>
      <c r="AG275" s="3873"/>
      <c r="AH275" s="254">
        <v>37.536000000000001</v>
      </c>
      <c r="AI275" s="3867"/>
      <c r="AJ275" s="7310">
        <f t="shared" si="453"/>
        <v>7083.366</v>
      </c>
      <c r="AK275" s="3873"/>
      <c r="AL275" s="254">
        <v>62</v>
      </c>
      <c r="AM275" s="3868"/>
      <c r="AN275" s="420">
        <f t="shared" si="449"/>
        <v>99.536000000000001</v>
      </c>
      <c r="AO275" s="3867"/>
      <c r="AP275" s="7310">
        <f t="shared" si="450"/>
        <v>7145.366</v>
      </c>
      <c r="AQ275" s="3873"/>
      <c r="AR275" s="254">
        <v>57.42</v>
      </c>
      <c r="AS275" s="3867"/>
      <c r="AT275" s="7310">
        <f t="shared" si="454"/>
        <v>7202.7860000000001</v>
      </c>
      <c r="AU275" s="3873"/>
      <c r="AV275" s="254">
        <v>2192.06</v>
      </c>
      <c r="AW275" s="3867"/>
      <c r="AX275" s="7310">
        <f t="shared" si="455"/>
        <v>9394.8459999999995</v>
      </c>
      <c r="AY275" s="3873"/>
      <c r="AZ275" s="254">
        <v>70.811999999999998</v>
      </c>
      <c r="BA275" s="3868"/>
      <c r="BB275" s="5084">
        <f t="shared" si="451"/>
        <v>2320.2919999999999</v>
      </c>
      <c r="BC275" s="7402"/>
      <c r="BD275" s="7300">
        <f t="shared" si="452"/>
        <v>2419.828</v>
      </c>
      <c r="BE275" s="3867"/>
      <c r="BF275" s="7309">
        <f t="shared" si="456"/>
        <v>9465.6579999999994</v>
      </c>
      <c r="BG275" s="4152">
        <f t="shared" ref="BG275:BG340" si="475">AY275+AU275+AQ275+AK275+AG275+AC275+W275+S275+O275+K275+G275+E275-BE275</f>
        <v>0</v>
      </c>
      <c r="BH275" s="4152">
        <f t="shared" ref="BH275:BH340" si="476">AZ275+AV275+AR275+AL275+AH275+AD275+X275+T275+P275+L275+H275+F275-BF275</f>
        <v>0</v>
      </c>
      <c r="BI275" s="4152"/>
      <c r="BJ275" s="4152">
        <f t="shared" ref="BJ275:BJ340" si="477">AY275+AU275+AQ275+AK275+AG275+AC275-BC275</f>
        <v>0</v>
      </c>
      <c r="BK275" s="4152">
        <f t="shared" ref="BK275:BK340" si="478">AZ275+AV275+AR275+AL275+AH275+AD275-BD275</f>
        <v>0</v>
      </c>
    </row>
    <row r="276" spans="1:63" x14ac:dyDescent="0.25">
      <c r="A276" s="144"/>
      <c r="B276" s="797" t="s">
        <v>821</v>
      </c>
      <c r="C276" s="3845" t="s">
        <v>847</v>
      </c>
      <c r="D276" s="3845"/>
      <c r="E276" s="3875"/>
      <c r="F276" s="3789">
        <v>13735.17</v>
      </c>
      <c r="G276" s="3875"/>
      <c r="H276" s="5572">
        <v>4479.3000000000011</v>
      </c>
      <c r="I276" s="3876"/>
      <c r="J276" s="7310">
        <f t="shared" si="403"/>
        <v>18214.47</v>
      </c>
      <c r="K276" s="3875"/>
      <c r="L276" s="5692">
        <v>567.8599999999999</v>
      </c>
      <c r="M276" s="3868"/>
      <c r="N276" s="7301">
        <f t="shared" si="404"/>
        <v>18782.330000000002</v>
      </c>
      <c r="O276" s="3875"/>
      <c r="P276" s="5849">
        <v>5297.44</v>
      </c>
      <c r="Q276" s="3867"/>
      <c r="R276" s="7310">
        <f t="shared" si="405"/>
        <v>24079.77</v>
      </c>
      <c r="S276" s="3875"/>
      <c r="T276" s="5900">
        <v>3852.24</v>
      </c>
      <c r="U276" s="3867"/>
      <c r="V276" s="7310">
        <f t="shared" si="406"/>
        <v>27932.010000000002</v>
      </c>
      <c r="W276" s="3875"/>
      <c r="X276" s="6015"/>
      <c r="Y276" s="3868"/>
      <c r="Z276" s="7301">
        <f t="shared" si="407"/>
        <v>9149.68</v>
      </c>
      <c r="AA276" s="7402"/>
      <c r="AB276" s="7302">
        <f t="shared" si="408"/>
        <v>27932.010000000002</v>
      </c>
      <c r="AC276" s="3875"/>
      <c r="AD276" s="6148"/>
      <c r="AE276" s="3867"/>
      <c r="AF276" s="7310">
        <f t="shared" si="409"/>
        <v>27932.010000000002</v>
      </c>
      <c r="AG276" s="3875"/>
      <c r="AH276" s="6310">
        <v>8606.7599999999984</v>
      </c>
      <c r="AI276" s="3867"/>
      <c r="AJ276" s="7310">
        <f t="shared" si="453"/>
        <v>36538.770000000004</v>
      </c>
      <c r="AK276" s="3875"/>
      <c r="AL276" s="6556">
        <v>2036.65</v>
      </c>
      <c r="AM276" s="3868"/>
      <c r="AN276" s="420">
        <f t="shared" si="449"/>
        <v>10643.409999999998</v>
      </c>
      <c r="AO276" s="3867"/>
      <c r="AP276" s="7310">
        <f t="shared" si="450"/>
        <v>38575.420000000006</v>
      </c>
      <c r="AQ276" s="3875"/>
      <c r="AR276" s="6655">
        <v>8827.4820000000018</v>
      </c>
      <c r="AS276" s="3867"/>
      <c r="AT276" s="7310">
        <f t="shared" si="454"/>
        <v>47402.902000000009</v>
      </c>
      <c r="AU276" s="3875"/>
      <c r="AV276" s="6821">
        <v>5162.97</v>
      </c>
      <c r="AW276" s="3867"/>
      <c r="AX276" s="7310">
        <f t="shared" si="455"/>
        <v>52565.87200000001</v>
      </c>
      <c r="AY276" s="3875"/>
      <c r="AZ276" s="6964">
        <v>5625.1289999999999</v>
      </c>
      <c r="BA276" s="3868"/>
      <c r="BB276" s="5084">
        <f t="shared" si="451"/>
        <v>19615.581000000002</v>
      </c>
      <c r="BC276" s="7402"/>
      <c r="BD276" s="7300">
        <f t="shared" si="452"/>
        <v>30258.991000000002</v>
      </c>
      <c r="BE276" s="3867"/>
      <c r="BF276" s="7309">
        <f t="shared" si="456"/>
        <v>58191.001000000011</v>
      </c>
      <c r="BG276" s="4152">
        <f t="shared" si="475"/>
        <v>0</v>
      </c>
      <c r="BH276" s="4152">
        <f t="shared" si="476"/>
        <v>0</v>
      </c>
      <c r="BI276" s="4152"/>
      <c r="BJ276" s="4152">
        <f t="shared" si="477"/>
        <v>0</v>
      </c>
      <c r="BK276" s="4152">
        <f t="shared" si="478"/>
        <v>0</v>
      </c>
    </row>
    <row r="277" spans="1:63" ht="15" customHeight="1" x14ac:dyDescent="0.25">
      <c r="A277" s="144"/>
      <c r="B277" s="797" t="s">
        <v>821</v>
      </c>
      <c r="C277" s="3845" t="s">
        <v>962</v>
      </c>
      <c r="D277" s="3845"/>
      <c r="E277" s="3875"/>
      <c r="F277" s="3789"/>
      <c r="G277" s="3875"/>
      <c r="H277" s="5572"/>
      <c r="I277" s="3876"/>
      <c r="J277" s="7310">
        <f t="shared" si="403"/>
        <v>0</v>
      </c>
      <c r="K277" s="3875"/>
      <c r="L277" s="5692"/>
      <c r="M277" s="3868"/>
      <c r="N277" s="7301">
        <f t="shared" si="404"/>
        <v>0</v>
      </c>
      <c r="O277" s="3875"/>
      <c r="P277" s="5849"/>
      <c r="Q277" s="3867"/>
      <c r="R277" s="7310">
        <f t="shared" si="405"/>
        <v>0</v>
      </c>
      <c r="S277" s="3875"/>
      <c r="T277" s="5900"/>
      <c r="U277" s="3867"/>
      <c r="V277" s="7310">
        <f t="shared" si="406"/>
        <v>0</v>
      </c>
      <c r="W277" s="3875"/>
      <c r="X277" s="6015"/>
      <c r="Y277" s="3868"/>
      <c r="Z277" s="7301">
        <f t="shared" si="407"/>
        <v>0</v>
      </c>
      <c r="AA277" s="7402"/>
      <c r="AB277" s="7302">
        <f t="shared" si="408"/>
        <v>0</v>
      </c>
      <c r="AC277" s="3875"/>
      <c r="AD277" s="6148"/>
      <c r="AE277" s="3867"/>
      <c r="AF277" s="7310">
        <f t="shared" si="409"/>
        <v>0</v>
      </c>
      <c r="AG277" s="3875"/>
      <c r="AH277" s="6310"/>
      <c r="AI277" s="3867"/>
      <c r="AJ277" s="7310">
        <f t="shared" si="453"/>
        <v>0</v>
      </c>
      <c r="AK277" s="3875"/>
      <c r="AL277" s="6556"/>
      <c r="AM277" s="3868"/>
      <c r="AN277" s="420">
        <f t="shared" si="449"/>
        <v>0</v>
      </c>
      <c r="AO277" s="3867"/>
      <c r="AP277" s="7310">
        <f t="shared" si="450"/>
        <v>0</v>
      </c>
      <c r="AQ277" s="3875"/>
      <c r="AR277" s="6655"/>
      <c r="AS277" s="3867"/>
      <c r="AT277" s="7310">
        <f t="shared" si="454"/>
        <v>0</v>
      </c>
      <c r="AU277" s="3875"/>
      <c r="AV277" s="6821"/>
      <c r="AW277" s="3867"/>
      <c r="AX277" s="7310">
        <f t="shared" si="455"/>
        <v>0</v>
      </c>
      <c r="AY277" s="3875"/>
      <c r="AZ277" s="6964"/>
      <c r="BA277" s="3868"/>
      <c r="BB277" s="5084">
        <f t="shared" si="451"/>
        <v>0</v>
      </c>
      <c r="BC277" s="7402"/>
      <c r="BD277" s="7300">
        <f t="shared" si="452"/>
        <v>0</v>
      </c>
      <c r="BE277" s="3867"/>
      <c r="BF277" s="7309">
        <f t="shared" si="456"/>
        <v>0</v>
      </c>
      <c r="BG277" s="4152">
        <f t="shared" si="475"/>
        <v>0</v>
      </c>
      <c r="BH277" s="4152">
        <f t="shared" si="476"/>
        <v>0</v>
      </c>
      <c r="BI277" s="4152"/>
      <c r="BJ277" s="4152">
        <f t="shared" si="477"/>
        <v>0</v>
      </c>
      <c r="BK277" s="4152">
        <f t="shared" si="478"/>
        <v>0</v>
      </c>
    </row>
    <row r="278" spans="1:63" x14ac:dyDescent="0.25">
      <c r="A278" s="144"/>
      <c r="B278" s="797" t="s">
        <v>821</v>
      </c>
      <c r="C278" s="3845" t="s">
        <v>963</v>
      </c>
      <c r="D278" s="3845"/>
      <c r="E278" s="3875"/>
      <c r="F278" s="3789"/>
      <c r="G278" s="3875"/>
      <c r="H278" s="5572"/>
      <c r="I278" s="3876"/>
      <c r="J278" s="7310">
        <f t="shared" si="403"/>
        <v>0</v>
      </c>
      <c r="K278" s="3875"/>
      <c r="L278" s="5692"/>
      <c r="M278" s="3868"/>
      <c r="N278" s="7301">
        <f t="shared" si="404"/>
        <v>0</v>
      </c>
      <c r="O278" s="3875"/>
      <c r="P278" s="5849"/>
      <c r="Q278" s="3867"/>
      <c r="R278" s="7310">
        <f t="shared" si="405"/>
        <v>0</v>
      </c>
      <c r="S278" s="3875"/>
      <c r="T278" s="5900">
        <v>502.64</v>
      </c>
      <c r="U278" s="3867"/>
      <c r="V278" s="7310">
        <f t="shared" si="406"/>
        <v>502.64</v>
      </c>
      <c r="W278" s="3875"/>
      <c r="X278" s="6015"/>
      <c r="Y278" s="3868"/>
      <c r="Z278" s="7301">
        <f t="shared" si="407"/>
        <v>502.64</v>
      </c>
      <c r="AA278" s="7402"/>
      <c r="AB278" s="7302">
        <f t="shared" si="408"/>
        <v>502.64</v>
      </c>
      <c r="AC278" s="3875"/>
      <c r="AD278" s="6148"/>
      <c r="AE278" s="3867"/>
      <c r="AF278" s="7310">
        <f t="shared" si="409"/>
        <v>502.64</v>
      </c>
      <c r="AG278" s="3875"/>
      <c r="AH278" s="6310">
        <v>984.73</v>
      </c>
      <c r="AI278" s="3867"/>
      <c r="AJ278" s="7310">
        <f t="shared" si="453"/>
        <v>1487.37</v>
      </c>
      <c r="AK278" s="3875"/>
      <c r="AL278" s="6556">
        <v>2323.88</v>
      </c>
      <c r="AM278" s="3868"/>
      <c r="AN278" s="420">
        <f t="shared" si="449"/>
        <v>3308.61</v>
      </c>
      <c r="AO278" s="3867"/>
      <c r="AP278" s="7310">
        <f t="shared" si="450"/>
        <v>3811.25</v>
      </c>
      <c r="AQ278" s="3875"/>
      <c r="AR278" s="6655">
        <v>503.46</v>
      </c>
      <c r="AS278" s="3867"/>
      <c r="AT278" s="7310">
        <f t="shared" si="454"/>
        <v>4314.71</v>
      </c>
      <c r="AU278" s="3875"/>
      <c r="AV278" s="6821">
        <v>129.24</v>
      </c>
      <c r="AW278" s="3867"/>
      <c r="AX278" s="7310">
        <f t="shared" si="455"/>
        <v>4443.95</v>
      </c>
      <c r="AY278" s="3875"/>
      <c r="AZ278" s="6964">
        <v>43.655000000000001</v>
      </c>
      <c r="BA278" s="3868"/>
      <c r="BB278" s="5084">
        <f t="shared" si="451"/>
        <v>676.35500000000002</v>
      </c>
      <c r="BC278" s="7402"/>
      <c r="BD278" s="7300">
        <f t="shared" si="452"/>
        <v>3984.9650000000001</v>
      </c>
      <c r="BE278" s="3867"/>
      <c r="BF278" s="7309">
        <f t="shared" si="456"/>
        <v>4487.6049999999996</v>
      </c>
      <c r="BG278" s="4152">
        <f t="shared" si="475"/>
        <v>0</v>
      </c>
      <c r="BH278" s="4152">
        <f t="shared" si="476"/>
        <v>0</v>
      </c>
      <c r="BI278" s="4152"/>
      <c r="BJ278" s="4152">
        <f t="shared" si="477"/>
        <v>0</v>
      </c>
      <c r="BK278" s="4152">
        <f t="shared" si="478"/>
        <v>0</v>
      </c>
    </row>
    <row r="279" spans="1:63" ht="15.75" thickBot="1" x14ac:dyDescent="0.3">
      <c r="A279" s="144"/>
      <c r="B279" s="3157" t="s">
        <v>821</v>
      </c>
      <c r="C279" s="3839" t="s">
        <v>1102</v>
      </c>
      <c r="D279" s="3839"/>
      <c r="E279" s="3877"/>
      <c r="F279" s="213"/>
      <c r="G279" s="3877"/>
      <c r="H279" s="213"/>
      <c r="I279" s="3878"/>
      <c r="J279" s="7310">
        <f t="shared" si="403"/>
        <v>0</v>
      </c>
      <c r="K279" s="3877"/>
      <c r="L279" s="213"/>
      <c r="M279" s="3868"/>
      <c r="N279" s="7301">
        <f t="shared" si="404"/>
        <v>0</v>
      </c>
      <c r="O279" s="3877"/>
      <c r="P279" s="213"/>
      <c r="Q279" s="3867"/>
      <c r="R279" s="7310">
        <f t="shared" si="405"/>
        <v>0</v>
      </c>
      <c r="S279" s="3877"/>
      <c r="T279" s="213"/>
      <c r="U279" s="3867"/>
      <c r="V279" s="7310">
        <f t="shared" si="406"/>
        <v>0</v>
      </c>
      <c r="W279" s="3877"/>
      <c r="X279" s="213"/>
      <c r="Y279" s="3868"/>
      <c r="Z279" s="7301">
        <f t="shared" si="407"/>
        <v>0</v>
      </c>
      <c r="AA279" s="7402"/>
      <c r="AB279" s="7302">
        <f t="shared" si="408"/>
        <v>0</v>
      </c>
      <c r="AC279" s="3877"/>
      <c r="AD279" s="213"/>
      <c r="AE279" s="3867"/>
      <c r="AF279" s="7310">
        <f t="shared" si="409"/>
        <v>0</v>
      </c>
      <c r="AG279" s="3877"/>
      <c r="AH279" s="213">
        <v>24.324000000000002</v>
      </c>
      <c r="AI279" s="3867"/>
      <c r="AJ279" s="7310">
        <f t="shared" si="453"/>
        <v>24.324000000000002</v>
      </c>
      <c r="AK279" s="3877"/>
      <c r="AL279" s="213">
        <v>38.923000000000002</v>
      </c>
      <c r="AM279" s="3868"/>
      <c r="AN279" s="420">
        <f t="shared" si="449"/>
        <v>63.247</v>
      </c>
      <c r="AO279" s="3867"/>
      <c r="AP279" s="7310">
        <f t="shared" si="450"/>
        <v>63.247</v>
      </c>
      <c r="AQ279" s="3877"/>
      <c r="AR279" s="213"/>
      <c r="AS279" s="3867"/>
      <c r="AT279" s="7310">
        <f t="shared" si="454"/>
        <v>63.247</v>
      </c>
      <c r="AU279" s="3877"/>
      <c r="AV279" s="213"/>
      <c r="AW279" s="3867"/>
      <c r="AX279" s="7310">
        <f t="shared" si="455"/>
        <v>63.247</v>
      </c>
      <c r="AY279" s="3877"/>
      <c r="AZ279" s="213"/>
      <c r="BA279" s="3868"/>
      <c r="BB279" s="5084">
        <f t="shared" si="451"/>
        <v>0</v>
      </c>
      <c r="BC279" s="7402"/>
      <c r="BD279" s="7300">
        <f t="shared" si="452"/>
        <v>63.247</v>
      </c>
      <c r="BE279" s="3867"/>
      <c r="BF279" s="7309">
        <f t="shared" si="456"/>
        <v>63.247</v>
      </c>
      <c r="BG279" s="4152">
        <f t="shared" si="475"/>
        <v>0</v>
      </c>
      <c r="BH279" s="4152">
        <f t="shared" si="476"/>
        <v>0</v>
      </c>
      <c r="BI279" s="4152"/>
      <c r="BJ279" s="4152">
        <f t="shared" si="477"/>
        <v>0</v>
      </c>
      <c r="BK279" s="4152">
        <f t="shared" si="478"/>
        <v>0</v>
      </c>
    </row>
    <row r="280" spans="1:63" x14ac:dyDescent="0.25">
      <c r="A280" s="144"/>
      <c r="B280" s="3883" t="s">
        <v>822</v>
      </c>
      <c r="C280" s="3842" t="s">
        <v>838</v>
      </c>
      <c r="D280" s="3842"/>
      <c r="E280" s="3791"/>
      <c r="F280" s="1223">
        <v>258.71999999999997</v>
      </c>
      <c r="G280" s="4629"/>
      <c r="H280" s="5103">
        <v>2898.2400000000007</v>
      </c>
      <c r="I280" s="3884"/>
      <c r="J280" s="7310">
        <f t="shared" si="403"/>
        <v>3156.9600000000005</v>
      </c>
      <c r="K280" s="4629"/>
      <c r="L280" s="5103">
        <v>2377.2700000000004</v>
      </c>
      <c r="M280" s="420"/>
      <c r="N280" s="7301">
        <f t="shared" si="404"/>
        <v>5534.2300000000014</v>
      </c>
      <c r="O280" s="4629"/>
      <c r="P280" s="5103">
        <v>2915.21</v>
      </c>
      <c r="Q280" s="344"/>
      <c r="R280" s="7310">
        <f t="shared" si="405"/>
        <v>8449.4400000000023</v>
      </c>
      <c r="S280" s="4629"/>
      <c r="T280" s="5103">
        <v>2740.0700000000011</v>
      </c>
      <c r="U280" s="344"/>
      <c r="V280" s="7310">
        <f t="shared" si="406"/>
        <v>11189.510000000004</v>
      </c>
      <c r="W280" s="4629"/>
      <c r="X280" s="5103">
        <v>2562.77</v>
      </c>
      <c r="Y280" s="420"/>
      <c r="Z280" s="7301">
        <f t="shared" si="407"/>
        <v>8218.0500000000011</v>
      </c>
      <c r="AA280" s="444"/>
      <c r="AB280" s="7302">
        <f t="shared" si="408"/>
        <v>13752.280000000002</v>
      </c>
      <c r="AC280" s="4629"/>
      <c r="AD280" s="5103"/>
      <c r="AE280" s="344"/>
      <c r="AF280" s="7310">
        <f t="shared" si="409"/>
        <v>13752.280000000002</v>
      </c>
      <c r="AG280" s="4629"/>
      <c r="AH280" s="5103">
        <v>20.420000000000002</v>
      </c>
      <c r="AI280" s="344"/>
      <c r="AJ280" s="7310">
        <f t="shared" si="453"/>
        <v>13772.700000000003</v>
      </c>
      <c r="AK280" s="4629"/>
      <c r="AL280" s="5103"/>
      <c r="AM280" s="420"/>
      <c r="AN280" s="420">
        <f t="shared" si="449"/>
        <v>20.420000000000002</v>
      </c>
      <c r="AO280" s="344"/>
      <c r="AP280" s="7310">
        <f t="shared" si="450"/>
        <v>13772.700000000003</v>
      </c>
      <c r="AQ280" s="4629"/>
      <c r="AR280" s="5103">
        <v>2934.13</v>
      </c>
      <c r="AS280" s="344"/>
      <c r="AT280" s="7310">
        <f t="shared" si="454"/>
        <v>16706.830000000002</v>
      </c>
      <c r="AU280" s="4629"/>
      <c r="AV280" s="5103">
        <v>3719.78</v>
      </c>
      <c r="AW280" s="344"/>
      <c r="AX280" s="7310">
        <f t="shared" si="455"/>
        <v>20426.61</v>
      </c>
      <c r="AY280" s="4629"/>
      <c r="AZ280" s="5103">
        <v>761.74</v>
      </c>
      <c r="BA280" s="420"/>
      <c r="BB280" s="5084">
        <f t="shared" si="451"/>
        <v>7415.65</v>
      </c>
      <c r="BC280" s="444"/>
      <c r="BD280" s="7300">
        <f t="shared" si="452"/>
        <v>7436.07</v>
      </c>
      <c r="BE280" s="344"/>
      <c r="BF280" s="7309">
        <f t="shared" si="456"/>
        <v>21188.350000000002</v>
      </c>
      <c r="BG280" s="4152">
        <f t="shared" si="475"/>
        <v>0</v>
      </c>
      <c r="BH280" s="4152">
        <f t="shared" si="476"/>
        <v>0</v>
      </c>
      <c r="BI280" s="4152"/>
      <c r="BJ280" s="4152">
        <f t="shared" si="477"/>
        <v>0</v>
      </c>
      <c r="BK280" s="4152">
        <f t="shared" si="478"/>
        <v>0</v>
      </c>
    </row>
    <row r="281" spans="1:63" x14ac:dyDescent="0.25">
      <c r="A281" s="144"/>
      <c r="B281" s="3865" t="s">
        <v>822</v>
      </c>
      <c r="C281" s="3836" t="s">
        <v>847</v>
      </c>
      <c r="D281" s="3836"/>
      <c r="E281" s="373"/>
      <c r="F281" s="2237">
        <v>7878.1200000000026</v>
      </c>
      <c r="G281" s="373"/>
      <c r="H281" s="5568">
        <v>2634.16</v>
      </c>
      <c r="I281" s="344"/>
      <c r="J281" s="7310">
        <f t="shared" si="403"/>
        <v>10512.280000000002</v>
      </c>
      <c r="K281" s="373"/>
      <c r="L281" s="5680">
        <v>8169.0199999999977</v>
      </c>
      <c r="M281" s="420"/>
      <c r="N281" s="7301">
        <f t="shared" si="404"/>
        <v>18681.3</v>
      </c>
      <c r="O281" s="373"/>
      <c r="P281" s="5837">
        <v>12550.800000000003</v>
      </c>
      <c r="Q281" s="344"/>
      <c r="R281" s="7310">
        <f t="shared" si="405"/>
        <v>31232.100000000002</v>
      </c>
      <c r="S281" s="373"/>
      <c r="T281" s="5893">
        <v>12782.630000000001</v>
      </c>
      <c r="U281" s="344"/>
      <c r="V281" s="7310">
        <f t="shared" si="406"/>
        <v>44014.73</v>
      </c>
      <c r="W281" s="373"/>
      <c r="X281" s="6007">
        <v>13437.280000000006</v>
      </c>
      <c r="Y281" s="420"/>
      <c r="Z281" s="7301">
        <f t="shared" si="407"/>
        <v>38770.710000000006</v>
      </c>
      <c r="AA281" s="444"/>
      <c r="AB281" s="7302">
        <f t="shared" si="408"/>
        <v>57452.010000000009</v>
      </c>
      <c r="AC281" s="373"/>
      <c r="AD281" s="6138">
        <v>9412.8800000000047</v>
      </c>
      <c r="AE281" s="344"/>
      <c r="AF281" s="7310">
        <f t="shared" si="409"/>
        <v>66864.890000000014</v>
      </c>
      <c r="AG281" s="373"/>
      <c r="AH281" s="6300">
        <v>11255.406000000003</v>
      </c>
      <c r="AI281" s="344"/>
      <c r="AJ281" s="7310">
        <f t="shared" si="453"/>
        <v>78120.296000000017</v>
      </c>
      <c r="AK281" s="373"/>
      <c r="AL281" s="6549">
        <v>19246.945999999996</v>
      </c>
      <c r="AM281" s="420"/>
      <c r="AN281" s="420">
        <f t="shared" si="449"/>
        <v>39915.232000000004</v>
      </c>
      <c r="AO281" s="344"/>
      <c r="AP281" s="7310">
        <f t="shared" si="450"/>
        <v>97367.242000000013</v>
      </c>
      <c r="AQ281" s="373"/>
      <c r="AR281" s="6643">
        <v>10411.960000000003</v>
      </c>
      <c r="AS281" s="344"/>
      <c r="AT281" s="7310">
        <f t="shared" si="454"/>
        <v>107779.20200000002</v>
      </c>
      <c r="AU281" s="373"/>
      <c r="AV281" s="6815">
        <v>8535.98</v>
      </c>
      <c r="AW281" s="344"/>
      <c r="AX281" s="7310">
        <f t="shared" si="455"/>
        <v>116315.18200000002</v>
      </c>
      <c r="AY281" s="373"/>
      <c r="AZ281" s="6957">
        <v>12585.14</v>
      </c>
      <c r="BA281" s="420"/>
      <c r="BB281" s="5084">
        <f t="shared" si="451"/>
        <v>31533.08</v>
      </c>
      <c r="BC281" s="444"/>
      <c r="BD281" s="7300">
        <f t="shared" si="452"/>
        <v>71448.312000000005</v>
      </c>
      <c r="BE281" s="344"/>
      <c r="BF281" s="7309">
        <f t="shared" si="456"/>
        <v>128900.32200000001</v>
      </c>
      <c r="BG281" s="4152">
        <f t="shared" si="475"/>
        <v>0</v>
      </c>
      <c r="BH281" s="4152">
        <f t="shared" si="476"/>
        <v>0</v>
      </c>
      <c r="BI281" s="4152"/>
      <c r="BJ281" s="4152">
        <f t="shared" si="477"/>
        <v>0</v>
      </c>
      <c r="BK281" s="4152">
        <f t="shared" si="478"/>
        <v>0</v>
      </c>
    </row>
    <row r="282" spans="1:63" x14ac:dyDescent="0.25">
      <c r="A282" s="144"/>
      <c r="B282" s="3865" t="s">
        <v>822</v>
      </c>
      <c r="C282" s="3836" t="s">
        <v>1102</v>
      </c>
      <c r="D282" s="3836"/>
      <c r="E282" s="3866"/>
      <c r="F282" s="2237">
        <v>6518.2900000000027</v>
      </c>
      <c r="G282" s="3866"/>
      <c r="H282" s="5568">
        <v>6163.3799999999992</v>
      </c>
      <c r="I282" s="3867"/>
      <c r="J282" s="7310">
        <f t="shared" si="403"/>
        <v>12681.670000000002</v>
      </c>
      <c r="K282" s="3866"/>
      <c r="L282" s="5680">
        <v>4807.3</v>
      </c>
      <c r="M282" s="3868"/>
      <c r="N282" s="7301">
        <f t="shared" si="404"/>
        <v>17488.97</v>
      </c>
      <c r="O282" s="3866"/>
      <c r="P282" s="5837">
        <v>11289.410000000002</v>
      </c>
      <c r="Q282" s="3867"/>
      <c r="R282" s="7310">
        <f t="shared" si="405"/>
        <v>28778.380000000005</v>
      </c>
      <c r="S282" s="3866"/>
      <c r="T282" s="5893">
        <v>9006</v>
      </c>
      <c r="U282" s="3867"/>
      <c r="V282" s="7310">
        <f t="shared" si="406"/>
        <v>37784.380000000005</v>
      </c>
      <c r="W282" s="3866"/>
      <c r="X282" s="6007">
        <v>8734.58</v>
      </c>
      <c r="Y282" s="3868"/>
      <c r="Z282" s="7301">
        <f t="shared" si="407"/>
        <v>29029.990000000005</v>
      </c>
      <c r="AA282" s="7402"/>
      <c r="AB282" s="7302">
        <f t="shared" si="408"/>
        <v>46518.960000000006</v>
      </c>
      <c r="AC282" s="3866"/>
      <c r="AD282" s="6138">
        <v>5432.3600000000006</v>
      </c>
      <c r="AE282" s="3867"/>
      <c r="AF282" s="7310">
        <f t="shared" si="409"/>
        <v>51951.320000000007</v>
      </c>
      <c r="AG282" s="3866"/>
      <c r="AH282" s="6300">
        <v>5347</v>
      </c>
      <c r="AI282" s="3867"/>
      <c r="AJ282" s="7310">
        <f t="shared" si="453"/>
        <v>57298.320000000007</v>
      </c>
      <c r="AK282" s="3866"/>
      <c r="AL282" s="6549">
        <v>16629.539999999997</v>
      </c>
      <c r="AM282" s="3868"/>
      <c r="AN282" s="420">
        <f t="shared" si="449"/>
        <v>27408.899999999998</v>
      </c>
      <c r="AO282" s="3867"/>
      <c r="AP282" s="7310">
        <f t="shared" si="450"/>
        <v>73927.86</v>
      </c>
      <c r="AQ282" s="3866"/>
      <c r="AR282" s="6643">
        <v>11554.129999999997</v>
      </c>
      <c r="AS282" s="3867"/>
      <c r="AT282" s="7310">
        <f t="shared" si="454"/>
        <v>85481.989999999991</v>
      </c>
      <c r="AU282" s="3866"/>
      <c r="AV282" s="6815">
        <v>11769.44</v>
      </c>
      <c r="AW282" s="3867"/>
      <c r="AX282" s="7310">
        <f t="shared" si="455"/>
        <v>97251.43</v>
      </c>
      <c r="AY282" s="3866"/>
      <c r="AZ282" s="6957">
        <v>10566.97</v>
      </c>
      <c r="BA282" s="3868"/>
      <c r="BB282" s="5084">
        <f t="shared" si="451"/>
        <v>33890.54</v>
      </c>
      <c r="BC282" s="7402"/>
      <c r="BD282" s="7300">
        <f t="shared" si="452"/>
        <v>61299.44</v>
      </c>
      <c r="BE282" s="3867"/>
      <c r="BF282" s="7309">
        <f t="shared" si="456"/>
        <v>107818.4</v>
      </c>
      <c r="BG282" s="4152">
        <f t="shared" si="475"/>
        <v>0</v>
      </c>
      <c r="BH282" s="4152">
        <f t="shared" si="476"/>
        <v>0</v>
      </c>
      <c r="BI282" s="4152"/>
      <c r="BJ282" s="4152">
        <f t="shared" si="477"/>
        <v>0</v>
      </c>
      <c r="BK282" s="4152">
        <f t="shared" si="478"/>
        <v>0</v>
      </c>
    </row>
    <row r="283" spans="1:63" x14ac:dyDescent="0.25">
      <c r="A283" s="144"/>
      <c r="B283" s="3865" t="s">
        <v>822</v>
      </c>
      <c r="C283" s="3836" t="s">
        <v>962</v>
      </c>
      <c r="D283" s="3836"/>
      <c r="E283" s="3866"/>
      <c r="F283" s="2237"/>
      <c r="G283" s="3866"/>
      <c r="H283" s="5568"/>
      <c r="I283" s="3867"/>
      <c r="J283" s="7310">
        <f t="shared" si="403"/>
        <v>0</v>
      </c>
      <c r="K283" s="3866"/>
      <c r="L283" s="5680"/>
      <c r="M283" s="3868"/>
      <c r="N283" s="7301">
        <f t="shared" si="404"/>
        <v>0</v>
      </c>
      <c r="O283" s="3866"/>
      <c r="P283" s="5837"/>
      <c r="Q283" s="3867"/>
      <c r="R283" s="7310">
        <f t="shared" si="405"/>
        <v>0</v>
      </c>
      <c r="S283" s="3866"/>
      <c r="T283" s="5893">
        <v>42.09</v>
      </c>
      <c r="U283" s="3867"/>
      <c r="V283" s="7310">
        <f t="shared" si="406"/>
        <v>42.09</v>
      </c>
      <c r="W283" s="3866"/>
      <c r="X283" s="6007"/>
      <c r="Y283" s="3868"/>
      <c r="Z283" s="7301">
        <f t="shared" si="407"/>
        <v>42.09</v>
      </c>
      <c r="AA283" s="7402"/>
      <c r="AB283" s="7302">
        <f t="shared" si="408"/>
        <v>42.09</v>
      </c>
      <c r="AC283" s="3866"/>
      <c r="AD283" s="6138"/>
      <c r="AE283" s="3867"/>
      <c r="AF283" s="7310">
        <f t="shared" si="409"/>
        <v>42.09</v>
      </c>
      <c r="AG283" s="3866"/>
      <c r="AH283" s="6300">
        <v>21.774999999999999</v>
      </c>
      <c r="AI283" s="3867"/>
      <c r="AJ283" s="7310">
        <f t="shared" si="453"/>
        <v>63.865000000000002</v>
      </c>
      <c r="AK283" s="3866"/>
      <c r="AL283" s="6549"/>
      <c r="AM283" s="3868"/>
      <c r="AN283" s="420">
        <f t="shared" si="449"/>
        <v>21.774999999999999</v>
      </c>
      <c r="AO283" s="3867"/>
      <c r="AP283" s="7310">
        <f t="shared" si="450"/>
        <v>63.865000000000002</v>
      </c>
      <c r="AQ283" s="3866"/>
      <c r="AR283" s="6643"/>
      <c r="AS283" s="3867"/>
      <c r="AT283" s="7310">
        <f t="shared" si="454"/>
        <v>63.865000000000002</v>
      </c>
      <c r="AU283" s="3866"/>
      <c r="AV283" s="6815"/>
      <c r="AW283" s="3867"/>
      <c r="AX283" s="7310">
        <f t="shared" si="455"/>
        <v>63.865000000000002</v>
      </c>
      <c r="AY283" s="3866"/>
      <c r="AZ283" s="6957"/>
      <c r="BA283" s="3868"/>
      <c r="BB283" s="5084">
        <f t="shared" si="451"/>
        <v>0</v>
      </c>
      <c r="BC283" s="7402"/>
      <c r="BD283" s="7300">
        <f t="shared" si="452"/>
        <v>21.774999999999999</v>
      </c>
      <c r="BE283" s="3867"/>
      <c r="BF283" s="7309">
        <f t="shared" si="456"/>
        <v>63.865000000000002</v>
      </c>
      <c r="BG283" s="4152">
        <f t="shared" si="475"/>
        <v>0</v>
      </c>
      <c r="BH283" s="4152">
        <f t="shared" si="476"/>
        <v>0</v>
      </c>
      <c r="BI283" s="4152"/>
      <c r="BJ283" s="4152">
        <f t="shared" si="477"/>
        <v>0</v>
      </c>
      <c r="BK283" s="4152">
        <f t="shared" si="478"/>
        <v>0</v>
      </c>
    </row>
    <row r="284" spans="1:63" x14ac:dyDescent="0.25">
      <c r="A284" s="144"/>
      <c r="B284" s="3865" t="s">
        <v>822</v>
      </c>
      <c r="C284" s="3836" t="s">
        <v>963</v>
      </c>
      <c r="D284" s="3836"/>
      <c r="E284" s="3866"/>
      <c r="F284" s="2237"/>
      <c r="G284" s="3866"/>
      <c r="H284" s="5568">
        <v>304.10000000000002</v>
      </c>
      <c r="I284" s="3867"/>
      <c r="J284" s="7310">
        <f t="shared" si="403"/>
        <v>304.10000000000002</v>
      </c>
      <c r="K284" s="3866"/>
      <c r="L284" s="5680"/>
      <c r="M284" s="3868"/>
      <c r="N284" s="7301">
        <f t="shared" si="404"/>
        <v>304.10000000000002</v>
      </c>
      <c r="O284" s="3866"/>
      <c r="P284" s="5837"/>
      <c r="Q284" s="3867"/>
      <c r="R284" s="7310">
        <f t="shared" si="405"/>
        <v>304.10000000000002</v>
      </c>
      <c r="S284" s="3866"/>
      <c r="T284" s="5893">
        <v>259.26000000000005</v>
      </c>
      <c r="U284" s="3867"/>
      <c r="V284" s="7310">
        <f t="shared" si="406"/>
        <v>563.36000000000013</v>
      </c>
      <c r="W284" s="3866"/>
      <c r="X284" s="6007">
        <v>1347.9700000000003</v>
      </c>
      <c r="Y284" s="3868"/>
      <c r="Z284" s="7301">
        <f t="shared" si="407"/>
        <v>1607.2300000000002</v>
      </c>
      <c r="AA284" s="7402"/>
      <c r="AB284" s="7302">
        <f t="shared" si="408"/>
        <v>1911.3300000000004</v>
      </c>
      <c r="AC284" s="3866"/>
      <c r="AD284" s="6138">
        <v>161.35999999999999</v>
      </c>
      <c r="AE284" s="3867"/>
      <c r="AF284" s="7310">
        <f t="shared" si="409"/>
        <v>2072.6900000000005</v>
      </c>
      <c r="AG284" s="3866"/>
      <c r="AH284" s="6300">
        <v>50.216000000000001</v>
      </c>
      <c r="AI284" s="3867"/>
      <c r="AJ284" s="7310">
        <f t="shared" si="453"/>
        <v>2122.9060000000004</v>
      </c>
      <c r="AK284" s="3866"/>
      <c r="AL284" s="6549">
        <v>2016.5940000000001</v>
      </c>
      <c r="AM284" s="3868"/>
      <c r="AN284" s="420">
        <f t="shared" si="449"/>
        <v>2228.17</v>
      </c>
      <c r="AO284" s="3867"/>
      <c r="AP284" s="7310">
        <f t="shared" si="450"/>
        <v>4139.5</v>
      </c>
      <c r="AQ284" s="3866"/>
      <c r="AR284" s="6643"/>
      <c r="AS284" s="3867"/>
      <c r="AT284" s="7310">
        <f t="shared" si="454"/>
        <v>4139.5</v>
      </c>
      <c r="AU284" s="3866"/>
      <c r="AV284" s="6815"/>
      <c r="AW284" s="3867"/>
      <c r="AX284" s="7310">
        <f t="shared" si="455"/>
        <v>4139.5</v>
      </c>
      <c r="AY284" s="3866"/>
      <c r="AZ284" s="6957">
        <v>39.170999999999999</v>
      </c>
      <c r="BA284" s="3868"/>
      <c r="BB284" s="5084">
        <f t="shared" si="451"/>
        <v>39.170999999999999</v>
      </c>
      <c r="BC284" s="7402"/>
      <c r="BD284" s="7300">
        <f t="shared" si="452"/>
        <v>2267.3409999999999</v>
      </c>
      <c r="BE284" s="3867"/>
      <c r="BF284" s="7309">
        <f t="shared" si="456"/>
        <v>4178.6710000000003</v>
      </c>
      <c r="BG284" s="4152">
        <f t="shared" si="475"/>
        <v>0</v>
      </c>
      <c r="BH284" s="4152">
        <f t="shared" si="476"/>
        <v>0</v>
      </c>
      <c r="BI284" s="4152"/>
      <c r="BJ284" s="4152">
        <f t="shared" si="477"/>
        <v>0</v>
      </c>
      <c r="BK284" s="4152">
        <f t="shared" si="478"/>
        <v>0</v>
      </c>
    </row>
    <row r="285" spans="1:63" ht="15.75" thickBot="1" x14ac:dyDescent="0.3">
      <c r="A285" s="144"/>
      <c r="B285" s="3869" t="s">
        <v>822</v>
      </c>
      <c r="C285" s="3870" t="s">
        <v>1329</v>
      </c>
      <c r="D285" s="3870"/>
      <c r="E285" s="3871"/>
      <c r="F285" s="3217"/>
      <c r="G285" s="3871"/>
      <c r="H285" s="3217"/>
      <c r="I285" s="3872"/>
      <c r="J285" s="7310">
        <f t="shared" si="403"/>
        <v>0</v>
      </c>
      <c r="K285" s="3871"/>
      <c r="L285" s="3217">
        <v>579.20000000000005</v>
      </c>
      <c r="M285" s="3868"/>
      <c r="N285" s="7301">
        <f t="shared" si="404"/>
        <v>579.20000000000005</v>
      </c>
      <c r="O285" s="3871"/>
      <c r="P285" s="3217"/>
      <c r="Q285" s="3867"/>
      <c r="R285" s="7310">
        <f t="shared" si="405"/>
        <v>579.20000000000005</v>
      </c>
      <c r="S285" s="3871"/>
      <c r="T285" s="3217"/>
      <c r="U285" s="3867"/>
      <c r="V285" s="7310">
        <f t="shared" si="406"/>
        <v>579.20000000000005</v>
      </c>
      <c r="W285" s="3871"/>
      <c r="X285" s="3217"/>
      <c r="Y285" s="3868"/>
      <c r="Z285" s="7301">
        <f t="shared" si="407"/>
        <v>0</v>
      </c>
      <c r="AA285" s="7402"/>
      <c r="AB285" s="7302">
        <f t="shared" si="408"/>
        <v>579.20000000000005</v>
      </c>
      <c r="AC285" s="3871"/>
      <c r="AD285" s="3217">
        <v>439.52000000000004</v>
      </c>
      <c r="AE285" s="3867"/>
      <c r="AF285" s="7310">
        <f t="shared" si="409"/>
        <v>1018.72</v>
      </c>
      <c r="AG285" s="3871"/>
      <c r="AH285" s="3217"/>
      <c r="AI285" s="3867"/>
      <c r="AJ285" s="7310">
        <f t="shared" si="453"/>
        <v>1018.72</v>
      </c>
      <c r="AK285" s="3871"/>
      <c r="AL285" s="3217"/>
      <c r="AM285" s="3868"/>
      <c r="AN285" s="420">
        <f t="shared" si="449"/>
        <v>439.52000000000004</v>
      </c>
      <c r="AO285" s="3867"/>
      <c r="AP285" s="7310">
        <f t="shared" si="450"/>
        <v>1018.72</v>
      </c>
      <c r="AQ285" s="3871"/>
      <c r="AR285" s="3217"/>
      <c r="AS285" s="3867"/>
      <c r="AT285" s="7310">
        <f t="shared" si="454"/>
        <v>1018.72</v>
      </c>
      <c r="AU285" s="3871"/>
      <c r="AV285" s="3217"/>
      <c r="AW285" s="3867"/>
      <c r="AX285" s="7310">
        <f t="shared" si="455"/>
        <v>1018.72</v>
      </c>
      <c r="AY285" s="3871"/>
      <c r="AZ285" s="3217">
        <v>7.79</v>
      </c>
      <c r="BA285" s="3868"/>
      <c r="BB285" s="5084">
        <f t="shared" si="451"/>
        <v>7.79</v>
      </c>
      <c r="BC285" s="7402"/>
      <c r="BD285" s="7300">
        <f t="shared" si="452"/>
        <v>447.31000000000006</v>
      </c>
      <c r="BE285" s="3867"/>
      <c r="BF285" s="7309">
        <f t="shared" si="456"/>
        <v>1026.51</v>
      </c>
      <c r="BG285" s="4152">
        <f t="shared" si="475"/>
        <v>0</v>
      </c>
      <c r="BH285" s="4152">
        <f t="shared" si="476"/>
        <v>0</v>
      </c>
      <c r="BI285" s="4152"/>
      <c r="BJ285" s="4152">
        <f t="shared" si="477"/>
        <v>0</v>
      </c>
      <c r="BK285" s="4152">
        <f t="shared" si="478"/>
        <v>0</v>
      </c>
    </row>
    <row r="286" spans="1:63" x14ac:dyDescent="0.25">
      <c r="A286" s="144"/>
      <c r="B286" s="3153" t="s">
        <v>823</v>
      </c>
      <c r="C286" s="3835" t="s">
        <v>838</v>
      </c>
      <c r="D286" s="3835"/>
      <c r="E286" s="3873"/>
      <c r="F286" s="254">
        <v>125.75999999999999</v>
      </c>
      <c r="G286" s="3873"/>
      <c r="H286" s="254">
        <v>5044.369999999999</v>
      </c>
      <c r="I286" s="3874"/>
      <c r="J286" s="7310">
        <f t="shared" si="403"/>
        <v>5170.1299999999992</v>
      </c>
      <c r="K286" s="3873"/>
      <c r="L286" s="254">
        <v>2981.4500000000003</v>
      </c>
      <c r="M286" s="3868"/>
      <c r="N286" s="7301">
        <f t="shared" si="404"/>
        <v>8151.58</v>
      </c>
      <c r="O286" s="3873"/>
      <c r="P286" s="254">
        <v>3391.0299999999993</v>
      </c>
      <c r="Q286" s="3867"/>
      <c r="R286" s="7310">
        <f t="shared" si="405"/>
        <v>11542.609999999999</v>
      </c>
      <c r="S286" s="3873"/>
      <c r="T286" s="254">
        <v>3725.8200000000006</v>
      </c>
      <c r="U286" s="3867"/>
      <c r="V286" s="7310">
        <f t="shared" si="406"/>
        <v>15268.43</v>
      </c>
      <c r="W286" s="3873"/>
      <c r="X286" s="254">
        <v>95.160000000000011</v>
      </c>
      <c r="Y286" s="3868"/>
      <c r="Z286" s="7301">
        <f t="shared" si="407"/>
        <v>7212.01</v>
      </c>
      <c r="AA286" s="7402"/>
      <c r="AB286" s="7302">
        <f t="shared" si="408"/>
        <v>15363.59</v>
      </c>
      <c r="AC286" s="3873"/>
      <c r="AD286" s="254"/>
      <c r="AE286" s="3867"/>
      <c r="AF286" s="7310">
        <f t="shared" si="409"/>
        <v>15363.59</v>
      </c>
      <c r="AG286" s="3873"/>
      <c r="AH286" s="254">
        <v>125.74000000000001</v>
      </c>
      <c r="AI286" s="3867"/>
      <c r="AJ286" s="7310">
        <f t="shared" si="453"/>
        <v>15489.33</v>
      </c>
      <c r="AK286" s="3873"/>
      <c r="AL286" s="254"/>
      <c r="AM286" s="3868"/>
      <c r="AN286" s="420">
        <f t="shared" si="449"/>
        <v>125.74000000000001</v>
      </c>
      <c r="AO286" s="3867"/>
      <c r="AP286" s="7310">
        <f t="shared" si="450"/>
        <v>15489.33</v>
      </c>
      <c r="AQ286" s="3873"/>
      <c r="AR286" s="254">
        <v>1271.1399999999999</v>
      </c>
      <c r="AS286" s="3867"/>
      <c r="AT286" s="7310">
        <f t="shared" si="454"/>
        <v>16760.47</v>
      </c>
      <c r="AU286" s="3873"/>
      <c r="AV286" s="254">
        <v>1591.26</v>
      </c>
      <c r="AW286" s="3867"/>
      <c r="AX286" s="7310">
        <f t="shared" si="455"/>
        <v>18351.73</v>
      </c>
      <c r="AY286" s="3873"/>
      <c r="AZ286" s="254">
        <v>1645.3</v>
      </c>
      <c r="BA286" s="3868"/>
      <c r="BB286" s="5084">
        <f t="shared" si="451"/>
        <v>4507.7</v>
      </c>
      <c r="BC286" s="7402"/>
      <c r="BD286" s="7300">
        <f t="shared" si="452"/>
        <v>4633.4399999999996</v>
      </c>
      <c r="BE286" s="3867"/>
      <c r="BF286" s="7309">
        <f t="shared" si="456"/>
        <v>19997.03</v>
      </c>
      <c r="BG286" s="4152">
        <f t="shared" si="475"/>
        <v>0</v>
      </c>
      <c r="BH286" s="4152">
        <f t="shared" si="476"/>
        <v>0</v>
      </c>
      <c r="BI286" s="4152"/>
      <c r="BJ286" s="4152">
        <f t="shared" si="477"/>
        <v>0</v>
      </c>
      <c r="BK286" s="4152">
        <f t="shared" si="478"/>
        <v>0</v>
      </c>
    </row>
    <row r="287" spans="1:63" x14ac:dyDescent="0.25">
      <c r="A287" s="90"/>
      <c r="B287" s="797" t="s">
        <v>823</v>
      </c>
      <c r="C287" s="3845" t="s">
        <v>847</v>
      </c>
      <c r="D287" s="3845"/>
      <c r="E287" s="3875"/>
      <c r="F287" s="3789">
        <v>11535.380000000005</v>
      </c>
      <c r="G287" s="3875"/>
      <c r="H287" s="5572">
        <v>5315.61</v>
      </c>
      <c r="I287" s="3876"/>
      <c r="J287" s="7310">
        <f t="shared" si="403"/>
        <v>16850.990000000005</v>
      </c>
      <c r="K287" s="3875"/>
      <c r="L287" s="5692">
        <v>8540.5599999999977</v>
      </c>
      <c r="M287" s="3868"/>
      <c r="N287" s="7301">
        <f t="shared" si="404"/>
        <v>25391.550000000003</v>
      </c>
      <c r="O287" s="3875"/>
      <c r="P287" s="5849">
        <v>12128.730000000001</v>
      </c>
      <c r="Q287" s="3867"/>
      <c r="R287" s="7310">
        <f t="shared" si="405"/>
        <v>37520.280000000006</v>
      </c>
      <c r="S287" s="3875"/>
      <c r="T287" s="5900">
        <v>7920.03</v>
      </c>
      <c r="U287" s="3867"/>
      <c r="V287" s="7310">
        <f t="shared" si="406"/>
        <v>45440.310000000005</v>
      </c>
      <c r="W287" s="3875"/>
      <c r="X287" s="6015">
        <v>7240.1899999999978</v>
      </c>
      <c r="Y287" s="3868"/>
      <c r="Z287" s="7301">
        <f t="shared" si="407"/>
        <v>27288.95</v>
      </c>
      <c r="AA287" s="7402"/>
      <c r="AB287" s="7302">
        <f t="shared" si="408"/>
        <v>52680.5</v>
      </c>
      <c r="AC287" s="3875"/>
      <c r="AD287" s="6148">
        <v>11371.330000000002</v>
      </c>
      <c r="AE287" s="3867"/>
      <c r="AF287" s="7310">
        <f t="shared" si="409"/>
        <v>64051.83</v>
      </c>
      <c r="AG287" s="3875"/>
      <c r="AH287" s="6310">
        <v>11713.91</v>
      </c>
      <c r="AI287" s="3867"/>
      <c r="AJ287" s="7310">
        <f t="shared" si="453"/>
        <v>75765.740000000005</v>
      </c>
      <c r="AK287" s="3875"/>
      <c r="AL287" s="6556">
        <v>8576.4800000000014</v>
      </c>
      <c r="AM287" s="3868"/>
      <c r="AN287" s="420">
        <f t="shared" si="449"/>
        <v>31661.72</v>
      </c>
      <c r="AO287" s="3867"/>
      <c r="AP287" s="7310">
        <f t="shared" si="450"/>
        <v>84342.22</v>
      </c>
      <c r="AQ287" s="3875"/>
      <c r="AR287" s="6655">
        <v>13169.599000000004</v>
      </c>
      <c r="AS287" s="3867"/>
      <c r="AT287" s="7310">
        <f t="shared" si="454"/>
        <v>97511.819000000003</v>
      </c>
      <c r="AU287" s="3875"/>
      <c r="AV287" s="6821">
        <v>5468.92</v>
      </c>
      <c r="AW287" s="3867"/>
      <c r="AX287" s="7310">
        <f t="shared" si="455"/>
        <v>102980.739</v>
      </c>
      <c r="AY287" s="3875"/>
      <c r="AZ287" s="6964">
        <v>13334.01</v>
      </c>
      <c r="BA287" s="3868"/>
      <c r="BB287" s="5084">
        <f t="shared" si="451"/>
        <v>31972.529000000002</v>
      </c>
      <c r="BC287" s="7402"/>
      <c r="BD287" s="7300">
        <f t="shared" si="452"/>
        <v>63634.249000000003</v>
      </c>
      <c r="BE287" s="3867"/>
      <c r="BF287" s="7309">
        <f t="shared" si="456"/>
        <v>116314.749</v>
      </c>
      <c r="BG287" s="4152">
        <f t="shared" si="475"/>
        <v>0</v>
      </c>
      <c r="BH287" s="4152">
        <f t="shared" si="476"/>
        <v>0</v>
      </c>
      <c r="BI287" s="4152"/>
      <c r="BJ287" s="4152">
        <f t="shared" si="477"/>
        <v>0</v>
      </c>
      <c r="BK287" s="4152">
        <f t="shared" si="478"/>
        <v>0</v>
      </c>
    </row>
    <row r="288" spans="1:63" x14ac:dyDescent="0.25">
      <c r="A288" s="144"/>
      <c r="B288" s="797" t="s">
        <v>823</v>
      </c>
      <c r="C288" s="3845" t="s">
        <v>1102</v>
      </c>
      <c r="D288" s="3845"/>
      <c r="E288" s="3875"/>
      <c r="F288" s="3789">
        <v>8493.3499999999985</v>
      </c>
      <c r="G288" s="3875"/>
      <c r="H288" s="5572">
        <v>10114.569999999998</v>
      </c>
      <c r="I288" s="3876"/>
      <c r="J288" s="7310">
        <f t="shared" si="403"/>
        <v>18607.919999999998</v>
      </c>
      <c r="K288" s="3875"/>
      <c r="L288" s="5692">
        <v>9903.4400000000023</v>
      </c>
      <c r="M288" s="3868"/>
      <c r="N288" s="7301">
        <f t="shared" si="404"/>
        <v>28511.360000000001</v>
      </c>
      <c r="O288" s="3875"/>
      <c r="P288" s="5849">
        <v>7580.22</v>
      </c>
      <c r="Q288" s="3867"/>
      <c r="R288" s="7310">
        <f t="shared" si="405"/>
        <v>36091.58</v>
      </c>
      <c r="S288" s="3875"/>
      <c r="T288" s="5900">
        <v>9293.1999999999971</v>
      </c>
      <c r="U288" s="3867"/>
      <c r="V288" s="7310">
        <f t="shared" si="406"/>
        <v>45384.78</v>
      </c>
      <c r="W288" s="3875"/>
      <c r="X288" s="6015">
        <v>3702.84</v>
      </c>
      <c r="Y288" s="3868"/>
      <c r="Z288" s="7301">
        <f t="shared" si="407"/>
        <v>20576.259999999998</v>
      </c>
      <c r="AA288" s="7402"/>
      <c r="AB288" s="7302">
        <f t="shared" si="408"/>
        <v>49087.619999999995</v>
      </c>
      <c r="AC288" s="3875"/>
      <c r="AD288" s="6148">
        <v>4872.78</v>
      </c>
      <c r="AE288" s="3867"/>
      <c r="AF288" s="7310">
        <f t="shared" si="409"/>
        <v>53960.399999999994</v>
      </c>
      <c r="AG288" s="3875"/>
      <c r="AH288" s="6310">
        <v>7003.2529999999997</v>
      </c>
      <c r="AI288" s="3867"/>
      <c r="AJ288" s="7310">
        <f t="shared" si="453"/>
        <v>60963.652999999991</v>
      </c>
      <c r="AK288" s="3875"/>
      <c r="AL288" s="6556">
        <v>7532.5499999999993</v>
      </c>
      <c r="AM288" s="3868"/>
      <c r="AN288" s="420">
        <f t="shared" si="449"/>
        <v>19408.582999999999</v>
      </c>
      <c r="AO288" s="3867"/>
      <c r="AP288" s="7310">
        <f t="shared" si="450"/>
        <v>68496.202999999994</v>
      </c>
      <c r="AQ288" s="3875"/>
      <c r="AR288" s="6655">
        <v>15680.570000000005</v>
      </c>
      <c r="AS288" s="3867"/>
      <c r="AT288" s="7310">
        <f t="shared" si="454"/>
        <v>84176.773000000001</v>
      </c>
      <c r="AU288" s="3875"/>
      <c r="AV288" s="6821">
        <v>8051.41</v>
      </c>
      <c r="AW288" s="3867"/>
      <c r="AX288" s="7310">
        <f t="shared" si="455"/>
        <v>92228.183000000005</v>
      </c>
      <c r="AY288" s="3875"/>
      <c r="AZ288" s="6964">
        <v>9181.06</v>
      </c>
      <c r="BA288" s="3868"/>
      <c r="BB288" s="5084">
        <f t="shared" si="451"/>
        <v>32913.040000000001</v>
      </c>
      <c r="BC288" s="7402"/>
      <c r="BD288" s="7300">
        <f t="shared" si="452"/>
        <v>52321.623</v>
      </c>
      <c r="BE288" s="3867"/>
      <c r="BF288" s="7309">
        <f t="shared" si="456"/>
        <v>101409.243</v>
      </c>
      <c r="BG288" s="4152">
        <f t="shared" si="475"/>
        <v>0</v>
      </c>
      <c r="BH288" s="4152">
        <f t="shared" si="476"/>
        <v>0</v>
      </c>
      <c r="BI288" s="4152"/>
      <c r="BJ288" s="4152">
        <f t="shared" si="477"/>
        <v>0</v>
      </c>
      <c r="BK288" s="4152">
        <f t="shared" si="478"/>
        <v>0</v>
      </c>
    </row>
    <row r="289" spans="1:63" x14ac:dyDescent="0.25">
      <c r="A289" s="144"/>
      <c r="B289" s="797" t="s">
        <v>823</v>
      </c>
      <c r="C289" s="3845" t="s">
        <v>962</v>
      </c>
      <c r="D289" s="3845"/>
      <c r="E289" s="3875"/>
      <c r="F289" s="3789"/>
      <c r="G289" s="3875"/>
      <c r="H289" s="5572"/>
      <c r="I289" s="3876"/>
      <c r="J289" s="7310">
        <f t="shared" si="403"/>
        <v>0</v>
      </c>
      <c r="K289" s="3875"/>
      <c r="L289" s="5692"/>
      <c r="M289" s="3868"/>
      <c r="N289" s="7301">
        <f t="shared" si="404"/>
        <v>0</v>
      </c>
      <c r="O289" s="3875"/>
      <c r="P289" s="5849"/>
      <c r="Q289" s="3867"/>
      <c r="R289" s="7310">
        <f t="shared" si="405"/>
        <v>0</v>
      </c>
      <c r="S289" s="3875"/>
      <c r="T289" s="5900"/>
      <c r="U289" s="3867"/>
      <c r="V289" s="7310">
        <f t="shared" si="406"/>
        <v>0</v>
      </c>
      <c r="W289" s="3875"/>
      <c r="X289" s="6015"/>
      <c r="Y289" s="3868"/>
      <c r="Z289" s="7301">
        <f t="shared" si="407"/>
        <v>0</v>
      </c>
      <c r="AA289" s="7402"/>
      <c r="AB289" s="7302">
        <f t="shared" si="408"/>
        <v>0</v>
      </c>
      <c r="AC289" s="3875"/>
      <c r="AD289" s="6148">
        <v>64.02</v>
      </c>
      <c r="AE289" s="3867"/>
      <c r="AF289" s="7310">
        <f t="shared" si="409"/>
        <v>64.02</v>
      </c>
      <c r="AG289" s="3875"/>
      <c r="AH289" s="6310"/>
      <c r="AI289" s="3867"/>
      <c r="AJ289" s="7310">
        <f t="shared" si="453"/>
        <v>64.02</v>
      </c>
      <c r="AK289" s="3875"/>
      <c r="AL289" s="6556">
        <v>16.309000000000001</v>
      </c>
      <c r="AM289" s="3868"/>
      <c r="AN289" s="420">
        <f t="shared" si="449"/>
        <v>80.328999999999994</v>
      </c>
      <c r="AO289" s="3867"/>
      <c r="AP289" s="7310">
        <f t="shared" si="450"/>
        <v>80.328999999999994</v>
      </c>
      <c r="AQ289" s="3875"/>
      <c r="AR289" s="6655"/>
      <c r="AS289" s="3867"/>
      <c r="AT289" s="7310">
        <f t="shared" si="454"/>
        <v>80.328999999999994</v>
      </c>
      <c r="AU289" s="3875"/>
      <c r="AV289" s="6821"/>
      <c r="AW289" s="3867"/>
      <c r="AX289" s="7310">
        <f t="shared" si="455"/>
        <v>80.328999999999994</v>
      </c>
      <c r="AY289" s="3875"/>
      <c r="AZ289" s="6964"/>
      <c r="BA289" s="3868"/>
      <c r="BB289" s="5084">
        <f t="shared" si="451"/>
        <v>0</v>
      </c>
      <c r="BC289" s="7402"/>
      <c r="BD289" s="7300">
        <f t="shared" si="452"/>
        <v>80.328999999999994</v>
      </c>
      <c r="BE289" s="3867"/>
      <c r="BF289" s="7309">
        <f t="shared" si="456"/>
        <v>80.328999999999994</v>
      </c>
      <c r="BG289" s="4152">
        <f t="shared" si="475"/>
        <v>0</v>
      </c>
      <c r="BH289" s="4152">
        <f t="shared" si="476"/>
        <v>0</v>
      </c>
      <c r="BI289" s="4152"/>
      <c r="BJ289" s="4152">
        <f t="shared" si="477"/>
        <v>0</v>
      </c>
      <c r="BK289" s="4152">
        <f t="shared" si="478"/>
        <v>0</v>
      </c>
    </row>
    <row r="290" spans="1:63" ht="15.75" thickBot="1" x14ac:dyDescent="0.3">
      <c r="A290" s="90"/>
      <c r="B290" s="4286" t="s">
        <v>823</v>
      </c>
      <c r="C290" s="5148" t="s">
        <v>963</v>
      </c>
      <c r="D290" s="5148"/>
      <c r="E290" s="5149"/>
      <c r="F290" s="5150">
        <v>1644.2</v>
      </c>
      <c r="G290" s="5149"/>
      <c r="H290" s="5150">
        <v>562.61999999999989</v>
      </c>
      <c r="I290" s="5151"/>
      <c r="J290" s="5152">
        <f t="shared" ref="J290:J359" si="479">F290+H290</f>
        <v>2206.8199999999997</v>
      </c>
      <c r="K290" s="5149"/>
      <c r="L290" s="5150"/>
      <c r="M290" s="5153"/>
      <c r="N290" s="6696">
        <f t="shared" ref="N290:N359" si="480">J290+L290</f>
        <v>2206.8199999999997</v>
      </c>
      <c r="O290" s="5149"/>
      <c r="P290" s="5150"/>
      <c r="Q290" s="5151"/>
      <c r="R290" s="5152">
        <f t="shared" ref="R290:R359" si="481">N290+P290</f>
        <v>2206.8199999999997</v>
      </c>
      <c r="S290" s="5149"/>
      <c r="T290" s="5150"/>
      <c r="U290" s="5151"/>
      <c r="V290" s="5152">
        <f t="shared" ref="V290:V359" si="482">R290+T290</f>
        <v>2206.8199999999997</v>
      </c>
      <c r="W290" s="5149"/>
      <c r="X290" s="5150">
        <v>1176.4400000000003</v>
      </c>
      <c r="Y290" s="5153"/>
      <c r="Z290" s="6696">
        <f t="shared" ref="Z290:Z359" si="483">P290+T290+X290</f>
        <v>1176.4400000000003</v>
      </c>
      <c r="AA290" s="7403"/>
      <c r="AB290" s="7410">
        <f t="shared" ref="AB290:AB359" si="484">N290+Z290</f>
        <v>3383.26</v>
      </c>
      <c r="AC290" s="5149"/>
      <c r="AD290" s="5150"/>
      <c r="AE290" s="5151"/>
      <c r="AF290" s="5152">
        <f t="shared" ref="AF290:AF359" si="485">AB290+AD290</f>
        <v>3383.26</v>
      </c>
      <c r="AG290" s="5149"/>
      <c r="AH290" s="5150"/>
      <c r="AI290" s="5151"/>
      <c r="AJ290" s="5152">
        <f t="shared" si="453"/>
        <v>3383.26</v>
      </c>
      <c r="AK290" s="5149"/>
      <c r="AL290" s="5150">
        <v>44.374000000000002</v>
      </c>
      <c r="AM290" s="5153"/>
      <c r="AN290" s="5154">
        <f t="shared" si="449"/>
        <v>44.374000000000002</v>
      </c>
      <c r="AO290" s="5151"/>
      <c r="AP290" s="5152">
        <f t="shared" si="450"/>
        <v>3427.634</v>
      </c>
      <c r="AQ290" s="5149"/>
      <c r="AR290" s="5150">
        <v>1526.0200000000002</v>
      </c>
      <c r="AS290" s="5151"/>
      <c r="AT290" s="5152">
        <f t="shared" si="454"/>
        <v>4953.6540000000005</v>
      </c>
      <c r="AU290" s="5149"/>
      <c r="AV290" s="5150">
        <v>65.78</v>
      </c>
      <c r="AW290" s="3867"/>
      <c r="AX290" s="7310">
        <f t="shared" si="455"/>
        <v>5019.4340000000002</v>
      </c>
      <c r="AY290" s="5149"/>
      <c r="AZ290" s="5150">
        <v>19.645</v>
      </c>
      <c r="BA290" s="3868"/>
      <c r="BB290" s="5084">
        <f t="shared" si="451"/>
        <v>1611.4450000000002</v>
      </c>
      <c r="BC290" s="7402"/>
      <c r="BD290" s="7300">
        <f t="shared" si="452"/>
        <v>1655.8190000000002</v>
      </c>
      <c r="BE290" s="3867"/>
      <c r="BF290" s="7309">
        <f t="shared" si="456"/>
        <v>5039.0790000000006</v>
      </c>
      <c r="BG290" s="4152">
        <f t="shared" si="475"/>
        <v>0</v>
      </c>
      <c r="BH290" s="4152">
        <f t="shared" si="476"/>
        <v>0</v>
      </c>
      <c r="BI290" s="4152"/>
      <c r="BJ290" s="4152">
        <f t="shared" si="477"/>
        <v>0</v>
      </c>
      <c r="BK290" s="4152">
        <f t="shared" si="478"/>
        <v>0</v>
      </c>
    </row>
    <row r="291" spans="1:63" x14ac:dyDescent="0.25">
      <c r="A291" s="90"/>
      <c r="B291" s="3153" t="s">
        <v>824</v>
      </c>
      <c r="C291" s="3835" t="s">
        <v>838</v>
      </c>
      <c r="D291" s="3835"/>
      <c r="E291" s="3873"/>
      <c r="F291" s="254"/>
      <c r="G291" s="3873"/>
      <c r="H291" s="254">
        <v>1775.9399999999998</v>
      </c>
      <c r="I291" s="3874"/>
      <c r="J291" s="349">
        <f t="shared" si="479"/>
        <v>1775.9399999999998</v>
      </c>
      <c r="K291" s="3873"/>
      <c r="L291" s="254">
        <v>1770.86</v>
      </c>
      <c r="M291" s="6699"/>
      <c r="N291" s="586">
        <f t="shared" si="480"/>
        <v>3546.7999999999997</v>
      </c>
      <c r="O291" s="3873"/>
      <c r="P291" s="254"/>
      <c r="Q291" s="3874"/>
      <c r="R291" s="349">
        <f t="shared" si="481"/>
        <v>3546.7999999999997</v>
      </c>
      <c r="S291" s="3873"/>
      <c r="T291" s="254"/>
      <c r="U291" s="3874"/>
      <c r="V291" s="349">
        <f t="shared" si="482"/>
        <v>3546.7999999999997</v>
      </c>
      <c r="W291" s="3873"/>
      <c r="X291" s="254">
        <v>1043.68</v>
      </c>
      <c r="Y291" s="6699"/>
      <c r="Z291" s="586">
        <f t="shared" si="483"/>
        <v>1043.68</v>
      </c>
      <c r="AA291" s="7411"/>
      <c r="AB291" s="975">
        <f t="shared" si="484"/>
        <v>4590.4799999999996</v>
      </c>
      <c r="AC291" s="3873"/>
      <c r="AD291" s="254"/>
      <c r="AE291" s="3874"/>
      <c r="AF291" s="349">
        <f t="shared" si="485"/>
        <v>4590.4799999999996</v>
      </c>
      <c r="AG291" s="3873"/>
      <c r="AH291" s="254"/>
      <c r="AI291" s="3874"/>
      <c r="AJ291" s="349">
        <f t="shared" si="453"/>
        <v>4590.4799999999996</v>
      </c>
      <c r="AK291" s="3873"/>
      <c r="AL291" s="254">
        <v>61.62</v>
      </c>
      <c r="AM291" s="6699"/>
      <c r="AN291" s="1000">
        <f t="shared" si="449"/>
        <v>61.62</v>
      </c>
      <c r="AO291" s="3874"/>
      <c r="AP291" s="349">
        <f t="shared" si="450"/>
        <v>4652.0999999999995</v>
      </c>
      <c r="AQ291" s="3873"/>
      <c r="AR291" s="254">
        <v>7.73</v>
      </c>
      <c r="AS291" s="3874"/>
      <c r="AT291" s="41">
        <f t="shared" si="454"/>
        <v>4659.829999999999</v>
      </c>
      <c r="AU291" s="3873"/>
      <c r="AV291" s="254"/>
      <c r="AW291" s="3867"/>
      <c r="AX291" s="7310">
        <f t="shared" si="455"/>
        <v>4659.829999999999</v>
      </c>
      <c r="AY291" s="3873"/>
      <c r="AZ291" s="254"/>
      <c r="BA291" s="3868"/>
      <c r="BB291" s="5084">
        <f t="shared" si="451"/>
        <v>7.73</v>
      </c>
      <c r="BC291" s="7402"/>
      <c r="BD291" s="7300">
        <f t="shared" si="452"/>
        <v>69.349999999999994</v>
      </c>
      <c r="BE291" s="3867"/>
      <c r="BF291" s="7309">
        <f t="shared" si="456"/>
        <v>4659.829999999999</v>
      </c>
      <c r="BG291" s="4152">
        <f t="shared" si="475"/>
        <v>0</v>
      </c>
      <c r="BH291" s="4152">
        <f t="shared" si="476"/>
        <v>0</v>
      </c>
      <c r="BI291" s="4152"/>
      <c r="BJ291" s="4152">
        <f t="shared" si="477"/>
        <v>0</v>
      </c>
      <c r="BK291" s="4152">
        <f t="shared" si="478"/>
        <v>0</v>
      </c>
    </row>
    <row r="292" spans="1:63" x14ac:dyDescent="0.25">
      <c r="A292" s="90"/>
      <c r="B292" s="5244" t="s">
        <v>824</v>
      </c>
      <c r="C292" s="6609" t="s">
        <v>847</v>
      </c>
      <c r="D292" s="6609"/>
      <c r="E292" s="6697"/>
      <c r="F292" s="6698">
        <v>40.409999999999997</v>
      </c>
      <c r="G292" s="6697"/>
      <c r="H292" s="6698">
        <v>2023.8499999999997</v>
      </c>
      <c r="I292" s="6610"/>
      <c r="J292" s="6366">
        <f t="shared" si="479"/>
        <v>2064.2599999999998</v>
      </c>
      <c r="K292" s="6697"/>
      <c r="L292" s="6698"/>
      <c r="M292" s="6694"/>
      <c r="N292" s="6367">
        <f t="shared" si="480"/>
        <v>2064.2599999999998</v>
      </c>
      <c r="O292" s="6697"/>
      <c r="P292" s="6698"/>
      <c r="Q292" s="6610"/>
      <c r="R292" s="6366">
        <f t="shared" si="481"/>
        <v>2064.2599999999998</v>
      </c>
      <c r="S292" s="6697"/>
      <c r="T292" s="6698">
        <v>2510.62</v>
      </c>
      <c r="U292" s="6610"/>
      <c r="V292" s="6366">
        <f t="shared" si="482"/>
        <v>4574.8799999999992</v>
      </c>
      <c r="W292" s="6697"/>
      <c r="X292" s="6698">
        <v>3095.3999999999996</v>
      </c>
      <c r="Y292" s="6694"/>
      <c r="Z292" s="6367">
        <f t="shared" si="483"/>
        <v>5606.0199999999995</v>
      </c>
      <c r="AA292" s="7412"/>
      <c r="AB292" s="6895">
        <f t="shared" si="484"/>
        <v>7670.2799999999988</v>
      </c>
      <c r="AC292" s="6697"/>
      <c r="AD292" s="6698">
        <v>2754.5300000000007</v>
      </c>
      <c r="AE292" s="6610"/>
      <c r="AF292" s="6366">
        <f t="shared" si="485"/>
        <v>10424.81</v>
      </c>
      <c r="AG292" s="6697"/>
      <c r="AH292" s="6698">
        <v>4186.42</v>
      </c>
      <c r="AI292" s="6610"/>
      <c r="AJ292" s="6366">
        <f t="shared" si="453"/>
        <v>14611.23</v>
      </c>
      <c r="AK292" s="6697"/>
      <c r="AL292" s="6698"/>
      <c r="AM292" s="6694"/>
      <c r="AN292" s="6695">
        <f t="shared" si="449"/>
        <v>6940.9500000000007</v>
      </c>
      <c r="AO292" s="6610"/>
      <c r="AP292" s="6366">
        <f t="shared" si="450"/>
        <v>14611.23</v>
      </c>
      <c r="AQ292" s="6697"/>
      <c r="AR292" s="6698"/>
      <c r="AS292" s="6610"/>
      <c r="AT292" s="5174">
        <f t="shared" si="454"/>
        <v>14611.23</v>
      </c>
      <c r="AU292" s="6697"/>
      <c r="AV292" s="6698">
        <v>2264.75</v>
      </c>
      <c r="AW292" s="3867"/>
      <c r="AX292" s="7310">
        <f t="shared" si="455"/>
        <v>16875.98</v>
      </c>
      <c r="AY292" s="6697"/>
      <c r="AZ292" s="6698">
        <v>93.402000000000001</v>
      </c>
      <c r="BA292" s="3868"/>
      <c r="BB292" s="5084">
        <f t="shared" si="451"/>
        <v>2358.152</v>
      </c>
      <c r="BC292" s="7402"/>
      <c r="BD292" s="7300">
        <f t="shared" si="452"/>
        <v>9299.1020000000008</v>
      </c>
      <c r="BE292" s="3867"/>
      <c r="BF292" s="7309">
        <f t="shared" si="456"/>
        <v>16969.381999999998</v>
      </c>
      <c r="BG292" s="4152">
        <f t="shared" si="475"/>
        <v>0</v>
      </c>
      <c r="BH292" s="4152">
        <f t="shared" si="476"/>
        <v>0</v>
      </c>
      <c r="BI292" s="4152"/>
      <c r="BJ292" s="4152">
        <f t="shared" si="477"/>
        <v>0</v>
      </c>
      <c r="BK292" s="4152">
        <f t="shared" si="478"/>
        <v>0</v>
      </c>
    </row>
    <row r="293" spans="1:63" x14ac:dyDescent="0.25">
      <c r="A293" s="144"/>
      <c r="B293" s="5244" t="s">
        <v>824</v>
      </c>
      <c r="C293" s="6609" t="s">
        <v>1102</v>
      </c>
      <c r="D293" s="6609"/>
      <c r="E293" s="6697"/>
      <c r="F293" s="6698">
        <v>10462.859999999995</v>
      </c>
      <c r="G293" s="6697"/>
      <c r="H293" s="6698">
        <v>9649.5299999999952</v>
      </c>
      <c r="I293" s="6610"/>
      <c r="J293" s="6366">
        <f t="shared" si="479"/>
        <v>20112.389999999992</v>
      </c>
      <c r="K293" s="6697"/>
      <c r="L293" s="6698">
        <v>11997.7</v>
      </c>
      <c r="M293" s="6694"/>
      <c r="N293" s="6367">
        <f t="shared" si="480"/>
        <v>32110.089999999993</v>
      </c>
      <c r="O293" s="6697"/>
      <c r="P293" s="6698">
        <v>70.990000000000009</v>
      </c>
      <c r="Q293" s="6610"/>
      <c r="R293" s="6366">
        <f t="shared" si="481"/>
        <v>32181.079999999994</v>
      </c>
      <c r="S293" s="6697"/>
      <c r="T293" s="6698">
        <v>10838.53</v>
      </c>
      <c r="U293" s="6610"/>
      <c r="V293" s="6366">
        <f t="shared" si="482"/>
        <v>43019.609999999993</v>
      </c>
      <c r="W293" s="6697"/>
      <c r="X293" s="6698">
        <v>8827.9800000000014</v>
      </c>
      <c r="Y293" s="6694"/>
      <c r="Z293" s="6367">
        <f t="shared" si="483"/>
        <v>19737.5</v>
      </c>
      <c r="AA293" s="7412"/>
      <c r="AB293" s="6895">
        <f t="shared" si="484"/>
        <v>51847.59</v>
      </c>
      <c r="AC293" s="6697"/>
      <c r="AD293" s="6698">
        <v>5513.7300000000005</v>
      </c>
      <c r="AE293" s="6610"/>
      <c r="AF293" s="6366">
        <f t="shared" si="485"/>
        <v>57361.32</v>
      </c>
      <c r="AG293" s="6697"/>
      <c r="AH293" s="6698">
        <v>6780.8000000000011</v>
      </c>
      <c r="AI293" s="6610"/>
      <c r="AJ293" s="6366">
        <f t="shared" si="453"/>
        <v>64142.12</v>
      </c>
      <c r="AK293" s="6697"/>
      <c r="AL293" s="6698">
        <v>6591.4400000000005</v>
      </c>
      <c r="AM293" s="6694"/>
      <c r="AN293" s="6695">
        <f t="shared" si="449"/>
        <v>18885.97</v>
      </c>
      <c r="AO293" s="6610"/>
      <c r="AP293" s="6366">
        <f t="shared" si="450"/>
        <v>70733.56</v>
      </c>
      <c r="AQ293" s="6697"/>
      <c r="AR293" s="6698">
        <v>61.52</v>
      </c>
      <c r="AS293" s="6610"/>
      <c r="AT293" s="5174">
        <f t="shared" si="454"/>
        <v>70795.08</v>
      </c>
      <c r="AU293" s="6697"/>
      <c r="AV293" s="6698">
        <v>12021.11</v>
      </c>
      <c r="AW293" s="3867"/>
      <c r="AX293" s="7310">
        <f>AT293+AV293</f>
        <v>82816.19</v>
      </c>
      <c r="AY293" s="6697"/>
      <c r="AZ293" s="6698">
        <v>5845.46</v>
      </c>
      <c r="BA293" s="3868"/>
      <c r="BB293" s="5084">
        <f t="shared" si="451"/>
        <v>17928.09</v>
      </c>
      <c r="BC293" s="7402"/>
      <c r="BD293" s="7300">
        <f t="shared" si="452"/>
        <v>36814.06</v>
      </c>
      <c r="BE293" s="3867"/>
      <c r="BF293" s="7309">
        <f t="shared" si="456"/>
        <v>88661.650000000009</v>
      </c>
      <c r="BG293" s="4152">
        <f t="shared" si="475"/>
        <v>0</v>
      </c>
      <c r="BH293" s="4152">
        <f t="shared" si="476"/>
        <v>0</v>
      </c>
      <c r="BI293" s="4152"/>
      <c r="BJ293" s="4152">
        <f t="shared" si="477"/>
        <v>0</v>
      </c>
      <c r="BK293" s="4152">
        <f t="shared" si="478"/>
        <v>0</v>
      </c>
    </row>
    <row r="294" spans="1:63" ht="15.75" thickBot="1" x14ac:dyDescent="0.3">
      <c r="A294" s="144"/>
      <c r="B294" s="4286" t="s">
        <v>824</v>
      </c>
      <c r="C294" s="5148" t="s">
        <v>963</v>
      </c>
      <c r="D294" s="5148"/>
      <c r="E294" s="5149"/>
      <c r="F294" s="5150"/>
      <c r="G294" s="5149"/>
      <c r="H294" s="5150"/>
      <c r="I294" s="5151"/>
      <c r="J294" s="5152">
        <f t="shared" si="479"/>
        <v>0</v>
      </c>
      <c r="K294" s="5149"/>
      <c r="L294" s="5150"/>
      <c r="M294" s="5153"/>
      <c r="N294" s="6696">
        <f t="shared" si="480"/>
        <v>0</v>
      </c>
      <c r="O294" s="5149"/>
      <c r="P294" s="5150"/>
      <c r="Q294" s="5151"/>
      <c r="R294" s="5152">
        <f t="shared" si="481"/>
        <v>0</v>
      </c>
      <c r="S294" s="5149"/>
      <c r="T294" s="5150">
        <v>1183.4699999999998</v>
      </c>
      <c r="U294" s="5151"/>
      <c r="V294" s="5152">
        <f t="shared" si="482"/>
        <v>1183.4699999999998</v>
      </c>
      <c r="W294" s="5149"/>
      <c r="X294" s="5150"/>
      <c r="Y294" s="5153"/>
      <c r="Z294" s="6696">
        <f t="shared" si="483"/>
        <v>1183.4699999999998</v>
      </c>
      <c r="AA294" s="7403"/>
      <c r="AB294" s="7410">
        <f t="shared" si="484"/>
        <v>1183.4699999999998</v>
      </c>
      <c r="AC294" s="5149"/>
      <c r="AD294" s="5150"/>
      <c r="AE294" s="5151"/>
      <c r="AF294" s="5152">
        <f t="shared" si="485"/>
        <v>1183.4699999999998</v>
      </c>
      <c r="AG294" s="5149"/>
      <c r="AH294" s="5150"/>
      <c r="AI294" s="5151"/>
      <c r="AJ294" s="5152">
        <f t="shared" si="453"/>
        <v>1183.4699999999998</v>
      </c>
      <c r="AK294" s="5149"/>
      <c r="AL294" s="5150"/>
      <c r="AM294" s="5153"/>
      <c r="AN294" s="5154">
        <f t="shared" si="449"/>
        <v>0</v>
      </c>
      <c r="AO294" s="5151"/>
      <c r="AP294" s="5152">
        <f t="shared" si="450"/>
        <v>1183.4699999999998</v>
      </c>
      <c r="AQ294" s="5149"/>
      <c r="AR294" s="5150">
        <v>2.8279999999999998</v>
      </c>
      <c r="AS294" s="5151"/>
      <c r="AT294" s="4451">
        <f t="shared" si="454"/>
        <v>1186.2979999999998</v>
      </c>
      <c r="AU294" s="5149"/>
      <c r="AV294" s="5150"/>
      <c r="AW294" s="3867"/>
      <c r="AX294" s="7310">
        <f t="shared" ref="AX294:AX299" si="486">AT294+AV294</f>
        <v>1186.2979999999998</v>
      </c>
      <c r="AY294" s="5149"/>
      <c r="AZ294" s="5150"/>
      <c r="BA294" s="3868"/>
      <c r="BB294" s="5084">
        <f t="shared" si="451"/>
        <v>2.8279999999999998</v>
      </c>
      <c r="BC294" s="7402"/>
      <c r="BD294" s="7300">
        <f t="shared" si="452"/>
        <v>2.8279999999999998</v>
      </c>
      <c r="BE294" s="3867"/>
      <c r="BF294" s="7309">
        <f t="shared" si="456"/>
        <v>1186.2979999999998</v>
      </c>
      <c r="BG294" s="4152">
        <f t="shared" si="475"/>
        <v>0</v>
      </c>
      <c r="BH294" s="4152">
        <f t="shared" si="476"/>
        <v>0</v>
      </c>
      <c r="BI294" s="4152"/>
      <c r="BJ294" s="4152">
        <f t="shared" si="477"/>
        <v>0</v>
      </c>
      <c r="BK294" s="4152">
        <f t="shared" si="478"/>
        <v>0</v>
      </c>
    </row>
    <row r="295" spans="1:63" s="6687" customFormat="1" x14ac:dyDescent="0.25">
      <c r="A295" s="144"/>
      <c r="B295" s="3153" t="s">
        <v>825</v>
      </c>
      <c r="C295" s="3835" t="s">
        <v>838</v>
      </c>
      <c r="D295" s="3835"/>
      <c r="E295" s="3873"/>
      <c r="F295" s="254"/>
      <c r="G295" s="3873"/>
      <c r="H295" s="254"/>
      <c r="I295" s="3874"/>
      <c r="J295" s="349"/>
      <c r="K295" s="3873"/>
      <c r="L295" s="254"/>
      <c r="M295" s="6699"/>
      <c r="N295" s="586"/>
      <c r="O295" s="3873"/>
      <c r="P295" s="254"/>
      <c r="Q295" s="3874"/>
      <c r="R295" s="349"/>
      <c r="S295" s="3873"/>
      <c r="T295" s="254"/>
      <c r="U295" s="3874"/>
      <c r="V295" s="349"/>
      <c r="W295" s="3873"/>
      <c r="X295" s="254"/>
      <c r="Y295" s="6699"/>
      <c r="Z295" s="586"/>
      <c r="AA295" s="7411"/>
      <c r="AB295" s="975"/>
      <c r="AC295" s="3873"/>
      <c r="AD295" s="254"/>
      <c r="AE295" s="3874"/>
      <c r="AF295" s="349"/>
      <c r="AG295" s="3873"/>
      <c r="AH295" s="254"/>
      <c r="AI295" s="3874"/>
      <c r="AJ295" s="349"/>
      <c r="AK295" s="3873"/>
      <c r="AL295" s="254"/>
      <c r="AM295" s="6699"/>
      <c r="AN295" s="1000"/>
      <c r="AO295" s="3874"/>
      <c r="AP295" s="349"/>
      <c r="AQ295" s="3873"/>
      <c r="AR295" s="254">
        <v>2.3199999999999998</v>
      </c>
      <c r="AS295" s="3874"/>
      <c r="AT295" s="41">
        <f t="shared" si="454"/>
        <v>2.3199999999999998</v>
      </c>
      <c r="AU295" s="3873"/>
      <c r="AV295" s="254"/>
      <c r="AW295" s="6610"/>
      <c r="AX295" s="7310">
        <f t="shared" si="486"/>
        <v>2.3199999999999998</v>
      </c>
      <c r="AY295" s="3873"/>
      <c r="AZ295" s="254"/>
      <c r="BA295" s="6694"/>
      <c r="BB295" s="5084">
        <f t="shared" ref="BB295" si="487">AR295+AV295+AZ295</f>
        <v>2.3199999999999998</v>
      </c>
      <c r="BC295" s="7402"/>
      <c r="BD295" s="7300">
        <f t="shared" ref="BD295" si="488">AN295+BB295</f>
        <v>2.3199999999999998</v>
      </c>
      <c r="BE295" s="3867"/>
      <c r="BF295" s="7309">
        <f t="shared" ref="BF295" si="489">AX295+AZ295</f>
        <v>2.3199999999999998</v>
      </c>
      <c r="BG295" s="4152">
        <f t="shared" si="475"/>
        <v>0</v>
      </c>
      <c r="BH295" s="4152">
        <f t="shared" si="476"/>
        <v>0</v>
      </c>
      <c r="BI295" s="4152"/>
      <c r="BJ295" s="4152">
        <f t="shared" si="477"/>
        <v>0</v>
      </c>
      <c r="BK295" s="4152">
        <f t="shared" si="478"/>
        <v>0</v>
      </c>
    </row>
    <row r="296" spans="1:63" ht="15.75" thickBot="1" x14ac:dyDescent="0.3">
      <c r="A296" s="90"/>
      <c r="B296" s="5252" t="s">
        <v>825</v>
      </c>
      <c r="C296" s="6700" t="s">
        <v>847</v>
      </c>
      <c r="D296" s="6700"/>
      <c r="E296" s="6701"/>
      <c r="F296" s="5185"/>
      <c r="G296" s="6701"/>
      <c r="H296" s="5185"/>
      <c r="I296" s="6702"/>
      <c r="J296" s="5256">
        <f t="shared" si="479"/>
        <v>0</v>
      </c>
      <c r="K296" s="6701"/>
      <c r="L296" s="5185"/>
      <c r="M296" s="6703"/>
      <c r="N296" s="5258">
        <f t="shared" si="480"/>
        <v>0</v>
      </c>
      <c r="O296" s="6701"/>
      <c r="P296" s="5185"/>
      <c r="Q296" s="6702"/>
      <c r="R296" s="5256">
        <f t="shared" si="481"/>
        <v>0</v>
      </c>
      <c r="S296" s="6701"/>
      <c r="T296" s="5185"/>
      <c r="U296" s="6702"/>
      <c r="V296" s="5256">
        <f t="shared" si="482"/>
        <v>0</v>
      </c>
      <c r="W296" s="6701"/>
      <c r="X296" s="5185"/>
      <c r="Y296" s="6703"/>
      <c r="Z296" s="5258">
        <f t="shared" si="483"/>
        <v>0</v>
      </c>
      <c r="AA296" s="7413"/>
      <c r="AB296" s="5374">
        <f t="shared" si="484"/>
        <v>0</v>
      </c>
      <c r="AC296" s="6701"/>
      <c r="AD296" s="5185">
        <v>2.23</v>
      </c>
      <c r="AE296" s="6702"/>
      <c r="AF296" s="5256">
        <f t="shared" si="485"/>
        <v>2.23</v>
      </c>
      <c r="AG296" s="6701"/>
      <c r="AH296" s="5185"/>
      <c r="AI296" s="6702"/>
      <c r="AJ296" s="5256">
        <f t="shared" si="453"/>
        <v>2.23</v>
      </c>
      <c r="AK296" s="6701"/>
      <c r="AL296" s="5185"/>
      <c r="AM296" s="6703"/>
      <c r="AN296" s="5403">
        <f t="shared" si="449"/>
        <v>2.23</v>
      </c>
      <c r="AO296" s="6702"/>
      <c r="AP296" s="5256">
        <f t="shared" si="450"/>
        <v>2.23</v>
      </c>
      <c r="AQ296" s="6701"/>
      <c r="AR296" s="5185"/>
      <c r="AS296" s="6702"/>
      <c r="AT296" s="5257">
        <f t="shared" si="454"/>
        <v>2.23</v>
      </c>
      <c r="AU296" s="6701"/>
      <c r="AV296" s="5185"/>
      <c r="AW296" s="3867"/>
      <c r="AX296" s="7310">
        <f t="shared" si="486"/>
        <v>2.23</v>
      </c>
      <c r="AY296" s="6701"/>
      <c r="AZ296" s="5185"/>
      <c r="BA296" s="3868"/>
      <c r="BB296" s="5084">
        <f t="shared" si="451"/>
        <v>0</v>
      </c>
      <c r="BC296" s="7402"/>
      <c r="BD296" s="7300">
        <f t="shared" si="452"/>
        <v>2.23</v>
      </c>
      <c r="BE296" s="3867"/>
      <c r="BF296" s="7309">
        <f t="shared" si="456"/>
        <v>2.23</v>
      </c>
      <c r="BG296" s="4152">
        <f t="shared" si="475"/>
        <v>0</v>
      </c>
      <c r="BH296" s="4152">
        <f t="shared" si="476"/>
        <v>0</v>
      </c>
      <c r="BI296" s="4152"/>
      <c r="BJ296" s="4152">
        <f t="shared" si="477"/>
        <v>0</v>
      </c>
      <c r="BK296" s="4152">
        <f t="shared" si="478"/>
        <v>0</v>
      </c>
    </row>
    <row r="297" spans="1:63" x14ac:dyDescent="0.25">
      <c r="A297" s="90"/>
      <c r="B297" s="3883" t="s">
        <v>77</v>
      </c>
      <c r="C297" s="3842"/>
      <c r="D297" s="3842"/>
      <c r="E297" s="1121">
        <f>+E19</f>
        <v>0</v>
      </c>
      <c r="F297" s="1121">
        <f>F19</f>
        <v>0</v>
      </c>
      <c r="G297" s="5574">
        <f>+G19</f>
        <v>0</v>
      </c>
      <c r="H297" s="5574">
        <f>H19</f>
        <v>0</v>
      </c>
      <c r="I297" s="7309">
        <f>E297+G297</f>
        <v>0</v>
      </c>
      <c r="J297" s="7309">
        <f t="shared" si="479"/>
        <v>0</v>
      </c>
      <c r="K297" s="5690">
        <f>+K19</f>
        <v>0</v>
      </c>
      <c r="L297" s="5690">
        <f>L19</f>
        <v>0</v>
      </c>
      <c r="M297" s="5084">
        <f>E297+G297+K297</f>
        <v>0</v>
      </c>
      <c r="N297" s="2244">
        <f t="shared" si="480"/>
        <v>0</v>
      </c>
      <c r="O297" s="5855">
        <f>+O19</f>
        <v>0</v>
      </c>
      <c r="P297" s="5855">
        <f>P19</f>
        <v>0</v>
      </c>
      <c r="Q297" s="7309">
        <f>M297+O297</f>
        <v>0</v>
      </c>
      <c r="R297" s="7309">
        <f t="shared" si="481"/>
        <v>0</v>
      </c>
      <c r="S297" s="5898">
        <f>+S19</f>
        <v>0</v>
      </c>
      <c r="T297" s="5898">
        <f>T19</f>
        <v>0</v>
      </c>
      <c r="U297" s="7309">
        <f>Q297+S297</f>
        <v>0</v>
      </c>
      <c r="V297" s="7309">
        <f t="shared" si="482"/>
        <v>0</v>
      </c>
      <c r="W297" s="6019">
        <f>+W19</f>
        <v>0</v>
      </c>
      <c r="X297" s="6019">
        <f>X19</f>
        <v>0</v>
      </c>
      <c r="Y297" s="2244">
        <f>O297+S297+W297</f>
        <v>0</v>
      </c>
      <c r="Z297" s="2244">
        <f t="shared" si="483"/>
        <v>0</v>
      </c>
      <c r="AA297" s="7300">
        <f>M297+Y297</f>
        <v>0</v>
      </c>
      <c r="AB297" s="7300">
        <f t="shared" si="484"/>
        <v>0</v>
      </c>
      <c r="AC297" s="6154">
        <f>+AC19</f>
        <v>0</v>
      </c>
      <c r="AD297" s="6154">
        <f>AD19</f>
        <v>0</v>
      </c>
      <c r="AE297" s="7309">
        <f>AA297+AC297</f>
        <v>0</v>
      </c>
      <c r="AF297" s="7309">
        <f t="shared" si="485"/>
        <v>0</v>
      </c>
      <c r="AG297" s="6316">
        <f>+AG19</f>
        <v>0</v>
      </c>
      <c r="AH297" s="6316">
        <f>AH19</f>
        <v>0</v>
      </c>
      <c r="AI297" s="7309">
        <f>AE297+AG297</f>
        <v>0</v>
      </c>
      <c r="AJ297" s="7309">
        <f t="shared" si="453"/>
        <v>0</v>
      </c>
      <c r="AK297" s="6554">
        <f>+AK19</f>
        <v>0</v>
      </c>
      <c r="AL297" s="6554">
        <f>AL19</f>
        <v>0</v>
      </c>
      <c r="AM297" s="2244">
        <f>AC297+AG297+AK297</f>
        <v>0</v>
      </c>
      <c r="AN297" s="5084">
        <f t="shared" si="449"/>
        <v>0</v>
      </c>
      <c r="AO297" s="7309">
        <f t="shared" si="450"/>
        <v>0</v>
      </c>
      <c r="AP297" s="7309">
        <f t="shared" si="450"/>
        <v>0</v>
      </c>
      <c r="AQ297" s="6653">
        <f>+AQ19</f>
        <v>0</v>
      </c>
      <c r="AR297" s="6653">
        <f>AR19</f>
        <v>0</v>
      </c>
      <c r="AS297" s="7309">
        <f>AO297+AQ297</f>
        <v>0</v>
      </c>
      <c r="AT297" s="7309">
        <f t="shared" si="454"/>
        <v>0</v>
      </c>
      <c r="AU297" s="6819">
        <f>+AU19</f>
        <v>0</v>
      </c>
      <c r="AV297" s="6819">
        <f>AV19</f>
        <v>0</v>
      </c>
      <c r="AW297" s="7310">
        <f>AS297+AU297</f>
        <v>0</v>
      </c>
      <c r="AX297" s="7310">
        <f t="shared" si="486"/>
        <v>0</v>
      </c>
      <c r="AY297" s="6962">
        <f>+AY19</f>
        <v>0</v>
      </c>
      <c r="AZ297" s="6962">
        <f>AZ19</f>
        <v>0</v>
      </c>
      <c r="BA297" s="7301">
        <f>AQ297+AU297+AY297</f>
        <v>0</v>
      </c>
      <c r="BB297" s="420">
        <f t="shared" ref="BB297:BB299" si="490">AR297+AV297+AZ297</f>
        <v>0</v>
      </c>
      <c r="BC297" s="7302">
        <f t="shared" ref="BC297:BC298" si="491">AM297+BA297</f>
        <v>0</v>
      </c>
      <c r="BD297" s="7302">
        <f t="shared" si="452"/>
        <v>0</v>
      </c>
      <c r="BE297" s="7310">
        <f>AW297+AY297</f>
        <v>0</v>
      </c>
      <c r="BF297" s="7310">
        <f t="shared" ref="BF297:BF299" si="492">AX297+AZ297</f>
        <v>0</v>
      </c>
      <c r="BG297" s="4152">
        <f t="shared" si="475"/>
        <v>0</v>
      </c>
      <c r="BH297" s="4152">
        <f t="shared" si="476"/>
        <v>0</v>
      </c>
      <c r="BI297" s="4152"/>
      <c r="BJ297" s="4152">
        <f t="shared" si="477"/>
        <v>0</v>
      </c>
      <c r="BK297" s="4152">
        <f t="shared" si="478"/>
        <v>0</v>
      </c>
    </row>
    <row r="298" spans="1:63" x14ac:dyDescent="0.25">
      <c r="A298" s="90"/>
      <c r="B298" s="3865" t="s">
        <v>1131</v>
      </c>
      <c r="C298" s="7337"/>
      <c r="D298" s="148"/>
      <c r="E298" s="1121">
        <f>+E20</f>
        <v>0</v>
      </c>
      <c r="F298" s="343">
        <f>F20</f>
        <v>0</v>
      </c>
      <c r="G298" s="5574">
        <f>+G20</f>
        <v>0</v>
      </c>
      <c r="H298" s="343">
        <f>H20</f>
        <v>0</v>
      </c>
      <c r="I298" s="344">
        <f t="shared" ref="I298:I299" si="493">E298+G298</f>
        <v>0</v>
      </c>
      <c r="J298" s="7310">
        <f t="shared" si="479"/>
        <v>0</v>
      </c>
      <c r="K298" s="5690">
        <f>+K20</f>
        <v>0</v>
      </c>
      <c r="L298" s="343">
        <f>L20</f>
        <v>0</v>
      </c>
      <c r="M298" s="420">
        <f>E298+G298+K298</f>
        <v>0</v>
      </c>
      <c r="N298" s="7301">
        <f t="shared" si="480"/>
        <v>0</v>
      </c>
      <c r="O298" s="5855">
        <f>+O20</f>
        <v>0</v>
      </c>
      <c r="P298" s="343">
        <f>P20</f>
        <v>0</v>
      </c>
      <c r="Q298" s="344">
        <f t="shared" ref="Q298:Q299" si="494">M298+O298</f>
        <v>0</v>
      </c>
      <c r="R298" s="7310">
        <f t="shared" si="481"/>
        <v>0</v>
      </c>
      <c r="S298" s="5898">
        <f>+S20</f>
        <v>0</v>
      </c>
      <c r="T298" s="343">
        <f>T20</f>
        <v>0</v>
      </c>
      <c r="U298" s="344">
        <f t="shared" ref="U298:U299" si="495">Q298+S298</f>
        <v>0</v>
      </c>
      <c r="V298" s="7310">
        <f t="shared" si="482"/>
        <v>0</v>
      </c>
      <c r="W298" s="6019">
        <f>+W20</f>
        <v>0</v>
      </c>
      <c r="X298" s="343">
        <f>X20</f>
        <v>0</v>
      </c>
      <c r="Y298" s="7301">
        <f>O298+S298+W298</f>
        <v>0</v>
      </c>
      <c r="Z298" s="7301">
        <f t="shared" si="483"/>
        <v>0</v>
      </c>
      <c r="AA298" s="444">
        <f>M298+Y298</f>
        <v>0</v>
      </c>
      <c r="AB298" s="7302">
        <f t="shared" si="484"/>
        <v>0</v>
      </c>
      <c r="AC298" s="6154">
        <f>+AC20</f>
        <v>0</v>
      </c>
      <c r="AD298" s="343">
        <f>AD20</f>
        <v>0</v>
      </c>
      <c r="AE298" s="344">
        <f t="shared" ref="AE298:AE299" si="496">AA298+AC298</f>
        <v>0</v>
      </c>
      <c r="AF298" s="7310">
        <f t="shared" si="485"/>
        <v>0</v>
      </c>
      <c r="AG298" s="6316">
        <f>+AG20</f>
        <v>0</v>
      </c>
      <c r="AH298" s="343">
        <f>AH20</f>
        <v>0</v>
      </c>
      <c r="AI298" s="344">
        <f t="shared" ref="AI298:AI299" si="497">AE298+AG298</f>
        <v>0</v>
      </c>
      <c r="AJ298" s="7310">
        <f t="shared" si="453"/>
        <v>0</v>
      </c>
      <c r="AK298" s="6554">
        <f>+AK20</f>
        <v>0</v>
      </c>
      <c r="AL298" s="343">
        <f>AL20</f>
        <v>0</v>
      </c>
      <c r="AM298" s="7301">
        <f>AC298+AG298+AK298</f>
        <v>0</v>
      </c>
      <c r="AN298" s="420">
        <f t="shared" si="449"/>
        <v>0</v>
      </c>
      <c r="AO298" s="344">
        <f t="shared" si="450"/>
        <v>0</v>
      </c>
      <c r="AP298" s="344">
        <f t="shared" si="450"/>
        <v>0</v>
      </c>
      <c r="AQ298" s="6653">
        <f>+AQ20</f>
        <v>0</v>
      </c>
      <c r="AR298" s="343">
        <f>AR20</f>
        <v>0</v>
      </c>
      <c r="AS298" s="344">
        <f t="shared" ref="AS298:AS299" si="498">AO298+AQ298</f>
        <v>0</v>
      </c>
      <c r="AT298" s="344">
        <f t="shared" si="454"/>
        <v>0</v>
      </c>
      <c r="AU298" s="6819">
        <f>+AU20</f>
        <v>0</v>
      </c>
      <c r="AV298" s="343">
        <f>AV20</f>
        <v>0</v>
      </c>
      <c r="AW298" s="344">
        <f t="shared" ref="AW298:AW299" si="499">AS298+AU298</f>
        <v>0</v>
      </c>
      <c r="AX298" s="344">
        <f t="shared" si="486"/>
        <v>0</v>
      </c>
      <c r="AY298" s="6962">
        <f>+AY20</f>
        <v>0</v>
      </c>
      <c r="AZ298" s="343">
        <f>AZ20</f>
        <v>0</v>
      </c>
      <c r="BA298" s="7301">
        <f>AQ298+AU298+AY298</f>
        <v>0</v>
      </c>
      <c r="BB298" s="420">
        <f t="shared" si="490"/>
        <v>0</v>
      </c>
      <c r="BC298" s="7302">
        <f t="shared" si="491"/>
        <v>0</v>
      </c>
      <c r="BD298" s="7302">
        <f t="shared" si="452"/>
        <v>0</v>
      </c>
      <c r="BE298" s="344">
        <f t="shared" ref="BE298:BE299" si="500">AW298+AY298</f>
        <v>0</v>
      </c>
      <c r="BF298" s="344">
        <f t="shared" si="492"/>
        <v>0</v>
      </c>
      <c r="BG298" s="4152">
        <f t="shared" si="475"/>
        <v>0</v>
      </c>
      <c r="BH298" s="4152">
        <f t="shared" si="476"/>
        <v>0</v>
      </c>
      <c r="BI298" s="4152"/>
      <c r="BJ298" s="4152">
        <f t="shared" si="477"/>
        <v>0</v>
      </c>
      <c r="BK298" s="4152">
        <f t="shared" si="478"/>
        <v>0</v>
      </c>
    </row>
    <row r="299" spans="1:63" x14ac:dyDescent="0.25">
      <c r="A299" s="90"/>
      <c r="B299" s="423" t="s">
        <v>92</v>
      </c>
      <c r="C299" s="194" t="s">
        <v>50</v>
      </c>
      <c r="D299" s="1820">
        <f>+D21</f>
        <v>990000</v>
      </c>
      <c r="E299" s="1820">
        <f>+E21</f>
        <v>68500</v>
      </c>
      <c r="F299" s="1820">
        <f>SUM(F259:F298)</f>
        <v>78698.73000000001</v>
      </c>
      <c r="G299" s="1820">
        <f>+G21</f>
        <v>79000</v>
      </c>
      <c r="H299" s="1820">
        <f>SUM(H259:H298)</f>
        <v>67347.899999999994</v>
      </c>
      <c r="I299" s="7311">
        <f t="shared" si="493"/>
        <v>147500</v>
      </c>
      <c r="J299" s="7310">
        <f t="shared" si="479"/>
        <v>146046.63</v>
      </c>
      <c r="K299" s="1820">
        <f>+K21</f>
        <v>76000</v>
      </c>
      <c r="L299" s="1820">
        <f>SUM(L259:L298)</f>
        <v>73175.62999999999</v>
      </c>
      <c r="M299" s="7303">
        <f>E299+G299+K299</f>
        <v>223500</v>
      </c>
      <c r="N299" s="7301">
        <f t="shared" si="480"/>
        <v>219222.26</v>
      </c>
      <c r="O299" s="1820">
        <f>+O21</f>
        <v>79000</v>
      </c>
      <c r="P299" s="1820">
        <f>SUM(P259:P298)</f>
        <v>84102.500000000015</v>
      </c>
      <c r="Q299" s="7311">
        <f t="shared" si="494"/>
        <v>302500</v>
      </c>
      <c r="R299" s="7310">
        <f t="shared" si="481"/>
        <v>303324.76</v>
      </c>
      <c r="S299" s="1820">
        <f>+S21</f>
        <v>79000</v>
      </c>
      <c r="T299" s="1820">
        <f>SUM(T259:T298)</f>
        <v>86905.93</v>
      </c>
      <c r="U299" s="7311">
        <f t="shared" si="495"/>
        <v>381500</v>
      </c>
      <c r="V299" s="7310">
        <f t="shared" si="482"/>
        <v>390230.69</v>
      </c>
      <c r="W299" s="1820">
        <f>+W21</f>
        <v>47500</v>
      </c>
      <c r="X299" s="1820">
        <f>SUM(X259:X298)</f>
        <v>68689.990000000005</v>
      </c>
      <c r="Y299" s="7303">
        <f t="shared" ref="Y299" si="501">O299+S299+W299</f>
        <v>205500</v>
      </c>
      <c r="Z299" s="7301">
        <f t="shared" si="483"/>
        <v>239698.41999999998</v>
      </c>
      <c r="AA299" s="513">
        <f>M299+Y299</f>
        <v>429000</v>
      </c>
      <c r="AB299" s="7302">
        <f t="shared" si="484"/>
        <v>458920.68</v>
      </c>
      <c r="AC299" s="1820">
        <f>+AC21</f>
        <v>78000</v>
      </c>
      <c r="AD299" s="1820">
        <f>SUM(AD259:AD298)</f>
        <v>52260.410000000011</v>
      </c>
      <c r="AE299" s="7311">
        <f t="shared" si="496"/>
        <v>507000</v>
      </c>
      <c r="AF299" s="7310">
        <f t="shared" si="485"/>
        <v>511181.09</v>
      </c>
      <c r="AG299" s="1820">
        <f>+AG21</f>
        <v>76000</v>
      </c>
      <c r="AH299" s="1820">
        <f>SUM(AH259:AH298)</f>
        <v>70091.168999999994</v>
      </c>
      <c r="AI299" s="7311">
        <f t="shared" si="497"/>
        <v>583000</v>
      </c>
      <c r="AJ299" s="7311">
        <f t="shared" ref="AJ299" si="502">AF299+AH299</f>
        <v>581272.25900000008</v>
      </c>
      <c r="AK299" s="1820">
        <f>+AK21</f>
        <v>79000</v>
      </c>
      <c r="AL299" s="1820">
        <f>SUM(AL259:AL298)</f>
        <v>83237.27999999997</v>
      </c>
      <c r="AM299" s="7303">
        <f t="shared" ref="AM299" si="503">AC299+AG299+AK299</f>
        <v>233000</v>
      </c>
      <c r="AN299" s="7303">
        <f t="shared" si="449"/>
        <v>205588.85899999997</v>
      </c>
      <c r="AO299" s="7311">
        <f t="shared" si="450"/>
        <v>662000</v>
      </c>
      <c r="AP299" s="7311">
        <f t="shared" si="450"/>
        <v>664509.53900000011</v>
      </c>
      <c r="AQ299" s="1820">
        <f>+AQ21</f>
        <v>79000</v>
      </c>
      <c r="AR299" s="1820">
        <f>SUM(AR259:AR298)</f>
        <v>79536.070000000007</v>
      </c>
      <c r="AS299" s="7311">
        <f t="shared" si="498"/>
        <v>741000</v>
      </c>
      <c r="AT299" s="7311">
        <f t="shared" si="454"/>
        <v>744045.60900000017</v>
      </c>
      <c r="AU299" s="1820">
        <f>+AU21</f>
        <v>71500</v>
      </c>
      <c r="AV299" s="1820">
        <f>SUM(AV259:AV298)</f>
        <v>77559.290000000008</v>
      </c>
      <c r="AW299" s="7311">
        <f t="shared" si="499"/>
        <v>812500</v>
      </c>
      <c r="AX299" s="7311">
        <f t="shared" si="486"/>
        <v>821604.89900000021</v>
      </c>
      <c r="AY299" s="1820">
        <f>+AY21</f>
        <v>80000</v>
      </c>
      <c r="AZ299" s="1820">
        <f>SUM(AZ259:AZ298)</f>
        <v>81642.310000000012</v>
      </c>
      <c r="BA299" s="7303">
        <f t="shared" ref="BA299" si="504">AQ299+AU299+AY299</f>
        <v>230500</v>
      </c>
      <c r="BB299" s="7303">
        <f t="shared" si="490"/>
        <v>238737.67000000004</v>
      </c>
      <c r="BC299" s="513">
        <f>AM299+BA299</f>
        <v>463500</v>
      </c>
      <c r="BD299" s="513">
        <f>AN299+BB299</f>
        <v>444326.52899999998</v>
      </c>
      <c r="BE299" s="7311">
        <f t="shared" si="500"/>
        <v>892500</v>
      </c>
      <c r="BF299" s="7311">
        <f t="shared" si="492"/>
        <v>903247.20900000026</v>
      </c>
      <c r="BG299" s="4152">
        <f t="shared" si="475"/>
        <v>0</v>
      </c>
      <c r="BH299" s="4152">
        <f t="shared" si="476"/>
        <v>0</v>
      </c>
      <c r="BI299" s="4152"/>
      <c r="BJ299" s="4152">
        <f t="shared" si="477"/>
        <v>0</v>
      </c>
      <c r="BK299" s="4152">
        <f t="shared" si="478"/>
        <v>0</v>
      </c>
    </row>
    <row r="300" spans="1:63" ht="20.25" customHeight="1" x14ac:dyDescent="0.25">
      <c r="A300" s="90"/>
      <c r="B300" s="423" t="s">
        <v>603</v>
      </c>
      <c r="C300" s="610"/>
      <c r="D300" s="610"/>
      <c r="E300" s="1820"/>
      <c r="F300" s="610"/>
      <c r="G300" s="1820"/>
      <c r="H300" s="610"/>
      <c r="I300" s="7311"/>
      <c r="J300" s="7310">
        <f t="shared" si="479"/>
        <v>0</v>
      </c>
      <c r="K300" s="1820"/>
      <c r="L300" s="610"/>
      <c r="M300" s="7303"/>
      <c r="N300" s="7301">
        <f t="shared" si="480"/>
        <v>0</v>
      </c>
      <c r="O300" s="1820"/>
      <c r="P300" s="610"/>
      <c r="Q300" s="7311"/>
      <c r="R300" s="7310">
        <f t="shared" si="481"/>
        <v>0</v>
      </c>
      <c r="S300" s="1820"/>
      <c r="T300" s="610"/>
      <c r="U300" s="7311"/>
      <c r="V300" s="7310">
        <f t="shared" si="482"/>
        <v>0</v>
      </c>
      <c r="W300" s="1820"/>
      <c r="X300" s="610"/>
      <c r="Y300" s="7303"/>
      <c r="Z300" s="7301">
        <f t="shared" si="483"/>
        <v>0</v>
      </c>
      <c r="AA300" s="513"/>
      <c r="AB300" s="7302">
        <f t="shared" si="484"/>
        <v>0</v>
      </c>
      <c r="AC300" s="1820"/>
      <c r="AD300" s="610"/>
      <c r="AE300" s="7311"/>
      <c r="AF300" s="7310">
        <f t="shared" si="485"/>
        <v>0</v>
      </c>
      <c r="AG300" s="1820"/>
      <c r="AH300" s="610"/>
      <c r="AI300" s="7311"/>
      <c r="AJ300" s="820"/>
      <c r="AK300" s="1820"/>
      <c r="AL300" s="610"/>
      <c r="AM300" s="7303"/>
      <c r="AN300" s="821"/>
      <c r="AO300" s="7311"/>
      <c r="AP300" s="820"/>
      <c r="AQ300" s="1820"/>
      <c r="AR300" s="610"/>
      <c r="AS300" s="7311"/>
      <c r="AT300" s="820">
        <f t="shared" si="454"/>
        <v>0</v>
      </c>
      <c r="AU300" s="1820"/>
      <c r="AV300" s="610"/>
      <c r="AW300" s="7311"/>
      <c r="AX300" s="820"/>
      <c r="AY300" s="1820"/>
      <c r="AZ300" s="610"/>
      <c r="BA300" s="7303"/>
      <c r="BB300" s="821"/>
      <c r="BC300" s="513"/>
      <c r="BD300" s="7401"/>
      <c r="BE300" s="7311"/>
      <c r="BF300" s="820"/>
      <c r="BG300" s="4152">
        <f t="shared" si="475"/>
        <v>0</v>
      </c>
      <c r="BH300" s="4152">
        <f t="shared" si="476"/>
        <v>0</v>
      </c>
      <c r="BI300" s="4152"/>
      <c r="BJ300" s="4152">
        <f t="shared" si="477"/>
        <v>0</v>
      </c>
      <c r="BK300" s="4152">
        <f t="shared" si="478"/>
        <v>0</v>
      </c>
    </row>
    <row r="301" spans="1:63" ht="20.25" customHeight="1" x14ac:dyDescent="0.25">
      <c r="A301" s="90"/>
      <c r="B301" s="3891" t="s">
        <v>1845</v>
      </c>
      <c r="C301" s="7337" t="s">
        <v>50</v>
      </c>
      <c r="D301" s="148"/>
      <c r="E301" s="3892"/>
      <c r="F301" s="1819"/>
      <c r="G301" s="3892"/>
      <c r="H301" s="1819"/>
      <c r="I301" s="3893"/>
      <c r="J301" s="7310">
        <f t="shared" si="479"/>
        <v>0</v>
      </c>
      <c r="K301" s="3892"/>
      <c r="L301" s="1819"/>
      <c r="M301" s="3894"/>
      <c r="N301" s="7301">
        <f t="shared" si="480"/>
        <v>0</v>
      </c>
      <c r="O301" s="3892"/>
      <c r="P301" s="1819"/>
      <c r="Q301" s="3893"/>
      <c r="R301" s="7310">
        <f t="shared" si="481"/>
        <v>0</v>
      </c>
      <c r="S301" s="3892"/>
      <c r="T301" s="1819"/>
      <c r="U301" s="3893"/>
      <c r="V301" s="7310">
        <f t="shared" si="482"/>
        <v>0</v>
      </c>
      <c r="W301" s="3892"/>
      <c r="X301" s="1819"/>
      <c r="Y301" s="3894"/>
      <c r="Z301" s="7301">
        <f t="shared" si="483"/>
        <v>0</v>
      </c>
      <c r="AA301" s="7414"/>
      <c r="AB301" s="7302">
        <f t="shared" si="484"/>
        <v>0</v>
      </c>
      <c r="AC301" s="3892"/>
      <c r="AD301" s="1819"/>
      <c r="AE301" s="3893"/>
      <c r="AF301" s="7310">
        <f t="shared" si="485"/>
        <v>0</v>
      </c>
      <c r="AG301" s="3892"/>
      <c r="AH301" s="1819"/>
      <c r="AI301" s="3893"/>
      <c r="AJ301" s="7310">
        <f t="shared" ref="AJ301:AJ304" si="505">AF301+AH301</f>
        <v>0</v>
      </c>
      <c r="AK301" s="3892"/>
      <c r="AL301" s="1819"/>
      <c r="AM301" s="3894"/>
      <c r="AN301" s="7301">
        <f t="shared" ref="AN301:AN303" si="506">AD301+AH301+AL301</f>
        <v>0</v>
      </c>
      <c r="AO301" s="3893"/>
      <c r="AP301" s="7310">
        <f t="shared" si="450"/>
        <v>0</v>
      </c>
      <c r="AQ301" s="3892"/>
      <c r="AR301" s="1819"/>
      <c r="AS301" s="3893"/>
      <c r="AT301" s="7310">
        <f t="shared" si="454"/>
        <v>0</v>
      </c>
      <c r="AU301" s="3892"/>
      <c r="AV301" s="1819"/>
      <c r="AW301" s="3893"/>
      <c r="AX301" s="7310">
        <f t="shared" ref="AX301:AX304" si="507">AT301+AV301</f>
        <v>0</v>
      </c>
      <c r="AY301" s="3892"/>
      <c r="AZ301" s="1819"/>
      <c r="BA301" s="3894"/>
      <c r="BB301" s="7301">
        <f t="shared" ref="BB301:BB303" si="508">AR301+AV301+AZ301</f>
        <v>0</v>
      </c>
      <c r="BC301" s="7414"/>
      <c r="BD301" s="7302">
        <f t="shared" ref="BD301:BD303" si="509">AN301+BB301</f>
        <v>0</v>
      </c>
      <c r="BE301" s="3893"/>
      <c r="BF301" s="7310">
        <f t="shared" ref="BF301:BF304" si="510">AX301+AZ301</f>
        <v>0</v>
      </c>
      <c r="BG301" s="4152">
        <f t="shared" si="475"/>
        <v>0</v>
      </c>
      <c r="BH301" s="4152">
        <f t="shared" si="476"/>
        <v>0</v>
      </c>
      <c r="BI301" s="4152"/>
      <c r="BJ301" s="4152">
        <f t="shared" si="477"/>
        <v>0</v>
      </c>
      <c r="BK301" s="4152">
        <f t="shared" si="478"/>
        <v>0</v>
      </c>
    </row>
    <row r="302" spans="1:63" ht="20.25" customHeight="1" x14ac:dyDescent="0.25">
      <c r="A302" s="188"/>
      <c r="B302" s="3891" t="s">
        <v>1301</v>
      </c>
      <c r="C302" s="7337" t="s">
        <v>50</v>
      </c>
      <c r="D302" s="148"/>
      <c r="E302" s="3892"/>
      <c r="F302" s="1819"/>
      <c r="G302" s="3892"/>
      <c r="H302" s="1819"/>
      <c r="I302" s="3893"/>
      <c r="J302" s="7310">
        <f t="shared" si="479"/>
        <v>0</v>
      </c>
      <c r="K302" s="3892"/>
      <c r="L302" s="1819"/>
      <c r="M302" s="3894"/>
      <c r="N302" s="7301">
        <f t="shared" si="480"/>
        <v>0</v>
      </c>
      <c r="O302" s="3892"/>
      <c r="P302" s="1819"/>
      <c r="Q302" s="3893"/>
      <c r="R302" s="7310">
        <f t="shared" si="481"/>
        <v>0</v>
      </c>
      <c r="S302" s="3892"/>
      <c r="T302" s="1819"/>
      <c r="U302" s="3893"/>
      <c r="V302" s="7310">
        <f t="shared" si="482"/>
        <v>0</v>
      </c>
      <c r="W302" s="3892"/>
      <c r="X302" s="1819">
        <v>24.51</v>
      </c>
      <c r="Y302" s="3894"/>
      <c r="Z302" s="7301">
        <f t="shared" si="483"/>
        <v>24.51</v>
      </c>
      <c r="AA302" s="7414"/>
      <c r="AB302" s="7302">
        <f t="shared" si="484"/>
        <v>24.51</v>
      </c>
      <c r="AC302" s="3892"/>
      <c r="AD302" s="1819"/>
      <c r="AE302" s="3893"/>
      <c r="AF302" s="7310">
        <f t="shared" si="485"/>
        <v>24.51</v>
      </c>
      <c r="AG302" s="3892"/>
      <c r="AH302" s="1819"/>
      <c r="AI302" s="3893"/>
      <c r="AJ302" s="7310">
        <f t="shared" si="505"/>
        <v>24.51</v>
      </c>
      <c r="AK302" s="3892"/>
      <c r="AL302" s="1819"/>
      <c r="AM302" s="3894"/>
      <c r="AN302" s="7301">
        <f t="shared" si="506"/>
        <v>0</v>
      </c>
      <c r="AO302" s="3893"/>
      <c r="AP302" s="7310">
        <f t="shared" si="450"/>
        <v>24.51</v>
      </c>
      <c r="AQ302" s="3892"/>
      <c r="AR302" s="1819"/>
      <c r="AS302" s="3893"/>
      <c r="AT302" s="7310">
        <f t="shared" si="454"/>
        <v>24.51</v>
      </c>
      <c r="AU302" s="3892"/>
      <c r="AV302" s="1819"/>
      <c r="AW302" s="3893"/>
      <c r="AX302" s="7310">
        <f t="shared" si="507"/>
        <v>24.51</v>
      </c>
      <c r="AY302" s="3892"/>
      <c r="AZ302" s="1819"/>
      <c r="BA302" s="3894"/>
      <c r="BB302" s="7301">
        <f t="shared" si="508"/>
        <v>0</v>
      </c>
      <c r="BC302" s="7414"/>
      <c r="BD302" s="7302">
        <f t="shared" si="509"/>
        <v>0</v>
      </c>
      <c r="BE302" s="3893"/>
      <c r="BF302" s="7310">
        <f t="shared" si="510"/>
        <v>24.51</v>
      </c>
      <c r="BG302" s="4152">
        <f t="shared" si="475"/>
        <v>0</v>
      </c>
      <c r="BH302" s="4152">
        <f t="shared" si="476"/>
        <v>0</v>
      </c>
      <c r="BI302" s="4152"/>
      <c r="BJ302" s="4152">
        <f t="shared" si="477"/>
        <v>0</v>
      </c>
      <c r="BK302" s="4152">
        <f t="shared" si="478"/>
        <v>0</v>
      </c>
    </row>
    <row r="303" spans="1:63" ht="20.25" customHeight="1" x14ac:dyDescent="0.25">
      <c r="A303" s="188"/>
      <c r="B303" s="3891" t="s">
        <v>1072</v>
      </c>
      <c r="C303" s="7337" t="s">
        <v>50</v>
      </c>
      <c r="D303" s="148"/>
      <c r="E303" s="3892"/>
      <c r="F303" s="1819"/>
      <c r="G303" s="3892"/>
      <c r="H303" s="1819"/>
      <c r="I303" s="3893"/>
      <c r="J303" s="7310">
        <f t="shared" si="479"/>
        <v>0</v>
      </c>
      <c r="K303" s="3892"/>
      <c r="L303" s="1819"/>
      <c r="M303" s="3894"/>
      <c r="N303" s="7301">
        <f t="shared" si="480"/>
        <v>0</v>
      </c>
      <c r="O303" s="3892"/>
      <c r="P303" s="1819"/>
      <c r="Q303" s="3893"/>
      <c r="R303" s="7310">
        <f t="shared" si="481"/>
        <v>0</v>
      </c>
      <c r="S303" s="3892"/>
      <c r="T303" s="1819"/>
      <c r="U303" s="3893"/>
      <c r="V303" s="7310">
        <f t="shared" si="482"/>
        <v>0</v>
      </c>
      <c r="W303" s="3892"/>
      <c r="X303" s="1819">
        <v>25.39</v>
      </c>
      <c r="Y303" s="3894"/>
      <c r="Z303" s="7301">
        <f t="shared" si="483"/>
        <v>25.39</v>
      </c>
      <c r="AA303" s="7414"/>
      <c r="AB303" s="7302">
        <f t="shared" si="484"/>
        <v>25.39</v>
      </c>
      <c r="AC303" s="3892"/>
      <c r="AD303" s="1819"/>
      <c r="AE303" s="3893"/>
      <c r="AF303" s="7310">
        <f t="shared" si="485"/>
        <v>25.39</v>
      </c>
      <c r="AG303" s="3892"/>
      <c r="AH303" s="1819"/>
      <c r="AI303" s="3893"/>
      <c r="AJ303" s="7310">
        <f t="shared" si="505"/>
        <v>25.39</v>
      </c>
      <c r="AK303" s="3892"/>
      <c r="AL303" s="1819"/>
      <c r="AM303" s="3894"/>
      <c r="AN303" s="7301">
        <f t="shared" si="506"/>
        <v>0</v>
      </c>
      <c r="AO303" s="3893"/>
      <c r="AP303" s="7310">
        <f t="shared" ref="AO303:AP304" si="511">AJ303+AL303</f>
        <v>25.39</v>
      </c>
      <c r="AQ303" s="3892"/>
      <c r="AR303" s="1819"/>
      <c r="AS303" s="3893"/>
      <c r="AT303" s="7310">
        <f t="shared" si="454"/>
        <v>25.39</v>
      </c>
      <c r="AU303" s="3892"/>
      <c r="AV303" s="1819"/>
      <c r="AW303" s="3893"/>
      <c r="AX303" s="7310">
        <f t="shared" si="507"/>
        <v>25.39</v>
      </c>
      <c r="AY303" s="3892"/>
      <c r="AZ303" s="1819"/>
      <c r="BA303" s="3894"/>
      <c r="BB303" s="7301">
        <f t="shared" si="508"/>
        <v>0</v>
      </c>
      <c r="BC303" s="7414"/>
      <c r="BD303" s="7302">
        <f t="shared" si="509"/>
        <v>0</v>
      </c>
      <c r="BE303" s="3893"/>
      <c r="BF303" s="7310">
        <f t="shared" si="510"/>
        <v>25.39</v>
      </c>
      <c r="BG303" s="4152">
        <f t="shared" si="475"/>
        <v>0</v>
      </c>
      <c r="BH303" s="4152">
        <f t="shared" si="476"/>
        <v>0</v>
      </c>
      <c r="BI303" s="4152"/>
      <c r="BJ303" s="4152">
        <f t="shared" si="477"/>
        <v>0</v>
      </c>
      <c r="BK303" s="4152">
        <f t="shared" si="478"/>
        <v>0</v>
      </c>
    </row>
    <row r="304" spans="1:63" x14ac:dyDescent="0.25">
      <c r="A304" s="188"/>
      <c r="B304" s="3854" t="s">
        <v>2</v>
      </c>
      <c r="C304" s="194" t="s">
        <v>50</v>
      </c>
      <c r="D304" s="1820">
        <f>+D17</f>
        <v>0</v>
      </c>
      <c r="E304" s="1820">
        <f>+E17</f>
        <v>0</v>
      </c>
      <c r="F304" s="3895">
        <f>SUM(F301:F303)</f>
        <v>0</v>
      </c>
      <c r="G304" s="1820">
        <f>+G17</f>
        <v>454.54545454545456</v>
      </c>
      <c r="H304" s="3895">
        <f>SUM(H301:H303)</f>
        <v>0</v>
      </c>
      <c r="I304" s="7311">
        <f>+I17</f>
        <v>454.54545454545456</v>
      </c>
      <c r="J304" s="7310">
        <f t="shared" si="479"/>
        <v>0</v>
      </c>
      <c r="K304" s="1820">
        <f>+K17</f>
        <v>454.54545454545456</v>
      </c>
      <c r="L304" s="3895">
        <f>SUM(L301:L303)</f>
        <v>0</v>
      </c>
      <c r="M304" s="3897">
        <f>E304+G304+K304</f>
        <v>909.09090909090912</v>
      </c>
      <c r="N304" s="7301">
        <f t="shared" si="480"/>
        <v>0</v>
      </c>
      <c r="O304" s="1820">
        <f>+O17</f>
        <v>454.54545454545456</v>
      </c>
      <c r="P304" s="3895">
        <f>SUM(P301:P303)</f>
        <v>0</v>
      </c>
      <c r="Q304" s="7311">
        <f>+Q17</f>
        <v>1363.6363636363637</v>
      </c>
      <c r="R304" s="7310">
        <f t="shared" si="481"/>
        <v>0</v>
      </c>
      <c r="S304" s="1820">
        <f>+S17</f>
        <v>454.54545454545456</v>
      </c>
      <c r="T304" s="3895">
        <f>SUM(T301:T303)</f>
        <v>0</v>
      </c>
      <c r="U304" s="7311">
        <f>+U17</f>
        <v>1818.1818181818182</v>
      </c>
      <c r="V304" s="7310">
        <f t="shared" si="482"/>
        <v>0</v>
      </c>
      <c r="W304" s="1820">
        <f>+W17</f>
        <v>0</v>
      </c>
      <c r="X304" s="3895">
        <f>SUM(X301:X303)</f>
        <v>49.900000000000006</v>
      </c>
      <c r="Y304" s="7303">
        <f>+Y17</f>
        <v>909.09090909090912</v>
      </c>
      <c r="Z304" s="7301">
        <f t="shared" si="483"/>
        <v>49.900000000000006</v>
      </c>
      <c r="AA304" s="513">
        <f>+AA17</f>
        <v>1818.1818181818182</v>
      </c>
      <c r="AB304" s="7302">
        <f t="shared" si="484"/>
        <v>49.900000000000006</v>
      </c>
      <c r="AC304" s="1820">
        <f>+AC17</f>
        <v>454.54545454545456</v>
      </c>
      <c r="AD304" s="3895">
        <f>SUM(AD301:AD303)</f>
        <v>0</v>
      </c>
      <c r="AE304" s="7311">
        <f>+AE17</f>
        <v>2272.727272727273</v>
      </c>
      <c r="AF304" s="7310">
        <f t="shared" si="485"/>
        <v>49.900000000000006</v>
      </c>
      <c r="AG304" s="1820">
        <f>+AG17</f>
        <v>454.54545454545456</v>
      </c>
      <c r="AH304" s="3895">
        <f>SUM(AH301:AH303)</f>
        <v>0</v>
      </c>
      <c r="AI304" s="7311">
        <f>+AI17</f>
        <v>2727.2727272727275</v>
      </c>
      <c r="AJ304" s="3896">
        <f t="shared" si="505"/>
        <v>49.900000000000006</v>
      </c>
      <c r="AK304" s="1820">
        <f>+AK17</f>
        <v>454.54545454545456</v>
      </c>
      <c r="AL304" s="3895">
        <f>SUM(AL301:AL303)</f>
        <v>0</v>
      </c>
      <c r="AM304" s="7303">
        <f>+AM17</f>
        <v>1363.6363636363637</v>
      </c>
      <c r="AN304" s="3897">
        <f>AD304+AH304+AL304</f>
        <v>0</v>
      </c>
      <c r="AO304" s="7311">
        <f t="shared" si="511"/>
        <v>3181.818181818182</v>
      </c>
      <c r="AP304" s="3896">
        <f t="shared" si="511"/>
        <v>49.900000000000006</v>
      </c>
      <c r="AQ304" s="1820">
        <f>+AQ17</f>
        <v>454.54545454545456</v>
      </c>
      <c r="AR304" s="3895">
        <f>SUM(AR301:AR303)</f>
        <v>0</v>
      </c>
      <c r="AS304" s="7311">
        <f>+AS17</f>
        <v>3636.3636363636365</v>
      </c>
      <c r="AT304" s="3896">
        <f t="shared" si="454"/>
        <v>49.900000000000006</v>
      </c>
      <c r="AU304" s="1820">
        <f>+AU17</f>
        <v>454.54545454545456</v>
      </c>
      <c r="AV304" s="3895">
        <f>SUM(AV301:AV303)</f>
        <v>0</v>
      </c>
      <c r="AW304" s="7311">
        <f>+AW17</f>
        <v>4090.909090909091</v>
      </c>
      <c r="AX304" s="3896">
        <f t="shared" si="507"/>
        <v>49.900000000000006</v>
      </c>
      <c r="AY304" s="1820">
        <f>+AY17</f>
        <v>454.54545454545456</v>
      </c>
      <c r="AZ304" s="3895">
        <f>SUM(AZ301:AZ303)</f>
        <v>0</v>
      </c>
      <c r="BA304" s="7303">
        <f>+BA17</f>
        <v>1363.6363636363637</v>
      </c>
      <c r="BB304" s="3897">
        <f>AR304+AV304+AZ304</f>
        <v>0</v>
      </c>
      <c r="BC304" s="513">
        <f>AM304+BA304</f>
        <v>2727.2727272727275</v>
      </c>
      <c r="BD304" s="513">
        <f>AN304+BB304</f>
        <v>0</v>
      </c>
      <c r="BE304" s="7311">
        <f>+BE17</f>
        <v>4545.454545454546</v>
      </c>
      <c r="BF304" s="3896">
        <f t="shared" si="510"/>
        <v>49.900000000000006</v>
      </c>
      <c r="BG304" s="4152">
        <f t="shared" si="475"/>
        <v>0</v>
      </c>
      <c r="BH304" s="4152">
        <f t="shared" si="476"/>
        <v>0</v>
      </c>
      <c r="BI304" s="4152"/>
      <c r="BJ304" s="4152">
        <f t="shared" si="477"/>
        <v>0</v>
      </c>
      <c r="BK304" s="4152">
        <f t="shared" si="478"/>
        <v>0</v>
      </c>
    </row>
    <row r="305" spans="1:63" ht="21" customHeight="1" x14ac:dyDescent="0.25">
      <c r="A305" s="188"/>
      <c r="B305" s="3860"/>
      <c r="C305" s="610"/>
      <c r="D305" s="610"/>
      <c r="E305" s="1820"/>
      <c r="F305" s="1259"/>
      <c r="G305" s="1820"/>
      <c r="H305" s="1259"/>
      <c r="I305" s="7311"/>
      <c r="J305" s="7310">
        <f t="shared" si="479"/>
        <v>0</v>
      </c>
      <c r="K305" s="1820"/>
      <c r="L305" s="1259"/>
      <c r="M305" s="7303"/>
      <c r="N305" s="7301">
        <f t="shared" si="480"/>
        <v>0</v>
      </c>
      <c r="O305" s="1820"/>
      <c r="P305" s="1259"/>
      <c r="Q305" s="7311"/>
      <c r="R305" s="7310">
        <f t="shared" si="481"/>
        <v>0</v>
      </c>
      <c r="S305" s="1820"/>
      <c r="T305" s="1259"/>
      <c r="U305" s="7311"/>
      <c r="V305" s="7310">
        <f t="shared" si="482"/>
        <v>0</v>
      </c>
      <c r="W305" s="1820"/>
      <c r="X305" s="1259"/>
      <c r="Y305" s="7303"/>
      <c r="Z305" s="7301">
        <f t="shared" si="483"/>
        <v>0</v>
      </c>
      <c r="AA305" s="513"/>
      <c r="AB305" s="7302">
        <f t="shared" si="484"/>
        <v>0</v>
      </c>
      <c r="AC305" s="1820"/>
      <c r="AD305" s="1259"/>
      <c r="AE305" s="7311"/>
      <c r="AF305" s="7310">
        <f t="shared" si="485"/>
        <v>0</v>
      </c>
      <c r="AG305" s="1820"/>
      <c r="AH305" s="1259"/>
      <c r="AI305" s="7311"/>
      <c r="AJ305" s="3861"/>
      <c r="AK305" s="1820"/>
      <c r="AL305" s="1259"/>
      <c r="AM305" s="7303"/>
      <c r="AN305" s="1616"/>
      <c r="AO305" s="7311"/>
      <c r="AP305" s="3861"/>
      <c r="AQ305" s="1820"/>
      <c r="AR305" s="1259"/>
      <c r="AS305" s="7311"/>
      <c r="AT305" s="3861">
        <f t="shared" si="454"/>
        <v>0</v>
      </c>
      <c r="AU305" s="1820"/>
      <c r="AV305" s="1259"/>
      <c r="AW305" s="7311"/>
      <c r="AX305" s="3861"/>
      <c r="AY305" s="1820"/>
      <c r="AZ305" s="1259"/>
      <c r="BA305" s="7303"/>
      <c r="BB305" s="1616"/>
      <c r="BC305" s="513"/>
      <c r="BD305" s="7425"/>
      <c r="BE305" s="7311"/>
      <c r="BF305" s="3861"/>
      <c r="BG305" s="4152">
        <f t="shared" si="475"/>
        <v>0</v>
      </c>
      <c r="BH305" s="4152">
        <f t="shared" si="476"/>
        <v>0</v>
      </c>
      <c r="BI305" s="4152"/>
      <c r="BJ305" s="4152">
        <f t="shared" si="477"/>
        <v>0</v>
      </c>
      <c r="BK305" s="4152">
        <f t="shared" si="478"/>
        <v>0</v>
      </c>
    </row>
    <row r="306" spans="1:63" x14ac:dyDescent="0.25">
      <c r="A306" s="188"/>
      <c r="B306" s="3862" t="s">
        <v>319</v>
      </c>
      <c r="C306" s="7436" t="s">
        <v>1112</v>
      </c>
      <c r="D306" s="3793"/>
      <c r="E306" s="3793"/>
      <c r="F306" s="3793"/>
      <c r="G306" s="3793"/>
      <c r="H306" s="3793"/>
      <c r="I306" s="3863"/>
      <c r="J306" s="7310">
        <f t="shared" si="479"/>
        <v>0</v>
      </c>
      <c r="K306" s="3793"/>
      <c r="L306" s="3793"/>
      <c r="M306" s="3864"/>
      <c r="N306" s="7301">
        <f t="shared" si="480"/>
        <v>0</v>
      </c>
      <c r="O306" s="3793"/>
      <c r="P306" s="3793"/>
      <c r="Q306" s="3863"/>
      <c r="R306" s="7310">
        <f t="shared" si="481"/>
        <v>0</v>
      </c>
      <c r="S306" s="3793"/>
      <c r="T306" s="3793"/>
      <c r="U306" s="3863"/>
      <c r="V306" s="7310">
        <f t="shared" si="482"/>
        <v>0</v>
      </c>
      <c r="W306" s="3793"/>
      <c r="X306" s="3793"/>
      <c r="Y306" s="3864"/>
      <c r="Z306" s="7301">
        <f t="shared" si="483"/>
        <v>0</v>
      </c>
      <c r="AA306" s="3916"/>
      <c r="AB306" s="7302">
        <f t="shared" si="484"/>
        <v>0</v>
      </c>
      <c r="AC306" s="3793"/>
      <c r="AD306" s="3793"/>
      <c r="AE306" s="3863"/>
      <c r="AF306" s="7310">
        <f t="shared" si="485"/>
        <v>0</v>
      </c>
      <c r="AG306" s="3793"/>
      <c r="AH306" s="3793"/>
      <c r="AI306" s="3863"/>
      <c r="AJ306" s="3863"/>
      <c r="AK306" s="3793"/>
      <c r="AL306" s="3793"/>
      <c r="AM306" s="3864"/>
      <c r="AN306" s="3864"/>
      <c r="AO306" s="3863"/>
      <c r="AP306" s="3863"/>
      <c r="AQ306" s="3793"/>
      <c r="AR306" s="3793"/>
      <c r="AS306" s="3863"/>
      <c r="AT306" s="3863">
        <f t="shared" si="454"/>
        <v>0</v>
      </c>
      <c r="AU306" s="3793"/>
      <c r="AV306" s="3793"/>
      <c r="AW306" s="3863"/>
      <c r="AX306" s="3863"/>
      <c r="AY306" s="3793"/>
      <c r="AZ306" s="3793"/>
      <c r="BA306" s="3864"/>
      <c r="BB306" s="3864"/>
      <c r="BC306" s="3916"/>
      <c r="BD306" s="3916"/>
      <c r="BE306" s="3863"/>
      <c r="BF306" s="3863"/>
      <c r="BG306" s="4152">
        <f t="shared" si="475"/>
        <v>0</v>
      </c>
      <c r="BH306" s="4152">
        <f t="shared" si="476"/>
        <v>0</v>
      </c>
      <c r="BI306" s="4152"/>
      <c r="BJ306" s="4152">
        <f t="shared" si="477"/>
        <v>0</v>
      </c>
      <c r="BK306" s="4152">
        <f t="shared" si="478"/>
        <v>0</v>
      </c>
    </row>
    <row r="307" spans="1:63" x14ac:dyDescent="0.25">
      <c r="A307" s="188"/>
      <c r="B307" s="3815" t="s">
        <v>906</v>
      </c>
      <c r="C307" s="3815" t="s">
        <v>863</v>
      </c>
      <c r="D307" s="3815"/>
      <c r="E307" s="7931"/>
      <c r="F307" s="1819"/>
      <c r="G307" s="7931"/>
      <c r="H307" s="1819"/>
      <c r="I307" s="7911"/>
      <c r="J307" s="7310">
        <f t="shared" si="479"/>
        <v>0</v>
      </c>
      <c r="K307" s="7931"/>
      <c r="L307" s="1819"/>
      <c r="M307" s="7875"/>
      <c r="N307" s="7301">
        <f t="shared" si="480"/>
        <v>0</v>
      </c>
      <c r="O307" s="7931"/>
      <c r="P307" s="1819"/>
      <c r="Q307" s="7911"/>
      <c r="R307" s="7310">
        <f t="shared" si="481"/>
        <v>0</v>
      </c>
      <c r="S307" s="7931"/>
      <c r="T307" s="1819"/>
      <c r="U307" s="7911"/>
      <c r="V307" s="7310">
        <f t="shared" si="482"/>
        <v>0</v>
      </c>
      <c r="W307" s="7931"/>
      <c r="X307" s="1819"/>
      <c r="Y307" s="7875"/>
      <c r="Z307" s="7301">
        <f t="shared" si="483"/>
        <v>0</v>
      </c>
      <c r="AA307" s="7885"/>
      <c r="AB307" s="7302">
        <f t="shared" si="484"/>
        <v>0</v>
      </c>
      <c r="AC307" s="7931"/>
      <c r="AD307" s="1819"/>
      <c r="AE307" s="7911"/>
      <c r="AF307" s="7310">
        <f t="shared" si="485"/>
        <v>0</v>
      </c>
      <c r="AG307" s="7931"/>
      <c r="AH307" s="1819"/>
      <c r="AI307" s="7944"/>
      <c r="AJ307" s="7310">
        <f t="shared" ref="AJ307:AJ384" si="512">AF307+AH307</f>
        <v>0</v>
      </c>
      <c r="AK307" s="7931"/>
      <c r="AL307" s="1819"/>
      <c r="AM307" s="7875"/>
      <c r="AN307" s="7301">
        <f t="shared" ref="AN307:AN416" si="513">AD307+AH307+AL307</f>
        <v>0</v>
      </c>
      <c r="AO307" s="7911"/>
      <c r="AP307" s="7310">
        <f t="shared" ref="AO307:AP431" si="514">AJ307+AL307</f>
        <v>0</v>
      </c>
      <c r="AQ307" s="7931"/>
      <c r="AR307" s="1819"/>
      <c r="AS307" s="7944"/>
      <c r="AT307" s="7310">
        <f t="shared" si="454"/>
        <v>0</v>
      </c>
      <c r="AU307" s="7931"/>
      <c r="AV307" s="1819"/>
      <c r="AW307" s="7944"/>
      <c r="AX307" s="7310">
        <f t="shared" ref="AX307:AX430" si="515">AT307+AV307</f>
        <v>0</v>
      </c>
      <c r="AY307" s="7931"/>
      <c r="AZ307" s="1819"/>
      <c r="BA307" s="7875"/>
      <c r="BB307" s="7301">
        <f t="shared" ref="BB307:BB378" si="516">AR307+AV307+AZ307</f>
        <v>0</v>
      </c>
      <c r="BC307" s="7885"/>
      <c r="BD307" s="7302">
        <f t="shared" ref="BD307:BD415" si="517">AN307+BB307</f>
        <v>0</v>
      </c>
      <c r="BE307" s="7944"/>
      <c r="BF307" s="7310">
        <f t="shared" ref="BF307:BF430" si="518">AX307+AZ307</f>
        <v>0</v>
      </c>
      <c r="BG307" s="4152">
        <f t="shared" si="475"/>
        <v>0</v>
      </c>
      <c r="BH307" s="4152">
        <f t="shared" si="476"/>
        <v>0</v>
      </c>
      <c r="BI307" s="4152"/>
      <c r="BJ307" s="4152">
        <f t="shared" si="477"/>
        <v>0</v>
      </c>
      <c r="BK307" s="4152">
        <f t="shared" si="478"/>
        <v>0</v>
      </c>
    </row>
    <row r="308" spans="1:63" x14ac:dyDescent="0.25">
      <c r="A308" s="188"/>
      <c r="B308" s="3815" t="s">
        <v>906</v>
      </c>
      <c r="C308" s="3815" t="s">
        <v>862</v>
      </c>
      <c r="D308" s="3815"/>
      <c r="E308" s="7931"/>
      <c r="F308" s="1819">
        <v>672.95100000000002</v>
      </c>
      <c r="G308" s="7931"/>
      <c r="H308" s="1819">
        <v>945.81</v>
      </c>
      <c r="I308" s="7911"/>
      <c r="J308" s="7310">
        <f t="shared" si="479"/>
        <v>1618.761</v>
      </c>
      <c r="K308" s="7931"/>
      <c r="L308" s="1819">
        <v>517.20000000000005</v>
      </c>
      <c r="M308" s="7875"/>
      <c r="N308" s="7301">
        <f t="shared" si="480"/>
        <v>2135.9610000000002</v>
      </c>
      <c r="O308" s="7931"/>
      <c r="P308" s="1819">
        <v>63.48</v>
      </c>
      <c r="Q308" s="7911"/>
      <c r="R308" s="7310">
        <f t="shared" si="481"/>
        <v>2199.4410000000003</v>
      </c>
      <c r="S308" s="7931"/>
      <c r="T308" s="1819">
        <v>65.319999999999993</v>
      </c>
      <c r="U308" s="7911"/>
      <c r="V308" s="7310">
        <f t="shared" si="482"/>
        <v>2264.7610000000004</v>
      </c>
      <c r="W308" s="7931"/>
      <c r="X308" s="1819">
        <v>651.56999999999994</v>
      </c>
      <c r="Y308" s="7875"/>
      <c r="Z308" s="7301">
        <f t="shared" si="483"/>
        <v>780.36999999999989</v>
      </c>
      <c r="AA308" s="7885"/>
      <c r="AB308" s="7302">
        <f t="shared" si="484"/>
        <v>2916.3310000000001</v>
      </c>
      <c r="AC308" s="7931"/>
      <c r="AD308" s="1819">
        <v>701.28</v>
      </c>
      <c r="AE308" s="7911"/>
      <c r="AF308" s="7310">
        <f t="shared" si="485"/>
        <v>3617.6109999999999</v>
      </c>
      <c r="AG308" s="7931"/>
      <c r="AH308" s="1819"/>
      <c r="AI308" s="7945"/>
      <c r="AJ308" s="7310">
        <f t="shared" si="512"/>
        <v>3617.6109999999999</v>
      </c>
      <c r="AK308" s="7931"/>
      <c r="AL308" s="1819">
        <v>744.44</v>
      </c>
      <c r="AM308" s="7875"/>
      <c r="AN308" s="7301">
        <f t="shared" si="513"/>
        <v>1445.72</v>
      </c>
      <c r="AO308" s="7911"/>
      <c r="AP308" s="7310">
        <f t="shared" si="514"/>
        <v>4362.0509999999995</v>
      </c>
      <c r="AQ308" s="7931"/>
      <c r="AR308" s="1819"/>
      <c r="AS308" s="7945"/>
      <c r="AT308" s="7310">
        <f t="shared" si="454"/>
        <v>4362.0509999999995</v>
      </c>
      <c r="AU308" s="7931"/>
      <c r="AV308" s="1819"/>
      <c r="AW308" s="7945"/>
      <c r="AX308" s="7310">
        <f t="shared" si="515"/>
        <v>4362.0509999999995</v>
      </c>
      <c r="AY308" s="7931"/>
      <c r="AZ308" s="1819"/>
      <c r="BA308" s="7875"/>
      <c r="BB308" s="7301">
        <f t="shared" si="516"/>
        <v>0</v>
      </c>
      <c r="BC308" s="7885"/>
      <c r="BD308" s="7302">
        <f t="shared" si="517"/>
        <v>1445.72</v>
      </c>
      <c r="BE308" s="7945"/>
      <c r="BF308" s="7310">
        <f t="shared" si="518"/>
        <v>4362.0509999999995</v>
      </c>
      <c r="BG308" s="4152">
        <f t="shared" si="475"/>
        <v>0</v>
      </c>
      <c r="BH308" s="4152">
        <f t="shared" si="476"/>
        <v>0</v>
      </c>
      <c r="BI308" s="4152"/>
      <c r="BJ308" s="4152">
        <f t="shared" si="477"/>
        <v>0</v>
      </c>
      <c r="BK308" s="4152">
        <f t="shared" si="478"/>
        <v>0</v>
      </c>
    </row>
    <row r="309" spans="1:63" s="7611" customFormat="1" x14ac:dyDescent="0.25">
      <c r="A309" s="188"/>
      <c r="B309" s="3815" t="s">
        <v>1564</v>
      </c>
      <c r="C309" s="3815" t="s">
        <v>863</v>
      </c>
      <c r="D309" s="7043"/>
      <c r="E309" s="7932"/>
      <c r="F309" s="7034">
        <v>58.48</v>
      </c>
      <c r="G309" s="7932"/>
      <c r="H309" s="7034"/>
      <c r="I309" s="7912"/>
      <c r="J309" s="7044"/>
      <c r="K309" s="7932"/>
      <c r="L309" s="7034"/>
      <c r="M309" s="7876"/>
      <c r="N309" s="7045"/>
      <c r="O309" s="7932"/>
      <c r="P309" s="7034"/>
      <c r="Q309" s="7912"/>
      <c r="R309" s="7044"/>
      <c r="S309" s="7932"/>
      <c r="T309" s="7034"/>
      <c r="U309" s="7912"/>
      <c r="V309" s="7044"/>
      <c r="W309" s="7932"/>
      <c r="X309" s="7034"/>
      <c r="Y309" s="7876"/>
      <c r="Z309" s="7045"/>
      <c r="AA309" s="7886"/>
      <c r="AB309" s="7379"/>
      <c r="AC309" s="7932"/>
      <c r="AD309" s="7034"/>
      <c r="AE309" s="7912"/>
      <c r="AF309" s="7044"/>
      <c r="AG309" s="7932"/>
      <c r="AH309" s="7034"/>
      <c r="AI309" s="7945"/>
      <c r="AJ309" s="7044"/>
      <c r="AK309" s="7932"/>
      <c r="AL309" s="7034"/>
      <c r="AM309" s="7876"/>
      <c r="AN309" s="7045"/>
      <c r="AO309" s="7912"/>
      <c r="AP309" s="7044"/>
      <c r="AQ309" s="7932"/>
      <c r="AR309" s="7034"/>
      <c r="AS309" s="7945"/>
      <c r="AT309" s="7044"/>
      <c r="AU309" s="7932"/>
      <c r="AV309" s="7034"/>
      <c r="AW309" s="7945"/>
      <c r="AX309" s="7044"/>
      <c r="AY309" s="7932"/>
      <c r="AZ309" s="7034"/>
      <c r="BA309" s="7876"/>
      <c r="BB309" s="7045"/>
      <c r="BC309" s="7886"/>
      <c r="BD309" s="7379"/>
      <c r="BE309" s="7945"/>
      <c r="BF309" s="7044"/>
      <c r="BG309" s="4152"/>
      <c r="BH309" s="4152"/>
      <c r="BI309" s="4152"/>
      <c r="BJ309" s="4152"/>
      <c r="BK309" s="4152"/>
    </row>
    <row r="310" spans="1:63" x14ac:dyDescent="0.25">
      <c r="A310" s="188"/>
      <c r="B310" s="3815" t="s">
        <v>1564</v>
      </c>
      <c r="C310" s="3815" t="s">
        <v>862</v>
      </c>
      <c r="D310" s="3815"/>
      <c r="E310" s="7931"/>
      <c r="F310" s="1819">
        <v>595.80100000000004</v>
      </c>
      <c r="G310" s="7931"/>
      <c r="H310" s="1819">
        <v>206.14</v>
      </c>
      <c r="I310" s="7911"/>
      <c r="J310" s="7310">
        <f t="shared" si="479"/>
        <v>801.94100000000003</v>
      </c>
      <c r="K310" s="7931"/>
      <c r="L310" s="1819">
        <v>515.82000000000005</v>
      </c>
      <c r="M310" s="7875"/>
      <c r="N310" s="7301">
        <f t="shared" si="480"/>
        <v>1317.761</v>
      </c>
      <c r="O310" s="7931"/>
      <c r="P310" s="1819">
        <v>162.96</v>
      </c>
      <c r="Q310" s="7911"/>
      <c r="R310" s="7310">
        <f t="shared" si="481"/>
        <v>1480.721</v>
      </c>
      <c r="S310" s="7931"/>
      <c r="T310" s="1819"/>
      <c r="U310" s="7911"/>
      <c r="V310" s="7310">
        <f t="shared" si="482"/>
        <v>1480.721</v>
      </c>
      <c r="W310" s="7931"/>
      <c r="X310" s="1819">
        <v>339.33</v>
      </c>
      <c r="Y310" s="7875"/>
      <c r="Z310" s="7301">
        <f t="shared" si="483"/>
        <v>502.28999999999996</v>
      </c>
      <c r="AA310" s="7885"/>
      <c r="AB310" s="7302">
        <f t="shared" si="484"/>
        <v>1820.0509999999999</v>
      </c>
      <c r="AC310" s="7931"/>
      <c r="AD310" s="1819">
        <v>52.98</v>
      </c>
      <c r="AE310" s="7911"/>
      <c r="AF310" s="7310">
        <f t="shared" si="485"/>
        <v>1873.0309999999999</v>
      </c>
      <c r="AG310" s="7931"/>
      <c r="AH310" s="1819"/>
      <c r="AI310" s="7945"/>
      <c r="AJ310" s="7310">
        <f t="shared" si="512"/>
        <v>1873.0309999999999</v>
      </c>
      <c r="AK310" s="7931"/>
      <c r="AL310" s="1819">
        <v>997.14</v>
      </c>
      <c r="AM310" s="7875"/>
      <c r="AN310" s="7301">
        <f t="shared" si="513"/>
        <v>1050.1199999999999</v>
      </c>
      <c r="AO310" s="7911"/>
      <c r="AP310" s="7310">
        <f t="shared" si="514"/>
        <v>2870.1709999999998</v>
      </c>
      <c r="AQ310" s="7931"/>
      <c r="AR310" s="1819">
        <v>122.64</v>
      </c>
      <c r="AS310" s="7945"/>
      <c r="AT310" s="7310">
        <f t="shared" si="454"/>
        <v>2992.8109999999997</v>
      </c>
      <c r="AU310" s="7931"/>
      <c r="AV310" s="1819"/>
      <c r="AW310" s="7945"/>
      <c r="AX310" s="7310">
        <f t="shared" si="515"/>
        <v>2992.8109999999997</v>
      </c>
      <c r="AY310" s="7931"/>
      <c r="AZ310" s="1819"/>
      <c r="BA310" s="7875"/>
      <c r="BB310" s="7301">
        <f t="shared" si="516"/>
        <v>122.64</v>
      </c>
      <c r="BC310" s="7885"/>
      <c r="BD310" s="7302">
        <f t="shared" si="517"/>
        <v>1172.76</v>
      </c>
      <c r="BE310" s="7945"/>
      <c r="BF310" s="7310">
        <f t="shared" si="518"/>
        <v>2992.8109999999997</v>
      </c>
      <c r="BG310" s="4152">
        <f t="shared" si="475"/>
        <v>0</v>
      </c>
      <c r="BH310" s="4152">
        <f t="shared" si="476"/>
        <v>0</v>
      </c>
      <c r="BI310" s="4152"/>
      <c r="BJ310" s="4152">
        <f t="shared" si="477"/>
        <v>0</v>
      </c>
      <c r="BK310" s="4152">
        <f t="shared" si="478"/>
        <v>0</v>
      </c>
    </row>
    <row r="311" spans="1:63" s="4991" customFormat="1" x14ac:dyDescent="0.25">
      <c r="A311" s="188"/>
      <c r="B311" s="4996" t="s">
        <v>2198</v>
      </c>
      <c r="C311" s="4996" t="s">
        <v>862</v>
      </c>
      <c r="D311" s="4996"/>
      <c r="E311" s="7933"/>
      <c r="F311" s="4947"/>
      <c r="G311" s="7933"/>
      <c r="H311" s="4947"/>
      <c r="I311" s="7913"/>
      <c r="J311" s="7310">
        <f t="shared" si="479"/>
        <v>0</v>
      </c>
      <c r="K311" s="7933"/>
      <c r="L311" s="4947"/>
      <c r="M311" s="7877"/>
      <c r="N311" s="7301">
        <f t="shared" si="480"/>
        <v>0</v>
      </c>
      <c r="O311" s="7933"/>
      <c r="P311" s="4947"/>
      <c r="Q311" s="7913"/>
      <c r="R311" s="7310">
        <f t="shared" si="481"/>
        <v>0</v>
      </c>
      <c r="S311" s="7933"/>
      <c r="T311" s="4947"/>
      <c r="U311" s="7913"/>
      <c r="V311" s="7310">
        <f t="shared" si="482"/>
        <v>0</v>
      </c>
      <c r="W311" s="7933"/>
      <c r="X311" s="4947"/>
      <c r="Y311" s="7877"/>
      <c r="Z311" s="7301">
        <f t="shared" si="483"/>
        <v>0</v>
      </c>
      <c r="AA311" s="7887"/>
      <c r="AB311" s="7302">
        <f t="shared" si="484"/>
        <v>0</v>
      </c>
      <c r="AC311" s="7933"/>
      <c r="AD311" s="4947"/>
      <c r="AE311" s="7913"/>
      <c r="AF311" s="7310">
        <f t="shared" si="485"/>
        <v>0</v>
      </c>
      <c r="AG311" s="7933"/>
      <c r="AH311" s="4947"/>
      <c r="AI311" s="7945"/>
      <c r="AJ311" s="7310">
        <f t="shared" si="512"/>
        <v>0</v>
      </c>
      <c r="AK311" s="7933"/>
      <c r="AL311" s="4947">
        <v>15.74</v>
      </c>
      <c r="AM311" s="7877"/>
      <c r="AN311" s="7301">
        <f t="shared" si="513"/>
        <v>15.74</v>
      </c>
      <c r="AO311" s="7913"/>
      <c r="AP311" s="7310">
        <f t="shared" si="514"/>
        <v>15.74</v>
      </c>
      <c r="AQ311" s="7933"/>
      <c r="AR311" s="4947"/>
      <c r="AS311" s="7945"/>
      <c r="AT311" s="7310">
        <f t="shared" si="454"/>
        <v>15.74</v>
      </c>
      <c r="AU311" s="7933"/>
      <c r="AV311" s="4947"/>
      <c r="AW311" s="7945"/>
      <c r="AX311" s="7310">
        <f t="shared" si="515"/>
        <v>15.74</v>
      </c>
      <c r="AY311" s="7933"/>
      <c r="AZ311" s="4947"/>
      <c r="BA311" s="7877"/>
      <c r="BB311" s="7301">
        <f t="shared" si="516"/>
        <v>0</v>
      </c>
      <c r="BC311" s="7887"/>
      <c r="BD311" s="7302">
        <f t="shared" si="517"/>
        <v>15.74</v>
      </c>
      <c r="BE311" s="7945"/>
      <c r="BF311" s="7310">
        <f t="shared" si="518"/>
        <v>15.74</v>
      </c>
      <c r="BG311" s="4152">
        <f t="shared" si="475"/>
        <v>0</v>
      </c>
      <c r="BH311" s="4152">
        <f t="shared" si="476"/>
        <v>0</v>
      </c>
      <c r="BI311" s="4152"/>
      <c r="BJ311" s="4152">
        <f t="shared" si="477"/>
        <v>0</v>
      </c>
      <c r="BK311" s="4152">
        <f t="shared" si="478"/>
        <v>0</v>
      </c>
    </row>
    <row r="312" spans="1:63" x14ac:dyDescent="0.25">
      <c r="A312" s="188"/>
      <c r="B312" s="3815" t="s">
        <v>1259</v>
      </c>
      <c r="C312" s="3815" t="s">
        <v>863</v>
      </c>
      <c r="D312" s="3815"/>
      <c r="E312" s="7931"/>
      <c r="F312" s="1819">
        <v>44.189</v>
      </c>
      <c r="G312" s="7931"/>
      <c r="H312" s="1819"/>
      <c r="I312" s="7911"/>
      <c r="J312" s="7310">
        <f t="shared" si="479"/>
        <v>44.189</v>
      </c>
      <c r="K312" s="7931"/>
      <c r="L312" s="1819">
        <v>227.01</v>
      </c>
      <c r="M312" s="7875"/>
      <c r="N312" s="7301">
        <f t="shared" si="480"/>
        <v>271.19900000000001</v>
      </c>
      <c r="O312" s="7931"/>
      <c r="P312" s="1819">
        <v>112.10999999999999</v>
      </c>
      <c r="Q312" s="7911"/>
      <c r="R312" s="7310">
        <f t="shared" si="481"/>
        <v>383.30899999999997</v>
      </c>
      <c r="S312" s="7931"/>
      <c r="T312" s="1819"/>
      <c r="U312" s="7911"/>
      <c r="V312" s="7310">
        <f t="shared" si="482"/>
        <v>383.30899999999997</v>
      </c>
      <c r="W312" s="7931"/>
      <c r="X312" s="1819">
        <v>251.82</v>
      </c>
      <c r="Y312" s="7875"/>
      <c r="Z312" s="7301">
        <f t="shared" si="483"/>
        <v>363.92999999999995</v>
      </c>
      <c r="AA312" s="7885"/>
      <c r="AB312" s="7302">
        <f t="shared" si="484"/>
        <v>635.12899999999991</v>
      </c>
      <c r="AC312" s="7931"/>
      <c r="AD312" s="1819">
        <v>64.84</v>
      </c>
      <c r="AE312" s="7911"/>
      <c r="AF312" s="7310">
        <f t="shared" si="485"/>
        <v>699.96899999999994</v>
      </c>
      <c r="AG312" s="7931"/>
      <c r="AH312" s="1819"/>
      <c r="AI312" s="7945"/>
      <c r="AJ312" s="7310">
        <f t="shared" si="512"/>
        <v>699.96899999999994</v>
      </c>
      <c r="AK312" s="7931"/>
      <c r="AL312" s="1819">
        <v>248.33699999999999</v>
      </c>
      <c r="AM312" s="7875"/>
      <c r="AN312" s="7301">
        <f t="shared" si="513"/>
        <v>313.17700000000002</v>
      </c>
      <c r="AO312" s="7911"/>
      <c r="AP312" s="7310">
        <f t="shared" si="514"/>
        <v>948.30599999999993</v>
      </c>
      <c r="AQ312" s="7931"/>
      <c r="AR312" s="1819">
        <v>65.400000000000006</v>
      </c>
      <c r="AS312" s="7945"/>
      <c r="AT312" s="7310">
        <f t="shared" si="454"/>
        <v>1013.7059999999999</v>
      </c>
      <c r="AU312" s="7931"/>
      <c r="AV312" s="1819">
        <v>60.2</v>
      </c>
      <c r="AW312" s="7945"/>
      <c r="AX312" s="7310">
        <f t="shared" si="515"/>
        <v>1073.9059999999999</v>
      </c>
      <c r="AY312" s="7931"/>
      <c r="AZ312" s="1819"/>
      <c r="BA312" s="7875"/>
      <c r="BB312" s="7301">
        <f t="shared" si="516"/>
        <v>125.60000000000001</v>
      </c>
      <c r="BC312" s="7885"/>
      <c r="BD312" s="7302">
        <f t="shared" si="517"/>
        <v>438.77700000000004</v>
      </c>
      <c r="BE312" s="7945"/>
      <c r="BF312" s="7310">
        <f t="shared" si="518"/>
        <v>1073.9059999999999</v>
      </c>
      <c r="BG312" s="4152">
        <f t="shared" si="475"/>
        <v>0</v>
      </c>
      <c r="BH312" s="4152">
        <f t="shared" si="476"/>
        <v>0</v>
      </c>
      <c r="BI312" s="4152"/>
      <c r="BJ312" s="4152">
        <f t="shared" si="477"/>
        <v>0</v>
      </c>
      <c r="BK312" s="4152">
        <f t="shared" si="478"/>
        <v>0</v>
      </c>
    </row>
    <row r="313" spans="1:63" x14ac:dyDescent="0.25">
      <c r="A313" s="188"/>
      <c r="B313" s="3815" t="s">
        <v>1259</v>
      </c>
      <c r="C313" s="3815" t="s">
        <v>862</v>
      </c>
      <c r="D313" s="3815"/>
      <c r="E313" s="7931"/>
      <c r="F313" s="1819">
        <v>6.6189999999999998</v>
      </c>
      <c r="G313" s="7931"/>
      <c r="H313" s="1819"/>
      <c r="I313" s="7911"/>
      <c r="J313" s="7310">
        <f t="shared" si="479"/>
        <v>6.6189999999999998</v>
      </c>
      <c r="K313" s="7931"/>
      <c r="L313" s="1819">
        <v>482.14000000000004</v>
      </c>
      <c r="M313" s="7875"/>
      <c r="N313" s="7301">
        <f t="shared" si="480"/>
        <v>488.75900000000001</v>
      </c>
      <c r="O313" s="7931"/>
      <c r="P313" s="1819"/>
      <c r="Q313" s="7911"/>
      <c r="R313" s="7310">
        <f t="shared" si="481"/>
        <v>488.75900000000001</v>
      </c>
      <c r="S313" s="7931"/>
      <c r="T313" s="1819"/>
      <c r="U313" s="7911"/>
      <c r="V313" s="7310">
        <f t="shared" si="482"/>
        <v>488.75900000000001</v>
      </c>
      <c r="W313" s="7931"/>
      <c r="X313" s="1819">
        <v>235.59</v>
      </c>
      <c r="Y313" s="7875"/>
      <c r="Z313" s="7301">
        <f t="shared" si="483"/>
        <v>235.59</v>
      </c>
      <c r="AA313" s="7885"/>
      <c r="AB313" s="7302">
        <f t="shared" si="484"/>
        <v>724.34900000000005</v>
      </c>
      <c r="AC313" s="7931"/>
      <c r="AD313" s="1819">
        <v>190.7</v>
      </c>
      <c r="AE313" s="7911"/>
      <c r="AF313" s="7310">
        <f t="shared" si="485"/>
        <v>915.04899999999998</v>
      </c>
      <c r="AG313" s="7931"/>
      <c r="AH313" s="1819"/>
      <c r="AI313" s="7945"/>
      <c r="AJ313" s="7310">
        <f t="shared" si="512"/>
        <v>915.04899999999998</v>
      </c>
      <c r="AK313" s="7931"/>
      <c r="AL313" s="1819">
        <v>932.20399999999995</v>
      </c>
      <c r="AM313" s="7875"/>
      <c r="AN313" s="7301">
        <f t="shared" si="513"/>
        <v>1122.904</v>
      </c>
      <c r="AO313" s="7911"/>
      <c r="AP313" s="7310">
        <f t="shared" si="514"/>
        <v>1847.2529999999999</v>
      </c>
      <c r="AQ313" s="7931"/>
      <c r="AR313" s="1819"/>
      <c r="AS313" s="7945"/>
      <c r="AT313" s="7310">
        <f t="shared" si="454"/>
        <v>1847.2529999999999</v>
      </c>
      <c r="AU313" s="7931"/>
      <c r="AV313" s="1819">
        <v>65.34</v>
      </c>
      <c r="AW313" s="7945"/>
      <c r="AX313" s="7310">
        <f t="shared" si="515"/>
        <v>1912.5929999999998</v>
      </c>
      <c r="AY313" s="7931"/>
      <c r="AZ313" s="1819"/>
      <c r="BA313" s="7875"/>
      <c r="BB313" s="7301">
        <f t="shared" si="516"/>
        <v>65.34</v>
      </c>
      <c r="BC313" s="7885"/>
      <c r="BD313" s="7302">
        <f t="shared" si="517"/>
        <v>1188.2439999999999</v>
      </c>
      <c r="BE313" s="7945"/>
      <c r="BF313" s="7310">
        <f t="shared" si="518"/>
        <v>1912.5929999999998</v>
      </c>
      <c r="BG313" s="4152">
        <f t="shared" si="475"/>
        <v>0</v>
      </c>
      <c r="BH313" s="4152">
        <f t="shared" si="476"/>
        <v>0</v>
      </c>
      <c r="BI313" s="4152"/>
      <c r="BJ313" s="4152">
        <f t="shared" si="477"/>
        <v>0</v>
      </c>
      <c r="BK313" s="4152">
        <f t="shared" si="478"/>
        <v>0</v>
      </c>
    </row>
    <row r="314" spans="1:63" x14ac:dyDescent="0.25">
      <c r="A314" s="188"/>
      <c r="B314" s="3815" t="s">
        <v>1087</v>
      </c>
      <c r="C314" s="3815" t="s">
        <v>1302</v>
      </c>
      <c r="D314" s="3815"/>
      <c r="E314" s="7931"/>
      <c r="F314" s="1819">
        <v>2711.6490000000003</v>
      </c>
      <c r="G314" s="7931"/>
      <c r="H314" s="1819">
        <v>2825.5800000000004</v>
      </c>
      <c r="I314" s="7911"/>
      <c r="J314" s="7310">
        <f t="shared" si="479"/>
        <v>5537.2290000000012</v>
      </c>
      <c r="K314" s="7931"/>
      <c r="L314" s="1819">
        <v>2325.63</v>
      </c>
      <c r="M314" s="7875"/>
      <c r="N314" s="7301">
        <f t="shared" si="480"/>
        <v>7862.8590000000013</v>
      </c>
      <c r="O314" s="7931"/>
      <c r="P314" s="1819">
        <v>2399.52</v>
      </c>
      <c r="Q314" s="7911"/>
      <c r="R314" s="7310">
        <f t="shared" si="481"/>
        <v>10262.379000000001</v>
      </c>
      <c r="S314" s="7931"/>
      <c r="T314" s="1819">
        <v>1168.8400000000001</v>
      </c>
      <c r="U314" s="7911"/>
      <c r="V314" s="7310">
        <f t="shared" si="482"/>
        <v>11431.219000000001</v>
      </c>
      <c r="W314" s="7931"/>
      <c r="X314" s="1819">
        <v>394.95000000000005</v>
      </c>
      <c r="Y314" s="7875"/>
      <c r="Z314" s="7301">
        <f t="shared" si="483"/>
        <v>3963.3100000000004</v>
      </c>
      <c r="AA314" s="7885"/>
      <c r="AB314" s="7302">
        <f t="shared" si="484"/>
        <v>11826.169000000002</v>
      </c>
      <c r="AC314" s="7931"/>
      <c r="AD314" s="1819">
        <v>221.39999999999998</v>
      </c>
      <c r="AE314" s="7911"/>
      <c r="AF314" s="7310">
        <f t="shared" si="485"/>
        <v>12047.569000000001</v>
      </c>
      <c r="AG314" s="7931"/>
      <c r="AH314" s="1819">
        <v>2382.09</v>
      </c>
      <c r="AI314" s="7945"/>
      <c r="AJ314" s="7310">
        <f t="shared" si="512"/>
        <v>14429.659000000001</v>
      </c>
      <c r="AK314" s="7931"/>
      <c r="AL314" s="1819">
        <v>68.597999999999999</v>
      </c>
      <c r="AM314" s="7875"/>
      <c r="AN314" s="7301">
        <f t="shared" si="513"/>
        <v>2672.0880000000002</v>
      </c>
      <c r="AO314" s="7911"/>
      <c r="AP314" s="7310">
        <f t="shared" si="514"/>
        <v>14498.257000000001</v>
      </c>
      <c r="AQ314" s="7931"/>
      <c r="AR314" s="1819">
        <v>2583.39</v>
      </c>
      <c r="AS314" s="7945"/>
      <c r="AT314" s="7310">
        <f t="shared" si="454"/>
        <v>17081.647000000001</v>
      </c>
      <c r="AU314" s="7931"/>
      <c r="AV314" s="1819">
        <v>125.36</v>
      </c>
      <c r="AW314" s="7945"/>
      <c r="AX314" s="7310">
        <f t="shared" si="515"/>
        <v>17207.007000000001</v>
      </c>
      <c r="AY314" s="7931"/>
      <c r="AZ314" s="1819">
        <v>1629.58</v>
      </c>
      <c r="BA314" s="7875"/>
      <c r="BB314" s="7301">
        <f t="shared" si="516"/>
        <v>4338.33</v>
      </c>
      <c r="BC314" s="7885"/>
      <c r="BD314" s="7302">
        <f t="shared" si="517"/>
        <v>7010.4179999999997</v>
      </c>
      <c r="BE314" s="7945"/>
      <c r="BF314" s="7310">
        <f t="shared" si="518"/>
        <v>18836.587</v>
      </c>
      <c r="BG314" s="4152">
        <f t="shared" si="475"/>
        <v>0</v>
      </c>
      <c r="BH314" s="4152">
        <f t="shared" si="476"/>
        <v>0</v>
      </c>
      <c r="BI314" s="4152"/>
      <c r="BJ314" s="4152">
        <f t="shared" si="477"/>
        <v>0</v>
      </c>
      <c r="BK314" s="4152">
        <f t="shared" si="478"/>
        <v>0</v>
      </c>
    </row>
    <row r="315" spans="1:63" x14ac:dyDescent="0.25">
      <c r="A315" s="188"/>
      <c r="B315" s="3846" t="s">
        <v>1087</v>
      </c>
      <c r="C315" s="3846" t="s">
        <v>863</v>
      </c>
      <c r="D315" s="3846"/>
      <c r="E315" s="7934"/>
      <c r="F315" s="3790">
        <v>140.56199999999998</v>
      </c>
      <c r="G315" s="7934"/>
      <c r="H315" s="5575"/>
      <c r="I315" s="7914"/>
      <c r="J315" s="7310">
        <f t="shared" si="479"/>
        <v>140.56199999999998</v>
      </c>
      <c r="K315" s="7934"/>
      <c r="L315" s="5695">
        <v>127.02</v>
      </c>
      <c r="M315" s="7878"/>
      <c r="N315" s="7301">
        <f t="shared" si="480"/>
        <v>267.58199999999999</v>
      </c>
      <c r="O315" s="7934"/>
      <c r="P315" s="5857"/>
      <c r="Q315" s="7914"/>
      <c r="R315" s="7310">
        <f t="shared" si="481"/>
        <v>267.58199999999999</v>
      </c>
      <c r="S315" s="7934"/>
      <c r="T315" s="5902"/>
      <c r="U315" s="7914"/>
      <c r="V315" s="7310">
        <f t="shared" si="482"/>
        <v>267.58199999999999</v>
      </c>
      <c r="W315" s="7934"/>
      <c r="X315" s="6021"/>
      <c r="Y315" s="7878"/>
      <c r="Z315" s="7301">
        <f t="shared" si="483"/>
        <v>0</v>
      </c>
      <c r="AA315" s="7888"/>
      <c r="AB315" s="7302">
        <f t="shared" si="484"/>
        <v>267.58199999999999</v>
      </c>
      <c r="AC315" s="7934"/>
      <c r="AD315" s="6156"/>
      <c r="AE315" s="7914"/>
      <c r="AF315" s="7310">
        <f t="shared" si="485"/>
        <v>267.58199999999999</v>
      </c>
      <c r="AG315" s="7934"/>
      <c r="AH315" s="6318">
        <v>275.35999999999996</v>
      </c>
      <c r="AI315" s="7945"/>
      <c r="AJ315" s="7310">
        <f t="shared" si="512"/>
        <v>542.94200000000001</v>
      </c>
      <c r="AK315" s="7934"/>
      <c r="AL315" s="6557">
        <v>110.92</v>
      </c>
      <c r="AM315" s="7878"/>
      <c r="AN315" s="7301">
        <f t="shared" si="513"/>
        <v>386.28</v>
      </c>
      <c r="AO315" s="7914"/>
      <c r="AP315" s="7310">
        <f t="shared" si="514"/>
        <v>653.86199999999997</v>
      </c>
      <c r="AQ315" s="7934"/>
      <c r="AR315" s="6657">
        <v>164.69</v>
      </c>
      <c r="AS315" s="7945"/>
      <c r="AT315" s="7310">
        <f t="shared" si="454"/>
        <v>818.55199999999991</v>
      </c>
      <c r="AU315" s="7934"/>
      <c r="AV315" s="6822"/>
      <c r="AW315" s="7945"/>
      <c r="AX315" s="7310">
        <f t="shared" si="515"/>
        <v>818.55199999999991</v>
      </c>
      <c r="AY315" s="7934"/>
      <c r="AZ315" s="6966">
        <v>133.24</v>
      </c>
      <c r="BA315" s="7878"/>
      <c r="BB315" s="7301">
        <f t="shared" si="516"/>
        <v>297.93</v>
      </c>
      <c r="BC315" s="7888"/>
      <c r="BD315" s="7302">
        <f t="shared" si="517"/>
        <v>684.21</v>
      </c>
      <c r="BE315" s="7945"/>
      <c r="BF315" s="7310">
        <f t="shared" si="518"/>
        <v>951.79199999999992</v>
      </c>
      <c r="BG315" s="4152">
        <f t="shared" si="475"/>
        <v>0</v>
      </c>
      <c r="BH315" s="4152">
        <f t="shared" si="476"/>
        <v>0</v>
      </c>
      <c r="BI315" s="4152"/>
      <c r="BJ315" s="4152">
        <f t="shared" si="477"/>
        <v>0</v>
      </c>
      <c r="BK315" s="4152">
        <f t="shared" si="478"/>
        <v>0</v>
      </c>
    </row>
    <row r="316" spans="1:63" s="5729" customFormat="1" x14ac:dyDescent="0.25">
      <c r="A316" s="188"/>
      <c r="B316" s="5796" t="s">
        <v>1617</v>
      </c>
      <c r="C316" s="5796" t="s">
        <v>863</v>
      </c>
      <c r="D316" s="5796"/>
      <c r="E316" s="7935"/>
      <c r="F316" s="5797">
        <v>89.337000000000003</v>
      </c>
      <c r="G316" s="7935"/>
      <c r="H316" s="5797"/>
      <c r="I316" s="7915"/>
      <c r="J316" s="7310">
        <f t="shared" si="479"/>
        <v>89.337000000000003</v>
      </c>
      <c r="K316" s="7935"/>
      <c r="L316" s="5797">
        <v>245.12</v>
      </c>
      <c r="M316" s="7879"/>
      <c r="N316" s="7301">
        <f t="shared" si="480"/>
        <v>334.45699999999999</v>
      </c>
      <c r="O316" s="7935"/>
      <c r="P316" s="5797">
        <v>239.31000000000003</v>
      </c>
      <c r="Q316" s="7915"/>
      <c r="R316" s="7310">
        <f t="shared" si="481"/>
        <v>573.76700000000005</v>
      </c>
      <c r="S316" s="7935"/>
      <c r="T316" s="5797">
        <v>188.86</v>
      </c>
      <c r="U316" s="7915"/>
      <c r="V316" s="7310">
        <f t="shared" si="482"/>
        <v>762.62700000000007</v>
      </c>
      <c r="W316" s="7935"/>
      <c r="X316" s="5797">
        <v>499.31999999999994</v>
      </c>
      <c r="Y316" s="7879"/>
      <c r="Z316" s="7301">
        <f t="shared" si="483"/>
        <v>927.49</v>
      </c>
      <c r="AA316" s="7889"/>
      <c r="AB316" s="7302">
        <f t="shared" si="484"/>
        <v>1261.9470000000001</v>
      </c>
      <c r="AC316" s="7935"/>
      <c r="AD316" s="5797">
        <v>190.66</v>
      </c>
      <c r="AE316" s="7915"/>
      <c r="AF316" s="7310">
        <f t="shared" si="485"/>
        <v>1452.6070000000002</v>
      </c>
      <c r="AG316" s="7935"/>
      <c r="AH316" s="5797"/>
      <c r="AI316" s="7945"/>
      <c r="AJ316" s="7310">
        <f t="shared" si="512"/>
        <v>1452.6070000000002</v>
      </c>
      <c r="AK316" s="7935"/>
      <c r="AL316" s="5797">
        <v>62.26</v>
      </c>
      <c r="AM316" s="7879"/>
      <c r="AN316" s="7301">
        <f t="shared" si="513"/>
        <v>252.92</v>
      </c>
      <c r="AO316" s="7915"/>
      <c r="AP316" s="7310">
        <f t="shared" si="514"/>
        <v>1514.8670000000002</v>
      </c>
      <c r="AQ316" s="7935"/>
      <c r="AR316" s="5797"/>
      <c r="AS316" s="7945"/>
      <c r="AT316" s="5739">
        <f t="shared" si="454"/>
        <v>1514.8670000000002</v>
      </c>
      <c r="AU316" s="7935"/>
      <c r="AV316" s="5797"/>
      <c r="AW316" s="7945"/>
      <c r="AX316" s="7310">
        <f t="shared" si="515"/>
        <v>1514.8670000000002</v>
      </c>
      <c r="AY316" s="7935"/>
      <c r="AZ316" s="5797"/>
      <c r="BA316" s="7879"/>
      <c r="BB316" s="7301">
        <f t="shared" si="516"/>
        <v>0</v>
      </c>
      <c r="BC316" s="7889"/>
      <c r="BD316" s="7302">
        <f t="shared" si="517"/>
        <v>252.92</v>
      </c>
      <c r="BE316" s="7945"/>
      <c r="BF316" s="7310">
        <f t="shared" si="518"/>
        <v>1514.8670000000002</v>
      </c>
      <c r="BG316" s="4152">
        <f t="shared" si="475"/>
        <v>0</v>
      </c>
      <c r="BH316" s="4152">
        <f t="shared" si="476"/>
        <v>0</v>
      </c>
      <c r="BI316" s="4152"/>
      <c r="BJ316" s="4152">
        <f t="shared" si="477"/>
        <v>0</v>
      </c>
      <c r="BK316" s="4152">
        <f t="shared" si="478"/>
        <v>0</v>
      </c>
    </row>
    <row r="317" spans="1:63" x14ac:dyDescent="0.25">
      <c r="A317" s="188"/>
      <c r="B317" s="3848" t="s">
        <v>1617</v>
      </c>
      <c r="C317" s="3848" t="s">
        <v>862</v>
      </c>
      <c r="D317" s="3848"/>
      <c r="E317" s="7936"/>
      <c r="F317" s="2656">
        <v>19.149000000000001</v>
      </c>
      <c r="G317" s="7936"/>
      <c r="H317" s="2656"/>
      <c r="I317" s="7916"/>
      <c r="J317" s="7310">
        <f t="shared" si="479"/>
        <v>19.149000000000001</v>
      </c>
      <c r="K317" s="7936"/>
      <c r="L317" s="2656">
        <v>1062.9100000000001</v>
      </c>
      <c r="M317" s="7880"/>
      <c r="N317" s="7301">
        <f t="shared" si="480"/>
        <v>1082.0590000000002</v>
      </c>
      <c r="O317" s="7936"/>
      <c r="P317" s="2656">
        <v>41.68</v>
      </c>
      <c r="Q317" s="7916"/>
      <c r="R317" s="7310">
        <f t="shared" si="481"/>
        <v>1123.7390000000003</v>
      </c>
      <c r="S317" s="7936"/>
      <c r="T317" s="2656">
        <v>749.45999999999992</v>
      </c>
      <c r="U317" s="7916"/>
      <c r="V317" s="7310">
        <f t="shared" si="482"/>
        <v>1873.1990000000001</v>
      </c>
      <c r="W317" s="7936"/>
      <c r="X317" s="2656">
        <v>320.70999999999998</v>
      </c>
      <c r="Y317" s="7880"/>
      <c r="Z317" s="7301">
        <f t="shared" si="483"/>
        <v>1111.8499999999999</v>
      </c>
      <c r="AA317" s="7890"/>
      <c r="AB317" s="7302">
        <f t="shared" si="484"/>
        <v>2193.9090000000001</v>
      </c>
      <c r="AC317" s="7936"/>
      <c r="AD317" s="2656">
        <v>334.22</v>
      </c>
      <c r="AE317" s="7916"/>
      <c r="AF317" s="7310">
        <f t="shared" si="485"/>
        <v>2528.1289999999999</v>
      </c>
      <c r="AG317" s="7936"/>
      <c r="AH317" s="2656"/>
      <c r="AI317" s="7945"/>
      <c r="AJ317" s="7310">
        <f t="shared" si="512"/>
        <v>2528.1289999999999</v>
      </c>
      <c r="AK317" s="7936"/>
      <c r="AL317" s="2656">
        <v>545.11</v>
      </c>
      <c r="AM317" s="7880"/>
      <c r="AN317" s="7301">
        <f t="shared" si="513"/>
        <v>879.33</v>
      </c>
      <c r="AO317" s="7916"/>
      <c r="AP317" s="7310">
        <f t="shared" si="514"/>
        <v>3073.239</v>
      </c>
      <c r="AQ317" s="7936"/>
      <c r="AR317" s="2656"/>
      <c r="AS317" s="7945"/>
      <c r="AT317" s="7310">
        <f t="shared" si="454"/>
        <v>3073.239</v>
      </c>
      <c r="AU317" s="7936"/>
      <c r="AV317" s="2656"/>
      <c r="AW317" s="7945"/>
      <c r="AX317" s="7310">
        <f t="shared" si="515"/>
        <v>3073.239</v>
      </c>
      <c r="AY317" s="7936"/>
      <c r="AZ317" s="2656"/>
      <c r="BA317" s="7880"/>
      <c r="BB317" s="7301">
        <f t="shared" si="516"/>
        <v>0</v>
      </c>
      <c r="BC317" s="7890"/>
      <c r="BD317" s="7302">
        <f t="shared" si="517"/>
        <v>879.33</v>
      </c>
      <c r="BE317" s="7945"/>
      <c r="BF317" s="7310">
        <f t="shared" si="518"/>
        <v>3073.239</v>
      </c>
      <c r="BG317" s="4152">
        <f t="shared" si="475"/>
        <v>0</v>
      </c>
      <c r="BH317" s="4152">
        <f t="shared" si="476"/>
        <v>0</v>
      </c>
      <c r="BI317" s="4152"/>
      <c r="BJ317" s="4152">
        <f t="shared" si="477"/>
        <v>0</v>
      </c>
      <c r="BK317" s="4152">
        <f t="shared" si="478"/>
        <v>0</v>
      </c>
    </row>
    <row r="318" spans="1:63" x14ac:dyDescent="0.25">
      <c r="A318" s="188"/>
      <c r="B318" s="3865" t="s">
        <v>1150</v>
      </c>
      <c r="C318" s="3815" t="s">
        <v>862</v>
      </c>
      <c r="D318" s="3815"/>
      <c r="E318" s="7931"/>
      <c r="F318" s="1819">
        <v>630.66499999999996</v>
      </c>
      <c r="G318" s="7931"/>
      <c r="H318" s="1819">
        <v>1131.1100000000001</v>
      </c>
      <c r="I318" s="7911"/>
      <c r="J318" s="7310">
        <f t="shared" si="479"/>
        <v>1761.7750000000001</v>
      </c>
      <c r="K318" s="7931"/>
      <c r="L318" s="1819">
        <v>885.1400000000001</v>
      </c>
      <c r="M318" s="7875"/>
      <c r="N318" s="7301">
        <f t="shared" si="480"/>
        <v>2646.915</v>
      </c>
      <c r="O318" s="7931"/>
      <c r="P318" s="1819">
        <v>225.07</v>
      </c>
      <c r="Q318" s="7911"/>
      <c r="R318" s="7310">
        <f t="shared" si="481"/>
        <v>2871.9850000000001</v>
      </c>
      <c r="S318" s="7931"/>
      <c r="T318" s="1819">
        <v>305.78000000000003</v>
      </c>
      <c r="U318" s="7911"/>
      <c r="V318" s="7310">
        <f t="shared" si="482"/>
        <v>3177.7650000000003</v>
      </c>
      <c r="W318" s="7931"/>
      <c r="X318" s="1819">
        <v>311.08</v>
      </c>
      <c r="Y318" s="7875"/>
      <c r="Z318" s="7301">
        <f t="shared" si="483"/>
        <v>841.93000000000006</v>
      </c>
      <c r="AA318" s="7885"/>
      <c r="AB318" s="7302">
        <f t="shared" si="484"/>
        <v>3488.8450000000003</v>
      </c>
      <c r="AC318" s="7931"/>
      <c r="AD318" s="1819">
        <v>64.86</v>
      </c>
      <c r="AE318" s="7911"/>
      <c r="AF318" s="7310">
        <f t="shared" si="485"/>
        <v>3553.7050000000004</v>
      </c>
      <c r="AG318" s="7931"/>
      <c r="AH318" s="1819">
        <v>1364.46</v>
      </c>
      <c r="AI318" s="7945"/>
      <c r="AJ318" s="7310">
        <f t="shared" si="512"/>
        <v>4918.1650000000009</v>
      </c>
      <c r="AK318" s="7931"/>
      <c r="AL318" s="1819"/>
      <c r="AM318" s="7875"/>
      <c r="AN318" s="7301">
        <f t="shared" si="513"/>
        <v>1429.32</v>
      </c>
      <c r="AO318" s="7911"/>
      <c r="AP318" s="7310">
        <f t="shared" si="514"/>
        <v>4918.1650000000009</v>
      </c>
      <c r="AQ318" s="7931"/>
      <c r="AR318" s="1819">
        <v>1400.8600000000001</v>
      </c>
      <c r="AS318" s="7945"/>
      <c r="AT318" s="7310">
        <f t="shared" si="454"/>
        <v>6319.0250000000015</v>
      </c>
      <c r="AU318" s="7931"/>
      <c r="AV318" s="1819">
        <v>1924.33</v>
      </c>
      <c r="AW318" s="7945"/>
      <c r="AX318" s="7310">
        <f t="shared" si="515"/>
        <v>8243.3550000000014</v>
      </c>
      <c r="AY318" s="7931"/>
      <c r="AZ318" s="1819">
        <v>2164.2599999999998</v>
      </c>
      <c r="BA318" s="7875"/>
      <c r="BB318" s="7301">
        <f t="shared" si="516"/>
        <v>5489.45</v>
      </c>
      <c r="BC318" s="7885"/>
      <c r="BD318" s="7302">
        <f t="shared" si="517"/>
        <v>6918.7699999999995</v>
      </c>
      <c r="BE318" s="7945"/>
      <c r="BF318" s="7310">
        <f t="shared" si="518"/>
        <v>10407.615000000002</v>
      </c>
      <c r="BG318" s="4152">
        <f t="shared" si="475"/>
        <v>0</v>
      </c>
      <c r="BH318" s="4152">
        <f t="shared" si="476"/>
        <v>0</v>
      </c>
      <c r="BI318" s="4152"/>
      <c r="BJ318" s="4152">
        <f t="shared" si="477"/>
        <v>0</v>
      </c>
      <c r="BK318" s="4152">
        <f t="shared" si="478"/>
        <v>0</v>
      </c>
    </row>
    <row r="319" spans="1:63" s="5874" customFormat="1" x14ac:dyDescent="0.25">
      <c r="A319" s="188"/>
      <c r="B319" s="5794" t="s">
        <v>1150</v>
      </c>
      <c r="C319" s="5796" t="s">
        <v>1994</v>
      </c>
      <c r="D319" s="5796"/>
      <c r="E319" s="7935"/>
      <c r="F319" s="5797"/>
      <c r="G319" s="7935"/>
      <c r="H319" s="5797"/>
      <c r="I319" s="7915"/>
      <c r="J319" s="7310">
        <f t="shared" si="479"/>
        <v>0</v>
      </c>
      <c r="K319" s="7935"/>
      <c r="L319" s="5797"/>
      <c r="M319" s="7879"/>
      <c r="N319" s="7301">
        <f t="shared" si="480"/>
        <v>0</v>
      </c>
      <c r="O319" s="7935"/>
      <c r="P319" s="5797">
        <v>758.98</v>
      </c>
      <c r="Q319" s="7915"/>
      <c r="R319" s="7310">
        <f t="shared" si="481"/>
        <v>758.98</v>
      </c>
      <c r="S319" s="7935"/>
      <c r="T319" s="5797"/>
      <c r="U319" s="7915"/>
      <c r="V319" s="7310">
        <f t="shared" si="482"/>
        <v>758.98</v>
      </c>
      <c r="W319" s="7935"/>
      <c r="X319" s="5797">
        <v>635.87999999999988</v>
      </c>
      <c r="Y319" s="7879"/>
      <c r="Z319" s="7301">
        <f t="shared" si="483"/>
        <v>1394.86</v>
      </c>
      <c r="AA319" s="7889"/>
      <c r="AB319" s="7302">
        <f t="shared" si="484"/>
        <v>1394.86</v>
      </c>
      <c r="AC319" s="7935"/>
      <c r="AD319" s="5797"/>
      <c r="AE319" s="7915"/>
      <c r="AF319" s="7310">
        <f t="shared" si="485"/>
        <v>1394.86</v>
      </c>
      <c r="AG319" s="7935"/>
      <c r="AH319" s="5797"/>
      <c r="AI319" s="7945"/>
      <c r="AJ319" s="7310">
        <f t="shared" si="512"/>
        <v>1394.86</v>
      </c>
      <c r="AK319" s="7935"/>
      <c r="AL319" s="5797"/>
      <c r="AM319" s="7879"/>
      <c r="AN319" s="7301">
        <f t="shared" si="513"/>
        <v>0</v>
      </c>
      <c r="AO319" s="7915"/>
      <c r="AP319" s="7310">
        <f t="shared" si="514"/>
        <v>1394.86</v>
      </c>
      <c r="AQ319" s="7935"/>
      <c r="AR319" s="5797"/>
      <c r="AS319" s="7945"/>
      <c r="AT319" s="5739">
        <f t="shared" si="454"/>
        <v>1394.86</v>
      </c>
      <c r="AU319" s="7935"/>
      <c r="AV319" s="5797"/>
      <c r="AW319" s="7945"/>
      <c r="AX319" s="7310">
        <f t="shared" si="515"/>
        <v>1394.86</v>
      </c>
      <c r="AY319" s="7935"/>
      <c r="AZ319" s="5797"/>
      <c r="BA319" s="7879"/>
      <c r="BB319" s="7301">
        <f t="shared" si="516"/>
        <v>0</v>
      </c>
      <c r="BC319" s="7889"/>
      <c r="BD319" s="7302">
        <f t="shared" si="517"/>
        <v>0</v>
      </c>
      <c r="BE319" s="7945"/>
      <c r="BF319" s="7310">
        <f t="shared" si="518"/>
        <v>1394.86</v>
      </c>
      <c r="BG319" s="4152">
        <f t="shared" si="475"/>
        <v>0</v>
      </c>
      <c r="BH319" s="4152">
        <f t="shared" si="476"/>
        <v>0</v>
      </c>
      <c r="BI319" s="4152"/>
      <c r="BJ319" s="4152">
        <f t="shared" si="477"/>
        <v>0</v>
      </c>
      <c r="BK319" s="4152">
        <f t="shared" si="478"/>
        <v>0</v>
      </c>
    </row>
    <row r="320" spans="1:63" x14ac:dyDescent="0.25">
      <c r="A320" s="188"/>
      <c r="B320" s="3865" t="s">
        <v>1261</v>
      </c>
      <c r="C320" s="3815" t="s">
        <v>1260</v>
      </c>
      <c r="D320" s="3815"/>
      <c r="E320" s="7931"/>
      <c r="F320" s="1819">
        <v>280.52099999999996</v>
      </c>
      <c r="G320" s="7931"/>
      <c r="H320" s="1819">
        <v>178.74</v>
      </c>
      <c r="I320" s="7911"/>
      <c r="J320" s="7310">
        <f t="shared" si="479"/>
        <v>459.26099999999997</v>
      </c>
      <c r="K320" s="7931"/>
      <c r="L320" s="1819">
        <v>701.65000000000009</v>
      </c>
      <c r="M320" s="7875"/>
      <c r="N320" s="7301">
        <f t="shared" si="480"/>
        <v>1160.9110000000001</v>
      </c>
      <c r="O320" s="7931"/>
      <c r="P320" s="1819">
        <v>516.93000000000006</v>
      </c>
      <c r="Q320" s="7911"/>
      <c r="R320" s="7310">
        <f t="shared" si="481"/>
        <v>1677.8410000000001</v>
      </c>
      <c r="S320" s="7931"/>
      <c r="T320" s="1819">
        <v>221.07</v>
      </c>
      <c r="U320" s="7911"/>
      <c r="V320" s="7310">
        <f t="shared" si="482"/>
        <v>1898.9110000000001</v>
      </c>
      <c r="W320" s="7931"/>
      <c r="X320" s="1819">
        <v>290.77</v>
      </c>
      <c r="Y320" s="7875"/>
      <c r="Z320" s="7301">
        <f t="shared" si="483"/>
        <v>1028.77</v>
      </c>
      <c r="AA320" s="7885"/>
      <c r="AB320" s="7302">
        <f t="shared" si="484"/>
        <v>2189.681</v>
      </c>
      <c r="AC320" s="7931"/>
      <c r="AD320" s="1819">
        <v>375.49</v>
      </c>
      <c r="AE320" s="7911"/>
      <c r="AF320" s="7310">
        <f t="shared" si="485"/>
        <v>2565.1710000000003</v>
      </c>
      <c r="AG320" s="7931"/>
      <c r="AH320" s="1819">
        <v>1012.8799999999999</v>
      </c>
      <c r="AI320" s="7945"/>
      <c r="AJ320" s="7310">
        <f t="shared" si="512"/>
        <v>3578.0510000000004</v>
      </c>
      <c r="AK320" s="7931"/>
      <c r="AL320" s="1819">
        <v>499.6</v>
      </c>
      <c r="AM320" s="7875"/>
      <c r="AN320" s="7301">
        <f t="shared" si="513"/>
        <v>1887.9699999999998</v>
      </c>
      <c r="AO320" s="7911"/>
      <c r="AP320" s="7310">
        <f t="shared" si="514"/>
        <v>4077.6510000000003</v>
      </c>
      <c r="AQ320" s="7931"/>
      <c r="AR320" s="1819">
        <v>737.13999999999987</v>
      </c>
      <c r="AS320" s="7945"/>
      <c r="AT320" s="7310">
        <f t="shared" si="454"/>
        <v>4814.7910000000002</v>
      </c>
      <c r="AU320" s="7931"/>
      <c r="AV320" s="1819">
        <v>555.59</v>
      </c>
      <c r="AW320" s="7945"/>
      <c r="AX320" s="7310">
        <f t="shared" si="515"/>
        <v>5370.3810000000003</v>
      </c>
      <c r="AY320" s="7931"/>
      <c r="AZ320" s="1819">
        <v>1151.038</v>
      </c>
      <c r="BA320" s="7875"/>
      <c r="BB320" s="7301">
        <f t="shared" si="516"/>
        <v>2443.768</v>
      </c>
      <c r="BC320" s="7885"/>
      <c r="BD320" s="7302">
        <f t="shared" si="517"/>
        <v>4331.7379999999994</v>
      </c>
      <c r="BE320" s="7945"/>
      <c r="BF320" s="7310">
        <f t="shared" si="518"/>
        <v>6521.4189999999999</v>
      </c>
      <c r="BG320" s="4152">
        <f t="shared" si="475"/>
        <v>0</v>
      </c>
      <c r="BH320" s="4152">
        <f t="shared" si="476"/>
        <v>0</v>
      </c>
      <c r="BI320" s="4152"/>
      <c r="BJ320" s="4152">
        <f t="shared" si="477"/>
        <v>0</v>
      </c>
      <c r="BK320" s="4152">
        <f t="shared" si="478"/>
        <v>0</v>
      </c>
    </row>
    <row r="321" spans="1:63" s="5874" customFormat="1" x14ac:dyDescent="0.25">
      <c r="A321" s="188"/>
      <c r="B321" s="5794" t="s">
        <v>1261</v>
      </c>
      <c r="C321" s="5796" t="s">
        <v>1994</v>
      </c>
      <c r="D321" s="5796"/>
      <c r="E321" s="7935"/>
      <c r="F321" s="5797">
        <v>797.95299999999997</v>
      </c>
      <c r="G321" s="7935"/>
      <c r="H321" s="5797"/>
      <c r="I321" s="7915"/>
      <c r="J321" s="7310">
        <f t="shared" si="479"/>
        <v>797.95299999999997</v>
      </c>
      <c r="K321" s="7935"/>
      <c r="L321" s="5797"/>
      <c r="M321" s="7879"/>
      <c r="N321" s="7301">
        <f t="shared" si="480"/>
        <v>797.95299999999997</v>
      </c>
      <c r="O321" s="7935"/>
      <c r="P321" s="5797">
        <v>776.49999999999989</v>
      </c>
      <c r="Q321" s="7915"/>
      <c r="R321" s="7310">
        <f t="shared" si="481"/>
        <v>1574.453</v>
      </c>
      <c r="S321" s="7935"/>
      <c r="T321" s="5797"/>
      <c r="U321" s="7915"/>
      <c r="V321" s="7310">
        <f t="shared" si="482"/>
        <v>1574.453</v>
      </c>
      <c r="W321" s="7935"/>
      <c r="X321" s="5797">
        <v>444.9</v>
      </c>
      <c r="Y321" s="7879"/>
      <c r="Z321" s="7301">
        <f t="shared" si="483"/>
        <v>1221.3999999999999</v>
      </c>
      <c r="AA321" s="7889"/>
      <c r="AB321" s="7302">
        <f t="shared" si="484"/>
        <v>2019.3529999999998</v>
      </c>
      <c r="AC321" s="7935"/>
      <c r="AD321" s="5797"/>
      <c r="AE321" s="7915"/>
      <c r="AF321" s="7310">
        <f t="shared" si="485"/>
        <v>2019.3529999999998</v>
      </c>
      <c r="AG321" s="7935"/>
      <c r="AH321" s="5797">
        <v>126.64</v>
      </c>
      <c r="AI321" s="7945"/>
      <c r="AJ321" s="7310">
        <f t="shared" si="512"/>
        <v>2145.9929999999999</v>
      </c>
      <c r="AK321" s="7935"/>
      <c r="AL321" s="5797"/>
      <c r="AM321" s="7879"/>
      <c r="AN321" s="7301">
        <f t="shared" si="513"/>
        <v>126.64</v>
      </c>
      <c r="AO321" s="7915"/>
      <c r="AP321" s="7310">
        <f t="shared" si="514"/>
        <v>2145.9929999999999</v>
      </c>
      <c r="AQ321" s="7935"/>
      <c r="AR321" s="5797"/>
      <c r="AS321" s="7945"/>
      <c r="AT321" s="5739">
        <f t="shared" si="454"/>
        <v>2145.9929999999999</v>
      </c>
      <c r="AU321" s="7935"/>
      <c r="AV321" s="5797"/>
      <c r="AW321" s="7945"/>
      <c r="AX321" s="7310">
        <f t="shared" si="515"/>
        <v>2145.9929999999999</v>
      </c>
      <c r="AY321" s="7935"/>
      <c r="AZ321" s="5797"/>
      <c r="BA321" s="7879"/>
      <c r="BB321" s="7301">
        <f t="shared" si="516"/>
        <v>0</v>
      </c>
      <c r="BC321" s="7889"/>
      <c r="BD321" s="7302">
        <f t="shared" si="517"/>
        <v>126.64</v>
      </c>
      <c r="BE321" s="7945"/>
      <c r="BF321" s="7310">
        <f t="shared" si="518"/>
        <v>2145.9929999999999</v>
      </c>
      <c r="BG321" s="4152">
        <f t="shared" si="475"/>
        <v>0</v>
      </c>
      <c r="BH321" s="4152">
        <f t="shared" si="476"/>
        <v>0</v>
      </c>
      <c r="BI321" s="4152"/>
      <c r="BJ321" s="4152">
        <f t="shared" si="477"/>
        <v>0</v>
      </c>
      <c r="BK321" s="4152">
        <f t="shared" si="478"/>
        <v>0</v>
      </c>
    </row>
    <row r="322" spans="1:63" x14ac:dyDescent="0.25">
      <c r="A322" s="188"/>
      <c r="B322" s="3865" t="s">
        <v>1552</v>
      </c>
      <c r="C322" s="3815" t="s">
        <v>1260</v>
      </c>
      <c r="D322" s="3815"/>
      <c r="E322" s="7931"/>
      <c r="F322" s="1819"/>
      <c r="G322" s="7931"/>
      <c r="H322" s="1819"/>
      <c r="I322" s="7911"/>
      <c r="J322" s="7310">
        <f t="shared" si="479"/>
        <v>0</v>
      </c>
      <c r="K322" s="7931"/>
      <c r="L322" s="1819"/>
      <c r="M322" s="7875"/>
      <c r="N322" s="7301">
        <f t="shared" si="480"/>
        <v>0</v>
      </c>
      <c r="O322" s="7931"/>
      <c r="P322" s="1819"/>
      <c r="Q322" s="7911"/>
      <c r="R322" s="7310">
        <f t="shared" si="481"/>
        <v>0</v>
      </c>
      <c r="S322" s="7931"/>
      <c r="T322" s="1819"/>
      <c r="U322" s="7911"/>
      <c r="V322" s="7310">
        <f t="shared" si="482"/>
        <v>0</v>
      </c>
      <c r="W322" s="7931"/>
      <c r="X322" s="1819"/>
      <c r="Y322" s="7875"/>
      <c r="Z322" s="7301">
        <f t="shared" si="483"/>
        <v>0</v>
      </c>
      <c r="AA322" s="7885"/>
      <c r="AB322" s="7302">
        <f t="shared" si="484"/>
        <v>0</v>
      </c>
      <c r="AC322" s="7931"/>
      <c r="AD322" s="1819"/>
      <c r="AE322" s="7911"/>
      <c r="AF322" s="7310">
        <f t="shared" si="485"/>
        <v>0</v>
      </c>
      <c r="AG322" s="7931"/>
      <c r="AH322" s="1819"/>
      <c r="AI322" s="7945"/>
      <c r="AJ322" s="7310">
        <f t="shared" si="512"/>
        <v>0</v>
      </c>
      <c r="AK322" s="7931"/>
      <c r="AL322" s="1819"/>
      <c r="AM322" s="7875"/>
      <c r="AN322" s="7301">
        <f t="shared" si="513"/>
        <v>0</v>
      </c>
      <c r="AO322" s="7911"/>
      <c r="AP322" s="7310">
        <f t="shared" si="514"/>
        <v>0</v>
      </c>
      <c r="AQ322" s="7931"/>
      <c r="AR322" s="1819"/>
      <c r="AS322" s="7945"/>
      <c r="AT322" s="7310">
        <f t="shared" si="454"/>
        <v>0</v>
      </c>
      <c r="AU322" s="7931"/>
      <c r="AV322" s="1819"/>
      <c r="AW322" s="7945"/>
      <c r="AX322" s="7310">
        <f t="shared" si="515"/>
        <v>0</v>
      </c>
      <c r="AY322" s="7931"/>
      <c r="AZ322" s="1819"/>
      <c r="BA322" s="7875"/>
      <c r="BB322" s="7301">
        <f t="shared" si="516"/>
        <v>0</v>
      </c>
      <c r="BC322" s="7885"/>
      <c r="BD322" s="7302">
        <f t="shared" si="517"/>
        <v>0</v>
      </c>
      <c r="BE322" s="7945"/>
      <c r="BF322" s="7310">
        <f t="shared" si="518"/>
        <v>0</v>
      </c>
      <c r="BG322" s="4152">
        <f t="shared" si="475"/>
        <v>0</v>
      </c>
      <c r="BH322" s="4152">
        <f t="shared" si="476"/>
        <v>0</v>
      </c>
      <c r="BI322" s="4152"/>
      <c r="BJ322" s="4152">
        <f t="shared" si="477"/>
        <v>0</v>
      </c>
      <c r="BK322" s="4152">
        <f t="shared" si="478"/>
        <v>0</v>
      </c>
    </row>
    <row r="323" spans="1:63" x14ac:dyDescent="0.25">
      <c r="A323" s="188"/>
      <c r="B323" s="3865" t="s">
        <v>848</v>
      </c>
      <c r="C323" s="3815" t="s">
        <v>1749</v>
      </c>
      <c r="D323" s="3815"/>
      <c r="E323" s="7931"/>
      <c r="F323" s="1819">
        <v>106.069</v>
      </c>
      <c r="G323" s="7931"/>
      <c r="H323" s="1819">
        <v>128.36000000000001</v>
      </c>
      <c r="I323" s="7911"/>
      <c r="J323" s="7310">
        <f t="shared" si="479"/>
        <v>234.42900000000003</v>
      </c>
      <c r="K323" s="7931"/>
      <c r="L323" s="1819"/>
      <c r="M323" s="7875"/>
      <c r="N323" s="7301">
        <f t="shared" si="480"/>
        <v>234.42900000000003</v>
      </c>
      <c r="O323" s="7931"/>
      <c r="P323" s="1819"/>
      <c r="Q323" s="7911"/>
      <c r="R323" s="7310">
        <f t="shared" si="481"/>
        <v>234.42900000000003</v>
      </c>
      <c r="S323" s="7931"/>
      <c r="T323" s="1819">
        <v>196.88</v>
      </c>
      <c r="U323" s="7911"/>
      <c r="V323" s="7310">
        <f t="shared" si="482"/>
        <v>431.30900000000003</v>
      </c>
      <c r="W323" s="7931"/>
      <c r="X323" s="1819">
        <v>516.64</v>
      </c>
      <c r="Y323" s="7875"/>
      <c r="Z323" s="7301">
        <f t="shared" si="483"/>
        <v>713.52</v>
      </c>
      <c r="AA323" s="7885"/>
      <c r="AB323" s="7302">
        <f t="shared" si="484"/>
        <v>947.94900000000007</v>
      </c>
      <c r="AC323" s="7931"/>
      <c r="AD323" s="1819">
        <v>131.26</v>
      </c>
      <c r="AE323" s="7911"/>
      <c r="AF323" s="7310">
        <f t="shared" si="485"/>
        <v>1079.2090000000001</v>
      </c>
      <c r="AG323" s="7931"/>
      <c r="AH323" s="1819"/>
      <c r="AI323" s="7945"/>
      <c r="AJ323" s="7310">
        <f t="shared" si="512"/>
        <v>1079.2090000000001</v>
      </c>
      <c r="AK323" s="7931"/>
      <c r="AL323" s="1819"/>
      <c r="AM323" s="7875"/>
      <c r="AN323" s="7301">
        <f t="shared" si="513"/>
        <v>131.26</v>
      </c>
      <c r="AO323" s="7911"/>
      <c r="AP323" s="7310">
        <f t="shared" si="514"/>
        <v>1079.2090000000001</v>
      </c>
      <c r="AQ323" s="7931"/>
      <c r="AR323" s="1819"/>
      <c r="AS323" s="7945"/>
      <c r="AT323" s="7310">
        <f t="shared" si="454"/>
        <v>1079.2090000000001</v>
      </c>
      <c r="AU323" s="7931"/>
      <c r="AV323" s="1819"/>
      <c r="AW323" s="7945"/>
      <c r="AX323" s="7310">
        <f t="shared" si="515"/>
        <v>1079.2090000000001</v>
      </c>
      <c r="AY323" s="7931"/>
      <c r="AZ323" s="1819"/>
      <c r="BA323" s="7875"/>
      <c r="BB323" s="7301">
        <f t="shared" si="516"/>
        <v>0</v>
      </c>
      <c r="BC323" s="7885"/>
      <c r="BD323" s="7302">
        <f t="shared" si="517"/>
        <v>131.26</v>
      </c>
      <c r="BE323" s="7945"/>
      <c r="BF323" s="7310">
        <f t="shared" si="518"/>
        <v>1079.2090000000001</v>
      </c>
      <c r="BG323" s="4152">
        <f t="shared" si="475"/>
        <v>0</v>
      </c>
      <c r="BH323" s="4152">
        <f t="shared" si="476"/>
        <v>0</v>
      </c>
      <c r="BI323" s="4152"/>
      <c r="BJ323" s="4152">
        <f t="shared" si="477"/>
        <v>0</v>
      </c>
      <c r="BK323" s="4152">
        <f t="shared" si="478"/>
        <v>0</v>
      </c>
    </row>
    <row r="324" spans="1:63" x14ac:dyDescent="0.25">
      <c r="A324" s="188"/>
      <c r="B324" s="3865" t="s">
        <v>848</v>
      </c>
      <c r="C324" s="3815" t="s">
        <v>1822</v>
      </c>
      <c r="D324" s="3815"/>
      <c r="E324" s="7931"/>
      <c r="F324" s="1819">
        <v>108.994</v>
      </c>
      <c r="G324" s="7931"/>
      <c r="H324" s="1819">
        <v>353.88</v>
      </c>
      <c r="I324" s="7911"/>
      <c r="J324" s="7310">
        <f t="shared" si="479"/>
        <v>462.87400000000002</v>
      </c>
      <c r="K324" s="7931"/>
      <c r="L324" s="1819"/>
      <c r="M324" s="7875"/>
      <c r="N324" s="7301">
        <f t="shared" si="480"/>
        <v>462.87400000000002</v>
      </c>
      <c r="O324" s="7931"/>
      <c r="P324" s="1819">
        <v>849.06999999999994</v>
      </c>
      <c r="Q324" s="7911"/>
      <c r="R324" s="7310">
        <f t="shared" si="481"/>
        <v>1311.944</v>
      </c>
      <c r="S324" s="7931"/>
      <c r="T324" s="1819">
        <v>424.89</v>
      </c>
      <c r="U324" s="7911"/>
      <c r="V324" s="7310">
        <f t="shared" si="482"/>
        <v>1736.8339999999998</v>
      </c>
      <c r="W324" s="7931"/>
      <c r="X324" s="1819">
        <v>1542.91</v>
      </c>
      <c r="Y324" s="7875"/>
      <c r="Z324" s="7301">
        <f t="shared" si="483"/>
        <v>2816.87</v>
      </c>
      <c r="AA324" s="7885"/>
      <c r="AB324" s="7302">
        <f t="shared" si="484"/>
        <v>3279.7439999999997</v>
      </c>
      <c r="AC324" s="7931"/>
      <c r="AD324" s="1819">
        <v>397.28</v>
      </c>
      <c r="AE324" s="7911"/>
      <c r="AF324" s="7310">
        <f t="shared" si="485"/>
        <v>3677.0239999999994</v>
      </c>
      <c r="AG324" s="7931"/>
      <c r="AH324" s="1819">
        <v>524.9</v>
      </c>
      <c r="AI324" s="7945"/>
      <c r="AJ324" s="7310">
        <f t="shared" si="512"/>
        <v>4201.9239999999991</v>
      </c>
      <c r="AK324" s="7931"/>
      <c r="AL324" s="1819">
        <v>613.92399999999998</v>
      </c>
      <c r="AM324" s="7875"/>
      <c r="AN324" s="7301">
        <f t="shared" si="513"/>
        <v>1536.1039999999998</v>
      </c>
      <c r="AO324" s="7911"/>
      <c r="AP324" s="7310">
        <f t="shared" si="514"/>
        <v>4815.847999999999</v>
      </c>
      <c r="AQ324" s="7931"/>
      <c r="AR324" s="1819">
        <v>257.3</v>
      </c>
      <c r="AS324" s="7945"/>
      <c r="AT324" s="7310">
        <f t="shared" si="454"/>
        <v>5073.1479999999992</v>
      </c>
      <c r="AU324" s="7931"/>
      <c r="AV324" s="1819">
        <v>65.260000000000005</v>
      </c>
      <c r="AW324" s="7945"/>
      <c r="AX324" s="7310">
        <f t="shared" si="515"/>
        <v>5138.4079999999994</v>
      </c>
      <c r="AY324" s="7931"/>
      <c r="AZ324" s="1819"/>
      <c r="BA324" s="7875"/>
      <c r="BB324" s="7301">
        <f t="shared" si="516"/>
        <v>322.56</v>
      </c>
      <c r="BC324" s="7885"/>
      <c r="BD324" s="7302">
        <f t="shared" si="517"/>
        <v>1858.6639999999998</v>
      </c>
      <c r="BE324" s="7945"/>
      <c r="BF324" s="7310">
        <f t="shared" si="518"/>
        <v>5138.4079999999994</v>
      </c>
      <c r="BG324" s="4152">
        <f t="shared" si="475"/>
        <v>0</v>
      </c>
      <c r="BH324" s="4152">
        <f t="shared" si="476"/>
        <v>0</v>
      </c>
      <c r="BI324" s="4152"/>
      <c r="BJ324" s="4152">
        <f t="shared" si="477"/>
        <v>0</v>
      </c>
      <c r="BK324" s="4152">
        <f t="shared" si="478"/>
        <v>0</v>
      </c>
    </row>
    <row r="325" spans="1:63" x14ac:dyDescent="0.25">
      <c r="A325" s="188"/>
      <c r="B325" s="3865" t="s">
        <v>848</v>
      </c>
      <c r="C325" s="3815" t="s">
        <v>856</v>
      </c>
      <c r="D325" s="3815"/>
      <c r="E325" s="7931"/>
      <c r="F325" s="1819">
        <v>4669.0860000000002</v>
      </c>
      <c r="G325" s="7931"/>
      <c r="H325" s="1819">
        <v>5850.84</v>
      </c>
      <c r="I325" s="7911"/>
      <c r="J325" s="7310">
        <f t="shared" si="479"/>
        <v>10519.925999999999</v>
      </c>
      <c r="K325" s="7931"/>
      <c r="L325" s="1819">
        <v>3031.92</v>
      </c>
      <c r="M325" s="7875"/>
      <c r="N325" s="7301">
        <f t="shared" si="480"/>
        <v>13551.846</v>
      </c>
      <c r="O325" s="7931"/>
      <c r="P325" s="1819">
        <v>4260.8999999999996</v>
      </c>
      <c r="Q325" s="7911"/>
      <c r="R325" s="7310">
        <f t="shared" si="481"/>
        <v>17812.745999999999</v>
      </c>
      <c r="S325" s="7931"/>
      <c r="T325" s="1819">
        <v>2532.96</v>
      </c>
      <c r="U325" s="7911"/>
      <c r="V325" s="7310">
        <f t="shared" si="482"/>
        <v>20345.705999999998</v>
      </c>
      <c r="W325" s="7931"/>
      <c r="X325" s="1819">
        <v>2181.5300000000002</v>
      </c>
      <c r="Y325" s="7875"/>
      <c r="Z325" s="7301">
        <f t="shared" si="483"/>
        <v>8975.39</v>
      </c>
      <c r="AA325" s="7885"/>
      <c r="AB325" s="7302">
        <f t="shared" si="484"/>
        <v>22527.235999999997</v>
      </c>
      <c r="AC325" s="7931"/>
      <c r="AD325" s="1819">
        <v>1906.4900000000002</v>
      </c>
      <c r="AE325" s="7911"/>
      <c r="AF325" s="7310">
        <f t="shared" si="485"/>
        <v>24433.725999999999</v>
      </c>
      <c r="AG325" s="7931"/>
      <c r="AH325" s="1819">
        <v>3652.61</v>
      </c>
      <c r="AI325" s="7945"/>
      <c r="AJ325" s="7310">
        <f t="shared" si="512"/>
        <v>28086.335999999999</v>
      </c>
      <c r="AK325" s="7931"/>
      <c r="AL325" s="1819">
        <v>5613.4429999999993</v>
      </c>
      <c r="AM325" s="7875"/>
      <c r="AN325" s="7301">
        <f t="shared" si="513"/>
        <v>11172.543</v>
      </c>
      <c r="AO325" s="7911"/>
      <c r="AP325" s="7310">
        <f t="shared" si="514"/>
        <v>33699.778999999995</v>
      </c>
      <c r="AQ325" s="7931"/>
      <c r="AR325" s="1819">
        <v>3514.8599999999997</v>
      </c>
      <c r="AS325" s="7945"/>
      <c r="AT325" s="7310">
        <f t="shared" ref="AT325:AT390" si="519">AP325+AR325</f>
        <v>37214.638999999996</v>
      </c>
      <c r="AU325" s="7931"/>
      <c r="AV325" s="1819">
        <v>5484.25</v>
      </c>
      <c r="AW325" s="7945"/>
      <c r="AX325" s="7310">
        <f t="shared" si="515"/>
        <v>42698.888999999996</v>
      </c>
      <c r="AY325" s="7931"/>
      <c r="AZ325" s="1819">
        <v>68.040000000000006</v>
      </c>
      <c r="BA325" s="7875"/>
      <c r="BB325" s="7301">
        <f t="shared" si="516"/>
        <v>9067.1500000000015</v>
      </c>
      <c r="BC325" s="7885"/>
      <c r="BD325" s="7302">
        <f t="shared" si="517"/>
        <v>20239.692999999999</v>
      </c>
      <c r="BE325" s="7945"/>
      <c r="BF325" s="7310">
        <f t="shared" si="518"/>
        <v>42766.928999999996</v>
      </c>
      <c r="BG325" s="4152">
        <f t="shared" si="475"/>
        <v>0</v>
      </c>
      <c r="BH325" s="4152">
        <f t="shared" si="476"/>
        <v>0</v>
      </c>
      <c r="BI325" s="4152"/>
      <c r="BJ325" s="4152">
        <f t="shared" si="477"/>
        <v>0</v>
      </c>
      <c r="BK325" s="4152">
        <f t="shared" si="478"/>
        <v>0</v>
      </c>
    </row>
    <row r="326" spans="1:63" x14ac:dyDescent="0.25">
      <c r="A326" s="188"/>
      <c r="B326" s="3865" t="s">
        <v>848</v>
      </c>
      <c r="C326" s="3815" t="s">
        <v>855</v>
      </c>
      <c r="D326" s="3815"/>
      <c r="E326" s="7931"/>
      <c r="F326" s="1819">
        <v>431.96899999999999</v>
      </c>
      <c r="G326" s="7931"/>
      <c r="H326" s="1819">
        <v>349.44</v>
      </c>
      <c r="I326" s="7911"/>
      <c r="J326" s="7310">
        <f t="shared" si="479"/>
        <v>781.40899999999999</v>
      </c>
      <c r="K326" s="7931"/>
      <c r="L326" s="1819">
        <v>58.78</v>
      </c>
      <c r="M326" s="7875"/>
      <c r="N326" s="7301">
        <f t="shared" si="480"/>
        <v>840.18899999999996</v>
      </c>
      <c r="O326" s="7931"/>
      <c r="P326" s="1819">
        <v>734.57</v>
      </c>
      <c r="Q326" s="7911"/>
      <c r="R326" s="7310">
        <f t="shared" si="481"/>
        <v>1574.759</v>
      </c>
      <c r="S326" s="7931"/>
      <c r="T326" s="1819">
        <v>472.59999999999997</v>
      </c>
      <c r="U326" s="7911"/>
      <c r="V326" s="7310">
        <f t="shared" si="482"/>
        <v>2047.3589999999999</v>
      </c>
      <c r="W326" s="7931"/>
      <c r="X326" s="1819">
        <v>228.60000000000002</v>
      </c>
      <c r="Y326" s="7875"/>
      <c r="Z326" s="7301">
        <f t="shared" si="483"/>
        <v>1435.77</v>
      </c>
      <c r="AA326" s="7885"/>
      <c r="AB326" s="7302">
        <f t="shared" si="484"/>
        <v>2275.9589999999998</v>
      </c>
      <c r="AC326" s="7931"/>
      <c r="AD326" s="1819">
        <v>64.400000000000006</v>
      </c>
      <c r="AE326" s="7911"/>
      <c r="AF326" s="7310">
        <f t="shared" si="485"/>
        <v>2340.3589999999999</v>
      </c>
      <c r="AG326" s="7931"/>
      <c r="AH326" s="1819">
        <v>673.78</v>
      </c>
      <c r="AI326" s="7945"/>
      <c r="AJ326" s="7310">
        <f t="shared" si="512"/>
        <v>3014.1390000000001</v>
      </c>
      <c r="AK326" s="7931"/>
      <c r="AL326" s="1819">
        <v>300.24699999999996</v>
      </c>
      <c r="AM326" s="7875"/>
      <c r="AN326" s="7301">
        <f t="shared" si="513"/>
        <v>1038.4269999999999</v>
      </c>
      <c r="AO326" s="7911"/>
      <c r="AP326" s="7310">
        <f t="shared" si="514"/>
        <v>3314.386</v>
      </c>
      <c r="AQ326" s="7931"/>
      <c r="AR326" s="1819">
        <v>167.53</v>
      </c>
      <c r="AS326" s="7945"/>
      <c r="AT326" s="7310">
        <f t="shared" si="519"/>
        <v>3481.9160000000002</v>
      </c>
      <c r="AU326" s="7931"/>
      <c r="AV326" s="1819">
        <v>128.32</v>
      </c>
      <c r="AW326" s="7945"/>
      <c r="AX326" s="7310">
        <f t="shared" si="515"/>
        <v>3610.2360000000003</v>
      </c>
      <c r="AY326" s="7931"/>
      <c r="AZ326" s="1819">
        <v>6253.2300000000014</v>
      </c>
      <c r="BA326" s="7875"/>
      <c r="BB326" s="7301">
        <f t="shared" si="516"/>
        <v>6549.0800000000017</v>
      </c>
      <c r="BC326" s="7885"/>
      <c r="BD326" s="7302">
        <f t="shared" si="517"/>
        <v>7587.5070000000014</v>
      </c>
      <c r="BE326" s="7945"/>
      <c r="BF326" s="7310">
        <f t="shared" si="518"/>
        <v>9863.4660000000022</v>
      </c>
      <c r="BG326" s="4152">
        <f t="shared" si="475"/>
        <v>0</v>
      </c>
      <c r="BH326" s="4152">
        <f t="shared" si="476"/>
        <v>0</v>
      </c>
      <c r="BI326" s="4152"/>
      <c r="BJ326" s="4152">
        <f t="shared" si="477"/>
        <v>0</v>
      </c>
      <c r="BK326" s="4152">
        <f t="shared" si="478"/>
        <v>0</v>
      </c>
    </row>
    <row r="327" spans="1:63" x14ac:dyDescent="0.25">
      <c r="A327" s="188"/>
      <c r="B327" s="3865" t="s">
        <v>848</v>
      </c>
      <c r="C327" s="3815" t="s">
        <v>1739</v>
      </c>
      <c r="D327" s="3815"/>
      <c r="E327" s="7931"/>
      <c r="F327" s="1819">
        <v>27.984999999999999</v>
      </c>
      <c r="G327" s="7931"/>
      <c r="H327" s="1819">
        <v>478.81000000000006</v>
      </c>
      <c r="I327" s="7911"/>
      <c r="J327" s="7310">
        <f t="shared" si="479"/>
        <v>506.79500000000007</v>
      </c>
      <c r="K327" s="7931"/>
      <c r="L327" s="1819">
        <v>126.32</v>
      </c>
      <c r="M327" s="7875"/>
      <c r="N327" s="7301">
        <f t="shared" si="480"/>
        <v>633.11500000000001</v>
      </c>
      <c r="O327" s="7931"/>
      <c r="P327" s="1819">
        <v>158.66</v>
      </c>
      <c r="Q327" s="7911"/>
      <c r="R327" s="7310">
        <f t="shared" si="481"/>
        <v>791.77499999999998</v>
      </c>
      <c r="S327" s="7931"/>
      <c r="T327" s="1819">
        <v>65.680000000000007</v>
      </c>
      <c r="U327" s="7911"/>
      <c r="V327" s="7310">
        <f t="shared" si="482"/>
        <v>857.45499999999993</v>
      </c>
      <c r="W327" s="7931"/>
      <c r="X327" s="1819"/>
      <c r="Y327" s="7875"/>
      <c r="Z327" s="7301">
        <f t="shared" si="483"/>
        <v>224.34</v>
      </c>
      <c r="AA327" s="7885"/>
      <c r="AB327" s="7302">
        <f t="shared" si="484"/>
        <v>857.45500000000004</v>
      </c>
      <c r="AC327" s="7931"/>
      <c r="AD327" s="1819"/>
      <c r="AE327" s="7911"/>
      <c r="AF327" s="7310">
        <f t="shared" si="485"/>
        <v>857.45500000000004</v>
      </c>
      <c r="AG327" s="7931"/>
      <c r="AH327" s="1819"/>
      <c r="AI327" s="7945"/>
      <c r="AJ327" s="7310">
        <f t="shared" si="512"/>
        <v>857.45500000000004</v>
      </c>
      <c r="AK327" s="7931"/>
      <c r="AL327" s="1819">
        <v>230.25000000000003</v>
      </c>
      <c r="AM327" s="7875"/>
      <c r="AN327" s="7301">
        <f t="shared" si="513"/>
        <v>230.25000000000003</v>
      </c>
      <c r="AO327" s="7911"/>
      <c r="AP327" s="7310">
        <f t="shared" si="514"/>
        <v>1087.7050000000002</v>
      </c>
      <c r="AQ327" s="7931"/>
      <c r="AR327" s="1819">
        <v>340.78999999999996</v>
      </c>
      <c r="AS327" s="7945"/>
      <c r="AT327" s="7310">
        <f t="shared" si="519"/>
        <v>1428.4950000000001</v>
      </c>
      <c r="AU327" s="7931"/>
      <c r="AV327" s="1819"/>
      <c r="AW327" s="7945"/>
      <c r="AX327" s="7310">
        <f t="shared" si="515"/>
        <v>1428.4950000000001</v>
      </c>
      <c r="AY327" s="7931"/>
      <c r="AZ327" s="1819"/>
      <c r="BA327" s="7875"/>
      <c r="BB327" s="7301">
        <f t="shared" si="516"/>
        <v>340.78999999999996</v>
      </c>
      <c r="BC327" s="7885"/>
      <c r="BD327" s="7302">
        <f t="shared" si="517"/>
        <v>571.04</v>
      </c>
      <c r="BE327" s="7945"/>
      <c r="BF327" s="7310">
        <f t="shared" si="518"/>
        <v>1428.4950000000001</v>
      </c>
      <c r="BG327" s="4152">
        <f t="shared" si="475"/>
        <v>0</v>
      </c>
      <c r="BH327" s="4152">
        <f t="shared" si="476"/>
        <v>0</v>
      </c>
      <c r="BI327" s="4152"/>
      <c r="BJ327" s="4152">
        <f t="shared" si="477"/>
        <v>0</v>
      </c>
      <c r="BK327" s="4152">
        <f t="shared" si="478"/>
        <v>0</v>
      </c>
    </row>
    <row r="328" spans="1:63" x14ac:dyDescent="0.25">
      <c r="A328" s="188"/>
      <c r="B328" s="3869" t="s">
        <v>848</v>
      </c>
      <c r="C328" s="3898" t="s">
        <v>1740</v>
      </c>
      <c r="D328" s="3898"/>
      <c r="E328" s="7931"/>
      <c r="F328" s="1819">
        <v>1327.6579999999999</v>
      </c>
      <c r="G328" s="7931"/>
      <c r="H328" s="1819">
        <v>913.68999999999994</v>
      </c>
      <c r="I328" s="7911"/>
      <c r="J328" s="7310">
        <f t="shared" si="479"/>
        <v>2241.348</v>
      </c>
      <c r="K328" s="7931"/>
      <c r="L328" s="1819">
        <v>289.84000000000003</v>
      </c>
      <c r="M328" s="7875"/>
      <c r="N328" s="7301">
        <f t="shared" si="480"/>
        <v>2531.1880000000001</v>
      </c>
      <c r="O328" s="7931"/>
      <c r="P328" s="1819">
        <v>647.90000000000009</v>
      </c>
      <c r="Q328" s="7911"/>
      <c r="R328" s="7310">
        <f t="shared" si="481"/>
        <v>3179.0880000000002</v>
      </c>
      <c r="S328" s="7931"/>
      <c r="T328" s="1819">
        <v>737.03</v>
      </c>
      <c r="U328" s="7911"/>
      <c r="V328" s="7310">
        <f t="shared" si="482"/>
        <v>3916.1180000000004</v>
      </c>
      <c r="W328" s="7931"/>
      <c r="X328" s="1819">
        <v>500.15</v>
      </c>
      <c r="Y328" s="7875"/>
      <c r="Z328" s="7301">
        <f t="shared" si="483"/>
        <v>1885.08</v>
      </c>
      <c r="AA328" s="7885"/>
      <c r="AB328" s="7302">
        <f t="shared" si="484"/>
        <v>4416.268</v>
      </c>
      <c r="AC328" s="7931"/>
      <c r="AD328" s="1819">
        <v>218.09</v>
      </c>
      <c r="AE328" s="7911"/>
      <c r="AF328" s="7310">
        <f t="shared" si="485"/>
        <v>4634.3580000000002</v>
      </c>
      <c r="AG328" s="7931"/>
      <c r="AH328" s="1819">
        <v>808.04</v>
      </c>
      <c r="AI328" s="7945"/>
      <c r="AJ328" s="7310">
        <f t="shared" si="512"/>
        <v>5442.3980000000001</v>
      </c>
      <c r="AK328" s="7931"/>
      <c r="AL328" s="1819">
        <v>1528.49</v>
      </c>
      <c r="AM328" s="7875"/>
      <c r="AN328" s="7301">
        <f t="shared" si="513"/>
        <v>2554.62</v>
      </c>
      <c r="AO328" s="7911"/>
      <c r="AP328" s="7310">
        <f t="shared" si="514"/>
        <v>6970.8879999999999</v>
      </c>
      <c r="AQ328" s="7931"/>
      <c r="AR328" s="1819">
        <v>1163.21</v>
      </c>
      <c r="AS328" s="7945"/>
      <c r="AT328" s="7310">
        <f t="shared" si="519"/>
        <v>8134.098</v>
      </c>
      <c r="AU328" s="7931"/>
      <c r="AV328" s="1819">
        <v>867.01</v>
      </c>
      <c r="AW328" s="7945"/>
      <c r="AX328" s="7310">
        <f t="shared" si="515"/>
        <v>9001.1080000000002</v>
      </c>
      <c r="AY328" s="7931"/>
      <c r="AZ328" s="1819">
        <v>739.90300000000002</v>
      </c>
      <c r="BA328" s="7875"/>
      <c r="BB328" s="7301">
        <f t="shared" si="516"/>
        <v>2770.123</v>
      </c>
      <c r="BC328" s="7885"/>
      <c r="BD328" s="7302">
        <f t="shared" si="517"/>
        <v>5324.7430000000004</v>
      </c>
      <c r="BE328" s="7945"/>
      <c r="BF328" s="7310">
        <f t="shared" si="518"/>
        <v>9741.0110000000004</v>
      </c>
      <c r="BG328" s="4152">
        <f t="shared" si="475"/>
        <v>0</v>
      </c>
      <c r="BH328" s="4152">
        <f t="shared" si="476"/>
        <v>0</v>
      </c>
      <c r="BI328" s="4152"/>
      <c r="BJ328" s="4152">
        <f t="shared" si="477"/>
        <v>0</v>
      </c>
      <c r="BK328" s="4152">
        <f t="shared" si="478"/>
        <v>0</v>
      </c>
    </row>
    <row r="329" spans="1:63" s="4290" customFormat="1" x14ac:dyDescent="0.25">
      <c r="A329" s="188"/>
      <c r="B329" s="3869" t="s">
        <v>1773</v>
      </c>
      <c r="C329" s="3828" t="s">
        <v>1772</v>
      </c>
      <c r="D329" s="4305"/>
      <c r="E329" s="7937"/>
      <c r="F329" s="4291">
        <v>191.92099999999999</v>
      </c>
      <c r="G329" s="7937"/>
      <c r="H329" s="5575">
        <v>310.14999999999998</v>
      </c>
      <c r="I329" s="7961"/>
      <c r="J329" s="7310">
        <f t="shared" si="479"/>
        <v>502.07099999999997</v>
      </c>
      <c r="K329" s="7937"/>
      <c r="L329" s="5695"/>
      <c r="M329" s="7878"/>
      <c r="N329" s="7301">
        <f t="shared" si="480"/>
        <v>502.07099999999997</v>
      </c>
      <c r="O329" s="7937"/>
      <c r="P329" s="5857"/>
      <c r="Q329" s="7914"/>
      <c r="R329" s="7310">
        <f t="shared" si="481"/>
        <v>502.07099999999997</v>
      </c>
      <c r="S329" s="7937"/>
      <c r="T329" s="5902"/>
      <c r="U329" s="7914"/>
      <c r="V329" s="7310">
        <f t="shared" si="482"/>
        <v>502.07099999999997</v>
      </c>
      <c r="W329" s="7937"/>
      <c r="X329" s="6021">
        <v>364.15</v>
      </c>
      <c r="Y329" s="7878"/>
      <c r="Z329" s="7301">
        <f t="shared" si="483"/>
        <v>364.15</v>
      </c>
      <c r="AA329" s="7888"/>
      <c r="AB329" s="7302">
        <f t="shared" si="484"/>
        <v>866.221</v>
      </c>
      <c r="AC329" s="7937"/>
      <c r="AD329" s="6156">
        <v>66.02</v>
      </c>
      <c r="AE329" s="7914"/>
      <c r="AF329" s="7310">
        <f t="shared" si="485"/>
        <v>932.24099999999999</v>
      </c>
      <c r="AG329" s="7937"/>
      <c r="AH329" s="6318">
        <v>187.01</v>
      </c>
      <c r="AI329" s="7945"/>
      <c r="AJ329" s="7310">
        <f t="shared" si="512"/>
        <v>1119.251</v>
      </c>
      <c r="AK329" s="7937"/>
      <c r="AL329" s="6557">
        <v>264.37400000000002</v>
      </c>
      <c r="AM329" s="7878"/>
      <c r="AN329" s="7301">
        <f t="shared" si="513"/>
        <v>517.404</v>
      </c>
      <c r="AO329" s="7914"/>
      <c r="AP329" s="7310">
        <f t="shared" si="514"/>
        <v>1383.625</v>
      </c>
      <c r="AQ329" s="7937"/>
      <c r="AR329" s="6657"/>
      <c r="AS329" s="7945"/>
      <c r="AT329" s="7310">
        <f t="shared" si="519"/>
        <v>1383.625</v>
      </c>
      <c r="AU329" s="7937"/>
      <c r="AV329" s="6822">
        <v>204.26</v>
      </c>
      <c r="AW329" s="7945"/>
      <c r="AX329" s="7310">
        <f t="shared" si="515"/>
        <v>1587.885</v>
      </c>
      <c r="AY329" s="7937"/>
      <c r="AZ329" s="6966">
        <v>111.25</v>
      </c>
      <c r="BA329" s="7878"/>
      <c r="BB329" s="7301">
        <f t="shared" si="516"/>
        <v>315.51</v>
      </c>
      <c r="BC329" s="7888"/>
      <c r="BD329" s="7302">
        <f t="shared" si="517"/>
        <v>832.91399999999999</v>
      </c>
      <c r="BE329" s="7945"/>
      <c r="BF329" s="7310">
        <f t="shared" si="518"/>
        <v>1699.135</v>
      </c>
      <c r="BG329" s="4152">
        <f t="shared" si="475"/>
        <v>0</v>
      </c>
      <c r="BH329" s="4152">
        <f t="shared" si="476"/>
        <v>0</v>
      </c>
      <c r="BI329" s="4152"/>
      <c r="BJ329" s="4152">
        <f t="shared" si="477"/>
        <v>0</v>
      </c>
      <c r="BK329" s="4152">
        <f t="shared" si="478"/>
        <v>0</v>
      </c>
    </row>
    <row r="330" spans="1:63" s="4290" customFormat="1" x14ac:dyDescent="0.25">
      <c r="A330" s="188"/>
      <c r="B330" s="3869" t="s">
        <v>1773</v>
      </c>
      <c r="C330" s="3828" t="s">
        <v>1774</v>
      </c>
      <c r="D330" s="4305"/>
      <c r="E330" s="7937"/>
      <c r="F330" s="4291">
        <v>4237.183</v>
      </c>
      <c r="G330" s="7937"/>
      <c r="H330" s="5575">
        <v>3373.38</v>
      </c>
      <c r="I330" s="7961"/>
      <c r="J330" s="7310">
        <f t="shared" si="479"/>
        <v>7610.5630000000001</v>
      </c>
      <c r="K330" s="7937"/>
      <c r="L330" s="5695">
        <v>1831.25</v>
      </c>
      <c r="M330" s="7878"/>
      <c r="N330" s="7301">
        <f t="shared" si="480"/>
        <v>9441.8130000000001</v>
      </c>
      <c r="O330" s="7937"/>
      <c r="P330" s="5857">
        <v>394.27</v>
      </c>
      <c r="Q330" s="7914"/>
      <c r="R330" s="7310">
        <f t="shared" si="481"/>
        <v>9836.0830000000005</v>
      </c>
      <c r="S330" s="7937"/>
      <c r="T330" s="5902">
        <v>2858.48</v>
      </c>
      <c r="U330" s="7914"/>
      <c r="V330" s="7310">
        <f t="shared" si="482"/>
        <v>12694.563</v>
      </c>
      <c r="W330" s="7937"/>
      <c r="X330" s="6021">
        <v>2223.29</v>
      </c>
      <c r="Y330" s="7878"/>
      <c r="Z330" s="7301">
        <f t="shared" si="483"/>
        <v>5476.04</v>
      </c>
      <c r="AA330" s="7888"/>
      <c r="AB330" s="7302">
        <f t="shared" si="484"/>
        <v>14917.852999999999</v>
      </c>
      <c r="AC330" s="7937"/>
      <c r="AD330" s="6156">
        <v>348.81</v>
      </c>
      <c r="AE330" s="7914"/>
      <c r="AF330" s="7310">
        <f t="shared" si="485"/>
        <v>15266.662999999999</v>
      </c>
      <c r="AG330" s="7937"/>
      <c r="AH330" s="6318">
        <v>2312.3999999999996</v>
      </c>
      <c r="AI330" s="7945"/>
      <c r="AJ330" s="7310">
        <f t="shared" si="512"/>
        <v>17579.062999999998</v>
      </c>
      <c r="AK330" s="7937"/>
      <c r="AL330" s="6557">
        <v>2137.1170000000002</v>
      </c>
      <c r="AM330" s="7878"/>
      <c r="AN330" s="7301">
        <f t="shared" si="513"/>
        <v>4798.3269999999993</v>
      </c>
      <c r="AO330" s="7914"/>
      <c r="AP330" s="7310">
        <f t="shared" si="514"/>
        <v>19716.18</v>
      </c>
      <c r="AQ330" s="7937"/>
      <c r="AR330" s="6657">
        <v>2717.59</v>
      </c>
      <c r="AS330" s="7945"/>
      <c r="AT330" s="7310">
        <f t="shared" si="519"/>
        <v>22433.77</v>
      </c>
      <c r="AU330" s="7937"/>
      <c r="AV330" s="6822">
        <v>2959.45</v>
      </c>
      <c r="AW330" s="7945"/>
      <c r="AX330" s="7310">
        <f t="shared" si="515"/>
        <v>25393.22</v>
      </c>
      <c r="AY330" s="7937"/>
      <c r="AZ330" s="6966">
        <v>2339.2150000000001</v>
      </c>
      <c r="BA330" s="7878"/>
      <c r="BB330" s="7301">
        <f t="shared" si="516"/>
        <v>8016.2550000000001</v>
      </c>
      <c r="BC330" s="7888"/>
      <c r="BD330" s="7302">
        <f t="shared" si="517"/>
        <v>12814.581999999999</v>
      </c>
      <c r="BE330" s="7945"/>
      <c r="BF330" s="7310">
        <f t="shared" si="518"/>
        <v>27732.435000000001</v>
      </c>
      <c r="BG330" s="4152">
        <f t="shared" si="475"/>
        <v>0</v>
      </c>
      <c r="BH330" s="4152">
        <f t="shared" si="476"/>
        <v>0</v>
      </c>
      <c r="BI330" s="4152"/>
      <c r="BJ330" s="4152">
        <f t="shared" si="477"/>
        <v>0</v>
      </c>
      <c r="BK330" s="4152">
        <f t="shared" si="478"/>
        <v>0</v>
      </c>
    </row>
    <row r="331" spans="1:63" s="4570" customFormat="1" x14ac:dyDescent="0.25">
      <c r="A331" s="188"/>
      <c r="B331" s="3869" t="s">
        <v>1773</v>
      </c>
      <c r="C331" s="3828" t="s">
        <v>1800</v>
      </c>
      <c r="D331" s="4305"/>
      <c r="E331" s="7937"/>
      <c r="F331" s="4574">
        <v>5.6210000000000004</v>
      </c>
      <c r="G331" s="7937"/>
      <c r="H331" s="4574">
        <v>243.01</v>
      </c>
      <c r="I331" s="7961"/>
      <c r="J331" s="7310">
        <f t="shared" si="479"/>
        <v>248.631</v>
      </c>
      <c r="K331" s="7937"/>
      <c r="L331" s="4574">
        <v>124.98</v>
      </c>
      <c r="M331" s="7881"/>
      <c r="N331" s="7301">
        <f t="shared" si="480"/>
        <v>373.61099999999999</v>
      </c>
      <c r="O331" s="7937"/>
      <c r="P331" s="4574"/>
      <c r="Q331" s="7917"/>
      <c r="R331" s="7310">
        <f t="shared" si="481"/>
        <v>373.61099999999999</v>
      </c>
      <c r="S331" s="7937"/>
      <c r="T331" s="4574"/>
      <c r="U331" s="7917"/>
      <c r="V331" s="7310">
        <f t="shared" si="482"/>
        <v>373.61099999999999</v>
      </c>
      <c r="W331" s="7937"/>
      <c r="X331" s="4574">
        <v>101.68</v>
      </c>
      <c r="Y331" s="7881"/>
      <c r="Z331" s="7301">
        <f t="shared" si="483"/>
        <v>101.68</v>
      </c>
      <c r="AA331" s="7891"/>
      <c r="AB331" s="7302">
        <f t="shared" si="484"/>
        <v>475.291</v>
      </c>
      <c r="AC331" s="7937"/>
      <c r="AD331" s="4574">
        <v>64.5</v>
      </c>
      <c r="AE331" s="7917"/>
      <c r="AF331" s="7310">
        <f t="shared" si="485"/>
        <v>539.79099999999994</v>
      </c>
      <c r="AG331" s="7937"/>
      <c r="AH331" s="4574"/>
      <c r="AI331" s="7945"/>
      <c r="AJ331" s="7310">
        <f t="shared" si="512"/>
        <v>539.79099999999994</v>
      </c>
      <c r="AK331" s="7937"/>
      <c r="AL331" s="4574"/>
      <c r="AM331" s="7881"/>
      <c r="AN331" s="7301">
        <f t="shared" si="513"/>
        <v>64.5</v>
      </c>
      <c r="AO331" s="7917"/>
      <c r="AP331" s="7310">
        <f t="shared" si="514"/>
        <v>539.79099999999994</v>
      </c>
      <c r="AQ331" s="7937"/>
      <c r="AR331" s="4574"/>
      <c r="AS331" s="7945"/>
      <c r="AT331" s="7310">
        <f t="shared" si="519"/>
        <v>539.79099999999994</v>
      </c>
      <c r="AU331" s="7937"/>
      <c r="AV331" s="4574"/>
      <c r="AW331" s="7945"/>
      <c r="AX331" s="7310">
        <f t="shared" si="515"/>
        <v>539.79099999999994</v>
      </c>
      <c r="AY331" s="7937"/>
      <c r="AZ331" s="4574"/>
      <c r="BA331" s="7881"/>
      <c r="BB331" s="7301">
        <f t="shared" si="516"/>
        <v>0</v>
      </c>
      <c r="BC331" s="7891"/>
      <c r="BD331" s="7302">
        <f t="shared" si="517"/>
        <v>64.5</v>
      </c>
      <c r="BE331" s="7945"/>
      <c r="BF331" s="7310">
        <f t="shared" si="518"/>
        <v>539.79099999999994</v>
      </c>
      <c r="BG331" s="4152">
        <f t="shared" si="475"/>
        <v>0</v>
      </c>
      <c r="BH331" s="4152">
        <f t="shared" si="476"/>
        <v>0</v>
      </c>
      <c r="BI331" s="4152"/>
      <c r="BJ331" s="4152">
        <f t="shared" si="477"/>
        <v>0</v>
      </c>
      <c r="BK331" s="4152">
        <f t="shared" si="478"/>
        <v>0</v>
      </c>
    </row>
    <row r="332" spans="1:63" s="4290" customFormat="1" ht="15.75" thickBot="1" x14ac:dyDescent="0.3">
      <c r="A332" s="188"/>
      <c r="B332" s="3869" t="s">
        <v>1773</v>
      </c>
      <c r="C332" s="3828" t="s">
        <v>1775</v>
      </c>
      <c r="D332" s="4305"/>
      <c r="E332" s="7937"/>
      <c r="F332" s="4291">
        <v>730.24300000000005</v>
      </c>
      <c r="G332" s="7937"/>
      <c r="H332" s="5575">
        <v>310.84000000000003</v>
      </c>
      <c r="I332" s="7961"/>
      <c r="J332" s="7310">
        <f t="shared" si="479"/>
        <v>1041.0830000000001</v>
      </c>
      <c r="K332" s="7937"/>
      <c r="L332" s="5695">
        <v>524.6</v>
      </c>
      <c r="M332" s="7878"/>
      <c r="N332" s="7301">
        <f t="shared" si="480"/>
        <v>1565.683</v>
      </c>
      <c r="O332" s="7937"/>
      <c r="P332" s="5857"/>
      <c r="Q332" s="7914"/>
      <c r="R332" s="7310">
        <f t="shared" si="481"/>
        <v>1565.683</v>
      </c>
      <c r="S332" s="7937"/>
      <c r="T332" s="5902">
        <v>642.05999999999995</v>
      </c>
      <c r="U332" s="7914"/>
      <c r="V332" s="7310">
        <f t="shared" si="482"/>
        <v>2207.7429999999999</v>
      </c>
      <c r="W332" s="7937"/>
      <c r="X332" s="6021">
        <v>335.31</v>
      </c>
      <c r="Y332" s="7878"/>
      <c r="Z332" s="7301">
        <f t="shared" si="483"/>
        <v>977.36999999999989</v>
      </c>
      <c r="AA332" s="7888"/>
      <c r="AB332" s="7302">
        <f t="shared" si="484"/>
        <v>2543.0529999999999</v>
      </c>
      <c r="AC332" s="7937"/>
      <c r="AD332" s="6156">
        <v>63.94</v>
      </c>
      <c r="AE332" s="7914"/>
      <c r="AF332" s="7310">
        <f t="shared" si="485"/>
        <v>2606.9929999999999</v>
      </c>
      <c r="AG332" s="7937"/>
      <c r="AH332" s="6318">
        <v>1165.3800000000001</v>
      </c>
      <c r="AI332" s="7945"/>
      <c r="AJ332" s="7310">
        <f t="shared" si="512"/>
        <v>3772.373</v>
      </c>
      <c r="AK332" s="7937"/>
      <c r="AL332" s="6557">
        <v>1045.4000000000001</v>
      </c>
      <c r="AM332" s="7878"/>
      <c r="AN332" s="7301">
        <f t="shared" si="513"/>
        <v>2274.7200000000003</v>
      </c>
      <c r="AO332" s="7914"/>
      <c r="AP332" s="7310">
        <f t="shared" si="514"/>
        <v>4817.7730000000001</v>
      </c>
      <c r="AQ332" s="7937"/>
      <c r="AR332" s="6657">
        <v>907.79</v>
      </c>
      <c r="AS332" s="7945"/>
      <c r="AT332" s="7310">
        <f t="shared" si="519"/>
        <v>5725.5630000000001</v>
      </c>
      <c r="AU332" s="7937"/>
      <c r="AV332" s="6822">
        <v>595.73</v>
      </c>
      <c r="AW332" s="7945"/>
      <c r="AX332" s="7310">
        <f t="shared" si="515"/>
        <v>6321.2929999999997</v>
      </c>
      <c r="AY332" s="7937"/>
      <c r="AZ332" s="6966">
        <v>572.94899999999996</v>
      </c>
      <c r="BA332" s="7878"/>
      <c r="BB332" s="7301">
        <f t="shared" si="516"/>
        <v>2076.4690000000001</v>
      </c>
      <c r="BC332" s="7888"/>
      <c r="BD332" s="7302">
        <f t="shared" si="517"/>
        <v>4351.1890000000003</v>
      </c>
      <c r="BE332" s="7945"/>
      <c r="BF332" s="7310">
        <f t="shared" si="518"/>
        <v>6894.2419999999993</v>
      </c>
      <c r="BG332" s="4152">
        <f t="shared" si="475"/>
        <v>0</v>
      </c>
      <c r="BH332" s="4152">
        <f t="shared" si="476"/>
        <v>0</v>
      </c>
      <c r="BI332" s="4152"/>
      <c r="BJ332" s="4152">
        <f t="shared" si="477"/>
        <v>0</v>
      </c>
      <c r="BK332" s="4152">
        <f t="shared" si="478"/>
        <v>0</v>
      </c>
    </row>
    <row r="333" spans="1:63" x14ac:dyDescent="0.25">
      <c r="A333" s="188"/>
      <c r="B333" s="7618" t="s">
        <v>849</v>
      </c>
      <c r="C333" s="7619" t="s">
        <v>857</v>
      </c>
      <c r="D333" s="7620"/>
      <c r="E333" s="7937"/>
      <c r="F333" s="1819">
        <v>3443.136</v>
      </c>
      <c r="G333" s="7937"/>
      <c r="H333" s="1819">
        <v>1750.8999999999999</v>
      </c>
      <c r="I333" s="7961"/>
      <c r="J333" s="7310">
        <f t="shared" si="479"/>
        <v>5194.0360000000001</v>
      </c>
      <c r="K333" s="7937"/>
      <c r="L333" s="1819">
        <v>3443.93</v>
      </c>
      <c r="M333" s="7875"/>
      <c r="N333" s="7301">
        <f t="shared" si="480"/>
        <v>8637.9660000000003</v>
      </c>
      <c r="O333" s="7937"/>
      <c r="P333" s="1819">
        <v>1068.31</v>
      </c>
      <c r="Q333" s="7911"/>
      <c r="R333" s="7310">
        <f t="shared" si="481"/>
        <v>9706.2759999999998</v>
      </c>
      <c r="S333" s="7937"/>
      <c r="T333" s="1819">
        <v>820.36000000000013</v>
      </c>
      <c r="U333" s="7911"/>
      <c r="V333" s="7310">
        <f t="shared" si="482"/>
        <v>10526.636</v>
      </c>
      <c r="W333" s="7937"/>
      <c r="X333" s="1819">
        <v>65.87</v>
      </c>
      <c r="Y333" s="7875"/>
      <c r="Z333" s="7301">
        <f t="shared" si="483"/>
        <v>1954.54</v>
      </c>
      <c r="AA333" s="7885"/>
      <c r="AB333" s="7302">
        <f t="shared" si="484"/>
        <v>10592.506000000001</v>
      </c>
      <c r="AC333" s="7937"/>
      <c r="AD333" s="1819">
        <v>804.39</v>
      </c>
      <c r="AE333" s="7911"/>
      <c r="AF333" s="7310">
        <f t="shared" si="485"/>
        <v>11396.896000000001</v>
      </c>
      <c r="AG333" s="7937"/>
      <c r="AH333" s="1819">
        <v>1622.0500000000002</v>
      </c>
      <c r="AI333" s="7945"/>
      <c r="AJ333" s="7310">
        <f t="shared" si="512"/>
        <v>13018.946</v>
      </c>
      <c r="AK333" s="7937"/>
      <c r="AL333" s="1819">
        <v>999.23199999999974</v>
      </c>
      <c r="AM333" s="7875"/>
      <c r="AN333" s="7301">
        <f t="shared" si="513"/>
        <v>3425.6719999999996</v>
      </c>
      <c r="AO333" s="7911"/>
      <c r="AP333" s="7310">
        <f t="shared" si="514"/>
        <v>14018.178</v>
      </c>
      <c r="AQ333" s="7937"/>
      <c r="AR333" s="1819">
        <v>1133.2799999999997</v>
      </c>
      <c r="AS333" s="7945"/>
      <c r="AT333" s="7310">
        <f t="shared" si="519"/>
        <v>15151.457999999999</v>
      </c>
      <c r="AU333" s="7937"/>
      <c r="AV333" s="1819">
        <v>965.9</v>
      </c>
      <c r="AW333" s="7945"/>
      <c r="AX333" s="7310">
        <f t="shared" si="515"/>
        <v>16117.357999999998</v>
      </c>
      <c r="AY333" s="7937"/>
      <c r="AZ333" s="1819">
        <v>1104.01</v>
      </c>
      <c r="BA333" s="7875"/>
      <c r="BB333" s="7301">
        <f t="shared" si="516"/>
        <v>3203.1899999999996</v>
      </c>
      <c r="BC333" s="7885"/>
      <c r="BD333" s="7302">
        <f t="shared" si="517"/>
        <v>6628.8619999999992</v>
      </c>
      <c r="BE333" s="7945"/>
      <c r="BF333" s="7310">
        <f t="shared" si="518"/>
        <v>17221.367999999999</v>
      </c>
      <c r="BG333" s="4152">
        <f t="shared" si="475"/>
        <v>0</v>
      </c>
      <c r="BH333" s="4152">
        <f t="shared" si="476"/>
        <v>0</v>
      </c>
      <c r="BI333" s="4152"/>
      <c r="BJ333" s="4152">
        <f t="shared" si="477"/>
        <v>0</v>
      </c>
      <c r="BK333" s="4152">
        <f t="shared" si="478"/>
        <v>0</v>
      </c>
    </row>
    <row r="334" spans="1:63" s="7611" customFormat="1" x14ac:dyDescent="0.25">
      <c r="A334" s="188"/>
      <c r="B334" s="7621" t="s">
        <v>849</v>
      </c>
      <c r="C334" s="7043" t="s">
        <v>2338</v>
      </c>
      <c r="D334" s="7043"/>
      <c r="E334" s="7938"/>
      <c r="F334" s="7034">
        <v>163.56</v>
      </c>
      <c r="G334" s="7938"/>
      <c r="H334" s="7034"/>
      <c r="I334" s="7962"/>
      <c r="J334" s="7044"/>
      <c r="K334" s="7938"/>
      <c r="L334" s="7034"/>
      <c r="M334" s="7876"/>
      <c r="N334" s="7045"/>
      <c r="O334" s="7938"/>
      <c r="P334" s="7034"/>
      <c r="Q334" s="7912"/>
      <c r="R334" s="7044"/>
      <c r="S334" s="7938"/>
      <c r="T334" s="7034"/>
      <c r="U334" s="7912"/>
      <c r="V334" s="7044"/>
      <c r="W334" s="7938"/>
      <c r="X334" s="7034"/>
      <c r="Y334" s="7876"/>
      <c r="Z334" s="7045"/>
      <c r="AA334" s="7886"/>
      <c r="AB334" s="7379"/>
      <c r="AC334" s="7938"/>
      <c r="AD334" s="7034"/>
      <c r="AE334" s="7912"/>
      <c r="AF334" s="7044"/>
      <c r="AG334" s="7938"/>
      <c r="AH334" s="7034"/>
      <c r="AI334" s="7945"/>
      <c r="AJ334" s="7044"/>
      <c r="AK334" s="7938"/>
      <c r="AL334" s="7034"/>
      <c r="AM334" s="7876"/>
      <c r="AN334" s="7045"/>
      <c r="AO334" s="7912"/>
      <c r="AP334" s="7044"/>
      <c r="AQ334" s="7938"/>
      <c r="AR334" s="7034"/>
      <c r="AS334" s="7945"/>
      <c r="AT334" s="7044"/>
      <c r="AU334" s="7938"/>
      <c r="AV334" s="7034"/>
      <c r="AW334" s="7945"/>
      <c r="AX334" s="7044"/>
      <c r="AY334" s="7938"/>
      <c r="AZ334" s="7034"/>
      <c r="BA334" s="7876"/>
      <c r="BB334" s="7045"/>
      <c r="BC334" s="7886"/>
      <c r="BD334" s="7379"/>
      <c r="BE334" s="7945"/>
      <c r="BF334" s="7044"/>
      <c r="BG334" s="4152"/>
      <c r="BH334" s="4152"/>
      <c r="BI334" s="4152"/>
      <c r="BJ334" s="4152"/>
      <c r="BK334" s="4152"/>
    </row>
    <row r="335" spans="1:63" x14ac:dyDescent="0.25">
      <c r="A335" s="188"/>
      <c r="B335" s="797" t="s">
        <v>849</v>
      </c>
      <c r="C335" s="3846" t="s">
        <v>956</v>
      </c>
      <c r="D335" s="3900"/>
      <c r="E335" s="7937"/>
      <c r="F335" s="1819">
        <v>2486.576</v>
      </c>
      <c r="G335" s="7937"/>
      <c r="H335" s="1819">
        <v>4487.2999999999993</v>
      </c>
      <c r="I335" s="7961"/>
      <c r="J335" s="7310">
        <f t="shared" si="479"/>
        <v>6973.8759999999993</v>
      </c>
      <c r="K335" s="7937"/>
      <c r="L335" s="1819">
        <v>2164.86</v>
      </c>
      <c r="M335" s="7875"/>
      <c r="N335" s="7301">
        <f t="shared" si="480"/>
        <v>9138.735999999999</v>
      </c>
      <c r="O335" s="7937"/>
      <c r="P335" s="1819">
        <v>2932.91</v>
      </c>
      <c r="Q335" s="7911"/>
      <c r="R335" s="7310">
        <f t="shared" si="481"/>
        <v>12071.645999999999</v>
      </c>
      <c r="S335" s="7937"/>
      <c r="T335" s="1819">
        <v>1853.04</v>
      </c>
      <c r="U335" s="7911"/>
      <c r="V335" s="7310">
        <f t="shared" si="482"/>
        <v>13924.685999999998</v>
      </c>
      <c r="W335" s="7937"/>
      <c r="X335" s="1819">
        <v>1054.3899999999999</v>
      </c>
      <c r="Y335" s="7875"/>
      <c r="Z335" s="7301">
        <f t="shared" si="483"/>
        <v>5840.34</v>
      </c>
      <c r="AA335" s="7885"/>
      <c r="AB335" s="7302">
        <f t="shared" si="484"/>
        <v>14979.075999999999</v>
      </c>
      <c r="AC335" s="7937"/>
      <c r="AD335" s="1819">
        <v>1725.8100000000002</v>
      </c>
      <c r="AE335" s="7911"/>
      <c r="AF335" s="7310">
        <f t="shared" si="485"/>
        <v>16704.885999999999</v>
      </c>
      <c r="AG335" s="7937"/>
      <c r="AH335" s="1819">
        <v>4146.25</v>
      </c>
      <c r="AI335" s="7945"/>
      <c r="AJ335" s="7310">
        <f t="shared" si="512"/>
        <v>20851.135999999999</v>
      </c>
      <c r="AK335" s="7937"/>
      <c r="AL335" s="1819">
        <v>2127.5210000000002</v>
      </c>
      <c r="AM335" s="7875"/>
      <c r="AN335" s="7301">
        <f t="shared" si="513"/>
        <v>7999.5810000000001</v>
      </c>
      <c r="AO335" s="7911"/>
      <c r="AP335" s="7310">
        <f t="shared" si="514"/>
        <v>22978.656999999999</v>
      </c>
      <c r="AQ335" s="7937"/>
      <c r="AR335" s="1819">
        <v>2376.09</v>
      </c>
      <c r="AS335" s="7945"/>
      <c r="AT335" s="7310">
        <f t="shared" si="519"/>
        <v>25354.746999999999</v>
      </c>
      <c r="AU335" s="7937"/>
      <c r="AV335" s="1819">
        <v>3326.74</v>
      </c>
      <c r="AW335" s="7945"/>
      <c r="AX335" s="7310">
        <f t="shared" si="515"/>
        <v>28681.487000000001</v>
      </c>
      <c r="AY335" s="7937"/>
      <c r="AZ335" s="1819">
        <v>5111.2829999999985</v>
      </c>
      <c r="BA335" s="7875"/>
      <c r="BB335" s="7301">
        <f t="shared" si="516"/>
        <v>10814.112999999998</v>
      </c>
      <c r="BC335" s="7885"/>
      <c r="BD335" s="7302">
        <f t="shared" si="517"/>
        <v>18813.693999999996</v>
      </c>
      <c r="BE335" s="7945"/>
      <c r="BF335" s="7310">
        <f t="shared" si="518"/>
        <v>33792.769999999997</v>
      </c>
      <c r="BG335" s="4152">
        <f t="shared" si="475"/>
        <v>0</v>
      </c>
      <c r="BH335" s="4152">
        <f t="shared" si="476"/>
        <v>0</v>
      </c>
      <c r="BI335" s="4152"/>
      <c r="BJ335" s="4152">
        <f t="shared" si="477"/>
        <v>0</v>
      </c>
      <c r="BK335" s="4152">
        <f t="shared" si="478"/>
        <v>0</v>
      </c>
    </row>
    <row r="336" spans="1:63" x14ac:dyDescent="0.25">
      <c r="A336" s="188"/>
      <c r="B336" s="797" t="s">
        <v>849</v>
      </c>
      <c r="C336" s="3846" t="s">
        <v>2076</v>
      </c>
      <c r="D336" s="3900"/>
      <c r="E336" s="7937"/>
      <c r="F336" s="1819"/>
      <c r="G336" s="7937"/>
      <c r="H336" s="1819"/>
      <c r="I336" s="7961"/>
      <c r="J336" s="7310">
        <f t="shared" si="479"/>
        <v>0</v>
      </c>
      <c r="K336" s="7937"/>
      <c r="L336" s="1819"/>
      <c r="M336" s="7875"/>
      <c r="N336" s="7301">
        <f t="shared" si="480"/>
        <v>0</v>
      </c>
      <c r="O336" s="7937"/>
      <c r="P336" s="1819"/>
      <c r="Q336" s="7911"/>
      <c r="R336" s="7310">
        <f t="shared" si="481"/>
        <v>0</v>
      </c>
      <c r="S336" s="7937"/>
      <c r="T336" s="1819"/>
      <c r="U336" s="7911"/>
      <c r="V336" s="7310">
        <f t="shared" si="482"/>
        <v>0</v>
      </c>
      <c r="W336" s="7937"/>
      <c r="X336" s="1819"/>
      <c r="Y336" s="7875"/>
      <c r="Z336" s="7301">
        <f t="shared" si="483"/>
        <v>0</v>
      </c>
      <c r="AA336" s="7885"/>
      <c r="AB336" s="7302">
        <f t="shared" si="484"/>
        <v>0</v>
      </c>
      <c r="AC336" s="7937"/>
      <c r="AD336" s="1819">
        <v>198.89000000000001</v>
      </c>
      <c r="AE336" s="7911"/>
      <c r="AF336" s="7310">
        <f t="shared" si="485"/>
        <v>198.89000000000001</v>
      </c>
      <c r="AG336" s="7937"/>
      <c r="AH336" s="1819"/>
      <c r="AI336" s="7945"/>
      <c r="AJ336" s="7310">
        <f t="shared" si="512"/>
        <v>198.89000000000001</v>
      </c>
      <c r="AK336" s="7937"/>
      <c r="AL336" s="1819"/>
      <c r="AM336" s="7875"/>
      <c r="AN336" s="7301">
        <f t="shared" si="513"/>
        <v>198.89000000000001</v>
      </c>
      <c r="AO336" s="7911"/>
      <c r="AP336" s="7310">
        <f t="shared" si="514"/>
        <v>198.89000000000001</v>
      </c>
      <c r="AQ336" s="7937"/>
      <c r="AR336" s="1819"/>
      <c r="AS336" s="7945"/>
      <c r="AT336" s="7310">
        <f t="shared" si="519"/>
        <v>198.89000000000001</v>
      </c>
      <c r="AU336" s="7937"/>
      <c r="AV336" s="1819"/>
      <c r="AW336" s="7945"/>
      <c r="AX336" s="7310">
        <f t="shared" si="515"/>
        <v>198.89000000000001</v>
      </c>
      <c r="AY336" s="7937"/>
      <c r="AZ336" s="1819"/>
      <c r="BA336" s="7875"/>
      <c r="BB336" s="7301">
        <f t="shared" si="516"/>
        <v>0</v>
      </c>
      <c r="BC336" s="7885"/>
      <c r="BD336" s="7302">
        <f t="shared" si="517"/>
        <v>198.89000000000001</v>
      </c>
      <c r="BE336" s="7945"/>
      <c r="BF336" s="7310">
        <f t="shared" si="518"/>
        <v>198.89000000000001</v>
      </c>
      <c r="BG336" s="4152">
        <f t="shared" si="475"/>
        <v>0</v>
      </c>
      <c r="BH336" s="4152">
        <f t="shared" si="476"/>
        <v>0</v>
      </c>
      <c r="BI336" s="4152"/>
      <c r="BJ336" s="4152">
        <f t="shared" si="477"/>
        <v>0</v>
      </c>
      <c r="BK336" s="4152">
        <f t="shared" si="478"/>
        <v>0</v>
      </c>
    </row>
    <row r="337" spans="1:63" x14ac:dyDescent="0.25">
      <c r="A337" s="188"/>
      <c r="B337" s="797" t="s">
        <v>849</v>
      </c>
      <c r="C337" s="3846" t="s">
        <v>1721</v>
      </c>
      <c r="D337" s="3900"/>
      <c r="E337" s="7937"/>
      <c r="F337" s="3790">
        <v>6526.4790000000003</v>
      </c>
      <c r="G337" s="7937"/>
      <c r="H337" s="5575">
        <v>5008.1299999999992</v>
      </c>
      <c r="I337" s="7961"/>
      <c r="J337" s="7310">
        <f t="shared" si="479"/>
        <v>11534.609</v>
      </c>
      <c r="K337" s="7937"/>
      <c r="L337" s="5695">
        <v>5285.079999999999</v>
      </c>
      <c r="M337" s="7878"/>
      <c r="N337" s="7301">
        <f t="shared" si="480"/>
        <v>16819.688999999998</v>
      </c>
      <c r="O337" s="7937"/>
      <c r="P337" s="5857">
        <v>6037.9100000000017</v>
      </c>
      <c r="Q337" s="7914"/>
      <c r="R337" s="7310">
        <f t="shared" si="481"/>
        <v>22857.599000000002</v>
      </c>
      <c r="S337" s="7937"/>
      <c r="T337" s="5902">
        <v>4357.25</v>
      </c>
      <c r="U337" s="7914"/>
      <c r="V337" s="7310">
        <f t="shared" si="482"/>
        <v>27214.849000000002</v>
      </c>
      <c r="W337" s="7937"/>
      <c r="X337" s="6021">
        <v>3735.7300000000005</v>
      </c>
      <c r="Y337" s="7878"/>
      <c r="Z337" s="7301">
        <f t="shared" si="483"/>
        <v>14130.890000000003</v>
      </c>
      <c r="AA337" s="7888"/>
      <c r="AB337" s="7302">
        <f t="shared" si="484"/>
        <v>30950.579000000002</v>
      </c>
      <c r="AC337" s="7937"/>
      <c r="AD337" s="6156">
        <v>3008.61</v>
      </c>
      <c r="AE337" s="7914"/>
      <c r="AF337" s="7310">
        <f t="shared" si="485"/>
        <v>33959.188999999998</v>
      </c>
      <c r="AG337" s="7937"/>
      <c r="AH337" s="6318">
        <v>6942.68</v>
      </c>
      <c r="AI337" s="7945"/>
      <c r="AJ337" s="7310">
        <f t="shared" si="512"/>
        <v>40901.868999999999</v>
      </c>
      <c r="AK337" s="7937"/>
      <c r="AL337" s="6557">
        <v>5189.03</v>
      </c>
      <c r="AM337" s="7878"/>
      <c r="AN337" s="7301">
        <f t="shared" si="513"/>
        <v>15140.32</v>
      </c>
      <c r="AO337" s="7914"/>
      <c r="AP337" s="7310">
        <f t="shared" si="514"/>
        <v>46090.898999999998</v>
      </c>
      <c r="AQ337" s="7937"/>
      <c r="AR337" s="6657">
        <v>3602.6800000000003</v>
      </c>
      <c r="AS337" s="7945"/>
      <c r="AT337" s="7310">
        <f t="shared" si="519"/>
        <v>49693.578999999998</v>
      </c>
      <c r="AU337" s="7937"/>
      <c r="AV337" s="6822">
        <v>5228.45</v>
      </c>
      <c r="AW337" s="7945"/>
      <c r="AX337" s="7310">
        <f t="shared" si="515"/>
        <v>54922.028999999995</v>
      </c>
      <c r="AY337" s="7937"/>
      <c r="AZ337" s="6966">
        <v>7337.7069999999985</v>
      </c>
      <c r="BA337" s="7878"/>
      <c r="BB337" s="7301">
        <f t="shared" si="516"/>
        <v>16168.837</v>
      </c>
      <c r="BC337" s="7888"/>
      <c r="BD337" s="7302">
        <f t="shared" si="517"/>
        <v>31309.156999999999</v>
      </c>
      <c r="BE337" s="7945"/>
      <c r="BF337" s="7310">
        <f t="shared" si="518"/>
        <v>62259.73599999999</v>
      </c>
      <c r="BG337" s="4152">
        <f t="shared" si="475"/>
        <v>0</v>
      </c>
      <c r="BH337" s="4152">
        <f t="shared" si="476"/>
        <v>0</v>
      </c>
      <c r="BI337" s="4152"/>
      <c r="BJ337" s="4152">
        <f t="shared" si="477"/>
        <v>0</v>
      </c>
      <c r="BK337" s="4152">
        <f t="shared" si="478"/>
        <v>0</v>
      </c>
    </row>
    <row r="338" spans="1:63" x14ac:dyDescent="0.25">
      <c r="A338" s="188"/>
      <c r="B338" s="797" t="s">
        <v>849</v>
      </c>
      <c r="C338" s="3846" t="s">
        <v>1724</v>
      </c>
      <c r="D338" s="3900"/>
      <c r="E338" s="7937"/>
      <c r="F338" s="3790">
        <v>246.066</v>
      </c>
      <c r="G338" s="7937"/>
      <c r="H338" s="5575">
        <v>1366.79</v>
      </c>
      <c r="I338" s="7961"/>
      <c r="J338" s="7310">
        <f t="shared" si="479"/>
        <v>1612.856</v>
      </c>
      <c r="K338" s="7937"/>
      <c r="L338" s="5695">
        <v>1074.3</v>
      </c>
      <c r="M338" s="7878"/>
      <c r="N338" s="7301">
        <f t="shared" si="480"/>
        <v>2687.1559999999999</v>
      </c>
      <c r="O338" s="7937"/>
      <c r="P338" s="5857">
        <v>1324.22</v>
      </c>
      <c r="Q338" s="7914"/>
      <c r="R338" s="7310">
        <f t="shared" si="481"/>
        <v>4011.3760000000002</v>
      </c>
      <c r="S338" s="7937"/>
      <c r="T338" s="5902">
        <v>373.9</v>
      </c>
      <c r="U338" s="7914"/>
      <c r="V338" s="7310">
        <f t="shared" si="482"/>
        <v>4385.2759999999998</v>
      </c>
      <c r="W338" s="7937"/>
      <c r="X338" s="6021">
        <v>1022.26</v>
      </c>
      <c r="Y338" s="7878"/>
      <c r="Z338" s="7301">
        <f t="shared" si="483"/>
        <v>2720.38</v>
      </c>
      <c r="AA338" s="7888"/>
      <c r="AB338" s="7302">
        <f t="shared" si="484"/>
        <v>5407.5360000000001</v>
      </c>
      <c r="AC338" s="7937"/>
      <c r="AD338" s="6156">
        <v>753.88000000000011</v>
      </c>
      <c r="AE338" s="7914"/>
      <c r="AF338" s="7310">
        <f t="shared" si="485"/>
        <v>6161.4160000000002</v>
      </c>
      <c r="AG338" s="7937"/>
      <c r="AH338" s="6318">
        <v>258.49</v>
      </c>
      <c r="AI338" s="7945"/>
      <c r="AJ338" s="7310">
        <f t="shared" si="512"/>
        <v>6419.9059999999999</v>
      </c>
      <c r="AK338" s="7937"/>
      <c r="AL338" s="6557">
        <v>752.34199999999987</v>
      </c>
      <c r="AM338" s="7878"/>
      <c r="AN338" s="7301">
        <f t="shared" si="513"/>
        <v>1764.712</v>
      </c>
      <c r="AO338" s="7914"/>
      <c r="AP338" s="7310">
        <f t="shared" si="514"/>
        <v>7172.2479999999996</v>
      </c>
      <c r="AQ338" s="7937"/>
      <c r="AR338" s="6657">
        <v>126.84</v>
      </c>
      <c r="AS338" s="7945"/>
      <c r="AT338" s="7310">
        <f t="shared" si="519"/>
        <v>7299.0879999999997</v>
      </c>
      <c r="AU338" s="7937"/>
      <c r="AV338" s="6822">
        <v>202.47</v>
      </c>
      <c r="AW338" s="7945"/>
      <c r="AX338" s="7310">
        <f t="shared" si="515"/>
        <v>7501.558</v>
      </c>
      <c r="AY338" s="7937"/>
      <c r="AZ338" s="6966">
        <v>65.72</v>
      </c>
      <c r="BA338" s="7878"/>
      <c r="BB338" s="7301">
        <f t="shared" si="516"/>
        <v>395.03</v>
      </c>
      <c r="BC338" s="7888"/>
      <c r="BD338" s="7302">
        <f t="shared" si="517"/>
        <v>2159.7420000000002</v>
      </c>
      <c r="BE338" s="7945"/>
      <c r="BF338" s="7310">
        <f t="shared" si="518"/>
        <v>7567.2780000000002</v>
      </c>
      <c r="BG338" s="4152">
        <f t="shared" si="475"/>
        <v>0</v>
      </c>
      <c r="BH338" s="4152">
        <f t="shared" si="476"/>
        <v>0</v>
      </c>
      <c r="BI338" s="4152"/>
      <c r="BJ338" s="4152">
        <f t="shared" si="477"/>
        <v>0</v>
      </c>
      <c r="BK338" s="4152">
        <f t="shared" si="478"/>
        <v>0</v>
      </c>
    </row>
    <row r="339" spans="1:63" s="6684" customFormat="1" x14ac:dyDescent="0.25">
      <c r="A339" s="188"/>
      <c r="B339" s="797" t="s">
        <v>849</v>
      </c>
      <c r="C339" s="6609" t="s">
        <v>2207</v>
      </c>
      <c r="D339" s="6692"/>
      <c r="E339" s="7939"/>
      <c r="F339" s="6365"/>
      <c r="G339" s="7939"/>
      <c r="H339" s="6365"/>
      <c r="I339" s="7963"/>
      <c r="J339" s="6366"/>
      <c r="K339" s="7939"/>
      <c r="L339" s="6365"/>
      <c r="M339" s="7882"/>
      <c r="N339" s="6367"/>
      <c r="O339" s="7939"/>
      <c r="P339" s="6365"/>
      <c r="Q339" s="7918"/>
      <c r="R339" s="6366"/>
      <c r="S339" s="7939"/>
      <c r="T339" s="6365"/>
      <c r="U339" s="7918"/>
      <c r="V339" s="6366"/>
      <c r="W339" s="7939"/>
      <c r="X339" s="6365"/>
      <c r="Y339" s="7882"/>
      <c r="Z339" s="6367"/>
      <c r="AA339" s="7892"/>
      <c r="AB339" s="6895"/>
      <c r="AC339" s="7939"/>
      <c r="AD339" s="6365"/>
      <c r="AE339" s="7918"/>
      <c r="AF339" s="6366"/>
      <c r="AG339" s="7939"/>
      <c r="AH339" s="6365"/>
      <c r="AI339" s="7945"/>
      <c r="AJ339" s="6366"/>
      <c r="AK339" s="7939"/>
      <c r="AL339" s="6365"/>
      <c r="AM339" s="7882"/>
      <c r="AN339" s="6367"/>
      <c r="AO339" s="7918"/>
      <c r="AP339" s="6366"/>
      <c r="AQ339" s="7939"/>
      <c r="AR339" s="6365">
        <v>64.3</v>
      </c>
      <c r="AS339" s="7945"/>
      <c r="AT339" s="7310">
        <f t="shared" si="519"/>
        <v>64.3</v>
      </c>
      <c r="AU339" s="7939"/>
      <c r="AV339" s="6365"/>
      <c r="AW339" s="7945"/>
      <c r="AX339" s="7310">
        <f t="shared" si="515"/>
        <v>64.3</v>
      </c>
      <c r="AY339" s="7939"/>
      <c r="AZ339" s="6365"/>
      <c r="BA339" s="7882"/>
      <c r="BB339" s="7301">
        <f t="shared" si="516"/>
        <v>64.3</v>
      </c>
      <c r="BC339" s="7892"/>
      <c r="BD339" s="7302">
        <f t="shared" si="517"/>
        <v>64.3</v>
      </c>
      <c r="BE339" s="7945"/>
      <c r="BF339" s="7310">
        <f t="shared" si="518"/>
        <v>64.3</v>
      </c>
      <c r="BG339" s="4152">
        <f t="shared" si="475"/>
        <v>0</v>
      </c>
      <c r="BH339" s="4152">
        <f t="shared" si="476"/>
        <v>0</v>
      </c>
      <c r="BI339" s="4152"/>
      <c r="BJ339" s="4152">
        <f t="shared" si="477"/>
        <v>0</v>
      </c>
      <c r="BK339" s="4152">
        <f t="shared" si="478"/>
        <v>0</v>
      </c>
    </row>
    <row r="340" spans="1:63" x14ac:dyDescent="0.25">
      <c r="A340" s="188"/>
      <c r="B340" s="797" t="s">
        <v>849</v>
      </c>
      <c r="C340" s="3846" t="s">
        <v>2178</v>
      </c>
      <c r="D340" s="3900"/>
      <c r="E340" s="7937"/>
      <c r="F340" s="1819"/>
      <c r="G340" s="7937"/>
      <c r="H340" s="1819">
        <v>63.74</v>
      </c>
      <c r="I340" s="7961"/>
      <c r="J340" s="7310">
        <f t="shared" si="479"/>
        <v>63.74</v>
      </c>
      <c r="K340" s="7937"/>
      <c r="L340" s="1819">
        <v>124</v>
      </c>
      <c r="M340" s="7875"/>
      <c r="N340" s="7301">
        <f t="shared" si="480"/>
        <v>187.74</v>
      </c>
      <c r="O340" s="7937"/>
      <c r="P340" s="1819"/>
      <c r="Q340" s="7911"/>
      <c r="R340" s="7310">
        <f t="shared" si="481"/>
        <v>187.74</v>
      </c>
      <c r="S340" s="7937"/>
      <c r="T340" s="1819"/>
      <c r="U340" s="7911"/>
      <c r="V340" s="7310">
        <f t="shared" si="482"/>
        <v>187.74</v>
      </c>
      <c r="W340" s="7937"/>
      <c r="X340" s="1819"/>
      <c r="Y340" s="7875"/>
      <c r="Z340" s="7301">
        <f t="shared" si="483"/>
        <v>0</v>
      </c>
      <c r="AA340" s="7885"/>
      <c r="AB340" s="7302">
        <f t="shared" si="484"/>
        <v>187.74</v>
      </c>
      <c r="AC340" s="7937"/>
      <c r="AD340" s="1819"/>
      <c r="AE340" s="7911"/>
      <c r="AF340" s="7310">
        <f t="shared" si="485"/>
        <v>187.74</v>
      </c>
      <c r="AG340" s="7937"/>
      <c r="AH340" s="1819">
        <v>62.7</v>
      </c>
      <c r="AI340" s="7945"/>
      <c r="AJ340" s="7310">
        <f t="shared" si="512"/>
        <v>250.44</v>
      </c>
      <c r="AK340" s="7937"/>
      <c r="AL340" s="1819">
        <v>186.01999999999998</v>
      </c>
      <c r="AM340" s="7875"/>
      <c r="AN340" s="7301">
        <f t="shared" si="513"/>
        <v>248.71999999999997</v>
      </c>
      <c r="AO340" s="7911"/>
      <c r="AP340" s="7310">
        <f t="shared" si="514"/>
        <v>436.46</v>
      </c>
      <c r="AQ340" s="7937"/>
      <c r="AR340" s="1819">
        <v>320.16000000000003</v>
      </c>
      <c r="AS340" s="7945"/>
      <c r="AT340" s="7310">
        <f t="shared" si="519"/>
        <v>756.62</v>
      </c>
      <c r="AU340" s="7937"/>
      <c r="AV340" s="1819">
        <v>63.9</v>
      </c>
      <c r="AW340" s="7945"/>
      <c r="AX340" s="7310">
        <f t="shared" si="515"/>
        <v>820.52</v>
      </c>
      <c r="AY340" s="7937"/>
      <c r="AZ340" s="1819">
        <v>62.22</v>
      </c>
      <c r="BA340" s="7875"/>
      <c r="BB340" s="7301">
        <f t="shared" si="516"/>
        <v>446.28</v>
      </c>
      <c r="BC340" s="7885"/>
      <c r="BD340" s="7302">
        <f t="shared" si="517"/>
        <v>695</v>
      </c>
      <c r="BE340" s="7945"/>
      <c r="BF340" s="7310">
        <f t="shared" si="518"/>
        <v>882.74</v>
      </c>
      <c r="BG340" s="4152">
        <f t="shared" si="475"/>
        <v>0</v>
      </c>
      <c r="BH340" s="4152">
        <f t="shared" si="476"/>
        <v>0</v>
      </c>
      <c r="BI340" s="4152"/>
      <c r="BJ340" s="4152">
        <f t="shared" si="477"/>
        <v>0</v>
      </c>
      <c r="BK340" s="4152">
        <f t="shared" si="478"/>
        <v>0</v>
      </c>
    </row>
    <row r="341" spans="1:63" ht="15.75" thickBot="1" x14ac:dyDescent="0.3">
      <c r="A341" s="188"/>
      <c r="B341" s="3157" t="s">
        <v>849</v>
      </c>
      <c r="C341" s="3817" t="s">
        <v>1942</v>
      </c>
      <c r="D341" s="3901"/>
      <c r="E341" s="7937"/>
      <c r="F341" s="1819"/>
      <c r="G341" s="7937"/>
      <c r="H341" s="1819"/>
      <c r="I341" s="7961"/>
      <c r="J341" s="7310">
        <f t="shared" si="479"/>
        <v>0</v>
      </c>
      <c r="K341" s="7937"/>
      <c r="L341" s="1819">
        <v>319.10000000000002</v>
      </c>
      <c r="M341" s="7875"/>
      <c r="N341" s="7301">
        <f t="shared" si="480"/>
        <v>319.10000000000002</v>
      </c>
      <c r="O341" s="7937"/>
      <c r="P341" s="1819"/>
      <c r="Q341" s="7911"/>
      <c r="R341" s="7310">
        <f t="shared" si="481"/>
        <v>319.10000000000002</v>
      </c>
      <c r="S341" s="7937"/>
      <c r="T341" s="1819"/>
      <c r="U341" s="7911"/>
      <c r="V341" s="7310">
        <f t="shared" si="482"/>
        <v>319.10000000000002</v>
      </c>
      <c r="W341" s="7937"/>
      <c r="X341" s="1819"/>
      <c r="Y341" s="7875"/>
      <c r="Z341" s="7301">
        <f t="shared" si="483"/>
        <v>0</v>
      </c>
      <c r="AA341" s="7885"/>
      <c r="AB341" s="7302">
        <f t="shared" si="484"/>
        <v>319.10000000000002</v>
      </c>
      <c r="AC341" s="7937"/>
      <c r="AD341" s="1819">
        <v>246.48</v>
      </c>
      <c r="AE341" s="7911"/>
      <c r="AF341" s="7310">
        <f t="shared" si="485"/>
        <v>565.58000000000004</v>
      </c>
      <c r="AG341" s="7937"/>
      <c r="AH341" s="1819">
        <v>121.72</v>
      </c>
      <c r="AI341" s="7945"/>
      <c r="AJ341" s="7310">
        <f t="shared" si="512"/>
        <v>687.30000000000007</v>
      </c>
      <c r="AK341" s="7937"/>
      <c r="AL341" s="1819">
        <v>18.167999999999999</v>
      </c>
      <c r="AM341" s="7875"/>
      <c r="AN341" s="7301">
        <f t="shared" si="513"/>
        <v>386.36799999999999</v>
      </c>
      <c r="AO341" s="7911"/>
      <c r="AP341" s="7310">
        <f t="shared" si="514"/>
        <v>705.46800000000007</v>
      </c>
      <c r="AQ341" s="7937"/>
      <c r="AR341" s="1819"/>
      <c r="AS341" s="7945"/>
      <c r="AT341" s="7310">
        <f t="shared" si="519"/>
        <v>705.46800000000007</v>
      </c>
      <c r="AU341" s="7937"/>
      <c r="AV341" s="1819"/>
      <c r="AW341" s="7945"/>
      <c r="AX341" s="7310">
        <f t="shared" si="515"/>
        <v>705.46800000000007</v>
      </c>
      <c r="AY341" s="7937"/>
      <c r="AZ341" s="1819"/>
      <c r="BA341" s="7875"/>
      <c r="BB341" s="7301">
        <f t="shared" si="516"/>
        <v>0</v>
      </c>
      <c r="BC341" s="7885"/>
      <c r="BD341" s="7302">
        <f t="shared" si="517"/>
        <v>386.36799999999999</v>
      </c>
      <c r="BE341" s="7945"/>
      <c r="BF341" s="7310">
        <f t="shared" si="518"/>
        <v>705.46800000000007</v>
      </c>
      <c r="BG341" s="4152">
        <f t="shared" ref="BG341:BG404" si="520">AY341+AU341+AQ341+AK341+AG341+AC341+W341+S341+O341+K341+G341+E341-BE341</f>
        <v>0</v>
      </c>
      <c r="BH341" s="4152">
        <f t="shared" ref="BH341:BH404" si="521">AZ341+AV341+AR341+AL341+AH341+AD341+X341+T341+P341+L341+H341+F341-BF341</f>
        <v>0</v>
      </c>
      <c r="BI341" s="4152"/>
      <c r="BJ341" s="4152">
        <f t="shared" ref="BJ341:BJ404" si="522">AY341+AU341+AQ341+AK341+AG341+AC341-BC341</f>
        <v>0</v>
      </c>
      <c r="BK341" s="4152">
        <f t="shared" ref="BK341:BK404" si="523">AZ341+AV341+AR341+AL341+AH341+AD341-BD341</f>
        <v>0</v>
      </c>
    </row>
    <row r="342" spans="1:63" s="6193" customFormat="1" x14ac:dyDescent="0.25">
      <c r="A342" s="188"/>
      <c r="B342" s="5798" t="s">
        <v>849</v>
      </c>
      <c r="C342" s="3828" t="s">
        <v>2077</v>
      </c>
      <c r="D342" s="4305"/>
      <c r="E342" s="7940"/>
      <c r="F342" s="5970"/>
      <c r="G342" s="7940"/>
      <c r="H342" s="5970"/>
      <c r="I342" s="7964"/>
      <c r="J342" s="5971"/>
      <c r="K342" s="7940"/>
      <c r="L342" s="5970"/>
      <c r="M342" s="7883"/>
      <c r="N342" s="7301">
        <f t="shared" si="480"/>
        <v>0</v>
      </c>
      <c r="O342" s="7940"/>
      <c r="P342" s="5970"/>
      <c r="Q342" s="7919"/>
      <c r="R342" s="5971"/>
      <c r="S342" s="7940"/>
      <c r="T342" s="5970"/>
      <c r="U342" s="7919"/>
      <c r="V342" s="5971"/>
      <c r="W342" s="7940"/>
      <c r="X342" s="5970"/>
      <c r="Y342" s="7883"/>
      <c r="Z342" s="7301">
        <f t="shared" si="483"/>
        <v>0</v>
      </c>
      <c r="AA342" s="7893"/>
      <c r="AB342" s="7302">
        <f t="shared" si="484"/>
        <v>0</v>
      </c>
      <c r="AC342" s="7940"/>
      <c r="AD342" s="5970">
        <v>74.039999999999992</v>
      </c>
      <c r="AE342" s="7919"/>
      <c r="AF342" s="7310">
        <f t="shared" si="485"/>
        <v>74.039999999999992</v>
      </c>
      <c r="AG342" s="7940"/>
      <c r="AH342" s="5970"/>
      <c r="AI342" s="7945"/>
      <c r="AJ342" s="7310">
        <f t="shared" si="512"/>
        <v>74.039999999999992</v>
      </c>
      <c r="AK342" s="7940"/>
      <c r="AL342" s="5970"/>
      <c r="AM342" s="7883"/>
      <c r="AN342" s="7301">
        <f t="shared" si="513"/>
        <v>74.039999999999992</v>
      </c>
      <c r="AO342" s="7919"/>
      <c r="AP342" s="7310">
        <f t="shared" si="514"/>
        <v>74.039999999999992</v>
      </c>
      <c r="AQ342" s="7940"/>
      <c r="AR342" s="5970"/>
      <c r="AS342" s="7945"/>
      <c r="AT342" s="5971">
        <f t="shared" si="519"/>
        <v>74.039999999999992</v>
      </c>
      <c r="AU342" s="7940"/>
      <c r="AV342" s="5970"/>
      <c r="AW342" s="7945"/>
      <c r="AX342" s="7310">
        <f t="shared" si="515"/>
        <v>74.039999999999992</v>
      </c>
      <c r="AY342" s="7940"/>
      <c r="AZ342" s="5970"/>
      <c r="BA342" s="7883"/>
      <c r="BB342" s="7301">
        <f t="shared" si="516"/>
        <v>0</v>
      </c>
      <c r="BC342" s="7893"/>
      <c r="BD342" s="7302">
        <f t="shared" si="517"/>
        <v>74.039999999999992</v>
      </c>
      <c r="BE342" s="7945"/>
      <c r="BF342" s="7310">
        <f t="shared" si="518"/>
        <v>74.039999999999992</v>
      </c>
      <c r="BG342" s="4152">
        <f t="shared" si="520"/>
        <v>0</v>
      </c>
      <c r="BH342" s="4152">
        <f t="shared" si="521"/>
        <v>0</v>
      </c>
      <c r="BI342" s="4152"/>
      <c r="BJ342" s="4152">
        <f t="shared" si="522"/>
        <v>0</v>
      </c>
      <c r="BK342" s="4152">
        <f t="shared" si="523"/>
        <v>0</v>
      </c>
    </row>
    <row r="343" spans="1:63" x14ac:dyDescent="0.25">
      <c r="A343" s="188"/>
      <c r="B343" s="3883" t="s">
        <v>851</v>
      </c>
      <c r="C343" s="3842" t="s">
        <v>874</v>
      </c>
      <c r="D343" s="3823"/>
      <c r="E343" s="7931"/>
      <c r="F343" s="1819"/>
      <c r="G343" s="7931"/>
      <c r="H343" s="1819"/>
      <c r="I343" s="7911"/>
      <c r="J343" s="7310">
        <f t="shared" si="479"/>
        <v>0</v>
      </c>
      <c r="K343" s="7931"/>
      <c r="L343" s="1819">
        <v>63.68</v>
      </c>
      <c r="M343" s="7875"/>
      <c r="N343" s="7301">
        <f t="shared" si="480"/>
        <v>63.68</v>
      </c>
      <c r="O343" s="7931"/>
      <c r="P343" s="1819"/>
      <c r="Q343" s="7911"/>
      <c r="R343" s="7310">
        <f t="shared" si="481"/>
        <v>63.68</v>
      </c>
      <c r="S343" s="7931"/>
      <c r="T343" s="1819"/>
      <c r="U343" s="7911"/>
      <c r="V343" s="7310">
        <f t="shared" si="482"/>
        <v>63.68</v>
      </c>
      <c r="W343" s="7931"/>
      <c r="X343" s="1819"/>
      <c r="Y343" s="7875"/>
      <c r="Z343" s="7301">
        <f t="shared" si="483"/>
        <v>0</v>
      </c>
      <c r="AA343" s="7885"/>
      <c r="AB343" s="7302">
        <f t="shared" si="484"/>
        <v>63.68</v>
      </c>
      <c r="AC343" s="7931"/>
      <c r="AD343" s="1819"/>
      <c r="AE343" s="7911"/>
      <c r="AF343" s="7310">
        <f t="shared" si="485"/>
        <v>63.68</v>
      </c>
      <c r="AG343" s="7931"/>
      <c r="AH343" s="1819"/>
      <c r="AI343" s="7945"/>
      <c r="AJ343" s="7310">
        <f t="shared" si="512"/>
        <v>63.68</v>
      </c>
      <c r="AK343" s="7931"/>
      <c r="AL343" s="1819">
        <v>124.62</v>
      </c>
      <c r="AM343" s="7875"/>
      <c r="AN343" s="7301">
        <f t="shared" si="513"/>
        <v>124.62</v>
      </c>
      <c r="AO343" s="7911"/>
      <c r="AP343" s="7310">
        <f t="shared" si="514"/>
        <v>188.3</v>
      </c>
      <c r="AQ343" s="7931"/>
      <c r="AR343" s="1819"/>
      <c r="AS343" s="7945"/>
      <c r="AT343" s="7310">
        <f t="shared" si="519"/>
        <v>188.3</v>
      </c>
      <c r="AU343" s="7931"/>
      <c r="AV343" s="1819"/>
      <c r="AW343" s="7945"/>
      <c r="AX343" s="7310">
        <f t="shared" si="515"/>
        <v>188.3</v>
      </c>
      <c r="AY343" s="7931"/>
      <c r="AZ343" s="1819"/>
      <c r="BA343" s="7875"/>
      <c r="BB343" s="7301">
        <f t="shared" si="516"/>
        <v>0</v>
      </c>
      <c r="BC343" s="7885"/>
      <c r="BD343" s="7302">
        <f t="shared" si="517"/>
        <v>124.62</v>
      </c>
      <c r="BE343" s="7945"/>
      <c r="BF343" s="7310">
        <f t="shared" si="518"/>
        <v>188.3</v>
      </c>
      <c r="BG343" s="4152">
        <f t="shared" si="520"/>
        <v>0</v>
      </c>
      <c r="BH343" s="4152">
        <f t="shared" si="521"/>
        <v>0</v>
      </c>
      <c r="BI343" s="4152"/>
      <c r="BJ343" s="4152">
        <f t="shared" si="522"/>
        <v>0</v>
      </c>
      <c r="BK343" s="4152">
        <f t="shared" si="523"/>
        <v>0</v>
      </c>
    </row>
    <row r="344" spans="1:63" x14ac:dyDescent="0.25">
      <c r="A344" s="188"/>
      <c r="B344" s="3902" t="s">
        <v>851</v>
      </c>
      <c r="C344" s="3845" t="s">
        <v>1722</v>
      </c>
      <c r="D344" s="3846"/>
      <c r="E344" s="7934"/>
      <c r="F344" s="3790">
        <v>439.91</v>
      </c>
      <c r="G344" s="7934"/>
      <c r="H344" s="5575">
        <v>1243.0299999999997</v>
      </c>
      <c r="I344" s="7914"/>
      <c r="J344" s="7310">
        <f t="shared" si="479"/>
        <v>1682.9399999999998</v>
      </c>
      <c r="K344" s="7934"/>
      <c r="L344" s="5695">
        <v>1535.8000000000002</v>
      </c>
      <c r="M344" s="7878"/>
      <c r="N344" s="7301">
        <f t="shared" si="480"/>
        <v>3218.74</v>
      </c>
      <c r="O344" s="7934"/>
      <c r="P344" s="5857">
        <v>2442.44</v>
      </c>
      <c r="Q344" s="7914"/>
      <c r="R344" s="7310">
        <f t="shared" si="481"/>
        <v>5661.18</v>
      </c>
      <c r="S344" s="7934"/>
      <c r="T344" s="5902">
        <v>531.89</v>
      </c>
      <c r="U344" s="7914"/>
      <c r="V344" s="7310">
        <f t="shared" si="482"/>
        <v>6193.0700000000006</v>
      </c>
      <c r="W344" s="7934"/>
      <c r="X344" s="6021">
        <v>1034.72</v>
      </c>
      <c r="Y344" s="7878"/>
      <c r="Z344" s="7301">
        <f t="shared" si="483"/>
        <v>4009.05</v>
      </c>
      <c r="AA344" s="7888"/>
      <c r="AB344" s="7302">
        <f t="shared" si="484"/>
        <v>7227.79</v>
      </c>
      <c r="AC344" s="7934"/>
      <c r="AD344" s="6156">
        <v>390.66000000000008</v>
      </c>
      <c r="AE344" s="7914"/>
      <c r="AF344" s="7310">
        <f t="shared" si="485"/>
        <v>7618.45</v>
      </c>
      <c r="AG344" s="7934"/>
      <c r="AH344" s="6318">
        <v>63.52</v>
      </c>
      <c r="AI344" s="7945"/>
      <c r="AJ344" s="7310">
        <f t="shared" si="512"/>
        <v>7681.97</v>
      </c>
      <c r="AK344" s="7934"/>
      <c r="AL344" s="6557">
        <v>1697.508</v>
      </c>
      <c r="AM344" s="7878"/>
      <c r="AN344" s="7301">
        <f t="shared" si="513"/>
        <v>2151.6880000000001</v>
      </c>
      <c r="AO344" s="7914"/>
      <c r="AP344" s="7310">
        <f t="shared" si="514"/>
        <v>9379.478000000001</v>
      </c>
      <c r="AQ344" s="7934"/>
      <c r="AR344" s="6657">
        <v>1400.6799999999998</v>
      </c>
      <c r="AS344" s="7945"/>
      <c r="AT344" s="7310">
        <f t="shared" si="519"/>
        <v>10780.158000000001</v>
      </c>
      <c r="AU344" s="7934"/>
      <c r="AV344" s="6822">
        <v>1036.71</v>
      </c>
      <c r="AW344" s="7945"/>
      <c r="AX344" s="7310">
        <f t="shared" si="515"/>
        <v>11816.868000000002</v>
      </c>
      <c r="AY344" s="7934"/>
      <c r="AZ344" s="6966">
        <v>1426.8600000000001</v>
      </c>
      <c r="BA344" s="7878"/>
      <c r="BB344" s="7301">
        <f t="shared" si="516"/>
        <v>3864.25</v>
      </c>
      <c r="BC344" s="7888"/>
      <c r="BD344" s="7302">
        <f t="shared" si="517"/>
        <v>6015.9380000000001</v>
      </c>
      <c r="BE344" s="7945"/>
      <c r="BF344" s="7310">
        <f t="shared" si="518"/>
        <v>13243.728000000003</v>
      </c>
      <c r="BG344" s="4152">
        <f t="shared" si="520"/>
        <v>0</v>
      </c>
      <c r="BH344" s="4152">
        <f t="shared" si="521"/>
        <v>0</v>
      </c>
      <c r="BI344" s="4152"/>
      <c r="BJ344" s="4152">
        <f t="shared" si="522"/>
        <v>0</v>
      </c>
      <c r="BK344" s="4152">
        <f t="shared" si="523"/>
        <v>0</v>
      </c>
    </row>
    <row r="345" spans="1:63" s="90" customFormat="1" x14ac:dyDescent="0.25">
      <c r="A345" s="188"/>
      <c r="B345" s="3902" t="s">
        <v>851</v>
      </c>
      <c r="C345" s="3845" t="s">
        <v>1725</v>
      </c>
      <c r="D345" s="3846"/>
      <c r="E345" s="7934"/>
      <c r="F345" s="4571">
        <v>181.50200000000001</v>
      </c>
      <c r="G345" s="7934"/>
      <c r="H345" s="5575">
        <v>436.43000000000006</v>
      </c>
      <c r="I345" s="7914"/>
      <c r="J345" s="7310">
        <f t="shared" si="479"/>
        <v>617.93200000000002</v>
      </c>
      <c r="K345" s="7934"/>
      <c r="L345" s="5695">
        <v>736.32999999999993</v>
      </c>
      <c r="M345" s="7878"/>
      <c r="N345" s="7301">
        <f t="shared" si="480"/>
        <v>1354.2619999999999</v>
      </c>
      <c r="O345" s="7934"/>
      <c r="P345" s="5857">
        <v>1337.73</v>
      </c>
      <c r="Q345" s="7914"/>
      <c r="R345" s="7310">
        <f t="shared" si="481"/>
        <v>2691.9920000000002</v>
      </c>
      <c r="S345" s="7934"/>
      <c r="T345" s="5902"/>
      <c r="U345" s="7914"/>
      <c r="V345" s="7310">
        <f t="shared" si="482"/>
        <v>2691.9920000000002</v>
      </c>
      <c r="W345" s="7934"/>
      <c r="X345" s="6021">
        <v>536.23</v>
      </c>
      <c r="Y345" s="7878"/>
      <c r="Z345" s="7301">
        <f t="shared" si="483"/>
        <v>1873.96</v>
      </c>
      <c r="AA345" s="7888"/>
      <c r="AB345" s="7302">
        <f t="shared" si="484"/>
        <v>3228.2219999999998</v>
      </c>
      <c r="AC345" s="7934"/>
      <c r="AD345" s="6156">
        <v>128.34</v>
      </c>
      <c r="AE345" s="7914"/>
      <c r="AF345" s="7310">
        <f t="shared" si="485"/>
        <v>3356.5619999999999</v>
      </c>
      <c r="AG345" s="7934"/>
      <c r="AH345" s="6318"/>
      <c r="AI345" s="7945"/>
      <c r="AJ345" s="7310">
        <f t="shared" si="512"/>
        <v>3356.5619999999999</v>
      </c>
      <c r="AK345" s="7934"/>
      <c r="AL345" s="6557"/>
      <c r="AM345" s="7878"/>
      <c r="AN345" s="7301">
        <f t="shared" si="513"/>
        <v>128.34</v>
      </c>
      <c r="AO345" s="7914"/>
      <c r="AP345" s="7310">
        <f t="shared" si="514"/>
        <v>3356.5619999999999</v>
      </c>
      <c r="AQ345" s="7934"/>
      <c r="AR345" s="6657">
        <v>295.26</v>
      </c>
      <c r="AS345" s="7945"/>
      <c r="AT345" s="7310">
        <f t="shared" si="519"/>
        <v>3651.8220000000001</v>
      </c>
      <c r="AU345" s="7934"/>
      <c r="AV345" s="6822">
        <v>467.71</v>
      </c>
      <c r="AW345" s="7945"/>
      <c r="AX345" s="7310">
        <f t="shared" si="515"/>
        <v>4119.5320000000002</v>
      </c>
      <c r="AY345" s="7934"/>
      <c r="AZ345" s="6966">
        <v>540.68100000000004</v>
      </c>
      <c r="BA345" s="7878"/>
      <c r="BB345" s="7301">
        <f t="shared" si="516"/>
        <v>1303.6510000000001</v>
      </c>
      <c r="BC345" s="7888"/>
      <c r="BD345" s="7302">
        <f t="shared" si="517"/>
        <v>1431.991</v>
      </c>
      <c r="BE345" s="7945"/>
      <c r="BF345" s="7310">
        <f t="shared" si="518"/>
        <v>4660.2129999999997</v>
      </c>
      <c r="BG345" s="4152">
        <f t="shared" si="520"/>
        <v>0</v>
      </c>
      <c r="BH345" s="4152">
        <f t="shared" si="521"/>
        <v>0</v>
      </c>
      <c r="BI345" s="4152"/>
      <c r="BJ345" s="4152">
        <f t="shared" si="522"/>
        <v>0</v>
      </c>
      <c r="BK345" s="4152">
        <f t="shared" si="523"/>
        <v>0</v>
      </c>
    </row>
    <row r="346" spans="1:63" x14ac:dyDescent="0.25">
      <c r="A346" s="188"/>
      <c r="B346" s="3865" t="s">
        <v>851</v>
      </c>
      <c r="C346" s="3836" t="s">
        <v>2177</v>
      </c>
      <c r="D346" s="3815"/>
      <c r="E346" s="7931"/>
      <c r="F346" s="1819">
        <v>10.879</v>
      </c>
      <c r="G346" s="7931"/>
      <c r="H346" s="1819"/>
      <c r="I346" s="7911"/>
      <c r="J346" s="7310">
        <f t="shared" si="479"/>
        <v>10.879</v>
      </c>
      <c r="K346" s="7931"/>
      <c r="L346" s="1819"/>
      <c r="M346" s="7875"/>
      <c r="N346" s="7301">
        <f t="shared" si="480"/>
        <v>10.879</v>
      </c>
      <c r="O346" s="7931"/>
      <c r="P346" s="1819"/>
      <c r="Q346" s="7911"/>
      <c r="R346" s="7310">
        <f t="shared" si="481"/>
        <v>10.879</v>
      </c>
      <c r="S346" s="7931"/>
      <c r="T346" s="1819"/>
      <c r="U346" s="7911"/>
      <c r="V346" s="7310">
        <f t="shared" si="482"/>
        <v>10.879</v>
      </c>
      <c r="W346" s="7931"/>
      <c r="X346" s="1819"/>
      <c r="Y346" s="7875"/>
      <c r="Z346" s="7301">
        <f t="shared" si="483"/>
        <v>0</v>
      </c>
      <c r="AA346" s="7885"/>
      <c r="AB346" s="7302">
        <f t="shared" si="484"/>
        <v>10.879</v>
      </c>
      <c r="AC346" s="7931"/>
      <c r="AD346" s="1819"/>
      <c r="AE346" s="7911"/>
      <c r="AF346" s="7310">
        <f t="shared" si="485"/>
        <v>10.879</v>
      </c>
      <c r="AG346" s="7931"/>
      <c r="AH346" s="1819">
        <v>317.60000000000002</v>
      </c>
      <c r="AI346" s="7945"/>
      <c r="AJ346" s="7310">
        <f t="shared" si="512"/>
        <v>328.47900000000004</v>
      </c>
      <c r="AK346" s="7931"/>
      <c r="AL346" s="1819"/>
      <c r="AM346" s="7875"/>
      <c r="AN346" s="7301">
        <f t="shared" si="513"/>
        <v>317.60000000000002</v>
      </c>
      <c r="AO346" s="7911"/>
      <c r="AP346" s="7310">
        <f t="shared" si="514"/>
        <v>328.47900000000004</v>
      </c>
      <c r="AQ346" s="7931"/>
      <c r="AR346" s="1819">
        <v>578.05999999999995</v>
      </c>
      <c r="AS346" s="7945"/>
      <c r="AT346" s="7310">
        <f t="shared" si="519"/>
        <v>906.53899999999999</v>
      </c>
      <c r="AU346" s="7931"/>
      <c r="AV346" s="1819"/>
      <c r="AW346" s="7945"/>
      <c r="AX346" s="7310">
        <f t="shared" si="515"/>
        <v>906.53899999999999</v>
      </c>
      <c r="AY346" s="7931"/>
      <c r="AZ346" s="1819"/>
      <c r="BA346" s="7875"/>
      <c r="BB346" s="7301">
        <f t="shared" si="516"/>
        <v>578.05999999999995</v>
      </c>
      <c r="BC346" s="7885"/>
      <c r="BD346" s="7302">
        <f t="shared" si="517"/>
        <v>895.66</v>
      </c>
      <c r="BE346" s="7945"/>
      <c r="BF346" s="7310">
        <f t="shared" si="518"/>
        <v>906.53899999999999</v>
      </c>
      <c r="BG346" s="4152">
        <f t="shared" si="520"/>
        <v>0</v>
      </c>
      <c r="BH346" s="4152">
        <f t="shared" si="521"/>
        <v>0</v>
      </c>
      <c r="BI346" s="4152"/>
      <c r="BJ346" s="4152">
        <f t="shared" si="522"/>
        <v>0</v>
      </c>
      <c r="BK346" s="4152">
        <f t="shared" si="523"/>
        <v>0</v>
      </c>
    </row>
    <row r="347" spans="1:63" x14ac:dyDescent="0.25">
      <c r="A347" s="188"/>
      <c r="B347" s="3865" t="s">
        <v>850</v>
      </c>
      <c r="C347" s="3836" t="s">
        <v>1996</v>
      </c>
      <c r="D347" s="3815"/>
      <c r="E347" s="7931"/>
      <c r="F347" s="1819"/>
      <c r="G347" s="7931"/>
      <c r="H347" s="1819"/>
      <c r="I347" s="7911"/>
      <c r="J347" s="7310">
        <f t="shared" si="479"/>
        <v>0</v>
      </c>
      <c r="K347" s="7931"/>
      <c r="L347" s="1819">
        <v>254.58</v>
      </c>
      <c r="M347" s="7875"/>
      <c r="N347" s="7301">
        <f t="shared" si="480"/>
        <v>254.58</v>
      </c>
      <c r="O347" s="7931"/>
      <c r="P347" s="1819"/>
      <c r="Q347" s="7911"/>
      <c r="R347" s="7310">
        <f t="shared" si="481"/>
        <v>254.58</v>
      </c>
      <c r="S347" s="7931"/>
      <c r="T347" s="1819"/>
      <c r="U347" s="7911"/>
      <c r="V347" s="7310">
        <f t="shared" si="482"/>
        <v>254.58</v>
      </c>
      <c r="W347" s="7931"/>
      <c r="X347" s="1819"/>
      <c r="Y347" s="7875"/>
      <c r="Z347" s="7301">
        <f t="shared" si="483"/>
        <v>0</v>
      </c>
      <c r="AA347" s="7885"/>
      <c r="AB347" s="7302">
        <f t="shared" si="484"/>
        <v>254.58</v>
      </c>
      <c r="AC347" s="7931"/>
      <c r="AD347" s="1819">
        <v>125</v>
      </c>
      <c r="AE347" s="7911"/>
      <c r="AF347" s="7310">
        <f t="shared" si="485"/>
        <v>379.58000000000004</v>
      </c>
      <c r="AG347" s="7931"/>
      <c r="AH347" s="1819">
        <v>189.74</v>
      </c>
      <c r="AI347" s="7945"/>
      <c r="AJ347" s="7310">
        <f t="shared" si="512"/>
        <v>569.32000000000005</v>
      </c>
      <c r="AK347" s="7931"/>
      <c r="AL347" s="1819"/>
      <c r="AM347" s="7875"/>
      <c r="AN347" s="7301">
        <f t="shared" si="513"/>
        <v>314.74</v>
      </c>
      <c r="AO347" s="7911"/>
      <c r="AP347" s="7310">
        <f t="shared" si="514"/>
        <v>569.32000000000005</v>
      </c>
      <c r="AQ347" s="7931"/>
      <c r="AR347" s="1819">
        <v>315.44</v>
      </c>
      <c r="AS347" s="7945"/>
      <c r="AT347" s="7310">
        <f t="shared" si="519"/>
        <v>884.76</v>
      </c>
      <c r="AU347" s="7931"/>
      <c r="AV347" s="1819"/>
      <c r="AW347" s="7945"/>
      <c r="AX347" s="7310">
        <f t="shared" si="515"/>
        <v>884.76</v>
      </c>
      <c r="AY347" s="7931"/>
      <c r="AZ347" s="1819">
        <v>21.308</v>
      </c>
      <c r="BA347" s="7875"/>
      <c r="BB347" s="7301">
        <f t="shared" si="516"/>
        <v>336.74799999999999</v>
      </c>
      <c r="BC347" s="7885"/>
      <c r="BD347" s="7302">
        <f t="shared" si="517"/>
        <v>651.48800000000006</v>
      </c>
      <c r="BE347" s="7945"/>
      <c r="BF347" s="7310">
        <f t="shared" si="518"/>
        <v>906.06799999999998</v>
      </c>
      <c r="BG347" s="4152">
        <f t="shared" si="520"/>
        <v>0</v>
      </c>
      <c r="BH347" s="4152">
        <f t="shared" si="521"/>
        <v>0</v>
      </c>
      <c r="BI347" s="4152"/>
      <c r="BJ347" s="4152">
        <f t="shared" si="522"/>
        <v>0</v>
      </c>
      <c r="BK347" s="4152">
        <f t="shared" si="523"/>
        <v>0</v>
      </c>
    </row>
    <row r="348" spans="1:63" x14ac:dyDescent="0.25">
      <c r="A348" s="188"/>
      <c r="B348" s="3865" t="s">
        <v>850</v>
      </c>
      <c r="C348" s="3836" t="s">
        <v>1634</v>
      </c>
      <c r="D348" s="3815"/>
      <c r="E348" s="7931"/>
      <c r="F348" s="1819">
        <v>547.18600000000004</v>
      </c>
      <c r="G348" s="7931"/>
      <c r="H348" s="1819">
        <v>2538.6099999999997</v>
      </c>
      <c r="I348" s="7911"/>
      <c r="J348" s="7310">
        <f t="shared" si="479"/>
        <v>3085.7959999999998</v>
      </c>
      <c r="K348" s="7931"/>
      <c r="L348" s="1819">
        <v>2954.35</v>
      </c>
      <c r="M348" s="7875"/>
      <c r="N348" s="7301">
        <f t="shared" si="480"/>
        <v>6040.1459999999997</v>
      </c>
      <c r="O348" s="7931"/>
      <c r="P348" s="1819">
        <v>3031.1000000000004</v>
      </c>
      <c r="Q348" s="7911"/>
      <c r="R348" s="7310">
        <f t="shared" si="481"/>
        <v>9071.2459999999992</v>
      </c>
      <c r="S348" s="7931"/>
      <c r="T348" s="1819">
        <v>2467.9</v>
      </c>
      <c r="U348" s="7911"/>
      <c r="V348" s="7310">
        <f t="shared" si="482"/>
        <v>11539.145999999999</v>
      </c>
      <c r="W348" s="7931"/>
      <c r="X348" s="1819">
        <v>2696.29</v>
      </c>
      <c r="Y348" s="7875"/>
      <c r="Z348" s="7301">
        <f t="shared" si="483"/>
        <v>8195.2900000000009</v>
      </c>
      <c r="AA348" s="7885"/>
      <c r="AB348" s="7302">
        <f t="shared" si="484"/>
        <v>14235.436000000002</v>
      </c>
      <c r="AC348" s="7931"/>
      <c r="AD348" s="1819">
        <v>3536.7400000000002</v>
      </c>
      <c r="AE348" s="7911"/>
      <c r="AF348" s="7310">
        <f t="shared" si="485"/>
        <v>17772.176000000003</v>
      </c>
      <c r="AG348" s="7931"/>
      <c r="AH348" s="1819">
        <v>2733.97</v>
      </c>
      <c r="AI348" s="7945"/>
      <c r="AJ348" s="7310">
        <f t="shared" si="512"/>
        <v>20506.146000000004</v>
      </c>
      <c r="AK348" s="7931"/>
      <c r="AL348" s="1819">
        <v>1831.6019999999999</v>
      </c>
      <c r="AM348" s="7875"/>
      <c r="AN348" s="7301">
        <f t="shared" si="513"/>
        <v>8102.3119999999999</v>
      </c>
      <c r="AO348" s="7911"/>
      <c r="AP348" s="7310">
        <f t="shared" si="514"/>
        <v>22337.748000000003</v>
      </c>
      <c r="AQ348" s="7931"/>
      <c r="AR348" s="1819">
        <v>4300.7399999999989</v>
      </c>
      <c r="AS348" s="7945"/>
      <c r="AT348" s="7310">
        <f t="shared" si="519"/>
        <v>26638.488000000001</v>
      </c>
      <c r="AU348" s="7931"/>
      <c r="AV348" s="1819">
        <v>3220.78</v>
      </c>
      <c r="AW348" s="7945"/>
      <c r="AX348" s="7310">
        <f t="shared" si="515"/>
        <v>29859.268</v>
      </c>
      <c r="AY348" s="7931"/>
      <c r="AZ348" s="1819">
        <v>4674.4159999999993</v>
      </c>
      <c r="BA348" s="7875"/>
      <c r="BB348" s="7301">
        <f t="shared" si="516"/>
        <v>12195.935999999998</v>
      </c>
      <c r="BC348" s="7885"/>
      <c r="BD348" s="7302">
        <f t="shared" si="517"/>
        <v>20298.248</v>
      </c>
      <c r="BE348" s="7945"/>
      <c r="BF348" s="7310">
        <f t="shared" si="518"/>
        <v>34533.684000000001</v>
      </c>
      <c r="BG348" s="4152">
        <f t="shared" si="520"/>
        <v>0</v>
      </c>
      <c r="BH348" s="4152">
        <f t="shared" si="521"/>
        <v>0</v>
      </c>
      <c r="BI348" s="4152"/>
      <c r="BJ348" s="4152">
        <f t="shared" si="522"/>
        <v>0</v>
      </c>
      <c r="BK348" s="4152">
        <f t="shared" si="523"/>
        <v>0</v>
      </c>
    </row>
    <row r="349" spans="1:63" x14ac:dyDescent="0.25">
      <c r="A349" s="188"/>
      <c r="B349" s="3902" t="s">
        <v>850</v>
      </c>
      <c r="C349" s="3845" t="s">
        <v>1726</v>
      </c>
      <c r="D349" s="3846"/>
      <c r="E349" s="7934"/>
      <c r="F349" s="3790">
        <v>128.85900000000001</v>
      </c>
      <c r="G349" s="7934"/>
      <c r="H349" s="5575">
        <v>435.21000000000004</v>
      </c>
      <c r="I349" s="7914"/>
      <c r="J349" s="7310">
        <f t="shared" si="479"/>
        <v>564.06900000000007</v>
      </c>
      <c r="K349" s="7934"/>
      <c r="L349" s="5695">
        <v>571.4</v>
      </c>
      <c r="M349" s="7878"/>
      <c r="N349" s="7301">
        <f t="shared" si="480"/>
        <v>1135.4690000000001</v>
      </c>
      <c r="O349" s="7934"/>
      <c r="P349" s="5857">
        <v>442.08</v>
      </c>
      <c r="Q349" s="7914"/>
      <c r="R349" s="7310">
        <f t="shared" si="481"/>
        <v>1577.549</v>
      </c>
      <c r="S349" s="7934"/>
      <c r="T349" s="5902">
        <v>511.96000000000004</v>
      </c>
      <c r="U349" s="7914"/>
      <c r="V349" s="7310">
        <f t="shared" si="482"/>
        <v>2089.509</v>
      </c>
      <c r="W349" s="7934"/>
      <c r="X349" s="6021">
        <v>605.39</v>
      </c>
      <c r="Y349" s="7878"/>
      <c r="Z349" s="7301">
        <f t="shared" si="483"/>
        <v>1559.4299999999998</v>
      </c>
      <c r="AA349" s="7888"/>
      <c r="AB349" s="7302">
        <f t="shared" si="484"/>
        <v>2694.8989999999999</v>
      </c>
      <c r="AC349" s="7934"/>
      <c r="AD349" s="6156">
        <v>309.03999999999996</v>
      </c>
      <c r="AE349" s="7914"/>
      <c r="AF349" s="7310">
        <f t="shared" si="485"/>
        <v>3003.9389999999999</v>
      </c>
      <c r="AG349" s="7934"/>
      <c r="AH349" s="6318">
        <v>251.96</v>
      </c>
      <c r="AI349" s="7945"/>
      <c r="AJ349" s="7310">
        <f t="shared" si="512"/>
        <v>3255.8989999999999</v>
      </c>
      <c r="AK349" s="7934"/>
      <c r="AL349" s="6557">
        <v>270.44799999999998</v>
      </c>
      <c r="AM349" s="7878"/>
      <c r="AN349" s="7301">
        <f t="shared" si="513"/>
        <v>831.44799999999998</v>
      </c>
      <c r="AO349" s="7914"/>
      <c r="AP349" s="7310">
        <f t="shared" si="514"/>
        <v>3526.3469999999998</v>
      </c>
      <c r="AQ349" s="7934"/>
      <c r="AR349" s="6657">
        <v>313.98</v>
      </c>
      <c r="AS349" s="7945"/>
      <c r="AT349" s="7310">
        <f t="shared" si="519"/>
        <v>3840.3269999999998</v>
      </c>
      <c r="AU349" s="7934"/>
      <c r="AV349" s="6822">
        <v>168.19</v>
      </c>
      <c r="AW349" s="7945"/>
      <c r="AX349" s="7310">
        <f t="shared" si="515"/>
        <v>4008.5169999999998</v>
      </c>
      <c r="AY349" s="7934"/>
      <c r="AZ349" s="6966">
        <v>15.446999999999999</v>
      </c>
      <c r="BA349" s="7878"/>
      <c r="BB349" s="7301">
        <f t="shared" si="516"/>
        <v>497.61700000000002</v>
      </c>
      <c r="BC349" s="7888"/>
      <c r="BD349" s="7302">
        <f t="shared" si="517"/>
        <v>1329.0650000000001</v>
      </c>
      <c r="BE349" s="7945"/>
      <c r="BF349" s="7310">
        <f t="shared" si="518"/>
        <v>4023.9639999999999</v>
      </c>
      <c r="BG349" s="4152">
        <f t="shared" si="520"/>
        <v>0</v>
      </c>
      <c r="BH349" s="4152">
        <f t="shared" si="521"/>
        <v>0</v>
      </c>
      <c r="BI349" s="4152"/>
      <c r="BJ349" s="4152">
        <f t="shared" si="522"/>
        <v>0</v>
      </c>
      <c r="BK349" s="4152">
        <f t="shared" si="523"/>
        <v>0</v>
      </c>
    </row>
    <row r="350" spans="1:63" x14ac:dyDescent="0.25">
      <c r="A350" s="188"/>
      <c r="B350" s="3865" t="s">
        <v>851</v>
      </c>
      <c r="C350" s="3836" t="s">
        <v>858</v>
      </c>
      <c r="D350" s="3815"/>
      <c r="E350" s="7931"/>
      <c r="F350" s="1819"/>
      <c r="G350" s="7931"/>
      <c r="H350" s="1819"/>
      <c r="I350" s="7911"/>
      <c r="J350" s="7310">
        <f t="shared" si="479"/>
        <v>0</v>
      </c>
      <c r="K350" s="7931"/>
      <c r="L350" s="1819"/>
      <c r="M350" s="7875"/>
      <c r="N350" s="7301">
        <f t="shared" si="480"/>
        <v>0</v>
      </c>
      <c r="O350" s="7931"/>
      <c r="P350" s="1819"/>
      <c r="Q350" s="7911"/>
      <c r="R350" s="7310">
        <f t="shared" si="481"/>
        <v>0</v>
      </c>
      <c r="S350" s="7931"/>
      <c r="T350" s="1819"/>
      <c r="U350" s="7911"/>
      <c r="V350" s="7310">
        <f t="shared" si="482"/>
        <v>0</v>
      </c>
      <c r="W350" s="7931"/>
      <c r="X350" s="1819"/>
      <c r="Y350" s="7875"/>
      <c r="Z350" s="7301">
        <f t="shared" si="483"/>
        <v>0</v>
      </c>
      <c r="AA350" s="7885"/>
      <c r="AB350" s="7302">
        <f t="shared" si="484"/>
        <v>0</v>
      </c>
      <c r="AC350" s="7931"/>
      <c r="AD350" s="1819"/>
      <c r="AE350" s="7911"/>
      <c r="AF350" s="7310">
        <f t="shared" si="485"/>
        <v>0</v>
      </c>
      <c r="AG350" s="7931"/>
      <c r="AH350" s="1819"/>
      <c r="AI350" s="7945"/>
      <c r="AJ350" s="7310">
        <f t="shared" si="512"/>
        <v>0</v>
      </c>
      <c r="AK350" s="7931"/>
      <c r="AL350" s="1819"/>
      <c r="AM350" s="7875"/>
      <c r="AN350" s="7301">
        <f t="shared" si="513"/>
        <v>0</v>
      </c>
      <c r="AO350" s="7911"/>
      <c r="AP350" s="7310">
        <f t="shared" si="514"/>
        <v>0</v>
      </c>
      <c r="AQ350" s="7931"/>
      <c r="AR350" s="1819"/>
      <c r="AS350" s="7945"/>
      <c r="AT350" s="7310">
        <f t="shared" si="519"/>
        <v>0</v>
      </c>
      <c r="AU350" s="7931"/>
      <c r="AV350" s="1819"/>
      <c r="AW350" s="7945"/>
      <c r="AX350" s="7310">
        <f t="shared" si="515"/>
        <v>0</v>
      </c>
      <c r="AY350" s="7931"/>
      <c r="AZ350" s="1819"/>
      <c r="BA350" s="7875"/>
      <c r="BB350" s="7301">
        <f t="shared" si="516"/>
        <v>0</v>
      </c>
      <c r="BC350" s="7885"/>
      <c r="BD350" s="7302">
        <f t="shared" si="517"/>
        <v>0</v>
      </c>
      <c r="BE350" s="7945"/>
      <c r="BF350" s="7310">
        <f t="shared" si="518"/>
        <v>0</v>
      </c>
      <c r="BG350" s="4152">
        <f t="shared" si="520"/>
        <v>0</v>
      </c>
      <c r="BH350" s="4152">
        <f t="shared" si="521"/>
        <v>0</v>
      </c>
      <c r="BI350" s="4152"/>
      <c r="BJ350" s="4152">
        <f t="shared" si="522"/>
        <v>0</v>
      </c>
      <c r="BK350" s="4152">
        <f t="shared" si="523"/>
        <v>0</v>
      </c>
    </row>
    <row r="351" spans="1:63" s="7042" customFormat="1" x14ac:dyDescent="0.25">
      <c r="A351" s="188"/>
      <c r="B351" s="3865" t="s">
        <v>850</v>
      </c>
      <c r="C351" s="3836" t="s">
        <v>2271</v>
      </c>
      <c r="D351" s="7043"/>
      <c r="E351" s="7932"/>
      <c r="F351" s="7034"/>
      <c r="G351" s="7932"/>
      <c r="H351" s="7034"/>
      <c r="I351" s="7912"/>
      <c r="J351" s="7044"/>
      <c r="K351" s="7932"/>
      <c r="L351" s="7034"/>
      <c r="M351" s="7876"/>
      <c r="N351" s="7045"/>
      <c r="O351" s="7932"/>
      <c r="P351" s="7034"/>
      <c r="Q351" s="7912"/>
      <c r="R351" s="7044"/>
      <c r="S351" s="7932"/>
      <c r="T351" s="7034"/>
      <c r="U351" s="7912"/>
      <c r="V351" s="7044"/>
      <c r="W351" s="7932"/>
      <c r="X351" s="7034"/>
      <c r="Y351" s="7876"/>
      <c r="Z351" s="7045"/>
      <c r="AA351" s="7886"/>
      <c r="AB351" s="7379"/>
      <c r="AC351" s="7932"/>
      <c r="AD351" s="7034"/>
      <c r="AE351" s="7912"/>
      <c r="AF351" s="7044"/>
      <c r="AG351" s="7932"/>
      <c r="AH351" s="7034"/>
      <c r="AI351" s="7945"/>
      <c r="AJ351" s="7044"/>
      <c r="AK351" s="7932"/>
      <c r="AL351" s="7034"/>
      <c r="AM351" s="7876"/>
      <c r="AN351" s="7045"/>
      <c r="AO351" s="7912"/>
      <c r="AP351" s="7044"/>
      <c r="AQ351" s="7932"/>
      <c r="AR351" s="7034"/>
      <c r="AS351" s="7945"/>
      <c r="AT351" s="7044"/>
      <c r="AU351" s="7932"/>
      <c r="AV351" s="7034"/>
      <c r="AW351" s="7945"/>
      <c r="AX351" s="7044"/>
      <c r="AY351" s="7932"/>
      <c r="AZ351" s="7034">
        <v>62.46</v>
      </c>
      <c r="BA351" s="7876"/>
      <c r="BB351" s="7301">
        <f t="shared" si="516"/>
        <v>62.46</v>
      </c>
      <c r="BC351" s="7886"/>
      <c r="BD351" s="7302">
        <f t="shared" si="517"/>
        <v>62.46</v>
      </c>
      <c r="BE351" s="7945"/>
      <c r="BF351" s="7310">
        <f t="shared" si="518"/>
        <v>62.46</v>
      </c>
      <c r="BG351" s="4152">
        <f t="shared" si="520"/>
        <v>0</v>
      </c>
      <c r="BH351" s="4152">
        <f t="shared" si="521"/>
        <v>0</v>
      </c>
      <c r="BI351" s="4152"/>
      <c r="BJ351" s="4152">
        <f t="shared" si="522"/>
        <v>0</v>
      </c>
      <c r="BK351" s="4152">
        <f t="shared" si="523"/>
        <v>0</v>
      </c>
    </row>
    <row r="352" spans="1:63" x14ac:dyDescent="0.25">
      <c r="A352" s="188"/>
      <c r="B352" s="3865" t="s">
        <v>850</v>
      </c>
      <c r="C352" s="3836" t="s">
        <v>1404</v>
      </c>
      <c r="D352" s="3815"/>
      <c r="E352" s="7936"/>
      <c r="F352" s="1819"/>
      <c r="G352" s="7936"/>
      <c r="H352" s="1819"/>
      <c r="I352" s="7916"/>
      <c r="J352" s="7310">
        <f t="shared" si="479"/>
        <v>0</v>
      </c>
      <c r="K352" s="7936"/>
      <c r="L352" s="1819"/>
      <c r="M352" s="7880"/>
      <c r="N352" s="7301">
        <f t="shared" si="480"/>
        <v>0</v>
      </c>
      <c r="O352" s="7936"/>
      <c r="P352" s="1819"/>
      <c r="Q352" s="7916"/>
      <c r="R352" s="7310">
        <f t="shared" si="481"/>
        <v>0</v>
      </c>
      <c r="S352" s="7936"/>
      <c r="T352" s="1819"/>
      <c r="U352" s="7916"/>
      <c r="V352" s="7310">
        <f t="shared" si="482"/>
        <v>0</v>
      </c>
      <c r="W352" s="7936"/>
      <c r="X352" s="1819"/>
      <c r="Y352" s="7880"/>
      <c r="Z352" s="7301">
        <f t="shared" si="483"/>
        <v>0</v>
      </c>
      <c r="AA352" s="7890"/>
      <c r="AB352" s="7302">
        <f t="shared" si="484"/>
        <v>0</v>
      </c>
      <c r="AC352" s="7936"/>
      <c r="AD352" s="1819"/>
      <c r="AE352" s="7916"/>
      <c r="AF352" s="7310">
        <f t="shared" si="485"/>
        <v>0</v>
      </c>
      <c r="AG352" s="7936"/>
      <c r="AH352" s="1819"/>
      <c r="AI352" s="7945"/>
      <c r="AJ352" s="7310">
        <f t="shared" si="512"/>
        <v>0</v>
      </c>
      <c r="AK352" s="7936"/>
      <c r="AL352" s="1819"/>
      <c r="AM352" s="7880"/>
      <c r="AN352" s="7301">
        <f t="shared" si="513"/>
        <v>0</v>
      </c>
      <c r="AO352" s="7916"/>
      <c r="AP352" s="7310">
        <f t="shared" si="514"/>
        <v>0</v>
      </c>
      <c r="AQ352" s="7936"/>
      <c r="AR352" s="1819"/>
      <c r="AS352" s="7945"/>
      <c r="AT352" s="7310">
        <f t="shared" si="519"/>
        <v>0</v>
      </c>
      <c r="AU352" s="7936"/>
      <c r="AV352" s="1819"/>
      <c r="AW352" s="7945"/>
      <c r="AX352" s="7310">
        <f t="shared" si="515"/>
        <v>0</v>
      </c>
      <c r="AY352" s="7936"/>
      <c r="AZ352" s="1819"/>
      <c r="BA352" s="7880"/>
      <c r="BB352" s="7301">
        <f t="shared" si="516"/>
        <v>0</v>
      </c>
      <c r="BC352" s="7890"/>
      <c r="BD352" s="7302">
        <f t="shared" si="517"/>
        <v>0</v>
      </c>
      <c r="BE352" s="7945"/>
      <c r="BF352" s="7310">
        <f t="shared" si="518"/>
        <v>0</v>
      </c>
      <c r="BG352" s="4152">
        <f t="shared" si="520"/>
        <v>0</v>
      </c>
      <c r="BH352" s="4152">
        <f t="shared" si="521"/>
        <v>0</v>
      </c>
      <c r="BI352" s="4152"/>
      <c r="BJ352" s="4152">
        <f t="shared" si="522"/>
        <v>0</v>
      </c>
      <c r="BK352" s="4152">
        <f t="shared" si="523"/>
        <v>0</v>
      </c>
    </row>
    <row r="353" spans="1:63" x14ac:dyDescent="0.25">
      <c r="A353" s="188"/>
      <c r="B353" s="3902" t="s">
        <v>850</v>
      </c>
      <c r="C353" s="3845" t="s">
        <v>1715</v>
      </c>
      <c r="D353" s="3846"/>
      <c r="E353" s="7934"/>
      <c r="F353" s="3790">
        <v>44.832999999999998</v>
      </c>
      <c r="G353" s="7934"/>
      <c r="H353" s="5575">
        <v>255.23</v>
      </c>
      <c r="I353" s="7914"/>
      <c r="J353" s="7310">
        <f t="shared" si="479"/>
        <v>300.06299999999999</v>
      </c>
      <c r="K353" s="7934"/>
      <c r="L353" s="5695">
        <v>176.98000000000002</v>
      </c>
      <c r="M353" s="7878"/>
      <c r="N353" s="7301">
        <f t="shared" si="480"/>
        <v>477.04300000000001</v>
      </c>
      <c r="O353" s="7934"/>
      <c r="P353" s="5857"/>
      <c r="Q353" s="7914"/>
      <c r="R353" s="7310">
        <f t="shared" si="481"/>
        <v>477.04300000000001</v>
      </c>
      <c r="S353" s="7934"/>
      <c r="T353" s="5902"/>
      <c r="U353" s="7914"/>
      <c r="V353" s="7310">
        <f t="shared" si="482"/>
        <v>477.04300000000001</v>
      </c>
      <c r="W353" s="7934"/>
      <c r="X353" s="6021">
        <v>473.12999999999994</v>
      </c>
      <c r="Y353" s="7878"/>
      <c r="Z353" s="7301">
        <f t="shared" si="483"/>
        <v>473.12999999999994</v>
      </c>
      <c r="AA353" s="7888"/>
      <c r="AB353" s="7302">
        <f t="shared" si="484"/>
        <v>950.173</v>
      </c>
      <c r="AC353" s="7934"/>
      <c r="AD353" s="6156"/>
      <c r="AE353" s="7914"/>
      <c r="AF353" s="7310">
        <f t="shared" si="485"/>
        <v>950.173</v>
      </c>
      <c r="AG353" s="7934"/>
      <c r="AH353" s="6318"/>
      <c r="AI353" s="7945"/>
      <c r="AJ353" s="7310">
        <f t="shared" si="512"/>
        <v>950.173</v>
      </c>
      <c r="AK353" s="7934"/>
      <c r="AL353" s="6557">
        <v>341.16499999999996</v>
      </c>
      <c r="AM353" s="7878"/>
      <c r="AN353" s="7301">
        <f t="shared" si="513"/>
        <v>341.16499999999996</v>
      </c>
      <c r="AO353" s="7914"/>
      <c r="AP353" s="7310">
        <f t="shared" si="514"/>
        <v>1291.338</v>
      </c>
      <c r="AQ353" s="7934"/>
      <c r="AR353" s="6657"/>
      <c r="AS353" s="7945"/>
      <c r="AT353" s="7310">
        <f t="shared" si="519"/>
        <v>1291.338</v>
      </c>
      <c r="AU353" s="7934"/>
      <c r="AV353" s="6822"/>
      <c r="AW353" s="7945"/>
      <c r="AX353" s="7310">
        <f t="shared" si="515"/>
        <v>1291.338</v>
      </c>
      <c r="AY353" s="7934"/>
      <c r="AZ353" s="6966">
        <v>94.692999999999998</v>
      </c>
      <c r="BA353" s="7878"/>
      <c r="BB353" s="7301">
        <f t="shared" si="516"/>
        <v>94.692999999999998</v>
      </c>
      <c r="BC353" s="7888"/>
      <c r="BD353" s="7302">
        <f t="shared" si="517"/>
        <v>435.85799999999995</v>
      </c>
      <c r="BE353" s="7945"/>
      <c r="BF353" s="7310">
        <f t="shared" si="518"/>
        <v>1386.0309999999999</v>
      </c>
      <c r="BG353" s="4152">
        <f t="shared" si="520"/>
        <v>0</v>
      </c>
      <c r="BH353" s="4152">
        <f t="shared" si="521"/>
        <v>0</v>
      </c>
      <c r="BI353" s="4152"/>
      <c r="BJ353" s="4152">
        <f t="shared" si="522"/>
        <v>0</v>
      </c>
      <c r="BK353" s="4152">
        <f t="shared" si="523"/>
        <v>0</v>
      </c>
    </row>
    <row r="354" spans="1:63" ht="15.75" thickBot="1" x14ac:dyDescent="0.3">
      <c r="A354" s="188"/>
      <c r="B354" s="3869" t="s">
        <v>850</v>
      </c>
      <c r="C354" s="3870" t="s">
        <v>1727</v>
      </c>
      <c r="D354" s="3898"/>
      <c r="E354" s="7934"/>
      <c r="F354" s="3790"/>
      <c r="G354" s="7934"/>
      <c r="H354" s="5575"/>
      <c r="I354" s="7914"/>
      <c r="J354" s="7310">
        <f t="shared" si="479"/>
        <v>0</v>
      </c>
      <c r="K354" s="7934"/>
      <c r="L354" s="5695"/>
      <c r="M354" s="7878"/>
      <c r="N354" s="7301">
        <f t="shared" si="480"/>
        <v>0</v>
      </c>
      <c r="O354" s="7934"/>
      <c r="P354" s="5857"/>
      <c r="Q354" s="7914"/>
      <c r="R354" s="7310">
        <f t="shared" si="481"/>
        <v>0</v>
      </c>
      <c r="S354" s="7934"/>
      <c r="T354" s="5902"/>
      <c r="U354" s="7914"/>
      <c r="V354" s="7310">
        <f t="shared" si="482"/>
        <v>0</v>
      </c>
      <c r="W354" s="7934"/>
      <c r="X354" s="6021"/>
      <c r="Y354" s="7878"/>
      <c r="Z354" s="7301">
        <f t="shared" si="483"/>
        <v>0</v>
      </c>
      <c r="AA354" s="7888"/>
      <c r="AB354" s="7302">
        <f t="shared" si="484"/>
        <v>0</v>
      </c>
      <c r="AC354" s="7934"/>
      <c r="AD354" s="6156"/>
      <c r="AE354" s="7914"/>
      <c r="AF354" s="7310">
        <f t="shared" si="485"/>
        <v>0</v>
      </c>
      <c r="AG354" s="7934"/>
      <c r="AH354" s="6318"/>
      <c r="AI354" s="7945"/>
      <c r="AJ354" s="7310">
        <f t="shared" si="512"/>
        <v>0</v>
      </c>
      <c r="AK354" s="7934"/>
      <c r="AL354" s="6557"/>
      <c r="AM354" s="7878"/>
      <c r="AN354" s="7301">
        <f t="shared" si="513"/>
        <v>0</v>
      </c>
      <c r="AO354" s="7914"/>
      <c r="AP354" s="7310">
        <f t="shared" si="514"/>
        <v>0</v>
      </c>
      <c r="AQ354" s="7934"/>
      <c r="AR354" s="6657"/>
      <c r="AS354" s="7945"/>
      <c r="AT354" s="7310">
        <f t="shared" si="519"/>
        <v>0</v>
      </c>
      <c r="AU354" s="7934"/>
      <c r="AV354" s="6822"/>
      <c r="AW354" s="7945"/>
      <c r="AX354" s="7310">
        <f t="shared" si="515"/>
        <v>0</v>
      </c>
      <c r="AY354" s="7934"/>
      <c r="AZ354" s="6966"/>
      <c r="BA354" s="7878"/>
      <c r="BB354" s="7301">
        <f t="shared" si="516"/>
        <v>0</v>
      </c>
      <c r="BC354" s="7888"/>
      <c r="BD354" s="7302">
        <f t="shared" si="517"/>
        <v>0</v>
      </c>
      <c r="BE354" s="7945"/>
      <c r="BF354" s="7310">
        <f t="shared" si="518"/>
        <v>0</v>
      </c>
      <c r="BG354" s="4152">
        <f t="shared" si="520"/>
        <v>0</v>
      </c>
      <c r="BH354" s="4152">
        <f t="shared" si="521"/>
        <v>0</v>
      </c>
      <c r="BI354" s="4152"/>
      <c r="BJ354" s="4152">
        <f t="shared" si="522"/>
        <v>0</v>
      </c>
      <c r="BK354" s="4152">
        <f t="shared" si="523"/>
        <v>0</v>
      </c>
    </row>
    <row r="355" spans="1:63" x14ac:dyDescent="0.25">
      <c r="A355" s="188"/>
      <c r="B355" s="3153" t="s">
        <v>861</v>
      </c>
      <c r="C355" s="3810" t="s">
        <v>1785</v>
      </c>
      <c r="D355" s="3899"/>
      <c r="E355" s="7937"/>
      <c r="F355" s="1819">
        <v>215.357</v>
      </c>
      <c r="G355" s="7937"/>
      <c r="H355" s="1819">
        <v>397.19999999999993</v>
      </c>
      <c r="I355" s="7961"/>
      <c r="J355" s="7310">
        <f t="shared" si="479"/>
        <v>612.5569999999999</v>
      </c>
      <c r="K355" s="7937"/>
      <c r="L355" s="1819">
        <v>382.47</v>
      </c>
      <c r="M355" s="7875"/>
      <c r="N355" s="7301">
        <f t="shared" si="480"/>
        <v>995.02699999999993</v>
      </c>
      <c r="O355" s="7937"/>
      <c r="P355" s="1819">
        <v>760.8</v>
      </c>
      <c r="Q355" s="7911"/>
      <c r="R355" s="7310">
        <f t="shared" si="481"/>
        <v>1755.8269999999998</v>
      </c>
      <c r="S355" s="7937"/>
      <c r="T355" s="1819">
        <v>929.64</v>
      </c>
      <c r="U355" s="7911"/>
      <c r="V355" s="7310">
        <f t="shared" si="482"/>
        <v>2685.4669999999996</v>
      </c>
      <c r="W355" s="7937"/>
      <c r="X355" s="1819">
        <v>1787.6599999999999</v>
      </c>
      <c r="Y355" s="7875"/>
      <c r="Z355" s="7301">
        <f t="shared" si="483"/>
        <v>3478.1</v>
      </c>
      <c r="AA355" s="7885"/>
      <c r="AB355" s="7302">
        <f t="shared" si="484"/>
        <v>4473.1269999999995</v>
      </c>
      <c r="AC355" s="7937"/>
      <c r="AD355" s="1819">
        <v>125.16</v>
      </c>
      <c r="AE355" s="7911"/>
      <c r="AF355" s="7310">
        <f t="shared" si="485"/>
        <v>4598.2869999999994</v>
      </c>
      <c r="AG355" s="7937"/>
      <c r="AH355" s="1819">
        <v>689</v>
      </c>
      <c r="AI355" s="7945"/>
      <c r="AJ355" s="7310">
        <f t="shared" si="512"/>
        <v>5287.2869999999994</v>
      </c>
      <c r="AK355" s="7937"/>
      <c r="AL355" s="1819">
        <v>634.54</v>
      </c>
      <c r="AM355" s="7875"/>
      <c r="AN355" s="7301">
        <f t="shared" si="513"/>
        <v>1448.6999999999998</v>
      </c>
      <c r="AO355" s="7911"/>
      <c r="AP355" s="7310">
        <f t="shared" si="514"/>
        <v>5921.8269999999993</v>
      </c>
      <c r="AQ355" s="7937"/>
      <c r="AR355" s="1819">
        <v>524.62</v>
      </c>
      <c r="AS355" s="7945"/>
      <c r="AT355" s="7310">
        <f t="shared" si="519"/>
        <v>6446.4469999999992</v>
      </c>
      <c r="AU355" s="7937"/>
      <c r="AV355" s="1819">
        <v>849.32</v>
      </c>
      <c r="AW355" s="7945"/>
      <c r="AX355" s="7310">
        <f t="shared" si="515"/>
        <v>7295.7669999999989</v>
      </c>
      <c r="AY355" s="7937"/>
      <c r="AZ355" s="1819">
        <v>1107.76</v>
      </c>
      <c r="BA355" s="7875"/>
      <c r="BB355" s="7301">
        <f t="shared" si="516"/>
        <v>2481.6999999999998</v>
      </c>
      <c r="BC355" s="7885"/>
      <c r="BD355" s="7302">
        <f t="shared" si="517"/>
        <v>3930.3999999999996</v>
      </c>
      <c r="BE355" s="7945"/>
      <c r="BF355" s="7310">
        <f t="shared" si="518"/>
        <v>8403.5269999999982</v>
      </c>
      <c r="BG355" s="4152">
        <f t="shared" si="520"/>
        <v>0</v>
      </c>
      <c r="BH355" s="4152">
        <f t="shared" si="521"/>
        <v>0</v>
      </c>
      <c r="BI355" s="4152"/>
      <c r="BJ355" s="4152">
        <f t="shared" si="522"/>
        <v>0</v>
      </c>
      <c r="BK355" s="4152">
        <f t="shared" si="523"/>
        <v>0</v>
      </c>
    </row>
    <row r="356" spans="1:63" x14ac:dyDescent="0.25">
      <c r="A356" s="188"/>
      <c r="B356" s="797" t="s">
        <v>861</v>
      </c>
      <c r="C356" s="3846" t="s">
        <v>1344</v>
      </c>
      <c r="D356" s="3900"/>
      <c r="E356" s="7937"/>
      <c r="F356" s="1819"/>
      <c r="G356" s="7937"/>
      <c r="H356" s="1819"/>
      <c r="I356" s="7961"/>
      <c r="J356" s="7310">
        <f t="shared" si="479"/>
        <v>0</v>
      </c>
      <c r="K356" s="7937"/>
      <c r="L356" s="1819"/>
      <c r="M356" s="7875"/>
      <c r="N356" s="7301">
        <f t="shared" si="480"/>
        <v>0</v>
      </c>
      <c r="O356" s="7937"/>
      <c r="P356" s="1819"/>
      <c r="Q356" s="7911"/>
      <c r="R356" s="7310">
        <f t="shared" si="481"/>
        <v>0</v>
      </c>
      <c r="S356" s="7937"/>
      <c r="T356" s="1819"/>
      <c r="U356" s="7911"/>
      <c r="V356" s="7310">
        <f t="shared" si="482"/>
        <v>0</v>
      </c>
      <c r="W356" s="7937"/>
      <c r="X356" s="1819"/>
      <c r="Y356" s="7875"/>
      <c r="Z356" s="7301">
        <f t="shared" si="483"/>
        <v>0</v>
      </c>
      <c r="AA356" s="7885"/>
      <c r="AB356" s="7302">
        <f t="shared" si="484"/>
        <v>0</v>
      </c>
      <c r="AC356" s="7937"/>
      <c r="AD356" s="1819"/>
      <c r="AE356" s="7911"/>
      <c r="AF356" s="7310">
        <f t="shared" si="485"/>
        <v>0</v>
      </c>
      <c r="AG356" s="7937"/>
      <c r="AH356" s="1819"/>
      <c r="AI356" s="7945"/>
      <c r="AJ356" s="7310">
        <f t="shared" si="512"/>
        <v>0</v>
      </c>
      <c r="AK356" s="7937"/>
      <c r="AL356" s="1819"/>
      <c r="AM356" s="7875"/>
      <c r="AN356" s="7301">
        <f t="shared" si="513"/>
        <v>0</v>
      </c>
      <c r="AO356" s="7911"/>
      <c r="AP356" s="7310">
        <f t="shared" si="514"/>
        <v>0</v>
      </c>
      <c r="AQ356" s="7937"/>
      <c r="AR356" s="1819"/>
      <c r="AS356" s="7945"/>
      <c r="AT356" s="7310">
        <f t="shared" si="519"/>
        <v>0</v>
      </c>
      <c r="AU356" s="7937"/>
      <c r="AV356" s="1819"/>
      <c r="AW356" s="7945"/>
      <c r="AX356" s="7310">
        <f t="shared" si="515"/>
        <v>0</v>
      </c>
      <c r="AY356" s="7937"/>
      <c r="AZ356" s="1819"/>
      <c r="BA356" s="7875"/>
      <c r="BB356" s="7301">
        <f t="shared" si="516"/>
        <v>0</v>
      </c>
      <c r="BC356" s="7885"/>
      <c r="BD356" s="7302">
        <f t="shared" si="517"/>
        <v>0</v>
      </c>
      <c r="BE356" s="7945"/>
      <c r="BF356" s="7310">
        <f t="shared" si="518"/>
        <v>0</v>
      </c>
      <c r="BG356" s="4152">
        <f t="shared" si="520"/>
        <v>0</v>
      </c>
      <c r="BH356" s="4152">
        <f t="shared" si="521"/>
        <v>0</v>
      </c>
      <c r="BI356" s="4152"/>
      <c r="BJ356" s="4152">
        <f t="shared" si="522"/>
        <v>0</v>
      </c>
      <c r="BK356" s="4152">
        <f t="shared" si="523"/>
        <v>0</v>
      </c>
    </row>
    <row r="357" spans="1:63" x14ac:dyDescent="0.25">
      <c r="A357" s="188"/>
      <c r="B357" s="797" t="s">
        <v>852</v>
      </c>
      <c r="C357" s="3846" t="s">
        <v>1536</v>
      </c>
      <c r="D357" s="3900"/>
      <c r="E357" s="7937"/>
      <c r="F357" s="1819"/>
      <c r="G357" s="7937"/>
      <c r="H357" s="1819">
        <v>426.17</v>
      </c>
      <c r="I357" s="7961"/>
      <c r="J357" s="7310">
        <f t="shared" si="479"/>
        <v>426.17</v>
      </c>
      <c r="K357" s="7937"/>
      <c r="L357" s="1819">
        <v>128.68</v>
      </c>
      <c r="M357" s="7875"/>
      <c r="N357" s="7301">
        <f t="shared" si="480"/>
        <v>554.85</v>
      </c>
      <c r="O357" s="7937"/>
      <c r="P357" s="1819">
        <v>32.770000000000003</v>
      </c>
      <c r="Q357" s="7911"/>
      <c r="R357" s="7310">
        <f t="shared" si="481"/>
        <v>587.62</v>
      </c>
      <c r="S357" s="7937"/>
      <c r="T357" s="1819">
        <v>391.9</v>
      </c>
      <c r="U357" s="7911"/>
      <c r="V357" s="7310">
        <f t="shared" si="482"/>
        <v>979.52</v>
      </c>
      <c r="W357" s="7937"/>
      <c r="X357" s="1819">
        <v>709.66</v>
      </c>
      <c r="Y357" s="7875"/>
      <c r="Z357" s="7301">
        <f t="shared" si="483"/>
        <v>1134.33</v>
      </c>
      <c r="AA357" s="7885"/>
      <c r="AB357" s="7302">
        <f t="shared" si="484"/>
        <v>1689.1799999999998</v>
      </c>
      <c r="AC357" s="7937"/>
      <c r="AD357" s="1819"/>
      <c r="AE357" s="7911"/>
      <c r="AF357" s="7310">
        <f t="shared" si="485"/>
        <v>1689.1799999999998</v>
      </c>
      <c r="AG357" s="7937"/>
      <c r="AH357" s="1819"/>
      <c r="AI357" s="7945"/>
      <c r="AJ357" s="7310">
        <f t="shared" si="512"/>
        <v>1689.1799999999998</v>
      </c>
      <c r="AK357" s="7937"/>
      <c r="AL357" s="1819"/>
      <c r="AM357" s="7875"/>
      <c r="AN357" s="7301">
        <f t="shared" si="513"/>
        <v>0</v>
      </c>
      <c r="AO357" s="7911"/>
      <c r="AP357" s="7310">
        <f t="shared" si="514"/>
        <v>1689.1799999999998</v>
      </c>
      <c r="AQ357" s="7937"/>
      <c r="AR357" s="1819"/>
      <c r="AS357" s="7945"/>
      <c r="AT357" s="7310">
        <f t="shared" si="519"/>
        <v>1689.1799999999998</v>
      </c>
      <c r="AU357" s="7937"/>
      <c r="AV357" s="1819"/>
      <c r="AW357" s="7945"/>
      <c r="AX357" s="7310">
        <f t="shared" si="515"/>
        <v>1689.1799999999998</v>
      </c>
      <c r="AY357" s="7937"/>
      <c r="AZ357" s="1819"/>
      <c r="BA357" s="7875"/>
      <c r="BB357" s="7301">
        <f t="shared" si="516"/>
        <v>0</v>
      </c>
      <c r="BC357" s="7885"/>
      <c r="BD357" s="7302">
        <f t="shared" si="517"/>
        <v>0</v>
      </c>
      <c r="BE357" s="7945"/>
      <c r="BF357" s="7310">
        <f t="shared" si="518"/>
        <v>1689.1799999999998</v>
      </c>
      <c r="BG357" s="4152">
        <f t="shared" si="520"/>
        <v>0</v>
      </c>
      <c r="BH357" s="4152">
        <f t="shared" si="521"/>
        <v>0</v>
      </c>
      <c r="BI357" s="4152"/>
      <c r="BJ357" s="4152">
        <f t="shared" si="522"/>
        <v>0</v>
      </c>
      <c r="BK357" s="4152">
        <f t="shared" si="523"/>
        <v>0</v>
      </c>
    </row>
    <row r="358" spans="1:63" x14ac:dyDescent="0.25">
      <c r="A358" s="188"/>
      <c r="B358" s="3903" t="s">
        <v>852</v>
      </c>
      <c r="C358" s="3846" t="s">
        <v>859</v>
      </c>
      <c r="D358" s="3900"/>
      <c r="E358" s="7937"/>
      <c r="F358" s="1819"/>
      <c r="G358" s="7937"/>
      <c r="H358" s="1819"/>
      <c r="I358" s="7961"/>
      <c r="J358" s="7310">
        <f t="shared" si="479"/>
        <v>0</v>
      </c>
      <c r="K358" s="7937"/>
      <c r="L358" s="1819"/>
      <c r="M358" s="7875"/>
      <c r="N358" s="7301">
        <f t="shared" si="480"/>
        <v>0</v>
      </c>
      <c r="O358" s="7937"/>
      <c r="P358" s="1819"/>
      <c r="Q358" s="7911"/>
      <c r="R358" s="7310">
        <f t="shared" si="481"/>
        <v>0</v>
      </c>
      <c r="S358" s="7937"/>
      <c r="T358" s="1819"/>
      <c r="U358" s="7911"/>
      <c r="V358" s="7310">
        <f t="shared" si="482"/>
        <v>0</v>
      </c>
      <c r="W358" s="7937"/>
      <c r="X358" s="1819">
        <v>493.1</v>
      </c>
      <c r="Y358" s="7875"/>
      <c r="Z358" s="7301">
        <f t="shared" si="483"/>
        <v>493.1</v>
      </c>
      <c r="AA358" s="7885"/>
      <c r="AB358" s="7302">
        <f t="shared" si="484"/>
        <v>493.1</v>
      </c>
      <c r="AC358" s="7937"/>
      <c r="AD358" s="1819"/>
      <c r="AE358" s="7911"/>
      <c r="AF358" s="7310">
        <f t="shared" si="485"/>
        <v>493.1</v>
      </c>
      <c r="AG358" s="7937"/>
      <c r="AH358" s="1819"/>
      <c r="AI358" s="7945"/>
      <c r="AJ358" s="7310">
        <f t="shared" si="512"/>
        <v>493.1</v>
      </c>
      <c r="AK358" s="7937"/>
      <c r="AL358" s="1819"/>
      <c r="AM358" s="7875"/>
      <c r="AN358" s="7301">
        <f t="shared" si="513"/>
        <v>0</v>
      </c>
      <c r="AO358" s="7911"/>
      <c r="AP358" s="7310">
        <f t="shared" si="514"/>
        <v>493.1</v>
      </c>
      <c r="AQ358" s="7937"/>
      <c r="AR358" s="1819"/>
      <c r="AS358" s="7945"/>
      <c r="AT358" s="7310">
        <f t="shared" si="519"/>
        <v>493.1</v>
      </c>
      <c r="AU358" s="7937"/>
      <c r="AV358" s="1819"/>
      <c r="AW358" s="7945"/>
      <c r="AX358" s="7310">
        <f t="shared" si="515"/>
        <v>493.1</v>
      </c>
      <c r="AY358" s="7937"/>
      <c r="AZ358" s="1819"/>
      <c r="BA358" s="7875"/>
      <c r="BB358" s="7301">
        <f t="shared" si="516"/>
        <v>0</v>
      </c>
      <c r="BC358" s="7885"/>
      <c r="BD358" s="7302">
        <f t="shared" si="517"/>
        <v>0</v>
      </c>
      <c r="BE358" s="7945"/>
      <c r="BF358" s="7310">
        <f t="shared" si="518"/>
        <v>493.1</v>
      </c>
      <c r="BG358" s="4152">
        <f t="shared" si="520"/>
        <v>0</v>
      </c>
      <c r="BH358" s="4152">
        <f t="shared" si="521"/>
        <v>0</v>
      </c>
      <c r="BI358" s="4152"/>
      <c r="BJ358" s="4152">
        <f t="shared" si="522"/>
        <v>0</v>
      </c>
      <c r="BK358" s="4152">
        <f t="shared" si="523"/>
        <v>0</v>
      </c>
    </row>
    <row r="359" spans="1:63" x14ac:dyDescent="0.25">
      <c r="A359" s="188"/>
      <c r="B359" s="3903" t="s">
        <v>852</v>
      </c>
      <c r="C359" s="3846" t="s">
        <v>1854</v>
      </c>
      <c r="D359" s="3900"/>
      <c r="E359" s="7937"/>
      <c r="F359" s="1819"/>
      <c r="G359" s="7937"/>
      <c r="H359" s="1819"/>
      <c r="I359" s="7961"/>
      <c r="J359" s="7310">
        <f t="shared" si="479"/>
        <v>0</v>
      </c>
      <c r="K359" s="7937"/>
      <c r="L359" s="1819">
        <v>316.52</v>
      </c>
      <c r="M359" s="7875"/>
      <c r="N359" s="7301">
        <f t="shared" si="480"/>
        <v>316.52</v>
      </c>
      <c r="O359" s="7937"/>
      <c r="P359" s="1819"/>
      <c r="Q359" s="7911"/>
      <c r="R359" s="7310">
        <f t="shared" si="481"/>
        <v>316.52</v>
      </c>
      <c r="S359" s="7937"/>
      <c r="T359" s="1819"/>
      <c r="U359" s="7911"/>
      <c r="V359" s="7310">
        <f t="shared" si="482"/>
        <v>316.52</v>
      </c>
      <c r="W359" s="7937"/>
      <c r="X359" s="1819"/>
      <c r="Y359" s="7875"/>
      <c r="Z359" s="7301">
        <f t="shared" si="483"/>
        <v>0</v>
      </c>
      <c r="AA359" s="7885"/>
      <c r="AB359" s="7302">
        <f t="shared" si="484"/>
        <v>316.52</v>
      </c>
      <c r="AC359" s="7937"/>
      <c r="AD359" s="1819"/>
      <c r="AE359" s="7911"/>
      <c r="AF359" s="7310">
        <f t="shared" si="485"/>
        <v>316.52</v>
      </c>
      <c r="AG359" s="7937"/>
      <c r="AH359" s="1819">
        <v>245.38</v>
      </c>
      <c r="AI359" s="7945"/>
      <c r="AJ359" s="7310">
        <f t="shared" si="512"/>
        <v>561.9</v>
      </c>
      <c r="AK359" s="7937"/>
      <c r="AL359" s="1819">
        <v>7.6580000000000004</v>
      </c>
      <c r="AM359" s="7875"/>
      <c r="AN359" s="7301">
        <f t="shared" si="513"/>
        <v>253.03799999999998</v>
      </c>
      <c r="AO359" s="7911"/>
      <c r="AP359" s="7310">
        <f t="shared" si="514"/>
        <v>569.55799999999999</v>
      </c>
      <c r="AQ359" s="7937"/>
      <c r="AR359" s="1819"/>
      <c r="AS359" s="7945"/>
      <c r="AT359" s="7310">
        <f t="shared" si="519"/>
        <v>569.55799999999999</v>
      </c>
      <c r="AU359" s="7937"/>
      <c r="AV359" s="1819"/>
      <c r="AW359" s="7945"/>
      <c r="AX359" s="7310">
        <f t="shared" si="515"/>
        <v>569.55799999999999</v>
      </c>
      <c r="AY359" s="7937"/>
      <c r="AZ359" s="1819"/>
      <c r="BA359" s="7875"/>
      <c r="BB359" s="7301">
        <f t="shared" si="516"/>
        <v>0</v>
      </c>
      <c r="BC359" s="7885"/>
      <c r="BD359" s="7302">
        <f t="shared" si="517"/>
        <v>253.03799999999998</v>
      </c>
      <c r="BE359" s="7945"/>
      <c r="BF359" s="7310">
        <f t="shared" si="518"/>
        <v>569.55799999999999</v>
      </c>
      <c r="BG359" s="4152">
        <f t="shared" si="520"/>
        <v>0</v>
      </c>
      <c r="BH359" s="4152">
        <f t="shared" si="521"/>
        <v>0</v>
      </c>
      <c r="BI359" s="4152"/>
      <c r="BJ359" s="4152">
        <f t="shared" si="522"/>
        <v>0</v>
      </c>
      <c r="BK359" s="4152">
        <f t="shared" si="523"/>
        <v>0</v>
      </c>
    </row>
    <row r="360" spans="1:63" x14ac:dyDescent="0.25">
      <c r="A360" s="188"/>
      <c r="B360" s="3903" t="s">
        <v>852</v>
      </c>
      <c r="C360" s="3846" t="s">
        <v>879</v>
      </c>
      <c r="D360" s="3900"/>
      <c r="E360" s="7937"/>
      <c r="F360" s="1819">
        <v>118.98</v>
      </c>
      <c r="G360" s="7937"/>
      <c r="H360" s="1819"/>
      <c r="I360" s="7961"/>
      <c r="J360" s="7310">
        <f t="shared" ref="J360:J439" si="524">F360+H360</f>
        <v>118.98</v>
      </c>
      <c r="K360" s="7937"/>
      <c r="L360" s="1819"/>
      <c r="M360" s="7875"/>
      <c r="N360" s="7301">
        <f t="shared" ref="N360:N439" si="525">J360+L360</f>
        <v>118.98</v>
      </c>
      <c r="O360" s="7937"/>
      <c r="P360" s="1819"/>
      <c r="Q360" s="7911"/>
      <c r="R360" s="7310">
        <f t="shared" ref="R360:R439" si="526">N360+P360</f>
        <v>118.98</v>
      </c>
      <c r="S360" s="7937"/>
      <c r="T360" s="1819">
        <v>126.98</v>
      </c>
      <c r="U360" s="7911"/>
      <c r="V360" s="7310">
        <f t="shared" ref="V360:V439" si="527">R360+T360</f>
        <v>245.96</v>
      </c>
      <c r="W360" s="7937"/>
      <c r="X360" s="1819">
        <v>62</v>
      </c>
      <c r="Y360" s="7875"/>
      <c r="Z360" s="7301">
        <f t="shared" ref="Z360:Z439" si="528">P360+T360+X360</f>
        <v>188.98000000000002</v>
      </c>
      <c r="AA360" s="7885"/>
      <c r="AB360" s="7302">
        <f t="shared" ref="AB360:AB439" si="529">N360+Z360</f>
        <v>307.96000000000004</v>
      </c>
      <c r="AC360" s="7937"/>
      <c r="AD360" s="1819"/>
      <c r="AE360" s="7911"/>
      <c r="AF360" s="7310">
        <f t="shared" ref="AF360:AF439" si="530">AB360+AD360</f>
        <v>307.96000000000004</v>
      </c>
      <c r="AG360" s="7937"/>
      <c r="AH360" s="1819">
        <v>125.42</v>
      </c>
      <c r="AI360" s="7945"/>
      <c r="AJ360" s="7310">
        <f t="shared" si="512"/>
        <v>433.38000000000005</v>
      </c>
      <c r="AK360" s="7937"/>
      <c r="AL360" s="1819"/>
      <c r="AM360" s="7875"/>
      <c r="AN360" s="7301">
        <f t="shared" si="513"/>
        <v>125.42</v>
      </c>
      <c r="AO360" s="7911"/>
      <c r="AP360" s="7310">
        <f t="shared" si="514"/>
        <v>433.38000000000005</v>
      </c>
      <c r="AQ360" s="7937"/>
      <c r="AR360" s="1819">
        <v>447.12</v>
      </c>
      <c r="AS360" s="7945"/>
      <c r="AT360" s="7310">
        <f t="shared" si="519"/>
        <v>880.5</v>
      </c>
      <c r="AU360" s="7937"/>
      <c r="AV360" s="1819"/>
      <c r="AW360" s="7945"/>
      <c r="AX360" s="7310">
        <f t="shared" si="515"/>
        <v>880.5</v>
      </c>
      <c r="AY360" s="7937"/>
      <c r="AZ360" s="1819"/>
      <c r="BA360" s="7875"/>
      <c r="BB360" s="7301">
        <f t="shared" si="516"/>
        <v>447.12</v>
      </c>
      <c r="BC360" s="7885"/>
      <c r="BD360" s="7302">
        <f t="shared" si="517"/>
        <v>572.54</v>
      </c>
      <c r="BE360" s="7945"/>
      <c r="BF360" s="7310">
        <f t="shared" si="518"/>
        <v>880.5</v>
      </c>
      <c r="BG360" s="4152">
        <f t="shared" si="520"/>
        <v>0</v>
      </c>
      <c r="BH360" s="4152">
        <f t="shared" si="521"/>
        <v>0</v>
      </c>
      <c r="BI360" s="4152"/>
      <c r="BJ360" s="4152">
        <f t="shared" si="522"/>
        <v>0</v>
      </c>
      <c r="BK360" s="4152">
        <f t="shared" si="523"/>
        <v>0</v>
      </c>
    </row>
    <row r="361" spans="1:63" x14ac:dyDescent="0.25">
      <c r="A361" s="188"/>
      <c r="B361" s="3903" t="s">
        <v>852</v>
      </c>
      <c r="C361" s="3846" t="s">
        <v>1723</v>
      </c>
      <c r="D361" s="3900"/>
      <c r="E361" s="7937"/>
      <c r="F361" s="3790">
        <v>3168.0070000000001</v>
      </c>
      <c r="G361" s="7937"/>
      <c r="H361" s="5575">
        <v>4860.93</v>
      </c>
      <c r="I361" s="7961"/>
      <c r="J361" s="7310">
        <f t="shared" si="524"/>
        <v>8028.9369999999999</v>
      </c>
      <c r="K361" s="7937"/>
      <c r="L361" s="5695">
        <v>3401.43</v>
      </c>
      <c r="M361" s="7878"/>
      <c r="N361" s="7301">
        <f t="shared" si="525"/>
        <v>11430.367</v>
      </c>
      <c r="O361" s="7937"/>
      <c r="P361" s="5857">
        <v>3567.51</v>
      </c>
      <c r="Q361" s="7914"/>
      <c r="R361" s="7310">
        <f t="shared" si="526"/>
        <v>14997.877</v>
      </c>
      <c r="S361" s="7937"/>
      <c r="T361" s="5902">
        <v>3336.9500000000003</v>
      </c>
      <c r="U361" s="7914"/>
      <c r="V361" s="7310">
        <f t="shared" si="527"/>
        <v>18334.827000000001</v>
      </c>
      <c r="W361" s="7937"/>
      <c r="X361" s="6021">
        <v>5658.170000000001</v>
      </c>
      <c r="Y361" s="7878"/>
      <c r="Z361" s="7301">
        <f t="shared" si="528"/>
        <v>12562.630000000001</v>
      </c>
      <c r="AA361" s="7888"/>
      <c r="AB361" s="7302">
        <f t="shared" si="529"/>
        <v>23992.997000000003</v>
      </c>
      <c r="AC361" s="7937"/>
      <c r="AD361" s="6156">
        <v>825.46</v>
      </c>
      <c r="AE361" s="7914"/>
      <c r="AF361" s="7310">
        <f t="shared" si="530"/>
        <v>24818.457000000002</v>
      </c>
      <c r="AG361" s="7937"/>
      <c r="AH361" s="6318">
        <v>4103.7199999999993</v>
      </c>
      <c r="AI361" s="7945"/>
      <c r="AJ361" s="7310">
        <f t="shared" si="512"/>
        <v>28922.177000000003</v>
      </c>
      <c r="AK361" s="7937"/>
      <c r="AL361" s="6557">
        <v>4421.1379999999999</v>
      </c>
      <c r="AM361" s="7878"/>
      <c r="AN361" s="7301">
        <f t="shared" si="513"/>
        <v>9350.3179999999993</v>
      </c>
      <c r="AO361" s="7914"/>
      <c r="AP361" s="7310">
        <f t="shared" si="514"/>
        <v>33343.315000000002</v>
      </c>
      <c r="AQ361" s="7937"/>
      <c r="AR361" s="6657">
        <v>4023.3500000000008</v>
      </c>
      <c r="AS361" s="7945"/>
      <c r="AT361" s="7310">
        <f t="shared" si="519"/>
        <v>37366.665000000001</v>
      </c>
      <c r="AU361" s="7937"/>
      <c r="AV361" s="6822">
        <v>5734.81</v>
      </c>
      <c r="AW361" s="7945"/>
      <c r="AX361" s="7310">
        <f t="shared" si="515"/>
        <v>43101.474999999999</v>
      </c>
      <c r="AY361" s="7937"/>
      <c r="AZ361" s="6966">
        <v>5102.2350000000006</v>
      </c>
      <c r="BA361" s="7878"/>
      <c r="BB361" s="7301">
        <f t="shared" si="516"/>
        <v>14860.395000000002</v>
      </c>
      <c r="BC361" s="7888"/>
      <c r="BD361" s="7302">
        <f t="shared" si="517"/>
        <v>24210.713000000003</v>
      </c>
      <c r="BE361" s="7945"/>
      <c r="BF361" s="7310">
        <f t="shared" si="518"/>
        <v>48203.71</v>
      </c>
      <c r="BG361" s="4152">
        <f t="shared" si="520"/>
        <v>0</v>
      </c>
      <c r="BH361" s="4152">
        <f t="shared" si="521"/>
        <v>0</v>
      </c>
      <c r="BI361" s="4152"/>
      <c r="BJ361" s="4152">
        <f t="shared" si="522"/>
        <v>0</v>
      </c>
      <c r="BK361" s="4152">
        <f t="shared" si="523"/>
        <v>0</v>
      </c>
    </row>
    <row r="362" spans="1:63" x14ac:dyDescent="0.25">
      <c r="A362" s="188"/>
      <c r="B362" s="3903" t="s">
        <v>852</v>
      </c>
      <c r="C362" s="3846" t="s">
        <v>1717</v>
      </c>
      <c r="D362" s="3900"/>
      <c r="E362" s="7937"/>
      <c r="F362" s="3790">
        <v>678.55600000000004</v>
      </c>
      <c r="G362" s="7937"/>
      <c r="H362" s="5575">
        <v>1039.51</v>
      </c>
      <c r="I362" s="7961"/>
      <c r="J362" s="7310">
        <f t="shared" si="524"/>
        <v>1718.066</v>
      </c>
      <c r="K362" s="7937"/>
      <c r="L362" s="5695">
        <v>945.02</v>
      </c>
      <c r="M362" s="7878"/>
      <c r="N362" s="7301">
        <f t="shared" si="525"/>
        <v>2663.0860000000002</v>
      </c>
      <c r="O362" s="7937"/>
      <c r="P362" s="5857">
        <v>382.7</v>
      </c>
      <c r="Q362" s="7914"/>
      <c r="R362" s="7310">
        <f t="shared" si="526"/>
        <v>3045.7860000000001</v>
      </c>
      <c r="S362" s="7937"/>
      <c r="T362" s="5902">
        <v>283.47999999999996</v>
      </c>
      <c r="U362" s="7914"/>
      <c r="V362" s="7310">
        <f t="shared" si="527"/>
        <v>3329.2660000000001</v>
      </c>
      <c r="W362" s="7937"/>
      <c r="X362" s="6021"/>
      <c r="Y362" s="7878"/>
      <c r="Z362" s="7301">
        <f t="shared" si="528"/>
        <v>666.18</v>
      </c>
      <c r="AA362" s="7888"/>
      <c r="AB362" s="7302">
        <f t="shared" si="529"/>
        <v>3329.2660000000001</v>
      </c>
      <c r="AC362" s="7937"/>
      <c r="AD362" s="6156"/>
      <c r="AE362" s="7914"/>
      <c r="AF362" s="7310">
        <f t="shared" si="530"/>
        <v>3329.2660000000001</v>
      </c>
      <c r="AG362" s="7937"/>
      <c r="AH362" s="6318">
        <v>289.33000000000004</v>
      </c>
      <c r="AI362" s="7945"/>
      <c r="AJ362" s="7310">
        <f t="shared" si="512"/>
        <v>3618.596</v>
      </c>
      <c r="AK362" s="7937"/>
      <c r="AL362" s="6557">
        <v>97.190999999999988</v>
      </c>
      <c r="AM362" s="7878"/>
      <c r="AN362" s="7301">
        <f t="shared" si="513"/>
        <v>386.52100000000002</v>
      </c>
      <c r="AO362" s="7914"/>
      <c r="AP362" s="7310">
        <f t="shared" si="514"/>
        <v>3715.7869999999998</v>
      </c>
      <c r="AQ362" s="7937"/>
      <c r="AR362" s="6657">
        <v>126.97999999999999</v>
      </c>
      <c r="AS362" s="7945"/>
      <c r="AT362" s="7310">
        <f t="shared" si="519"/>
        <v>3842.7669999999998</v>
      </c>
      <c r="AU362" s="7937"/>
      <c r="AV362" s="6822">
        <v>435.83</v>
      </c>
      <c r="AW362" s="7945"/>
      <c r="AX362" s="7310">
        <f t="shared" si="515"/>
        <v>4278.5969999999998</v>
      </c>
      <c r="AY362" s="7937"/>
      <c r="AZ362" s="6966"/>
      <c r="BA362" s="7878"/>
      <c r="BB362" s="7301">
        <f t="shared" si="516"/>
        <v>562.80999999999995</v>
      </c>
      <c r="BC362" s="7888"/>
      <c r="BD362" s="7302">
        <f t="shared" si="517"/>
        <v>949.3309999999999</v>
      </c>
      <c r="BE362" s="7945"/>
      <c r="BF362" s="7310">
        <f t="shared" si="518"/>
        <v>4278.5969999999998</v>
      </c>
      <c r="BG362" s="4152">
        <f t="shared" si="520"/>
        <v>0</v>
      </c>
      <c r="BH362" s="4152">
        <f t="shared" si="521"/>
        <v>0</v>
      </c>
      <c r="BI362" s="4152"/>
      <c r="BJ362" s="4152">
        <f t="shared" si="522"/>
        <v>0</v>
      </c>
      <c r="BK362" s="4152">
        <f t="shared" si="523"/>
        <v>0</v>
      </c>
    </row>
    <row r="363" spans="1:63" x14ac:dyDescent="0.25">
      <c r="A363" s="188"/>
      <c r="B363" s="797" t="s">
        <v>852</v>
      </c>
      <c r="C363" s="3846" t="s">
        <v>1535</v>
      </c>
      <c r="D363" s="3900"/>
      <c r="E363" s="7937"/>
      <c r="F363" s="1819"/>
      <c r="G363" s="7937"/>
      <c r="H363" s="1819"/>
      <c r="I363" s="7961"/>
      <c r="J363" s="7310">
        <f t="shared" si="524"/>
        <v>0</v>
      </c>
      <c r="K363" s="7937"/>
      <c r="L363" s="1819"/>
      <c r="M363" s="7875"/>
      <c r="N363" s="7301">
        <f t="shared" si="525"/>
        <v>0</v>
      </c>
      <c r="O363" s="7937"/>
      <c r="P363" s="1819"/>
      <c r="Q363" s="7911"/>
      <c r="R363" s="7310">
        <f t="shared" si="526"/>
        <v>0</v>
      </c>
      <c r="S363" s="7937"/>
      <c r="T363" s="1819"/>
      <c r="U363" s="7911"/>
      <c r="V363" s="7310">
        <f t="shared" si="527"/>
        <v>0</v>
      </c>
      <c r="W363" s="7937"/>
      <c r="X363" s="1819"/>
      <c r="Y363" s="7875"/>
      <c r="Z363" s="7301">
        <f t="shared" si="528"/>
        <v>0</v>
      </c>
      <c r="AA363" s="7885"/>
      <c r="AB363" s="7302">
        <f t="shared" si="529"/>
        <v>0</v>
      </c>
      <c r="AC363" s="7937"/>
      <c r="AD363" s="1819"/>
      <c r="AE363" s="7911"/>
      <c r="AF363" s="7310">
        <f t="shared" si="530"/>
        <v>0</v>
      </c>
      <c r="AG363" s="7937"/>
      <c r="AH363" s="1819"/>
      <c r="AI363" s="7945"/>
      <c r="AJ363" s="7310">
        <f t="shared" si="512"/>
        <v>0</v>
      </c>
      <c r="AK363" s="7937"/>
      <c r="AL363" s="1819"/>
      <c r="AM363" s="7875"/>
      <c r="AN363" s="7301">
        <f t="shared" si="513"/>
        <v>0</v>
      </c>
      <c r="AO363" s="7911"/>
      <c r="AP363" s="7310">
        <f t="shared" si="514"/>
        <v>0</v>
      </c>
      <c r="AQ363" s="7937"/>
      <c r="AR363" s="1819"/>
      <c r="AS363" s="7945"/>
      <c r="AT363" s="7310">
        <f t="shared" si="519"/>
        <v>0</v>
      </c>
      <c r="AU363" s="7937"/>
      <c r="AV363" s="1819"/>
      <c r="AW363" s="7945"/>
      <c r="AX363" s="7310">
        <f t="shared" si="515"/>
        <v>0</v>
      </c>
      <c r="AY363" s="7937"/>
      <c r="AZ363" s="1819"/>
      <c r="BA363" s="7875"/>
      <c r="BB363" s="7301">
        <f t="shared" si="516"/>
        <v>0</v>
      </c>
      <c r="BC363" s="7885"/>
      <c r="BD363" s="7302">
        <f t="shared" si="517"/>
        <v>0</v>
      </c>
      <c r="BE363" s="7945"/>
      <c r="BF363" s="7310">
        <f t="shared" si="518"/>
        <v>0</v>
      </c>
      <c r="BG363" s="4152">
        <f t="shared" si="520"/>
        <v>0</v>
      </c>
      <c r="BH363" s="4152">
        <f t="shared" si="521"/>
        <v>0</v>
      </c>
      <c r="BI363" s="4152"/>
      <c r="BJ363" s="4152">
        <f t="shared" si="522"/>
        <v>0</v>
      </c>
      <c r="BK363" s="4152">
        <f t="shared" si="523"/>
        <v>0</v>
      </c>
    </row>
    <row r="364" spans="1:63" x14ac:dyDescent="0.25">
      <c r="A364" s="188"/>
      <c r="B364" s="797" t="s">
        <v>852</v>
      </c>
      <c r="C364" s="3846" t="s">
        <v>1716</v>
      </c>
      <c r="D364" s="3900"/>
      <c r="E364" s="7937"/>
      <c r="F364" s="3790">
        <v>116.81399999999999</v>
      </c>
      <c r="G364" s="7937"/>
      <c r="H364" s="5575">
        <v>279.39</v>
      </c>
      <c r="I364" s="7961"/>
      <c r="J364" s="7310">
        <f t="shared" si="524"/>
        <v>396.20399999999995</v>
      </c>
      <c r="K364" s="7937"/>
      <c r="L364" s="5695">
        <v>278.47000000000003</v>
      </c>
      <c r="M364" s="7878"/>
      <c r="N364" s="7301">
        <f t="shared" si="525"/>
        <v>674.67399999999998</v>
      </c>
      <c r="O364" s="7937"/>
      <c r="P364" s="5857">
        <v>365.76</v>
      </c>
      <c r="Q364" s="7914"/>
      <c r="R364" s="7310">
        <f t="shared" si="526"/>
        <v>1040.434</v>
      </c>
      <c r="S364" s="7937"/>
      <c r="T364" s="5902">
        <v>176.61</v>
      </c>
      <c r="U364" s="7914"/>
      <c r="V364" s="7310">
        <f t="shared" si="527"/>
        <v>1217.0439999999999</v>
      </c>
      <c r="W364" s="7937"/>
      <c r="X364" s="6021">
        <v>157.78</v>
      </c>
      <c r="Y364" s="7878"/>
      <c r="Z364" s="7301">
        <f t="shared" si="528"/>
        <v>700.15</v>
      </c>
      <c r="AA364" s="7888"/>
      <c r="AB364" s="7302">
        <f t="shared" si="529"/>
        <v>1374.8240000000001</v>
      </c>
      <c r="AC364" s="7937"/>
      <c r="AD364" s="6156">
        <v>113.46000000000001</v>
      </c>
      <c r="AE364" s="7914"/>
      <c r="AF364" s="7310">
        <f t="shared" si="530"/>
        <v>1488.2840000000001</v>
      </c>
      <c r="AG364" s="7937"/>
      <c r="AH364" s="6318">
        <v>216.18</v>
      </c>
      <c r="AI364" s="7945"/>
      <c r="AJ364" s="7310">
        <f t="shared" si="512"/>
        <v>1704.4640000000002</v>
      </c>
      <c r="AK364" s="7937"/>
      <c r="AL364" s="6557">
        <v>224.08999999999997</v>
      </c>
      <c r="AM364" s="7878"/>
      <c r="AN364" s="7301">
        <f t="shared" si="513"/>
        <v>553.73</v>
      </c>
      <c r="AO364" s="7914"/>
      <c r="AP364" s="7310">
        <f t="shared" si="514"/>
        <v>1928.5540000000001</v>
      </c>
      <c r="AQ364" s="7937"/>
      <c r="AR364" s="6657"/>
      <c r="AS364" s="7945"/>
      <c r="AT364" s="7310">
        <f t="shared" si="519"/>
        <v>1928.5540000000001</v>
      </c>
      <c r="AU364" s="7937"/>
      <c r="AV364" s="6822"/>
      <c r="AW364" s="7945"/>
      <c r="AX364" s="7310">
        <f t="shared" si="515"/>
        <v>1928.5540000000001</v>
      </c>
      <c r="AY364" s="7937"/>
      <c r="AZ364" s="6966"/>
      <c r="BA364" s="7878"/>
      <c r="BB364" s="7301">
        <f t="shared" si="516"/>
        <v>0</v>
      </c>
      <c r="BC364" s="7888"/>
      <c r="BD364" s="7302">
        <f t="shared" si="517"/>
        <v>553.73</v>
      </c>
      <c r="BE364" s="7945"/>
      <c r="BF364" s="7310">
        <f t="shared" si="518"/>
        <v>1928.5540000000001</v>
      </c>
      <c r="BG364" s="4152">
        <f t="shared" si="520"/>
        <v>0</v>
      </c>
      <c r="BH364" s="4152">
        <f t="shared" si="521"/>
        <v>0</v>
      </c>
      <c r="BI364" s="4152"/>
      <c r="BJ364" s="4152">
        <f t="shared" si="522"/>
        <v>0</v>
      </c>
      <c r="BK364" s="4152">
        <f t="shared" si="523"/>
        <v>0</v>
      </c>
    </row>
    <row r="365" spans="1:63" ht="15.75" thickBot="1" x14ac:dyDescent="0.3">
      <c r="A365" s="188"/>
      <c r="B365" s="3157" t="s">
        <v>852</v>
      </c>
      <c r="C365" s="3817" t="s">
        <v>1728</v>
      </c>
      <c r="D365" s="3901"/>
      <c r="E365" s="7937"/>
      <c r="F365" s="3790"/>
      <c r="G365" s="7937"/>
      <c r="H365" s="5575"/>
      <c r="I365" s="7961"/>
      <c r="J365" s="7310">
        <f t="shared" si="524"/>
        <v>0</v>
      </c>
      <c r="K365" s="7937"/>
      <c r="L365" s="5695">
        <v>314.94</v>
      </c>
      <c r="M365" s="7878"/>
      <c r="N365" s="7301">
        <f t="shared" si="525"/>
        <v>314.94</v>
      </c>
      <c r="O365" s="7937"/>
      <c r="P365" s="5857">
        <v>105.56</v>
      </c>
      <c r="Q365" s="7914"/>
      <c r="R365" s="7310">
        <f t="shared" si="526"/>
        <v>420.5</v>
      </c>
      <c r="S365" s="7937"/>
      <c r="T365" s="5902"/>
      <c r="U365" s="7914"/>
      <c r="V365" s="7310">
        <f t="shared" si="527"/>
        <v>420.5</v>
      </c>
      <c r="W365" s="7937"/>
      <c r="X365" s="6021">
        <v>61.08</v>
      </c>
      <c r="Y365" s="7878"/>
      <c r="Z365" s="7301">
        <f t="shared" si="528"/>
        <v>166.64</v>
      </c>
      <c r="AA365" s="7888"/>
      <c r="AB365" s="7302">
        <f t="shared" si="529"/>
        <v>481.58</v>
      </c>
      <c r="AC365" s="7937"/>
      <c r="AD365" s="6156"/>
      <c r="AE365" s="7914"/>
      <c r="AF365" s="7310">
        <f t="shared" si="530"/>
        <v>481.58</v>
      </c>
      <c r="AG365" s="7937"/>
      <c r="AH365" s="6318"/>
      <c r="AI365" s="7945"/>
      <c r="AJ365" s="7310">
        <f t="shared" si="512"/>
        <v>481.58</v>
      </c>
      <c r="AK365" s="7937"/>
      <c r="AL365" s="6557"/>
      <c r="AM365" s="7878"/>
      <c r="AN365" s="7301">
        <f t="shared" si="513"/>
        <v>0</v>
      </c>
      <c r="AO365" s="7914"/>
      <c r="AP365" s="7310">
        <f t="shared" si="514"/>
        <v>481.58</v>
      </c>
      <c r="AQ365" s="7937"/>
      <c r="AR365" s="6657"/>
      <c r="AS365" s="7945"/>
      <c r="AT365" s="7310">
        <f t="shared" si="519"/>
        <v>481.58</v>
      </c>
      <c r="AU365" s="7937"/>
      <c r="AV365" s="6822"/>
      <c r="AW365" s="7945"/>
      <c r="AX365" s="7310">
        <f t="shared" si="515"/>
        <v>481.58</v>
      </c>
      <c r="AY365" s="7937"/>
      <c r="AZ365" s="6966"/>
      <c r="BA365" s="7878"/>
      <c r="BB365" s="7301">
        <f t="shared" si="516"/>
        <v>0</v>
      </c>
      <c r="BC365" s="7888"/>
      <c r="BD365" s="7302">
        <f t="shared" si="517"/>
        <v>0</v>
      </c>
      <c r="BE365" s="7945"/>
      <c r="BF365" s="7310">
        <f t="shared" si="518"/>
        <v>481.58</v>
      </c>
      <c r="BG365" s="4152">
        <f t="shared" si="520"/>
        <v>0</v>
      </c>
      <c r="BH365" s="4152">
        <f t="shared" si="521"/>
        <v>0</v>
      </c>
      <c r="BI365" s="4152"/>
      <c r="BJ365" s="4152">
        <f t="shared" si="522"/>
        <v>0</v>
      </c>
      <c r="BK365" s="4152">
        <f t="shared" si="523"/>
        <v>0</v>
      </c>
    </row>
    <row r="366" spans="1:63" x14ac:dyDescent="0.25">
      <c r="A366" s="188"/>
      <c r="B366" s="3883" t="s">
        <v>1484</v>
      </c>
      <c r="C366" s="3823" t="s">
        <v>1483</v>
      </c>
      <c r="D366" s="3823"/>
      <c r="E366" s="7931"/>
      <c r="F366" s="1819"/>
      <c r="G366" s="7931"/>
      <c r="H366" s="1819"/>
      <c r="I366" s="7911"/>
      <c r="J366" s="7310">
        <f t="shared" si="524"/>
        <v>0</v>
      </c>
      <c r="K366" s="7931"/>
      <c r="L366" s="1819"/>
      <c r="M366" s="7875"/>
      <c r="N366" s="7301">
        <f t="shared" si="525"/>
        <v>0</v>
      </c>
      <c r="O366" s="7931"/>
      <c r="P366" s="1819"/>
      <c r="Q366" s="7911"/>
      <c r="R366" s="7310">
        <f t="shared" si="526"/>
        <v>0</v>
      </c>
      <c r="S366" s="7931"/>
      <c r="T366" s="1819"/>
      <c r="U366" s="7911"/>
      <c r="V366" s="7310">
        <f t="shared" si="527"/>
        <v>0</v>
      </c>
      <c r="W366" s="7931"/>
      <c r="X366" s="1819"/>
      <c r="Y366" s="7875"/>
      <c r="Z366" s="7301">
        <f t="shared" si="528"/>
        <v>0</v>
      </c>
      <c r="AA366" s="7885"/>
      <c r="AB366" s="7302">
        <f t="shared" si="529"/>
        <v>0</v>
      </c>
      <c r="AC366" s="7931"/>
      <c r="AD366" s="1819"/>
      <c r="AE366" s="7911"/>
      <c r="AF366" s="7310">
        <f t="shared" si="530"/>
        <v>0</v>
      </c>
      <c r="AG366" s="7931"/>
      <c r="AH366" s="1819"/>
      <c r="AI366" s="7945"/>
      <c r="AJ366" s="7310">
        <f t="shared" si="512"/>
        <v>0</v>
      </c>
      <c r="AK366" s="7931"/>
      <c r="AL366" s="1819"/>
      <c r="AM366" s="7875"/>
      <c r="AN366" s="7301">
        <f t="shared" si="513"/>
        <v>0</v>
      </c>
      <c r="AO366" s="7911"/>
      <c r="AP366" s="7310">
        <f t="shared" si="514"/>
        <v>0</v>
      </c>
      <c r="AQ366" s="7931"/>
      <c r="AR366" s="1819"/>
      <c r="AS366" s="7945"/>
      <c r="AT366" s="7310">
        <f t="shared" si="519"/>
        <v>0</v>
      </c>
      <c r="AU366" s="7931"/>
      <c r="AV366" s="1819"/>
      <c r="AW366" s="7945"/>
      <c r="AX366" s="7310">
        <f t="shared" si="515"/>
        <v>0</v>
      </c>
      <c r="AY366" s="7931"/>
      <c r="AZ366" s="1819"/>
      <c r="BA366" s="7875"/>
      <c r="BB366" s="7301">
        <f t="shared" si="516"/>
        <v>0</v>
      </c>
      <c r="BC366" s="7885"/>
      <c r="BD366" s="7302">
        <f t="shared" si="517"/>
        <v>0</v>
      </c>
      <c r="BE366" s="7945"/>
      <c r="BF366" s="7310">
        <f t="shared" si="518"/>
        <v>0</v>
      </c>
      <c r="BG366" s="4152">
        <f t="shared" si="520"/>
        <v>0</v>
      </c>
      <c r="BH366" s="4152">
        <f t="shared" si="521"/>
        <v>0</v>
      </c>
      <c r="BI366" s="4152"/>
      <c r="BJ366" s="4152">
        <f t="shared" si="522"/>
        <v>0</v>
      </c>
      <c r="BK366" s="4152">
        <f t="shared" si="523"/>
        <v>0</v>
      </c>
    </row>
    <row r="367" spans="1:63" x14ac:dyDescent="0.25">
      <c r="A367" s="188"/>
      <c r="B367" s="3904" t="s">
        <v>1484</v>
      </c>
      <c r="C367" s="3848" t="s">
        <v>1606</v>
      </c>
      <c r="D367" s="3848"/>
      <c r="E367" s="7936"/>
      <c r="F367" s="2656"/>
      <c r="G367" s="7936"/>
      <c r="H367" s="2656"/>
      <c r="I367" s="7916"/>
      <c r="J367" s="7310">
        <f t="shared" si="524"/>
        <v>0</v>
      </c>
      <c r="K367" s="7936"/>
      <c r="L367" s="2656"/>
      <c r="M367" s="7880"/>
      <c r="N367" s="7301">
        <f t="shared" si="525"/>
        <v>0</v>
      </c>
      <c r="O367" s="7936"/>
      <c r="P367" s="2656"/>
      <c r="Q367" s="7916"/>
      <c r="R367" s="7310">
        <f t="shared" si="526"/>
        <v>0</v>
      </c>
      <c r="S367" s="7936"/>
      <c r="T367" s="2656"/>
      <c r="U367" s="7916"/>
      <c r="V367" s="7310">
        <f t="shared" si="527"/>
        <v>0</v>
      </c>
      <c r="W367" s="7936"/>
      <c r="X367" s="2656"/>
      <c r="Y367" s="7880"/>
      <c r="Z367" s="7301">
        <f t="shared" si="528"/>
        <v>0</v>
      </c>
      <c r="AA367" s="7890"/>
      <c r="AB367" s="7302">
        <f t="shared" si="529"/>
        <v>0</v>
      </c>
      <c r="AC367" s="7936"/>
      <c r="AD367" s="2656"/>
      <c r="AE367" s="7916"/>
      <c r="AF367" s="7310">
        <f t="shared" si="530"/>
        <v>0</v>
      </c>
      <c r="AG367" s="7936"/>
      <c r="AH367" s="2656"/>
      <c r="AI367" s="7945"/>
      <c r="AJ367" s="7310">
        <f t="shared" si="512"/>
        <v>0</v>
      </c>
      <c r="AK367" s="7936"/>
      <c r="AL367" s="2656"/>
      <c r="AM367" s="7880"/>
      <c r="AN367" s="7301">
        <f t="shared" si="513"/>
        <v>0</v>
      </c>
      <c r="AO367" s="7916"/>
      <c r="AP367" s="7310">
        <f t="shared" si="514"/>
        <v>0</v>
      </c>
      <c r="AQ367" s="7936"/>
      <c r="AR367" s="2656"/>
      <c r="AS367" s="7945"/>
      <c r="AT367" s="7310">
        <f t="shared" si="519"/>
        <v>0</v>
      </c>
      <c r="AU367" s="7936"/>
      <c r="AV367" s="2656"/>
      <c r="AW367" s="7945"/>
      <c r="AX367" s="7310">
        <f t="shared" si="515"/>
        <v>0</v>
      </c>
      <c r="AY367" s="7936"/>
      <c r="AZ367" s="2656"/>
      <c r="BA367" s="7880"/>
      <c r="BB367" s="7301">
        <f t="shared" si="516"/>
        <v>0</v>
      </c>
      <c r="BC367" s="7890"/>
      <c r="BD367" s="7302">
        <f t="shared" si="517"/>
        <v>0</v>
      </c>
      <c r="BE367" s="7945"/>
      <c r="BF367" s="7310">
        <f t="shared" si="518"/>
        <v>0</v>
      </c>
      <c r="BG367" s="4152">
        <f t="shared" si="520"/>
        <v>0</v>
      </c>
      <c r="BH367" s="4152">
        <f t="shared" si="521"/>
        <v>0</v>
      </c>
      <c r="BI367" s="4152"/>
      <c r="BJ367" s="4152">
        <f t="shared" si="522"/>
        <v>0</v>
      </c>
      <c r="BK367" s="4152">
        <f t="shared" si="523"/>
        <v>0</v>
      </c>
    </row>
    <row r="368" spans="1:63" x14ac:dyDescent="0.25">
      <c r="A368" s="188"/>
      <c r="B368" s="3902" t="s">
        <v>1484</v>
      </c>
      <c r="C368" s="3846" t="s">
        <v>1718</v>
      </c>
      <c r="D368" s="3846"/>
      <c r="E368" s="7934"/>
      <c r="F368" s="3790">
        <v>68.905000000000001</v>
      </c>
      <c r="G368" s="7934"/>
      <c r="H368" s="5575">
        <v>683.91</v>
      </c>
      <c r="I368" s="7914"/>
      <c r="J368" s="7310">
        <f t="shared" si="524"/>
        <v>752.81499999999994</v>
      </c>
      <c r="K368" s="7934"/>
      <c r="L368" s="5695">
        <v>1194.0900000000001</v>
      </c>
      <c r="M368" s="7878"/>
      <c r="N368" s="7301">
        <f t="shared" si="525"/>
        <v>1946.9050000000002</v>
      </c>
      <c r="O368" s="7934"/>
      <c r="P368" s="5857">
        <v>337.28999999999996</v>
      </c>
      <c r="Q368" s="7914"/>
      <c r="R368" s="7310">
        <f t="shared" si="526"/>
        <v>2284.1950000000002</v>
      </c>
      <c r="S368" s="7934"/>
      <c r="T368" s="5902">
        <v>840.91</v>
      </c>
      <c r="U368" s="7914"/>
      <c r="V368" s="7310">
        <f t="shared" si="527"/>
        <v>3125.105</v>
      </c>
      <c r="W368" s="7934"/>
      <c r="X368" s="6021"/>
      <c r="Y368" s="7878"/>
      <c r="Z368" s="7301">
        <f t="shared" si="528"/>
        <v>1178.1999999999998</v>
      </c>
      <c r="AA368" s="7888"/>
      <c r="AB368" s="7302">
        <f t="shared" si="529"/>
        <v>3125.105</v>
      </c>
      <c r="AC368" s="7934"/>
      <c r="AD368" s="6156">
        <v>324.07</v>
      </c>
      <c r="AE368" s="7914"/>
      <c r="AF368" s="7310">
        <f t="shared" si="530"/>
        <v>3449.1750000000002</v>
      </c>
      <c r="AG368" s="7934"/>
      <c r="AH368" s="6318">
        <v>125.88</v>
      </c>
      <c r="AI368" s="7945"/>
      <c r="AJ368" s="7310">
        <f t="shared" si="512"/>
        <v>3575.0550000000003</v>
      </c>
      <c r="AK368" s="7934"/>
      <c r="AL368" s="6557">
        <v>729.65000000000009</v>
      </c>
      <c r="AM368" s="7878"/>
      <c r="AN368" s="7301">
        <f t="shared" si="513"/>
        <v>1179.6000000000001</v>
      </c>
      <c r="AO368" s="7914"/>
      <c r="AP368" s="7310">
        <f t="shared" si="514"/>
        <v>4304.7049999999999</v>
      </c>
      <c r="AQ368" s="7934"/>
      <c r="AR368" s="6657"/>
      <c r="AS368" s="7945"/>
      <c r="AT368" s="7310">
        <f t="shared" si="519"/>
        <v>4304.7049999999999</v>
      </c>
      <c r="AU368" s="7934"/>
      <c r="AV368" s="6822">
        <v>893.43</v>
      </c>
      <c r="AW368" s="7945"/>
      <c r="AX368" s="7310">
        <f t="shared" si="515"/>
        <v>5198.1350000000002</v>
      </c>
      <c r="AY368" s="7934"/>
      <c r="AZ368" s="6966"/>
      <c r="BA368" s="7878"/>
      <c r="BB368" s="7301">
        <f t="shared" si="516"/>
        <v>893.43</v>
      </c>
      <c r="BC368" s="7888"/>
      <c r="BD368" s="7302">
        <f t="shared" si="517"/>
        <v>2073.0300000000002</v>
      </c>
      <c r="BE368" s="7945"/>
      <c r="BF368" s="7310">
        <f t="shared" si="518"/>
        <v>5198.1350000000002</v>
      </c>
      <c r="BG368" s="4152">
        <f t="shared" si="520"/>
        <v>0</v>
      </c>
      <c r="BH368" s="4152">
        <f t="shared" si="521"/>
        <v>0</v>
      </c>
      <c r="BI368" s="4152"/>
      <c r="BJ368" s="4152">
        <f t="shared" si="522"/>
        <v>0</v>
      </c>
      <c r="BK368" s="4152">
        <f t="shared" si="523"/>
        <v>0</v>
      </c>
    </row>
    <row r="369" spans="1:63" s="4156" customFormat="1" x14ac:dyDescent="0.25">
      <c r="A369" s="188"/>
      <c r="B369" s="3902" t="s">
        <v>1484</v>
      </c>
      <c r="C369" s="3846" t="s">
        <v>1748</v>
      </c>
      <c r="D369" s="3846"/>
      <c r="E369" s="7934"/>
      <c r="F369" s="4157"/>
      <c r="G369" s="7934"/>
      <c r="H369" s="5575"/>
      <c r="I369" s="7914"/>
      <c r="J369" s="7310">
        <f t="shared" si="524"/>
        <v>0</v>
      </c>
      <c r="K369" s="7934"/>
      <c r="L369" s="5695">
        <v>382.18</v>
      </c>
      <c r="M369" s="7878"/>
      <c r="N369" s="7301">
        <f t="shared" si="525"/>
        <v>382.18</v>
      </c>
      <c r="O369" s="7934"/>
      <c r="P369" s="5857">
        <v>506.90000000000003</v>
      </c>
      <c r="Q369" s="7914"/>
      <c r="R369" s="7310">
        <f t="shared" si="526"/>
        <v>889.08</v>
      </c>
      <c r="S369" s="7934"/>
      <c r="T369" s="5902"/>
      <c r="U369" s="7914"/>
      <c r="V369" s="7310">
        <f t="shared" si="527"/>
        <v>889.08</v>
      </c>
      <c r="W369" s="7934"/>
      <c r="X369" s="6021"/>
      <c r="Y369" s="7878"/>
      <c r="Z369" s="7301">
        <f t="shared" si="528"/>
        <v>506.90000000000003</v>
      </c>
      <c r="AA369" s="7888"/>
      <c r="AB369" s="7302">
        <f t="shared" si="529"/>
        <v>889.08</v>
      </c>
      <c r="AC369" s="7934"/>
      <c r="AD369" s="6156">
        <v>1153.7399999999998</v>
      </c>
      <c r="AE369" s="7914"/>
      <c r="AF369" s="7310">
        <f t="shared" si="530"/>
        <v>2042.8199999999997</v>
      </c>
      <c r="AG369" s="7934"/>
      <c r="AH369" s="6318"/>
      <c r="AI369" s="7945"/>
      <c r="AJ369" s="7310">
        <f t="shared" si="512"/>
        <v>2042.8199999999997</v>
      </c>
      <c r="AK369" s="7934"/>
      <c r="AL369" s="6557"/>
      <c r="AM369" s="7878"/>
      <c r="AN369" s="7301">
        <f t="shared" si="513"/>
        <v>1153.7399999999998</v>
      </c>
      <c r="AO369" s="7914"/>
      <c r="AP369" s="7310">
        <f t="shared" si="514"/>
        <v>2042.8199999999997</v>
      </c>
      <c r="AQ369" s="7934"/>
      <c r="AR369" s="6657"/>
      <c r="AS369" s="7945"/>
      <c r="AT369" s="7310">
        <f t="shared" si="519"/>
        <v>2042.8199999999997</v>
      </c>
      <c r="AU369" s="7934"/>
      <c r="AV369" s="6822"/>
      <c r="AW369" s="7945"/>
      <c r="AX369" s="7310">
        <f t="shared" si="515"/>
        <v>2042.8199999999997</v>
      </c>
      <c r="AY369" s="7934"/>
      <c r="AZ369" s="6966">
        <v>153.298</v>
      </c>
      <c r="BA369" s="7878"/>
      <c r="BB369" s="7301">
        <f t="shared" si="516"/>
        <v>153.298</v>
      </c>
      <c r="BC369" s="7888"/>
      <c r="BD369" s="7302">
        <f t="shared" si="517"/>
        <v>1307.0379999999998</v>
      </c>
      <c r="BE369" s="7945"/>
      <c r="BF369" s="7310">
        <f t="shared" si="518"/>
        <v>2196.1179999999995</v>
      </c>
      <c r="BG369" s="4152">
        <f t="shared" si="520"/>
        <v>0</v>
      </c>
      <c r="BH369" s="4152">
        <f t="shared" si="521"/>
        <v>0</v>
      </c>
      <c r="BI369" s="4152"/>
      <c r="BJ369" s="4152">
        <f t="shared" si="522"/>
        <v>0</v>
      </c>
      <c r="BK369" s="4152">
        <f t="shared" si="523"/>
        <v>0</v>
      </c>
    </row>
    <row r="370" spans="1:63" x14ac:dyDescent="0.25">
      <c r="A370" s="188"/>
      <c r="B370" s="3902" t="s">
        <v>1484</v>
      </c>
      <c r="C370" s="3846" t="s">
        <v>1729</v>
      </c>
      <c r="D370" s="3846"/>
      <c r="E370" s="7934"/>
      <c r="F370" s="3790">
        <v>118.03400000000001</v>
      </c>
      <c r="G370" s="7934"/>
      <c r="H370" s="5575">
        <v>166.5</v>
      </c>
      <c r="I370" s="7914"/>
      <c r="J370" s="7310">
        <f t="shared" si="524"/>
        <v>284.53399999999999</v>
      </c>
      <c r="K370" s="7934"/>
      <c r="L370" s="5695">
        <v>546.38</v>
      </c>
      <c r="M370" s="7878"/>
      <c r="N370" s="7301">
        <f t="shared" si="525"/>
        <v>830.91399999999999</v>
      </c>
      <c r="O370" s="7934"/>
      <c r="P370" s="5857">
        <v>383.46000000000004</v>
      </c>
      <c r="Q370" s="7914"/>
      <c r="R370" s="7310">
        <f t="shared" si="526"/>
        <v>1214.374</v>
      </c>
      <c r="S370" s="7934"/>
      <c r="T370" s="5902"/>
      <c r="U370" s="7914"/>
      <c r="V370" s="7310">
        <f t="shared" si="527"/>
        <v>1214.374</v>
      </c>
      <c r="W370" s="7934"/>
      <c r="X370" s="6021"/>
      <c r="Y370" s="7878"/>
      <c r="Z370" s="7301">
        <f t="shared" si="528"/>
        <v>383.46000000000004</v>
      </c>
      <c r="AA370" s="7888"/>
      <c r="AB370" s="7302">
        <f t="shared" si="529"/>
        <v>1214.374</v>
      </c>
      <c r="AC370" s="7934"/>
      <c r="AD370" s="6156">
        <v>185.06</v>
      </c>
      <c r="AE370" s="7914"/>
      <c r="AF370" s="7310">
        <f t="shared" si="530"/>
        <v>1399.434</v>
      </c>
      <c r="AG370" s="7934"/>
      <c r="AH370" s="6318"/>
      <c r="AI370" s="7945"/>
      <c r="AJ370" s="7310">
        <f t="shared" si="512"/>
        <v>1399.434</v>
      </c>
      <c r="AK370" s="7934"/>
      <c r="AL370" s="6557"/>
      <c r="AM370" s="7878"/>
      <c r="AN370" s="7301">
        <f t="shared" si="513"/>
        <v>185.06</v>
      </c>
      <c r="AO370" s="7914"/>
      <c r="AP370" s="7310">
        <f t="shared" si="514"/>
        <v>1399.434</v>
      </c>
      <c r="AQ370" s="7934"/>
      <c r="AR370" s="6657"/>
      <c r="AS370" s="7945"/>
      <c r="AT370" s="7310">
        <f t="shared" si="519"/>
        <v>1399.434</v>
      </c>
      <c r="AU370" s="7934"/>
      <c r="AV370" s="6822"/>
      <c r="AW370" s="7945"/>
      <c r="AX370" s="7310">
        <f t="shared" si="515"/>
        <v>1399.434</v>
      </c>
      <c r="AY370" s="7934"/>
      <c r="AZ370" s="6966">
        <v>125.82199999999999</v>
      </c>
      <c r="BA370" s="7878"/>
      <c r="BB370" s="7301">
        <f t="shared" si="516"/>
        <v>125.82199999999999</v>
      </c>
      <c r="BC370" s="7888"/>
      <c r="BD370" s="7302">
        <f t="shared" si="517"/>
        <v>310.88200000000001</v>
      </c>
      <c r="BE370" s="7945"/>
      <c r="BF370" s="7310">
        <f t="shared" si="518"/>
        <v>1525.2559999999999</v>
      </c>
      <c r="BG370" s="4152">
        <f t="shared" si="520"/>
        <v>0</v>
      </c>
      <c r="BH370" s="4152">
        <f t="shared" si="521"/>
        <v>0</v>
      </c>
      <c r="BI370" s="4152"/>
      <c r="BJ370" s="4152">
        <f t="shared" si="522"/>
        <v>0</v>
      </c>
      <c r="BK370" s="4152">
        <f t="shared" si="523"/>
        <v>0</v>
      </c>
    </row>
    <row r="371" spans="1:63" x14ac:dyDescent="0.25">
      <c r="A371" s="188"/>
      <c r="B371" s="3905" t="s">
        <v>853</v>
      </c>
      <c r="C371" s="3846" t="s">
        <v>860</v>
      </c>
      <c r="D371" s="3846"/>
      <c r="E371" s="7937"/>
      <c r="F371" s="1819">
        <v>420.31999999999994</v>
      </c>
      <c r="G371" s="7937"/>
      <c r="H371" s="1819">
        <v>2839.33</v>
      </c>
      <c r="I371" s="7911"/>
      <c r="J371" s="7310">
        <f t="shared" si="524"/>
        <v>3259.6499999999996</v>
      </c>
      <c r="K371" s="7937"/>
      <c r="L371" s="1819">
        <v>1722.4500000000003</v>
      </c>
      <c r="M371" s="7875"/>
      <c r="N371" s="7301">
        <f t="shared" si="525"/>
        <v>4982.1000000000004</v>
      </c>
      <c r="O371" s="7937"/>
      <c r="P371" s="1819">
        <v>1488.65</v>
      </c>
      <c r="Q371" s="7911"/>
      <c r="R371" s="7310">
        <f t="shared" si="526"/>
        <v>6470.75</v>
      </c>
      <c r="S371" s="7937"/>
      <c r="T371" s="1819">
        <v>447.06</v>
      </c>
      <c r="U371" s="7911"/>
      <c r="V371" s="7310">
        <f t="shared" si="527"/>
        <v>6917.81</v>
      </c>
      <c r="W371" s="7937"/>
      <c r="X371" s="1819">
        <v>250.67999999999998</v>
      </c>
      <c r="Y371" s="7875"/>
      <c r="Z371" s="7301">
        <f t="shared" si="528"/>
        <v>2186.39</v>
      </c>
      <c r="AA371" s="7885"/>
      <c r="AB371" s="7302">
        <f t="shared" si="529"/>
        <v>7168.49</v>
      </c>
      <c r="AC371" s="7937"/>
      <c r="AD371" s="1819">
        <v>316.37</v>
      </c>
      <c r="AE371" s="7911"/>
      <c r="AF371" s="7310">
        <f t="shared" si="530"/>
        <v>7484.86</v>
      </c>
      <c r="AG371" s="7937"/>
      <c r="AH371" s="1819"/>
      <c r="AI371" s="7945"/>
      <c r="AJ371" s="7310">
        <f t="shared" si="512"/>
        <v>7484.86</v>
      </c>
      <c r="AK371" s="7937"/>
      <c r="AL371" s="1819"/>
      <c r="AM371" s="7875"/>
      <c r="AN371" s="7301">
        <f t="shared" si="513"/>
        <v>316.37</v>
      </c>
      <c r="AO371" s="7911"/>
      <c r="AP371" s="7310">
        <f t="shared" si="514"/>
        <v>7484.86</v>
      </c>
      <c r="AQ371" s="7937"/>
      <c r="AR371" s="1819"/>
      <c r="AS371" s="7945"/>
      <c r="AT371" s="7310">
        <f t="shared" si="519"/>
        <v>7484.86</v>
      </c>
      <c r="AU371" s="7937"/>
      <c r="AV371" s="1819">
        <v>1001.36</v>
      </c>
      <c r="AW371" s="7945"/>
      <c r="AX371" s="7310">
        <f t="shared" si="515"/>
        <v>8486.2199999999993</v>
      </c>
      <c r="AY371" s="7937"/>
      <c r="AZ371" s="1819">
        <v>68.02</v>
      </c>
      <c r="BA371" s="7875"/>
      <c r="BB371" s="7301">
        <f t="shared" si="516"/>
        <v>1069.3800000000001</v>
      </c>
      <c r="BC371" s="7885"/>
      <c r="BD371" s="7302">
        <f t="shared" si="517"/>
        <v>1385.75</v>
      </c>
      <c r="BE371" s="7945"/>
      <c r="BF371" s="7310">
        <f t="shared" si="518"/>
        <v>8554.24</v>
      </c>
      <c r="BG371" s="4152">
        <f t="shared" si="520"/>
        <v>0</v>
      </c>
      <c r="BH371" s="4152">
        <f t="shared" si="521"/>
        <v>0</v>
      </c>
      <c r="BI371" s="4152"/>
      <c r="BJ371" s="4152">
        <f t="shared" si="522"/>
        <v>0</v>
      </c>
      <c r="BK371" s="4152">
        <f t="shared" si="523"/>
        <v>0</v>
      </c>
    </row>
    <row r="372" spans="1:63" x14ac:dyDescent="0.25">
      <c r="A372" s="188"/>
      <c r="B372" s="3905" t="s">
        <v>853</v>
      </c>
      <c r="C372" s="3846" t="s">
        <v>875</v>
      </c>
      <c r="D372" s="3846"/>
      <c r="E372" s="7937"/>
      <c r="F372" s="1819">
        <v>6127.1459999999997</v>
      </c>
      <c r="G372" s="7937"/>
      <c r="H372" s="1819">
        <v>4625.6299999999992</v>
      </c>
      <c r="I372" s="7911"/>
      <c r="J372" s="7310">
        <f t="shared" si="524"/>
        <v>10752.775999999998</v>
      </c>
      <c r="K372" s="7937"/>
      <c r="L372" s="1819">
        <v>4609.43</v>
      </c>
      <c r="M372" s="7875"/>
      <c r="N372" s="7301">
        <f t="shared" si="525"/>
        <v>15362.205999999998</v>
      </c>
      <c r="O372" s="7937"/>
      <c r="P372" s="1819">
        <v>4394.24</v>
      </c>
      <c r="Q372" s="7911"/>
      <c r="R372" s="7310">
        <f t="shared" si="526"/>
        <v>19756.445999999996</v>
      </c>
      <c r="S372" s="7937"/>
      <c r="T372" s="1819">
        <v>5701.26</v>
      </c>
      <c r="U372" s="7911"/>
      <c r="V372" s="7310">
        <f t="shared" si="527"/>
        <v>25457.705999999998</v>
      </c>
      <c r="W372" s="7937"/>
      <c r="X372" s="1819">
        <v>1811.32</v>
      </c>
      <c r="Y372" s="7875"/>
      <c r="Z372" s="7301">
        <f t="shared" si="528"/>
        <v>11906.82</v>
      </c>
      <c r="AA372" s="7885"/>
      <c r="AB372" s="7302">
        <f t="shared" si="529"/>
        <v>27269.025999999998</v>
      </c>
      <c r="AC372" s="7937"/>
      <c r="AD372" s="1819">
        <v>4067.1799999999994</v>
      </c>
      <c r="AE372" s="7911"/>
      <c r="AF372" s="7310">
        <f t="shared" si="530"/>
        <v>31336.205999999998</v>
      </c>
      <c r="AG372" s="7937"/>
      <c r="AH372" s="1819">
        <v>3068.0099999999998</v>
      </c>
      <c r="AI372" s="7945"/>
      <c r="AJ372" s="7310">
        <f t="shared" si="512"/>
        <v>34404.216</v>
      </c>
      <c r="AK372" s="7937"/>
      <c r="AL372" s="1819">
        <v>4609.0550000000003</v>
      </c>
      <c r="AM372" s="7875"/>
      <c r="AN372" s="7301">
        <f t="shared" si="513"/>
        <v>11744.244999999999</v>
      </c>
      <c r="AO372" s="7911"/>
      <c r="AP372" s="7310">
        <f t="shared" si="514"/>
        <v>39013.271000000001</v>
      </c>
      <c r="AQ372" s="7937"/>
      <c r="AR372" s="1819">
        <v>3745.8399999999992</v>
      </c>
      <c r="AS372" s="7945"/>
      <c r="AT372" s="7310">
        <f t="shared" si="519"/>
        <v>42759.110999999997</v>
      </c>
      <c r="AU372" s="7937"/>
      <c r="AV372" s="1819">
        <v>6048.67</v>
      </c>
      <c r="AW372" s="7945"/>
      <c r="AX372" s="7310">
        <f t="shared" si="515"/>
        <v>48807.780999999995</v>
      </c>
      <c r="AY372" s="7937"/>
      <c r="AZ372" s="1819">
        <v>8147.5210000000015</v>
      </c>
      <c r="BA372" s="7875"/>
      <c r="BB372" s="7301">
        <f t="shared" si="516"/>
        <v>17942.030999999999</v>
      </c>
      <c r="BC372" s="7885"/>
      <c r="BD372" s="7302">
        <f t="shared" si="517"/>
        <v>29686.275999999998</v>
      </c>
      <c r="BE372" s="7945"/>
      <c r="BF372" s="7310">
        <f t="shared" si="518"/>
        <v>56955.301999999996</v>
      </c>
      <c r="BG372" s="4152">
        <f t="shared" si="520"/>
        <v>0</v>
      </c>
      <c r="BH372" s="4152">
        <f t="shared" si="521"/>
        <v>0</v>
      </c>
      <c r="BI372" s="4152"/>
      <c r="BJ372" s="4152">
        <f t="shared" si="522"/>
        <v>0</v>
      </c>
      <c r="BK372" s="4152">
        <f t="shared" si="523"/>
        <v>0</v>
      </c>
    </row>
    <row r="373" spans="1:63" x14ac:dyDescent="0.25">
      <c r="A373" s="188"/>
      <c r="B373" s="3905" t="s">
        <v>853</v>
      </c>
      <c r="C373" s="3846" t="s">
        <v>1551</v>
      </c>
      <c r="D373" s="3846"/>
      <c r="E373" s="7937"/>
      <c r="F373" s="1819"/>
      <c r="G373" s="7937"/>
      <c r="H373" s="1819"/>
      <c r="I373" s="7911"/>
      <c r="J373" s="7310">
        <f t="shared" si="524"/>
        <v>0</v>
      </c>
      <c r="K373" s="7937"/>
      <c r="L373" s="1819"/>
      <c r="M373" s="7875"/>
      <c r="N373" s="7301">
        <f t="shared" si="525"/>
        <v>0</v>
      </c>
      <c r="O373" s="7937"/>
      <c r="P373" s="1819"/>
      <c r="Q373" s="7911"/>
      <c r="R373" s="7310">
        <f t="shared" si="526"/>
        <v>0</v>
      </c>
      <c r="S373" s="7937"/>
      <c r="T373" s="1819">
        <v>1015.8600000000001</v>
      </c>
      <c r="U373" s="7911"/>
      <c r="V373" s="7310">
        <f t="shared" si="527"/>
        <v>1015.8600000000001</v>
      </c>
      <c r="W373" s="7937"/>
      <c r="X373" s="1819"/>
      <c r="Y373" s="7875"/>
      <c r="Z373" s="7301">
        <f t="shared" si="528"/>
        <v>1015.8600000000001</v>
      </c>
      <c r="AA373" s="7885"/>
      <c r="AB373" s="7302">
        <f t="shared" si="529"/>
        <v>1015.8600000000001</v>
      </c>
      <c r="AC373" s="7937"/>
      <c r="AD373" s="1819"/>
      <c r="AE373" s="7911"/>
      <c r="AF373" s="7310">
        <f t="shared" si="530"/>
        <v>1015.8600000000001</v>
      </c>
      <c r="AG373" s="7937"/>
      <c r="AH373" s="1819"/>
      <c r="AI373" s="7945"/>
      <c r="AJ373" s="7310">
        <f t="shared" si="512"/>
        <v>1015.8600000000001</v>
      </c>
      <c r="AK373" s="7937"/>
      <c r="AL373" s="1819"/>
      <c r="AM373" s="7875"/>
      <c r="AN373" s="7301">
        <f t="shared" si="513"/>
        <v>0</v>
      </c>
      <c r="AO373" s="7911"/>
      <c r="AP373" s="7310">
        <f t="shared" si="514"/>
        <v>1015.8600000000001</v>
      </c>
      <c r="AQ373" s="7937"/>
      <c r="AR373" s="1819">
        <v>757.26000000000022</v>
      </c>
      <c r="AS373" s="7945"/>
      <c r="AT373" s="7310">
        <f t="shared" si="519"/>
        <v>1773.1200000000003</v>
      </c>
      <c r="AU373" s="7937"/>
      <c r="AV373" s="1819"/>
      <c r="AW373" s="7945"/>
      <c r="AX373" s="7310">
        <f t="shared" si="515"/>
        <v>1773.1200000000003</v>
      </c>
      <c r="AY373" s="7937"/>
      <c r="AZ373" s="1819"/>
      <c r="BA373" s="7875"/>
      <c r="BB373" s="7301">
        <f t="shared" si="516"/>
        <v>757.26000000000022</v>
      </c>
      <c r="BC373" s="7885"/>
      <c r="BD373" s="7302">
        <f t="shared" si="517"/>
        <v>757.26000000000022</v>
      </c>
      <c r="BE373" s="7945"/>
      <c r="BF373" s="7310">
        <f t="shared" si="518"/>
        <v>1773.1200000000003</v>
      </c>
      <c r="BG373" s="4152">
        <f t="shared" si="520"/>
        <v>0</v>
      </c>
      <c r="BH373" s="4152">
        <f t="shared" si="521"/>
        <v>0</v>
      </c>
      <c r="BI373" s="4152"/>
      <c r="BJ373" s="4152">
        <f t="shared" si="522"/>
        <v>0</v>
      </c>
      <c r="BK373" s="4152">
        <f t="shared" si="523"/>
        <v>0</v>
      </c>
    </row>
    <row r="374" spans="1:63" x14ac:dyDescent="0.25">
      <c r="A374" s="188"/>
      <c r="B374" s="3905" t="s">
        <v>853</v>
      </c>
      <c r="C374" s="3846" t="s">
        <v>1720</v>
      </c>
      <c r="D374" s="3846"/>
      <c r="E374" s="7937"/>
      <c r="F374" s="1819"/>
      <c r="G374" s="7937"/>
      <c r="H374" s="1819"/>
      <c r="I374" s="7911"/>
      <c r="J374" s="7310">
        <f t="shared" si="524"/>
        <v>0</v>
      </c>
      <c r="K374" s="7937"/>
      <c r="L374" s="1819"/>
      <c r="M374" s="7875"/>
      <c r="N374" s="7301">
        <f t="shared" si="525"/>
        <v>0</v>
      </c>
      <c r="O374" s="7937"/>
      <c r="P374" s="1819">
        <v>253.14</v>
      </c>
      <c r="Q374" s="7911"/>
      <c r="R374" s="7310">
        <f t="shared" si="526"/>
        <v>253.14</v>
      </c>
      <c r="S374" s="7937"/>
      <c r="T374" s="1819"/>
      <c r="U374" s="7911"/>
      <c r="V374" s="7310">
        <f t="shared" si="527"/>
        <v>253.14</v>
      </c>
      <c r="W374" s="7937"/>
      <c r="X374" s="1819"/>
      <c r="Y374" s="7875"/>
      <c r="Z374" s="7301">
        <f t="shared" si="528"/>
        <v>253.14</v>
      </c>
      <c r="AA374" s="7885"/>
      <c r="AB374" s="7302">
        <f t="shared" si="529"/>
        <v>253.14</v>
      </c>
      <c r="AC374" s="7937"/>
      <c r="AD374" s="1819">
        <v>259.24</v>
      </c>
      <c r="AE374" s="7911"/>
      <c r="AF374" s="7310">
        <f t="shared" si="530"/>
        <v>512.38</v>
      </c>
      <c r="AG374" s="7937"/>
      <c r="AH374" s="1819"/>
      <c r="AI374" s="7945"/>
      <c r="AJ374" s="7310">
        <f t="shared" si="512"/>
        <v>512.38</v>
      </c>
      <c r="AK374" s="7937"/>
      <c r="AL374" s="1819"/>
      <c r="AM374" s="7875"/>
      <c r="AN374" s="7301">
        <f t="shared" si="513"/>
        <v>259.24</v>
      </c>
      <c r="AO374" s="7911"/>
      <c r="AP374" s="7310">
        <f t="shared" si="514"/>
        <v>512.38</v>
      </c>
      <c r="AQ374" s="7937"/>
      <c r="AR374" s="1819">
        <v>104.86</v>
      </c>
      <c r="AS374" s="7945"/>
      <c r="AT374" s="7310">
        <f t="shared" si="519"/>
        <v>617.24</v>
      </c>
      <c r="AU374" s="7937"/>
      <c r="AV374" s="1819"/>
      <c r="AW374" s="7945"/>
      <c r="AX374" s="7310">
        <f t="shared" si="515"/>
        <v>617.24</v>
      </c>
      <c r="AY374" s="7937"/>
      <c r="AZ374" s="1819"/>
      <c r="BA374" s="7875"/>
      <c r="BB374" s="7301">
        <f t="shared" si="516"/>
        <v>104.86</v>
      </c>
      <c r="BC374" s="7885"/>
      <c r="BD374" s="7302">
        <f t="shared" si="517"/>
        <v>364.1</v>
      </c>
      <c r="BE374" s="7945"/>
      <c r="BF374" s="7310">
        <f t="shared" si="518"/>
        <v>617.24</v>
      </c>
      <c r="BG374" s="4152">
        <f t="shared" si="520"/>
        <v>0</v>
      </c>
      <c r="BH374" s="4152">
        <f t="shared" si="521"/>
        <v>0</v>
      </c>
      <c r="BI374" s="4152"/>
      <c r="BJ374" s="4152">
        <f t="shared" si="522"/>
        <v>0</v>
      </c>
      <c r="BK374" s="4152">
        <f t="shared" si="523"/>
        <v>0</v>
      </c>
    </row>
    <row r="375" spans="1:63" x14ac:dyDescent="0.25">
      <c r="A375" s="188"/>
      <c r="B375" s="3905" t="s">
        <v>853</v>
      </c>
      <c r="C375" s="3846" t="s">
        <v>1258</v>
      </c>
      <c r="D375" s="3846"/>
      <c r="E375" s="7937"/>
      <c r="F375" s="3790">
        <v>33.792000000000002</v>
      </c>
      <c r="G375" s="7937"/>
      <c r="H375" s="5575"/>
      <c r="I375" s="7914"/>
      <c r="J375" s="7310">
        <f t="shared" si="524"/>
        <v>33.792000000000002</v>
      </c>
      <c r="K375" s="7937"/>
      <c r="L375" s="5695">
        <v>122.88</v>
      </c>
      <c r="M375" s="7878"/>
      <c r="N375" s="7301">
        <f t="shared" si="525"/>
        <v>156.672</v>
      </c>
      <c r="O375" s="7937"/>
      <c r="P375" s="5857">
        <v>282.87</v>
      </c>
      <c r="Q375" s="7914"/>
      <c r="R375" s="7310">
        <f t="shared" si="526"/>
        <v>439.54200000000003</v>
      </c>
      <c r="S375" s="7937"/>
      <c r="T375" s="5902"/>
      <c r="U375" s="7914"/>
      <c r="V375" s="7310">
        <f t="shared" si="527"/>
        <v>439.54200000000003</v>
      </c>
      <c r="W375" s="7937"/>
      <c r="X375" s="6021"/>
      <c r="Y375" s="7878"/>
      <c r="Z375" s="7301">
        <f t="shared" si="528"/>
        <v>282.87</v>
      </c>
      <c r="AA375" s="7888"/>
      <c r="AB375" s="7302">
        <f t="shared" si="529"/>
        <v>439.54200000000003</v>
      </c>
      <c r="AC375" s="7937"/>
      <c r="AD375" s="6156">
        <v>207.39999999999998</v>
      </c>
      <c r="AE375" s="7914"/>
      <c r="AF375" s="7310">
        <f t="shared" si="530"/>
        <v>646.94200000000001</v>
      </c>
      <c r="AG375" s="7937"/>
      <c r="AH375" s="6318"/>
      <c r="AI375" s="7945"/>
      <c r="AJ375" s="7310">
        <f t="shared" si="512"/>
        <v>646.94200000000001</v>
      </c>
      <c r="AK375" s="7937"/>
      <c r="AL375" s="6557"/>
      <c r="AM375" s="7878"/>
      <c r="AN375" s="7301">
        <f t="shared" si="513"/>
        <v>207.39999999999998</v>
      </c>
      <c r="AO375" s="7914"/>
      <c r="AP375" s="7310">
        <f t="shared" si="514"/>
        <v>646.94200000000001</v>
      </c>
      <c r="AQ375" s="7937"/>
      <c r="AR375" s="6657">
        <v>825.36999999999989</v>
      </c>
      <c r="AS375" s="7945"/>
      <c r="AT375" s="7310">
        <f t="shared" si="519"/>
        <v>1472.3119999999999</v>
      </c>
      <c r="AU375" s="7937"/>
      <c r="AV375" s="6822"/>
      <c r="AW375" s="7945"/>
      <c r="AX375" s="7310">
        <f t="shared" si="515"/>
        <v>1472.3119999999999</v>
      </c>
      <c r="AY375" s="7937"/>
      <c r="AZ375" s="6966"/>
      <c r="BA375" s="7878"/>
      <c r="BB375" s="7301">
        <f t="shared" si="516"/>
        <v>825.36999999999989</v>
      </c>
      <c r="BC375" s="7888"/>
      <c r="BD375" s="7302">
        <f t="shared" si="517"/>
        <v>1032.77</v>
      </c>
      <c r="BE375" s="7945"/>
      <c r="BF375" s="7310">
        <f t="shared" si="518"/>
        <v>1472.3119999999999</v>
      </c>
      <c r="BG375" s="4152">
        <f t="shared" si="520"/>
        <v>0</v>
      </c>
      <c r="BH375" s="4152">
        <f t="shared" si="521"/>
        <v>0</v>
      </c>
      <c r="BI375" s="4152"/>
      <c r="BJ375" s="4152">
        <f t="shared" si="522"/>
        <v>0</v>
      </c>
      <c r="BK375" s="4152">
        <f t="shared" si="523"/>
        <v>0</v>
      </c>
    </row>
    <row r="376" spans="1:63" x14ac:dyDescent="0.25">
      <c r="A376" s="188"/>
      <c r="B376" s="3865" t="s">
        <v>853</v>
      </c>
      <c r="C376" s="3846" t="s">
        <v>1204</v>
      </c>
      <c r="D376" s="3846"/>
      <c r="E376" s="7931"/>
      <c r="F376" s="1819"/>
      <c r="G376" s="7931"/>
      <c r="H376" s="1819"/>
      <c r="I376" s="7911"/>
      <c r="J376" s="7310">
        <f t="shared" si="524"/>
        <v>0</v>
      </c>
      <c r="K376" s="7931"/>
      <c r="L376" s="1819"/>
      <c r="M376" s="7875"/>
      <c r="N376" s="7301">
        <f t="shared" si="525"/>
        <v>0</v>
      </c>
      <c r="O376" s="7931"/>
      <c r="P376" s="1819"/>
      <c r="Q376" s="7911"/>
      <c r="R376" s="7310">
        <f t="shared" si="526"/>
        <v>0</v>
      </c>
      <c r="S376" s="7931"/>
      <c r="T376" s="1819"/>
      <c r="U376" s="7911"/>
      <c r="V376" s="7310">
        <f t="shared" si="527"/>
        <v>0</v>
      </c>
      <c r="W376" s="7931"/>
      <c r="X376" s="1819"/>
      <c r="Y376" s="7875"/>
      <c r="Z376" s="7301">
        <f t="shared" si="528"/>
        <v>0</v>
      </c>
      <c r="AA376" s="7885"/>
      <c r="AB376" s="7302">
        <f t="shared" si="529"/>
        <v>0</v>
      </c>
      <c r="AC376" s="7931"/>
      <c r="AD376" s="1819"/>
      <c r="AE376" s="7911"/>
      <c r="AF376" s="7310">
        <f t="shared" si="530"/>
        <v>0</v>
      </c>
      <c r="AG376" s="7931"/>
      <c r="AH376" s="1819"/>
      <c r="AI376" s="7945"/>
      <c r="AJ376" s="7310">
        <f t="shared" si="512"/>
        <v>0</v>
      </c>
      <c r="AK376" s="7931"/>
      <c r="AL376" s="1819"/>
      <c r="AM376" s="7875"/>
      <c r="AN376" s="7301">
        <f t="shared" si="513"/>
        <v>0</v>
      </c>
      <c r="AO376" s="7911"/>
      <c r="AP376" s="7310">
        <f t="shared" si="514"/>
        <v>0</v>
      </c>
      <c r="AQ376" s="7931"/>
      <c r="AR376" s="1819"/>
      <c r="AS376" s="7945"/>
      <c r="AT376" s="7310">
        <f t="shared" si="519"/>
        <v>0</v>
      </c>
      <c r="AU376" s="7931"/>
      <c r="AV376" s="1819"/>
      <c r="AW376" s="7945"/>
      <c r="AX376" s="7310">
        <f t="shared" si="515"/>
        <v>0</v>
      </c>
      <c r="AY376" s="7931"/>
      <c r="AZ376" s="1819"/>
      <c r="BA376" s="7875"/>
      <c r="BB376" s="7301">
        <f t="shared" si="516"/>
        <v>0</v>
      </c>
      <c r="BC376" s="7885"/>
      <c r="BD376" s="7302">
        <f t="shared" si="517"/>
        <v>0</v>
      </c>
      <c r="BE376" s="7945"/>
      <c r="BF376" s="7310">
        <f t="shared" si="518"/>
        <v>0</v>
      </c>
      <c r="BG376" s="4152">
        <f t="shared" si="520"/>
        <v>0</v>
      </c>
      <c r="BH376" s="4152">
        <f t="shared" si="521"/>
        <v>0</v>
      </c>
      <c r="BI376" s="4152"/>
      <c r="BJ376" s="4152">
        <f t="shared" si="522"/>
        <v>0</v>
      </c>
      <c r="BK376" s="4152">
        <f t="shared" si="523"/>
        <v>0</v>
      </c>
    </row>
    <row r="377" spans="1:63" x14ac:dyDescent="0.25">
      <c r="A377" s="188"/>
      <c r="B377" s="3865" t="s">
        <v>853</v>
      </c>
      <c r="C377" s="3815" t="s">
        <v>1291</v>
      </c>
      <c r="D377" s="3815"/>
      <c r="E377" s="7931"/>
      <c r="F377" s="1819"/>
      <c r="G377" s="7931"/>
      <c r="H377" s="1819"/>
      <c r="I377" s="7911"/>
      <c r="J377" s="7310">
        <f t="shared" si="524"/>
        <v>0</v>
      </c>
      <c r="K377" s="7931"/>
      <c r="L377" s="1819"/>
      <c r="M377" s="7875"/>
      <c r="N377" s="7301">
        <f t="shared" si="525"/>
        <v>0</v>
      </c>
      <c r="O377" s="7931"/>
      <c r="P377" s="1819"/>
      <c r="Q377" s="7911"/>
      <c r="R377" s="7310">
        <f t="shared" si="526"/>
        <v>0</v>
      </c>
      <c r="S377" s="7931"/>
      <c r="T377" s="1819"/>
      <c r="U377" s="7911"/>
      <c r="V377" s="7310">
        <f t="shared" si="527"/>
        <v>0</v>
      </c>
      <c r="W377" s="7931"/>
      <c r="X377" s="1819"/>
      <c r="Y377" s="7875"/>
      <c r="Z377" s="7301">
        <f t="shared" si="528"/>
        <v>0</v>
      </c>
      <c r="AA377" s="7885"/>
      <c r="AB377" s="7302">
        <f t="shared" si="529"/>
        <v>0</v>
      </c>
      <c r="AC377" s="7931"/>
      <c r="AD377" s="1819"/>
      <c r="AE377" s="7911"/>
      <c r="AF377" s="7310">
        <f t="shared" si="530"/>
        <v>0</v>
      </c>
      <c r="AG377" s="7931"/>
      <c r="AH377" s="1819"/>
      <c r="AI377" s="7945"/>
      <c r="AJ377" s="7310">
        <f t="shared" si="512"/>
        <v>0</v>
      </c>
      <c r="AK377" s="7931"/>
      <c r="AL377" s="1819"/>
      <c r="AM377" s="7875"/>
      <c r="AN377" s="7301">
        <f t="shared" si="513"/>
        <v>0</v>
      </c>
      <c r="AO377" s="7911"/>
      <c r="AP377" s="7310">
        <f t="shared" si="514"/>
        <v>0</v>
      </c>
      <c r="AQ377" s="7931"/>
      <c r="AR377" s="1819"/>
      <c r="AS377" s="7945"/>
      <c r="AT377" s="7310">
        <f t="shared" si="519"/>
        <v>0</v>
      </c>
      <c r="AU377" s="7931"/>
      <c r="AV377" s="1819"/>
      <c r="AW377" s="7945"/>
      <c r="AX377" s="7310">
        <f t="shared" si="515"/>
        <v>0</v>
      </c>
      <c r="AY377" s="7931"/>
      <c r="AZ377" s="1819"/>
      <c r="BA377" s="7875"/>
      <c r="BB377" s="7301">
        <f t="shared" si="516"/>
        <v>0</v>
      </c>
      <c r="BC377" s="7885"/>
      <c r="BD377" s="7302">
        <f t="shared" si="517"/>
        <v>0</v>
      </c>
      <c r="BE377" s="7945"/>
      <c r="BF377" s="7310">
        <f t="shared" si="518"/>
        <v>0</v>
      </c>
      <c r="BG377" s="4152">
        <f t="shared" si="520"/>
        <v>0</v>
      </c>
      <c r="BH377" s="4152">
        <f t="shared" si="521"/>
        <v>0</v>
      </c>
      <c r="BI377" s="4152"/>
      <c r="BJ377" s="4152">
        <f t="shared" si="522"/>
        <v>0</v>
      </c>
      <c r="BK377" s="4152">
        <f t="shared" si="523"/>
        <v>0</v>
      </c>
    </row>
    <row r="378" spans="1:63" x14ac:dyDescent="0.25">
      <c r="A378" s="188"/>
      <c r="B378" s="3902" t="s">
        <v>853</v>
      </c>
      <c r="C378" s="3846" t="s">
        <v>1719</v>
      </c>
      <c r="D378" s="3846"/>
      <c r="E378" s="7934"/>
      <c r="F378" s="3790">
        <v>566.56500000000005</v>
      </c>
      <c r="G378" s="7934"/>
      <c r="H378" s="5575">
        <v>549.79000000000008</v>
      </c>
      <c r="I378" s="7914"/>
      <c r="J378" s="7310">
        <f t="shared" si="524"/>
        <v>1116.355</v>
      </c>
      <c r="K378" s="7934"/>
      <c r="L378" s="5695">
        <v>445.45</v>
      </c>
      <c r="M378" s="7878"/>
      <c r="N378" s="7301">
        <f t="shared" si="525"/>
        <v>1561.8050000000001</v>
      </c>
      <c r="O378" s="7934"/>
      <c r="P378" s="5857">
        <v>1213.3599999999999</v>
      </c>
      <c r="Q378" s="7914"/>
      <c r="R378" s="7310">
        <f t="shared" si="526"/>
        <v>2775.165</v>
      </c>
      <c r="S378" s="7934"/>
      <c r="T378" s="5902">
        <v>598.39</v>
      </c>
      <c r="U378" s="7914"/>
      <c r="V378" s="7310">
        <f t="shared" si="527"/>
        <v>3373.5549999999998</v>
      </c>
      <c r="W378" s="7934"/>
      <c r="X378" s="6021">
        <v>312.10000000000002</v>
      </c>
      <c r="Y378" s="7878"/>
      <c r="Z378" s="7301">
        <f t="shared" si="528"/>
        <v>2123.85</v>
      </c>
      <c r="AA378" s="7888"/>
      <c r="AB378" s="7302">
        <f t="shared" si="529"/>
        <v>3685.6549999999997</v>
      </c>
      <c r="AC378" s="7934"/>
      <c r="AD378" s="6156">
        <v>714.01</v>
      </c>
      <c r="AE378" s="7914"/>
      <c r="AF378" s="7310">
        <f t="shared" si="530"/>
        <v>4399.665</v>
      </c>
      <c r="AG378" s="7934"/>
      <c r="AH378" s="6318"/>
      <c r="AI378" s="7945"/>
      <c r="AJ378" s="7310">
        <f t="shared" si="512"/>
        <v>4399.665</v>
      </c>
      <c r="AK378" s="7934"/>
      <c r="AL378" s="6557"/>
      <c r="AM378" s="7878"/>
      <c r="AN378" s="7301">
        <f t="shared" si="513"/>
        <v>714.01</v>
      </c>
      <c r="AO378" s="7914"/>
      <c r="AP378" s="7310">
        <f t="shared" si="514"/>
        <v>4399.665</v>
      </c>
      <c r="AQ378" s="7934"/>
      <c r="AR378" s="6657">
        <v>421.14</v>
      </c>
      <c r="AS378" s="7945"/>
      <c r="AT378" s="7310">
        <f t="shared" si="519"/>
        <v>4820.8050000000003</v>
      </c>
      <c r="AU378" s="7934"/>
      <c r="AV378" s="6822">
        <v>578.94000000000005</v>
      </c>
      <c r="AW378" s="7945"/>
      <c r="AX378" s="7310">
        <f t="shared" si="515"/>
        <v>5399.7450000000008</v>
      </c>
      <c r="AY378" s="7934"/>
      <c r="AZ378" s="6966">
        <v>465.00499999999994</v>
      </c>
      <c r="BA378" s="7878"/>
      <c r="BB378" s="7301">
        <f t="shared" si="516"/>
        <v>1465.085</v>
      </c>
      <c r="BC378" s="7888"/>
      <c r="BD378" s="7302">
        <f t="shared" si="517"/>
        <v>2179.0950000000003</v>
      </c>
      <c r="BE378" s="7945"/>
      <c r="BF378" s="7310">
        <f t="shared" si="518"/>
        <v>5864.7500000000009</v>
      </c>
      <c r="BG378" s="4152">
        <f t="shared" si="520"/>
        <v>0</v>
      </c>
      <c r="BH378" s="4152">
        <f t="shared" si="521"/>
        <v>0</v>
      </c>
      <c r="BI378" s="4152"/>
      <c r="BJ378" s="4152">
        <f t="shared" si="522"/>
        <v>0</v>
      </c>
      <c r="BK378" s="4152">
        <f t="shared" si="523"/>
        <v>0</v>
      </c>
    </row>
    <row r="379" spans="1:63" ht="15.75" thickBot="1" x14ac:dyDescent="0.3">
      <c r="A379" s="188"/>
      <c r="B379" s="3869" t="s">
        <v>853</v>
      </c>
      <c r="C379" s="3898" t="s">
        <v>1730</v>
      </c>
      <c r="D379" s="3898"/>
      <c r="E379" s="7934"/>
      <c r="F379" s="3790">
        <v>124.4</v>
      </c>
      <c r="G379" s="7934"/>
      <c r="H379" s="5575">
        <v>328.65000000000003</v>
      </c>
      <c r="I379" s="7914"/>
      <c r="J379" s="7310">
        <f t="shared" si="524"/>
        <v>453.05000000000007</v>
      </c>
      <c r="K379" s="7934"/>
      <c r="L379" s="5695">
        <v>328.08</v>
      </c>
      <c r="M379" s="7878"/>
      <c r="N379" s="7301">
        <f t="shared" si="525"/>
        <v>781.13000000000011</v>
      </c>
      <c r="O379" s="7934"/>
      <c r="P379" s="5857">
        <v>471.27000000000004</v>
      </c>
      <c r="Q379" s="7914"/>
      <c r="R379" s="7310">
        <f t="shared" si="526"/>
        <v>1252.4000000000001</v>
      </c>
      <c r="S379" s="7934"/>
      <c r="T379" s="5902">
        <v>205.1</v>
      </c>
      <c r="U379" s="7914"/>
      <c r="V379" s="7310">
        <f t="shared" si="527"/>
        <v>1457.5</v>
      </c>
      <c r="W379" s="7934"/>
      <c r="X379" s="6021"/>
      <c r="Y379" s="7878"/>
      <c r="Z379" s="7301">
        <f t="shared" si="528"/>
        <v>676.37</v>
      </c>
      <c r="AA379" s="7888"/>
      <c r="AB379" s="7302">
        <f t="shared" si="529"/>
        <v>1457.5</v>
      </c>
      <c r="AC379" s="7934"/>
      <c r="AD379" s="6156">
        <v>123.02</v>
      </c>
      <c r="AE379" s="7914"/>
      <c r="AF379" s="7310">
        <f t="shared" si="530"/>
        <v>1580.52</v>
      </c>
      <c r="AG379" s="7934"/>
      <c r="AH379" s="6318"/>
      <c r="AI379" s="7945"/>
      <c r="AJ379" s="7310">
        <f t="shared" si="512"/>
        <v>1580.52</v>
      </c>
      <c r="AK379" s="7934"/>
      <c r="AL379" s="6557"/>
      <c r="AM379" s="7878"/>
      <c r="AN379" s="7301">
        <f t="shared" si="513"/>
        <v>123.02</v>
      </c>
      <c r="AO379" s="7914"/>
      <c r="AP379" s="7310">
        <f t="shared" si="514"/>
        <v>1580.52</v>
      </c>
      <c r="AQ379" s="7934"/>
      <c r="AR379" s="6657"/>
      <c r="AS379" s="7945"/>
      <c r="AT379" s="7310">
        <f t="shared" si="519"/>
        <v>1580.52</v>
      </c>
      <c r="AU379" s="7934"/>
      <c r="AV379" s="6822">
        <v>124.71</v>
      </c>
      <c r="AW379" s="7945"/>
      <c r="AX379" s="7310">
        <f t="shared" si="515"/>
        <v>1705.23</v>
      </c>
      <c r="AY379" s="7934"/>
      <c r="AZ379" s="6966"/>
      <c r="BA379" s="7878"/>
      <c r="BB379" s="7301">
        <f t="shared" ref="BB379:BB414" si="531">AR379+AV379+AZ379</f>
        <v>124.71</v>
      </c>
      <c r="BC379" s="7888"/>
      <c r="BD379" s="7302">
        <f t="shared" si="517"/>
        <v>247.73</v>
      </c>
      <c r="BE379" s="7945"/>
      <c r="BF379" s="7310">
        <f t="shared" si="518"/>
        <v>1705.23</v>
      </c>
      <c r="BG379" s="4152">
        <f t="shared" si="520"/>
        <v>0</v>
      </c>
      <c r="BH379" s="4152">
        <f t="shared" si="521"/>
        <v>0</v>
      </c>
      <c r="BI379" s="4152"/>
      <c r="BJ379" s="4152">
        <f t="shared" si="522"/>
        <v>0</v>
      </c>
      <c r="BK379" s="4152">
        <f t="shared" si="523"/>
        <v>0</v>
      </c>
    </row>
    <row r="380" spans="1:63" x14ac:dyDescent="0.25">
      <c r="A380" s="188"/>
      <c r="B380" s="3153" t="s">
        <v>1549</v>
      </c>
      <c r="C380" s="3810" t="s">
        <v>1550</v>
      </c>
      <c r="D380" s="3899"/>
      <c r="E380" s="7937"/>
      <c r="F380" s="1819"/>
      <c r="G380" s="7937"/>
      <c r="H380" s="1819"/>
      <c r="I380" s="7911"/>
      <c r="J380" s="7310">
        <f t="shared" si="524"/>
        <v>0</v>
      </c>
      <c r="K380" s="7937"/>
      <c r="L380" s="1819"/>
      <c r="M380" s="7875"/>
      <c r="N380" s="7301">
        <f t="shared" si="525"/>
        <v>0</v>
      </c>
      <c r="O380" s="7937"/>
      <c r="P380" s="1819"/>
      <c r="Q380" s="7911"/>
      <c r="R380" s="7310">
        <f t="shared" si="526"/>
        <v>0</v>
      </c>
      <c r="S380" s="7937"/>
      <c r="T380" s="1819"/>
      <c r="U380" s="7911"/>
      <c r="V380" s="7310">
        <f t="shared" si="527"/>
        <v>0</v>
      </c>
      <c r="W380" s="7937"/>
      <c r="X380" s="1819"/>
      <c r="Y380" s="7875"/>
      <c r="Z380" s="7301">
        <f t="shared" si="528"/>
        <v>0</v>
      </c>
      <c r="AA380" s="7885"/>
      <c r="AB380" s="7302">
        <f t="shared" si="529"/>
        <v>0</v>
      </c>
      <c r="AC380" s="7937"/>
      <c r="AD380" s="1819"/>
      <c r="AE380" s="7911"/>
      <c r="AF380" s="7310">
        <f t="shared" si="530"/>
        <v>0</v>
      </c>
      <c r="AG380" s="7937"/>
      <c r="AH380" s="1819"/>
      <c r="AI380" s="7945"/>
      <c r="AJ380" s="7310">
        <f t="shared" si="512"/>
        <v>0</v>
      </c>
      <c r="AK380" s="7937"/>
      <c r="AL380" s="1819"/>
      <c r="AM380" s="7875"/>
      <c r="AN380" s="7301">
        <f t="shared" si="513"/>
        <v>0</v>
      </c>
      <c r="AO380" s="7911"/>
      <c r="AP380" s="7310">
        <f t="shared" si="514"/>
        <v>0</v>
      </c>
      <c r="AQ380" s="7937"/>
      <c r="AR380" s="1819"/>
      <c r="AS380" s="7945"/>
      <c r="AT380" s="7310">
        <f t="shared" si="519"/>
        <v>0</v>
      </c>
      <c r="AU380" s="7937"/>
      <c r="AV380" s="1819"/>
      <c r="AW380" s="7945"/>
      <c r="AX380" s="7310">
        <f t="shared" si="515"/>
        <v>0</v>
      </c>
      <c r="AY380" s="7937"/>
      <c r="AZ380" s="1819"/>
      <c r="BA380" s="7875"/>
      <c r="BB380" s="7301">
        <f t="shared" si="531"/>
        <v>0</v>
      </c>
      <c r="BC380" s="7885"/>
      <c r="BD380" s="7302">
        <f t="shared" si="517"/>
        <v>0</v>
      </c>
      <c r="BE380" s="7945"/>
      <c r="BF380" s="7310">
        <f t="shared" si="518"/>
        <v>0</v>
      </c>
      <c r="BG380" s="4152">
        <f t="shared" si="520"/>
        <v>0</v>
      </c>
      <c r="BH380" s="4152">
        <f t="shared" si="521"/>
        <v>0</v>
      </c>
      <c r="BI380" s="4152"/>
      <c r="BJ380" s="4152">
        <f t="shared" si="522"/>
        <v>0</v>
      </c>
      <c r="BK380" s="4152">
        <f t="shared" si="523"/>
        <v>0</v>
      </c>
    </row>
    <row r="381" spans="1:63" x14ac:dyDescent="0.25">
      <c r="A381" s="188"/>
      <c r="B381" s="797" t="s">
        <v>1549</v>
      </c>
      <c r="C381" s="3846" t="s">
        <v>1731</v>
      </c>
      <c r="D381" s="3900"/>
      <c r="E381" s="7937"/>
      <c r="F381" s="3790"/>
      <c r="G381" s="7937"/>
      <c r="H381" s="5575"/>
      <c r="I381" s="7914"/>
      <c r="J381" s="7310">
        <f t="shared" si="524"/>
        <v>0</v>
      </c>
      <c r="K381" s="7937"/>
      <c r="L381" s="5695"/>
      <c r="M381" s="7878"/>
      <c r="N381" s="7301">
        <f t="shared" si="525"/>
        <v>0</v>
      </c>
      <c r="O381" s="7937"/>
      <c r="P381" s="5857"/>
      <c r="Q381" s="7914"/>
      <c r="R381" s="7310">
        <f t="shared" si="526"/>
        <v>0</v>
      </c>
      <c r="S381" s="7937"/>
      <c r="T381" s="5902"/>
      <c r="U381" s="7914"/>
      <c r="V381" s="7310">
        <f t="shared" si="527"/>
        <v>0</v>
      </c>
      <c r="W381" s="7937"/>
      <c r="X381" s="6021"/>
      <c r="Y381" s="7878"/>
      <c r="Z381" s="7301">
        <f t="shared" si="528"/>
        <v>0</v>
      </c>
      <c r="AA381" s="7888"/>
      <c r="AB381" s="7302">
        <f t="shared" si="529"/>
        <v>0</v>
      </c>
      <c r="AC381" s="7937"/>
      <c r="AD381" s="6156">
        <v>168.29999999999998</v>
      </c>
      <c r="AE381" s="7914"/>
      <c r="AF381" s="7310">
        <f t="shared" si="530"/>
        <v>168.29999999999998</v>
      </c>
      <c r="AG381" s="7937"/>
      <c r="AH381" s="6318"/>
      <c r="AI381" s="7945"/>
      <c r="AJ381" s="7310">
        <f t="shared" si="512"/>
        <v>168.29999999999998</v>
      </c>
      <c r="AK381" s="7937"/>
      <c r="AL381" s="6557"/>
      <c r="AM381" s="7878"/>
      <c r="AN381" s="7301">
        <f t="shared" si="513"/>
        <v>168.29999999999998</v>
      </c>
      <c r="AO381" s="7914"/>
      <c r="AP381" s="7310">
        <f t="shared" si="514"/>
        <v>168.29999999999998</v>
      </c>
      <c r="AQ381" s="7937"/>
      <c r="AR381" s="6657"/>
      <c r="AS381" s="7945"/>
      <c r="AT381" s="7310">
        <f t="shared" si="519"/>
        <v>168.29999999999998</v>
      </c>
      <c r="AU381" s="7937"/>
      <c r="AV381" s="6822"/>
      <c r="AW381" s="7945"/>
      <c r="AX381" s="7310">
        <f t="shared" si="515"/>
        <v>168.29999999999998</v>
      </c>
      <c r="AY381" s="7937"/>
      <c r="AZ381" s="6966"/>
      <c r="BA381" s="7878"/>
      <c r="BB381" s="7301">
        <f t="shared" si="531"/>
        <v>0</v>
      </c>
      <c r="BC381" s="7888"/>
      <c r="BD381" s="7302">
        <f t="shared" si="517"/>
        <v>168.29999999999998</v>
      </c>
      <c r="BE381" s="7945"/>
      <c r="BF381" s="7310">
        <f t="shared" si="518"/>
        <v>168.29999999999998</v>
      </c>
      <c r="BG381" s="4152">
        <f t="shared" si="520"/>
        <v>0</v>
      </c>
      <c r="BH381" s="4152">
        <f t="shared" si="521"/>
        <v>0</v>
      </c>
      <c r="BI381" s="4152"/>
      <c r="BJ381" s="4152">
        <f t="shared" si="522"/>
        <v>0</v>
      </c>
      <c r="BK381" s="4152">
        <f t="shared" si="523"/>
        <v>0</v>
      </c>
    </row>
    <row r="382" spans="1:63" x14ac:dyDescent="0.25">
      <c r="A382" s="188"/>
      <c r="B382" s="797" t="s">
        <v>1549</v>
      </c>
      <c r="C382" s="3846" t="s">
        <v>1583</v>
      </c>
      <c r="D382" s="3900"/>
      <c r="E382" s="7937"/>
      <c r="F382" s="1819">
        <v>42.271000000000001</v>
      </c>
      <c r="G382" s="7937"/>
      <c r="H382" s="1819"/>
      <c r="I382" s="7911"/>
      <c r="J382" s="7310">
        <f t="shared" si="524"/>
        <v>42.271000000000001</v>
      </c>
      <c r="K382" s="7937"/>
      <c r="L382" s="1819"/>
      <c r="M382" s="7875"/>
      <c r="N382" s="7301">
        <f t="shared" si="525"/>
        <v>42.271000000000001</v>
      </c>
      <c r="O382" s="7937"/>
      <c r="P382" s="1819"/>
      <c r="Q382" s="7911"/>
      <c r="R382" s="7310">
        <f t="shared" si="526"/>
        <v>42.271000000000001</v>
      </c>
      <c r="S382" s="7937"/>
      <c r="T382" s="1819"/>
      <c r="U382" s="7911"/>
      <c r="V382" s="7310">
        <f t="shared" si="527"/>
        <v>42.271000000000001</v>
      </c>
      <c r="W382" s="7937"/>
      <c r="X382" s="1819"/>
      <c r="Y382" s="7875"/>
      <c r="Z382" s="7301">
        <f t="shared" si="528"/>
        <v>0</v>
      </c>
      <c r="AA382" s="7885"/>
      <c r="AB382" s="7302">
        <f t="shared" si="529"/>
        <v>42.271000000000001</v>
      </c>
      <c r="AC382" s="7937"/>
      <c r="AD382" s="1819"/>
      <c r="AE382" s="7911"/>
      <c r="AF382" s="7310">
        <f t="shared" si="530"/>
        <v>42.271000000000001</v>
      </c>
      <c r="AG382" s="7937"/>
      <c r="AH382" s="1819"/>
      <c r="AI382" s="7945"/>
      <c r="AJ382" s="7310">
        <f t="shared" si="512"/>
        <v>42.271000000000001</v>
      </c>
      <c r="AK382" s="7937"/>
      <c r="AL382" s="1819"/>
      <c r="AM382" s="7875"/>
      <c r="AN382" s="7301">
        <f t="shared" si="513"/>
        <v>0</v>
      </c>
      <c r="AO382" s="7911"/>
      <c r="AP382" s="7310">
        <f t="shared" si="514"/>
        <v>42.271000000000001</v>
      </c>
      <c r="AQ382" s="7937"/>
      <c r="AR382" s="1819"/>
      <c r="AS382" s="7945"/>
      <c r="AT382" s="7310">
        <f t="shared" si="519"/>
        <v>42.271000000000001</v>
      </c>
      <c r="AU382" s="7937"/>
      <c r="AV382" s="1819"/>
      <c r="AW382" s="7945"/>
      <c r="AX382" s="7310">
        <f t="shared" si="515"/>
        <v>42.271000000000001</v>
      </c>
      <c r="AY382" s="7937"/>
      <c r="AZ382" s="1819"/>
      <c r="BA382" s="7875"/>
      <c r="BB382" s="7301">
        <f t="shared" si="531"/>
        <v>0</v>
      </c>
      <c r="BC382" s="7885"/>
      <c r="BD382" s="7302">
        <f t="shared" si="517"/>
        <v>0</v>
      </c>
      <c r="BE382" s="7945"/>
      <c r="BF382" s="7310">
        <f t="shared" si="518"/>
        <v>42.271000000000001</v>
      </c>
      <c r="BG382" s="4152">
        <f t="shared" si="520"/>
        <v>0</v>
      </c>
      <c r="BH382" s="4152">
        <f t="shared" si="521"/>
        <v>0</v>
      </c>
      <c r="BI382" s="4152"/>
      <c r="BJ382" s="4152">
        <f t="shared" si="522"/>
        <v>0</v>
      </c>
      <c r="BK382" s="4152">
        <f t="shared" si="523"/>
        <v>0</v>
      </c>
    </row>
    <row r="383" spans="1:63" x14ac:dyDescent="0.25">
      <c r="A383" s="188"/>
      <c r="B383" s="6108" t="s">
        <v>1549</v>
      </c>
      <c r="C383" s="6109" t="s">
        <v>1582</v>
      </c>
      <c r="D383" s="6110"/>
      <c r="E383" s="7937"/>
      <c r="F383" s="1819"/>
      <c r="G383" s="7937"/>
      <c r="H383" s="1819"/>
      <c r="I383" s="7911"/>
      <c r="J383" s="7310">
        <f t="shared" si="524"/>
        <v>0</v>
      </c>
      <c r="K383" s="7937"/>
      <c r="L383" s="1819"/>
      <c r="M383" s="7875"/>
      <c r="N383" s="7301">
        <f t="shared" si="525"/>
        <v>0</v>
      </c>
      <c r="O383" s="7937"/>
      <c r="P383" s="1819"/>
      <c r="Q383" s="7911"/>
      <c r="R383" s="7310">
        <f t="shared" si="526"/>
        <v>0</v>
      </c>
      <c r="S383" s="7937"/>
      <c r="T383" s="1819"/>
      <c r="U383" s="7911"/>
      <c r="V383" s="7310">
        <f t="shared" si="527"/>
        <v>0</v>
      </c>
      <c r="W383" s="7937"/>
      <c r="X383" s="1819"/>
      <c r="Y383" s="7875"/>
      <c r="Z383" s="7301">
        <f t="shared" si="528"/>
        <v>0</v>
      </c>
      <c r="AA383" s="7885"/>
      <c r="AB383" s="7302">
        <f t="shared" si="529"/>
        <v>0</v>
      </c>
      <c r="AC383" s="7937"/>
      <c r="AD383" s="1819"/>
      <c r="AE383" s="7911"/>
      <c r="AF383" s="7310">
        <f t="shared" si="530"/>
        <v>0</v>
      </c>
      <c r="AG383" s="7937"/>
      <c r="AH383" s="1819"/>
      <c r="AI383" s="7945"/>
      <c r="AJ383" s="7310">
        <f t="shared" si="512"/>
        <v>0</v>
      </c>
      <c r="AK383" s="7937"/>
      <c r="AL383" s="1819"/>
      <c r="AM383" s="7875"/>
      <c r="AN383" s="7301">
        <f t="shared" si="513"/>
        <v>0</v>
      </c>
      <c r="AO383" s="7911"/>
      <c r="AP383" s="7310">
        <f t="shared" si="514"/>
        <v>0</v>
      </c>
      <c r="AQ383" s="7937"/>
      <c r="AR383" s="1819"/>
      <c r="AS383" s="7945"/>
      <c r="AT383" s="7310">
        <f t="shared" si="519"/>
        <v>0</v>
      </c>
      <c r="AU383" s="7937"/>
      <c r="AV383" s="1819"/>
      <c r="AW383" s="7945"/>
      <c r="AX383" s="7310">
        <f t="shared" si="515"/>
        <v>0</v>
      </c>
      <c r="AY383" s="7937"/>
      <c r="AZ383" s="1819"/>
      <c r="BA383" s="7875"/>
      <c r="BB383" s="7301">
        <f t="shared" si="531"/>
        <v>0</v>
      </c>
      <c r="BC383" s="7885"/>
      <c r="BD383" s="7302">
        <f t="shared" si="517"/>
        <v>0</v>
      </c>
      <c r="BE383" s="7945"/>
      <c r="BF383" s="7310">
        <f t="shared" si="518"/>
        <v>0</v>
      </c>
      <c r="BG383" s="4152">
        <f t="shared" si="520"/>
        <v>0</v>
      </c>
      <c r="BH383" s="4152">
        <f t="shared" si="521"/>
        <v>0</v>
      </c>
      <c r="BI383" s="4152"/>
      <c r="BJ383" s="4152">
        <f t="shared" si="522"/>
        <v>0</v>
      </c>
      <c r="BK383" s="4152">
        <f t="shared" si="523"/>
        <v>0</v>
      </c>
    </row>
    <row r="384" spans="1:63" s="6347" customFormat="1" x14ac:dyDescent="0.25">
      <c r="A384" s="188"/>
      <c r="B384" s="6362" t="s">
        <v>2179</v>
      </c>
      <c r="C384" s="6363" t="s">
        <v>863</v>
      </c>
      <c r="D384" s="6364"/>
      <c r="E384" s="7938"/>
      <c r="F384" s="6365">
        <v>32.305</v>
      </c>
      <c r="G384" s="7938"/>
      <c r="H384" s="6365"/>
      <c r="I384" s="7918"/>
      <c r="J384" s="6366"/>
      <c r="K384" s="7938"/>
      <c r="L384" s="6365"/>
      <c r="M384" s="7882"/>
      <c r="N384" s="6367"/>
      <c r="O384" s="7938"/>
      <c r="P384" s="6365"/>
      <c r="Q384" s="7918"/>
      <c r="R384" s="6366"/>
      <c r="S384" s="7938"/>
      <c r="T384" s="6365"/>
      <c r="U384" s="7918"/>
      <c r="V384" s="6366"/>
      <c r="W384" s="7938"/>
      <c r="X384" s="6365"/>
      <c r="Y384" s="7882"/>
      <c r="Z384" s="6367"/>
      <c r="AA384" s="7892"/>
      <c r="AB384" s="6895"/>
      <c r="AC384" s="7938"/>
      <c r="AD384" s="6365"/>
      <c r="AE384" s="7918"/>
      <c r="AF384" s="6366"/>
      <c r="AG384" s="7938"/>
      <c r="AH384" s="6365">
        <v>693.51</v>
      </c>
      <c r="AI384" s="7945"/>
      <c r="AJ384" s="7310">
        <f t="shared" si="512"/>
        <v>693.51</v>
      </c>
      <c r="AK384" s="7938"/>
      <c r="AL384" s="6365">
        <v>126.5</v>
      </c>
      <c r="AM384" s="7882"/>
      <c r="AN384" s="7301">
        <f t="shared" si="513"/>
        <v>820.01</v>
      </c>
      <c r="AO384" s="7918"/>
      <c r="AP384" s="7310">
        <f t="shared" si="514"/>
        <v>820.01</v>
      </c>
      <c r="AQ384" s="7938"/>
      <c r="AR384" s="6365"/>
      <c r="AS384" s="7945"/>
      <c r="AT384" s="7310">
        <f t="shared" si="519"/>
        <v>820.01</v>
      </c>
      <c r="AU384" s="7938"/>
      <c r="AV384" s="6365"/>
      <c r="AW384" s="7945"/>
      <c r="AX384" s="7310">
        <f t="shared" si="515"/>
        <v>820.01</v>
      </c>
      <c r="AY384" s="7938"/>
      <c r="AZ384" s="6365"/>
      <c r="BA384" s="7882"/>
      <c r="BB384" s="7301">
        <f t="shared" si="531"/>
        <v>0</v>
      </c>
      <c r="BC384" s="7892"/>
      <c r="BD384" s="7302">
        <f t="shared" si="517"/>
        <v>820.01</v>
      </c>
      <c r="BE384" s="7945"/>
      <c r="BF384" s="7310">
        <f t="shared" si="518"/>
        <v>820.01</v>
      </c>
      <c r="BG384" s="4152">
        <f t="shared" si="520"/>
        <v>0</v>
      </c>
      <c r="BH384" s="4152">
        <f t="shared" si="521"/>
        <v>32.30499999999995</v>
      </c>
      <c r="BI384" s="4152"/>
      <c r="BJ384" s="4152">
        <f t="shared" si="522"/>
        <v>0</v>
      </c>
      <c r="BK384" s="4152">
        <f t="shared" si="523"/>
        <v>0</v>
      </c>
    </row>
    <row r="385" spans="1:63" s="6347" customFormat="1" x14ac:dyDescent="0.25">
      <c r="A385" s="188"/>
      <c r="B385" s="6362" t="s">
        <v>2175</v>
      </c>
      <c r="C385" s="6363" t="s">
        <v>863</v>
      </c>
      <c r="D385" s="6364"/>
      <c r="E385" s="7938"/>
      <c r="F385" s="6365">
        <v>8.1389999999999993</v>
      </c>
      <c r="G385" s="7938"/>
      <c r="H385" s="6365"/>
      <c r="I385" s="7918"/>
      <c r="J385" s="6366"/>
      <c r="K385" s="7938"/>
      <c r="L385" s="6365"/>
      <c r="M385" s="7882"/>
      <c r="N385" s="6367"/>
      <c r="O385" s="7938"/>
      <c r="P385" s="6365"/>
      <c r="Q385" s="7918"/>
      <c r="R385" s="6366"/>
      <c r="S385" s="7938"/>
      <c r="T385" s="6365"/>
      <c r="U385" s="7918"/>
      <c r="V385" s="6366"/>
      <c r="W385" s="7938"/>
      <c r="X385" s="6365"/>
      <c r="Y385" s="7882"/>
      <c r="Z385" s="6367"/>
      <c r="AA385" s="7892"/>
      <c r="AB385" s="6895"/>
      <c r="AC385" s="7938"/>
      <c r="AD385" s="6365"/>
      <c r="AE385" s="7918"/>
      <c r="AF385" s="6366"/>
      <c r="AG385" s="7938"/>
      <c r="AH385" s="6365">
        <v>387.16000000000008</v>
      </c>
      <c r="AI385" s="7945"/>
      <c r="AJ385" s="7310">
        <f t="shared" ref="AJ385:AJ386" si="532">AF385+AH385</f>
        <v>387.16000000000008</v>
      </c>
      <c r="AK385" s="7938"/>
      <c r="AL385" s="6365">
        <v>95.66</v>
      </c>
      <c r="AM385" s="7882"/>
      <c r="AN385" s="7301">
        <f t="shared" si="513"/>
        <v>482.82000000000005</v>
      </c>
      <c r="AO385" s="7918"/>
      <c r="AP385" s="7310">
        <f t="shared" si="514"/>
        <v>482.82000000000005</v>
      </c>
      <c r="AQ385" s="7938"/>
      <c r="AR385" s="6365"/>
      <c r="AS385" s="7945"/>
      <c r="AT385" s="7310">
        <f t="shared" si="519"/>
        <v>482.82000000000005</v>
      </c>
      <c r="AU385" s="7938"/>
      <c r="AV385" s="6365"/>
      <c r="AW385" s="7945"/>
      <c r="AX385" s="7310">
        <f t="shared" si="515"/>
        <v>482.82000000000005</v>
      </c>
      <c r="AY385" s="7938"/>
      <c r="AZ385" s="6365"/>
      <c r="BA385" s="7882"/>
      <c r="BB385" s="7301">
        <f t="shared" si="531"/>
        <v>0</v>
      </c>
      <c r="BC385" s="7892"/>
      <c r="BD385" s="7302">
        <f t="shared" si="517"/>
        <v>482.82000000000005</v>
      </c>
      <c r="BE385" s="7945"/>
      <c r="BF385" s="7310">
        <f t="shared" si="518"/>
        <v>482.82000000000005</v>
      </c>
      <c r="BG385" s="4152">
        <f t="shared" si="520"/>
        <v>0</v>
      </c>
      <c r="BH385" s="4152">
        <f t="shared" si="521"/>
        <v>8.13900000000001</v>
      </c>
      <c r="BI385" s="4152"/>
      <c r="BJ385" s="4152">
        <f t="shared" si="522"/>
        <v>0</v>
      </c>
      <c r="BK385" s="4152">
        <f t="shared" si="523"/>
        <v>0</v>
      </c>
    </row>
    <row r="386" spans="1:63" s="6594" customFormat="1" x14ac:dyDescent="0.25">
      <c r="A386" s="188"/>
      <c r="B386" s="6615" t="s">
        <v>2175</v>
      </c>
      <c r="C386" s="6603" t="s">
        <v>862</v>
      </c>
      <c r="D386" s="6616"/>
      <c r="E386" s="7939"/>
      <c r="F386" s="5118">
        <v>95.281999999999996</v>
      </c>
      <c r="G386" s="7939"/>
      <c r="H386" s="5118"/>
      <c r="I386" s="7920"/>
      <c r="J386" s="5119"/>
      <c r="K386" s="7939"/>
      <c r="L386" s="5118"/>
      <c r="M386" s="7884"/>
      <c r="N386" s="5121"/>
      <c r="O386" s="7939"/>
      <c r="P386" s="5118"/>
      <c r="Q386" s="7920"/>
      <c r="R386" s="5119"/>
      <c r="S386" s="7939"/>
      <c r="T386" s="5118"/>
      <c r="U386" s="7920"/>
      <c r="V386" s="5119"/>
      <c r="W386" s="7939"/>
      <c r="X386" s="5118"/>
      <c r="Y386" s="7884"/>
      <c r="Z386" s="5121"/>
      <c r="AA386" s="7894"/>
      <c r="AB386" s="6486"/>
      <c r="AC386" s="7939"/>
      <c r="AD386" s="5118"/>
      <c r="AE386" s="7920"/>
      <c r="AF386" s="5119"/>
      <c r="AG386" s="7939"/>
      <c r="AH386" s="5118"/>
      <c r="AI386" s="7945"/>
      <c r="AJ386" s="7310">
        <f t="shared" si="532"/>
        <v>0</v>
      </c>
      <c r="AK386" s="7939"/>
      <c r="AL386" s="5118">
        <v>126.52</v>
      </c>
      <c r="AM386" s="7884"/>
      <c r="AN386" s="7301">
        <f t="shared" si="513"/>
        <v>126.52</v>
      </c>
      <c r="AO386" s="7920"/>
      <c r="AP386" s="7310">
        <f t="shared" si="514"/>
        <v>126.52</v>
      </c>
      <c r="AQ386" s="7939"/>
      <c r="AR386" s="5118">
        <v>447.06</v>
      </c>
      <c r="AS386" s="7945"/>
      <c r="AT386" s="7310">
        <f t="shared" si="519"/>
        <v>573.58000000000004</v>
      </c>
      <c r="AU386" s="7939"/>
      <c r="AV386" s="5118"/>
      <c r="AW386" s="7945"/>
      <c r="AX386" s="7310">
        <f t="shared" si="515"/>
        <v>573.58000000000004</v>
      </c>
      <c r="AY386" s="7939"/>
      <c r="AZ386" s="5118"/>
      <c r="BA386" s="7884"/>
      <c r="BB386" s="7301">
        <f t="shared" si="531"/>
        <v>447.06</v>
      </c>
      <c r="BC386" s="7894"/>
      <c r="BD386" s="7302">
        <f t="shared" si="517"/>
        <v>573.58000000000004</v>
      </c>
      <c r="BE386" s="7945"/>
      <c r="BF386" s="7310">
        <f t="shared" si="518"/>
        <v>573.58000000000004</v>
      </c>
      <c r="BG386" s="4152">
        <f t="shared" si="520"/>
        <v>0</v>
      </c>
      <c r="BH386" s="4152">
        <f t="shared" si="521"/>
        <v>95.282000000000039</v>
      </c>
      <c r="BI386" s="4152"/>
      <c r="BJ386" s="4152">
        <f t="shared" si="522"/>
        <v>0</v>
      </c>
      <c r="BK386" s="4152">
        <f t="shared" si="523"/>
        <v>0</v>
      </c>
    </row>
    <row r="387" spans="1:63" s="6069" customFormat="1" x14ac:dyDescent="0.25">
      <c r="A387" s="188"/>
      <c r="B387" s="6111" t="s">
        <v>2053</v>
      </c>
      <c r="C387" s="6112" t="s">
        <v>862</v>
      </c>
      <c r="D387" s="6112"/>
      <c r="E387" s="7940"/>
      <c r="F387" s="5970"/>
      <c r="G387" s="7940"/>
      <c r="H387" s="5970"/>
      <c r="I387" s="7919"/>
      <c r="J387" s="5971"/>
      <c r="K387" s="7940"/>
      <c r="L387" s="5970"/>
      <c r="M387" s="7883"/>
      <c r="N387" s="5972"/>
      <c r="O387" s="7940"/>
      <c r="P387" s="5970"/>
      <c r="Q387" s="7919"/>
      <c r="R387" s="5971"/>
      <c r="S387" s="7940"/>
      <c r="T387" s="5970"/>
      <c r="U387" s="7919"/>
      <c r="V387" s="5971"/>
      <c r="W387" s="7940"/>
      <c r="X387" s="5970">
        <v>327.35000000000002</v>
      </c>
      <c r="Y387" s="7883"/>
      <c r="Z387" s="7301">
        <f t="shared" si="528"/>
        <v>327.35000000000002</v>
      </c>
      <c r="AA387" s="7893"/>
      <c r="AB387" s="7302">
        <f t="shared" si="529"/>
        <v>327.35000000000002</v>
      </c>
      <c r="AC387" s="7940"/>
      <c r="AD387" s="5970">
        <v>56.62</v>
      </c>
      <c r="AE387" s="7919"/>
      <c r="AF387" s="7310">
        <f t="shared" si="530"/>
        <v>383.97</v>
      </c>
      <c r="AG387" s="7940"/>
      <c r="AH387" s="5970"/>
      <c r="AI387" s="7945"/>
      <c r="AJ387" s="7310">
        <f t="shared" ref="AJ387:AJ396" si="533">AF387+AH387</f>
        <v>383.97</v>
      </c>
      <c r="AK387" s="7940"/>
      <c r="AL387" s="5970">
        <v>306.45000000000005</v>
      </c>
      <c r="AM387" s="7883"/>
      <c r="AN387" s="7301">
        <f t="shared" si="513"/>
        <v>363.07000000000005</v>
      </c>
      <c r="AO387" s="7919"/>
      <c r="AP387" s="7310">
        <f t="shared" si="514"/>
        <v>690.42000000000007</v>
      </c>
      <c r="AQ387" s="7940"/>
      <c r="AR387" s="5970">
        <v>524.38</v>
      </c>
      <c r="AS387" s="7945"/>
      <c r="AT387" s="7310">
        <f t="shared" si="519"/>
        <v>1214.8000000000002</v>
      </c>
      <c r="AU387" s="7940"/>
      <c r="AV387" s="5970">
        <v>111.16</v>
      </c>
      <c r="AW387" s="7945"/>
      <c r="AX387" s="7310">
        <f t="shared" si="515"/>
        <v>1325.9600000000003</v>
      </c>
      <c r="AY387" s="7940"/>
      <c r="AZ387" s="5970">
        <v>46.356000000000002</v>
      </c>
      <c r="BA387" s="7883"/>
      <c r="BB387" s="7301">
        <f t="shared" si="531"/>
        <v>681.89599999999996</v>
      </c>
      <c r="BC387" s="7893"/>
      <c r="BD387" s="7302">
        <f t="shared" si="517"/>
        <v>1044.9659999999999</v>
      </c>
      <c r="BE387" s="7945"/>
      <c r="BF387" s="7310">
        <f t="shared" si="518"/>
        <v>1372.3160000000003</v>
      </c>
      <c r="BG387" s="4152">
        <f t="shared" si="520"/>
        <v>0</v>
      </c>
      <c r="BH387" s="4152">
        <f t="shared" si="521"/>
        <v>0</v>
      </c>
      <c r="BI387" s="4152"/>
      <c r="BJ387" s="4152">
        <f t="shared" si="522"/>
        <v>0</v>
      </c>
      <c r="BK387" s="4152">
        <f t="shared" si="523"/>
        <v>0</v>
      </c>
    </row>
    <row r="388" spans="1:63" s="6069" customFormat="1" x14ac:dyDescent="0.25">
      <c r="A388" s="188"/>
      <c r="B388" s="6111" t="s">
        <v>2049</v>
      </c>
      <c r="C388" s="6112" t="s">
        <v>862</v>
      </c>
      <c r="D388" s="6112"/>
      <c r="E388" s="7940"/>
      <c r="F388" s="5970">
        <v>314.61400000000003</v>
      </c>
      <c r="G388" s="7940"/>
      <c r="H388" s="5970"/>
      <c r="I388" s="7919"/>
      <c r="J388" s="5971"/>
      <c r="K388" s="7940"/>
      <c r="L388" s="5970"/>
      <c r="M388" s="7883"/>
      <c r="N388" s="5972"/>
      <c r="O388" s="7940"/>
      <c r="P388" s="5970"/>
      <c r="Q388" s="7919"/>
      <c r="R388" s="5971"/>
      <c r="S388" s="7940"/>
      <c r="T388" s="5970"/>
      <c r="U388" s="7919"/>
      <c r="V388" s="5971"/>
      <c r="W388" s="7940"/>
      <c r="X388" s="5970">
        <v>499.25</v>
      </c>
      <c r="Y388" s="7883"/>
      <c r="Z388" s="7301">
        <f t="shared" si="528"/>
        <v>499.25</v>
      </c>
      <c r="AA388" s="7893"/>
      <c r="AB388" s="7302">
        <f t="shared" si="529"/>
        <v>499.25</v>
      </c>
      <c r="AC388" s="7940"/>
      <c r="AD388" s="5970">
        <v>118.92</v>
      </c>
      <c r="AE388" s="7919"/>
      <c r="AF388" s="7310">
        <f t="shared" si="530"/>
        <v>618.16999999999996</v>
      </c>
      <c r="AG388" s="7940"/>
      <c r="AH388" s="5970"/>
      <c r="AI388" s="7945"/>
      <c r="AJ388" s="7310">
        <f t="shared" si="533"/>
        <v>618.16999999999996</v>
      </c>
      <c r="AK388" s="7940"/>
      <c r="AL388" s="5970">
        <v>545.16999999999996</v>
      </c>
      <c r="AM388" s="7883"/>
      <c r="AN388" s="7301">
        <f t="shared" si="513"/>
        <v>664.08999999999992</v>
      </c>
      <c r="AO388" s="7919"/>
      <c r="AP388" s="7310">
        <f t="shared" si="514"/>
        <v>1163.3399999999999</v>
      </c>
      <c r="AQ388" s="7940"/>
      <c r="AR388" s="5970">
        <v>59.86</v>
      </c>
      <c r="AS388" s="7945"/>
      <c r="AT388" s="7310">
        <f t="shared" si="519"/>
        <v>1223.1999999999998</v>
      </c>
      <c r="AU388" s="7940"/>
      <c r="AV388" s="5970">
        <v>167.52</v>
      </c>
      <c r="AW388" s="7945"/>
      <c r="AX388" s="7310">
        <f t="shared" si="515"/>
        <v>1390.7199999999998</v>
      </c>
      <c r="AY388" s="7940"/>
      <c r="AZ388" s="5970"/>
      <c r="BA388" s="7883"/>
      <c r="BB388" s="7301">
        <f t="shared" si="531"/>
        <v>227.38</v>
      </c>
      <c r="BC388" s="7893"/>
      <c r="BD388" s="7302">
        <f t="shared" si="517"/>
        <v>891.46999999999991</v>
      </c>
      <c r="BE388" s="7945"/>
      <c r="BF388" s="7310">
        <f t="shared" si="518"/>
        <v>1390.7199999999998</v>
      </c>
      <c r="BG388" s="4152">
        <f t="shared" si="520"/>
        <v>0</v>
      </c>
      <c r="BH388" s="4152">
        <f t="shared" si="521"/>
        <v>314.61400000000003</v>
      </c>
      <c r="BI388" s="4152"/>
      <c r="BJ388" s="4152">
        <f t="shared" si="522"/>
        <v>0</v>
      </c>
      <c r="BK388" s="4152">
        <f t="shared" si="523"/>
        <v>0</v>
      </c>
    </row>
    <row r="389" spans="1:63" s="6193" customFormat="1" x14ac:dyDescent="0.25">
      <c r="A389" s="188"/>
      <c r="B389" s="6111" t="s">
        <v>2078</v>
      </c>
      <c r="C389" s="6112" t="s">
        <v>862</v>
      </c>
      <c r="D389" s="6112"/>
      <c r="E389" s="7940"/>
      <c r="F389" s="5970">
        <v>226.09199999999998</v>
      </c>
      <c r="G389" s="7940"/>
      <c r="H389" s="5970"/>
      <c r="I389" s="7919"/>
      <c r="J389" s="5971"/>
      <c r="K389" s="7940"/>
      <c r="L389" s="5970"/>
      <c r="M389" s="7883"/>
      <c r="N389" s="5972"/>
      <c r="O389" s="7940"/>
      <c r="P389" s="5970"/>
      <c r="Q389" s="7919"/>
      <c r="R389" s="5971"/>
      <c r="S389" s="7940"/>
      <c r="T389" s="5970"/>
      <c r="U389" s="7919"/>
      <c r="V389" s="5971"/>
      <c r="W389" s="7940"/>
      <c r="X389" s="5970"/>
      <c r="Y389" s="7883"/>
      <c r="Z389" s="5972"/>
      <c r="AA389" s="7893"/>
      <c r="AB389" s="6359"/>
      <c r="AC389" s="7940"/>
      <c r="AD389" s="5970">
        <v>445.56</v>
      </c>
      <c r="AE389" s="7919"/>
      <c r="AF389" s="7310">
        <f t="shared" si="530"/>
        <v>445.56</v>
      </c>
      <c r="AG389" s="7940"/>
      <c r="AH389" s="5970"/>
      <c r="AI389" s="7945"/>
      <c r="AJ389" s="7310">
        <f t="shared" si="533"/>
        <v>445.56</v>
      </c>
      <c r="AK389" s="7940"/>
      <c r="AL389" s="5970">
        <v>421.30000000000007</v>
      </c>
      <c r="AM389" s="7883"/>
      <c r="AN389" s="7301">
        <f t="shared" si="513"/>
        <v>866.86000000000013</v>
      </c>
      <c r="AO389" s="7919"/>
      <c r="AP389" s="7310">
        <f t="shared" si="514"/>
        <v>866.86000000000013</v>
      </c>
      <c r="AQ389" s="7940"/>
      <c r="AR389" s="5970">
        <v>422</v>
      </c>
      <c r="AS389" s="7945"/>
      <c r="AT389" s="7310">
        <f t="shared" si="519"/>
        <v>1288.8600000000001</v>
      </c>
      <c r="AU389" s="7940"/>
      <c r="AV389" s="5970">
        <v>426.62</v>
      </c>
      <c r="AW389" s="7945"/>
      <c r="AX389" s="7310">
        <f t="shared" si="515"/>
        <v>1715.48</v>
      </c>
      <c r="AY389" s="7940"/>
      <c r="AZ389" s="5970">
        <v>33.71</v>
      </c>
      <c r="BA389" s="7883"/>
      <c r="BB389" s="7301">
        <f t="shared" si="531"/>
        <v>882.33</v>
      </c>
      <c r="BC389" s="7893"/>
      <c r="BD389" s="7302">
        <f t="shared" si="517"/>
        <v>1749.19</v>
      </c>
      <c r="BE389" s="7945"/>
      <c r="BF389" s="7310">
        <f t="shared" si="518"/>
        <v>1749.19</v>
      </c>
      <c r="BG389" s="4152">
        <f t="shared" si="520"/>
        <v>0</v>
      </c>
      <c r="BH389" s="4152">
        <f t="shared" si="521"/>
        <v>226.0920000000001</v>
      </c>
      <c r="BI389" s="4152"/>
      <c r="BJ389" s="4152">
        <f t="shared" si="522"/>
        <v>0</v>
      </c>
      <c r="BK389" s="4152">
        <f t="shared" si="523"/>
        <v>0</v>
      </c>
    </row>
    <row r="390" spans="1:63" s="6684" customFormat="1" x14ac:dyDescent="0.25">
      <c r="A390" s="188"/>
      <c r="B390" s="6111" t="s">
        <v>2201</v>
      </c>
      <c r="C390" s="6112" t="s">
        <v>862</v>
      </c>
      <c r="D390" s="6688"/>
      <c r="E390" s="7939"/>
      <c r="F390" s="6365">
        <v>197.738</v>
      </c>
      <c r="G390" s="7939"/>
      <c r="H390" s="6365"/>
      <c r="I390" s="7918"/>
      <c r="J390" s="6366"/>
      <c r="K390" s="7939"/>
      <c r="L390" s="6365"/>
      <c r="M390" s="7882"/>
      <c r="N390" s="6367"/>
      <c r="O390" s="7939"/>
      <c r="P390" s="6365"/>
      <c r="Q390" s="7918"/>
      <c r="R390" s="6366"/>
      <c r="S390" s="7939"/>
      <c r="T390" s="6365"/>
      <c r="U390" s="7918"/>
      <c r="V390" s="6366"/>
      <c r="W390" s="7939"/>
      <c r="X390" s="6365"/>
      <c r="Y390" s="7882"/>
      <c r="Z390" s="6367"/>
      <c r="AA390" s="7892"/>
      <c r="AB390" s="6895"/>
      <c r="AC390" s="7939"/>
      <c r="AD390" s="6365"/>
      <c r="AE390" s="7918"/>
      <c r="AF390" s="6366"/>
      <c r="AG390" s="7939"/>
      <c r="AH390" s="6365"/>
      <c r="AI390" s="7945"/>
      <c r="AJ390" s="6366"/>
      <c r="AK390" s="7939"/>
      <c r="AL390" s="6365"/>
      <c r="AM390" s="7882"/>
      <c r="AN390" s="6367"/>
      <c r="AO390" s="7918"/>
      <c r="AP390" s="6366"/>
      <c r="AQ390" s="7939"/>
      <c r="AR390" s="6365">
        <v>847.54</v>
      </c>
      <c r="AS390" s="7945"/>
      <c r="AT390" s="7310">
        <f t="shared" si="519"/>
        <v>847.54</v>
      </c>
      <c r="AU390" s="7939"/>
      <c r="AV390" s="6365">
        <v>366.6</v>
      </c>
      <c r="AW390" s="7945"/>
      <c r="AX390" s="7310">
        <f t="shared" si="515"/>
        <v>1214.1399999999999</v>
      </c>
      <c r="AY390" s="7939"/>
      <c r="AZ390" s="6365">
        <v>305.74000000000007</v>
      </c>
      <c r="BA390" s="7882"/>
      <c r="BB390" s="7301">
        <f t="shared" si="531"/>
        <v>1519.8799999999999</v>
      </c>
      <c r="BC390" s="7892"/>
      <c r="BD390" s="7302">
        <f t="shared" si="517"/>
        <v>1519.8799999999999</v>
      </c>
      <c r="BE390" s="7945"/>
      <c r="BF390" s="7310">
        <f t="shared" si="518"/>
        <v>1519.8799999999999</v>
      </c>
      <c r="BG390" s="4152">
        <f t="shared" si="520"/>
        <v>0</v>
      </c>
      <c r="BH390" s="4152">
        <f t="shared" si="521"/>
        <v>197.73800000000028</v>
      </c>
      <c r="BI390" s="4152"/>
      <c r="BJ390" s="4152">
        <f t="shared" si="522"/>
        <v>0</v>
      </c>
      <c r="BK390" s="4152">
        <f t="shared" si="523"/>
        <v>0</v>
      </c>
    </row>
    <row r="391" spans="1:63" s="6193" customFormat="1" x14ac:dyDescent="0.25">
      <c r="A391" s="188"/>
      <c r="B391" s="6111" t="s">
        <v>2069</v>
      </c>
      <c r="C391" s="6112" t="s">
        <v>862</v>
      </c>
      <c r="D391" s="6112"/>
      <c r="E391" s="7940"/>
      <c r="F391" s="5970">
        <v>106.36500000000001</v>
      </c>
      <c r="G391" s="7940"/>
      <c r="H391" s="5970"/>
      <c r="I391" s="7919"/>
      <c r="J391" s="5971"/>
      <c r="K391" s="7940"/>
      <c r="L391" s="5970"/>
      <c r="M391" s="7883"/>
      <c r="N391" s="5972"/>
      <c r="O391" s="7940"/>
      <c r="P391" s="5970"/>
      <c r="Q391" s="7919"/>
      <c r="R391" s="5971"/>
      <c r="S391" s="7940"/>
      <c r="T391" s="5970"/>
      <c r="U391" s="7919"/>
      <c r="V391" s="5971"/>
      <c r="W391" s="7940"/>
      <c r="X391" s="5970"/>
      <c r="Y391" s="7883"/>
      <c r="Z391" s="5972"/>
      <c r="AA391" s="7893"/>
      <c r="AB391" s="6359"/>
      <c r="AC391" s="7940"/>
      <c r="AD391" s="5970">
        <v>454.55</v>
      </c>
      <c r="AE391" s="7919"/>
      <c r="AF391" s="7310">
        <f t="shared" si="530"/>
        <v>454.55</v>
      </c>
      <c r="AG391" s="7940"/>
      <c r="AH391" s="5970"/>
      <c r="AI391" s="7945"/>
      <c r="AJ391" s="7310">
        <f t="shared" si="533"/>
        <v>454.55</v>
      </c>
      <c r="AK391" s="7940"/>
      <c r="AL391" s="5970">
        <v>105.5</v>
      </c>
      <c r="AM391" s="7883"/>
      <c r="AN391" s="7301">
        <f t="shared" si="513"/>
        <v>560.04999999999995</v>
      </c>
      <c r="AO391" s="7919"/>
      <c r="AP391" s="7310">
        <f t="shared" si="514"/>
        <v>560.04999999999995</v>
      </c>
      <c r="AQ391" s="7940"/>
      <c r="AR391" s="5970">
        <v>496.59000000000003</v>
      </c>
      <c r="AS391" s="7945"/>
      <c r="AT391" s="7310">
        <f t="shared" ref="AT391:AT415" si="534">AP391+AR391</f>
        <v>1056.6399999999999</v>
      </c>
      <c r="AU391" s="7940"/>
      <c r="AV391" s="5970">
        <v>384.68</v>
      </c>
      <c r="AW391" s="7945"/>
      <c r="AX391" s="7310">
        <f t="shared" si="515"/>
        <v>1441.32</v>
      </c>
      <c r="AY391" s="7940"/>
      <c r="AZ391" s="5970">
        <v>993.9799999999999</v>
      </c>
      <c r="BA391" s="7883"/>
      <c r="BB391" s="7301">
        <f t="shared" si="531"/>
        <v>1875.25</v>
      </c>
      <c r="BC391" s="7893"/>
      <c r="BD391" s="7302">
        <f t="shared" si="517"/>
        <v>2435.3000000000002</v>
      </c>
      <c r="BE391" s="7945"/>
      <c r="BF391" s="7310">
        <f t="shared" si="518"/>
        <v>2435.2999999999997</v>
      </c>
      <c r="BG391" s="4152">
        <f t="shared" si="520"/>
        <v>0</v>
      </c>
      <c r="BH391" s="4152">
        <f t="shared" si="521"/>
        <v>106.36500000000024</v>
      </c>
      <c r="BI391" s="4152"/>
      <c r="BJ391" s="4152">
        <f t="shared" si="522"/>
        <v>0</v>
      </c>
      <c r="BK391" s="4152">
        <f t="shared" si="523"/>
        <v>0</v>
      </c>
    </row>
    <row r="392" spans="1:63" s="6193" customFormat="1" x14ac:dyDescent="0.25">
      <c r="A392" s="188"/>
      <c r="B392" s="6111" t="s">
        <v>2049</v>
      </c>
      <c r="C392" s="6112" t="s">
        <v>863</v>
      </c>
      <c r="D392" s="6112"/>
      <c r="E392" s="7940"/>
      <c r="F392" s="5970">
        <v>26.808999999999997</v>
      </c>
      <c r="G392" s="7940"/>
      <c r="H392" s="5970"/>
      <c r="I392" s="7919"/>
      <c r="J392" s="5971"/>
      <c r="K392" s="7940"/>
      <c r="L392" s="5970"/>
      <c r="M392" s="7883"/>
      <c r="N392" s="5972"/>
      <c r="O392" s="7940"/>
      <c r="P392" s="5970"/>
      <c r="Q392" s="7919"/>
      <c r="R392" s="5971"/>
      <c r="S392" s="7940"/>
      <c r="T392" s="5970"/>
      <c r="U392" s="7919"/>
      <c r="V392" s="5971"/>
      <c r="W392" s="7940"/>
      <c r="X392" s="5970"/>
      <c r="Y392" s="7883"/>
      <c r="Z392" s="5972"/>
      <c r="AA392" s="7893"/>
      <c r="AB392" s="6359"/>
      <c r="AC392" s="7940"/>
      <c r="AD392" s="5970">
        <v>111.12</v>
      </c>
      <c r="AE392" s="7919"/>
      <c r="AF392" s="7310">
        <f t="shared" si="530"/>
        <v>111.12</v>
      </c>
      <c r="AG392" s="7940"/>
      <c r="AH392" s="5970"/>
      <c r="AI392" s="7945"/>
      <c r="AJ392" s="7310">
        <f t="shared" si="533"/>
        <v>111.12</v>
      </c>
      <c r="AK392" s="7940"/>
      <c r="AL392" s="5970"/>
      <c r="AM392" s="7883"/>
      <c r="AN392" s="7301">
        <f t="shared" si="513"/>
        <v>111.12</v>
      </c>
      <c r="AO392" s="7919"/>
      <c r="AP392" s="7310">
        <f t="shared" si="514"/>
        <v>111.12</v>
      </c>
      <c r="AQ392" s="7940"/>
      <c r="AR392" s="5970"/>
      <c r="AS392" s="7945"/>
      <c r="AT392" s="7310">
        <f t="shared" si="534"/>
        <v>111.12</v>
      </c>
      <c r="AU392" s="7940"/>
      <c r="AV392" s="5970"/>
      <c r="AW392" s="7945"/>
      <c r="AX392" s="7310">
        <f t="shared" si="515"/>
        <v>111.12</v>
      </c>
      <c r="AY392" s="7940"/>
      <c r="AZ392" s="5970"/>
      <c r="BA392" s="7883"/>
      <c r="BB392" s="7301">
        <f t="shared" si="531"/>
        <v>0</v>
      </c>
      <c r="BC392" s="7893"/>
      <c r="BD392" s="7302">
        <f t="shared" si="517"/>
        <v>111.12</v>
      </c>
      <c r="BE392" s="7945"/>
      <c r="BF392" s="7310">
        <f t="shared" si="518"/>
        <v>111.12</v>
      </c>
      <c r="BG392" s="4152">
        <f t="shared" si="520"/>
        <v>0</v>
      </c>
      <c r="BH392" s="4152">
        <f t="shared" si="521"/>
        <v>26.808999999999997</v>
      </c>
      <c r="BI392" s="4152"/>
      <c r="BJ392" s="4152">
        <f t="shared" si="522"/>
        <v>0</v>
      </c>
      <c r="BK392" s="4152">
        <f t="shared" si="523"/>
        <v>0</v>
      </c>
    </row>
    <row r="393" spans="1:63" s="5729" customFormat="1" x14ac:dyDescent="0.25">
      <c r="A393" s="188"/>
      <c r="B393" s="6111" t="s">
        <v>2054</v>
      </c>
      <c r="C393" s="6112" t="s">
        <v>862</v>
      </c>
      <c r="D393" s="6112"/>
      <c r="E393" s="7941"/>
      <c r="F393" s="5797">
        <v>14.654</v>
      </c>
      <c r="G393" s="7941"/>
      <c r="H393" s="5797"/>
      <c r="I393" s="7915"/>
      <c r="J393" s="7310">
        <f t="shared" si="524"/>
        <v>14.654</v>
      </c>
      <c r="K393" s="7941"/>
      <c r="L393" s="5797">
        <v>1483.36</v>
      </c>
      <c r="M393" s="7879"/>
      <c r="N393" s="7301">
        <f t="shared" si="525"/>
        <v>1498.0139999999999</v>
      </c>
      <c r="O393" s="7941"/>
      <c r="P393" s="5797">
        <v>1500.4</v>
      </c>
      <c r="Q393" s="7915"/>
      <c r="R393" s="7310">
        <f t="shared" si="526"/>
        <v>2998.4139999999998</v>
      </c>
      <c r="S393" s="7941"/>
      <c r="T393" s="5797">
        <v>1579.3600000000001</v>
      </c>
      <c r="U393" s="7915"/>
      <c r="V393" s="7310">
        <f t="shared" si="527"/>
        <v>4577.7739999999994</v>
      </c>
      <c r="W393" s="7941"/>
      <c r="X393" s="5797">
        <v>790.25</v>
      </c>
      <c r="Y393" s="7879"/>
      <c r="Z393" s="7301">
        <f t="shared" si="528"/>
        <v>3870.01</v>
      </c>
      <c r="AA393" s="7889"/>
      <c r="AB393" s="7302">
        <f t="shared" si="529"/>
        <v>5368.0240000000003</v>
      </c>
      <c r="AC393" s="7941"/>
      <c r="AD393" s="5797">
        <v>198.47</v>
      </c>
      <c r="AE393" s="7915"/>
      <c r="AF393" s="7310">
        <f t="shared" si="530"/>
        <v>5566.4940000000006</v>
      </c>
      <c r="AG393" s="7941"/>
      <c r="AH393" s="5797">
        <v>748.21</v>
      </c>
      <c r="AI393" s="7945"/>
      <c r="AJ393" s="7310">
        <f t="shared" si="533"/>
        <v>6314.7040000000006</v>
      </c>
      <c r="AK393" s="7941"/>
      <c r="AL393" s="5797">
        <v>29.79</v>
      </c>
      <c r="AM393" s="7879"/>
      <c r="AN393" s="7301">
        <f t="shared" si="513"/>
        <v>976.47</v>
      </c>
      <c r="AO393" s="7915"/>
      <c r="AP393" s="7310">
        <f t="shared" si="514"/>
        <v>6344.4940000000006</v>
      </c>
      <c r="AQ393" s="7941"/>
      <c r="AR393" s="5797">
        <v>1459.16</v>
      </c>
      <c r="AS393" s="7945"/>
      <c r="AT393" s="7310">
        <f t="shared" si="534"/>
        <v>7803.6540000000005</v>
      </c>
      <c r="AU393" s="7941"/>
      <c r="AV393" s="5797"/>
      <c r="AW393" s="7945"/>
      <c r="AX393" s="7310">
        <f t="shared" si="515"/>
        <v>7803.6540000000005</v>
      </c>
      <c r="AY393" s="7941"/>
      <c r="AZ393" s="5797">
        <v>1553.3050000000001</v>
      </c>
      <c r="BA393" s="7879"/>
      <c r="BB393" s="7301">
        <f t="shared" si="531"/>
        <v>3012.4650000000001</v>
      </c>
      <c r="BC393" s="7889"/>
      <c r="BD393" s="7302">
        <f t="shared" si="517"/>
        <v>3988.9350000000004</v>
      </c>
      <c r="BE393" s="7945"/>
      <c r="BF393" s="7310">
        <f t="shared" si="518"/>
        <v>9356.9590000000007</v>
      </c>
      <c r="BG393" s="4152">
        <f t="shared" si="520"/>
        <v>0</v>
      </c>
      <c r="BH393" s="4152">
        <f t="shared" si="521"/>
        <v>0</v>
      </c>
      <c r="BI393" s="4152"/>
      <c r="BJ393" s="4152">
        <f t="shared" si="522"/>
        <v>0</v>
      </c>
      <c r="BK393" s="4152">
        <f t="shared" si="523"/>
        <v>0</v>
      </c>
    </row>
    <row r="394" spans="1:63" s="5960" customFormat="1" x14ac:dyDescent="0.25">
      <c r="A394" s="188"/>
      <c r="B394" s="6111" t="s">
        <v>2054</v>
      </c>
      <c r="C394" s="6112" t="s">
        <v>863</v>
      </c>
      <c r="D394" s="6112"/>
      <c r="E394" s="7940"/>
      <c r="F394" s="5970">
        <v>3.2039999999999997</v>
      </c>
      <c r="G394" s="7940"/>
      <c r="H394" s="5970"/>
      <c r="I394" s="7919"/>
      <c r="J394" s="7310">
        <f t="shared" si="524"/>
        <v>3.2039999999999997</v>
      </c>
      <c r="K394" s="7940"/>
      <c r="L394" s="5970"/>
      <c r="M394" s="7883"/>
      <c r="N394" s="7301">
        <f t="shared" si="525"/>
        <v>3.2039999999999997</v>
      </c>
      <c r="O394" s="7940"/>
      <c r="P394" s="5970"/>
      <c r="Q394" s="7919"/>
      <c r="R394" s="7310">
        <f t="shared" si="526"/>
        <v>3.2039999999999997</v>
      </c>
      <c r="S394" s="7940"/>
      <c r="T394" s="5970">
        <v>125.42</v>
      </c>
      <c r="U394" s="7919"/>
      <c r="V394" s="7310">
        <f t="shared" si="527"/>
        <v>128.624</v>
      </c>
      <c r="W394" s="7940"/>
      <c r="X394" s="5970">
        <v>181.86</v>
      </c>
      <c r="Y394" s="7883"/>
      <c r="Z394" s="7301">
        <f t="shared" si="528"/>
        <v>307.28000000000003</v>
      </c>
      <c r="AA394" s="7893"/>
      <c r="AB394" s="7302">
        <f t="shared" si="529"/>
        <v>310.48400000000004</v>
      </c>
      <c r="AC394" s="7940"/>
      <c r="AD394" s="5970"/>
      <c r="AE394" s="7919"/>
      <c r="AF394" s="7310">
        <f t="shared" si="530"/>
        <v>310.48400000000004</v>
      </c>
      <c r="AG394" s="7940"/>
      <c r="AH394" s="5970"/>
      <c r="AI394" s="7945"/>
      <c r="AJ394" s="7310">
        <f t="shared" si="533"/>
        <v>310.48400000000004</v>
      </c>
      <c r="AK394" s="7940"/>
      <c r="AL394" s="5970"/>
      <c r="AM394" s="7883"/>
      <c r="AN394" s="7301">
        <f t="shared" si="513"/>
        <v>0</v>
      </c>
      <c r="AO394" s="7919"/>
      <c r="AP394" s="7310">
        <f t="shared" si="514"/>
        <v>310.48400000000004</v>
      </c>
      <c r="AQ394" s="7940"/>
      <c r="AR394" s="5970"/>
      <c r="AS394" s="7945"/>
      <c r="AT394" s="7310">
        <f t="shared" si="534"/>
        <v>310.48400000000004</v>
      </c>
      <c r="AU394" s="7940"/>
      <c r="AV394" s="5970"/>
      <c r="AW394" s="7945"/>
      <c r="AX394" s="7310">
        <f t="shared" si="515"/>
        <v>310.48400000000004</v>
      </c>
      <c r="AY394" s="7940"/>
      <c r="AZ394" s="5970"/>
      <c r="BA394" s="7883"/>
      <c r="BB394" s="7301">
        <f t="shared" si="531"/>
        <v>0</v>
      </c>
      <c r="BC394" s="7893"/>
      <c r="BD394" s="7302">
        <f t="shared" si="517"/>
        <v>0</v>
      </c>
      <c r="BE394" s="7945"/>
      <c r="BF394" s="7310">
        <f t="shared" si="518"/>
        <v>310.48400000000004</v>
      </c>
      <c r="BG394" s="4152">
        <f t="shared" si="520"/>
        <v>0</v>
      </c>
      <c r="BH394" s="4152">
        <f t="shared" si="521"/>
        <v>0</v>
      </c>
      <c r="BI394" s="4152"/>
      <c r="BJ394" s="4152">
        <f t="shared" si="522"/>
        <v>0</v>
      </c>
      <c r="BK394" s="4152">
        <f t="shared" si="523"/>
        <v>0</v>
      </c>
    </row>
    <row r="395" spans="1:63" s="5729" customFormat="1" x14ac:dyDescent="0.25">
      <c r="A395" s="188"/>
      <c r="B395" s="6111" t="s">
        <v>2055</v>
      </c>
      <c r="C395" s="6112" t="s">
        <v>862</v>
      </c>
      <c r="D395" s="6112"/>
      <c r="E395" s="7941"/>
      <c r="F395" s="5797">
        <f>138.508+25.84</f>
        <v>164.34800000000001</v>
      </c>
      <c r="G395" s="7941"/>
      <c r="H395" s="5797"/>
      <c r="I395" s="7915"/>
      <c r="J395" s="7310">
        <f t="shared" si="524"/>
        <v>164.34800000000001</v>
      </c>
      <c r="K395" s="7941"/>
      <c r="L395" s="5797">
        <v>553.91999999999996</v>
      </c>
      <c r="M395" s="7879"/>
      <c r="N395" s="7301">
        <f t="shared" si="525"/>
        <v>718.26800000000003</v>
      </c>
      <c r="O395" s="7941"/>
      <c r="P395" s="5797">
        <v>428.03</v>
      </c>
      <c r="Q395" s="7915"/>
      <c r="R395" s="7310">
        <f t="shared" si="526"/>
        <v>1146.298</v>
      </c>
      <c r="S395" s="7941"/>
      <c r="T395" s="5797">
        <v>564.14</v>
      </c>
      <c r="U395" s="7915"/>
      <c r="V395" s="7310">
        <f t="shared" si="527"/>
        <v>1710.4380000000001</v>
      </c>
      <c r="W395" s="7941"/>
      <c r="X395" s="5797">
        <v>318.54000000000002</v>
      </c>
      <c r="Y395" s="7879"/>
      <c r="Z395" s="7301">
        <f t="shared" si="528"/>
        <v>1310.71</v>
      </c>
      <c r="AA395" s="7889"/>
      <c r="AB395" s="7302">
        <f t="shared" si="529"/>
        <v>2028.9780000000001</v>
      </c>
      <c r="AC395" s="7941"/>
      <c r="AD395" s="5797"/>
      <c r="AE395" s="7915"/>
      <c r="AF395" s="7310">
        <f t="shared" si="530"/>
        <v>2028.9780000000001</v>
      </c>
      <c r="AG395" s="7941"/>
      <c r="AH395" s="5797">
        <v>511.07</v>
      </c>
      <c r="AI395" s="7945"/>
      <c r="AJ395" s="7310">
        <f t="shared" si="533"/>
        <v>2540.0480000000002</v>
      </c>
      <c r="AK395" s="7941"/>
      <c r="AL395" s="5797">
        <v>71.528999999999996</v>
      </c>
      <c r="AM395" s="7879"/>
      <c r="AN395" s="7301">
        <f t="shared" si="513"/>
        <v>582.59899999999993</v>
      </c>
      <c r="AO395" s="7915"/>
      <c r="AP395" s="7310">
        <f t="shared" si="514"/>
        <v>2611.5770000000002</v>
      </c>
      <c r="AQ395" s="7941"/>
      <c r="AR395" s="5797">
        <v>508.8</v>
      </c>
      <c r="AS395" s="7945"/>
      <c r="AT395" s="7310">
        <f t="shared" si="534"/>
        <v>3120.3770000000004</v>
      </c>
      <c r="AU395" s="7941"/>
      <c r="AV395" s="5797">
        <v>191.4</v>
      </c>
      <c r="AW395" s="7945"/>
      <c r="AX395" s="7310">
        <f t="shared" si="515"/>
        <v>3311.7770000000005</v>
      </c>
      <c r="AY395" s="7941"/>
      <c r="AZ395" s="5797"/>
      <c r="BA395" s="7879"/>
      <c r="BB395" s="7301">
        <f t="shared" si="531"/>
        <v>700.2</v>
      </c>
      <c r="BC395" s="7889"/>
      <c r="BD395" s="7302">
        <f t="shared" si="517"/>
        <v>1282.799</v>
      </c>
      <c r="BE395" s="7945"/>
      <c r="BF395" s="7310">
        <f t="shared" si="518"/>
        <v>3311.7770000000005</v>
      </c>
      <c r="BG395" s="4152">
        <f t="shared" si="520"/>
        <v>0</v>
      </c>
      <c r="BH395" s="4152">
        <f t="shared" si="521"/>
        <v>0</v>
      </c>
      <c r="BI395" s="4152"/>
      <c r="BJ395" s="4152">
        <f t="shared" si="522"/>
        <v>0</v>
      </c>
      <c r="BK395" s="4152">
        <f t="shared" si="523"/>
        <v>0</v>
      </c>
    </row>
    <row r="396" spans="1:63" s="5729" customFormat="1" x14ac:dyDescent="0.25">
      <c r="A396" s="188"/>
      <c r="B396" s="6111" t="s">
        <v>2056</v>
      </c>
      <c r="C396" s="6112" t="s">
        <v>862</v>
      </c>
      <c r="D396" s="6112"/>
      <c r="E396" s="7941"/>
      <c r="F396" s="5797">
        <v>742.39499999999998</v>
      </c>
      <c r="G396" s="7941"/>
      <c r="H396" s="5797"/>
      <c r="I396" s="7915"/>
      <c r="J396" s="7310">
        <f t="shared" si="524"/>
        <v>742.39499999999998</v>
      </c>
      <c r="K396" s="7941"/>
      <c r="L396" s="5797">
        <v>456.54</v>
      </c>
      <c r="M396" s="7879"/>
      <c r="N396" s="7301">
        <f t="shared" si="525"/>
        <v>1198.9349999999999</v>
      </c>
      <c r="O396" s="7941"/>
      <c r="P396" s="5797">
        <v>746.46</v>
      </c>
      <c r="Q396" s="7915"/>
      <c r="R396" s="7310">
        <f t="shared" si="526"/>
        <v>1945.395</v>
      </c>
      <c r="S396" s="7941"/>
      <c r="T396" s="5797">
        <v>285.14</v>
      </c>
      <c r="U396" s="7915"/>
      <c r="V396" s="7310">
        <f t="shared" si="527"/>
        <v>2230.5349999999999</v>
      </c>
      <c r="W396" s="7941"/>
      <c r="X396" s="5797">
        <v>154.19</v>
      </c>
      <c r="Y396" s="7879"/>
      <c r="Z396" s="7301">
        <f t="shared" si="528"/>
        <v>1185.79</v>
      </c>
      <c r="AA396" s="7889"/>
      <c r="AB396" s="7302">
        <f t="shared" si="529"/>
        <v>2384.7249999999999</v>
      </c>
      <c r="AC396" s="7941"/>
      <c r="AD396" s="5797"/>
      <c r="AE396" s="7915"/>
      <c r="AF396" s="7310">
        <f t="shared" si="530"/>
        <v>2384.7249999999999</v>
      </c>
      <c r="AG396" s="7941"/>
      <c r="AH396" s="5797"/>
      <c r="AI396" s="7945"/>
      <c r="AJ396" s="7310">
        <f t="shared" si="533"/>
        <v>2384.7249999999999</v>
      </c>
      <c r="AK396" s="7941"/>
      <c r="AL396" s="5797"/>
      <c r="AM396" s="7879"/>
      <c r="AN396" s="7301">
        <f t="shared" si="513"/>
        <v>0</v>
      </c>
      <c r="AO396" s="7915"/>
      <c r="AP396" s="7310">
        <f t="shared" si="514"/>
        <v>2384.7249999999999</v>
      </c>
      <c r="AQ396" s="7941"/>
      <c r="AR396" s="5797">
        <v>2053.35</v>
      </c>
      <c r="AS396" s="7945"/>
      <c r="AT396" s="7310">
        <f t="shared" si="534"/>
        <v>4438.0749999999998</v>
      </c>
      <c r="AU396" s="7941"/>
      <c r="AV396" s="5797"/>
      <c r="AW396" s="7945"/>
      <c r="AX396" s="7310">
        <f t="shared" si="515"/>
        <v>4438.0749999999998</v>
      </c>
      <c r="AY396" s="7941"/>
      <c r="AZ396" s="5797">
        <v>635.11</v>
      </c>
      <c r="BA396" s="7879"/>
      <c r="BB396" s="7301">
        <f t="shared" si="531"/>
        <v>2688.46</v>
      </c>
      <c r="BC396" s="7889"/>
      <c r="BD396" s="7302">
        <f t="shared" si="517"/>
        <v>2688.46</v>
      </c>
      <c r="BE396" s="7945"/>
      <c r="BF396" s="7310">
        <f t="shared" si="518"/>
        <v>5073.1849999999995</v>
      </c>
      <c r="BG396" s="4152">
        <f t="shared" si="520"/>
        <v>0</v>
      </c>
      <c r="BH396" s="4152">
        <f t="shared" si="521"/>
        <v>0</v>
      </c>
      <c r="BI396" s="4152"/>
      <c r="BJ396" s="4152">
        <f t="shared" si="522"/>
        <v>0</v>
      </c>
      <c r="BK396" s="4152">
        <f t="shared" si="523"/>
        <v>0</v>
      </c>
    </row>
    <row r="397" spans="1:63" x14ac:dyDescent="0.25">
      <c r="A397" s="1357"/>
      <c r="B397" s="3883" t="s">
        <v>1330</v>
      </c>
      <c r="C397" s="3842" t="s">
        <v>863</v>
      </c>
      <c r="D397" s="3823"/>
      <c r="E397" s="7931"/>
      <c r="F397" s="1819">
        <v>690.4799999999999</v>
      </c>
      <c r="G397" s="7931"/>
      <c r="H397" s="1819">
        <v>2531.3500000000004</v>
      </c>
      <c r="I397" s="7911"/>
      <c r="J397" s="7310">
        <f t="shared" si="524"/>
        <v>3221.8300000000004</v>
      </c>
      <c r="K397" s="7931"/>
      <c r="L397" s="1819">
        <v>2324.59</v>
      </c>
      <c r="M397" s="7875"/>
      <c r="N397" s="7301">
        <f t="shared" si="525"/>
        <v>5546.42</v>
      </c>
      <c r="O397" s="7931"/>
      <c r="P397" s="1819"/>
      <c r="Q397" s="7911"/>
      <c r="R397" s="7310">
        <f t="shared" si="526"/>
        <v>5546.42</v>
      </c>
      <c r="S397" s="7931"/>
      <c r="T397" s="1819">
        <v>884.22</v>
      </c>
      <c r="U397" s="7911"/>
      <c r="V397" s="7310">
        <f t="shared" si="527"/>
        <v>6430.64</v>
      </c>
      <c r="W397" s="7931"/>
      <c r="X397" s="1819">
        <v>2002.46</v>
      </c>
      <c r="Y397" s="7875"/>
      <c r="Z397" s="7301">
        <f t="shared" si="528"/>
        <v>2886.6800000000003</v>
      </c>
      <c r="AA397" s="7885"/>
      <c r="AB397" s="7302">
        <f t="shared" si="529"/>
        <v>8433.1</v>
      </c>
      <c r="AC397" s="7931"/>
      <c r="AD397" s="1819">
        <v>1117.76</v>
      </c>
      <c r="AE397" s="7911"/>
      <c r="AF397" s="7310">
        <f t="shared" si="530"/>
        <v>9550.86</v>
      </c>
      <c r="AG397" s="7931"/>
      <c r="AH397" s="1819">
        <v>2148.2599999999998</v>
      </c>
      <c r="AI397" s="7945"/>
      <c r="AJ397" s="7310">
        <f t="shared" ref="AJ397:AJ412" si="535">AF397+AH397</f>
        <v>11699.12</v>
      </c>
      <c r="AK397" s="7931"/>
      <c r="AL397" s="1819">
        <v>1870.6739999999998</v>
      </c>
      <c r="AM397" s="7875"/>
      <c r="AN397" s="7301">
        <f t="shared" si="513"/>
        <v>5136.6939999999995</v>
      </c>
      <c r="AO397" s="7911"/>
      <c r="AP397" s="7310">
        <f t="shared" si="514"/>
        <v>13569.794</v>
      </c>
      <c r="AQ397" s="7931"/>
      <c r="AR397" s="1819">
        <v>2643.4000000000005</v>
      </c>
      <c r="AS397" s="7945"/>
      <c r="AT397" s="7310">
        <f t="shared" si="534"/>
        <v>16213.194</v>
      </c>
      <c r="AU397" s="7931"/>
      <c r="AV397" s="1819">
        <v>258.45999999999998</v>
      </c>
      <c r="AW397" s="7945"/>
      <c r="AX397" s="7310">
        <f t="shared" si="515"/>
        <v>16471.653999999999</v>
      </c>
      <c r="AY397" s="7931"/>
      <c r="AZ397" s="1819"/>
      <c r="BA397" s="7875"/>
      <c r="BB397" s="7301">
        <f t="shared" si="531"/>
        <v>2901.8600000000006</v>
      </c>
      <c r="BC397" s="7885"/>
      <c r="BD397" s="7302">
        <f t="shared" si="517"/>
        <v>8038.5540000000001</v>
      </c>
      <c r="BE397" s="7945"/>
      <c r="BF397" s="7310">
        <f t="shared" si="518"/>
        <v>16471.653999999999</v>
      </c>
      <c r="BG397" s="4152">
        <f t="shared" si="520"/>
        <v>0</v>
      </c>
      <c r="BH397" s="4152">
        <f t="shared" si="521"/>
        <v>0</v>
      </c>
      <c r="BI397" s="4152"/>
      <c r="BJ397" s="4152">
        <f t="shared" si="522"/>
        <v>0</v>
      </c>
      <c r="BK397" s="4152">
        <f t="shared" si="523"/>
        <v>0</v>
      </c>
    </row>
    <row r="398" spans="1:63" s="6069" customFormat="1" x14ac:dyDescent="0.25">
      <c r="A398" s="1357"/>
      <c r="B398" s="3883" t="s">
        <v>1330</v>
      </c>
      <c r="C398" s="3842" t="s">
        <v>862</v>
      </c>
      <c r="D398" s="3823"/>
      <c r="E398" s="7942"/>
      <c r="F398" s="5970"/>
      <c r="G398" s="7942"/>
      <c r="H398" s="5970"/>
      <c r="I398" s="7919"/>
      <c r="J398" s="5971"/>
      <c r="K398" s="7942"/>
      <c r="L398" s="5970"/>
      <c r="M398" s="7883"/>
      <c r="N398" s="5972"/>
      <c r="O398" s="7942"/>
      <c r="P398" s="5970"/>
      <c r="Q398" s="7919"/>
      <c r="R398" s="5971"/>
      <c r="S398" s="7942"/>
      <c r="T398" s="5970"/>
      <c r="U398" s="7919"/>
      <c r="V398" s="5971"/>
      <c r="W398" s="7942"/>
      <c r="X398" s="5970">
        <v>442.58</v>
      </c>
      <c r="Y398" s="7883"/>
      <c r="Z398" s="7301">
        <f t="shared" si="528"/>
        <v>442.58</v>
      </c>
      <c r="AA398" s="7893"/>
      <c r="AB398" s="7302">
        <f t="shared" si="529"/>
        <v>442.58</v>
      </c>
      <c r="AC398" s="7942"/>
      <c r="AD398" s="5970">
        <v>688.68</v>
      </c>
      <c r="AE398" s="7919"/>
      <c r="AF398" s="7310">
        <f t="shared" si="530"/>
        <v>1131.26</v>
      </c>
      <c r="AG398" s="7942"/>
      <c r="AH398" s="5970">
        <v>62.8</v>
      </c>
      <c r="AI398" s="7945"/>
      <c r="AJ398" s="7310">
        <f t="shared" si="535"/>
        <v>1194.06</v>
      </c>
      <c r="AK398" s="7942"/>
      <c r="AL398" s="5970"/>
      <c r="AM398" s="7883"/>
      <c r="AN398" s="7301">
        <f t="shared" si="513"/>
        <v>751.4799999999999</v>
      </c>
      <c r="AO398" s="7919"/>
      <c r="AP398" s="7310">
        <f t="shared" si="514"/>
        <v>1194.06</v>
      </c>
      <c r="AQ398" s="7942"/>
      <c r="AR398" s="5970"/>
      <c r="AS398" s="7945"/>
      <c r="AT398" s="7310">
        <f t="shared" si="534"/>
        <v>1194.06</v>
      </c>
      <c r="AU398" s="7942"/>
      <c r="AV398" s="5970"/>
      <c r="AW398" s="7945"/>
      <c r="AX398" s="7310">
        <f t="shared" si="515"/>
        <v>1194.06</v>
      </c>
      <c r="AY398" s="7942"/>
      <c r="AZ398" s="5970"/>
      <c r="BA398" s="7883"/>
      <c r="BB398" s="7301">
        <f t="shared" si="531"/>
        <v>0</v>
      </c>
      <c r="BC398" s="7893"/>
      <c r="BD398" s="7302">
        <f t="shared" si="517"/>
        <v>751.4799999999999</v>
      </c>
      <c r="BE398" s="7945"/>
      <c r="BF398" s="7310">
        <f t="shared" si="518"/>
        <v>1194.06</v>
      </c>
      <c r="BG398" s="4152">
        <f t="shared" si="520"/>
        <v>0</v>
      </c>
      <c r="BH398" s="4152">
        <f t="shared" si="521"/>
        <v>0</v>
      </c>
      <c r="BI398" s="4152"/>
      <c r="BJ398" s="4152">
        <f t="shared" si="522"/>
        <v>0</v>
      </c>
      <c r="BK398" s="4152">
        <f t="shared" si="523"/>
        <v>0</v>
      </c>
    </row>
    <row r="399" spans="1:63" s="6069" customFormat="1" x14ac:dyDescent="0.25">
      <c r="A399" s="1357"/>
      <c r="B399" s="3883" t="s">
        <v>1330</v>
      </c>
      <c r="C399" s="3842" t="s">
        <v>2052</v>
      </c>
      <c r="D399" s="3823"/>
      <c r="E399" s="7942"/>
      <c r="F399" s="5970"/>
      <c r="G399" s="7942"/>
      <c r="H399" s="5970"/>
      <c r="I399" s="7919"/>
      <c r="J399" s="5971"/>
      <c r="K399" s="7942"/>
      <c r="L399" s="5970"/>
      <c r="M399" s="7883"/>
      <c r="N399" s="5972"/>
      <c r="O399" s="7942"/>
      <c r="P399" s="5970"/>
      <c r="Q399" s="7919"/>
      <c r="R399" s="5971"/>
      <c r="S399" s="7942"/>
      <c r="T399" s="5970"/>
      <c r="U399" s="7919"/>
      <c r="V399" s="7310">
        <f t="shared" si="527"/>
        <v>0</v>
      </c>
      <c r="W399" s="7942"/>
      <c r="X399" s="5970">
        <v>58.38</v>
      </c>
      <c r="Y399" s="7883"/>
      <c r="Z399" s="7301">
        <f t="shared" si="528"/>
        <v>58.38</v>
      </c>
      <c r="AA399" s="7893"/>
      <c r="AB399" s="7302">
        <f t="shared" si="529"/>
        <v>58.38</v>
      </c>
      <c r="AC399" s="7942"/>
      <c r="AD399" s="5970"/>
      <c r="AE399" s="7919"/>
      <c r="AF399" s="7310">
        <f t="shared" si="530"/>
        <v>58.38</v>
      </c>
      <c r="AG399" s="7942"/>
      <c r="AH399" s="5970">
        <v>65.64</v>
      </c>
      <c r="AI399" s="7945"/>
      <c r="AJ399" s="7310">
        <f t="shared" si="535"/>
        <v>124.02000000000001</v>
      </c>
      <c r="AK399" s="7942"/>
      <c r="AL399" s="5970"/>
      <c r="AM399" s="7883"/>
      <c r="AN399" s="7301">
        <f t="shared" si="513"/>
        <v>65.64</v>
      </c>
      <c r="AO399" s="7919"/>
      <c r="AP399" s="7310">
        <f t="shared" si="514"/>
        <v>124.02000000000001</v>
      </c>
      <c r="AQ399" s="7942"/>
      <c r="AR399" s="5970"/>
      <c r="AS399" s="7945"/>
      <c r="AT399" s="7310">
        <f t="shared" si="534"/>
        <v>124.02000000000001</v>
      </c>
      <c r="AU399" s="7942"/>
      <c r="AV399" s="5970"/>
      <c r="AW399" s="7945"/>
      <c r="AX399" s="7310">
        <f t="shared" si="515"/>
        <v>124.02000000000001</v>
      </c>
      <c r="AY399" s="7942"/>
      <c r="AZ399" s="5970"/>
      <c r="BA399" s="7883"/>
      <c r="BB399" s="7301">
        <f t="shared" si="531"/>
        <v>0</v>
      </c>
      <c r="BC399" s="7893"/>
      <c r="BD399" s="7302">
        <f t="shared" si="517"/>
        <v>65.64</v>
      </c>
      <c r="BE399" s="7945"/>
      <c r="BF399" s="7310">
        <f t="shared" si="518"/>
        <v>124.02000000000001</v>
      </c>
      <c r="BG399" s="4152">
        <f t="shared" si="520"/>
        <v>0</v>
      </c>
      <c r="BH399" s="4152">
        <f t="shared" si="521"/>
        <v>0</v>
      </c>
      <c r="BI399" s="4152"/>
      <c r="BJ399" s="4152">
        <f t="shared" si="522"/>
        <v>0</v>
      </c>
      <c r="BK399" s="4152">
        <f t="shared" si="523"/>
        <v>0</v>
      </c>
    </row>
    <row r="400" spans="1:63" s="4156" customFormat="1" x14ac:dyDescent="0.25">
      <c r="A400" s="1357"/>
      <c r="B400" s="3883" t="s">
        <v>1330</v>
      </c>
      <c r="C400" s="3842" t="s">
        <v>1994</v>
      </c>
      <c r="D400" s="3823"/>
      <c r="E400" s="7934"/>
      <c r="F400" s="4157"/>
      <c r="G400" s="7934"/>
      <c r="H400" s="5575"/>
      <c r="I400" s="7914"/>
      <c r="J400" s="7310">
        <f t="shared" si="524"/>
        <v>0</v>
      </c>
      <c r="K400" s="7934"/>
      <c r="L400" s="5695">
        <v>436.43999999999994</v>
      </c>
      <c r="M400" s="7878"/>
      <c r="N400" s="7301">
        <f t="shared" si="525"/>
        <v>436.43999999999994</v>
      </c>
      <c r="O400" s="7934"/>
      <c r="P400" s="5857"/>
      <c r="Q400" s="7914"/>
      <c r="R400" s="7310">
        <f t="shared" si="526"/>
        <v>436.43999999999994</v>
      </c>
      <c r="S400" s="7934"/>
      <c r="T400" s="5902">
        <v>194.10000000000002</v>
      </c>
      <c r="U400" s="7914"/>
      <c r="V400" s="7310">
        <f t="shared" si="527"/>
        <v>630.54</v>
      </c>
      <c r="W400" s="7934"/>
      <c r="X400" s="6021"/>
      <c r="Y400" s="7878"/>
      <c r="Z400" s="7301">
        <f t="shared" si="528"/>
        <v>194.10000000000002</v>
      </c>
      <c r="AA400" s="7888"/>
      <c r="AB400" s="7302">
        <f t="shared" si="529"/>
        <v>630.54</v>
      </c>
      <c r="AC400" s="7934"/>
      <c r="AD400" s="6156"/>
      <c r="AE400" s="7914"/>
      <c r="AF400" s="7310">
        <f t="shared" si="530"/>
        <v>630.54</v>
      </c>
      <c r="AG400" s="7934"/>
      <c r="AH400" s="6318">
        <v>631.43999999999994</v>
      </c>
      <c r="AI400" s="7945"/>
      <c r="AJ400" s="7310">
        <f t="shared" si="535"/>
        <v>1261.98</v>
      </c>
      <c r="AK400" s="7934"/>
      <c r="AL400" s="6557"/>
      <c r="AM400" s="7878"/>
      <c r="AN400" s="7301">
        <f t="shared" si="513"/>
        <v>631.43999999999994</v>
      </c>
      <c r="AO400" s="7914"/>
      <c r="AP400" s="7310">
        <f t="shared" si="514"/>
        <v>1261.98</v>
      </c>
      <c r="AQ400" s="7934"/>
      <c r="AR400" s="6657"/>
      <c r="AS400" s="7945"/>
      <c r="AT400" s="7310">
        <f t="shared" si="534"/>
        <v>1261.98</v>
      </c>
      <c r="AU400" s="7934"/>
      <c r="AV400" s="6822"/>
      <c r="AW400" s="7945"/>
      <c r="AX400" s="7310">
        <f t="shared" si="515"/>
        <v>1261.98</v>
      </c>
      <c r="AY400" s="7934"/>
      <c r="AZ400" s="6966"/>
      <c r="BA400" s="7878"/>
      <c r="BB400" s="7301">
        <f t="shared" si="531"/>
        <v>0</v>
      </c>
      <c r="BC400" s="7888"/>
      <c r="BD400" s="7302">
        <f t="shared" si="517"/>
        <v>631.43999999999994</v>
      </c>
      <c r="BE400" s="7945"/>
      <c r="BF400" s="7310">
        <f t="shared" si="518"/>
        <v>1261.98</v>
      </c>
      <c r="BG400" s="4152">
        <f t="shared" si="520"/>
        <v>0</v>
      </c>
      <c r="BH400" s="4152">
        <f t="shared" si="521"/>
        <v>0</v>
      </c>
      <c r="BI400" s="4152"/>
      <c r="BJ400" s="4152">
        <f t="shared" si="522"/>
        <v>0</v>
      </c>
      <c r="BK400" s="4152">
        <f t="shared" si="523"/>
        <v>0</v>
      </c>
    </row>
    <row r="401" spans="1:63" x14ac:dyDescent="0.25">
      <c r="A401" s="1357"/>
      <c r="B401" s="3904" t="s">
        <v>2013</v>
      </c>
      <c r="C401" s="3847" t="s">
        <v>1994</v>
      </c>
      <c r="D401" s="3848"/>
      <c r="E401" s="7936"/>
      <c r="F401" s="2656"/>
      <c r="G401" s="7936"/>
      <c r="H401" s="2656"/>
      <c r="I401" s="7916"/>
      <c r="J401" s="7310">
        <f t="shared" si="524"/>
        <v>0</v>
      </c>
      <c r="K401" s="7936"/>
      <c r="L401" s="2656"/>
      <c r="M401" s="7880"/>
      <c r="N401" s="7301">
        <f t="shared" si="525"/>
        <v>0</v>
      </c>
      <c r="O401" s="7936"/>
      <c r="P401" s="2656">
        <v>36.74</v>
      </c>
      <c r="Q401" s="7916"/>
      <c r="R401" s="7310">
        <f t="shared" si="526"/>
        <v>36.74</v>
      </c>
      <c r="S401" s="7936"/>
      <c r="T401" s="2656"/>
      <c r="U401" s="7916"/>
      <c r="V401" s="7310">
        <f t="shared" si="527"/>
        <v>36.74</v>
      </c>
      <c r="W401" s="7936"/>
      <c r="X401" s="2656"/>
      <c r="Y401" s="7880"/>
      <c r="Z401" s="7301">
        <f t="shared" si="528"/>
        <v>36.74</v>
      </c>
      <c r="AA401" s="7890"/>
      <c r="AB401" s="7302">
        <f t="shared" si="529"/>
        <v>36.74</v>
      </c>
      <c r="AC401" s="7936"/>
      <c r="AD401" s="2656"/>
      <c r="AE401" s="7916"/>
      <c r="AF401" s="7310">
        <f t="shared" si="530"/>
        <v>36.74</v>
      </c>
      <c r="AG401" s="7936"/>
      <c r="AH401" s="2656"/>
      <c r="AI401" s="7945"/>
      <c r="AJ401" s="7310">
        <f t="shared" si="535"/>
        <v>36.74</v>
      </c>
      <c r="AK401" s="7936"/>
      <c r="AL401" s="2656"/>
      <c r="AM401" s="7880"/>
      <c r="AN401" s="7301">
        <f t="shared" si="513"/>
        <v>0</v>
      </c>
      <c r="AO401" s="7916"/>
      <c r="AP401" s="7310">
        <f t="shared" si="514"/>
        <v>36.74</v>
      </c>
      <c r="AQ401" s="7936"/>
      <c r="AR401" s="2656"/>
      <c r="AS401" s="7945"/>
      <c r="AT401" s="7310">
        <f t="shared" si="534"/>
        <v>36.74</v>
      </c>
      <c r="AU401" s="7936"/>
      <c r="AV401" s="2656"/>
      <c r="AW401" s="7945"/>
      <c r="AX401" s="7310">
        <f t="shared" si="515"/>
        <v>36.74</v>
      </c>
      <c r="AY401" s="7936"/>
      <c r="AZ401" s="2656"/>
      <c r="BA401" s="7880"/>
      <c r="BB401" s="7301">
        <f t="shared" si="531"/>
        <v>0</v>
      </c>
      <c r="BC401" s="7890"/>
      <c r="BD401" s="7302">
        <f t="shared" si="517"/>
        <v>0</v>
      </c>
      <c r="BE401" s="7945"/>
      <c r="BF401" s="7310">
        <f t="shared" si="518"/>
        <v>36.74</v>
      </c>
      <c r="BG401" s="4152">
        <f t="shared" si="520"/>
        <v>0</v>
      </c>
      <c r="BH401" s="4152">
        <f t="shared" si="521"/>
        <v>0</v>
      </c>
      <c r="BI401" s="4152"/>
      <c r="BJ401" s="4152">
        <f t="shared" si="522"/>
        <v>0</v>
      </c>
      <c r="BK401" s="4152">
        <f t="shared" si="523"/>
        <v>0</v>
      </c>
    </row>
    <row r="402" spans="1:63" s="5960" customFormat="1" x14ac:dyDescent="0.25">
      <c r="A402" s="1357"/>
      <c r="B402" s="5794" t="s">
        <v>2013</v>
      </c>
      <c r="C402" s="5795" t="s">
        <v>862</v>
      </c>
      <c r="D402" s="5796"/>
      <c r="E402" s="7935"/>
      <c r="F402" s="5797"/>
      <c r="G402" s="7935"/>
      <c r="H402" s="5797"/>
      <c r="I402" s="7915"/>
      <c r="J402" s="7310">
        <f t="shared" si="524"/>
        <v>0</v>
      </c>
      <c r="K402" s="7935"/>
      <c r="L402" s="5797"/>
      <c r="M402" s="7879"/>
      <c r="N402" s="7301">
        <f t="shared" si="525"/>
        <v>0</v>
      </c>
      <c r="O402" s="7935"/>
      <c r="P402" s="5797"/>
      <c r="Q402" s="7915"/>
      <c r="R402" s="7310">
        <f t="shared" si="526"/>
        <v>0</v>
      </c>
      <c r="S402" s="7935"/>
      <c r="T402" s="5797">
        <v>159.56</v>
      </c>
      <c r="U402" s="7915"/>
      <c r="V402" s="7310">
        <f t="shared" si="527"/>
        <v>159.56</v>
      </c>
      <c r="W402" s="7935"/>
      <c r="X402" s="5797"/>
      <c r="Y402" s="7879"/>
      <c r="Z402" s="7301">
        <f t="shared" si="528"/>
        <v>159.56</v>
      </c>
      <c r="AA402" s="7889"/>
      <c r="AB402" s="7302">
        <f t="shared" si="529"/>
        <v>159.56</v>
      </c>
      <c r="AC402" s="7935"/>
      <c r="AD402" s="5797"/>
      <c r="AE402" s="7915"/>
      <c r="AF402" s="7310">
        <f t="shared" si="530"/>
        <v>159.56</v>
      </c>
      <c r="AG402" s="7935"/>
      <c r="AH402" s="5797"/>
      <c r="AI402" s="7945"/>
      <c r="AJ402" s="7310">
        <f t="shared" si="535"/>
        <v>159.56</v>
      </c>
      <c r="AK402" s="7935"/>
      <c r="AL402" s="5797"/>
      <c r="AM402" s="7879"/>
      <c r="AN402" s="7301">
        <f t="shared" si="513"/>
        <v>0</v>
      </c>
      <c r="AO402" s="7915"/>
      <c r="AP402" s="7310">
        <f t="shared" si="514"/>
        <v>159.56</v>
      </c>
      <c r="AQ402" s="7935"/>
      <c r="AR402" s="5797"/>
      <c r="AS402" s="7945"/>
      <c r="AT402" s="5739">
        <f t="shared" si="534"/>
        <v>159.56</v>
      </c>
      <c r="AU402" s="7935"/>
      <c r="AV402" s="5797"/>
      <c r="AW402" s="7945"/>
      <c r="AX402" s="7310">
        <f t="shared" si="515"/>
        <v>159.56</v>
      </c>
      <c r="AY402" s="7935"/>
      <c r="AZ402" s="5797"/>
      <c r="BA402" s="7879"/>
      <c r="BB402" s="7301">
        <f t="shared" si="531"/>
        <v>0</v>
      </c>
      <c r="BC402" s="7889"/>
      <c r="BD402" s="7302">
        <f t="shared" ref="BD402:BD414" si="536">AN402+BB402</f>
        <v>0</v>
      </c>
      <c r="BE402" s="7945"/>
      <c r="BF402" s="7310">
        <f t="shared" si="518"/>
        <v>159.56</v>
      </c>
      <c r="BG402" s="4152">
        <f t="shared" si="520"/>
        <v>0</v>
      </c>
      <c r="BH402" s="4152">
        <f t="shared" si="521"/>
        <v>0</v>
      </c>
      <c r="BI402" s="4152"/>
      <c r="BJ402" s="4152">
        <f t="shared" si="522"/>
        <v>0</v>
      </c>
      <c r="BK402" s="4152">
        <f t="shared" si="523"/>
        <v>0</v>
      </c>
    </row>
    <row r="403" spans="1:63" s="5960" customFormat="1" x14ac:dyDescent="0.25">
      <c r="A403" s="1357"/>
      <c r="B403" s="5794" t="s">
        <v>2013</v>
      </c>
      <c r="C403" s="5795" t="s">
        <v>863</v>
      </c>
      <c r="D403" s="5796"/>
      <c r="E403" s="7935"/>
      <c r="F403" s="5797">
        <v>524.23</v>
      </c>
      <c r="G403" s="7935"/>
      <c r="H403" s="5797"/>
      <c r="I403" s="7915"/>
      <c r="J403" s="7310">
        <f t="shared" si="524"/>
        <v>524.23</v>
      </c>
      <c r="K403" s="7935"/>
      <c r="L403" s="5797"/>
      <c r="M403" s="7879"/>
      <c r="N403" s="7301">
        <f t="shared" si="525"/>
        <v>524.23</v>
      </c>
      <c r="O403" s="7935"/>
      <c r="P403" s="5797"/>
      <c r="Q403" s="7915"/>
      <c r="R403" s="7310">
        <f t="shared" si="526"/>
        <v>524.23</v>
      </c>
      <c r="S403" s="7935"/>
      <c r="T403" s="5797">
        <v>1234.2699999999998</v>
      </c>
      <c r="U403" s="7915"/>
      <c r="V403" s="7310">
        <f t="shared" si="527"/>
        <v>1758.4999999999998</v>
      </c>
      <c r="W403" s="7935"/>
      <c r="X403" s="5797">
        <v>404.23</v>
      </c>
      <c r="Y403" s="7879"/>
      <c r="Z403" s="7301">
        <f t="shared" si="528"/>
        <v>1638.4999999999998</v>
      </c>
      <c r="AA403" s="7889"/>
      <c r="AB403" s="7302">
        <f t="shared" si="529"/>
        <v>2162.7299999999996</v>
      </c>
      <c r="AC403" s="7935"/>
      <c r="AD403" s="5797">
        <v>476.32</v>
      </c>
      <c r="AE403" s="7915"/>
      <c r="AF403" s="7310">
        <f t="shared" si="530"/>
        <v>2639.0499999999997</v>
      </c>
      <c r="AG403" s="7935"/>
      <c r="AH403" s="5797">
        <v>394.05999999999995</v>
      </c>
      <c r="AI403" s="7945"/>
      <c r="AJ403" s="7310">
        <f t="shared" si="535"/>
        <v>3033.1099999999997</v>
      </c>
      <c r="AK403" s="7935"/>
      <c r="AL403" s="5797">
        <v>1190.7700000000002</v>
      </c>
      <c r="AM403" s="7879"/>
      <c r="AN403" s="7301">
        <f t="shared" si="513"/>
        <v>2061.15</v>
      </c>
      <c r="AO403" s="7915"/>
      <c r="AP403" s="7310">
        <f t="shared" si="514"/>
        <v>4223.88</v>
      </c>
      <c r="AQ403" s="7935"/>
      <c r="AR403" s="5797">
        <v>915.5200000000001</v>
      </c>
      <c r="AS403" s="7945"/>
      <c r="AT403" s="5739">
        <f t="shared" si="534"/>
        <v>5139.4000000000005</v>
      </c>
      <c r="AU403" s="7935"/>
      <c r="AV403" s="5797"/>
      <c r="AW403" s="7945"/>
      <c r="AX403" s="7310">
        <f t="shared" si="515"/>
        <v>5139.4000000000005</v>
      </c>
      <c r="AY403" s="7935"/>
      <c r="AZ403" s="5797"/>
      <c r="BA403" s="7879"/>
      <c r="BB403" s="7301">
        <f t="shared" si="531"/>
        <v>915.5200000000001</v>
      </c>
      <c r="BC403" s="7889"/>
      <c r="BD403" s="7302">
        <f t="shared" si="536"/>
        <v>2976.67</v>
      </c>
      <c r="BE403" s="7945"/>
      <c r="BF403" s="7310">
        <f t="shared" si="518"/>
        <v>5139.4000000000005</v>
      </c>
      <c r="BG403" s="4152">
        <f t="shared" si="520"/>
        <v>0</v>
      </c>
      <c r="BH403" s="4152">
        <f t="shared" si="521"/>
        <v>0</v>
      </c>
      <c r="BI403" s="4152"/>
      <c r="BJ403" s="4152">
        <f t="shared" si="522"/>
        <v>0</v>
      </c>
      <c r="BK403" s="4152">
        <f t="shared" si="523"/>
        <v>0</v>
      </c>
    </row>
    <row r="404" spans="1:63" s="5960" customFormat="1" x14ac:dyDescent="0.25">
      <c r="A404" s="1357"/>
      <c r="B404" s="5794" t="s">
        <v>2032</v>
      </c>
      <c r="C404" s="5795" t="s">
        <v>863</v>
      </c>
      <c r="D404" s="5796"/>
      <c r="E404" s="7935"/>
      <c r="F404" s="5797"/>
      <c r="G404" s="7935"/>
      <c r="H404" s="5797"/>
      <c r="I404" s="7915"/>
      <c r="J404" s="7310">
        <f t="shared" si="524"/>
        <v>0</v>
      </c>
      <c r="K404" s="7935"/>
      <c r="L404" s="5797"/>
      <c r="M404" s="7879"/>
      <c r="N404" s="7301">
        <f t="shared" si="525"/>
        <v>0</v>
      </c>
      <c r="O404" s="7935"/>
      <c r="P404" s="5797"/>
      <c r="Q404" s="7915"/>
      <c r="R404" s="7310">
        <f t="shared" si="526"/>
        <v>0</v>
      </c>
      <c r="S404" s="7935"/>
      <c r="T404" s="5797">
        <v>1016.57</v>
      </c>
      <c r="U404" s="7915"/>
      <c r="V404" s="7310">
        <f t="shared" si="527"/>
        <v>1016.57</v>
      </c>
      <c r="W404" s="7935"/>
      <c r="X404" s="5797"/>
      <c r="Y404" s="7879"/>
      <c r="Z404" s="7301">
        <f t="shared" si="528"/>
        <v>1016.57</v>
      </c>
      <c r="AA404" s="7889"/>
      <c r="AB404" s="7302">
        <f t="shared" si="529"/>
        <v>1016.57</v>
      </c>
      <c r="AC404" s="7935"/>
      <c r="AD404" s="5797"/>
      <c r="AE404" s="7915"/>
      <c r="AF404" s="7310">
        <f t="shared" si="530"/>
        <v>1016.57</v>
      </c>
      <c r="AG404" s="7935"/>
      <c r="AH404" s="5797"/>
      <c r="AI404" s="7945"/>
      <c r="AJ404" s="7310">
        <f t="shared" si="535"/>
        <v>1016.57</v>
      </c>
      <c r="AK404" s="7935"/>
      <c r="AL404" s="5797">
        <v>1133.8699999999999</v>
      </c>
      <c r="AM404" s="7879"/>
      <c r="AN404" s="7301">
        <f t="shared" si="513"/>
        <v>1133.8699999999999</v>
      </c>
      <c r="AO404" s="7915"/>
      <c r="AP404" s="7310">
        <f t="shared" si="514"/>
        <v>2150.44</v>
      </c>
      <c r="AQ404" s="7935"/>
      <c r="AR404" s="5797"/>
      <c r="AS404" s="7945"/>
      <c r="AT404" s="5739">
        <f t="shared" si="534"/>
        <v>2150.44</v>
      </c>
      <c r="AU404" s="7935"/>
      <c r="AV404" s="5797">
        <v>2294.3199999999997</v>
      </c>
      <c r="AW404" s="7945"/>
      <c r="AX404" s="7310">
        <f t="shared" si="515"/>
        <v>4444.76</v>
      </c>
      <c r="AY404" s="7935"/>
      <c r="AZ404" s="5797"/>
      <c r="BA404" s="7879"/>
      <c r="BB404" s="7301">
        <f t="shared" si="531"/>
        <v>2294.3199999999997</v>
      </c>
      <c r="BC404" s="7889"/>
      <c r="BD404" s="7302">
        <f t="shared" si="536"/>
        <v>3428.1899999999996</v>
      </c>
      <c r="BE404" s="7945"/>
      <c r="BF404" s="7310">
        <f t="shared" si="518"/>
        <v>4444.76</v>
      </c>
      <c r="BG404" s="4152">
        <f t="shared" si="520"/>
        <v>0</v>
      </c>
      <c r="BH404" s="4152">
        <f t="shared" si="521"/>
        <v>0</v>
      </c>
      <c r="BI404" s="4152"/>
      <c r="BJ404" s="4152">
        <f t="shared" si="522"/>
        <v>0</v>
      </c>
      <c r="BK404" s="4152">
        <f t="shared" si="523"/>
        <v>0</v>
      </c>
    </row>
    <row r="405" spans="1:63" x14ac:dyDescent="0.25">
      <c r="A405" s="144"/>
      <c r="B405" s="3865" t="s">
        <v>900</v>
      </c>
      <c r="C405" s="3836" t="s">
        <v>863</v>
      </c>
      <c r="D405" s="3815"/>
      <c r="E405" s="7931"/>
      <c r="F405" s="1819"/>
      <c r="G405" s="7931"/>
      <c r="H405" s="1819"/>
      <c r="I405" s="7911"/>
      <c r="J405" s="7310">
        <f t="shared" si="524"/>
        <v>0</v>
      </c>
      <c r="K405" s="7931"/>
      <c r="L405" s="1819"/>
      <c r="M405" s="7875"/>
      <c r="N405" s="7301">
        <f t="shared" si="525"/>
        <v>0</v>
      </c>
      <c r="O405" s="7931"/>
      <c r="P405" s="1819"/>
      <c r="Q405" s="7911"/>
      <c r="R405" s="7310">
        <f t="shared" si="526"/>
        <v>0</v>
      </c>
      <c r="S405" s="7931"/>
      <c r="T405" s="1819">
        <v>1614.04</v>
      </c>
      <c r="U405" s="7911"/>
      <c r="V405" s="7310">
        <f t="shared" si="527"/>
        <v>1614.04</v>
      </c>
      <c r="W405" s="7931"/>
      <c r="X405" s="1819"/>
      <c r="Y405" s="7875"/>
      <c r="Z405" s="7301">
        <f t="shared" si="528"/>
        <v>1614.04</v>
      </c>
      <c r="AA405" s="7885"/>
      <c r="AB405" s="7302">
        <f t="shared" si="529"/>
        <v>1614.04</v>
      </c>
      <c r="AC405" s="7931"/>
      <c r="AD405" s="1819">
        <v>63.3</v>
      </c>
      <c r="AE405" s="7911"/>
      <c r="AF405" s="7310">
        <f t="shared" si="530"/>
        <v>1677.34</v>
      </c>
      <c r="AG405" s="7931"/>
      <c r="AH405" s="1819"/>
      <c r="AI405" s="7945"/>
      <c r="AJ405" s="7310">
        <f t="shared" si="535"/>
        <v>1677.34</v>
      </c>
      <c r="AK405" s="7931"/>
      <c r="AL405" s="1819">
        <v>1352.12</v>
      </c>
      <c r="AM405" s="7875"/>
      <c r="AN405" s="7301">
        <f t="shared" si="513"/>
        <v>1415.4199999999998</v>
      </c>
      <c r="AO405" s="7911"/>
      <c r="AP405" s="7310">
        <f t="shared" si="514"/>
        <v>3029.46</v>
      </c>
      <c r="AQ405" s="7931"/>
      <c r="AR405" s="1819">
        <v>257.91999999999996</v>
      </c>
      <c r="AS405" s="7945"/>
      <c r="AT405" s="7310">
        <f t="shared" si="534"/>
        <v>3287.38</v>
      </c>
      <c r="AU405" s="7931"/>
      <c r="AV405" s="1819"/>
      <c r="AW405" s="7945"/>
      <c r="AX405" s="7310">
        <f t="shared" si="515"/>
        <v>3287.38</v>
      </c>
      <c r="AY405" s="7931"/>
      <c r="AZ405" s="1819">
        <v>127.66</v>
      </c>
      <c r="BA405" s="7875"/>
      <c r="BB405" s="7301">
        <f t="shared" si="531"/>
        <v>385.57999999999993</v>
      </c>
      <c r="BC405" s="7885"/>
      <c r="BD405" s="7302">
        <f t="shared" si="536"/>
        <v>1800.9999999999998</v>
      </c>
      <c r="BE405" s="7945"/>
      <c r="BF405" s="7310">
        <f t="shared" si="518"/>
        <v>3415.04</v>
      </c>
      <c r="BG405" s="4152">
        <f t="shared" ref="BG405:BG468" si="537">AY405+AU405+AQ405+AK405+AG405+AC405+W405+S405+O405+K405+G405+E405-BE405</f>
        <v>0</v>
      </c>
      <c r="BH405" s="4152">
        <f t="shared" ref="BH405:BH468" si="538">AZ405+AV405+AR405+AL405+AH405+AD405+X405+T405+P405+L405+H405+F405-BF405</f>
        <v>0</v>
      </c>
      <c r="BI405" s="4152"/>
      <c r="BJ405" s="4152">
        <f t="shared" ref="BJ405:BJ468" si="539">AY405+AU405+AQ405+AK405+AG405+AC405-BC405</f>
        <v>0</v>
      </c>
      <c r="BK405" s="4152">
        <f t="shared" ref="BK405:BK468" si="540">AZ405+AV405+AR405+AL405+AH405+AD405-BD405</f>
        <v>0</v>
      </c>
    </row>
    <row r="406" spans="1:63" s="6880" customFormat="1" x14ac:dyDescent="0.25">
      <c r="A406" s="144"/>
      <c r="B406" s="6608" t="s">
        <v>2032</v>
      </c>
      <c r="C406" s="3836" t="s">
        <v>2247</v>
      </c>
      <c r="D406" s="6688"/>
      <c r="E406" s="7943"/>
      <c r="F406" s="6365"/>
      <c r="G406" s="7943"/>
      <c r="H406" s="6365"/>
      <c r="I406" s="7918"/>
      <c r="J406" s="6366"/>
      <c r="K406" s="7943"/>
      <c r="L406" s="6365"/>
      <c r="M406" s="7882"/>
      <c r="N406" s="6367"/>
      <c r="O406" s="7943"/>
      <c r="P406" s="6365"/>
      <c r="Q406" s="7918"/>
      <c r="R406" s="6366"/>
      <c r="S406" s="7943"/>
      <c r="T406" s="6365"/>
      <c r="U406" s="7918"/>
      <c r="V406" s="6366"/>
      <c r="W406" s="7943"/>
      <c r="X406" s="6365"/>
      <c r="Y406" s="7882"/>
      <c r="Z406" s="6367"/>
      <c r="AA406" s="7892"/>
      <c r="AB406" s="6895"/>
      <c r="AC406" s="7943"/>
      <c r="AD406" s="6365"/>
      <c r="AE406" s="7918"/>
      <c r="AF406" s="6366"/>
      <c r="AG406" s="7943"/>
      <c r="AH406" s="6365"/>
      <c r="AI406" s="7945"/>
      <c r="AJ406" s="6366"/>
      <c r="AK406" s="7943"/>
      <c r="AL406" s="6365"/>
      <c r="AM406" s="7882"/>
      <c r="AN406" s="6367"/>
      <c r="AO406" s="7918"/>
      <c r="AP406" s="6366"/>
      <c r="AQ406" s="7943"/>
      <c r="AR406" s="6365"/>
      <c r="AS406" s="7945"/>
      <c r="AT406" s="6366"/>
      <c r="AU406" s="7943"/>
      <c r="AV406" s="6365">
        <v>432.62</v>
      </c>
      <c r="AW406" s="7945"/>
      <c r="AX406" s="7310">
        <f t="shared" si="515"/>
        <v>432.62</v>
      </c>
      <c r="AY406" s="7943"/>
      <c r="AZ406" s="6365"/>
      <c r="BA406" s="7882"/>
      <c r="BB406" s="7301">
        <f t="shared" si="531"/>
        <v>432.62</v>
      </c>
      <c r="BC406" s="7892"/>
      <c r="BD406" s="7302">
        <f t="shared" si="536"/>
        <v>432.62</v>
      </c>
      <c r="BE406" s="7945"/>
      <c r="BF406" s="7310">
        <f t="shared" si="518"/>
        <v>432.62</v>
      </c>
      <c r="BG406" s="4152">
        <f t="shared" si="537"/>
        <v>0</v>
      </c>
      <c r="BH406" s="4152">
        <f t="shared" si="538"/>
        <v>0</v>
      </c>
      <c r="BI406" s="4152"/>
      <c r="BJ406" s="4152">
        <f t="shared" si="539"/>
        <v>0</v>
      </c>
      <c r="BK406" s="4152">
        <f t="shared" si="540"/>
        <v>0</v>
      </c>
    </row>
    <row r="407" spans="1:63" x14ac:dyDescent="0.25">
      <c r="A407" s="144"/>
      <c r="B407" s="3865" t="s">
        <v>1995</v>
      </c>
      <c r="C407" s="3836" t="s">
        <v>862</v>
      </c>
      <c r="D407" s="3815"/>
      <c r="E407" s="7931"/>
      <c r="F407" s="1819"/>
      <c r="G407" s="7931"/>
      <c r="H407" s="1819"/>
      <c r="I407" s="7911"/>
      <c r="J407" s="7310">
        <f t="shared" si="524"/>
        <v>0</v>
      </c>
      <c r="K407" s="7931"/>
      <c r="L407" s="1819"/>
      <c r="M407" s="7875"/>
      <c r="N407" s="7301">
        <f t="shared" si="525"/>
        <v>0</v>
      </c>
      <c r="O407" s="7931"/>
      <c r="P407" s="1819">
        <v>105.24</v>
      </c>
      <c r="Q407" s="7911"/>
      <c r="R407" s="7310">
        <f t="shared" si="526"/>
        <v>105.24</v>
      </c>
      <c r="S407" s="7931"/>
      <c r="T407" s="1819"/>
      <c r="U407" s="7911"/>
      <c r="V407" s="7310">
        <f t="shared" si="527"/>
        <v>105.24</v>
      </c>
      <c r="W407" s="7931"/>
      <c r="X407" s="1819"/>
      <c r="Y407" s="7875"/>
      <c r="Z407" s="7301">
        <f t="shared" si="528"/>
        <v>105.24</v>
      </c>
      <c r="AA407" s="7885"/>
      <c r="AB407" s="7302">
        <f t="shared" si="529"/>
        <v>105.24</v>
      </c>
      <c r="AC407" s="7931"/>
      <c r="AD407" s="1819"/>
      <c r="AE407" s="7911"/>
      <c r="AF407" s="7310">
        <f t="shared" si="530"/>
        <v>105.24</v>
      </c>
      <c r="AG407" s="7931"/>
      <c r="AH407" s="1819"/>
      <c r="AI407" s="7945"/>
      <c r="AJ407" s="7310">
        <f t="shared" si="535"/>
        <v>105.24</v>
      </c>
      <c r="AK407" s="7931"/>
      <c r="AL407" s="1819"/>
      <c r="AM407" s="7875"/>
      <c r="AN407" s="7301">
        <f t="shared" si="513"/>
        <v>0</v>
      </c>
      <c r="AO407" s="7911"/>
      <c r="AP407" s="7310">
        <f t="shared" si="514"/>
        <v>105.24</v>
      </c>
      <c r="AQ407" s="7931"/>
      <c r="AR407" s="1819"/>
      <c r="AS407" s="7945"/>
      <c r="AT407" s="7310">
        <f t="shared" si="534"/>
        <v>105.24</v>
      </c>
      <c r="AU407" s="7931"/>
      <c r="AV407" s="1819"/>
      <c r="AW407" s="7945"/>
      <c r="AX407" s="7310">
        <f t="shared" si="515"/>
        <v>105.24</v>
      </c>
      <c r="AY407" s="7931"/>
      <c r="AZ407" s="1819"/>
      <c r="BA407" s="7875"/>
      <c r="BB407" s="7301">
        <f t="shared" si="531"/>
        <v>0</v>
      </c>
      <c r="BC407" s="7885"/>
      <c r="BD407" s="7302">
        <f t="shared" si="536"/>
        <v>0</v>
      </c>
      <c r="BE407" s="7945"/>
      <c r="BF407" s="7310">
        <f t="shared" si="518"/>
        <v>105.24</v>
      </c>
      <c r="BG407" s="4152">
        <f t="shared" si="537"/>
        <v>0</v>
      </c>
      <c r="BH407" s="4152">
        <f t="shared" si="538"/>
        <v>0</v>
      </c>
      <c r="BI407" s="4152"/>
      <c r="BJ407" s="4152">
        <f t="shared" si="539"/>
        <v>0</v>
      </c>
      <c r="BK407" s="4152">
        <f t="shared" si="540"/>
        <v>0</v>
      </c>
    </row>
    <row r="408" spans="1:63" s="5729" customFormat="1" x14ac:dyDescent="0.25">
      <c r="A408" s="144"/>
      <c r="B408" s="5794" t="s">
        <v>1995</v>
      </c>
      <c r="C408" s="5795" t="s">
        <v>863</v>
      </c>
      <c r="D408" s="5796"/>
      <c r="E408" s="7935"/>
      <c r="F408" s="5797">
        <v>788.52999999999986</v>
      </c>
      <c r="G408" s="7935"/>
      <c r="H408" s="5797"/>
      <c r="I408" s="7915"/>
      <c r="J408" s="7310">
        <f t="shared" si="524"/>
        <v>788.52999999999986</v>
      </c>
      <c r="K408" s="7935"/>
      <c r="L408" s="5797">
        <v>827.30000000000018</v>
      </c>
      <c r="M408" s="7879"/>
      <c r="N408" s="7301">
        <f t="shared" si="525"/>
        <v>1615.83</v>
      </c>
      <c r="O408" s="7935"/>
      <c r="P408" s="5797">
        <v>1242.3599999999999</v>
      </c>
      <c r="Q408" s="7915"/>
      <c r="R408" s="7310">
        <f t="shared" si="526"/>
        <v>2858.1899999999996</v>
      </c>
      <c r="S408" s="7935"/>
      <c r="T408" s="5797">
        <v>1012.41</v>
      </c>
      <c r="U408" s="7915"/>
      <c r="V408" s="7310">
        <f t="shared" si="527"/>
        <v>3870.5999999999995</v>
      </c>
      <c r="W408" s="7935"/>
      <c r="X408" s="5797">
        <v>1268.3499999999997</v>
      </c>
      <c r="Y408" s="7879"/>
      <c r="Z408" s="7301">
        <f t="shared" si="528"/>
        <v>3523.12</v>
      </c>
      <c r="AA408" s="7889"/>
      <c r="AB408" s="7302">
        <f t="shared" si="529"/>
        <v>5138.95</v>
      </c>
      <c r="AC408" s="7935"/>
      <c r="AD408" s="5797">
        <v>121.43</v>
      </c>
      <c r="AE408" s="7915"/>
      <c r="AF408" s="7310">
        <f t="shared" si="530"/>
        <v>5260.38</v>
      </c>
      <c r="AG408" s="7935"/>
      <c r="AH408" s="5797">
        <v>1592.2900000000004</v>
      </c>
      <c r="AI408" s="7945"/>
      <c r="AJ408" s="7310">
        <f t="shared" si="535"/>
        <v>6852.67</v>
      </c>
      <c r="AK408" s="7935"/>
      <c r="AL408" s="5797">
        <v>1264.8699999999999</v>
      </c>
      <c r="AM408" s="7879"/>
      <c r="AN408" s="7301">
        <f t="shared" si="513"/>
        <v>2978.59</v>
      </c>
      <c r="AO408" s="7915"/>
      <c r="AP408" s="7310">
        <f t="shared" si="514"/>
        <v>8117.54</v>
      </c>
      <c r="AQ408" s="7935"/>
      <c r="AR408" s="5797">
        <v>1800.5999999999995</v>
      </c>
      <c r="AS408" s="7945"/>
      <c r="AT408" s="5739">
        <f t="shared" si="534"/>
        <v>9918.14</v>
      </c>
      <c r="AU408" s="7935"/>
      <c r="AV408" s="5797"/>
      <c r="AW408" s="7945"/>
      <c r="AX408" s="7310">
        <f t="shared" si="515"/>
        <v>9918.14</v>
      </c>
      <c r="AY408" s="7935"/>
      <c r="AZ408" s="5797">
        <v>1461.08</v>
      </c>
      <c r="BA408" s="7879"/>
      <c r="BB408" s="7301">
        <f t="shared" si="531"/>
        <v>3261.6799999999994</v>
      </c>
      <c r="BC408" s="7889"/>
      <c r="BD408" s="7302">
        <f t="shared" si="536"/>
        <v>6240.2699999999995</v>
      </c>
      <c r="BE408" s="7945"/>
      <c r="BF408" s="7310">
        <f t="shared" si="518"/>
        <v>11379.22</v>
      </c>
      <c r="BG408" s="4152">
        <f t="shared" si="537"/>
        <v>0</v>
      </c>
      <c r="BH408" s="4152">
        <f t="shared" si="538"/>
        <v>0</v>
      </c>
      <c r="BI408" s="4152"/>
      <c r="BJ408" s="4152">
        <f t="shared" si="539"/>
        <v>0</v>
      </c>
      <c r="BK408" s="4152">
        <f t="shared" si="540"/>
        <v>0</v>
      </c>
    </row>
    <row r="409" spans="1:63" x14ac:dyDescent="0.25">
      <c r="A409" s="144"/>
      <c r="B409" s="3865" t="s">
        <v>1034</v>
      </c>
      <c r="C409" s="3836" t="s">
        <v>862</v>
      </c>
      <c r="D409" s="3815"/>
      <c r="E409" s="7931"/>
      <c r="F409" s="1819"/>
      <c r="G409" s="7931"/>
      <c r="H409" s="1819"/>
      <c r="I409" s="7911"/>
      <c r="J409" s="7310">
        <f t="shared" si="524"/>
        <v>0</v>
      </c>
      <c r="K409" s="7931"/>
      <c r="L409" s="1819">
        <v>254.04</v>
      </c>
      <c r="M409" s="7875"/>
      <c r="N409" s="7301">
        <f t="shared" si="525"/>
        <v>254.04</v>
      </c>
      <c r="O409" s="7931"/>
      <c r="P409" s="1819"/>
      <c r="Q409" s="7911"/>
      <c r="R409" s="7310">
        <f t="shared" si="526"/>
        <v>254.04</v>
      </c>
      <c r="S409" s="7931"/>
      <c r="T409" s="1819"/>
      <c r="U409" s="7911"/>
      <c r="V409" s="7310">
        <f t="shared" si="527"/>
        <v>254.04</v>
      </c>
      <c r="W409" s="7931"/>
      <c r="X409" s="1819"/>
      <c r="Y409" s="7875"/>
      <c r="Z409" s="7301">
        <f t="shared" si="528"/>
        <v>0</v>
      </c>
      <c r="AA409" s="7885"/>
      <c r="AB409" s="7302">
        <f t="shared" si="529"/>
        <v>254.04</v>
      </c>
      <c r="AC409" s="7931"/>
      <c r="AD409" s="1819"/>
      <c r="AE409" s="7911"/>
      <c r="AF409" s="7310">
        <f t="shared" si="530"/>
        <v>254.04</v>
      </c>
      <c r="AG409" s="7931"/>
      <c r="AH409" s="1819"/>
      <c r="AI409" s="7945"/>
      <c r="AJ409" s="7310">
        <f t="shared" si="535"/>
        <v>254.04</v>
      </c>
      <c r="AK409" s="7931"/>
      <c r="AL409" s="1819"/>
      <c r="AM409" s="7875"/>
      <c r="AN409" s="7301">
        <f t="shared" si="513"/>
        <v>0</v>
      </c>
      <c r="AO409" s="7911"/>
      <c r="AP409" s="7310">
        <f t="shared" si="514"/>
        <v>254.04</v>
      </c>
      <c r="AQ409" s="7931"/>
      <c r="AR409" s="1819"/>
      <c r="AS409" s="7945"/>
      <c r="AT409" s="7310">
        <f t="shared" si="534"/>
        <v>254.04</v>
      </c>
      <c r="AU409" s="7931"/>
      <c r="AV409" s="1819"/>
      <c r="AW409" s="7945"/>
      <c r="AX409" s="7310">
        <f t="shared" si="515"/>
        <v>254.04</v>
      </c>
      <c r="AY409" s="7931"/>
      <c r="AZ409" s="1819"/>
      <c r="BA409" s="7875"/>
      <c r="BB409" s="7301">
        <f t="shared" si="531"/>
        <v>0</v>
      </c>
      <c r="BC409" s="7885"/>
      <c r="BD409" s="7302">
        <f t="shared" si="536"/>
        <v>0</v>
      </c>
      <c r="BE409" s="7945"/>
      <c r="BF409" s="7310">
        <f t="shared" si="518"/>
        <v>254.04</v>
      </c>
      <c r="BG409" s="4152">
        <f t="shared" si="537"/>
        <v>0</v>
      </c>
      <c r="BH409" s="4152">
        <f t="shared" si="538"/>
        <v>0</v>
      </c>
      <c r="BI409" s="4152"/>
      <c r="BJ409" s="4152">
        <f t="shared" si="539"/>
        <v>0</v>
      </c>
      <c r="BK409" s="4152">
        <f t="shared" si="540"/>
        <v>0</v>
      </c>
    </row>
    <row r="410" spans="1:63" x14ac:dyDescent="0.25">
      <c r="A410" s="1358"/>
      <c r="B410" s="3865" t="s">
        <v>1034</v>
      </c>
      <c r="C410" s="3836" t="s">
        <v>863</v>
      </c>
      <c r="D410" s="3815"/>
      <c r="E410" s="7931"/>
      <c r="F410" s="1819">
        <v>1675.24</v>
      </c>
      <c r="G410" s="7931"/>
      <c r="H410" s="1819">
        <v>3496.87</v>
      </c>
      <c r="I410" s="7911"/>
      <c r="J410" s="7310">
        <f t="shared" si="524"/>
        <v>5172.1099999999997</v>
      </c>
      <c r="K410" s="7931"/>
      <c r="L410" s="1819">
        <v>1656.0600000000002</v>
      </c>
      <c r="M410" s="7875"/>
      <c r="N410" s="7301">
        <f t="shared" si="525"/>
        <v>6828.17</v>
      </c>
      <c r="O410" s="7931"/>
      <c r="P410" s="1819">
        <v>6056.3099999999986</v>
      </c>
      <c r="Q410" s="7911"/>
      <c r="R410" s="7310">
        <f t="shared" si="526"/>
        <v>12884.48</v>
      </c>
      <c r="S410" s="7931"/>
      <c r="T410" s="1819">
        <v>2637.28</v>
      </c>
      <c r="U410" s="7911"/>
      <c r="V410" s="7310">
        <f t="shared" si="527"/>
        <v>15521.76</v>
      </c>
      <c r="W410" s="7931"/>
      <c r="X410" s="1819">
        <v>4015.2200000000003</v>
      </c>
      <c r="Y410" s="7875"/>
      <c r="Z410" s="7301">
        <f t="shared" si="528"/>
        <v>12708.809999999998</v>
      </c>
      <c r="AA410" s="7885"/>
      <c r="AB410" s="7302">
        <f t="shared" si="529"/>
        <v>19536.979999999996</v>
      </c>
      <c r="AC410" s="7931"/>
      <c r="AD410" s="1819">
        <v>1021.5799999999999</v>
      </c>
      <c r="AE410" s="7911"/>
      <c r="AF410" s="7310">
        <f t="shared" si="530"/>
        <v>20558.559999999998</v>
      </c>
      <c r="AG410" s="7931"/>
      <c r="AH410" s="1819">
        <v>2151.16</v>
      </c>
      <c r="AI410" s="7945"/>
      <c r="AJ410" s="7310">
        <f t="shared" si="535"/>
        <v>22709.719999999998</v>
      </c>
      <c r="AK410" s="7931"/>
      <c r="AL410" s="1819">
        <v>2288.3660000000004</v>
      </c>
      <c r="AM410" s="7875"/>
      <c r="AN410" s="7301">
        <f t="shared" si="513"/>
        <v>5461.1059999999998</v>
      </c>
      <c r="AO410" s="7911"/>
      <c r="AP410" s="7310">
        <f t="shared" si="514"/>
        <v>24998.085999999999</v>
      </c>
      <c r="AQ410" s="7931"/>
      <c r="AR410" s="1819">
        <v>3013.52</v>
      </c>
      <c r="AS410" s="7945"/>
      <c r="AT410" s="7310">
        <f t="shared" si="534"/>
        <v>28011.606</v>
      </c>
      <c r="AU410" s="7931"/>
      <c r="AV410" s="1819">
        <v>4932.07</v>
      </c>
      <c r="AW410" s="7945"/>
      <c r="AX410" s="7310">
        <f t="shared" si="515"/>
        <v>32943.675999999999</v>
      </c>
      <c r="AY410" s="7931"/>
      <c r="AZ410" s="1819">
        <v>2488.2199999999998</v>
      </c>
      <c r="BA410" s="7875"/>
      <c r="BB410" s="7301">
        <f t="shared" si="531"/>
        <v>10433.81</v>
      </c>
      <c r="BC410" s="7885"/>
      <c r="BD410" s="7302">
        <f t="shared" si="536"/>
        <v>15894.915999999999</v>
      </c>
      <c r="BE410" s="7945"/>
      <c r="BF410" s="7310">
        <f t="shared" si="518"/>
        <v>35431.896000000001</v>
      </c>
      <c r="BG410" s="4152">
        <f t="shared" si="537"/>
        <v>0</v>
      </c>
      <c r="BH410" s="4152">
        <f t="shared" si="538"/>
        <v>0</v>
      </c>
      <c r="BI410" s="4152"/>
      <c r="BJ410" s="4152">
        <f t="shared" si="539"/>
        <v>0</v>
      </c>
      <c r="BK410" s="4152">
        <f t="shared" si="540"/>
        <v>0</v>
      </c>
    </row>
    <row r="411" spans="1:63" ht="15.75" thickBot="1" x14ac:dyDescent="0.3">
      <c r="A411" s="1358"/>
      <c r="B411" s="3869" t="s">
        <v>1034</v>
      </c>
      <c r="C411" s="3870" t="s">
        <v>1534</v>
      </c>
      <c r="D411" s="3898"/>
      <c r="E411" s="7931"/>
      <c r="F411" s="1819"/>
      <c r="G411" s="7931"/>
      <c r="H411" s="1819">
        <v>305.62</v>
      </c>
      <c r="I411" s="7911"/>
      <c r="J411" s="7310">
        <f t="shared" si="524"/>
        <v>305.62</v>
      </c>
      <c r="K411" s="7931"/>
      <c r="L411" s="1819"/>
      <c r="M411" s="7875"/>
      <c r="N411" s="7301">
        <f t="shared" si="525"/>
        <v>305.62</v>
      </c>
      <c r="O411" s="7931"/>
      <c r="P411" s="1819">
        <v>1577.5400000000002</v>
      </c>
      <c r="Q411" s="7911"/>
      <c r="R411" s="7310">
        <f t="shared" si="526"/>
        <v>1883.1600000000003</v>
      </c>
      <c r="S411" s="7931"/>
      <c r="T411" s="1819"/>
      <c r="U411" s="7911"/>
      <c r="V411" s="7310">
        <f t="shared" si="527"/>
        <v>1883.1600000000003</v>
      </c>
      <c r="W411" s="7931"/>
      <c r="X411" s="1819">
        <v>427.96</v>
      </c>
      <c r="Y411" s="7875"/>
      <c r="Z411" s="7301">
        <f t="shared" si="528"/>
        <v>2005.5000000000002</v>
      </c>
      <c r="AA411" s="7885"/>
      <c r="AB411" s="7302">
        <f t="shared" si="529"/>
        <v>2311.1200000000003</v>
      </c>
      <c r="AC411" s="7931"/>
      <c r="AD411" s="1819"/>
      <c r="AE411" s="7911"/>
      <c r="AF411" s="7310">
        <f t="shared" si="530"/>
        <v>2311.1200000000003</v>
      </c>
      <c r="AG411" s="7931"/>
      <c r="AH411" s="1819"/>
      <c r="AI411" s="7945"/>
      <c r="AJ411" s="7310">
        <f t="shared" si="535"/>
        <v>2311.1200000000003</v>
      </c>
      <c r="AK411" s="7931"/>
      <c r="AL411" s="1819">
        <v>391.22</v>
      </c>
      <c r="AM411" s="7875"/>
      <c r="AN411" s="7301">
        <f t="shared" si="513"/>
        <v>391.22</v>
      </c>
      <c r="AO411" s="7911"/>
      <c r="AP411" s="7310">
        <f t="shared" si="514"/>
        <v>2702.34</v>
      </c>
      <c r="AQ411" s="7931"/>
      <c r="AR411" s="1819"/>
      <c r="AS411" s="7945"/>
      <c r="AT411" s="7310">
        <f t="shared" si="534"/>
        <v>2702.34</v>
      </c>
      <c r="AU411" s="7931"/>
      <c r="AV411" s="1819">
        <v>123.02</v>
      </c>
      <c r="AW411" s="7945"/>
      <c r="AX411" s="7310">
        <f t="shared" si="515"/>
        <v>2825.36</v>
      </c>
      <c r="AY411" s="7931"/>
      <c r="AZ411" s="1819">
        <v>305.88</v>
      </c>
      <c r="BA411" s="7875"/>
      <c r="BB411" s="7301">
        <f t="shared" si="531"/>
        <v>428.9</v>
      </c>
      <c r="BC411" s="7885"/>
      <c r="BD411" s="7302">
        <f t="shared" si="536"/>
        <v>820.12</v>
      </c>
      <c r="BE411" s="7945"/>
      <c r="BF411" s="7310">
        <f t="shared" si="518"/>
        <v>3131.2400000000002</v>
      </c>
      <c r="BG411" s="4152">
        <f t="shared" si="537"/>
        <v>0</v>
      </c>
      <c r="BH411" s="4152">
        <f t="shared" si="538"/>
        <v>0</v>
      </c>
      <c r="BI411" s="4152"/>
      <c r="BJ411" s="4152">
        <f t="shared" si="539"/>
        <v>0</v>
      </c>
      <c r="BK411" s="4152">
        <f t="shared" si="540"/>
        <v>0</v>
      </c>
    </row>
    <row r="412" spans="1:63" x14ac:dyDescent="0.25">
      <c r="A412" s="144"/>
      <c r="B412" s="3153" t="s">
        <v>854</v>
      </c>
      <c r="C412" s="3810" t="s">
        <v>863</v>
      </c>
      <c r="D412" s="3899"/>
      <c r="E412" s="7937"/>
      <c r="F412" s="1819"/>
      <c r="G412" s="7937"/>
      <c r="H412" s="1819"/>
      <c r="I412" s="7911"/>
      <c r="J412" s="7310">
        <f t="shared" si="524"/>
        <v>0</v>
      </c>
      <c r="K412" s="7937"/>
      <c r="L412" s="1819"/>
      <c r="M412" s="7875"/>
      <c r="N412" s="7301">
        <f t="shared" si="525"/>
        <v>0</v>
      </c>
      <c r="O412" s="7937"/>
      <c r="P412" s="1819"/>
      <c r="Q412" s="7911"/>
      <c r="R412" s="7310">
        <f t="shared" si="526"/>
        <v>0</v>
      </c>
      <c r="S412" s="7937"/>
      <c r="T412" s="1819">
        <v>251.2</v>
      </c>
      <c r="U412" s="7911"/>
      <c r="V412" s="7310">
        <f t="shared" si="527"/>
        <v>251.2</v>
      </c>
      <c r="W412" s="7937"/>
      <c r="X412" s="1819">
        <v>159.76</v>
      </c>
      <c r="Y412" s="7875"/>
      <c r="Z412" s="7301">
        <f t="shared" si="528"/>
        <v>410.96</v>
      </c>
      <c r="AA412" s="7885"/>
      <c r="AB412" s="7302">
        <f t="shared" si="529"/>
        <v>410.96</v>
      </c>
      <c r="AC412" s="7937"/>
      <c r="AD412" s="1819"/>
      <c r="AE412" s="7911"/>
      <c r="AF412" s="7310">
        <f t="shared" si="530"/>
        <v>410.96</v>
      </c>
      <c r="AG412" s="7937"/>
      <c r="AH412" s="1819"/>
      <c r="AI412" s="7945"/>
      <c r="AJ412" s="7310">
        <f t="shared" si="535"/>
        <v>410.96</v>
      </c>
      <c r="AK412" s="7937"/>
      <c r="AL412" s="1819"/>
      <c r="AM412" s="7875"/>
      <c r="AN412" s="7301">
        <f t="shared" si="513"/>
        <v>0</v>
      </c>
      <c r="AO412" s="7911"/>
      <c r="AP412" s="7310">
        <f t="shared" si="514"/>
        <v>410.96</v>
      </c>
      <c r="AQ412" s="7937"/>
      <c r="AR412" s="1819"/>
      <c r="AS412" s="7945"/>
      <c r="AT412" s="7310">
        <f t="shared" si="534"/>
        <v>410.96</v>
      </c>
      <c r="AU412" s="7937"/>
      <c r="AV412" s="1819"/>
      <c r="AW412" s="7945"/>
      <c r="AX412" s="7310">
        <f t="shared" si="515"/>
        <v>410.96</v>
      </c>
      <c r="AY412" s="7937"/>
      <c r="AZ412" s="1819"/>
      <c r="BA412" s="7875"/>
      <c r="BB412" s="7301">
        <f t="shared" si="531"/>
        <v>0</v>
      </c>
      <c r="BC412" s="7885"/>
      <c r="BD412" s="7302">
        <f t="shared" si="536"/>
        <v>0</v>
      </c>
      <c r="BE412" s="7945"/>
      <c r="BF412" s="7310">
        <f t="shared" si="518"/>
        <v>410.96</v>
      </c>
      <c r="BG412" s="4152">
        <f t="shared" si="537"/>
        <v>0</v>
      </c>
      <c r="BH412" s="4152">
        <f t="shared" si="538"/>
        <v>0</v>
      </c>
      <c r="BI412" s="4152"/>
      <c r="BJ412" s="4152">
        <f t="shared" si="539"/>
        <v>0</v>
      </c>
      <c r="BK412" s="4152">
        <f t="shared" si="540"/>
        <v>0</v>
      </c>
    </row>
    <row r="413" spans="1:63" x14ac:dyDescent="0.25">
      <c r="A413" s="144"/>
      <c r="B413" s="797" t="s">
        <v>1485</v>
      </c>
      <c r="C413" s="3846" t="s">
        <v>863</v>
      </c>
      <c r="D413" s="3900"/>
      <c r="E413" s="7937"/>
      <c r="F413" s="1819">
        <f>755.4+272.36</f>
        <v>1027.76</v>
      </c>
      <c r="G413" s="7937"/>
      <c r="H413" s="1819"/>
      <c r="I413" s="7911"/>
      <c r="J413" s="7310">
        <f t="shared" si="524"/>
        <v>1027.76</v>
      </c>
      <c r="K413" s="7937"/>
      <c r="L413" s="1819">
        <v>1828.2400000000002</v>
      </c>
      <c r="M413" s="7875"/>
      <c r="N413" s="7301">
        <f t="shared" si="525"/>
        <v>2856</v>
      </c>
      <c r="O413" s="7937"/>
      <c r="P413" s="1819">
        <v>66.86</v>
      </c>
      <c r="Q413" s="7911"/>
      <c r="R413" s="7310">
        <f t="shared" si="526"/>
        <v>2922.86</v>
      </c>
      <c r="S413" s="7937"/>
      <c r="T413" s="1819">
        <v>66.08</v>
      </c>
      <c r="U413" s="7911"/>
      <c r="V413" s="7310">
        <f t="shared" si="527"/>
        <v>2988.94</v>
      </c>
      <c r="W413" s="7937"/>
      <c r="X413" s="1819"/>
      <c r="Y413" s="7875"/>
      <c r="Z413" s="7301">
        <f t="shared" si="528"/>
        <v>132.94</v>
      </c>
      <c r="AA413" s="7885"/>
      <c r="AB413" s="7302">
        <f t="shared" si="529"/>
        <v>2988.94</v>
      </c>
      <c r="AC413" s="7937"/>
      <c r="AD413" s="1819"/>
      <c r="AE413" s="7911"/>
      <c r="AF413" s="7310">
        <f t="shared" si="530"/>
        <v>2988.94</v>
      </c>
      <c r="AG413" s="7937"/>
      <c r="AH413" s="1819"/>
      <c r="AI413" s="7945"/>
      <c r="AJ413" s="7310">
        <f t="shared" ref="AJ413:AJ431" si="541">AF413+AH413</f>
        <v>2988.94</v>
      </c>
      <c r="AK413" s="7937"/>
      <c r="AL413" s="1819"/>
      <c r="AM413" s="7875"/>
      <c r="AN413" s="7301">
        <f t="shared" si="513"/>
        <v>0</v>
      </c>
      <c r="AO413" s="7911"/>
      <c r="AP413" s="7310">
        <f t="shared" si="514"/>
        <v>2988.94</v>
      </c>
      <c r="AQ413" s="7937"/>
      <c r="AR413" s="1819"/>
      <c r="AS413" s="7945"/>
      <c r="AT413" s="7310">
        <f t="shared" si="534"/>
        <v>2988.94</v>
      </c>
      <c r="AU413" s="7937"/>
      <c r="AV413" s="1819"/>
      <c r="AW413" s="7945"/>
      <c r="AX413" s="7310">
        <f t="shared" si="515"/>
        <v>2988.94</v>
      </c>
      <c r="AY413" s="7937"/>
      <c r="AZ413" s="1819"/>
      <c r="BA413" s="7875"/>
      <c r="BB413" s="7301">
        <f t="shared" si="531"/>
        <v>0</v>
      </c>
      <c r="BC413" s="7885"/>
      <c r="BD413" s="7302">
        <f t="shared" si="536"/>
        <v>0</v>
      </c>
      <c r="BE413" s="7945"/>
      <c r="BF413" s="7310">
        <f t="shared" si="518"/>
        <v>2988.94</v>
      </c>
      <c r="BG413" s="4152">
        <f t="shared" si="537"/>
        <v>0</v>
      </c>
      <c r="BH413" s="4152">
        <f t="shared" si="538"/>
        <v>0</v>
      </c>
      <c r="BI413" s="4152"/>
      <c r="BJ413" s="4152">
        <f t="shared" si="539"/>
        <v>0</v>
      </c>
      <c r="BK413" s="4152">
        <f t="shared" si="540"/>
        <v>0</v>
      </c>
    </row>
    <row r="414" spans="1:63" ht="15.75" thickBot="1" x14ac:dyDescent="0.3">
      <c r="A414" s="144"/>
      <c r="B414" s="3157" t="s">
        <v>1486</v>
      </c>
      <c r="C414" s="3817" t="s">
        <v>862</v>
      </c>
      <c r="D414" s="3901"/>
      <c r="E414" s="7937"/>
      <c r="F414" s="1819"/>
      <c r="G414" s="7937"/>
      <c r="H414" s="1819"/>
      <c r="I414" s="7911"/>
      <c r="J414" s="7310">
        <f t="shared" si="524"/>
        <v>0</v>
      </c>
      <c r="K414" s="7937"/>
      <c r="L414" s="1819"/>
      <c r="M414" s="7875"/>
      <c r="N414" s="7301">
        <f t="shared" si="525"/>
        <v>0</v>
      </c>
      <c r="O414" s="7937"/>
      <c r="P414" s="1819"/>
      <c r="Q414" s="7911"/>
      <c r="R414" s="7310">
        <f t="shared" si="526"/>
        <v>0</v>
      </c>
      <c r="S414" s="7937"/>
      <c r="T414" s="1819"/>
      <c r="U414" s="7911"/>
      <c r="V414" s="7310">
        <f t="shared" si="527"/>
        <v>0</v>
      </c>
      <c r="W414" s="7937"/>
      <c r="X414" s="1819"/>
      <c r="Y414" s="7875"/>
      <c r="Z414" s="7301">
        <f t="shared" si="528"/>
        <v>0</v>
      </c>
      <c r="AA414" s="7885"/>
      <c r="AB414" s="7302">
        <f t="shared" si="529"/>
        <v>0</v>
      </c>
      <c r="AC414" s="7937"/>
      <c r="AD414" s="1819"/>
      <c r="AE414" s="7911"/>
      <c r="AF414" s="7310">
        <f t="shared" si="530"/>
        <v>0</v>
      </c>
      <c r="AG414" s="7937"/>
      <c r="AH414" s="1819"/>
      <c r="AI414" s="7945"/>
      <c r="AJ414" s="7310">
        <f t="shared" si="541"/>
        <v>0</v>
      </c>
      <c r="AK414" s="7937"/>
      <c r="AL414" s="1819"/>
      <c r="AM414" s="7875"/>
      <c r="AN414" s="7301">
        <f t="shared" si="513"/>
        <v>0</v>
      </c>
      <c r="AO414" s="7911"/>
      <c r="AP414" s="7310">
        <f t="shared" si="514"/>
        <v>0</v>
      </c>
      <c r="AQ414" s="7937"/>
      <c r="AR414" s="1819"/>
      <c r="AS414" s="7945"/>
      <c r="AT414" s="7310">
        <f t="shared" si="534"/>
        <v>0</v>
      </c>
      <c r="AU414" s="7937"/>
      <c r="AV414" s="1819"/>
      <c r="AW414" s="7945"/>
      <c r="AX414" s="7310">
        <f t="shared" si="515"/>
        <v>0</v>
      </c>
      <c r="AY414" s="7937"/>
      <c r="AZ414" s="1819"/>
      <c r="BA414" s="7875"/>
      <c r="BB414" s="7301">
        <f t="shared" si="531"/>
        <v>0</v>
      </c>
      <c r="BC414" s="7885"/>
      <c r="BD414" s="7302">
        <f t="shared" si="536"/>
        <v>0</v>
      </c>
      <c r="BE414" s="7945"/>
      <c r="BF414" s="7310">
        <f t="shared" si="518"/>
        <v>0</v>
      </c>
      <c r="BG414" s="4152">
        <f t="shared" si="537"/>
        <v>0</v>
      </c>
      <c r="BH414" s="4152">
        <f t="shared" si="538"/>
        <v>0</v>
      </c>
      <c r="BI414" s="4152"/>
      <c r="BJ414" s="4152">
        <f t="shared" si="539"/>
        <v>0</v>
      </c>
      <c r="BK414" s="4152">
        <f t="shared" si="540"/>
        <v>0</v>
      </c>
    </row>
    <row r="415" spans="1:63" ht="20.25" customHeight="1" x14ac:dyDescent="0.25">
      <c r="A415" s="144"/>
      <c r="B415" s="3883" t="s">
        <v>1131</v>
      </c>
      <c r="C415" s="214"/>
      <c r="D415" s="214"/>
      <c r="E415" s="7931"/>
      <c r="F415" s="3906">
        <f>F28</f>
        <v>0</v>
      </c>
      <c r="G415" s="7931"/>
      <c r="H415" s="5567">
        <f>H28</f>
        <v>0</v>
      </c>
      <c r="I415" s="7911"/>
      <c r="J415" s="7310">
        <f t="shared" si="524"/>
        <v>0</v>
      </c>
      <c r="K415" s="7931"/>
      <c r="L415" s="5679">
        <f>L28</f>
        <v>0</v>
      </c>
      <c r="M415" s="7875"/>
      <c r="N415" s="7301">
        <f t="shared" si="525"/>
        <v>0</v>
      </c>
      <c r="O415" s="7931"/>
      <c r="P415" s="5836">
        <f>P28</f>
        <v>0</v>
      </c>
      <c r="Q415" s="7911"/>
      <c r="R415" s="7310">
        <f t="shared" si="526"/>
        <v>0</v>
      </c>
      <c r="S415" s="7931"/>
      <c r="T415" s="5892">
        <f>T28</f>
        <v>0</v>
      </c>
      <c r="U415" s="7911"/>
      <c r="V415" s="7310">
        <f t="shared" si="527"/>
        <v>0</v>
      </c>
      <c r="W415" s="7931"/>
      <c r="X415" s="6006">
        <f>X28</f>
        <v>0</v>
      </c>
      <c r="Y415" s="7875"/>
      <c r="Z415" s="7301">
        <f t="shared" si="528"/>
        <v>0</v>
      </c>
      <c r="AA415" s="7885"/>
      <c r="AB415" s="7302">
        <f t="shared" si="529"/>
        <v>0</v>
      </c>
      <c r="AC415" s="7931"/>
      <c r="AD415" s="6137">
        <f>AD28</f>
        <v>0</v>
      </c>
      <c r="AE415" s="7911"/>
      <c r="AF415" s="7310">
        <f t="shared" si="530"/>
        <v>0</v>
      </c>
      <c r="AG415" s="7931"/>
      <c r="AH415" s="6299">
        <f>AH28</f>
        <v>0</v>
      </c>
      <c r="AI415" s="7946"/>
      <c r="AJ415" s="7310">
        <f t="shared" si="541"/>
        <v>0</v>
      </c>
      <c r="AK415" s="7931"/>
      <c r="AL415" s="6548">
        <f>AL28</f>
        <v>0</v>
      </c>
      <c r="AM415" s="7875"/>
      <c r="AN415" s="7301">
        <f t="shared" si="513"/>
        <v>0</v>
      </c>
      <c r="AO415" s="7911"/>
      <c r="AP415" s="7310">
        <f t="shared" si="514"/>
        <v>0</v>
      </c>
      <c r="AQ415" s="7931"/>
      <c r="AR415" s="6642">
        <f>AR28</f>
        <v>0</v>
      </c>
      <c r="AS415" s="7946"/>
      <c r="AT415" s="7310">
        <f t="shared" si="534"/>
        <v>0</v>
      </c>
      <c r="AU415" s="7931"/>
      <c r="AV415" s="6814">
        <f>AV28</f>
        <v>0</v>
      </c>
      <c r="AW415" s="7946"/>
      <c r="AX415" s="7310">
        <f t="shared" si="515"/>
        <v>0</v>
      </c>
      <c r="AY415" s="7931"/>
      <c r="AZ415" s="6956">
        <f>AZ28</f>
        <v>0</v>
      </c>
      <c r="BA415" s="7875"/>
      <c r="BB415" s="7301">
        <f t="shared" ref="BB415" si="542">AR415+AV415+AZ415</f>
        <v>0</v>
      </c>
      <c r="BC415" s="7885"/>
      <c r="BD415" s="7302">
        <f t="shared" si="517"/>
        <v>0</v>
      </c>
      <c r="BE415" s="7946"/>
      <c r="BF415" s="7310">
        <f t="shared" si="518"/>
        <v>0</v>
      </c>
      <c r="BG415" s="4152">
        <f t="shared" si="537"/>
        <v>0</v>
      </c>
      <c r="BH415" s="4152">
        <f t="shared" si="538"/>
        <v>0</v>
      </c>
      <c r="BI415" s="4152"/>
      <c r="BJ415" s="4152">
        <f t="shared" si="539"/>
        <v>0</v>
      </c>
      <c r="BK415" s="4152">
        <f t="shared" si="540"/>
        <v>0</v>
      </c>
    </row>
    <row r="416" spans="1:63" ht="20.25" customHeight="1" x14ac:dyDescent="0.25">
      <c r="A416" s="144"/>
      <c r="B416" s="3799" t="s">
        <v>121</v>
      </c>
      <c r="C416" s="194" t="s">
        <v>50</v>
      </c>
      <c r="D416" s="1820">
        <f>+D29</f>
        <v>850000</v>
      </c>
      <c r="E416" s="1820">
        <f>+E29</f>
        <v>56000</v>
      </c>
      <c r="F416" s="1820">
        <f>SUM(F307:F415)</f>
        <v>50540.922999999995</v>
      </c>
      <c r="G416" s="1820">
        <f>+G29</f>
        <v>65000</v>
      </c>
      <c r="H416" s="1820">
        <f>SUM(H307:H415)</f>
        <v>57716.000000000007</v>
      </c>
      <c r="I416" s="7311">
        <f>E416+G416</f>
        <v>121000</v>
      </c>
      <c r="J416" s="7310">
        <f t="shared" si="524"/>
        <v>108256.92300000001</v>
      </c>
      <c r="K416" s="1820">
        <f>+K29</f>
        <v>62500</v>
      </c>
      <c r="L416" s="1820">
        <f>SUM(L307:L415)</f>
        <v>56720.679999999993</v>
      </c>
      <c r="M416" s="7303">
        <f>E416+G416+K416</f>
        <v>183500</v>
      </c>
      <c r="N416" s="7301">
        <f t="shared" si="525"/>
        <v>164977.603</v>
      </c>
      <c r="O416" s="1820">
        <f>+O29</f>
        <v>65000</v>
      </c>
      <c r="P416" s="1820">
        <f>SUM(P307:P415)</f>
        <v>57264.829999999994</v>
      </c>
      <c r="Q416" s="7311">
        <f>M416+O416</f>
        <v>248500</v>
      </c>
      <c r="R416" s="7310">
        <f t="shared" si="526"/>
        <v>222242.43299999999</v>
      </c>
      <c r="S416" s="1820">
        <f>+S29</f>
        <v>65000</v>
      </c>
      <c r="T416" s="1820">
        <f>SUM(T307:T415)</f>
        <v>47224.14</v>
      </c>
      <c r="U416" s="7311">
        <f>Q416+S416</f>
        <v>313500</v>
      </c>
      <c r="V416" s="7310">
        <f t="shared" si="527"/>
        <v>269466.57299999997</v>
      </c>
      <c r="W416" s="1820">
        <f>+W29</f>
        <v>33500</v>
      </c>
      <c r="X416" s="1820">
        <f>SUM(X307:X415)</f>
        <v>45948.12</v>
      </c>
      <c r="Y416" s="7303">
        <f t="shared" ref="Y416" si="543">O416+S416+W416</f>
        <v>163500</v>
      </c>
      <c r="Z416" s="7301">
        <f t="shared" si="528"/>
        <v>150437.09</v>
      </c>
      <c r="AA416" s="513">
        <f>M416+Y416</f>
        <v>347000</v>
      </c>
      <c r="AB416" s="7302">
        <f t="shared" si="529"/>
        <v>315414.69299999997</v>
      </c>
      <c r="AC416" s="1820">
        <f>+AC29</f>
        <v>67000</v>
      </c>
      <c r="AD416" s="1820">
        <f>SUM(AD307:AD415)</f>
        <v>30215.879999999997</v>
      </c>
      <c r="AE416" s="7311">
        <f>AA416+AC416</f>
        <v>414000</v>
      </c>
      <c r="AF416" s="7310">
        <f t="shared" si="530"/>
        <v>345630.57299999997</v>
      </c>
      <c r="AG416" s="1820">
        <f>+AG29</f>
        <v>65000</v>
      </c>
      <c r="AH416" s="1820">
        <f>SUM(AH307:AH415)</f>
        <v>49444.750000000015</v>
      </c>
      <c r="AI416" s="7311">
        <f>AE416+AG416</f>
        <v>479000</v>
      </c>
      <c r="AJ416" s="7311">
        <f t="shared" si="541"/>
        <v>395075.32299999997</v>
      </c>
      <c r="AK416" s="1820">
        <f>+AK29</f>
        <v>67500</v>
      </c>
      <c r="AL416" s="1820">
        <f>SUM(AL307:AL415)</f>
        <v>51538.881000000008</v>
      </c>
      <c r="AM416" s="7303">
        <f t="shared" ref="AM416" si="544">AC416+AG416+AK416</f>
        <v>199500</v>
      </c>
      <c r="AN416" s="7303">
        <f t="shared" si="513"/>
        <v>131199.511</v>
      </c>
      <c r="AO416" s="7311">
        <f t="shared" si="514"/>
        <v>546500</v>
      </c>
      <c r="AP416" s="7311">
        <f t="shared" si="514"/>
        <v>446614.20399999997</v>
      </c>
      <c r="AQ416" s="1820">
        <f>+AQ29</f>
        <v>68000</v>
      </c>
      <c r="AR416" s="1820">
        <f>SUM(AR307:AR415)</f>
        <v>55396.939999999988</v>
      </c>
      <c r="AS416" s="7311">
        <f>AO416+AQ416</f>
        <v>614500</v>
      </c>
      <c r="AT416" s="7311">
        <f t="shared" ref="AT416:AT430" si="545">AP416+AR416</f>
        <v>502011.14399999997</v>
      </c>
      <c r="AU416" s="1820">
        <f>+AU29</f>
        <v>61000</v>
      </c>
      <c r="AV416" s="1820">
        <f>SUM(AV307:AV415)</f>
        <v>53071.49</v>
      </c>
      <c r="AW416" s="7311">
        <f>AS416+AU416</f>
        <v>675500</v>
      </c>
      <c r="AX416" s="7311">
        <f t="shared" si="515"/>
        <v>555082.63399999996</v>
      </c>
      <c r="AY416" s="1820">
        <f>+AY29</f>
        <v>68500</v>
      </c>
      <c r="AZ416" s="1820">
        <f>SUM(AZ307:AZ415)</f>
        <v>58800.212000000007</v>
      </c>
      <c r="BA416" s="7303">
        <f t="shared" ref="BA416" si="546">AQ416+AU416+AY416</f>
        <v>197500</v>
      </c>
      <c r="BB416" s="7303">
        <f t="shared" ref="BB416" si="547">AR416+AV416+AZ416</f>
        <v>167268.64199999999</v>
      </c>
      <c r="BC416" s="513">
        <f>AM416+BA416</f>
        <v>397000</v>
      </c>
      <c r="BD416" s="513">
        <f>AN416+BB416</f>
        <v>298468.15299999999</v>
      </c>
      <c r="BE416" s="7311">
        <f>AW416+AY416</f>
        <v>744000</v>
      </c>
      <c r="BF416" s="7311">
        <f t="shared" si="518"/>
        <v>613882.84600000002</v>
      </c>
      <c r="BG416" s="4152">
        <f t="shared" si="537"/>
        <v>0</v>
      </c>
      <c r="BH416" s="4152">
        <f t="shared" si="538"/>
        <v>0</v>
      </c>
      <c r="BI416" s="4152"/>
      <c r="BJ416" s="4152">
        <f t="shared" si="539"/>
        <v>0</v>
      </c>
      <c r="BK416" s="4152">
        <f t="shared" si="540"/>
        <v>0</v>
      </c>
    </row>
    <row r="417" spans="1:63" ht="20.25" customHeight="1" x14ac:dyDescent="0.25">
      <c r="A417" s="144"/>
      <c r="B417" s="423" t="s">
        <v>637</v>
      </c>
      <c r="C417" s="610"/>
      <c r="D417" s="610"/>
      <c r="E417" s="3907"/>
      <c r="F417" s="1259"/>
      <c r="G417" s="3907"/>
      <c r="H417" s="1259"/>
      <c r="I417" s="3908"/>
      <c r="J417" s="7310">
        <f t="shared" si="524"/>
        <v>0</v>
      </c>
      <c r="K417" s="3907"/>
      <c r="L417" s="1259"/>
      <c r="M417" s="850"/>
      <c r="N417" s="7301">
        <f t="shared" si="525"/>
        <v>0</v>
      </c>
      <c r="O417" s="3907"/>
      <c r="P417" s="1259"/>
      <c r="Q417" s="3908"/>
      <c r="R417" s="7310">
        <f t="shared" si="526"/>
        <v>0</v>
      </c>
      <c r="S417" s="3907"/>
      <c r="T417" s="1259"/>
      <c r="U417" s="3908"/>
      <c r="V417" s="7310">
        <f t="shared" si="527"/>
        <v>0</v>
      </c>
      <c r="W417" s="3907"/>
      <c r="X417" s="1259"/>
      <c r="Y417" s="850"/>
      <c r="Z417" s="7301">
        <f t="shared" si="528"/>
        <v>0</v>
      </c>
      <c r="AA417" s="4501"/>
      <c r="AB417" s="7302">
        <f t="shared" si="529"/>
        <v>0</v>
      </c>
      <c r="AC417" s="3907"/>
      <c r="AD417" s="1259"/>
      <c r="AE417" s="3908"/>
      <c r="AF417" s="7310">
        <f t="shared" si="530"/>
        <v>0</v>
      </c>
      <c r="AG417" s="3907"/>
      <c r="AH417" s="1259"/>
      <c r="AI417" s="3908"/>
      <c r="AJ417" s="7310"/>
      <c r="AK417" s="3907"/>
      <c r="AL417" s="1259"/>
      <c r="AM417" s="850"/>
      <c r="AN417" s="7301"/>
      <c r="AO417" s="3908"/>
      <c r="AP417" s="7310"/>
      <c r="AQ417" s="3907"/>
      <c r="AR417" s="1259"/>
      <c r="AS417" s="3908"/>
      <c r="AT417" s="7310">
        <f t="shared" si="545"/>
        <v>0</v>
      </c>
      <c r="AU417" s="3907"/>
      <c r="AV417" s="1259"/>
      <c r="AW417" s="3908"/>
      <c r="AX417" s="7310">
        <f t="shared" si="515"/>
        <v>0</v>
      </c>
      <c r="AY417" s="3907"/>
      <c r="AZ417" s="1259"/>
      <c r="BA417" s="850"/>
      <c r="BB417" s="7301"/>
      <c r="BC417" s="4501"/>
      <c r="BD417" s="7302"/>
      <c r="BE417" s="3908"/>
      <c r="BF417" s="7310">
        <f t="shared" si="518"/>
        <v>0</v>
      </c>
      <c r="BG417" s="4152">
        <f t="shared" si="537"/>
        <v>0</v>
      </c>
      <c r="BH417" s="4152">
        <f t="shared" si="538"/>
        <v>0</v>
      </c>
      <c r="BI417" s="4152"/>
      <c r="BJ417" s="4152">
        <f t="shared" si="539"/>
        <v>0</v>
      </c>
      <c r="BK417" s="4152">
        <f t="shared" si="540"/>
        <v>0</v>
      </c>
    </row>
    <row r="418" spans="1:63" ht="20.25" customHeight="1" x14ac:dyDescent="0.25">
      <c r="A418" s="90"/>
      <c r="B418" s="3891" t="s">
        <v>1457</v>
      </c>
      <c r="C418" s="7337" t="s">
        <v>50</v>
      </c>
      <c r="D418" s="148"/>
      <c r="E418" s="3907"/>
      <c r="F418" s="1819"/>
      <c r="G418" s="3907"/>
      <c r="H418" s="1819"/>
      <c r="I418" s="3908"/>
      <c r="J418" s="7310">
        <f t="shared" si="524"/>
        <v>0</v>
      </c>
      <c r="K418" s="3907"/>
      <c r="L418" s="1819"/>
      <c r="M418" s="850"/>
      <c r="N418" s="7301">
        <f t="shared" si="525"/>
        <v>0</v>
      </c>
      <c r="O418" s="3907"/>
      <c r="P418" s="1819"/>
      <c r="Q418" s="3908"/>
      <c r="R418" s="7310">
        <f t="shared" si="526"/>
        <v>0</v>
      </c>
      <c r="S418" s="3907"/>
      <c r="T418" s="1819"/>
      <c r="U418" s="3908"/>
      <c r="V418" s="7310">
        <f t="shared" si="527"/>
        <v>0</v>
      </c>
      <c r="W418" s="3907"/>
      <c r="X418" s="1819"/>
      <c r="Y418" s="850"/>
      <c r="Z418" s="7301">
        <f t="shared" si="528"/>
        <v>0</v>
      </c>
      <c r="AA418" s="4501"/>
      <c r="AB418" s="7302">
        <f t="shared" si="529"/>
        <v>0</v>
      </c>
      <c r="AC418" s="3907"/>
      <c r="AD418" s="1819"/>
      <c r="AE418" s="3908"/>
      <c r="AF418" s="7310">
        <f t="shared" si="530"/>
        <v>0</v>
      </c>
      <c r="AG418" s="3907"/>
      <c r="AH418" s="1819"/>
      <c r="AI418" s="3908"/>
      <c r="AJ418" s="7310">
        <f t="shared" si="541"/>
        <v>0</v>
      </c>
      <c r="AK418" s="3907"/>
      <c r="AL418" s="1819"/>
      <c r="AM418" s="850"/>
      <c r="AN418" s="7301">
        <f>AD418+AH418+AL418</f>
        <v>0</v>
      </c>
      <c r="AO418" s="3908"/>
      <c r="AP418" s="7310">
        <f t="shared" si="514"/>
        <v>0</v>
      </c>
      <c r="AQ418" s="3907"/>
      <c r="AR418" s="1819"/>
      <c r="AS418" s="3908"/>
      <c r="AT418" s="7310">
        <f t="shared" si="545"/>
        <v>0</v>
      </c>
      <c r="AU418" s="3907"/>
      <c r="AV418" s="1819"/>
      <c r="AW418" s="3908"/>
      <c r="AX418" s="7310">
        <f t="shared" si="515"/>
        <v>0</v>
      </c>
      <c r="AY418" s="3907"/>
      <c r="AZ418" s="1819"/>
      <c r="BA418" s="850"/>
      <c r="BB418" s="7301">
        <f>AR418+AV418+AZ418</f>
        <v>0</v>
      </c>
      <c r="BC418" s="4501"/>
      <c r="BD418" s="7302">
        <f t="shared" ref="BD418:BD430" si="548">AN418+BB418</f>
        <v>0</v>
      </c>
      <c r="BE418" s="3908"/>
      <c r="BF418" s="7310">
        <f t="shared" si="518"/>
        <v>0</v>
      </c>
      <c r="BG418" s="4152">
        <f t="shared" si="537"/>
        <v>0</v>
      </c>
      <c r="BH418" s="4152">
        <f t="shared" si="538"/>
        <v>0</v>
      </c>
      <c r="BI418" s="4152"/>
      <c r="BJ418" s="4152">
        <f t="shared" si="539"/>
        <v>0</v>
      </c>
      <c r="BK418" s="4152">
        <f t="shared" si="540"/>
        <v>0</v>
      </c>
    </row>
    <row r="419" spans="1:63" ht="20.25" customHeight="1" x14ac:dyDescent="0.25">
      <c r="A419" s="90"/>
      <c r="B419" s="3865" t="s">
        <v>1795</v>
      </c>
      <c r="C419" s="7337" t="s">
        <v>50</v>
      </c>
      <c r="D419" s="148"/>
      <c r="E419" s="3907"/>
      <c r="F419" s="1819"/>
      <c r="G419" s="3907"/>
      <c r="H419" s="1819"/>
      <c r="I419" s="3908"/>
      <c r="J419" s="7310">
        <f t="shared" si="524"/>
        <v>0</v>
      </c>
      <c r="K419" s="3907"/>
      <c r="L419" s="1819"/>
      <c r="M419" s="850"/>
      <c r="N419" s="7301">
        <f t="shared" si="525"/>
        <v>0</v>
      </c>
      <c r="O419" s="3907"/>
      <c r="P419" s="1819"/>
      <c r="Q419" s="3908"/>
      <c r="R419" s="7310">
        <f t="shared" si="526"/>
        <v>0</v>
      </c>
      <c r="S419" s="3907"/>
      <c r="T419" s="1819"/>
      <c r="U419" s="3908"/>
      <c r="V419" s="7310">
        <f t="shared" si="527"/>
        <v>0</v>
      </c>
      <c r="W419" s="3907"/>
      <c r="X419" s="1819"/>
      <c r="Y419" s="850"/>
      <c r="Z419" s="7301">
        <f t="shared" si="528"/>
        <v>0</v>
      </c>
      <c r="AA419" s="4501"/>
      <c r="AB419" s="7302">
        <f t="shared" si="529"/>
        <v>0</v>
      </c>
      <c r="AC419" s="3907"/>
      <c r="AD419" s="1819"/>
      <c r="AE419" s="3908"/>
      <c r="AF419" s="7310">
        <f t="shared" si="530"/>
        <v>0</v>
      </c>
      <c r="AG419" s="3907"/>
      <c r="AH419" s="1819"/>
      <c r="AI419" s="3908"/>
      <c r="AJ419" s="7310">
        <f t="shared" si="541"/>
        <v>0</v>
      </c>
      <c r="AK419" s="3907"/>
      <c r="AL419" s="1819"/>
      <c r="AM419" s="850"/>
      <c r="AN419" s="7301">
        <f t="shared" ref="AN419:AN429" si="549">AD419+AH419+AL419</f>
        <v>0</v>
      </c>
      <c r="AO419" s="3908"/>
      <c r="AP419" s="7310">
        <f t="shared" si="514"/>
        <v>0</v>
      </c>
      <c r="AQ419" s="3907"/>
      <c r="AR419" s="1819"/>
      <c r="AS419" s="3908"/>
      <c r="AT419" s="7310">
        <f t="shared" si="545"/>
        <v>0</v>
      </c>
      <c r="AU419" s="3907"/>
      <c r="AV419" s="1819"/>
      <c r="AW419" s="3908"/>
      <c r="AX419" s="7310">
        <f t="shared" si="515"/>
        <v>0</v>
      </c>
      <c r="AY419" s="3907"/>
      <c r="AZ419" s="1819"/>
      <c r="BA419" s="850"/>
      <c r="BB419" s="7301">
        <f t="shared" ref="BB419:BB429" si="550">AR419+AV419+AZ419</f>
        <v>0</v>
      </c>
      <c r="BC419" s="4501"/>
      <c r="BD419" s="7302">
        <f t="shared" si="548"/>
        <v>0</v>
      </c>
      <c r="BE419" s="3908"/>
      <c r="BF419" s="7310">
        <f t="shared" si="518"/>
        <v>0</v>
      </c>
      <c r="BG419" s="4152">
        <f t="shared" si="537"/>
        <v>0</v>
      </c>
      <c r="BH419" s="4152">
        <f t="shared" si="538"/>
        <v>0</v>
      </c>
      <c r="BI419" s="4152"/>
      <c r="BJ419" s="4152">
        <f t="shared" si="539"/>
        <v>0</v>
      </c>
      <c r="BK419" s="4152">
        <f t="shared" si="540"/>
        <v>0</v>
      </c>
    </row>
    <row r="420" spans="1:63" s="4991" customFormat="1" ht="20.25" customHeight="1" x14ac:dyDescent="0.25">
      <c r="A420" s="90"/>
      <c r="B420" s="4944" t="s">
        <v>1846</v>
      </c>
      <c r="C420" s="4945" t="s">
        <v>50</v>
      </c>
      <c r="D420" s="4945"/>
      <c r="E420" s="4946"/>
      <c r="F420" s="4947"/>
      <c r="G420" s="4946"/>
      <c r="H420" s="4947"/>
      <c r="I420" s="4948"/>
      <c r="J420" s="7310">
        <f t="shared" si="524"/>
        <v>0</v>
      </c>
      <c r="K420" s="4946"/>
      <c r="L420" s="4947"/>
      <c r="M420" s="4950"/>
      <c r="N420" s="7301">
        <f t="shared" si="525"/>
        <v>0</v>
      </c>
      <c r="O420" s="4946"/>
      <c r="P420" s="4947"/>
      <c r="Q420" s="4948"/>
      <c r="R420" s="7310">
        <f t="shared" si="526"/>
        <v>0</v>
      </c>
      <c r="S420" s="4946"/>
      <c r="T420" s="4947"/>
      <c r="U420" s="4948"/>
      <c r="V420" s="7310">
        <f t="shared" si="527"/>
        <v>0</v>
      </c>
      <c r="W420" s="4946"/>
      <c r="X420" s="4947"/>
      <c r="Y420" s="4950"/>
      <c r="Z420" s="7301">
        <f t="shared" si="528"/>
        <v>0</v>
      </c>
      <c r="AA420" s="7415"/>
      <c r="AB420" s="7302">
        <f t="shared" si="529"/>
        <v>0</v>
      </c>
      <c r="AC420" s="4946"/>
      <c r="AD420" s="4947"/>
      <c r="AE420" s="4948"/>
      <c r="AF420" s="7310">
        <f t="shared" si="530"/>
        <v>0</v>
      </c>
      <c r="AG420" s="4946"/>
      <c r="AH420" s="4947"/>
      <c r="AI420" s="4948"/>
      <c r="AJ420" s="4949"/>
      <c r="AK420" s="4946"/>
      <c r="AL420" s="4947"/>
      <c r="AM420" s="4950"/>
      <c r="AN420" s="7301">
        <f t="shared" si="549"/>
        <v>0</v>
      </c>
      <c r="AO420" s="4948"/>
      <c r="AP420" s="7310">
        <f t="shared" si="514"/>
        <v>0</v>
      </c>
      <c r="AQ420" s="4946"/>
      <c r="AR420" s="4947"/>
      <c r="AS420" s="4948"/>
      <c r="AT420" s="7310">
        <f t="shared" si="545"/>
        <v>0</v>
      </c>
      <c r="AU420" s="4946"/>
      <c r="AV420" s="4947"/>
      <c r="AW420" s="4948"/>
      <c r="AX420" s="7310">
        <f t="shared" si="515"/>
        <v>0</v>
      </c>
      <c r="AY420" s="4946"/>
      <c r="AZ420" s="4947"/>
      <c r="BA420" s="4950"/>
      <c r="BB420" s="7301">
        <f t="shared" si="550"/>
        <v>0</v>
      </c>
      <c r="BC420" s="7415"/>
      <c r="BD420" s="7302">
        <f t="shared" si="548"/>
        <v>0</v>
      </c>
      <c r="BE420" s="4948"/>
      <c r="BF420" s="7310">
        <f t="shared" si="518"/>
        <v>0</v>
      </c>
      <c r="BG420" s="4152">
        <f t="shared" si="537"/>
        <v>0</v>
      </c>
      <c r="BH420" s="4152">
        <f t="shared" si="538"/>
        <v>0</v>
      </c>
      <c r="BI420" s="4152"/>
      <c r="BJ420" s="4152">
        <f t="shared" si="539"/>
        <v>0</v>
      </c>
      <c r="BK420" s="4152">
        <f t="shared" si="540"/>
        <v>0</v>
      </c>
    </row>
    <row r="421" spans="1:63" ht="20.25" customHeight="1" x14ac:dyDescent="0.25">
      <c r="A421" s="90"/>
      <c r="B421" s="3865" t="s">
        <v>1732</v>
      </c>
      <c r="C421" s="7337" t="s">
        <v>50</v>
      </c>
      <c r="D421" s="148"/>
      <c r="E421" s="3907"/>
      <c r="F421" s="1819"/>
      <c r="G421" s="3907"/>
      <c r="H421" s="1819"/>
      <c r="I421" s="3908"/>
      <c r="J421" s="7310">
        <f t="shared" si="524"/>
        <v>0</v>
      </c>
      <c r="K421" s="3907"/>
      <c r="L421" s="1819"/>
      <c r="M421" s="850"/>
      <c r="N421" s="7301">
        <f t="shared" si="525"/>
        <v>0</v>
      </c>
      <c r="O421" s="3907"/>
      <c r="P421" s="1819"/>
      <c r="Q421" s="3908"/>
      <c r="R421" s="7310">
        <f t="shared" si="526"/>
        <v>0</v>
      </c>
      <c r="S421" s="3907"/>
      <c r="T421" s="1819"/>
      <c r="U421" s="3908"/>
      <c r="V421" s="7310">
        <f t="shared" si="527"/>
        <v>0</v>
      </c>
      <c r="W421" s="3907"/>
      <c r="X421" s="1819"/>
      <c r="Y421" s="850"/>
      <c r="Z421" s="7301">
        <f t="shared" si="528"/>
        <v>0</v>
      </c>
      <c r="AA421" s="4501"/>
      <c r="AB421" s="7302">
        <f t="shared" si="529"/>
        <v>0</v>
      </c>
      <c r="AC421" s="3907"/>
      <c r="AD421" s="1819"/>
      <c r="AE421" s="3908"/>
      <c r="AF421" s="7310">
        <f t="shared" si="530"/>
        <v>0</v>
      </c>
      <c r="AG421" s="3907"/>
      <c r="AH421" s="1819"/>
      <c r="AI421" s="3908"/>
      <c r="AJ421" s="7310">
        <f t="shared" si="541"/>
        <v>0</v>
      </c>
      <c r="AK421" s="3907"/>
      <c r="AL421" s="1819"/>
      <c r="AM421" s="850"/>
      <c r="AN421" s="7301">
        <f t="shared" si="549"/>
        <v>0</v>
      </c>
      <c r="AO421" s="3908"/>
      <c r="AP421" s="7310">
        <f t="shared" si="514"/>
        <v>0</v>
      </c>
      <c r="AQ421" s="3907"/>
      <c r="AR421" s="1819"/>
      <c r="AS421" s="3908"/>
      <c r="AT421" s="7310">
        <f t="shared" si="545"/>
        <v>0</v>
      </c>
      <c r="AU421" s="3907"/>
      <c r="AV421" s="1819"/>
      <c r="AW421" s="3908"/>
      <c r="AX421" s="7310">
        <f t="shared" si="515"/>
        <v>0</v>
      </c>
      <c r="AY421" s="3907"/>
      <c r="AZ421" s="1819"/>
      <c r="BA421" s="850"/>
      <c r="BB421" s="7301">
        <f t="shared" si="550"/>
        <v>0</v>
      </c>
      <c r="BC421" s="4501"/>
      <c r="BD421" s="7302">
        <f t="shared" si="548"/>
        <v>0</v>
      </c>
      <c r="BE421" s="3908"/>
      <c r="BF421" s="7310">
        <f t="shared" si="518"/>
        <v>0</v>
      </c>
      <c r="BG421" s="4152">
        <f t="shared" si="537"/>
        <v>0</v>
      </c>
      <c r="BH421" s="4152">
        <f t="shared" si="538"/>
        <v>0</v>
      </c>
      <c r="BI421" s="4152"/>
      <c r="BJ421" s="4152">
        <f t="shared" si="539"/>
        <v>0</v>
      </c>
      <c r="BK421" s="4152">
        <f t="shared" si="540"/>
        <v>0</v>
      </c>
    </row>
    <row r="422" spans="1:63" s="4374" customFormat="1" ht="20.25" customHeight="1" x14ac:dyDescent="0.25">
      <c r="A422" s="90"/>
      <c r="B422" s="3902" t="s">
        <v>1786</v>
      </c>
      <c r="C422" s="7337" t="s">
        <v>50</v>
      </c>
      <c r="D422" s="4275"/>
      <c r="E422" s="4386"/>
      <c r="F422" s="4378"/>
      <c r="G422" s="4386"/>
      <c r="H422" s="5575"/>
      <c r="I422" s="4387"/>
      <c r="J422" s="7310">
        <f t="shared" si="524"/>
        <v>0</v>
      </c>
      <c r="K422" s="4386"/>
      <c r="L422" s="5695"/>
      <c r="M422" s="4302"/>
      <c r="N422" s="7301">
        <f t="shared" si="525"/>
        <v>0</v>
      </c>
      <c r="O422" s="4386"/>
      <c r="P422" s="5857"/>
      <c r="Q422" s="4387"/>
      <c r="R422" s="7310">
        <f t="shared" si="526"/>
        <v>0</v>
      </c>
      <c r="S422" s="4386"/>
      <c r="T422" s="5902"/>
      <c r="U422" s="4387"/>
      <c r="V422" s="7310">
        <f t="shared" si="527"/>
        <v>0</v>
      </c>
      <c r="W422" s="4386"/>
      <c r="X422" s="6021"/>
      <c r="Y422" s="4302"/>
      <c r="Z422" s="7301">
        <f t="shared" si="528"/>
        <v>0</v>
      </c>
      <c r="AA422" s="4502"/>
      <c r="AB422" s="7302">
        <f t="shared" si="529"/>
        <v>0</v>
      </c>
      <c r="AC422" s="4386"/>
      <c r="AD422" s="6156"/>
      <c r="AE422" s="4387"/>
      <c r="AF422" s="7310">
        <f t="shared" si="530"/>
        <v>0</v>
      </c>
      <c r="AG422" s="4386"/>
      <c r="AH422" s="6318"/>
      <c r="AI422" s="4387"/>
      <c r="AJ422" s="7310">
        <f t="shared" si="541"/>
        <v>0</v>
      </c>
      <c r="AK422" s="4386"/>
      <c r="AL422" s="6557"/>
      <c r="AM422" s="4302"/>
      <c r="AN422" s="7301">
        <f t="shared" si="549"/>
        <v>0</v>
      </c>
      <c r="AO422" s="4387"/>
      <c r="AP422" s="7310">
        <f t="shared" si="514"/>
        <v>0</v>
      </c>
      <c r="AQ422" s="4386"/>
      <c r="AR422" s="6657"/>
      <c r="AS422" s="4387"/>
      <c r="AT422" s="7310">
        <f t="shared" si="545"/>
        <v>0</v>
      </c>
      <c r="AU422" s="4386"/>
      <c r="AV422" s="6822"/>
      <c r="AW422" s="4387"/>
      <c r="AX422" s="7310">
        <f t="shared" si="515"/>
        <v>0</v>
      </c>
      <c r="AY422" s="4386"/>
      <c r="AZ422" s="6966"/>
      <c r="BA422" s="4302"/>
      <c r="BB422" s="7301">
        <f t="shared" si="550"/>
        <v>0</v>
      </c>
      <c r="BC422" s="4502"/>
      <c r="BD422" s="7302">
        <f t="shared" si="548"/>
        <v>0</v>
      </c>
      <c r="BE422" s="4387"/>
      <c r="BF422" s="7310">
        <f t="shared" si="518"/>
        <v>0</v>
      </c>
      <c r="BG422" s="4152">
        <f t="shared" si="537"/>
        <v>0</v>
      </c>
      <c r="BH422" s="4152">
        <f t="shared" si="538"/>
        <v>0</v>
      </c>
      <c r="BI422" s="4152"/>
      <c r="BJ422" s="4152">
        <f t="shared" si="539"/>
        <v>0</v>
      </c>
      <c r="BK422" s="4152">
        <f t="shared" si="540"/>
        <v>0</v>
      </c>
    </row>
    <row r="423" spans="1:63" ht="20.25" customHeight="1" x14ac:dyDescent="0.25">
      <c r="A423" s="90"/>
      <c r="B423" s="3865" t="s">
        <v>1796</v>
      </c>
      <c r="C423" s="7337" t="s">
        <v>50</v>
      </c>
      <c r="D423" s="148"/>
      <c r="E423" s="3907"/>
      <c r="F423" s="1819"/>
      <c r="G423" s="3907"/>
      <c r="H423" s="1819"/>
      <c r="I423" s="3908"/>
      <c r="J423" s="7310">
        <f t="shared" si="524"/>
        <v>0</v>
      </c>
      <c r="K423" s="3907"/>
      <c r="L423" s="1819"/>
      <c r="M423" s="850"/>
      <c r="N423" s="7301">
        <f t="shared" si="525"/>
        <v>0</v>
      </c>
      <c r="O423" s="3907"/>
      <c r="P423" s="1819"/>
      <c r="Q423" s="3908"/>
      <c r="R423" s="7310">
        <f t="shared" si="526"/>
        <v>0</v>
      </c>
      <c r="S423" s="3907"/>
      <c r="T423" s="1819"/>
      <c r="U423" s="3908"/>
      <c r="V423" s="7310">
        <f t="shared" si="527"/>
        <v>0</v>
      </c>
      <c r="W423" s="3907"/>
      <c r="X423" s="1819"/>
      <c r="Y423" s="850"/>
      <c r="Z423" s="7301">
        <f t="shared" si="528"/>
        <v>0</v>
      </c>
      <c r="AA423" s="4501"/>
      <c r="AB423" s="7302">
        <f t="shared" si="529"/>
        <v>0</v>
      </c>
      <c r="AC423" s="3907"/>
      <c r="AD423" s="1819"/>
      <c r="AE423" s="3908"/>
      <c r="AF423" s="7310">
        <f t="shared" si="530"/>
        <v>0</v>
      </c>
      <c r="AG423" s="3907"/>
      <c r="AH423" s="1819"/>
      <c r="AI423" s="3908"/>
      <c r="AJ423" s="7310">
        <f t="shared" si="541"/>
        <v>0</v>
      </c>
      <c r="AK423" s="3907"/>
      <c r="AL423" s="1819"/>
      <c r="AM423" s="850"/>
      <c r="AN423" s="7301">
        <f t="shared" si="549"/>
        <v>0</v>
      </c>
      <c r="AO423" s="3908"/>
      <c r="AP423" s="7310">
        <f t="shared" si="514"/>
        <v>0</v>
      </c>
      <c r="AQ423" s="3907"/>
      <c r="AR423" s="1819"/>
      <c r="AS423" s="3908"/>
      <c r="AT423" s="7310">
        <f t="shared" si="545"/>
        <v>0</v>
      </c>
      <c r="AU423" s="3907"/>
      <c r="AV423" s="1819"/>
      <c r="AW423" s="3908"/>
      <c r="AX423" s="7310">
        <f t="shared" si="515"/>
        <v>0</v>
      </c>
      <c r="AY423" s="3907"/>
      <c r="AZ423" s="1819"/>
      <c r="BA423" s="850"/>
      <c r="BB423" s="7301">
        <f t="shared" si="550"/>
        <v>0</v>
      </c>
      <c r="BC423" s="4501"/>
      <c r="BD423" s="7302">
        <f t="shared" si="548"/>
        <v>0</v>
      </c>
      <c r="BE423" s="3908"/>
      <c r="BF423" s="7310">
        <f t="shared" si="518"/>
        <v>0</v>
      </c>
      <c r="BG423" s="4152">
        <f t="shared" si="537"/>
        <v>0</v>
      </c>
      <c r="BH423" s="4152">
        <f t="shared" si="538"/>
        <v>0</v>
      </c>
      <c r="BI423" s="4152"/>
      <c r="BJ423" s="4152">
        <f t="shared" si="539"/>
        <v>0</v>
      </c>
      <c r="BK423" s="4152">
        <f t="shared" si="540"/>
        <v>0</v>
      </c>
    </row>
    <row r="424" spans="1:63" s="4943" customFormat="1" ht="20.25" customHeight="1" x14ac:dyDescent="0.25">
      <c r="A424" s="90"/>
      <c r="B424" s="4944" t="s">
        <v>1823</v>
      </c>
      <c r="C424" s="4945" t="s">
        <v>50</v>
      </c>
      <c r="D424" s="4945"/>
      <c r="E424" s="4946"/>
      <c r="F424" s="4947"/>
      <c r="G424" s="4946"/>
      <c r="H424" s="4947"/>
      <c r="I424" s="4948"/>
      <c r="J424" s="7310">
        <f t="shared" si="524"/>
        <v>0</v>
      </c>
      <c r="K424" s="4946"/>
      <c r="L424" s="4947">
        <v>35.9</v>
      </c>
      <c r="M424" s="4950"/>
      <c r="N424" s="7301">
        <f t="shared" si="525"/>
        <v>35.9</v>
      </c>
      <c r="O424" s="4946"/>
      <c r="P424" s="4947"/>
      <c r="Q424" s="4948"/>
      <c r="R424" s="7310">
        <f t="shared" si="526"/>
        <v>35.9</v>
      </c>
      <c r="S424" s="4946"/>
      <c r="T424" s="4947"/>
      <c r="U424" s="4948"/>
      <c r="V424" s="7310">
        <f t="shared" si="527"/>
        <v>35.9</v>
      </c>
      <c r="W424" s="4946"/>
      <c r="X424" s="4947"/>
      <c r="Y424" s="4950"/>
      <c r="Z424" s="7301">
        <f t="shared" si="528"/>
        <v>0</v>
      </c>
      <c r="AA424" s="7415"/>
      <c r="AB424" s="7302">
        <f t="shared" si="529"/>
        <v>35.9</v>
      </c>
      <c r="AC424" s="4946"/>
      <c r="AD424" s="4947"/>
      <c r="AE424" s="4948"/>
      <c r="AF424" s="7310">
        <f t="shared" si="530"/>
        <v>35.9</v>
      </c>
      <c r="AG424" s="4946"/>
      <c r="AH424" s="4947"/>
      <c r="AI424" s="4948"/>
      <c r="AJ424" s="7310">
        <f t="shared" si="541"/>
        <v>35.9</v>
      </c>
      <c r="AK424" s="4946"/>
      <c r="AL424" s="4947"/>
      <c r="AM424" s="4950"/>
      <c r="AN424" s="7301">
        <f t="shared" si="549"/>
        <v>0</v>
      </c>
      <c r="AO424" s="4948"/>
      <c r="AP424" s="7310">
        <f t="shared" si="514"/>
        <v>35.9</v>
      </c>
      <c r="AQ424" s="4946"/>
      <c r="AR424" s="4947"/>
      <c r="AS424" s="4948"/>
      <c r="AT424" s="7310">
        <f t="shared" si="545"/>
        <v>35.9</v>
      </c>
      <c r="AU424" s="4946"/>
      <c r="AV424" s="4947"/>
      <c r="AW424" s="4948"/>
      <c r="AX424" s="7310">
        <f t="shared" si="515"/>
        <v>35.9</v>
      </c>
      <c r="AY424" s="4946"/>
      <c r="AZ424" s="4947"/>
      <c r="BA424" s="4950"/>
      <c r="BB424" s="7301">
        <f t="shared" si="550"/>
        <v>0</v>
      </c>
      <c r="BC424" s="7415"/>
      <c r="BD424" s="7302">
        <f t="shared" si="548"/>
        <v>0</v>
      </c>
      <c r="BE424" s="4948"/>
      <c r="BF424" s="7310">
        <f t="shared" si="518"/>
        <v>35.9</v>
      </c>
      <c r="BG424" s="4152">
        <f t="shared" si="537"/>
        <v>0</v>
      </c>
      <c r="BH424" s="4152">
        <f t="shared" si="538"/>
        <v>0</v>
      </c>
      <c r="BI424" s="4152"/>
      <c r="BJ424" s="4152">
        <f t="shared" si="539"/>
        <v>0</v>
      </c>
      <c r="BK424" s="4152">
        <f t="shared" si="540"/>
        <v>0</v>
      </c>
    </row>
    <row r="425" spans="1:63" s="4991" customFormat="1" ht="20.25" customHeight="1" x14ac:dyDescent="0.25">
      <c r="A425" s="90"/>
      <c r="B425" s="4944" t="s">
        <v>1847</v>
      </c>
      <c r="C425" s="4945" t="s">
        <v>50</v>
      </c>
      <c r="D425" s="4945"/>
      <c r="E425" s="4946"/>
      <c r="F425" s="4947"/>
      <c r="G425" s="4946"/>
      <c r="H425" s="4947"/>
      <c r="I425" s="4948"/>
      <c r="J425" s="7310">
        <f t="shared" si="524"/>
        <v>0</v>
      </c>
      <c r="K425" s="4946"/>
      <c r="L425" s="4947"/>
      <c r="M425" s="4950"/>
      <c r="N425" s="7301">
        <f t="shared" si="525"/>
        <v>0</v>
      </c>
      <c r="O425" s="4946"/>
      <c r="P425" s="4947"/>
      <c r="Q425" s="4948"/>
      <c r="R425" s="7310">
        <f t="shared" si="526"/>
        <v>0</v>
      </c>
      <c r="S425" s="4946"/>
      <c r="T425" s="4947"/>
      <c r="U425" s="4948"/>
      <c r="V425" s="7310">
        <f t="shared" si="527"/>
        <v>0</v>
      </c>
      <c r="W425" s="4946"/>
      <c r="X425" s="4947"/>
      <c r="Y425" s="4950"/>
      <c r="Z425" s="7301">
        <f t="shared" si="528"/>
        <v>0</v>
      </c>
      <c r="AA425" s="7415"/>
      <c r="AB425" s="7302">
        <f t="shared" si="529"/>
        <v>0</v>
      </c>
      <c r="AC425" s="4946"/>
      <c r="AD425" s="4947"/>
      <c r="AE425" s="4948"/>
      <c r="AF425" s="7310">
        <f t="shared" si="530"/>
        <v>0</v>
      </c>
      <c r="AG425" s="4946"/>
      <c r="AH425" s="4947"/>
      <c r="AI425" s="4948"/>
      <c r="AJ425" s="4949"/>
      <c r="AK425" s="4946"/>
      <c r="AL425" s="4947"/>
      <c r="AM425" s="4950"/>
      <c r="AN425" s="7301">
        <f t="shared" si="549"/>
        <v>0</v>
      </c>
      <c r="AO425" s="4948"/>
      <c r="AP425" s="7310">
        <f t="shared" si="514"/>
        <v>0</v>
      </c>
      <c r="AQ425" s="4946"/>
      <c r="AR425" s="4947"/>
      <c r="AS425" s="4948"/>
      <c r="AT425" s="7310">
        <f t="shared" si="545"/>
        <v>0</v>
      </c>
      <c r="AU425" s="4946"/>
      <c r="AV425" s="4947"/>
      <c r="AW425" s="4948"/>
      <c r="AX425" s="7310">
        <f t="shared" si="515"/>
        <v>0</v>
      </c>
      <c r="AY425" s="4946"/>
      <c r="AZ425" s="4947"/>
      <c r="BA425" s="4950"/>
      <c r="BB425" s="7301">
        <f t="shared" si="550"/>
        <v>0</v>
      </c>
      <c r="BC425" s="7415"/>
      <c r="BD425" s="7302">
        <f t="shared" si="548"/>
        <v>0</v>
      </c>
      <c r="BE425" s="4948"/>
      <c r="BF425" s="7310">
        <f t="shared" si="518"/>
        <v>0</v>
      </c>
      <c r="BG425" s="4152">
        <f t="shared" si="537"/>
        <v>0</v>
      </c>
      <c r="BH425" s="4152">
        <f t="shared" si="538"/>
        <v>0</v>
      </c>
      <c r="BI425" s="4152"/>
      <c r="BJ425" s="4152">
        <f t="shared" si="539"/>
        <v>0</v>
      </c>
      <c r="BK425" s="4152">
        <f t="shared" si="540"/>
        <v>0</v>
      </c>
    </row>
    <row r="426" spans="1:63" ht="20.25" customHeight="1" x14ac:dyDescent="0.25">
      <c r="A426" s="90"/>
      <c r="B426" s="3865" t="s">
        <v>1776</v>
      </c>
      <c r="C426" s="7337" t="s">
        <v>50</v>
      </c>
      <c r="D426" s="148"/>
      <c r="E426" s="3907"/>
      <c r="F426" s="1819"/>
      <c r="G426" s="3907"/>
      <c r="H426" s="1819"/>
      <c r="I426" s="3908"/>
      <c r="J426" s="7310">
        <f t="shared" si="524"/>
        <v>0</v>
      </c>
      <c r="K426" s="3907"/>
      <c r="L426" s="1819"/>
      <c r="M426" s="850"/>
      <c r="N426" s="7301">
        <f t="shared" si="525"/>
        <v>0</v>
      </c>
      <c r="O426" s="3907"/>
      <c r="P426" s="1819"/>
      <c r="Q426" s="3908"/>
      <c r="R426" s="7310">
        <f t="shared" si="526"/>
        <v>0</v>
      </c>
      <c r="S426" s="3907"/>
      <c r="T426" s="1819"/>
      <c r="U426" s="3908"/>
      <c r="V426" s="7310">
        <f t="shared" si="527"/>
        <v>0</v>
      </c>
      <c r="W426" s="3907"/>
      <c r="X426" s="1819"/>
      <c r="Y426" s="850"/>
      <c r="Z426" s="7301">
        <f t="shared" si="528"/>
        <v>0</v>
      </c>
      <c r="AA426" s="4501"/>
      <c r="AB426" s="7302">
        <f t="shared" si="529"/>
        <v>0</v>
      </c>
      <c r="AC426" s="3907"/>
      <c r="AD426" s="1819"/>
      <c r="AE426" s="3908"/>
      <c r="AF426" s="7310">
        <f t="shared" si="530"/>
        <v>0</v>
      </c>
      <c r="AG426" s="3907"/>
      <c r="AH426" s="1819"/>
      <c r="AI426" s="3908"/>
      <c r="AJ426" s="7310">
        <f t="shared" si="541"/>
        <v>0</v>
      </c>
      <c r="AK426" s="3907"/>
      <c r="AL426" s="1819"/>
      <c r="AM426" s="850"/>
      <c r="AN426" s="7301">
        <f t="shared" si="549"/>
        <v>0</v>
      </c>
      <c r="AO426" s="3908"/>
      <c r="AP426" s="7310">
        <f t="shared" si="514"/>
        <v>0</v>
      </c>
      <c r="AQ426" s="3907"/>
      <c r="AR426" s="1819"/>
      <c r="AS426" s="3908"/>
      <c r="AT426" s="7310">
        <f t="shared" si="545"/>
        <v>0</v>
      </c>
      <c r="AU426" s="3907"/>
      <c r="AV426" s="1819"/>
      <c r="AW426" s="3908"/>
      <c r="AX426" s="7310">
        <f t="shared" si="515"/>
        <v>0</v>
      </c>
      <c r="AY426" s="3907"/>
      <c r="AZ426" s="1819"/>
      <c r="BA426" s="850"/>
      <c r="BB426" s="7301">
        <f t="shared" si="550"/>
        <v>0</v>
      </c>
      <c r="BC426" s="4501"/>
      <c r="BD426" s="7302">
        <f t="shared" si="548"/>
        <v>0</v>
      </c>
      <c r="BE426" s="3908"/>
      <c r="BF426" s="7310">
        <f t="shared" si="518"/>
        <v>0</v>
      </c>
      <c r="BG426" s="4152">
        <f t="shared" si="537"/>
        <v>0</v>
      </c>
      <c r="BH426" s="4152">
        <f t="shared" si="538"/>
        <v>0</v>
      </c>
      <c r="BI426" s="4152"/>
      <c r="BJ426" s="4152">
        <f t="shared" si="539"/>
        <v>0</v>
      </c>
      <c r="BK426" s="4152">
        <f t="shared" si="540"/>
        <v>0</v>
      </c>
    </row>
    <row r="427" spans="1:63" s="4943" customFormat="1" ht="20.25" customHeight="1" x14ac:dyDescent="0.25">
      <c r="A427" s="90"/>
      <c r="B427" s="4944" t="s">
        <v>1825</v>
      </c>
      <c r="C427" s="4945" t="s">
        <v>50</v>
      </c>
      <c r="D427" s="4945"/>
      <c r="E427" s="4946"/>
      <c r="F427" s="4947"/>
      <c r="G427" s="4946"/>
      <c r="H427" s="4947"/>
      <c r="I427" s="4948"/>
      <c r="J427" s="7310">
        <f t="shared" si="524"/>
        <v>0</v>
      </c>
      <c r="K427" s="4946"/>
      <c r="L427" s="4947"/>
      <c r="M427" s="4950"/>
      <c r="N427" s="7301">
        <f t="shared" si="525"/>
        <v>0</v>
      </c>
      <c r="O427" s="4946"/>
      <c r="P427" s="4947"/>
      <c r="Q427" s="4948"/>
      <c r="R427" s="7310">
        <f t="shared" si="526"/>
        <v>0</v>
      </c>
      <c r="S427" s="4946"/>
      <c r="T427" s="4947"/>
      <c r="U427" s="4948"/>
      <c r="V427" s="7310">
        <f t="shared" si="527"/>
        <v>0</v>
      </c>
      <c r="W427" s="4946"/>
      <c r="X427" s="4947"/>
      <c r="Y427" s="4950"/>
      <c r="Z427" s="7301">
        <f t="shared" si="528"/>
        <v>0</v>
      </c>
      <c r="AA427" s="7415"/>
      <c r="AB427" s="7302">
        <f t="shared" si="529"/>
        <v>0</v>
      </c>
      <c r="AC427" s="4946"/>
      <c r="AD427" s="4947"/>
      <c r="AE427" s="4948"/>
      <c r="AF427" s="7310">
        <f t="shared" si="530"/>
        <v>0</v>
      </c>
      <c r="AG427" s="4946"/>
      <c r="AH427" s="4947"/>
      <c r="AI427" s="4948"/>
      <c r="AJ427" s="7310">
        <f t="shared" si="541"/>
        <v>0</v>
      </c>
      <c r="AK427" s="4946"/>
      <c r="AL427" s="4947"/>
      <c r="AM427" s="4950"/>
      <c r="AN427" s="7301">
        <f t="shared" si="549"/>
        <v>0</v>
      </c>
      <c r="AO427" s="4948"/>
      <c r="AP427" s="7310">
        <f t="shared" si="514"/>
        <v>0</v>
      </c>
      <c r="AQ427" s="4946"/>
      <c r="AR427" s="4947"/>
      <c r="AS427" s="4948"/>
      <c r="AT427" s="7310">
        <f t="shared" si="545"/>
        <v>0</v>
      </c>
      <c r="AU427" s="4946"/>
      <c r="AV427" s="4947"/>
      <c r="AW427" s="4948"/>
      <c r="AX427" s="7310">
        <f t="shared" si="515"/>
        <v>0</v>
      </c>
      <c r="AY427" s="4946"/>
      <c r="AZ427" s="4947"/>
      <c r="BA427" s="4950"/>
      <c r="BB427" s="7301">
        <f t="shared" si="550"/>
        <v>0</v>
      </c>
      <c r="BC427" s="7415"/>
      <c r="BD427" s="7302">
        <f t="shared" si="548"/>
        <v>0</v>
      </c>
      <c r="BE427" s="4948"/>
      <c r="BF427" s="7310">
        <f t="shared" si="518"/>
        <v>0</v>
      </c>
      <c r="BG427" s="4152">
        <f t="shared" si="537"/>
        <v>0</v>
      </c>
      <c r="BH427" s="4152">
        <f t="shared" si="538"/>
        <v>0</v>
      </c>
      <c r="BI427" s="4152"/>
      <c r="BJ427" s="4152">
        <f t="shared" si="539"/>
        <v>0</v>
      </c>
      <c r="BK427" s="4152">
        <f t="shared" si="540"/>
        <v>0</v>
      </c>
    </row>
    <row r="428" spans="1:63" ht="20.25" customHeight="1" x14ac:dyDescent="0.25">
      <c r="A428" s="90"/>
      <c r="B428" s="3865" t="s">
        <v>1824</v>
      </c>
      <c r="C428" s="7337" t="s">
        <v>50</v>
      </c>
      <c r="D428" s="148"/>
      <c r="E428" s="3907"/>
      <c r="F428" s="1819"/>
      <c r="G428" s="3907"/>
      <c r="H428" s="1819"/>
      <c r="I428" s="3908"/>
      <c r="J428" s="7310">
        <f t="shared" si="524"/>
        <v>0</v>
      </c>
      <c r="K428" s="3907"/>
      <c r="L428" s="1819"/>
      <c r="M428" s="850"/>
      <c r="N428" s="7301">
        <f t="shared" si="525"/>
        <v>0</v>
      </c>
      <c r="O428" s="3907"/>
      <c r="P428" s="1819"/>
      <c r="Q428" s="3908"/>
      <c r="R428" s="7310">
        <f t="shared" si="526"/>
        <v>0</v>
      </c>
      <c r="S428" s="3907"/>
      <c r="T428" s="1819"/>
      <c r="U428" s="3908"/>
      <c r="V428" s="7310">
        <f t="shared" si="527"/>
        <v>0</v>
      </c>
      <c r="W428" s="3907"/>
      <c r="X428" s="1819"/>
      <c r="Y428" s="850"/>
      <c r="Z428" s="7301">
        <f t="shared" si="528"/>
        <v>0</v>
      </c>
      <c r="AA428" s="4501"/>
      <c r="AB428" s="7302">
        <f t="shared" si="529"/>
        <v>0</v>
      </c>
      <c r="AC428" s="3907"/>
      <c r="AD428" s="1819"/>
      <c r="AE428" s="3908"/>
      <c r="AF428" s="7310">
        <f t="shared" si="530"/>
        <v>0</v>
      </c>
      <c r="AG428" s="3907"/>
      <c r="AH428" s="1819"/>
      <c r="AI428" s="3908"/>
      <c r="AJ428" s="7310">
        <f t="shared" si="541"/>
        <v>0</v>
      </c>
      <c r="AK428" s="3907"/>
      <c r="AL428" s="1819"/>
      <c r="AM428" s="850"/>
      <c r="AN428" s="7301">
        <f t="shared" si="549"/>
        <v>0</v>
      </c>
      <c r="AO428" s="3908"/>
      <c r="AP428" s="7310">
        <f t="shared" si="514"/>
        <v>0</v>
      </c>
      <c r="AQ428" s="3907"/>
      <c r="AR428" s="1819"/>
      <c r="AS428" s="3908"/>
      <c r="AT428" s="7310">
        <f t="shared" si="545"/>
        <v>0</v>
      </c>
      <c r="AU428" s="3907"/>
      <c r="AV428" s="1819"/>
      <c r="AW428" s="3908"/>
      <c r="AX428" s="7310">
        <f t="shared" si="515"/>
        <v>0</v>
      </c>
      <c r="AY428" s="3907"/>
      <c r="AZ428" s="1819"/>
      <c r="BA428" s="850"/>
      <c r="BB428" s="7301">
        <f t="shared" si="550"/>
        <v>0</v>
      </c>
      <c r="BC428" s="4501"/>
      <c r="BD428" s="7302">
        <f t="shared" si="548"/>
        <v>0</v>
      </c>
      <c r="BE428" s="3908"/>
      <c r="BF428" s="7310">
        <f t="shared" si="518"/>
        <v>0</v>
      </c>
      <c r="BG428" s="4152">
        <f t="shared" si="537"/>
        <v>0</v>
      </c>
      <c r="BH428" s="4152">
        <f t="shared" si="538"/>
        <v>0</v>
      </c>
      <c r="BI428" s="4152"/>
      <c r="BJ428" s="4152">
        <f t="shared" si="539"/>
        <v>0</v>
      </c>
      <c r="BK428" s="4152">
        <f t="shared" si="540"/>
        <v>0</v>
      </c>
    </row>
    <row r="429" spans="1:63" ht="20.25" customHeight="1" x14ac:dyDescent="0.25">
      <c r="A429" s="90"/>
      <c r="B429" s="3891" t="s">
        <v>1777</v>
      </c>
      <c r="C429" s="7337" t="s">
        <v>50</v>
      </c>
      <c r="D429" s="148"/>
      <c r="E429" s="3907"/>
      <c r="F429" s="1819"/>
      <c r="G429" s="3907"/>
      <c r="H429" s="1819"/>
      <c r="I429" s="3908"/>
      <c r="J429" s="7310">
        <f t="shared" si="524"/>
        <v>0</v>
      </c>
      <c r="K429" s="3907"/>
      <c r="L429" s="1819"/>
      <c r="M429" s="850"/>
      <c r="N429" s="7301">
        <f t="shared" si="525"/>
        <v>0</v>
      </c>
      <c r="O429" s="3907"/>
      <c r="P429" s="1819"/>
      <c r="Q429" s="3908"/>
      <c r="R429" s="7310">
        <f t="shared" si="526"/>
        <v>0</v>
      </c>
      <c r="S429" s="3907"/>
      <c r="T429" s="1819"/>
      <c r="U429" s="3908"/>
      <c r="V429" s="7310">
        <f t="shared" si="527"/>
        <v>0</v>
      </c>
      <c r="W429" s="3907"/>
      <c r="X429" s="1819"/>
      <c r="Y429" s="850"/>
      <c r="Z429" s="7301">
        <f t="shared" si="528"/>
        <v>0</v>
      </c>
      <c r="AA429" s="4501"/>
      <c r="AB429" s="7302">
        <f t="shared" si="529"/>
        <v>0</v>
      </c>
      <c r="AC429" s="3907"/>
      <c r="AD429" s="1819"/>
      <c r="AE429" s="3908"/>
      <c r="AF429" s="7310">
        <f t="shared" si="530"/>
        <v>0</v>
      </c>
      <c r="AG429" s="3907"/>
      <c r="AH429" s="1819"/>
      <c r="AI429" s="3908"/>
      <c r="AJ429" s="7310">
        <f t="shared" si="541"/>
        <v>0</v>
      </c>
      <c r="AK429" s="3907"/>
      <c r="AL429" s="1819"/>
      <c r="AM429" s="850"/>
      <c r="AN429" s="7301">
        <f t="shared" si="549"/>
        <v>0</v>
      </c>
      <c r="AO429" s="3908"/>
      <c r="AP429" s="7310">
        <f t="shared" si="514"/>
        <v>0</v>
      </c>
      <c r="AQ429" s="3907"/>
      <c r="AR429" s="1819"/>
      <c r="AS429" s="3908"/>
      <c r="AT429" s="7310">
        <f t="shared" si="545"/>
        <v>0</v>
      </c>
      <c r="AU429" s="3907"/>
      <c r="AV429" s="1819"/>
      <c r="AW429" s="3908"/>
      <c r="AX429" s="7310">
        <f t="shared" si="515"/>
        <v>0</v>
      </c>
      <c r="AY429" s="3907"/>
      <c r="AZ429" s="1819"/>
      <c r="BA429" s="850"/>
      <c r="BB429" s="7301">
        <f t="shared" si="550"/>
        <v>0</v>
      </c>
      <c r="BC429" s="4501"/>
      <c r="BD429" s="7302">
        <f t="shared" si="548"/>
        <v>0</v>
      </c>
      <c r="BE429" s="3908"/>
      <c r="BF429" s="7310">
        <f t="shared" si="518"/>
        <v>0</v>
      </c>
      <c r="BG429" s="4152">
        <f t="shared" si="537"/>
        <v>0</v>
      </c>
      <c r="BH429" s="4152">
        <f t="shared" si="538"/>
        <v>0</v>
      </c>
      <c r="BI429" s="4152"/>
      <c r="BJ429" s="4152">
        <f t="shared" si="539"/>
        <v>0</v>
      </c>
      <c r="BK429" s="4152">
        <f t="shared" si="540"/>
        <v>0</v>
      </c>
    </row>
    <row r="430" spans="1:63" ht="20.25" customHeight="1" x14ac:dyDescent="0.25">
      <c r="A430" s="90"/>
      <c r="B430" s="3891" t="s">
        <v>1808</v>
      </c>
      <c r="C430" s="7337" t="s">
        <v>50</v>
      </c>
      <c r="D430" s="148"/>
      <c r="E430" s="3907"/>
      <c r="F430" s="1819"/>
      <c r="G430" s="3907"/>
      <c r="H430" s="1819"/>
      <c r="I430" s="3908"/>
      <c r="J430" s="7310">
        <f t="shared" si="524"/>
        <v>0</v>
      </c>
      <c r="K430" s="3907"/>
      <c r="L430" s="1819"/>
      <c r="M430" s="850"/>
      <c r="N430" s="7301">
        <f t="shared" si="525"/>
        <v>0</v>
      </c>
      <c r="O430" s="3907"/>
      <c r="P430" s="1819"/>
      <c r="Q430" s="3908"/>
      <c r="R430" s="7310">
        <f t="shared" si="526"/>
        <v>0</v>
      </c>
      <c r="S430" s="3907"/>
      <c r="T430" s="1819"/>
      <c r="U430" s="3908"/>
      <c r="V430" s="7310">
        <f t="shared" si="527"/>
        <v>0</v>
      </c>
      <c r="W430" s="3907"/>
      <c r="X430" s="1819"/>
      <c r="Y430" s="850"/>
      <c r="Z430" s="7301">
        <f t="shared" si="528"/>
        <v>0</v>
      </c>
      <c r="AA430" s="4501"/>
      <c r="AB430" s="7302">
        <f t="shared" si="529"/>
        <v>0</v>
      </c>
      <c r="AC430" s="3907"/>
      <c r="AD430" s="1819"/>
      <c r="AE430" s="3908"/>
      <c r="AF430" s="7310">
        <f t="shared" si="530"/>
        <v>0</v>
      </c>
      <c r="AG430" s="3907"/>
      <c r="AH430" s="1819"/>
      <c r="AI430" s="3908"/>
      <c r="AJ430" s="7310">
        <f t="shared" si="541"/>
        <v>0</v>
      </c>
      <c r="AK430" s="3907"/>
      <c r="AL430" s="1819"/>
      <c r="AM430" s="850"/>
      <c r="AN430" s="7301">
        <f t="shared" ref="AN430" si="551">AD430+AH430+AL430</f>
        <v>0</v>
      </c>
      <c r="AO430" s="3908"/>
      <c r="AP430" s="7310">
        <f t="shared" si="514"/>
        <v>0</v>
      </c>
      <c r="AQ430" s="3907"/>
      <c r="AR430" s="1819"/>
      <c r="AS430" s="3908"/>
      <c r="AT430" s="7310">
        <f t="shared" si="545"/>
        <v>0</v>
      </c>
      <c r="AU430" s="3907"/>
      <c r="AV430" s="1819"/>
      <c r="AW430" s="3908"/>
      <c r="AX430" s="7310">
        <f t="shared" si="515"/>
        <v>0</v>
      </c>
      <c r="AY430" s="3907"/>
      <c r="AZ430" s="1819"/>
      <c r="BA430" s="850"/>
      <c r="BB430" s="7301">
        <f t="shared" ref="BB430" si="552">AR430+AV430+AZ430</f>
        <v>0</v>
      </c>
      <c r="BC430" s="4501"/>
      <c r="BD430" s="7302">
        <f t="shared" si="548"/>
        <v>0</v>
      </c>
      <c r="BE430" s="3908"/>
      <c r="BF430" s="7310">
        <f t="shared" si="518"/>
        <v>0</v>
      </c>
      <c r="BG430" s="4152">
        <f t="shared" si="537"/>
        <v>0</v>
      </c>
      <c r="BH430" s="4152">
        <f t="shared" si="538"/>
        <v>0</v>
      </c>
      <c r="BI430" s="4152"/>
      <c r="BJ430" s="4152">
        <f t="shared" si="539"/>
        <v>0</v>
      </c>
      <c r="BK430" s="4152">
        <f t="shared" si="540"/>
        <v>0</v>
      </c>
    </row>
    <row r="431" spans="1:63" ht="20.25" customHeight="1" x14ac:dyDescent="0.25">
      <c r="A431" s="90"/>
      <c r="B431" s="3854" t="s">
        <v>2</v>
      </c>
      <c r="C431" s="194" t="s">
        <v>50</v>
      </c>
      <c r="D431" s="1820">
        <f>+D25</f>
        <v>3000</v>
      </c>
      <c r="E431" s="1820">
        <f>+E25</f>
        <v>0</v>
      </c>
      <c r="F431" s="3895">
        <f>SUM(F418:F429)</f>
        <v>0</v>
      </c>
      <c r="G431" s="1820">
        <f>+G25</f>
        <v>272.72727272727275</v>
      </c>
      <c r="H431" s="3895">
        <f>SUM(H418:H429)</f>
        <v>0</v>
      </c>
      <c r="I431" s="7311">
        <f>+I25</f>
        <v>272.72727272727275</v>
      </c>
      <c r="J431" s="7310">
        <f t="shared" si="524"/>
        <v>0</v>
      </c>
      <c r="K431" s="1820">
        <f>+K25</f>
        <v>272.72727272727275</v>
      </c>
      <c r="L431" s="3895">
        <f>SUM(L418:L429)</f>
        <v>35.9</v>
      </c>
      <c r="M431" s="7303">
        <f>E431+G431+K431</f>
        <v>545.4545454545455</v>
      </c>
      <c r="N431" s="7301">
        <f t="shared" si="525"/>
        <v>35.9</v>
      </c>
      <c r="O431" s="1820">
        <f>+O25</f>
        <v>272.72727272727275</v>
      </c>
      <c r="P431" s="3895">
        <f>SUM(P418:P429)</f>
        <v>0</v>
      </c>
      <c r="Q431" s="7311">
        <f>+Q25</f>
        <v>818.18181818181824</v>
      </c>
      <c r="R431" s="7310">
        <f t="shared" si="526"/>
        <v>35.9</v>
      </c>
      <c r="S431" s="1820">
        <f>+S25</f>
        <v>272.72727272727275</v>
      </c>
      <c r="T431" s="3895">
        <f>SUM(T418:T429)</f>
        <v>0</v>
      </c>
      <c r="U431" s="7311">
        <f>+U25</f>
        <v>1090.909090909091</v>
      </c>
      <c r="V431" s="7310">
        <f t="shared" si="527"/>
        <v>35.9</v>
      </c>
      <c r="W431" s="1820">
        <f>+W25</f>
        <v>0</v>
      </c>
      <c r="X431" s="3895">
        <f>SUM(X418:X429)</f>
        <v>0</v>
      </c>
      <c r="Y431" s="7303">
        <f>O431+S431+W431</f>
        <v>545.4545454545455</v>
      </c>
      <c r="Z431" s="7301">
        <f t="shared" si="528"/>
        <v>0</v>
      </c>
      <c r="AA431" s="513">
        <f>+AA25</f>
        <v>1090.909090909091</v>
      </c>
      <c r="AB431" s="7302">
        <f t="shared" si="529"/>
        <v>35.9</v>
      </c>
      <c r="AC431" s="1820">
        <f>+AC25</f>
        <v>272.72727272727275</v>
      </c>
      <c r="AD431" s="3895">
        <f>SUM(AD418:AD429)</f>
        <v>0</v>
      </c>
      <c r="AE431" s="7311">
        <f>+AE25</f>
        <v>1363.6363636363637</v>
      </c>
      <c r="AF431" s="7310">
        <f t="shared" si="530"/>
        <v>35.9</v>
      </c>
      <c r="AG431" s="1820">
        <f>+AG25</f>
        <v>272.72727272727275</v>
      </c>
      <c r="AH431" s="3895">
        <f>SUM(AH418:AH429)</f>
        <v>0</v>
      </c>
      <c r="AI431" s="7311">
        <f>+AI25</f>
        <v>1636.3636363636365</v>
      </c>
      <c r="AJ431" s="3896">
        <f t="shared" si="541"/>
        <v>35.9</v>
      </c>
      <c r="AK431" s="1820">
        <f>+AK25</f>
        <v>272.72727272727275</v>
      </c>
      <c r="AL431" s="3895">
        <f>SUM(AL418:AL429)</f>
        <v>0</v>
      </c>
      <c r="AM431" s="7303">
        <f>AC431+AG431+AK431</f>
        <v>818.18181818181824</v>
      </c>
      <c r="AN431" s="3897">
        <f>AD431+AH431+AL431</f>
        <v>0</v>
      </c>
      <c r="AO431" s="7311">
        <f t="shared" si="514"/>
        <v>1909.0909090909092</v>
      </c>
      <c r="AP431" s="3896">
        <f t="shared" ref="AP431" si="553">AJ431+AL431</f>
        <v>35.9</v>
      </c>
      <c r="AQ431" s="1820">
        <f>+AQ25</f>
        <v>272.72727272727275</v>
      </c>
      <c r="AR431" s="3895">
        <f>SUM(AR418:AR429)</f>
        <v>0</v>
      </c>
      <c r="AS431" s="7311">
        <f>+AS25</f>
        <v>2181.818181818182</v>
      </c>
      <c r="AT431" s="3896">
        <f t="shared" ref="AT431" si="554">AP431+AR431</f>
        <v>35.9</v>
      </c>
      <c r="AU431" s="1820">
        <f>+AU25</f>
        <v>272.72727272727275</v>
      </c>
      <c r="AV431" s="3895">
        <f>SUM(AV418:AV429)</f>
        <v>0</v>
      </c>
      <c r="AW431" s="7311">
        <f>+AW25</f>
        <v>2454.545454545455</v>
      </c>
      <c r="AX431" s="3896">
        <f t="shared" ref="AX431" si="555">AT431+AV431</f>
        <v>35.9</v>
      </c>
      <c r="AY431" s="1820">
        <f>+AY25</f>
        <v>272.72727272727275</v>
      </c>
      <c r="AZ431" s="3895">
        <f>SUM(AZ418:AZ429)</f>
        <v>0</v>
      </c>
      <c r="BA431" s="7303">
        <f>AQ431+AU431+AY431</f>
        <v>818.18181818181824</v>
      </c>
      <c r="BB431" s="3897">
        <f>AR431+AV431+AZ431</f>
        <v>0</v>
      </c>
      <c r="BC431" s="513">
        <f>AM431+BA431</f>
        <v>1636.3636363636365</v>
      </c>
      <c r="BD431" s="513">
        <f>AN431+BB431</f>
        <v>0</v>
      </c>
      <c r="BE431" s="7311">
        <f>+BE25</f>
        <v>2727.2727272727279</v>
      </c>
      <c r="BF431" s="3896">
        <f t="shared" ref="BF431" si="556">AX431+AZ431</f>
        <v>35.9</v>
      </c>
      <c r="BG431" s="4152">
        <f t="shared" si="537"/>
        <v>0</v>
      </c>
      <c r="BH431" s="4152">
        <f t="shared" si="538"/>
        <v>0</v>
      </c>
      <c r="BI431" s="4152"/>
      <c r="BJ431" s="4152">
        <f t="shared" si="539"/>
        <v>0</v>
      </c>
      <c r="BK431" s="4152">
        <f t="shared" si="540"/>
        <v>0</v>
      </c>
    </row>
    <row r="432" spans="1:63" ht="20.25" customHeight="1" thickBot="1" x14ac:dyDescent="0.3">
      <c r="A432" s="144"/>
      <c r="B432" s="3909"/>
      <c r="C432" s="3909"/>
      <c r="D432" s="3909"/>
      <c r="E432" s="3909"/>
      <c r="F432" s="3909"/>
      <c r="G432" s="3909"/>
      <c r="H432" s="3909"/>
      <c r="I432" s="7358"/>
      <c r="J432" s="7310">
        <f t="shared" si="524"/>
        <v>0</v>
      </c>
      <c r="K432" s="3909"/>
      <c r="L432" s="3909"/>
      <c r="M432" s="7372"/>
      <c r="N432" s="7301">
        <f t="shared" si="525"/>
        <v>0</v>
      </c>
      <c r="O432" s="3909"/>
      <c r="P432" s="3909"/>
      <c r="Q432" s="7358"/>
      <c r="R432" s="7310">
        <f t="shared" si="526"/>
        <v>0</v>
      </c>
      <c r="S432" s="3909"/>
      <c r="T432" s="3909"/>
      <c r="U432" s="7358"/>
      <c r="V432" s="7310">
        <f t="shared" si="527"/>
        <v>0</v>
      </c>
      <c r="W432" s="3909"/>
      <c r="X432" s="3909"/>
      <c r="Y432" s="7372"/>
      <c r="Z432" s="7301">
        <f t="shared" si="528"/>
        <v>0</v>
      </c>
      <c r="AA432" s="7416"/>
      <c r="AB432" s="7302">
        <f t="shared" si="529"/>
        <v>0</v>
      </c>
      <c r="AC432" s="3909"/>
      <c r="AD432" s="3909"/>
      <c r="AE432" s="7358"/>
      <c r="AF432" s="7310">
        <f t="shared" si="530"/>
        <v>0</v>
      </c>
      <c r="AG432" s="3909"/>
      <c r="AH432" s="3909"/>
      <c r="AI432" s="7358"/>
      <c r="AJ432" s="7358"/>
      <c r="AK432" s="3909"/>
      <c r="AL432" s="3909"/>
      <c r="AM432" s="7372"/>
      <c r="AN432" s="7372"/>
      <c r="AO432" s="7358"/>
      <c r="AP432" s="7358"/>
      <c r="AQ432" s="3909"/>
      <c r="AR432" s="3909"/>
      <c r="AS432" s="7358"/>
      <c r="AT432" s="7358"/>
      <c r="AU432" s="3909"/>
      <c r="AV432" s="3909"/>
      <c r="AW432" s="7358"/>
      <c r="AX432" s="7358"/>
      <c r="AY432" s="3909"/>
      <c r="AZ432" s="3909"/>
      <c r="BA432" s="7372"/>
      <c r="BB432" s="7372"/>
      <c r="BC432" s="7416"/>
      <c r="BD432" s="7416"/>
      <c r="BE432" s="7358"/>
      <c r="BF432" s="7358"/>
      <c r="BG432" s="4152">
        <f t="shared" si="537"/>
        <v>0</v>
      </c>
      <c r="BH432" s="4152">
        <f t="shared" si="538"/>
        <v>0</v>
      </c>
      <c r="BI432" s="4152"/>
      <c r="BJ432" s="4152">
        <f t="shared" si="539"/>
        <v>0</v>
      </c>
      <c r="BK432" s="4152">
        <f t="shared" si="540"/>
        <v>0</v>
      </c>
    </row>
    <row r="433" spans="1:63" ht="20.25" customHeight="1" x14ac:dyDescent="0.25">
      <c r="A433" s="144"/>
      <c r="B433" s="3616" t="s">
        <v>514</v>
      </c>
      <c r="C433" s="7049"/>
      <c r="D433" s="7049"/>
      <c r="E433" s="7049"/>
      <c r="F433" s="7049"/>
      <c r="G433" s="7049"/>
      <c r="H433" s="7049"/>
      <c r="I433" s="7359"/>
      <c r="J433" s="5152">
        <f t="shared" si="524"/>
        <v>0</v>
      </c>
      <c r="K433" s="7049"/>
      <c r="L433" s="7049"/>
      <c r="M433" s="7373"/>
      <c r="N433" s="6696">
        <f t="shared" si="525"/>
        <v>0</v>
      </c>
      <c r="O433" s="7049"/>
      <c r="P433" s="7049"/>
      <c r="Q433" s="7359"/>
      <c r="R433" s="5152">
        <f t="shared" si="526"/>
        <v>0</v>
      </c>
      <c r="S433" s="7049"/>
      <c r="T433" s="7049"/>
      <c r="U433" s="7359"/>
      <c r="V433" s="5152">
        <f t="shared" si="527"/>
        <v>0</v>
      </c>
      <c r="W433" s="7049"/>
      <c r="X433" s="7049"/>
      <c r="Y433" s="7373"/>
      <c r="Z433" s="6696">
        <f t="shared" si="528"/>
        <v>0</v>
      </c>
      <c r="AA433" s="7417"/>
      <c r="AB433" s="7410">
        <f t="shared" si="529"/>
        <v>0</v>
      </c>
      <c r="AC433" s="7049"/>
      <c r="AD433" s="7049"/>
      <c r="AE433" s="7359"/>
      <c r="AF433" s="5152">
        <f t="shared" si="530"/>
        <v>0</v>
      </c>
      <c r="AG433" s="7049"/>
      <c r="AH433" s="7049"/>
      <c r="AI433" s="7359"/>
      <c r="AJ433" s="7359"/>
      <c r="AK433" s="7049"/>
      <c r="AL433" s="7049"/>
      <c r="AM433" s="7373"/>
      <c r="AN433" s="7373"/>
      <c r="AO433" s="7359"/>
      <c r="AP433" s="7359"/>
      <c r="AQ433" s="7049"/>
      <c r="AR433" s="7049"/>
      <c r="AS433" s="7359"/>
      <c r="AT433" s="7359"/>
      <c r="AU433" s="7049"/>
      <c r="AV433" s="7049"/>
      <c r="AW433" s="7359"/>
      <c r="AX433" s="7359"/>
      <c r="AY433" s="7049"/>
      <c r="AZ433" s="7049"/>
      <c r="BA433" s="7373"/>
      <c r="BB433" s="7373"/>
      <c r="BC433" s="7417"/>
      <c r="BD433" s="7427"/>
      <c r="BE433" s="7359"/>
      <c r="BF433" s="7359"/>
      <c r="BG433" s="4152">
        <f t="shared" si="537"/>
        <v>0</v>
      </c>
      <c r="BH433" s="4152">
        <f t="shared" si="538"/>
        <v>0</v>
      </c>
      <c r="BI433" s="4152"/>
      <c r="BJ433" s="4152">
        <f t="shared" si="539"/>
        <v>0</v>
      </c>
      <c r="BK433" s="4152">
        <f t="shared" si="540"/>
        <v>0</v>
      </c>
    </row>
    <row r="434" spans="1:63" s="7052" customFormat="1" ht="20.25" customHeight="1" x14ac:dyDescent="0.25">
      <c r="A434" s="7050"/>
      <c r="B434" s="7051"/>
      <c r="I434" s="7360"/>
      <c r="J434" s="7053"/>
      <c r="M434" s="7374"/>
      <c r="N434" s="7054"/>
      <c r="Q434" s="7360"/>
      <c r="R434" s="7053"/>
      <c r="U434" s="7360"/>
      <c r="V434" s="7053"/>
      <c r="Y434" s="7374"/>
      <c r="Z434" s="7054"/>
      <c r="AA434" s="7418"/>
      <c r="AB434" s="7419"/>
      <c r="AE434" s="7360"/>
      <c r="AF434" s="7053"/>
      <c r="AI434" s="7360"/>
      <c r="AJ434" s="7360"/>
      <c r="AM434" s="7374"/>
      <c r="AN434" s="7374"/>
      <c r="AO434" s="7360"/>
      <c r="AP434" s="7360"/>
      <c r="AS434" s="7360"/>
      <c r="AT434" s="7360"/>
      <c r="AW434" s="7360"/>
      <c r="AX434" s="7360"/>
      <c r="BA434" s="7374"/>
      <c r="BB434" s="7374"/>
      <c r="BC434" s="7418"/>
      <c r="BD434" s="7418"/>
      <c r="BE434" s="7360"/>
      <c r="BF434" s="7360"/>
      <c r="BG434" s="4152">
        <f t="shared" si="537"/>
        <v>0</v>
      </c>
      <c r="BH434" s="4152">
        <f t="shared" si="538"/>
        <v>0</v>
      </c>
      <c r="BI434" s="7055"/>
      <c r="BJ434" s="4152">
        <f t="shared" si="539"/>
        <v>0</v>
      </c>
      <c r="BK434" s="4152">
        <f t="shared" si="540"/>
        <v>0</v>
      </c>
    </row>
    <row r="435" spans="1:63" s="7042" customFormat="1" ht="20.25" customHeight="1" x14ac:dyDescent="0.25">
      <c r="A435" s="144"/>
      <c r="B435" s="7056" t="s">
        <v>2272</v>
      </c>
      <c r="C435" s="7057"/>
      <c r="D435" s="7057"/>
      <c r="E435" s="7057"/>
      <c r="F435" s="7057"/>
      <c r="G435" s="7057"/>
      <c r="H435" s="7057"/>
      <c r="I435" s="7361"/>
      <c r="J435" s="7044"/>
      <c r="K435" s="7057"/>
      <c r="L435" s="7057"/>
      <c r="M435" s="7375"/>
      <c r="N435" s="7045"/>
      <c r="O435" s="7057"/>
      <c r="P435" s="7057"/>
      <c r="Q435" s="7361"/>
      <c r="R435" s="7044"/>
      <c r="S435" s="7057"/>
      <c r="T435" s="7057"/>
      <c r="U435" s="7361"/>
      <c r="V435" s="7044"/>
      <c r="W435" s="7057"/>
      <c r="X435" s="7057"/>
      <c r="Y435" s="7375"/>
      <c r="Z435" s="7045"/>
      <c r="AA435" s="7420"/>
      <c r="AB435" s="7379"/>
      <c r="AC435" s="7057"/>
      <c r="AD435" s="7057"/>
      <c r="AE435" s="7361"/>
      <c r="AF435" s="7044"/>
      <c r="AG435" s="7057"/>
      <c r="AH435" s="7057"/>
      <c r="AI435" s="7361"/>
      <c r="AJ435" s="7361"/>
      <c r="AK435" s="7057"/>
      <c r="AL435" s="7057"/>
      <c r="AM435" s="7375"/>
      <c r="AN435" s="7375"/>
      <c r="AO435" s="7361"/>
      <c r="AP435" s="7361"/>
      <c r="AQ435" s="7057"/>
      <c r="AR435" s="7057"/>
      <c r="AS435" s="7361"/>
      <c r="AT435" s="7361"/>
      <c r="AU435" s="7057"/>
      <c r="AV435" s="7057"/>
      <c r="AW435" s="7361"/>
      <c r="AX435" s="7361"/>
      <c r="AY435" s="7057"/>
      <c r="AZ435" s="7057"/>
      <c r="BA435" s="7375"/>
      <c r="BB435" s="7375"/>
      <c r="BC435" s="7420"/>
      <c r="BD435" s="7420"/>
      <c r="BE435" s="7361"/>
      <c r="BF435" s="7361"/>
      <c r="BG435" s="4152">
        <f t="shared" si="537"/>
        <v>0</v>
      </c>
      <c r="BH435" s="4152">
        <f t="shared" si="538"/>
        <v>0</v>
      </c>
      <c r="BI435" s="4152"/>
      <c r="BJ435" s="4152">
        <f t="shared" si="539"/>
        <v>0</v>
      </c>
      <c r="BK435" s="4152">
        <f t="shared" si="540"/>
        <v>0</v>
      </c>
    </row>
    <row r="436" spans="1:63" s="7042" customFormat="1" ht="20.25" customHeight="1" x14ac:dyDescent="0.25">
      <c r="A436" s="144"/>
      <c r="B436" s="7062" t="s">
        <v>2273</v>
      </c>
      <c r="C436" s="7046" t="s">
        <v>50</v>
      </c>
      <c r="D436" s="7057"/>
      <c r="E436" s="7057"/>
      <c r="F436" s="7622">
        <f>F39</f>
        <v>516.76</v>
      </c>
      <c r="G436" s="7057"/>
      <c r="H436" s="7057"/>
      <c r="I436" s="7361"/>
      <c r="J436" s="7044"/>
      <c r="K436" s="7057"/>
      <c r="L436" s="7057"/>
      <c r="M436" s="7375"/>
      <c r="N436" s="7045"/>
      <c r="O436" s="7057"/>
      <c r="P436" s="7057"/>
      <c r="Q436" s="7361"/>
      <c r="R436" s="7044"/>
      <c r="S436" s="7057"/>
      <c r="T436" s="7057"/>
      <c r="U436" s="7361"/>
      <c r="V436" s="7044"/>
      <c r="W436" s="7057"/>
      <c r="X436" s="7057"/>
      <c r="Y436" s="7375"/>
      <c r="Z436" s="7045"/>
      <c r="AA436" s="7420"/>
      <c r="AB436" s="7379"/>
      <c r="AC436" s="7057"/>
      <c r="AD436" s="7057"/>
      <c r="AE436" s="7361"/>
      <c r="AF436" s="7044"/>
      <c r="AG436" s="7057"/>
      <c r="AH436" s="7057"/>
      <c r="AI436" s="7361"/>
      <c r="AJ436" s="7361"/>
      <c r="AK436" s="7057"/>
      <c r="AL436" s="7057"/>
      <c r="AM436" s="7375"/>
      <c r="AN436" s="7375"/>
      <c r="AO436" s="7361"/>
      <c r="AP436" s="7361"/>
      <c r="AQ436" s="7057"/>
      <c r="AR436" s="7057"/>
      <c r="AS436" s="7361"/>
      <c r="AT436" s="7361"/>
      <c r="AU436" s="7057"/>
      <c r="AV436" s="7057"/>
      <c r="AW436" s="7361"/>
      <c r="AX436" s="7361"/>
      <c r="AY436" s="7057"/>
      <c r="AZ436" s="7047">
        <v>186.41</v>
      </c>
      <c r="BA436" s="7375"/>
      <c r="BB436" s="7048">
        <f t="shared" ref="BB436" si="557">AR436+AV436+AZ436</f>
        <v>186.41</v>
      </c>
      <c r="BC436" s="7420"/>
      <c r="BD436" s="7063">
        <f t="shared" ref="BD436" si="558">AN436+BB436</f>
        <v>186.41</v>
      </c>
      <c r="BE436" s="7361"/>
      <c r="BF436" s="7044">
        <f t="shared" ref="BF436" si="559">AX436+AZ436</f>
        <v>186.41</v>
      </c>
      <c r="BG436" s="4152">
        <f t="shared" si="537"/>
        <v>0</v>
      </c>
      <c r="BH436" s="4152">
        <f t="shared" si="538"/>
        <v>516.76</v>
      </c>
      <c r="BI436" s="4152"/>
      <c r="BJ436" s="4152">
        <f t="shared" si="539"/>
        <v>0</v>
      </c>
      <c r="BK436" s="4152">
        <f t="shared" si="540"/>
        <v>0</v>
      </c>
    </row>
    <row r="437" spans="1:63" s="7052" customFormat="1" ht="20.25" customHeight="1" x14ac:dyDescent="0.25">
      <c r="A437" s="7050"/>
      <c r="B437" s="7058"/>
      <c r="C437" s="5957"/>
      <c r="I437" s="7360"/>
      <c r="J437" s="7053"/>
      <c r="M437" s="7374"/>
      <c r="N437" s="7054"/>
      <c r="Q437" s="7360"/>
      <c r="R437" s="7053"/>
      <c r="U437" s="7360"/>
      <c r="V437" s="7053"/>
      <c r="Y437" s="7374"/>
      <c r="Z437" s="7054"/>
      <c r="AA437" s="7418"/>
      <c r="AB437" s="7419"/>
      <c r="AE437" s="7360"/>
      <c r="AF437" s="7053"/>
      <c r="AI437" s="7360"/>
      <c r="AJ437" s="7360"/>
      <c r="AM437" s="7374"/>
      <c r="AN437" s="7374"/>
      <c r="AO437" s="7360"/>
      <c r="AP437" s="7360"/>
      <c r="AS437" s="7360"/>
      <c r="AT437" s="7360"/>
      <c r="AW437" s="7360"/>
      <c r="AX437" s="7360"/>
      <c r="AZ437" s="7059"/>
      <c r="BA437" s="7374"/>
      <c r="BB437" s="7060"/>
      <c r="BC437" s="7418"/>
      <c r="BD437" s="7061"/>
      <c r="BE437" s="7360"/>
      <c r="BF437" s="7053"/>
      <c r="BG437" s="4152">
        <f t="shared" si="537"/>
        <v>0</v>
      </c>
      <c r="BH437" s="4152">
        <f t="shared" si="538"/>
        <v>0</v>
      </c>
      <c r="BI437" s="7055"/>
      <c r="BJ437" s="4152">
        <f t="shared" si="539"/>
        <v>0</v>
      </c>
      <c r="BK437" s="4152">
        <f t="shared" si="540"/>
        <v>0</v>
      </c>
    </row>
    <row r="438" spans="1:63" x14ac:dyDescent="0.25">
      <c r="A438" s="144"/>
      <c r="B438" s="7056" t="s">
        <v>1203</v>
      </c>
      <c r="C438" s="7057"/>
      <c r="D438" s="7057"/>
      <c r="E438" s="7057"/>
      <c r="F438" s="7057"/>
      <c r="G438" s="7057"/>
      <c r="H438" s="7057"/>
      <c r="I438" s="7361"/>
      <c r="J438" s="7044">
        <f t="shared" si="524"/>
        <v>0</v>
      </c>
      <c r="K438" s="7057"/>
      <c r="L438" s="7057"/>
      <c r="M438" s="7375"/>
      <c r="N438" s="7045">
        <f t="shared" si="525"/>
        <v>0</v>
      </c>
      <c r="O438" s="7057"/>
      <c r="P438" s="7057"/>
      <c r="Q438" s="7361"/>
      <c r="R438" s="7044">
        <f t="shared" si="526"/>
        <v>0</v>
      </c>
      <c r="S438" s="7057"/>
      <c r="T438" s="7057"/>
      <c r="U438" s="7361"/>
      <c r="V438" s="7044">
        <f t="shared" si="527"/>
        <v>0</v>
      </c>
      <c r="W438" s="7057"/>
      <c r="X438" s="7057"/>
      <c r="Y438" s="7375"/>
      <c r="Z438" s="7045">
        <f t="shared" si="528"/>
        <v>0</v>
      </c>
      <c r="AA438" s="7420"/>
      <c r="AB438" s="7379">
        <f t="shared" si="529"/>
        <v>0</v>
      </c>
      <c r="AC438" s="7057"/>
      <c r="AD438" s="7057"/>
      <c r="AE438" s="7361"/>
      <c r="AF438" s="7044">
        <f t="shared" si="530"/>
        <v>0</v>
      </c>
      <c r="AG438" s="7057"/>
      <c r="AH438" s="7057"/>
      <c r="AI438" s="7361"/>
      <c r="AJ438" s="7361"/>
      <c r="AK438" s="7057"/>
      <c r="AL438" s="7057"/>
      <c r="AM438" s="7375"/>
      <c r="AN438" s="7375"/>
      <c r="AO438" s="7361"/>
      <c r="AP438" s="7361"/>
      <c r="AQ438" s="7057"/>
      <c r="AR438" s="7057"/>
      <c r="AS438" s="7361"/>
      <c r="AT438" s="7361"/>
      <c r="AU438" s="7057"/>
      <c r="AV438" s="7057"/>
      <c r="AW438" s="7361"/>
      <c r="AX438" s="7361"/>
      <c r="AY438" s="7057"/>
      <c r="AZ438" s="7057"/>
      <c r="BA438" s="7375"/>
      <c r="BB438" s="7375"/>
      <c r="BC438" s="7420"/>
      <c r="BD438" s="7420"/>
      <c r="BE438" s="7361"/>
      <c r="BF438" s="7361"/>
      <c r="BG438" s="4152">
        <f t="shared" si="537"/>
        <v>0</v>
      </c>
      <c r="BH438" s="4152">
        <f t="shared" si="538"/>
        <v>0</v>
      </c>
      <c r="BI438" s="4152"/>
      <c r="BJ438" s="4152">
        <f t="shared" si="539"/>
        <v>0</v>
      </c>
      <c r="BK438" s="4152">
        <f t="shared" si="540"/>
        <v>0</v>
      </c>
    </row>
    <row r="439" spans="1:63" x14ac:dyDescent="0.25">
      <c r="A439" s="144"/>
      <c r="B439" s="696" t="s">
        <v>120</v>
      </c>
      <c r="C439" s="2023"/>
      <c r="D439" s="2023"/>
      <c r="E439" s="2023"/>
      <c r="F439" s="2023"/>
      <c r="G439" s="2023"/>
      <c r="H439" s="2023"/>
      <c r="I439" s="7353"/>
      <c r="J439" s="7310">
        <f t="shared" si="524"/>
        <v>0</v>
      </c>
      <c r="K439" s="2023"/>
      <c r="L439" s="2023"/>
      <c r="M439" s="7366"/>
      <c r="N439" s="7301">
        <f t="shared" si="525"/>
        <v>0</v>
      </c>
      <c r="O439" s="2023"/>
      <c r="P439" s="2023"/>
      <c r="Q439" s="7353"/>
      <c r="R439" s="7310">
        <f t="shared" si="526"/>
        <v>0</v>
      </c>
      <c r="S439" s="2023"/>
      <c r="T439" s="2023"/>
      <c r="U439" s="7353"/>
      <c r="V439" s="7310">
        <f t="shared" si="527"/>
        <v>0</v>
      </c>
      <c r="W439" s="2023"/>
      <c r="X439" s="2023"/>
      <c r="Y439" s="7366"/>
      <c r="Z439" s="7301">
        <f t="shared" si="528"/>
        <v>0</v>
      </c>
      <c r="AA439" s="7377"/>
      <c r="AB439" s="7302">
        <f t="shared" si="529"/>
        <v>0</v>
      </c>
      <c r="AC439" s="2023"/>
      <c r="AD439" s="2023"/>
      <c r="AE439" s="7353"/>
      <c r="AF439" s="7310">
        <f t="shared" si="530"/>
        <v>0</v>
      </c>
      <c r="AG439" s="2023"/>
      <c r="AH439" s="2023"/>
      <c r="AI439" s="7353"/>
      <c r="AJ439" s="7353"/>
      <c r="AK439" s="2023"/>
      <c r="AL439" s="2023"/>
      <c r="AM439" s="7366"/>
      <c r="AN439" s="7366"/>
      <c r="AO439" s="7353"/>
      <c r="AP439" s="7353"/>
      <c r="AQ439" s="2023"/>
      <c r="AR439" s="2023"/>
      <c r="AS439" s="7353"/>
      <c r="AT439" s="7353"/>
      <c r="AU439" s="2023"/>
      <c r="AV439" s="2023"/>
      <c r="AW439" s="7353"/>
      <c r="AX439" s="7353"/>
      <c r="AY439" s="2023"/>
      <c r="AZ439" s="2023"/>
      <c r="BA439" s="7366"/>
      <c r="BB439" s="7366"/>
      <c r="BC439" s="7377"/>
      <c r="BD439" s="7428"/>
      <c r="BE439" s="7353"/>
      <c r="BF439" s="7353"/>
      <c r="BG439" s="4152">
        <f t="shared" si="537"/>
        <v>0</v>
      </c>
      <c r="BH439" s="4152">
        <f t="shared" si="538"/>
        <v>0</v>
      </c>
      <c r="BI439" s="4152"/>
      <c r="BJ439" s="4152">
        <f t="shared" si="539"/>
        <v>0</v>
      </c>
      <c r="BK439" s="4152">
        <f t="shared" si="540"/>
        <v>0</v>
      </c>
    </row>
    <row r="440" spans="1:63" x14ac:dyDescent="0.25">
      <c r="A440" s="90"/>
      <c r="B440" s="3787" t="s">
        <v>628</v>
      </c>
      <c r="C440" s="7337" t="s">
        <v>50</v>
      </c>
      <c r="D440" s="148"/>
      <c r="E440" s="7866"/>
      <c r="F440" s="2237"/>
      <c r="G440" s="7866"/>
      <c r="H440" s="5568"/>
      <c r="I440" s="7921"/>
      <c r="J440" s="7310">
        <f t="shared" ref="J440:J505" si="560">F440+H440</f>
        <v>0</v>
      </c>
      <c r="K440" s="7866"/>
      <c r="L440" s="5680"/>
      <c r="M440" s="7895"/>
      <c r="N440" s="7301">
        <f t="shared" ref="N440:N505" si="561">J440+L440</f>
        <v>0</v>
      </c>
      <c r="O440" s="7866"/>
      <c r="P440" s="5837"/>
      <c r="Q440" s="7921"/>
      <c r="R440" s="7310">
        <f t="shared" ref="R440:R505" si="562">N440+P440</f>
        <v>0</v>
      </c>
      <c r="S440" s="7866"/>
      <c r="T440" s="5893"/>
      <c r="U440" s="7921"/>
      <c r="V440" s="7310">
        <f t="shared" ref="V440:V505" si="563">R440+T440</f>
        <v>0</v>
      </c>
      <c r="W440" s="7866"/>
      <c r="X440" s="6007"/>
      <c r="Y440" s="7895"/>
      <c r="Z440" s="7301">
        <f t="shared" ref="Z440:Z505" si="564">P440+T440+X440</f>
        <v>0</v>
      </c>
      <c r="AA440" s="7902"/>
      <c r="AB440" s="7302">
        <f t="shared" ref="AB440:AB505" si="565">N440+Z440</f>
        <v>0</v>
      </c>
      <c r="AC440" s="7866"/>
      <c r="AD440" s="6138"/>
      <c r="AE440" s="7921"/>
      <c r="AF440" s="7310">
        <f t="shared" ref="AF440:AF505" si="566">AB440+AD440</f>
        <v>0</v>
      </c>
      <c r="AG440" s="7866"/>
      <c r="AH440" s="6300"/>
      <c r="AI440" s="3910"/>
      <c r="AJ440" s="7310">
        <f t="shared" ref="AJ440:AJ470" si="567">AF440+AH440</f>
        <v>0</v>
      </c>
      <c r="AK440" s="7866"/>
      <c r="AL440" s="6549"/>
      <c r="AM440" s="7895"/>
      <c r="AN440" s="7303">
        <f t="shared" ref="AN440:AN493" si="568">AD440+AH440+AL440</f>
        <v>0</v>
      </c>
      <c r="AO440" s="7921"/>
      <c r="AP440" s="7310">
        <f t="shared" ref="AO440:AP493" si="569">AJ440+AL440</f>
        <v>0</v>
      </c>
      <c r="AQ440" s="7866"/>
      <c r="AR440" s="6643"/>
      <c r="AS440" s="3910"/>
      <c r="AT440" s="7310">
        <f t="shared" ref="AT440:AT472" si="570">AP440+AR440</f>
        <v>0</v>
      </c>
      <c r="AU440" s="7866"/>
      <c r="AV440" s="6815"/>
      <c r="AW440" s="3910"/>
      <c r="AX440" s="7310">
        <f t="shared" ref="AX440:AX472" si="571">AT440+AV440</f>
        <v>0</v>
      </c>
      <c r="AY440" s="7866"/>
      <c r="AZ440" s="6957"/>
      <c r="BA440" s="7895"/>
      <c r="BB440" s="7303">
        <f t="shared" ref="BB440:BB471" si="572">AR440+AV440+AZ440</f>
        <v>0</v>
      </c>
      <c r="BC440" s="7902"/>
      <c r="BD440" s="513">
        <f t="shared" ref="BD440:BD493" si="573">AN440+BB440</f>
        <v>0</v>
      </c>
      <c r="BE440" s="3910"/>
      <c r="BF440" s="7310">
        <f t="shared" ref="BF440:BF470" si="574">AX440+AZ440</f>
        <v>0</v>
      </c>
      <c r="BG440" s="4152">
        <f t="shared" si="537"/>
        <v>0</v>
      </c>
      <c r="BH440" s="4152">
        <f t="shared" si="538"/>
        <v>0</v>
      </c>
      <c r="BI440" s="4152"/>
      <c r="BJ440" s="4152">
        <f t="shared" si="539"/>
        <v>0</v>
      </c>
      <c r="BK440" s="4152">
        <f t="shared" si="540"/>
        <v>0</v>
      </c>
    </row>
    <row r="441" spans="1:63" x14ac:dyDescent="0.25">
      <c r="A441" s="90"/>
      <c r="B441" s="3911" t="s">
        <v>680</v>
      </c>
      <c r="C441" s="7337" t="s">
        <v>50</v>
      </c>
      <c r="D441" s="148"/>
      <c r="E441" s="7866"/>
      <c r="F441" s="1820">
        <v>2713.2199999999993</v>
      </c>
      <c r="G441" s="7866"/>
      <c r="H441" s="1820">
        <v>2814.6399999999994</v>
      </c>
      <c r="I441" s="7921"/>
      <c r="J441" s="7310">
        <f t="shared" si="560"/>
        <v>5527.8599999999988</v>
      </c>
      <c r="K441" s="7866"/>
      <c r="L441" s="1820"/>
      <c r="M441" s="7895"/>
      <c r="N441" s="7301">
        <f t="shared" si="561"/>
        <v>5527.8599999999988</v>
      </c>
      <c r="O441" s="7866"/>
      <c r="P441" s="1820"/>
      <c r="Q441" s="7921"/>
      <c r="R441" s="7310">
        <f t="shared" si="562"/>
        <v>5527.8599999999988</v>
      </c>
      <c r="S441" s="7866"/>
      <c r="T441" s="1820"/>
      <c r="U441" s="7921"/>
      <c r="V441" s="7310">
        <f t="shared" si="563"/>
        <v>5527.8599999999988</v>
      </c>
      <c r="W441" s="7866"/>
      <c r="X441" s="1820"/>
      <c r="Y441" s="7895"/>
      <c r="Z441" s="7301">
        <f t="shared" si="564"/>
        <v>0</v>
      </c>
      <c r="AA441" s="7902"/>
      <c r="AB441" s="7302">
        <f t="shared" si="565"/>
        <v>5527.8599999999988</v>
      </c>
      <c r="AC441" s="7866"/>
      <c r="AD441" s="1820">
        <v>2836.7</v>
      </c>
      <c r="AE441" s="7921"/>
      <c r="AF441" s="7310">
        <f t="shared" si="566"/>
        <v>8364.5599999999977</v>
      </c>
      <c r="AG441" s="7866"/>
      <c r="AH441" s="1820">
        <v>2824.64</v>
      </c>
      <c r="AI441" s="3910"/>
      <c r="AJ441" s="7310">
        <f t="shared" si="567"/>
        <v>11189.199999999997</v>
      </c>
      <c r="AK441" s="7866"/>
      <c r="AL441" s="1820">
        <v>2463.92</v>
      </c>
      <c r="AM441" s="7895"/>
      <c r="AN441" s="7303">
        <f t="shared" si="568"/>
        <v>8125.26</v>
      </c>
      <c r="AO441" s="7921"/>
      <c r="AP441" s="7310">
        <f t="shared" si="569"/>
        <v>13653.119999999997</v>
      </c>
      <c r="AQ441" s="7866"/>
      <c r="AR441" s="1820">
        <v>2842.54</v>
      </c>
      <c r="AS441" s="3910"/>
      <c r="AT441" s="7310">
        <f t="shared" si="570"/>
        <v>16495.659999999996</v>
      </c>
      <c r="AU441" s="7866"/>
      <c r="AV441" s="1820"/>
      <c r="AW441" s="3910"/>
      <c r="AX441" s="7310">
        <f t="shared" si="571"/>
        <v>16495.659999999996</v>
      </c>
      <c r="AY441" s="7866"/>
      <c r="AZ441" s="1820">
        <v>1167.56</v>
      </c>
      <c r="BA441" s="7895"/>
      <c r="BB441" s="7303">
        <f t="shared" si="572"/>
        <v>4010.1</v>
      </c>
      <c r="BC441" s="7902"/>
      <c r="BD441" s="513">
        <f t="shared" si="573"/>
        <v>12135.36</v>
      </c>
      <c r="BE441" s="3910"/>
      <c r="BF441" s="7310">
        <f t="shared" si="574"/>
        <v>17663.219999999998</v>
      </c>
      <c r="BG441" s="4152">
        <f t="shared" si="537"/>
        <v>0</v>
      </c>
      <c r="BH441" s="4152">
        <f t="shared" si="538"/>
        <v>0</v>
      </c>
      <c r="BI441" s="4152"/>
      <c r="BJ441" s="4152">
        <f t="shared" si="539"/>
        <v>0</v>
      </c>
      <c r="BK441" s="4152">
        <f t="shared" si="540"/>
        <v>0</v>
      </c>
    </row>
    <row r="442" spans="1:63" x14ac:dyDescent="0.25">
      <c r="A442" s="144"/>
      <c r="B442" s="3912" t="s">
        <v>2294</v>
      </c>
      <c r="C442" s="194" t="s">
        <v>50</v>
      </c>
      <c r="D442" s="194"/>
      <c r="E442" s="7866"/>
      <c r="F442" s="2237">
        <f>+F46</f>
        <v>1961.5</v>
      </c>
      <c r="G442" s="7866"/>
      <c r="H442" s="5568">
        <f>+H46</f>
        <v>0</v>
      </c>
      <c r="I442" s="7921"/>
      <c r="J442" s="7310">
        <f t="shared" si="560"/>
        <v>1961.5</v>
      </c>
      <c r="K442" s="7866"/>
      <c r="L442" s="5680">
        <f>+L46</f>
        <v>3983.52</v>
      </c>
      <c r="M442" s="7895"/>
      <c r="N442" s="7301">
        <f t="shared" si="561"/>
        <v>5945.02</v>
      </c>
      <c r="O442" s="7866"/>
      <c r="P442" s="5837">
        <f>+P46</f>
        <v>1960.88</v>
      </c>
      <c r="Q442" s="7921"/>
      <c r="R442" s="7310">
        <f t="shared" si="562"/>
        <v>7905.9000000000005</v>
      </c>
      <c r="S442" s="7866"/>
      <c r="T442" s="5893">
        <f>+T46</f>
        <v>0</v>
      </c>
      <c r="U442" s="7921"/>
      <c r="V442" s="7310">
        <f t="shared" si="563"/>
        <v>7905.9000000000005</v>
      </c>
      <c r="W442" s="7866"/>
      <c r="X442" s="6007">
        <f>+X46</f>
        <v>0</v>
      </c>
      <c r="Y442" s="7895"/>
      <c r="Z442" s="7301">
        <f t="shared" si="564"/>
        <v>1960.88</v>
      </c>
      <c r="AA442" s="7902"/>
      <c r="AB442" s="7302">
        <f t="shared" si="565"/>
        <v>7905.9000000000005</v>
      </c>
      <c r="AC442" s="7866"/>
      <c r="AD442" s="6138">
        <f>+AD46</f>
        <v>2616.08</v>
      </c>
      <c r="AE442" s="7921"/>
      <c r="AF442" s="7310">
        <f t="shared" si="566"/>
        <v>10521.98</v>
      </c>
      <c r="AG442" s="7866"/>
      <c r="AH442" s="6300">
        <f>+AH46</f>
        <v>0</v>
      </c>
      <c r="AI442" s="3910"/>
      <c r="AJ442" s="7310">
        <f t="shared" si="567"/>
        <v>10521.98</v>
      </c>
      <c r="AK442" s="7866"/>
      <c r="AL442" s="6549">
        <f>+AL46</f>
        <v>0</v>
      </c>
      <c r="AM442" s="7895"/>
      <c r="AN442" s="7303">
        <f t="shared" si="568"/>
        <v>2616.08</v>
      </c>
      <c r="AO442" s="7921"/>
      <c r="AP442" s="7310">
        <f t="shared" si="569"/>
        <v>10521.98</v>
      </c>
      <c r="AQ442" s="7866"/>
      <c r="AR442" s="6643">
        <f>+AR46</f>
        <v>0</v>
      </c>
      <c r="AS442" s="3910"/>
      <c r="AT442" s="7310">
        <f t="shared" si="570"/>
        <v>10521.98</v>
      </c>
      <c r="AU442" s="7866"/>
      <c r="AV442" s="6815">
        <f>+AV46</f>
        <v>0</v>
      </c>
      <c r="AW442" s="3910"/>
      <c r="AX442" s="7310">
        <f t="shared" si="571"/>
        <v>10521.98</v>
      </c>
      <c r="AY442" s="7866"/>
      <c r="AZ442" s="6957">
        <f>+AZ46</f>
        <v>0</v>
      </c>
      <c r="BA442" s="7895"/>
      <c r="BB442" s="7303">
        <f t="shared" si="572"/>
        <v>0</v>
      </c>
      <c r="BC442" s="7902"/>
      <c r="BD442" s="513">
        <f t="shared" si="573"/>
        <v>2616.08</v>
      </c>
      <c r="BE442" s="3910"/>
      <c r="BF442" s="7310">
        <f t="shared" si="574"/>
        <v>10521.98</v>
      </c>
      <c r="BG442" s="4152">
        <f t="shared" si="537"/>
        <v>0</v>
      </c>
      <c r="BH442" s="4152">
        <f t="shared" si="538"/>
        <v>0</v>
      </c>
      <c r="BI442" s="4152"/>
      <c r="BJ442" s="4152">
        <f t="shared" si="539"/>
        <v>0</v>
      </c>
      <c r="BK442" s="4152">
        <f t="shared" si="540"/>
        <v>0</v>
      </c>
    </row>
    <row r="443" spans="1:63" x14ac:dyDescent="0.25">
      <c r="A443" s="90"/>
      <c r="B443" s="3913" t="s">
        <v>2295</v>
      </c>
      <c r="C443" s="194" t="s">
        <v>50</v>
      </c>
      <c r="D443" s="194"/>
      <c r="E443" s="7866"/>
      <c r="F443" s="2237">
        <f>+F47</f>
        <v>1862.01</v>
      </c>
      <c r="G443" s="7866"/>
      <c r="H443" s="5568">
        <f>+H47</f>
        <v>1764.7700000000004</v>
      </c>
      <c r="I443" s="7921"/>
      <c r="J443" s="7310">
        <f t="shared" si="560"/>
        <v>3626.7800000000007</v>
      </c>
      <c r="K443" s="7866"/>
      <c r="L443" s="5680">
        <f>+L47</f>
        <v>1754.69</v>
      </c>
      <c r="M443" s="7895"/>
      <c r="N443" s="7301">
        <f t="shared" si="561"/>
        <v>5381.4700000000012</v>
      </c>
      <c r="O443" s="7866"/>
      <c r="P443" s="5837">
        <f>+P47</f>
        <v>1441.38</v>
      </c>
      <c r="Q443" s="7921"/>
      <c r="R443" s="7310">
        <f t="shared" si="562"/>
        <v>6822.8500000000013</v>
      </c>
      <c r="S443" s="7866"/>
      <c r="T443" s="5893">
        <f>+T47</f>
        <v>3769.97</v>
      </c>
      <c r="U443" s="7921"/>
      <c r="V443" s="7310">
        <f t="shared" si="563"/>
        <v>10592.820000000002</v>
      </c>
      <c r="W443" s="7866"/>
      <c r="X443" s="6007">
        <f>+X47</f>
        <v>3271.59</v>
      </c>
      <c r="Y443" s="7895"/>
      <c r="Z443" s="7301">
        <f t="shared" si="564"/>
        <v>8482.94</v>
      </c>
      <c r="AA443" s="7902"/>
      <c r="AB443" s="7302">
        <f t="shared" si="565"/>
        <v>13864.410000000002</v>
      </c>
      <c r="AC443" s="7866"/>
      <c r="AD443" s="6138">
        <f>+AD47</f>
        <v>601.74</v>
      </c>
      <c r="AE443" s="7921"/>
      <c r="AF443" s="7310">
        <f t="shared" si="566"/>
        <v>14466.150000000001</v>
      </c>
      <c r="AG443" s="7866"/>
      <c r="AH443" s="6300">
        <f>+AH47</f>
        <v>0</v>
      </c>
      <c r="AI443" s="3910"/>
      <c r="AJ443" s="7310">
        <f t="shared" si="567"/>
        <v>14466.150000000001</v>
      </c>
      <c r="AK443" s="7866"/>
      <c r="AL443" s="6549">
        <f>+AL47</f>
        <v>2256.63</v>
      </c>
      <c r="AM443" s="7895"/>
      <c r="AN443" s="7303">
        <f t="shared" si="568"/>
        <v>2858.37</v>
      </c>
      <c r="AO443" s="7921"/>
      <c r="AP443" s="7310">
        <f t="shared" si="569"/>
        <v>16722.780000000002</v>
      </c>
      <c r="AQ443" s="7866"/>
      <c r="AR443" s="6643">
        <f>+AR47</f>
        <v>4277.21</v>
      </c>
      <c r="AS443" s="3910"/>
      <c r="AT443" s="7310">
        <f t="shared" si="570"/>
        <v>20999.99</v>
      </c>
      <c r="AU443" s="7866"/>
      <c r="AV443" s="6815">
        <f>+AV47</f>
        <v>3140.78</v>
      </c>
      <c r="AW443" s="3910"/>
      <c r="AX443" s="7310">
        <f t="shared" si="571"/>
        <v>24140.77</v>
      </c>
      <c r="AY443" s="7866"/>
      <c r="AZ443" s="6957">
        <f>+AZ47</f>
        <v>1971.02</v>
      </c>
      <c r="BA443" s="7895"/>
      <c r="BB443" s="7303">
        <f t="shared" si="572"/>
        <v>9389.01</v>
      </c>
      <c r="BC443" s="7902"/>
      <c r="BD443" s="513">
        <f t="shared" si="573"/>
        <v>12247.380000000001</v>
      </c>
      <c r="BE443" s="3910"/>
      <c r="BF443" s="7310">
        <f t="shared" si="574"/>
        <v>26111.79</v>
      </c>
      <c r="BG443" s="4152">
        <f t="shared" si="537"/>
        <v>0</v>
      </c>
      <c r="BH443" s="4152">
        <f t="shared" si="538"/>
        <v>0</v>
      </c>
      <c r="BI443" s="4152"/>
      <c r="BJ443" s="4152">
        <f t="shared" si="539"/>
        <v>0</v>
      </c>
      <c r="BK443" s="4152">
        <f t="shared" si="540"/>
        <v>0</v>
      </c>
    </row>
    <row r="444" spans="1:63" x14ac:dyDescent="0.25">
      <c r="A444" s="90"/>
      <c r="B444" s="3681" t="s">
        <v>574</v>
      </c>
      <c r="C444" s="194"/>
      <c r="D444" s="194"/>
      <c r="E444" s="7866"/>
      <c r="F444" s="2237"/>
      <c r="G444" s="7866"/>
      <c r="H444" s="5568"/>
      <c r="I444" s="7921"/>
      <c r="J444" s="7310">
        <f t="shared" si="560"/>
        <v>0</v>
      </c>
      <c r="K444" s="7866"/>
      <c r="L444" s="5680"/>
      <c r="M444" s="7895"/>
      <c r="N444" s="7301">
        <f t="shared" si="561"/>
        <v>0</v>
      </c>
      <c r="O444" s="7866"/>
      <c r="P444" s="5837"/>
      <c r="Q444" s="7921"/>
      <c r="R444" s="7310">
        <f t="shared" si="562"/>
        <v>0</v>
      </c>
      <c r="S444" s="7866"/>
      <c r="T444" s="5893"/>
      <c r="U444" s="7921"/>
      <c r="V444" s="7310">
        <f t="shared" si="563"/>
        <v>0</v>
      </c>
      <c r="W444" s="7866"/>
      <c r="X444" s="6007"/>
      <c r="Y444" s="7895"/>
      <c r="Z444" s="7301">
        <f t="shared" si="564"/>
        <v>0</v>
      </c>
      <c r="AA444" s="7902"/>
      <c r="AB444" s="7302">
        <f t="shared" si="565"/>
        <v>0</v>
      </c>
      <c r="AC444" s="7866"/>
      <c r="AD444" s="6138"/>
      <c r="AE444" s="7921"/>
      <c r="AF444" s="7310">
        <f t="shared" si="566"/>
        <v>0</v>
      </c>
      <c r="AG444" s="7866"/>
      <c r="AH444" s="6300"/>
      <c r="AI444" s="3910"/>
      <c r="AJ444" s="7310">
        <f t="shared" si="567"/>
        <v>0</v>
      </c>
      <c r="AK444" s="7866"/>
      <c r="AL444" s="6549"/>
      <c r="AM444" s="7895"/>
      <c r="AN444" s="7303">
        <f t="shared" si="568"/>
        <v>0</v>
      </c>
      <c r="AO444" s="7921"/>
      <c r="AP444" s="7310">
        <f t="shared" si="569"/>
        <v>0</v>
      </c>
      <c r="AQ444" s="7866"/>
      <c r="AR444" s="6643"/>
      <c r="AS444" s="3910"/>
      <c r="AT444" s="7310">
        <f t="shared" si="570"/>
        <v>0</v>
      </c>
      <c r="AU444" s="7866"/>
      <c r="AV444" s="6815"/>
      <c r="AW444" s="3910"/>
      <c r="AX444" s="7310">
        <f t="shared" si="571"/>
        <v>0</v>
      </c>
      <c r="AY444" s="7866"/>
      <c r="AZ444" s="6957"/>
      <c r="BA444" s="7895"/>
      <c r="BB444" s="7303">
        <f t="shared" si="572"/>
        <v>0</v>
      </c>
      <c r="BC444" s="7902"/>
      <c r="BD444" s="513">
        <f t="shared" si="573"/>
        <v>0</v>
      </c>
      <c r="BE444" s="3910"/>
      <c r="BF444" s="7310">
        <f t="shared" si="574"/>
        <v>0</v>
      </c>
      <c r="BG444" s="4152">
        <f t="shared" si="537"/>
        <v>0</v>
      </c>
      <c r="BH444" s="4152">
        <f t="shared" si="538"/>
        <v>0</v>
      </c>
      <c r="BI444" s="4152"/>
      <c r="BJ444" s="4152">
        <f t="shared" si="539"/>
        <v>0</v>
      </c>
      <c r="BK444" s="4152">
        <f t="shared" si="540"/>
        <v>0</v>
      </c>
    </row>
    <row r="445" spans="1:63" x14ac:dyDescent="0.25">
      <c r="A445" s="90"/>
      <c r="B445" s="8" t="s">
        <v>1890</v>
      </c>
      <c r="C445" s="7337" t="s">
        <v>50</v>
      </c>
      <c r="D445" s="148"/>
      <c r="E445" s="7866"/>
      <c r="F445" s="2237"/>
      <c r="G445" s="7866"/>
      <c r="H445" s="5568"/>
      <c r="I445" s="7921"/>
      <c r="J445" s="7310">
        <f t="shared" si="560"/>
        <v>0</v>
      </c>
      <c r="K445" s="7866"/>
      <c r="L445" s="5680"/>
      <c r="M445" s="7895"/>
      <c r="N445" s="7301">
        <f t="shared" si="561"/>
        <v>0</v>
      </c>
      <c r="O445" s="7866"/>
      <c r="P445" s="5837"/>
      <c r="Q445" s="7921"/>
      <c r="R445" s="7310">
        <f t="shared" si="562"/>
        <v>0</v>
      </c>
      <c r="S445" s="7866"/>
      <c r="T445" s="5893"/>
      <c r="U445" s="7921"/>
      <c r="V445" s="7310">
        <f t="shared" si="563"/>
        <v>0</v>
      </c>
      <c r="W445" s="7866"/>
      <c r="X445" s="6007"/>
      <c r="Y445" s="7895"/>
      <c r="Z445" s="7301">
        <f t="shared" si="564"/>
        <v>0</v>
      </c>
      <c r="AA445" s="7902"/>
      <c r="AB445" s="7302">
        <f t="shared" si="565"/>
        <v>0</v>
      </c>
      <c r="AC445" s="7866"/>
      <c r="AD445" s="6138">
        <v>332.4</v>
      </c>
      <c r="AE445" s="7921"/>
      <c r="AF445" s="7310">
        <f t="shared" si="566"/>
        <v>332.4</v>
      </c>
      <c r="AG445" s="7866"/>
      <c r="AH445" s="6300">
        <v>196.36</v>
      </c>
      <c r="AI445" s="3914"/>
      <c r="AJ445" s="7310">
        <f t="shared" si="567"/>
        <v>528.76</v>
      </c>
      <c r="AK445" s="7866"/>
      <c r="AL445" s="6549">
        <v>40.14</v>
      </c>
      <c r="AM445" s="7895"/>
      <c r="AN445" s="7303">
        <f t="shared" si="568"/>
        <v>568.9</v>
      </c>
      <c r="AO445" s="7921"/>
      <c r="AP445" s="7310">
        <f t="shared" si="569"/>
        <v>568.9</v>
      </c>
      <c r="AQ445" s="7866"/>
      <c r="AR445" s="6643"/>
      <c r="AS445" s="3914"/>
      <c r="AT445" s="7310">
        <f t="shared" si="570"/>
        <v>568.9</v>
      </c>
      <c r="AU445" s="7866"/>
      <c r="AV445" s="6815">
        <v>1098.48</v>
      </c>
      <c r="AW445" s="3914"/>
      <c r="AX445" s="7310">
        <f t="shared" si="571"/>
        <v>1667.38</v>
      </c>
      <c r="AY445" s="7866"/>
      <c r="AZ445" s="6957"/>
      <c r="BA445" s="7895"/>
      <c r="BB445" s="7303">
        <f t="shared" si="572"/>
        <v>1098.48</v>
      </c>
      <c r="BC445" s="7902"/>
      <c r="BD445" s="513">
        <f t="shared" si="573"/>
        <v>1667.38</v>
      </c>
      <c r="BE445" s="3914"/>
      <c r="BF445" s="7310">
        <f t="shared" si="574"/>
        <v>1667.38</v>
      </c>
      <c r="BG445" s="4152">
        <f t="shared" si="537"/>
        <v>0</v>
      </c>
      <c r="BH445" s="4152">
        <f t="shared" si="538"/>
        <v>0</v>
      </c>
      <c r="BI445" s="4152"/>
      <c r="BJ445" s="4152">
        <f t="shared" si="539"/>
        <v>0</v>
      </c>
      <c r="BK445" s="4152">
        <f t="shared" si="540"/>
        <v>0</v>
      </c>
    </row>
    <row r="446" spans="1:63" x14ac:dyDescent="0.25">
      <c r="A446" s="90"/>
      <c r="B446" s="8" t="s">
        <v>1891</v>
      </c>
      <c r="C446" s="7337" t="s">
        <v>50</v>
      </c>
      <c r="D446" s="148"/>
      <c r="E446" s="7866"/>
      <c r="F446" s="2237">
        <v>4483.9800000000005</v>
      </c>
      <c r="G446" s="7866"/>
      <c r="H446" s="5568">
        <v>3992.5400000000018</v>
      </c>
      <c r="I446" s="7921"/>
      <c r="J446" s="7310">
        <f t="shared" si="560"/>
        <v>8476.5200000000023</v>
      </c>
      <c r="K446" s="7866"/>
      <c r="L446" s="5680">
        <v>5621.8200000000006</v>
      </c>
      <c r="M446" s="7895"/>
      <c r="N446" s="7301">
        <f t="shared" si="561"/>
        <v>14098.340000000004</v>
      </c>
      <c r="O446" s="7866"/>
      <c r="P446" s="5837">
        <v>8351.4900000000034</v>
      </c>
      <c r="Q446" s="7921"/>
      <c r="R446" s="7310">
        <f t="shared" si="562"/>
        <v>22449.830000000009</v>
      </c>
      <c r="S446" s="7866"/>
      <c r="T446" s="5893">
        <v>6319.6600000000008</v>
      </c>
      <c r="U446" s="7921"/>
      <c r="V446" s="7310">
        <f t="shared" si="563"/>
        <v>28769.490000000009</v>
      </c>
      <c r="W446" s="7866"/>
      <c r="X446" s="6007">
        <v>6934.8799999999992</v>
      </c>
      <c r="Y446" s="7895"/>
      <c r="Z446" s="7301">
        <f t="shared" si="564"/>
        <v>21606.030000000006</v>
      </c>
      <c r="AA446" s="7902"/>
      <c r="AB446" s="7302">
        <f t="shared" si="565"/>
        <v>35704.37000000001</v>
      </c>
      <c r="AC446" s="7866"/>
      <c r="AD446" s="6138">
        <v>2103.2199999999998</v>
      </c>
      <c r="AE446" s="7921"/>
      <c r="AF446" s="7310">
        <f t="shared" si="566"/>
        <v>37807.590000000011</v>
      </c>
      <c r="AG446" s="7866"/>
      <c r="AH446" s="6300">
        <v>3321.9999999999995</v>
      </c>
      <c r="AI446" s="3914"/>
      <c r="AJ446" s="7310">
        <f t="shared" si="567"/>
        <v>41129.590000000011</v>
      </c>
      <c r="AK446" s="7866"/>
      <c r="AL446" s="6549">
        <v>2821.72</v>
      </c>
      <c r="AM446" s="7895"/>
      <c r="AN446" s="7303">
        <f t="shared" si="568"/>
        <v>8246.9399999999987</v>
      </c>
      <c r="AO446" s="7921"/>
      <c r="AP446" s="7310">
        <f t="shared" si="569"/>
        <v>43951.310000000012</v>
      </c>
      <c r="AQ446" s="7866"/>
      <c r="AR446" s="6643">
        <v>582.81999999999994</v>
      </c>
      <c r="AS446" s="3914"/>
      <c r="AT446" s="7310">
        <f t="shared" si="570"/>
        <v>44534.130000000012</v>
      </c>
      <c r="AU446" s="7866"/>
      <c r="AV446" s="6815">
        <v>65.36</v>
      </c>
      <c r="AW446" s="3914"/>
      <c r="AX446" s="7310">
        <f t="shared" si="571"/>
        <v>44599.490000000013</v>
      </c>
      <c r="AY446" s="7866"/>
      <c r="AZ446" s="6957">
        <v>2236.5499999999993</v>
      </c>
      <c r="BA446" s="7895"/>
      <c r="BB446" s="7303">
        <f t="shared" si="572"/>
        <v>2884.7299999999991</v>
      </c>
      <c r="BC446" s="7902"/>
      <c r="BD446" s="513">
        <f t="shared" si="573"/>
        <v>11131.669999999998</v>
      </c>
      <c r="BE446" s="3914"/>
      <c r="BF446" s="7310">
        <f t="shared" si="574"/>
        <v>46836.040000000008</v>
      </c>
      <c r="BG446" s="4152">
        <f t="shared" si="537"/>
        <v>0</v>
      </c>
      <c r="BH446" s="4152">
        <f t="shared" si="538"/>
        <v>0</v>
      </c>
      <c r="BI446" s="4152"/>
      <c r="BJ446" s="4152">
        <f t="shared" si="539"/>
        <v>0</v>
      </c>
      <c r="BK446" s="4152">
        <f t="shared" si="540"/>
        <v>0</v>
      </c>
    </row>
    <row r="447" spans="1:63" s="4570" customFormat="1" x14ac:dyDescent="0.25">
      <c r="A447" s="90"/>
      <c r="B447" s="8" t="s">
        <v>1898</v>
      </c>
      <c r="C447" s="7338" t="s">
        <v>50</v>
      </c>
      <c r="D447" s="4573"/>
      <c r="E447" s="7867"/>
      <c r="F447" s="4518"/>
      <c r="G447" s="7867"/>
      <c r="H447" s="4518"/>
      <c r="I447" s="7922"/>
      <c r="J447" s="7310">
        <f t="shared" si="560"/>
        <v>0</v>
      </c>
      <c r="K447" s="7867"/>
      <c r="L447" s="4518"/>
      <c r="M447" s="7896"/>
      <c r="N447" s="7301">
        <f t="shared" si="561"/>
        <v>0</v>
      </c>
      <c r="O447" s="7867"/>
      <c r="P447" s="4518">
        <v>245.42</v>
      </c>
      <c r="Q447" s="7922"/>
      <c r="R447" s="7310">
        <f t="shared" si="562"/>
        <v>245.42</v>
      </c>
      <c r="S447" s="7867"/>
      <c r="T447" s="4518"/>
      <c r="U447" s="7922"/>
      <c r="V447" s="7310">
        <f t="shared" si="563"/>
        <v>245.42</v>
      </c>
      <c r="W447" s="7867"/>
      <c r="X447" s="4518"/>
      <c r="Y447" s="7896"/>
      <c r="Z447" s="7301">
        <f t="shared" si="564"/>
        <v>245.42</v>
      </c>
      <c r="AA447" s="7903"/>
      <c r="AB447" s="7302">
        <f t="shared" si="565"/>
        <v>245.42</v>
      </c>
      <c r="AC447" s="7867"/>
      <c r="AD447" s="4518"/>
      <c r="AE447" s="7922"/>
      <c r="AF447" s="7310">
        <f t="shared" si="566"/>
        <v>245.42</v>
      </c>
      <c r="AG447" s="7867"/>
      <c r="AH447" s="4518"/>
      <c r="AI447" s="3914"/>
      <c r="AJ447" s="7310">
        <f t="shared" si="567"/>
        <v>245.42</v>
      </c>
      <c r="AK447" s="7867"/>
      <c r="AL447" s="4518"/>
      <c r="AM447" s="7896"/>
      <c r="AN447" s="7303">
        <f t="shared" si="568"/>
        <v>0</v>
      </c>
      <c r="AO447" s="7922"/>
      <c r="AP447" s="7310">
        <f t="shared" si="569"/>
        <v>245.42</v>
      </c>
      <c r="AQ447" s="7867"/>
      <c r="AR447" s="4518"/>
      <c r="AS447" s="3914"/>
      <c r="AT447" s="7310">
        <f t="shared" si="570"/>
        <v>245.42</v>
      </c>
      <c r="AU447" s="7867"/>
      <c r="AV447" s="4518"/>
      <c r="AW447" s="3914"/>
      <c r="AX447" s="7310">
        <f t="shared" si="571"/>
        <v>245.42</v>
      </c>
      <c r="AY447" s="7867"/>
      <c r="AZ447" s="4518"/>
      <c r="BA447" s="7896"/>
      <c r="BB447" s="7303">
        <f t="shared" si="572"/>
        <v>0</v>
      </c>
      <c r="BC447" s="7903"/>
      <c r="BD447" s="513">
        <f t="shared" si="573"/>
        <v>0</v>
      </c>
      <c r="BE447" s="3914"/>
      <c r="BF447" s="7310">
        <f t="shared" si="574"/>
        <v>245.42</v>
      </c>
      <c r="BG447" s="4152">
        <f t="shared" si="537"/>
        <v>0</v>
      </c>
      <c r="BH447" s="4152">
        <f t="shared" si="538"/>
        <v>0</v>
      </c>
      <c r="BI447" s="4152"/>
      <c r="BJ447" s="4152">
        <f t="shared" si="539"/>
        <v>0</v>
      </c>
      <c r="BK447" s="4152">
        <f t="shared" si="540"/>
        <v>0</v>
      </c>
    </row>
    <row r="448" spans="1:63" x14ac:dyDescent="0.25">
      <c r="A448" s="90"/>
      <c r="B448" s="8" t="s">
        <v>1899</v>
      </c>
      <c r="C448" s="7337" t="s">
        <v>50</v>
      </c>
      <c r="D448" s="148"/>
      <c r="E448" s="7866"/>
      <c r="F448" s="2237">
        <v>817.81</v>
      </c>
      <c r="G448" s="7866"/>
      <c r="H448" s="5568"/>
      <c r="I448" s="7921"/>
      <c r="J448" s="7310">
        <f t="shared" si="560"/>
        <v>817.81</v>
      </c>
      <c r="K448" s="7866"/>
      <c r="L448" s="5680"/>
      <c r="M448" s="7895"/>
      <c r="N448" s="7301">
        <f t="shared" si="561"/>
        <v>817.81</v>
      </c>
      <c r="O448" s="7866"/>
      <c r="P448" s="5837"/>
      <c r="Q448" s="7921"/>
      <c r="R448" s="7310">
        <f t="shared" si="562"/>
        <v>817.81</v>
      </c>
      <c r="S448" s="7866"/>
      <c r="T448" s="5893"/>
      <c r="U448" s="7921"/>
      <c r="V448" s="7310">
        <f t="shared" si="563"/>
        <v>817.81</v>
      </c>
      <c r="W448" s="7866"/>
      <c r="X448" s="6007"/>
      <c r="Y448" s="7895"/>
      <c r="Z448" s="7301">
        <f t="shared" si="564"/>
        <v>0</v>
      </c>
      <c r="AA448" s="7902"/>
      <c r="AB448" s="7302">
        <f t="shared" si="565"/>
        <v>817.81</v>
      </c>
      <c r="AC448" s="7866"/>
      <c r="AD448" s="6138"/>
      <c r="AE448" s="7921"/>
      <c r="AF448" s="7310">
        <f t="shared" si="566"/>
        <v>817.81</v>
      </c>
      <c r="AG448" s="7866"/>
      <c r="AH448" s="6300"/>
      <c r="AI448" s="3914"/>
      <c r="AJ448" s="7310">
        <f t="shared" si="567"/>
        <v>817.81</v>
      </c>
      <c r="AK448" s="7866"/>
      <c r="AL448" s="6549">
        <v>2316.4800000000009</v>
      </c>
      <c r="AM448" s="7895"/>
      <c r="AN448" s="7303">
        <f t="shared" si="568"/>
        <v>2316.4800000000009</v>
      </c>
      <c r="AO448" s="7921"/>
      <c r="AP448" s="7310">
        <f t="shared" si="569"/>
        <v>3134.2900000000009</v>
      </c>
      <c r="AQ448" s="7866"/>
      <c r="AR448" s="6643">
        <v>1658.6399999999996</v>
      </c>
      <c r="AS448" s="3914"/>
      <c r="AT448" s="7310">
        <f t="shared" si="570"/>
        <v>4792.93</v>
      </c>
      <c r="AU448" s="7866"/>
      <c r="AV448" s="6815"/>
      <c r="AW448" s="3914"/>
      <c r="AX448" s="7310">
        <f t="shared" si="571"/>
        <v>4792.93</v>
      </c>
      <c r="AY448" s="7866"/>
      <c r="AZ448" s="6957">
        <v>984.01999999999975</v>
      </c>
      <c r="BA448" s="7895"/>
      <c r="BB448" s="7303">
        <f t="shared" si="572"/>
        <v>2642.6599999999994</v>
      </c>
      <c r="BC448" s="7902"/>
      <c r="BD448" s="513">
        <f t="shared" si="573"/>
        <v>4959.1400000000003</v>
      </c>
      <c r="BE448" s="3914"/>
      <c r="BF448" s="7310">
        <f t="shared" si="574"/>
        <v>5776.95</v>
      </c>
      <c r="BG448" s="4152">
        <f t="shared" si="537"/>
        <v>0</v>
      </c>
      <c r="BH448" s="4152">
        <f t="shared" si="538"/>
        <v>0</v>
      </c>
      <c r="BI448" s="4152"/>
      <c r="BJ448" s="4152">
        <f t="shared" si="539"/>
        <v>0</v>
      </c>
      <c r="BK448" s="4152">
        <f t="shared" si="540"/>
        <v>0</v>
      </c>
    </row>
    <row r="449" spans="1:71" x14ac:dyDescent="0.25">
      <c r="A449" s="90"/>
      <c r="B449" s="8" t="s">
        <v>1456</v>
      </c>
      <c r="C449" s="7337" t="s">
        <v>50</v>
      </c>
      <c r="D449" s="148"/>
      <c r="E449" s="7866"/>
      <c r="F449" s="2237"/>
      <c r="G449" s="7866"/>
      <c r="H449" s="5568"/>
      <c r="I449" s="7921"/>
      <c r="J449" s="7310">
        <f t="shared" si="560"/>
        <v>0</v>
      </c>
      <c r="K449" s="7866"/>
      <c r="L449" s="5680"/>
      <c r="M449" s="7895"/>
      <c r="N449" s="7301">
        <f t="shared" si="561"/>
        <v>0</v>
      </c>
      <c r="O449" s="7866"/>
      <c r="P449" s="5837"/>
      <c r="Q449" s="7921"/>
      <c r="R449" s="7310">
        <f t="shared" si="562"/>
        <v>0</v>
      </c>
      <c r="S449" s="7866"/>
      <c r="T449" s="5893"/>
      <c r="U449" s="7921"/>
      <c r="V449" s="7310">
        <f t="shared" si="563"/>
        <v>0</v>
      </c>
      <c r="W449" s="7866"/>
      <c r="X449" s="6007"/>
      <c r="Y449" s="7895"/>
      <c r="Z449" s="7301">
        <f t="shared" si="564"/>
        <v>0</v>
      </c>
      <c r="AA449" s="7902"/>
      <c r="AB449" s="7302">
        <f t="shared" si="565"/>
        <v>0</v>
      </c>
      <c r="AC449" s="7866"/>
      <c r="AD449" s="6138"/>
      <c r="AE449" s="7921"/>
      <c r="AF449" s="7310">
        <f t="shared" si="566"/>
        <v>0</v>
      </c>
      <c r="AG449" s="7866"/>
      <c r="AH449" s="6300"/>
      <c r="AI449" s="3910"/>
      <c r="AJ449" s="7310">
        <f t="shared" si="567"/>
        <v>0</v>
      </c>
      <c r="AK449" s="7866"/>
      <c r="AL449" s="6549"/>
      <c r="AM449" s="7895"/>
      <c r="AN449" s="7303">
        <f t="shared" si="568"/>
        <v>0</v>
      </c>
      <c r="AO449" s="7921"/>
      <c r="AP449" s="7310">
        <f t="shared" si="569"/>
        <v>0</v>
      </c>
      <c r="AQ449" s="7866"/>
      <c r="AR449" s="6643"/>
      <c r="AS449" s="3910"/>
      <c r="AT449" s="7310">
        <f t="shared" si="570"/>
        <v>0</v>
      </c>
      <c r="AU449" s="7866"/>
      <c r="AV449" s="6815"/>
      <c r="AW449" s="3910"/>
      <c r="AX449" s="7310">
        <f t="shared" si="571"/>
        <v>0</v>
      </c>
      <c r="AY449" s="7866"/>
      <c r="AZ449" s="6957"/>
      <c r="BA449" s="7895"/>
      <c r="BB449" s="7303">
        <f t="shared" si="572"/>
        <v>0</v>
      </c>
      <c r="BC449" s="7902"/>
      <c r="BD449" s="513">
        <f t="shared" si="573"/>
        <v>0</v>
      </c>
      <c r="BE449" s="3910"/>
      <c r="BF449" s="7310">
        <f t="shared" si="574"/>
        <v>0</v>
      </c>
      <c r="BG449" s="4152">
        <f t="shared" si="537"/>
        <v>0</v>
      </c>
      <c r="BH449" s="4152">
        <f t="shared" si="538"/>
        <v>0</v>
      </c>
      <c r="BI449" s="4152"/>
      <c r="BJ449" s="4152">
        <f t="shared" si="539"/>
        <v>0</v>
      </c>
      <c r="BK449" s="4152">
        <f t="shared" si="540"/>
        <v>0</v>
      </c>
    </row>
    <row r="450" spans="1:71" x14ac:dyDescent="0.25">
      <c r="A450" s="90"/>
      <c r="B450" s="8" t="s">
        <v>1563</v>
      </c>
      <c r="C450" s="7337" t="s">
        <v>50</v>
      </c>
      <c r="D450" s="148"/>
      <c r="E450" s="7866"/>
      <c r="F450" s="2237"/>
      <c r="G450" s="7866"/>
      <c r="H450" s="5568"/>
      <c r="I450" s="7921"/>
      <c r="J450" s="7310">
        <f t="shared" si="560"/>
        <v>0</v>
      </c>
      <c r="K450" s="7866"/>
      <c r="L450" s="5680"/>
      <c r="M450" s="7895"/>
      <c r="N450" s="7301">
        <f t="shared" si="561"/>
        <v>0</v>
      </c>
      <c r="O450" s="7866"/>
      <c r="P450" s="5837"/>
      <c r="Q450" s="7921"/>
      <c r="R450" s="7310">
        <f t="shared" si="562"/>
        <v>0</v>
      </c>
      <c r="S450" s="7866"/>
      <c r="T450" s="5893"/>
      <c r="U450" s="7921"/>
      <c r="V450" s="7310">
        <f t="shared" si="563"/>
        <v>0</v>
      </c>
      <c r="W450" s="7866"/>
      <c r="X450" s="6007"/>
      <c r="Y450" s="7895"/>
      <c r="Z450" s="7301">
        <f t="shared" si="564"/>
        <v>0</v>
      </c>
      <c r="AA450" s="7902"/>
      <c r="AB450" s="7302">
        <f t="shared" si="565"/>
        <v>0</v>
      </c>
      <c r="AC450" s="7866"/>
      <c r="AD450" s="6138"/>
      <c r="AE450" s="7921"/>
      <c r="AF450" s="7310">
        <f t="shared" si="566"/>
        <v>0</v>
      </c>
      <c r="AG450" s="7866"/>
      <c r="AH450" s="6300"/>
      <c r="AI450" s="3910"/>
      <c r="AJ450" s="7310">
        <f t="shared" si="567"/>
        <v>0</v>
      </c>
      <c r="AK450" s="7866"/>
      <c r="AL450" s="6549"/>
      <c r="AM450" s="7895"/>
      <c r="AN450" s="7303">
        <f t="shared" si="568"/>
        <v>0</v>
      </c>
      <c r="AO450" s="7921"/>
      <c r="AP450" s="7310">
        <f t="shared" si="569"/>
        <v>0</v>
      </c>
      <c r="AQ450" s="7866"/>
      <c r="AR450" s="6643"/>
      <c r="AS450" s="3910"/>
      <c r="AT450" s="7310">
        <f t="shared" si="570"/>
        <v>0</v>
      </c>
      <c r="AU450" s="7866"/>
      <c r="AV450" s="6815"/>
      <c r="AW450" s="3910"/>
      <c r="AX450" s="7310">
        <f t="shared" si="571"/>
        <v>0</v>
      </c>
      <c r="AY450" s="7866"/>
      <c r="AZ450" s="6957"/>
      <c r="BA450" s="7895"/>
      <c r="BB450" s="7303">
        <f t="shared" si="572"/>
        <v>0</v>
      </c>
      <c r="BC450" s="7902"/>
      <c r="BD450" s="513">
        <f t="shared" si="573"/>
        <v>0</v>
      </c>
      <c r="BE450" s="3910"/>
      <c r="BF450" s="7310">
        <f t="shared" si="574"/>
        <v>0</v>
      </c>
      <c r="BG450" s="4152">
        <f t="shared" si="537"/>
        <v>0</v>
      </c>
      <c r="BH450" s="4152">
        <f t="shared" si="538"/>
        <v>0</v>
      </c>
      <c r="BI450" s="4152"/>
      <c r="BJ450" s="4152">
        <f t="shared" si="539"/>
        <v>0</v>
      </c>
      <c r="BK450" s="4152">
        <f t="shared" si="540"/>
        <v>0</v>
      </c>
    </row>
    <row r="451" spans="1:71" x14ac:dyDescent="0.25">
      <c r="A451" s="90"/>
      <c r="B451" s="8" t="s">
        <v>1892</v>
      </c>
      <c r="C451" s="7337" t="s">
        <v>50</v>
      </c>
      <c r="D451" s="148"/>
      <c r="E451" s="7866"/>
      <c r="F451" s="2237"/>
      <c r="G451" s="7866"/>
      <c r="H451" s="5568"/>
      <c r="I451" s="7921"/>
      <c r="J451" s="7310">
        <f t="shared" si="560"/>
        <v>0</v>
      </c>
      <c r="K451" s="7866"/>
      <c r="L451" s="5680"/>
      <c r="M451" s="7895"/>
      <c r="N451" s="7301">
        <f t="shared" si="561"/>
        <v>0</v>
      </c>
      <c r="O451" s="7866"/>
      <c r="P451" s="5837"/>
      <c r="Q451" s="7921"/>
      <c r="R451" s="7310">
        <f t="shared" si="562"/>
        <v>0</v>
      </c>
      <c r="S451" s="7866"/>
      <c r="T451" s="5893"/>
      <c r="U451" s="7921"/>
      <c r="V451" s="7310">
        <f t="shared" si="563"/>
        <v>0</v>
      </c>
      <c r="W451" s="7866"/>
      <c r="X451" s="6007"/>
      <c r="Y451" s="7895"/>
      <c r="Z451" s="7301">
        <f t="shared" si="564"/>
        <v>0</v>
      </c>
      <c r="AA451" s="7902"/>
      <c r="AB451" s="7302">
        <f t="shared" si="565"/>
        <v>0</v>
      </c>
      <c r="AC451" s="7866"/>
      <c r="AD451" s="6138"/>
      <c r="AE451" s="7921"/>
      <c r="AF451" s="7310">
        <f t="shared" si="566"/>
        <v>0</v>
      </c>
      <c r="AG451" s="7866"/>
      <c r="AH451" s="6300"/>
      <c r="AI451" s="3914"/>
      <c r="AJ451" s="7310">
        <f t="shared" si="567"/>
        <v>0</v>
      </c>
      <c r="AK451" s="7866"/>
      <c r="AL451" s="6549"/>
      <c r="AM451" s="7895"/>
      <c r="AN451" s="7303">
        <f t="shared" si="568"/>
        <v>0</v>
      </c>
      <c r="AO451" s="7921"/>
      <c r="AP451" s="7310">
        <f t="shared" si="569"/>
        <v>0</v>
      </c>
      <c r="AQ451" s="7866"/>
      <c r="AR451" s="6643"/>
      <c r="AS451" s="3914"/>
      <c r="AT451" s="7310">
        <f t="shared" si="570"/>
        <v>0</v>
      </c>
      <c r="AU451" s="7866"/>
      <c r="AV451" s="6815"/>
      <c r="AW451" s="3914"/>
      <c r="AX451" s="7310">
        <f t="shared" si="571"/>
        <v>0</v>
      </c>
      <c r="AY451" s="7866"/>
      <c r="AZ451" s="6957"/>
      <c r="BA451" s="7895"/>
      <c r="BB451" s="7303">
        <f t="shared" si="572"/>
        <v>0</v>
      </c>
      <c r="BC451" s="7902"/>
      <c r="BD451" s="513">
        <f t="shared" si="573"/>
        <v>0</v>
      </c>
      <c r="BE451" s="3914"/>
      <c r="BF451" s="7310">
        <f t="shared" si="574"/>
        <v>0</v>
      </c>
      <c r="BG451" s="4152">
        <f t="shared" si="537"/>
        <v>0</v>
      </c>
      <c r="BH451" s="4152">
        <f t="shared" si="538"/>
        <v>0</v>
      </c>
      <c r="BI451" s="4152"/>
      <c r="BJ451" s="4152">
        <f t="shared" si="539"/>
        <v>0</v>
      </c>
      <c r="BK451" s="4152">
        <f t="shared" si="540"/>
        <v>0</v>
      </c>
    </row>
    <row r="452" spans="1:71" x14ac:dyDescent="0.25">
      <c r="A452" s="90"/>
      <c r="B452" s="8" t="s">
        <v>1228</v>
      </c>
      <c r="C452" s="7337" t="s">
        <v>50</v>
      </c>
      <c r="D452" s="148"/>
      <c r="E452" s="7866"/>
      <c r="F452" s="2237"/>
      <c r="G452" s="7866"/>
      <c r="H452" s="5568"/>
      <c r="I452" s="7921"/>
      <c r="J452" s="7310">
        <f t="shared" si="560"/>
        <v>0</v>
      </c>
      <c r="K452" s="7866"/>
      <c r="L452" s="5680"/>
      <c r="M452" s="7895"/>
      <c r="N452" s="7301">
        <f t="shared" si="561"/>
        <v>0</v>
      </c>
      <c r="O452" s="7866"/>
      <c r="P452" s="5837"/>
      <c r="Q452" s="7921"/>
      <c r="R452" s="7310">
        <f t="shared" si="562"/>
        <v>0</v>
      </c>
      <c r="S452" s="7866"/>
      <c r="T452" s="5893"/>
      <c r="U452" s="7921"/>
      <c r="V452" s="7310">
        <f t="shared" si="563"/>
        <v>0</v>
      </c>
      <c r="W452" s="7866"/>
      <c r="X452" s="6007"/>
      <c r="Y452" s="7895"/>
      <c r="Z452" s="7301">
        <f t="shared" si="564"/>
        <v>0</v>
      </c>
      <c r="AA452" s="7902"/>
      <c r="AB452" s="7302">
        <f t="shared" si="565"/>
        <v>0</v>
      </c>
      <c r="AC452" s="7866"/>
      <c r="AD452" s="6138"/>
      <c r="AE452" s="7921"/>
      <c r="AF452" s="7310">
        <f t="shared" si="566"/>
        <v>0</v>
      </c>
      <c r="AG452" s="7866"/>
      <c r="AH452" s="6300"/>
      <c r="AI452" s="3914"/>
      <c r="AJ452" s="7310">
        <f t="shared" si="567"/>
        <v>0</v>
      </c>
      <c r="AK452" s="7866"/>
      <c r="AL452" s="6549"/>
      <c r="AM452" s="7895"/>
      <c r="AN452" s="7303">
        <f t="shared" si="568"/>
        <v>0</v>
      </c>
      <c r="AO452" s="7921"/>
      <c r="AP452" s="7310">
        <f t="shared" si="569"/>
        <v>0</v>
      </c>
      <c r="AQ452" s="7866"/>
      <c r="AR452" s="6643"/>
      <c r="AS452" s="3914"/>
      <c r="AT452" s="7310">
        <f t="shared" si="570"/>
        <v>0</v>
      </c>
      <c r="AU452" s="7866"/>
      <c r="AV452" s="6815"/>
      <c r="AW452" s="3914"/>
      <c r="AX452" s="7310">
        <f t="shared" si="571"/>
        <v>0</v>
      </c>
      <c r="AY452" s="7866"/>
      <c r="AZ452" s="6957"/>
      <c r="BA452" s="7895"/>
      <c r="BB452" s="7303">
        <f t="shared" si="572"/>
        <v>0</v>
      </c>
      <c r="BC452" s="7902"/>
      <c r="BD452" s="513">
        <f t="shared" si="573"/>
        <v>0</v>
      </c>
      <c r="BE452" s="3914"/>
      <c r="BF452" s="7310">
        <f t="shared" si="574"/>
        <v>0</v>
      </c>
      <c r="BG452" s="4152">
        <f t="shared" si="537"/>
        <v>0</v>
      </c>
      <c r="BH452" s="4152">
        <f t="shared" si="538"/>
        <v>0</v>
      </c>
      <c r="BI452" s="4152"/>
      <c r="BJ452" s="4152">
        <f t="shared" si="539"/>
        <v>0</v>
      </c>
      <c r="BK452" s="4152">
        <f t="shared" si="540"/>
        <v>0</v>
      </c>
    </row>
    <row r="453" spans="1:71" x14ac:dyDescent="0.25">
      <c r="A453" s="90"/>
      <c r="B453" s="8" t="s">
        <v>1900</v>
      </c>
      <c r="C453" s="7337" t="s">
        <v>50</v>
      </c>
      <c r="D453" s="148"/>
      <c r="E453" s="7866"/>
      <c r="F453" s="2237"/>
      <c r="G453" s="7866"/>
      <c r="H453" s="5568"/>
      <c r="I453" s="7921"/>
      <c r="J453" s="7310">
        <f t="shared" si="560"/>
        <v>0</v>
      </c>
      <c r="K453" s="7866"/>
      <c r="L453" s="5680"/>
      <c r="M453" s="7895"/>
      <c r="N453" s="7301">
        <f t="shared" si="561"/>
        <v>0</v>
      </c>
      <c r="O453" s="7866"/>
      <c r="P453" s="5837">
        <v>316.60000000000002</v>
      </c>
      <c r="Q453" s="7921"/>
      <c r="R453" s="7310">
        <f t="shared" si="562"/>
        <v>316.60000000000002</v>
      </c>
      <c r="S453" s="7866"/>
      <c r="T453" s="5893">
        <v>341.43999999999994</v>
      </c>
      <c r="U453" s="7921"/>
      <c r="V453" s="7310">
        <f t="shared" si="563"/>
        <v>658.04</v>
      </c>
      <c r="W453" s="7866"/>
      <c r="X453" s="6007"/>
      <c r="Y453" s="7895"/>
      <c r="Z453" s="7301">
        <f t="shared" si="564"/>
        <v>658.04</v>
      </c>
      <c r="AA453" s="7902"/>
      <c r="AB453" s="7302">
        <f t="shared" si="565"/>
        <v>658.04</v>
      </c>
      <c r="AC453" s="7866"/>
      <c r="AD453" s="6138"/>
      <c r="AE453" s="7921"/>
      <c r="AF453" s="7310">
        <f t="shared" si="566"/>
        <v>658.04</v>
      </c>
      <c r="AG453" s="7866"/>
      <c r="AH453" s="6300"/>
      <c r="AI453" s="3914"/>
      <c r="AJ453" s="7310">
        <f t="shared" si="567"/>
        <v>658.04</v>
      </c>
      <c r="AK453" s="7866"/>
      <c r="AL453" s="6549">
        <v>63.98</v>
      </c>
      <c r="AM453" s="7895"/>
      <c r="AN453" s="7303">
        <f t="shared" si="568"/>
        <v>63.98</v>
      </c>
      <c r="AO453" s="7921"/>
      <c r="AP453" s="7310">
        <f t="shared" si="569"/>
        <v>722.02</v>
      </c>
      <c r="AQ453" s="7866"/>
      <c r="AR453" s="6643">
        <v>345.92</v>
      </c>
      <c r="AS453" s="3914"/>
      <c r="AT453" s="7310">
        <f t="shared" si="570"/>
        <v>1067.94</v>
      </c>
      <c r="AU453" s="7866"/>
      <c r="AV453" s="6815">
        <v>123.00999999999999</v>
      </c>
      <c r="AW453" s="3914"/>
      <c r="AX453" s="7310">
        <f t="shared" si="571"/>
        <v>1190.95</v>
      </c>
      <c r="AY453" s="7866"/>
      <c r="AZ453" s="6957">
        <v>488.32</v>
      </c>
      <c r="BA453" s="7895"/>
      <c r="BB453" s="7303">
        <f t="shared" si="572"/>
        <v>957.25</v>
      </c>
      <c r="BC453" s="7902"/>
      <c r="BD453" s="513">
        <f t="shared" si="573"/>
        <v>1021.23</v>
      </c>
      <c r="BE453" s="3914"/>
      <c r="BF453" s="7310">
        <f t="shared" si="574"/>
        <v>1679.27</v>
      </c>
      <c r="BG453" s="4152">
        <f t="shared" si="537"/>
        <v>0</v>
      </c>
      <c r="BH453" s="4152">
        <f t="shared" si="538"/>
        <v>0</v>
      </c>
      <c r="BI453" s="4152"/>
      <c r="BJ453" s="4152">
        <f t="shared" si="539"/>
        <v>0</v>
      </c>
      <c r="BK453" s="4152">
        <f t="shared" si="540"/>
        <v>0</v>
      </c>
    </row>
    <row r="454" spans="1:71" x14ac:dyDescent="0.25">
      <c r="A454" s="90"/>
      <c r="B454" s="8" t="s">
        <v>1901</v>
      </c>
      <c r="C454" s="7337" t="s">
        <v>50</v>
      </c>
      <c r="D454" s="148"/>
      <c r="E454" s="7866"/>
      <c r="F454" s="2237"/>
      <c r="G454" s="7866"/>
      <c r="H454" s="5568"/>
      <c r="I454" s="7921"/>
      <c r="J454" s="7310">
        <f t="shared" si="560"/>
        <v>0</v>
      </c>
      <c r="K454" s="7866"/>
      <c r="L454" s="5680"/>
      <c r="M454" s="7895"/>
      <c r="N454" s="7301">
        <f t="shared" si="561"/>
        <v>0</v>
      </c>
      <c r="O454" s="7866"/>
      <c r="P454" s="5837">
        <v>195.7</v>
      </c>
      <c r="Q454" s="7921"/>
      <c r="R454" s="7310">
        <f t="shared" si="562"/>
        <v>195.7</v>
      </c>
      <c r="S454" s="7866"/>
      <c r="T454" s="5893">
        <v>63.45</v>
      </c>
      <c r="U454" s="7921"/>
      <c r="V454" s="7310">
        <f t="shared" si="563"/>
        <v>259.14999999999998</v>
      </c>
      <c r="W454" s="7866"/>
      <c r="X454" s="6007"/>
      <c r="Y454" s="7895"/>
      <c r="Z454" s="7301">
        <f t="shared" si="564"/>
        <v>259.14999999999998</v>
      </c>
      <c r="AA454" s="7902"/>
      <c r="AB454" s="7302">
        <f t="shared" si="565"/>
        <v>259.14999999999998</v>
      </c>
      <c r="AC454" s="7866"/>
      <c r="AD454" s="6138"/>
      <c r="AE454" s="7921"/>
      <c r="AF454" s="7310">
        <f t="shared" si="566"/>
        <v>259.14999999999998</v>
      </c>
      <c r="AG454" s="7866"/>
      <c r="AH454" s="6300"/>
      <c r="AI454" s="3914"/>
      <c r="AJ454" s="7310">
        <f t="shared" si="567"/>
        <v>259.14999999999998</v>
      </c>
      <c r="AK454" s="7866"/>
      <c r="AL454" s="6549">
        <v>94.84</v>
      </c>
      <c r="AM454" s="7895"/>
      <c r="AN454" s="7303">
        <f t="shared" si="568"/>
        <v>94.84</v>
      </c>
      <c r="AO454" s="7921"/>
      <c r="AP454" s="7310">
        <f t="shared" si="569"/>
        <v>353.99</v>
      </c>
      <c r="AQ454" s="7866"/>
      <c r="AR454" s="6643">
        <v>23.36</v>
      </c>
      <c r="AS454" s="3914"/>
      <c r="AT454" s="7310">
        <f t="shared" si="570"/>
        <v>377.35</v>
      </c>
      <c r="AU454" s="7866"/>
      <c r="AV454" s="6815"/>
      <c r="AW454" s="3914"/>
      <c r="AX454" s="7310">
        <f t="shared" si="571"/>
        <v>377.35</v>
      </c>
      <c r="AY454" s="7866"/>
      <c r="AZ454" s="6957"/>
      <c r="BA454" s="7895"/>
      <c r="BB454" s="7303">
        <f t="shared" si="572"/>
        <v>23.36</v>
      </c>
      <c r="BC454" s="7902"/>
      <c r="BD454" s="513">
        <f t="shared" si="573"/>
        <v>118.2</v>
      </c>
      <c r="BE454" s="3914"/>
      <c r="BF454" s="7310">
        <f t="shared" si="574"/>
        <v>377.35</v>
      </c>
      <c r="BG454" s="4152">
        <f t="shared" si="537"/>
        <v>0</v>
      </c>
      <c r="BH454" s="4152">
        <f t="shared" si="538"/>
        <v>0</v>
      </c>
      <c r="BI454" s="4152"/>
      <c r="BJ454" s="4152">
        <f t="shared" si="539"/>
        <v>0</v>
      </c>
      <c r="BK454" s="4152">
        <f t="shared" si="540"/>
        <v>0</v>
      </c>
    </row>
    <row r="455" spans="1:71" x14ac:dyDescent="0.25">
      <c r="A455" s="90"/>
      <c r="B455" s="8" t="s">
        <v>524</v>
      </c>
      <c r="C455" s="7339" t="s">
        <v>50</v>
      </c>
      <c r="D455" s="2674"/>
      <c r="E455" s="7868"/>
      <c r="F455" s="2662"/>
      <c r="G455" s="7868"/>
      <c r="H455" s="2662"/>
      <c r="I455" s="7923"/>
      <c r="J455" s="7310">
        <f t="shared" si="560"/>
        <v>0</v>
      </c>
      <c r="K455" s="7868"/>
      <c r="L455" s="2662"/>
      <c r="M455" s="7897"/>
      <c r="N455" s="7301">
        <f t="shared" si="561"/>
        <v>0</v>
      </c>
      <c r="O455" s="7868"/>
      <c r="P455" s="2662"/>
      <c r="Q455" s="7923"/>
      <c r="R455" s="7310">
        <f t="shared" si="562"/>
        <v>0</v>
      </c>
      <c r="S455" s="7868"/>
      <c r="T455" s="2662"/>
      <c r="U455" s="7923"/>
      <c r="V455" s="7310">
        <f t="shared" si="563"/>
        <v>0</v>
      </c>
      <c r="W455" s="7868"/>
      <c r="X455" s="2662"/>
      <c r="Y455" s="7897"/>
      <c r="Z455" s="7301">
        <f t="shared" si="564"/>
        <v>0</v>
      </c>
      <c r="AA455" s="7904"/>
      <c r="AB455" s="7302">
        <f t="shared" si="565"/>
        <v>0</v>
      </c>
      <c r="AC455" s="7868"/>
      <c r="AD455" s="2662"/>
      <c r="AE455" s="7923"/>
      <c r="AF455" s="7310">
        <f t="shared" si="566"/>
        <v>0</v>
      </c>
      <c r="AG455" s="7868"/>
      <c r="AH455" s="2662"/>
      <c r="AI455" s="3914"/>
      <c r="AJ455" s="7310">
        <f t="shared" si="567"/>
        <v>0</v>
      </c>
      <c r="AK455" s="7868"/>
      <c r="AL455" s="2662"/>
      <c r="AM455" s="7897"/>
      <c r="AN455" s="7303">
        <f t="shared" si="568"/>
        <v>0</v>
      </c>
      <c r="AO455" s="7923"/>
      <c r="AP455" s="7310">
        <f t="shared" si="569"/>
        <v>0</v>
      </c>
      <c r="AQ455" s="7868"/>
      <c r="AR455" s="2662"/>
      <c r="AS455" s="3914"/>
      <c r="AT455" s="7310">
        <f t="shared" si="570"/>
        <v>0</v>
      </c>
      <c r="AU455" s="7868"/>
      <c r="AV455" s="2662"/>
      <c r="AW455" s="3914"/>
      <c r="AX455" s="7310">
        <f t="shared" si="571"/>
        <v>0</v>
      </c>
      <c r="AY455" s="7868"/>
      <c r="AZ455" s="2662"/>
      <c r="BA455" s="7897"/>
      <c r="BB455" s="7303">
        <f t="shared" si="572"/>
        <v>0</v>
      </c>
      <c r="BC455" s="7904"/>
      <c r="BD455" s="513">
        <f t="shared" si="573"/>
        <v>0</v>
      </c>
      <c r="BE455" s="3914"/>
      <c r="BF455" s="7310">
        <f t="shared" si="574"/>
        <v>0</v>
      </c>
      <c r="BG455" s="4152">
        <f t="shared" si="537"/>
        <v>0</v>
      </c>
      <c r="BH455" s="4152">
        <f t="shared" si="538"/>
        <v>0</v>
      </c>
      <c r="BI455" s="4152"/>
      <c r="BJ455" s="4152">
        <f t="shared" si="539"/>
        <v>0</v>
      </c>
      <c r="BK455" s="4152">
        <f t="shared" si="540"/>
        <v>0</v>
      </c>
      <c r="BR455" s="2093" t="s">
        <v>2339</v>
      </c>
      <c r="BS455" s="2093">
        <v>3138.1499999999996</v>
      </c>
    </row>
    <row r="456" spans="1:71" x14ac:dyDescent="0.25">
      <c r="A456" s="90"/>
      <c r="B456" s="8" t="s">
        <v>1893</v>
      </c>
      <c r="C456" s="7337" t="s">
        <v>50</v>
      </c>
      <c r="D456" s="148"/>
      <c r="E456" s="7866"/>
      <c r="F456" s="2237"/>
      <c r="G456" s="7866"/>
      <c r="H456" s="5568">
        <v>3137.7999999999988</v>
      </c>
      <c r="I456" s="7921"/>
      <c r="J456" s="7310">
        <f t="shared" si="560"/>
        <v>3137.7999999999988</v>
      </c>
      <c r="K456" s="7866"/>
      <c r="L456" s="5680">
        <v>1080.06</v>
      </c>
      <c r="M456" s="7895"/>
      <c r="N456" s="7301">
        <f t="shared" si="561"/>
        <v>4217.8599999999988</v>
      </c>
      <c r="O456" s="7866"/>
      <c r="P456" s="5837">
        <v>8801.7400000000016</v>
      </c>
      <c r="Q456" s="7921"/>
      <c r="R456" s="7310">
        <f t="shared" si="562"/>
        <v>13019.6</v>
      </c>
      <c r="S456" s="7866"/>
      <c r="T456" s="5893">
        <v>2572.7300000000009</v>
      </c>
      <c r="U456" s="7921"/>
      <c r="V456" s="7310">
        <f t="shared" si="563"/>
        <v>15592.330000000002</v>
      </c>
      <c r="W456" s="7866"/>
      <c r="X456" s="6007">
        <v>1386.5900000000001</v>
      </c>
      <c r="Y456" s="7895"/>
      <c r="Z456" s="7301">
        <f t="shared" si="564"/>
        <v>12761.060000000003</v>
      </c>
      <c r="AA456" s="7902"/>
      <c r="AB456" s="7302">
        <f t="shared" si="565"/>
        <v>16978.920000000002</v>
      </c>
      <c r="AC456" s="7866"/>
      <c r="AD456" s="6138">
        <v>2659.2599999999998</v>
      </c>
      <c r="AE456" s="7921"/>
      <c r="AF456" s="7310">
        <f t="shared" si="566"/>
        <v>19638.18</v>
      </c>
      <c r="AG456" s="7866"/>
      <c r="AH456" s="6300">
        <v>3665.3499999999985</v>
      </c>
      <c r="AI456" s="3914"/>
      <c r="AJ456" s="7310">
        <f t="shared" si="567"/>
        <v>23303.53</v>
      </c>
      <c r="AK456" s="7866"/>
      <c r="AL456" s="6549">
        <v>2505.7599999999998</v>
      </c>
      <c r="AM456" s="7895"/>
      <c r="AN456" s="7303">
        <f t="shared" si="568"/>
        <v>8830.369999999999</v>
      </c>
      <c r="AO456" s="7921"/>
      <c r="AP456" s="7310">
        <f t="shared" si="569"/>
        <v>25809.289999999997</v>
      </c>
      <c r="AQ456" s="7866"/>
      <c r="AR456" s="6643">
        <v>2148.0100000000002</v>
      </c>
      <c r="AS456" s="3914"/>
      <c r="AT456" s="7310">
        <f t="shared" si="570"/>
        <v>27957.299999999996</v>
      </c>
      <c r="AU456" s="7866"/>
      <c r="AV456" s="6815">
        <v>1217.6600000000003</v>
      </c>
      <c r="AW456" s="3914"/>
      <c r="AX456" s="7310">
        <f t="shared" si="571"/>
        <v>29174.959999999995</v>
      </c>
      <c r="AY456" s="7866"/>
      <c r="AZ456" s="6957">
        <v>1973.4999999999998</v>
      </c>
      <c r="BA456" s="7895"/>
      <c r="BB456" s="7303">
        <f t="shared" si="572"/>
        <v>5339.17</v>
      </c>
      <c r="BC456" s="7902"/>
      <c r="BD456" s="513">
        <f t="shared" si="573"/>
        <v>14169.539999999999</v>
      </c>
      <c r="BE456" s="3914"/>
      <c r="BF456" s="7310">
        <f t="shared" si="574"/>
        <v>31148.459999999995</v>
      </c>
      <c r="BG456" s="4152">
        <f t="shared" si="537"/>
        <v>0</v>
      </c>
      <c r="BH456" s="4152">
        <f t="shared" si="538"/>
        <v>0</v>
      </c>
      <c r="BI456" s="4152"/>
      <c r="BJ456" s="4152">
        <f t="shared" si="539"/>
        <v>0</v>
      </c>
      <c r="BK456" s="4152">
        <f t="shared" si="540"/>
        <v>0</v>
      </c>
      <c r="BR456" s="2093" t="s">
        <v>1883</v>
      </c>
      <c r="BS456" s="2093">
        <v>1282.5599999999997</v>
      </c>
    </row>
    <row r="457" spans="1:71" s="5460" customFormat="1" x14ac:dyDescent="0.25">
      <c r="A457" s="90"/>
      <c r="B457" s="5170" t="s">
        <v>1903</v>
      </c>
      <c r="C457" s="7340" t="s">
        <v>50</v>
      </c>
      <c r="D457" s="5171"/>
      <c r="E457" s="7869"/>
      <c r="F457" s="5167">
        <v>1948.46</v>
      </c>
      <c r="G457" s="7869"/>
      <c r="H457" s="5167">
        <v>2051.2200000000003</v>
      </c>
      <c r="I457" s="7924"/>
      <c r="J457" s="7310">
        <f t="shared" si="560"/>
        <v>3999.6800000000003</v>
      </c>
      <c r="K457" s="7869"/>
      <c r="L457" s="5167">
        <v>1627.71</v>
      </c>
      <c r="M457" s="7898"/>
      <c r="N457" s="7301">
        <f t="shared" si="561"/>
        <v>5627.39</v>
      </c>
      <c r="O457" s="7869"/>
      <c r="P457" s="5167">
        <v>1188.96</v>
      </c>
      <c r="Q457" s="7924"/>
      <c r="R457" s="7310">
        <f t="shared" si="562"/>
        <v>6816.35</v>
      </c>
      <c r="S457" s="7869"/>
      <c r="T457" s="5167">
        <v>3773.0699999999997</v>
      </c>
      <c r="U457" s="7924"/>
      <c r="V457" s="7310">
        <f t="shared" si="563"/>
        <v>10589.42</v>
      </c>
      <c r="W457" s="7869"/>
      <c r="X457" s="5167">
        <v>1791.9399999999998</v>
      </c>
      <c r="Y457" s="7898"/>
      <c r="Z457" s="7301">
        <f t="shared" si="564"/>
        <v>6753.9699999999993</v>
      </c>
      <c r="AA457" s="7905"/>
      <c r="AB457" s="7302">
        <f t="shared" si="565"/>
        <v>12381.36</v>
      </c>
      <c r="AC457" s="7869"/>
      <c r="AD457" s="5167">
        <v>1876.9499999999998</v>
      </c>
      <c r="AE457" s="7924"/>
      <c r="AF457" s="7310">
        <f t="shared" si="566"/>
        <v>14258.310000000001</v>
      </c>
      <c r="AG457" s="7869"/>
      <c r="AH457" s="5167">
        <v>2772.46</v>
      </c>
      <c r="AI457" s="3914"/>
      <c r="AJ457" s="7310">
        <f t="shared" si="567"/>
        <v>17030.77</v>
      </c>
      <c r="AK457" s="7869"/>
      <c r="AL457" s="5167">
        <v>2533.12</v>
      </c>
      <c r="AM457" s="7898"/>
      <c r="AN457" s="7303">
        <f t="shared" si="568"/>
        <v>7182.53</v>
      </c>
      <c r="AO457" s="7924"/>
      <c r="AP457" s="7310">
        <f t="shared" si="569"/>
        <v>19563.89</v>
      </c>
      <c r="AQ457" s="7869"/>
      <c r="AR457" s="5167">
        <v>2262.41</v>
      </c>
      <c r="AS457" s="3914"/>
      <c r="AT457" s="5241">
        <f t="shared" si="570"/>
        <v>21826.3</v>
      </c>
      <c r="AU457" s="7869"/>
      <c r="AV457" s="5167"/>
      <c r="AW457" s="3914"/>
      <c r="AX457" s="7310">
        <f t="shared" si="571"/>
        <v>21826.3</v>
      </c>
      <c r="AY457" s="7869"/>
      <c r="AZ457" s="5167">
        <v>324.59999999999997</v>
      </c>
      <c r="BA457" s="7898"/>
      <c r="BB457" s="7303">
        <f t="shared" si="572"/>
        <v>2587.0099999999998</v>
      </c>
      <c r="BC457" s="7905"/>
      <c r="BD457" s="513">
        <f t="shared" si="573"/>
        <v>9769.5399999999991</v>
      </c>
      <c r="BE457" s="3914"/>
      <c r="BF457" s="7310">
        <f t="shared" si="574"/>
        <v>22150.899999999998</v>
      </c>
      <c r="BG457" s="4152">
        <f t="shared" si="537"/>
        <v>0</v>
      </c>
      <c r="BH457" s="4152">
        <f t="shared" si="538"/>
        <v>0</v>
      </c>
      <c r="BI457" s="4152"/>
      <c r="BJ457" s="4152">
        <f t="shared" si="539"/>
        <v>0</v>
      </c>
      <c r="BK457" s="4152">
        <f t="shared" si="540"/>
        <v>0</v>
      </c>
      <c r="BR457" s="5460" t="s">
        <v>2340</v>
      </c>
      <c r="BS457" s="5460">
        <v>161.73000000000002</v>
      </c>
    </row>
    <row r="458" spans="1:71" x14ac:dyDescent="0.25">
      <c r="A458" s="90"/>
      <c r="B458" s="8" t="s">
        <v>1672</v>
      </c>
      <c r="C458" s="7337" t="s">
        <v>50</v>
      </c>
      <c r="D458" s="148"/>
      <c r="E458" s="7866"/>
      <c r="F458" s="2237">
        <v>3138.1499999999996</v>
      </c>
      <c r="G458" s="7866"/>
      <c r="H458" s="5568">
        <v>12969.429999999998</v>
      </c>
      <c r="I458" s="7921"/>
      <c r="J458" s="7310">
        <f t="shared" si="560"/>
        <v>16107.579999999998</v>
      </c>
      <c r="K458" s="7866"/>
      <c r="L458" s="5680">
        <v>9619.8499999999967</v>
      </c>
      <c r="M458" s="7895"/>
      <c r="N458" s="7301">
        <f t="shared" si="561"/>
        <v>25727.429999999993</v>
      </c>
      <c r="O458" s="7866"/>
      <c r="P458" s="5837">
        <v>14395.959999999995</v>
      </c>
      <c r="Q458" s="7921"/>
      <c r="R458" s="7310">
        <f t="shared" si="562"/>
        <v>40123.389999999985</v>
      </c>
      <c r="S458" s="7866"/>
      <c r="T458" s="5893">
        <v>15278.219999999998</v>
      </c>
      <c r="U458" s="7921"/>
      <c r="V458" s="7310">
        <f t="shared" si="563"/>
        <v>55401.609999999986</v>
      </c>
      <c r="W458" s="7866"/>
      <c r="X458" s="6007">
        <v>14806.44</v>
      </c>
      <c r="Y458" s="7895"/>
      <c r="Z458" s="7301">
        <f t="shared" si="564"/>
        <v>44480.619999999995</v>
      </c>
      <c r="AA458" s="7902"/>
      <c r="AB458" s="7302">
        <f t="shared" si="565"/>
        <v>70208.049999999988</v>
      </c>
      <c r="AC458" s="7866"/>
      <c r="AD458" s="6138">
        <v>14057.97</v>
      </c>
      <c r="AE458" s="7921"/>
      <c r="AF458" s="7310">
        <f t="shared" si="566"/>
        <v>84266.01999999999</v>
      </c>
      <c r="AG458" s="7866"/>
      <c r="AH458" s="6300">
        <v>17124.939999999999</v>
      </c>
      <c r="AI458" s="3914"/>
      <c r="AJ458" s="7310">
        <f t="shared" si="567"/>
        <v>101390.95999999999</v>
      </c>
      <c r="AK458" s="7866"/>
      <c r="AL458" s="6549">
        <v>8766.4500000000007</v>
      </c>
      <c r="AM458" s="7895"/>
      <c r="AN458" s="7303">
        <f t="shared" si="568"/>
        <v>39949.360000000001</v>
      </c>
      <c r="AO458" s="7921"/>
      <c r="AP458" s="7310">
        <f t="shared" si="569"/>
        <v>110157.40999999999</v>
      </c>
      <c r="AQ458" s="7866"/>
      <c r="AR458" s="6643">
        <v>8241.489999999998</v>
      </c>
      <c r="AS458" s="3914"/>
      <c r="AT458" s="7310">
        <f t="shared" si="570"/>
        <v>118398.9</v>
      </c>
      <c r="AU458" s="7866"/>
      <c r="AV458" s="6815">
        <v>2976.3999999999996</v>
      </c>
      <c r="AW458" s="3914"/>
      <c r="AX458" s="7310">
        <f t="shared" si="571"/>
        <v>121375.29999999999</v>
      </c>
      <c r="AY458" s="7866"/>
      <c r="AZ458" s="6957">
        <v>8507.239999999998</v>
      </c>
      <c r="BA458" s="7895"/>
      <c r="BB458" s="7303">
        <f t="shared" si="572"/>
        <v>19725.129999999997</v>
      </c>
      <c r="BC458" s="7902"/>
      <c r="BD458" s="513">
        <f t="shared" si="573"/>
        <v>59674.49</v>
      </c>
      <c r="BE458" s="3914"/>
      <c r="BF458" s="7310">
        <f t="shared" si="574"/>
        <v>129882.53999999998</v>
      </c>
      <c r="BG458" s="4152">
        <f t="shared" si="537"/>
        <v>0</v>
      </c>
      <c r="BH458" s="4152">
        <f t="shared" si="538"/>
        <v>0</v>
      </c>
      <c r="BI458" s="4152"/>
      <c r="BJ458" s="4152">
        <f t="shared" si="539"/>
        <v>0</v>
      </c>
      <c r="BK458" s="4152">
        <f t="shared" si="540"/>
        <v>0</v>
      </c>
      <c r="BR458" s="2093" t="s">
        <v>1826</v>
      </c>
      <c r="BS458" s="2093">
        <v>7387.3400000000047</v>
      </c>
    </row>
    <row r="459" spans="1:71" s="5729" customFormat="1" x14ac:dyDescent="0.25">
      <c r="A459" s="90" t="s">
        <v>1964</v>
      </c>
      <c r="B459" s="5170" t="s">
        <v>1997</v>
      </c>
      <c r="C459" s="7341" t="s">
        <v>50</v>
      </c>
      <c r="D459" s="5647"/>
      <c r="E459" s="7870"/>
      <c r="F459" s="5744"/>
      <c r="G459" s="7870"/>
      <c r="H459" s="5744"/>
      <c r="I459" s="7925"/>
      <c r="J459" s="7310">
        <f t="shared" si="560"/>
        <v>0</v>
      </c>
      <c r="K459" s="7870"/>
      <c r="L459" s="5744">
        <v>323.84000000000003</v>
      </c>
      <c r="M459" s="7899"/>
      <c r="N459" s="7301">
        <f t="shared" si="561"/>
        <v>323.84000000000003</v>
      </c>
      <c r="O459" s="7870"/>
      <c r="P459" s="5744">
        <v>1182.6399999999996</v>
      </c>
      <c r="Q459" s="7925"/>
      <c r="R459" s="7310">
        <f t="shared" si="562"/>
        <v>1506.4799999999996</v>
      </c>
      <c r="S459" s="7870"/>
      <c r="T459" s="5744"/>
      <c r="U459" s="7925"/>
      <c r="V459" s="7310">
        <f t="shared" si="563"/>
        <v>1506.4799999999996</v>
      </c>
      <c r="W459" s="7870"/>
      <c r="X459" s="5744"/>
      <c r="Y459" s="7899"/>
      <c r="Z459" s="7301">
        <f t="shared" si="564"/>
        <v>1182.6399999999996</v>
      </c>
      <c r="AA459" s="7906"/>
      <c r="AB459" s="7302">
        <f t="shared" si="565"/>
        <v>1506.4799999999996</v>
      </c>
      <c r="AC459" s="7870"/>
      <c r="AD459" s="5744">
        <v>394.46000000000004</v>
      </c>
      <c r="AE459" s="7925"/>
      <c r="AF459" s="7310">
        <f t="shared" si="566"/>
        <v>1900.9399999999996</v>
      </c>
      <c r="AG459" s="7870"/>
      <c r="AH459" s="5744"/>
      <c r="AI459" s="3914"/>
      <c r="AJ459" s="7310">
        <f t="shared" si="567"/>
        <v>1900.9399999999996</v>
      </c>
      <c r="AK459" s="7870"/>
      <c r="AL459" s="5744"/>
      <c r="AM459" s="7899"/>
      <c r="AN459" s="7303">
        <f t="shared" si="568"/>
        <v>394.46000000000004</v>
      </c>
      <c r="AO459" s="7925"/>
      <c r="AP459" s="7310">
        <f t="shared" si="569"/>
        <v>1900.9399999999996</v>
      </c>
      <c r="AQ459" s="7870"/>
      <c r="AR459" s="5744"/>
      <c r="AS459" s="3914"/>
      <c r="AT459" s="5739">
        <f t="shared" si="570"/>
        <v>1900.9399999999996</v>
      </c>
      <c r="AU459" s="7870"/>
      <c r="AV459" s="5744"/>
      <c r="AW459" s="3914"/>
      <c r="AX459" s="7310">
        <f t="shared" si="571"/>
        <v>1900.9399999999996</v>
      </c>
      <c r="AY459" s="7870"/>
      <c r="AZ459" s="5744"/>
      <c r="BA459" s="7899"/>
      <c r="BB459" s="7303">
        <f t="shared" si="572"/>
        <v>0</v>
      </c>
      <c r="BC459" s="7906"/>
      <c r="BD459" s="513">
        <f t="shared" si="573"/>
        <v>394.46000000000004</v>
      </c>
      <c r="BE459" s="3914"/>
      <c r="BF459" s="7310">
        <f t="shared" si="574"/>
        <v>1900.9399999999996</v>
      </c>
      <c r="BG459" s="4152">
        <f t="shared" si="537"/>
        <v>0</v>
      </c>
      <c r="BH459" s="4152">
        <f t="shared" si="538"/>
        <v>0</v>
      </c>
      <c r="BI459" s="4152"/>
      <c r="BJ459" s="4152">
        <f t="shared" si="539"/>
        <v>0</v>
      </c>
      <c r="BK459" s="4152">
        <f t="shared" si="540"/>
        <v>0</v>
      </c>
      <c r="BR459" s="5729" t="s">
        <v>1615</v>
      </c>
      <c r="BS459" s="5729">
        <v>31.65</v>
      </c>
    </row>
    <row r="460" spans="1:71" s="4374" customFormat="1" x14ac:dyDescent="0.25">
      <c r="A460" s="90"/>
      <c r="B460" s="8" t="s">
        <v>1902</v>
      </c>
      <c r="C460" s="7342" t="s">
        <v>50</v>
      </c>
      <c r="D460" s="4275"/>
      <c r="E460" s="7871"/>
      <c r="F460" s="4375"/>
      <c r="G460" s="7871"/>
      <c r="H460" s="5572"/>
      <c r="I460" s="7926"/>
      <c r="J460" s="7310">
        <f t="shared" si="560"/>
        <v>0</v>
      </c>
      <c r="K460" s="7871"/>
      <c r="L460" s="5692"/>
      <c r="M460" s="7900"/>
      <c r="N460" s="7301">
        <f t="shared" si="561"/>
        <v>0</v>
      </c>
      <c r="O460" s="7871"/>
      <c r="P460" s="5849"/>
      <c r="Q460" s="7926"/>
      <c r="R460" s="7310">
        <f t="shared" si="562"/>
        <v>0</v>
      </c>
      <c r="S460" s="7871"/>
      <c r="T460" s="5900"/>
      <c r="U460" s="7926"/>
      <c r="V460" s="7310">
        <f t="shared" si="563"/>
        <v>0</v>
      </c>
      <c r="W460" s="7871"/>
      <c r="X460" s="6015"/>
      <c r="Y460" s="7900"/>
      <c r="Z460" s="7301">
        <f t="shared" si="564"/>
        <v>0</v>
      </c>
      <c r="AA460" s="7907"/>
      <c r="AB460" s="7302">
        <f t="shared" si="565"/>
        <v>0</v>
      </c>
      <c r="AC460" s="7871"/>
      <c r="AD460" s="6148"/>
      <c r="AE460" s="7926"/>
      <c r="AF460" s="7310">
        <f t="shared" si="566"/>
        <v>0</v>
      </c>
      <c r="AG460" s="7871"/>
      <c r="AH460" s="6310"/>
      <c r="AI460" s="3914"/>
      <c r="AJ460" s="7310">
        <f t="shared" si="567"/>
        <v>0</v>
      </c>
      <c r="AK460" s="7871"/>
      <c r="AL460" s="6556">
        <v>39.54</v>
      </c>
      <c r="AM460" s="7900"/>
      <c r="AN460" s="7303">
        <f t="shared" si="568"/>
        <v>39.54</v>
      </c>
      <c r="AO460" s="7926"/>
      <c r="AP460" s="7310">
        <f t="shared" si="569"/>
        <v>39.54</v>
      </c>
      <c r="AQ460" s="7871"/>
      <c r="AR460" s="6655"/>
      <c r="AS460" s="3914"/>
      <c r="AT460" s="7310">
        <f t="shared" si="570"/>
        <v>39.54</v>
      </c>
      <c r="AU460" s="7871"/>
      <c r="AV460" s="6821"/>
      <c r="AW460" s="3914"/>
      <c r="AX460" s="7310">
        <f t="shared" si="571"/>
        <v>39.54</v>
      </c>
      <c r="AY460" s="7871"/>
      <c r="AZ460" s="6964"/>
      <c r="BA460" s="7900"/>
      <c r="BB460" s="7303">
        <f t="shared" si="572"/>
        <v>0</v>
      </c>
      <c r="BC460" s="7907"/>
      <c r="BD460" s="513">
        <f t="shared" si="573"/>
        <v>39.54</v>
      </c>
      <c r="BE460" s="3914"/>
      <c r="BF460" s="7310">
        <f t="shared" si="574"/>
        <v>39.54</v>
      </c>
      <c r="BG460" s="4152">
        <f t="shared" si="537"/>
        <v>0</v>
      </c>
      <c r="BH460" s="4152">
        <f t="shared" si="538"/>
        <v>0</v>
      </c>
      <c r="BI460" s="4152"/>
      <c r="BJ460" s="4152">
        <f t="shared" si="539"/>
        <v>0</v>
      </c>
      <c r="BK460" s="4152">
        <f t="shared" si="540"/>
        <v>0</v>
      </c>
      <c r="BR460" s="4374" t="s">
        <v>1164</v>
      </c>
      <c r="BS460" s="4374">
        <v>4015.5200000000004</v>
      </c>
    </row>
    <row r="461" spans="1:71" x14ac:dyDescent="0.25">
      <c r="A461" s="90"/>
      <c r="B461" s="8" t="s">
        <v>1073</v>
      </c>
      <c r="C461" s="7337" t="s">
        <v>50</v>
      </c>
      <c r="D461" s="148"/>
      <c r="E461" s="7866"/>
      <c r="F461" s="2237">
        <v>4015.5200000000004</v>
      </c>
      <c r="G461" s="7866"/>
      <c r="H461" s="5568"/>
      <c r="I461" s="7921"/>
      <c r="J461" s="7310">
        <f t="shared" si="560"/>
        <v>4015.5200000000004</v>
      </c>
      <c r="K461" s="7866"/>
      <c r="L461" s="5680">
        <v>134.82</v>
      </c>
      <c r="M461" s="7895"/>
      <c r="N461" s="7301">
        <f t="shared" si="561"/>
        <v>4150.34</v>
      </c>
      <c r="O461" s="7866"/>
      <c r="P461" s="5837"/>
      <c r="Q461" s="7921"/>
      <c r="R461" s="7310">
        <f t="shared" si="562"/>
        <v>4150.34</v>
      </c>
      <c r="S461" s="7866"/>
      <c r="T461" s="5893">
        <v>393.38</v>
      </c>
      <c r="U461" s="7921"/>
      <c r="V461" s="7310">
        <f t="shared" si="563"/>
        <v>4543.72</v>
      </c>
      <c r="W461" s="7866"/>
      <c r="X461" s="6007"/>
      <c r="Y461" s="7895"/>
      <c r="Z461" s="7301">
        <f t="shared" si="564"/>
        <v>393.38</v>
      </c>
      <c r="AA461" s="7902"/>
      <c r="AB461" s="7302">
        <f t="shared" si="565"/>
        <v>4543.72</v>
      </c>
      <c r="AC461" s="7866"/>
      <c r="AD461" s="6138"/>
      <c r="AE461" s="7921"/>
      <c r="AF461" s="7310">
        <f t="shared" si="566"/>
        <v>4543.72</v>
      </c>
      <c r="AG461" s="7866"/>
      <c r="AH461" s="6300">
        <v>7125.0499999999993</v>
      </c>
      <c r="AI461" s="3914"/>
      <c r="AJ461" s="7310">
        <f t="shared" si="567"/>
        <v>11668.77</v>
      </c>
      <c r="AK461" s="7866"/>
      <c r="AL461" s="6549">
        <v>16089.290000000006</v>
      </c>
      <c r="AM461" s="7895"/>
      <c r="AN461" s="7303">
        <f t="shared" si="568"/>
        <v>23214.340000000004</v>
      </c>
      <c r="AO461" s="7921"/>
      <c r="AP461" s="7310">
        <f t="shared" si="569"/>
        <v>27758.060000000005</v>
      </c>
      <c r="AQ461" s="7866"/>
      <c r="AR461" s="6643">
        <v>4648.6399999999994</v>
      </c>
      <c r="AS461" s="3914"/>
      <c r="AT461" s="7310">
        <f t="shared" si="570"/>
        <v>32406.700000000004</v>
      </c>
      <c r="AU461" s="7866"/>
      <c r="AV461" s="6815">
        <v>365.73000000000008</v>
      </c>
      <c r="AW461" s="3914"/>
      <c r="AX461" s="7310">
        <f t="shared" si="571"/>
        <v>32772.430000000008</v>
      </c>
      <c r="AY461" s="7866"/>
      <c r="AZ461" s="6957">
        <v>9063.2999999999975</v>
      </c>
      <c r="BA461" s="7895"/>
      <c r="BB461" s="7303">
        <f t="shared" si="572"/>
        <v>14077.669999999998</v>
      </c>
      <c r="BC461" s="7902"/>
      <c r="BD461" s="513">
        <f t="shared" si="573"/>
        <v>37292.01</v>
      </c>
      <c r="BE461" s="3914"/>
      <c r="BF461" s="7310">
        <f t="shared" si="574"/>
        <v>41835.730000000003</v>
      </c>
      <c r="BG461" s="4152">
        <f t="shared" si="537"/>
        <v>0</v>
      </c>
      <c r="BH461" s="4152">
        <f t="shared" si="538"/>
        <v>0</v>
      </c>
      <c r="BI461" s="4152"/>
      <c r="BJ461" s="4152">
        <f t="shared" si="539"/>
        <v>0</v>
      </c>
      <c r="BK461" s="4152">
        <f t="shared" si="540"/>
        <v>0</v>
      </c>
      <c r="BR461" s="2093" t="s">
        <v>1253</v>
      </c>
      <c r="BS461" s="2093">
        <v>817.81</v>
      </c>
    </row>
    <row r="462" spans="1:71" x14ac:dyDescent="0.25">
      <c r="A462" s="90"/>
      <c r="B462" s="8" t="s">
        <v>1262</v>
      </c>
      <c r="C462" s="7337" t="s">
        <v>50</v>
      </c>
      <c r="D462" s="148"/>
      <c r="E462" s="7866"/>
      <c r="F462" s="2237"/>
      <c r="G462" s="7866"/>
      <c r="H462" s="5568">
        <v>13325.969999999996</v>
      </c>
      <c r="I462" s="7921"/>
      <c r="J462" s="7310">
        <f t="shared" si="560"/>
        <v>13325.969999999996</v>
      </c>
      <c r="K462" s="7866"/>
      <c r="L462" s="5680">
        <v>10286.739999999998</v>
      </c>
      <c r="M462" s="7895"/>
      <c r="N462" s="7301">
        <f t="shared" si="561"/>
        <v>23612.709999999992</v>
      </c>
      <c r="O462" s="7866"/>
      <c r="P462" s="5837">
        <v>10198.68</v>
      </c>
      <c r="Q462" s="7921"/>
      <c r="R462" s="7310">
        <f t="shared" si="562"/>
        <v>33811.389999999992</v>
      </c>
      <c r="S462" s="7866"/>
      <c r="T462" s="5893">
        <v>18858.320000000011</v>
      </c>
      <c r="U462" s="7921"/>
      <c r="V462" s="7310">
        <f t="shared" si="563"/>
        <v>52669.710000000006</v>
      </c>
      <c r="W462" s="7866"/>
      <c r="X462" s="6007">
        <v>10733.940000000004</v>
      </c>
      <c r="Y462" s="7895"/>
      <c r="Z462" s="7301">
        <f t="shared" si="564"/>
        <v>39790.940000000017</v>
      </c>
      <c r="AA462" s="7902"/>
      <c r="AB462" s="7302">
        <f t="shared" si="565"/>
        <v>63403.650000000009</v>
      </c>
      <c r="AC462" s="7866"/>
      <c r="AD462" s="6138">
        <v>11557.970000000001</v>
      </c>
      <c r="AE462" s="7921"/>
      <c r="AF462" s="7310">
        <f t="shared" si="566"/>
        <v>74961.62000000001</v>
      </c>
      <c r="AG462" s="7866"/>
      <c r="AH462" s="6300">
        <v>8970.5300000000025</v>
      </c>
      <c r="AI462" s="3914"/>
      <c r="AJ462" s="7310">
        <f t="shared" si="567"/>
        <v>83932.150000000009</v>
      </c>
      <c r="AK462" s="7866"/>
      <c r="AL462" s="6549"/>
      <c r="AM462" s="7895"/>
      <c r="AN462" s="7303">
        <f t="shared" si="568"/>
        <v>20528.500000000004</v>
      </c>
      <c r="AO462" s="7921"/>
      <c r="AP462" s="7310">
        <f t="shared" si="569"/>
        <v>83932.150000000009</v>
      </c>
      <c r="AQ462" s="7866"/>
      <c r="AR462" s="6643"/>
      <c r="AS462" s="3914"/>
      <c r="AT462" s="7310">
        <f t="shared" si="570"/>
        <v>83932.150000000009</v>
      </c>
      <c r="AU462" s="7866"/>
      <c r="AV462" s="6815"/>
      <c r="AW462" s="3914"/>
      <c r="AX462" s="7310">
        <f t="shared" si="571"/>
        <v>83932.150000000009</v>
      </c>
      <c r="AY462" s="7866"/>
      <c r="AZ462" s="6957"/>
      <c r="BA462" s="7895"/>
      <c r="BB462" s="7303">
        <f t="shared" si="572"/>
        <v>0</v>
      </c>
      <c r="BC462" s="7902"/>
      <c r="BD462" s="513">
        <f t="shared" si="573"/>
        <v>20528.500000000004</v>
      </c>
      <c r="BE462" s="3914"/>
      <c r="BF462" s="7310">
        <f t="shared" si="574"/>
        <v>83932.150000000009</v>
      </c>
      <c r="BG462" s="4152">
        <f t="shared" si="537"/>
        <v>0</v>
      </c>
      <c r="BH462" s="4152">
        <f t="shared" si="538"/>
        <v>0</v>
      </c>
      <c r="BI462" s="4152"/>
      <c r="BJ462" s="4152">
        <f t="shared" si="539"/>
        <v>0</v>
      </c>
      <c r="BK462" s="4152">
        <f t="shared" si="540"/>
        <v>0</v>
      </c>
      <c r="BR462" s="2093" t="s">
        <v>2341</v>
      </c>
      <c r="BS462" s="2093">
        <v>2713.2199999999993</v>
      </c>
    </row>
    <row r="463" spans="1:71" x14ac:dyDescent="0.25">
      <c r="A463" s="90"/>
      <c r="B463" s="8" t="s">
        <v>1894</v>
      </c>
      <c r="C463" s="7337" t="s">
        <v>50</v>
      </c>
      <c r="D463" s="148"/>
      <c r="E463" s="7866"/>
      <c r="F463" s="2237">
        <v>160.94</v>
      </c>
      <c r="G463" s="7866"/>
      <c r="H463" s="5568">
        <v>65.2</v>
      </c>
      <c r="I463" s="7921"/>
      <c r="J463" s="7310">
        <f t="shared" si="560"/>
        <v>226.14</v>
      </c>
      <c r="K463" s="7866"/>
      <c r="L463" s="5680"/>
      <c r="M463" s="7895"/>
      <c r="N463" s="7301">
        <f t="shared" si="561"/>
        <v>226.14</v>
      </c>
      <c r="O463" s="7866"/>
      <c r="P463" s="5837">
        <v>589.56000000000006</v>
      </c>
      <c r="Q463" s="7921"/>
      <c r="R463" s="7310">
        <f t="shared" si="562"/>
        <v>815.7</v>
      </c>
      <c r="S463" s="7866"/>
      <c r="T463" s="5893"/>
      <c r="U463" s="7921"/>
      <c r="V463" s="7310">
        <f t="shared" si="563"/>
        <v>815.7</v>
      </c>
      <c r="W463" s="7866"/>
      <c r="X463" s="6007">
        <v>65.22</v>
      </c>
      <c r="Y463" s="7895"/>
      <c r="Z463" s="7301">
        <f t="shared" si="564"/>
        <v>654.78000000000009</v>
      </c>
      <c r="AA463" s="7902"/>
      <c r="AB463" s="7302">
        <f t="shared" si="565"/>
        <v>880.92000000000007</v>
      </c>
      <c r="AC463" s="7866"/>
      <c r="AD463" s="6138"/>
      <c r="AE463" s="7921"/>
      <c r="AF463" s="7310">
        <f t="shared" si="566"/>
        <v>880.92000000000007</v>
      </c>
      <c r="AG463" s="7866"/>
      <c r="AH463" s="6300">
        <v>196.04000000000002</v>
      </c>
      <c r="AI463" s="3914"/>
      <c r="AJ463" s="7310">
        <f t="shared" si="567"/>
        <v>1076.96</v>
      </c>
      <c r="AK463" s="7866"/>
      <c r="AL463" s="6549">
        <v>261.62</v>
      </c>
      <c r="AM463" s="7895"/>
      <c r="AN463" s="7303">
        <f t="shared" si="568"/>
        <v>457.66</v>
      </c>
      <c r="AO463" s="7921"/>
      <c r="AP463" s="7310">
        <f t="shared" si="569"/>
        <v>1338.58</v>
      </c>
      <c r="AQ463" s="7866"/>
      <c r="AR463" s="6643">
        <v>1875.9200000000003</v>
      </c>
      <c r="AS463" s="3914"/>
      <c r="AT463" s="7310">
        <f t="shared" si="570"/>
        <v>3214.5</v>
      </c>
      <c r="AU463" s="7866"/>
      <c r="AV463" s="6815"/>
      <c r="AW463" s="3914"/>
      <c r="AX463" s="7310">
        <f t="shared" si="571"/>
        <v>3214.5</v>
      </c>
      <c r="AY463" s="7866"/>
      <c r="AZ463" s="6957"/>
      <c r="BA463" s="7895"/>
      <c r="BB463" s="7303">
        <f t="shared" si="572"/>
        <v>1875.9200000000003</v>
      </c>
      <c r="BC463" s="7902"/>
      <c r="BD463" s="513">
        <f t="shared" si="573"/>
        <v>2333.5800000000004</v>
      </c>
      <c r="BE463" s="3914"/>
      <c r="BF463" s="7310">
        <f t="shared" si="574"/>
        <v>3214.5</v>
      </c>
      <c r="BG463" s="4152">
        <f t="shared" si="537"/>
        <v>0</v>
      </c>
      <c r="BH463" s="4152">
        <f t="shared" si="538"/>
        <v>0</v>
      </c>
      <c r="BI463" s="4152"/>
      <c r="BJ463" s="4152">
        <f t="shared" si="539"/>
        <v>0</v>
      </c>
      <c r="BK463" s="4152">
        <f t="shared" si="540"/>
        <v>0</v>
      </c>
    </row>
    <row r="464" spans="1:71" x14ac:dyDescent="0.25">
      <c r="A464" s="90"/>
      <c r="B464" s="8" t="s">
        <v>1895</v>
      </c>
      <c r="C464" s="7337" t="s">
        <v>50</v>
      </c>
      <c r="D464" s="148"/>
      <c r="E464" s="7866"/>
      <c r="F464" s="2237">
        <v>1282.5599999999997</v>
      </c>
      <c r="G464" s="7866"/>
      <c r="H464" s="5568"/>
      <c r="I464" s="7921"/>
      <c r="J464" s="7310">
        <f t="shared" si="560"/>
        <v>1282.5599999999997</v>
      </c>
      <c r="K464" s="7866"/>
      <c r="L464" s="5680">
        <v>3786.9599999999996</v>
      </c>
      <c r="M464" s="7895"/>
      <c r="N464" s="7301">
        <f t="shared" si="561"/>
        <v>5069.5199999999995</v>
      </c>
      <c r="O464" s="7866"/>
      <c r="P464" s="5837"/>
      <c r="Q464" s="7921"/>
      <c r="R464" s="7310">
        <f t="shared" si="562"/>
        <v>5069.5199999999995</v>
      </c>
      <c r="S464" s="7866"/>
      <c r="T464" s="5893">
        <v>67.78</v>
      </c>
      <c r="U464" s="7921"/>
      <c r="V464" s="7310">
        <f t="shared" si="563"/>
        <v>5137.2999999999993</v>
      </c>
      <c r="W464" s="7866"/>
      <c r="X464" s="6007">
        <v>1827.2400000000005</v>
      </c>
      <c r="Y464" s="7895"/>
      <c r="Z464" s="7301">
        <f t="shared" si="564"/>
        <v>1895.0200000000004</v>
      </c>
      <c r="AA464" s="7902"/>
      <c r="AB464" s="7302">
        <f t="shared" si="565"/>
        <v>6964.54</v>
      </c>
      <c r="AC464" s="7866"/>
      <c r="AD464" s="6138">
        <v>6105.8199999999979</v>
      </c>
      <c r="AE464" s="7921"/>
      <c r="AF464" s="7310">
        <f t="shared" si="566"/>
        <v>13070.359999999997</v>
      </c>
      <c r="AG464" s="7866"/>
      <c r="AH464" s="6300">
        <v>3747.1599999999994</v>
      </c>
      <c r="AI464" s="3914"/>
      <c r="AJ464" s="7310">
        <f t="shared" si="567"/>
        <v>16817.519999999997</v>
      </c>
      <c r="AK464" s="7866"/>
      <c r="AL464" s="6549">
        <v>3579.6400000000012</v>
      </c>
      <c r="AM464" s="7895"/>
      <c r="AN464" s="7303">
        <f t="shared" si="568"/>
        <v>13432.619999999999</v>
      </c>
      <c r="AO464" s="7921"/>
      <c r="AP464" s="7310">
        <f t="shared" si="569"/>
        <v>20397.159999999996</v>
      </c>
      <c r="AQ464" s="7866"/>
      <c r="AR464" s="6643">
        <v>3543.76</v>
      </c>
      <c r="AS464" s="3914"/>
      <c r="AT464" s="7310">
        <f t="shared" si="570"/>
        <v>23940.92</v>
      </c>
      <c r="AU464" s="7866"/>
      <c r="AV464" s="6815">
        <v>1152.56</v>
      </c>
      <c r="AW464" s="3914"/>
      <c r="AX464" s="7310">
        <f t="shared" si="571"/>
        <v>25093.48</v>
      </c>
      <c r="AY464" s="7866"/>
      <c r="AZ464" s="6957">
        <v>5419.840000000002</v>
      </c>
      <c r="BA464" s="7895"/>
      <c r="BB464" s="7303">
        <f t="shared" si="572"/>
        <v>10116.160000000002</v>
      </c>
      <c r="BC464" s="7902"/>
      <c r="BD464" s="513">
        <f t="shared" si="573"/>
        <v>23548.78</v>
      </c>
      <c r="BE464" s="3914"/>
      <c r="BF464" s="7310">
        <f t="shared" si="574"/>
        <v>30513.32</v>
      </c>
      <c r="BG464" s="4152">
        <f t="shared" si="537"/>
        <v>0</v>
      </c>
      <c r="BH464" s="4152">
        <f t="shared" si="538"/>
        <v>0</v>
      </c>
      <c r="BI464" s="4152"/>
      <c r="BJ464" s="4152">
        <f t="shared" si="539"/>
        <v>0</v>
      </c>
      <c r="BK464" s="4152">
        <f t="shared" si="540"/>
        <v>0</v>
      </c>
    </row>
    <row r="465" spans="1:63" x14ac:dyDescent="0.25">
      <c r="A465" s="90"/>
      <c r="B465" s="8" t="s">
        <v>1896</v>
      </c>
      <c r="C465" s="7337" t="s">
        <v>50</v>
      </c>
      <c r="D465" s="148"/>
      <c r="E465" s="7866"/>
      <c r="F465" s="2237">
        <v>161.73000000000002</v>
      </c>
      <c r="G465" s="7866"/>
      <c r="H465" s="5568"/>
      <c r="I465" s="7921"/>
      <c r="J465" s="7310">
        <f t="shared" si="560"/>
        <v>161.73000000000002</v>
      </c>
      <c r="K465" s="7866"/>
      <c r="L465" s="5680"/>
      <c r="M465" s="7895"/>
      <c r="N465" s="7301">
        <f t="shared" si="561"/>
        <v>161.73000000000002</v>
      </c>
      <c r="O465" s="7866"/>
      <c r="P465" s="5837"/>
      <c r="Q465" s="7921"/>
      <c r="R465" s="7310">
        <f t="shared" si="562"/>
        <v>161.73000000000002</v>
      </c>
      <c r="S465" s="7866"/>
      <c r="T465" s="5893"/>
      <c r="U465" s="7921"/>
      <c r="V465" s="7310">
        <f t="shared" si="563"/>
        <v>161.73000000000002</v>
      </c>
      <c r="W465" s="7866"/>
      <c r="X465" s="6007"/>
      <c r="Y465" s="7895"/>
      <c r="Z465" s="7301">
        <f t="shared" si="564"/>
        <v>0</v>
      </c>
      <c r="AA465" s="7902"/>
      <c r="AB465" s="7302">
        <f t="shared" si="565"/>
        <v>161.73000000000002</v>
      </c>
      <c r="AC465" s="7866"/>
      <c r="AD465" s="6138"/>
      <c r="AE465" s="7921"/>
      <c r="AF465" s="7310">
        <f t="shared" si="566"/>
        <v>161.73000000000002</v>
      </c>
      <c r="AG465" s="7866"/>
      <c r="AH465" s="6300"/>
      <c r="AI465" s="3914"/>
      <c r="AJ465" s="7310">
        <f t="shared" si="567"/>
        <v>161.73000000000002</v>
      </c>
      <c r="AK465" s="7866"/>
      <c r="AL465" s="6549"/>
      <c r="AM465" s="7895"/>
      <c r="AN465" s="7303">
        <f t="shared" si="568"/>
        <v>0</v>
      </c>
      <c r="AO465" s="7921"/>
      <c r="AP465" s="7310">
        <f t="shared" si="569"/>
        <v>161.73000000000002</v>
      </c>
      <c r="AQ465" s="7866"/>
      <c r="AR465" s="6643"/>
      <c r="AS465" s="3914"/>
      <c r="AT465" s="7310">
        <f t="shared" si="570"/>
        <v>161.73000000000002</v>
      </c>
      <c r="AU465" s="7866"/>
      <c r="AV465" s="6815"/>
      <c r="AW465" s="3914"/>
      <c r="AX465" s="7310">
        <f t="shared" si="571"/>
        <v>161.73000000000002</v>
      </c>
      <c r="AY465" s="7866"/>
      <c r="AZ465" s="6957"/>
      <c r="BA465" s="7895"/>
      <c r="BB465" s="7303">
        <f t="shared" si="572"/>
        <v>0</v>
      </c>
      <c r="BC465" s="7902"/>
      <c r="BD465" s="513">
        <f t="shared" si="573"/>
        <v>0</v>
      </c>
      <c r="BE465" s="3914"/>
      <c r="BF465" s="7310">
        <f t="shared" si="574"/>
        <v>161.73000000000002</v>
      </c>
      <c r="BG465" s="4152">
        <f t="shared" si="537"/>
        <v>0</v>
      </c>
      <c r="BH465" s="4152">
        <f t="shared" si="538"/>
        <v>0</v>
      </c>
      <c r="BI465" s="4152"/>
      <c r="BJ465" s="4152">
        <f t="shared" si="539"/>
        <v>0</v>
      </c>
      <c r="BK465" s="4152">
        <f t="shared" si="540"/>
        <v>0</v>
      </c>
    </row>
    <row r="466" spans="1:63" x14ac:dyDescent="0.25">
      <c r="A466" s="90"/>
      <c r="B466" s="8" t="s">
        <v>1897</v>
      </c>
      <c r="C466" s="7337" t="s">
        <v>50</v>
      </c>
      <c r="D466" s="148"/>
      <c r="E466" s="7866"/>
      <c r="F466" s="2237"/>
      <c r="G466" s="7866"/>
      <c r="H466" s="5568"/>
      <c r="I466" s="7921"/>
      <c r="J466" s="7310">
        <f t="shared" si="560"/>
        <v>0</v>
      </c>
      <c r="K466" s="7866"/>
      <c r="L466" s="5680"/>
      <c r="M466" s="7895"/>
      <c r="N466" s="7301">
        <f t="shared" si="561"/>
        <v>0</v>
      </c>
      <c r="O466" s="7866"/>
      <c r="P466" s="5837"/>
      <c r="Q466" s="7921"/>
      <c r="R466" s="7310">
        <f t="shared" si="562"/>
        <v>0</v>
      </c>
      <c r="S466" s="7866"/>
      <c r="T466" s="5893"/>
      <c r="U466" s="7921"/>
      <c r="V466" s="7310">
        <f t="shared" si="563"/>
        <v>0</v>
      </c>
      <c r="W466" s="7866"/>
      <c r="X466" s="6007"/>
      <c r="Y466" s="7895"/>
      <c r="Z466" s="7301">
        <f t="shared" si="564"/>
        <v>0</v>
      </c>
      <c r="AA466" s="7902"/>
      <c r="AB466" s="7302">
        <f t="shared" si="565"/>
        <v>0</v>
      </c>
      <c r="AC466" s="7866"/>
      <c r="AD466" s="6138"/>
      <c r="AE466" s="7921"/>
      <c r="AF466" s="7310">
        <f t="shared" si="566"/>
        <v>0</v>
      </c>
      <c r="AG466" s="7866"/>
      <c r="AH466" s="6300"/>
      <c r="AI466" s="3914"/>
      <c r="AJ466" s="7310">
        <f t="shared" si="567"/>
        <v>0</v>
      </c>
      <c r="AK466" s="7866"/>
      <c r="AL466" s="6549"/>
      <c r="AM466" s="7895"/>
      <c r="AN466" s="7303">
        <f t="shared" si="568"/>
        <v>0</v>
      </c>
      <c r="AO466" s="7921"/>
      <c r="AP466" s="7310">
        <f t="shared" si="569"/>
        <v>0</v>
      </c>
      <c r="AQ466" s="7866"/>
      <c r="AR466" s="6643"/>
      <c r="AS466" s="3914"/>
      <c r="AT466" s="7310">
        <f t="shared" si="570"/>
        <v>0</v>
      </c>
      <c r="AU466" s="7866"/>
      <c r="AV466" s="6815"/>
      <c r="AW466" s="3914"/>
      <c r="AX466" s="7310">
        <f t="shared" si="571"/>
        <v>0</v>
      </c>
      <c r="AY466" s="7866"/>
      <c r="AZ466" s="6957"/>
      <c r="BA466" s="7895"/>
      <c r="BB466" s="7303">
        <f t="shared" si="572"/>
        <v>0</v>
      </c>
      <c r="BC466" s="7902"/>
      <c r="BD466" s="513">
        <f t="shared" si="573"/>
        <v>0</v>
      </c>
      <c r="BE466" s="3914"/>
      <c r="BF466" s="7310">
        <f t="shared" si="574"/>
        <v>0</v>
      </c>
      <c r="BG466" s="4152">
        <f t="shared" si="537"/>
        <v>0</v>
      </c>
      <c r="BH466" s="4152">
        <f t="shared" si="538"/>
        <v>0</v>
      </c>
      <c r="BI466" s="4152"/>
      <c r="BJ466" s="4152">
        <f t="shared" si="539"/>
        <v>0</v>
      </c>
      <c r="BK466" s="4152">
        <f t="shared" si="540"/>
        <v>0</v>
      </c>
    </row>
    <row r="467" spans="1:63" s="5140" customFormat="1" x14ac:dyDescent="0.25">
      <c r="A467" s="90"/>
      <c r="B467" s="5156" t="s">
        <v>1943</v>
      </c>
      <c r="C467" s="7343" t="s">
        <v>50</v>
      </c>
      <c r="D467" s="5147"/>
      <c r="E467" s="7872"/>
      <c r="F467" s="5157"/>
      <c r="G467" s="7872"/>
      <c r="H467" s="5157"/>
      <c r="I467" s="7927"/>
      <c r="J467" s="7310">
        <f t="shared" si="560"/>
        <v>0</v>
      </c>
      <c r="K467" s="7872"/>
      <c r="L467" s="5157"/>
      <c r="M467" s="7901"/>
      <c r="N467" s="7301">
        <f t="shared" si="561"/>
        <v>0</v>
      </c>
      <c r="O467" s="7872"/>
      <c r="P467" s="5157"/>
      <c r="Q467" s="7927"/>
      <c r="R467" s="7310">
        <f t="shared" si="562"/>
        <v>0</v>
      </c>
      <c r="S467" s="7872"/>
      <c r="T467" s="5157"/>
      <c r="U467" s="7927"/>
      <c r="V467" s="7310">
        <f t="shared" si="563"/>
        <v>0</v>
      </c>
      <c r="W467" s="7872"/>
      <c r="X467" s="5157"/>
      <c r="Y467" s="7901"/>
      <c r="Z467" s="7301">
        <f t="shared" si="564"/>
        <v>0</v>
      </c>
      <c r="AA467" s="7908"/>
      <c r="AB467" s="7302">
        <f t="shared" si="565"/>
        <v>0</v>
      </c>
      <c r="AC467" s="7872"/>
      <c r="AD467" s="5157"/>
      <c r="AE467" s="7927"/>
      <c r="AF467" s="7310">
        <f t="shared" si="566"/>
        <v>0</v>
      </c>
      <c r="AG467" s="7872"/>
      <c r="AH467" s="5157"/>
      <c r="AI467" s="3914"/>
      <c r="AJ467" s="7310">
        <f t="shared" si="567"/>
        <v>0</v>
      </c>
      <c r="AK467" s="7872"/>
      <c r="AL467" s="5157"/>
      <c r="AM467" s="7901"/>
      <c r="AN467" s="7303">
        <f t="shared" si="568"/>
        <v>0</v>
      </c>
      <c r="AO467" s="7927"/>
      <c r="AP467" s="7310">
        <f t="shared" si="569"/>
        <v>0</v>
      </c>
      <c r="AQ467" s="7872"/>
      <c r="AR467" s="5157"/>
      <c r="AS467" s="3914"/>
      <c r="AT467" s="5119">
        <f t="shared" si="570"/>
        <v>0</v>
      </c>
      <c r="AU467" s="7872"/>
      <c r="AV467" s="5157"/>
      <c r="AW467" s="3914"/>
      <c r="AX467" s="7310">
        <f t="shared" si="571"/>
        <v>0</v>
      </c>
      <c r="AY467" s="7872"/>
      <c r="AZ467" s="5157"/>
      <c r="BA467" s="7901"/>
      <c r="BB467" s="7303">
        <f t="shared" si="572"/>
        <v>0</v>
      </c>
      <c r="BC467" s="7908"/>
      <c r="BD467" s="513">
        <f t="shared" si="573"/>
        <v>0</v>
      </c>
      <c r="BE467" s="3914"/>
      <c r="BF467" s="7310">
        <f t="shared" si="574"/>
        <v>0</v>
      </c>
      <c r="BG467" s="4152">
        <f t="shared" si="537"/>
        <v>0</v>
      </c>
      <c r="BH467" s="4152">
        <f t="shared" si="538"/>
        <v>0</v>
      </c>
      <c r="BI467" s="4152"/>
      <c r="BJ467" s="4152">
        <f t="shared" si="539"/>
        <v>0</v>
      </c>
      <c r="BK467" s="4152">
        <f t="shared" si="540"/>
        <v>0</v>
      </c>
    </row>
    <row r="468" spans="1:63" x14ac:dyDescent="0.25">
      <c r="A468" s="90"/>
      <c r="B468" s="8" t="s">
        <v>1904</v>
      </c>
      <c r="C468" s="7339" t="s">
        <v>50</v>
      </c>
      <c r="D468" s="2674"/>
      <c r="E468" s="7868"/>
      <c r="F468" s="2662">
        <v>31.65</v>
      </c>
      <c r="G468" s="7868"/>
      <c r="H468" s="2662">
        <v>261.55999999999995</v>
      </c>
      <c r="I468" s="7923"/>
      <c r="J468" s="7310">
        <f t="shared" si="560"/>
        <v>293.20999999999992</v>
      </c>
      <c r="K468" s="7868"/>
      <c r="L468" s="2662"/>
      <c r="M468" s="7897"/>
      <c r="N468" s="7301">
        <f t="shared" si="561"/>
        <v>293.20999999999992</v>
      </c>
      <c r="O468" s="7868"/>
      <c r="P468" s="2662">
        <v>389.58</v>
      </c>
      <c r="Q468" s="7923"/>
      <c r="R468" s="7310">
        <f t="shared" si="562"/>
        <v>682.79</v>
      </c>
      <c r="S468" s="7868"/>
      <c r="T468" s="2662">
        <v>130.28</v>
      </c>
      <c r="U468" s="7923"/>
      <c r="V468" s="7310">
        <f t="shared" si="563"/>
        <v>813.06999999999994</v>
      </c>
      <c r="W468" s="7868"/>
      <c r="X468" s="2662"/>
      <c r="Y468" s="7897"/>
      <c r="Z468" s="7301">
        <f t="shared" si="564"/>
        <v>519.86</v>
      </c>
      <c r="AA468" s="7904"/>
      <c r="AB468" s="7302">
        <f t="shared" si="565"/>
        <v>813.06999999999994</v>
      </c>
      <c r="AC468" s="7868"/>
      <c r="AD468" s="2662"/>
      <c r="AE468" s="7923"/>
      <c r="AF468" s="7310">
        <f t="shared" si="566"/>
        <v>813.06999999999994</v>
      </c>
      <c r="AG468" s="7868"/>
      <c r="AH468" s="2662"/>
      <c r="AI468" s="3914"/>
      <c r="AJ468" s="7310">
        <f t="shared" si="567"/>
        <v>813.06999999999994</v>
      </c>
      <c r="AK468" s="7868"/>
      <c r="AL468" s="2662">
        <v>381.76</v>
      </c>
      <c r="AM468" s="7897"/>
      <c r="AN468" s="7303">
        <f t="shared" si="568"/>
        <v>381.76</v>
      </c>
      <c r="AO468" s="7923"/>
      <c r="AP468" s="7310">
        <f t="shared" si="569"/>
        <v>1194.83</v>
      </c>
      <c r="AQ468" s="7868"/>
      <c r="AR468" s="2662"/>
      <c r="AS468" s="3914"/>
      <c r="AT468" s="7310">
        <f t="shared" si="570"/>
        <v>1194.83</v>
      </c>
      <c r="AU468" s="7868"/>
      <c r="AV468" s="2662">
        <v>67.56</v>
      </c>
      <c r="AW468" s="3914"/>
      <c r="AX468" s="7310">
        <f t="shared" si="571"/>
        <v>1262.3899999999999</v>
      </c>
      <c r="AY468" s="7868"/>
      <c r="AZ468" s="2662"/>
      <c r="BA468" s="7897"/>
      <c r="BB468" s="7303">
        <f t="shared" si="572"/>
        <v>67.56</v>
      </c>
      <c r="BC468" s="7904"/>
      <c r="BD468" s="513">
        <f t="shared" si="573"/>
        <v>449.32</v>
      </c>
      <c r="BE468" s="3914"/>
      <c r="BF468" s="7310">
        <f t="shared" si="574"/>
        <v>1262.3899999999999</v>
      </c>
      <c r="BG468" s="4152">
        <f t="shared" si="537"/>
        <v>0</v>
      </c>
      <c r="BH468" s="4152">
        <f t="shared" si="538"/>
        <v>0</v>
      </c>
      <c r="BI468" s="4152"/>
      <c r="BJ468" s="4152">
        <f t="shared" si="539"/>
        <v>0</v>
      </c>
      <c r="BK468" s="4152">
        <f t="shared" si="540"/>
        <v>0</v>
      </c>
    </row>
    <row r="469" spans="1:63" x14ac:dyDescent="0.25">
      <c r="A469" s="90"/>
      <c r="B469" s="8" t="s">
        <v>1905</v>
      </c>
      <c r="C469" s="7339" t="s">
        <v>50</v>
      </c>
      <c r="D469" s="2674"/>
      <c r="E469" s="7868"/>
      <c r="F469" s="2662">
        <v>7387.3400000000047</v>
      </c>
      <c r="G469" s="7868"/>
      <c r="H469" s="2662">
        <v>8654.3799999999992</v>
      </c>
      <c r="I469" s="7923"/>
      <c r="J469" s="7310">
        <f t="shared" si="560"/>
        <v>16041.720000000005</v>
      </c>
      <c r="K469" s="7868"/>
      <c r="L469" s="2662">
        <v>6902.859999999996</v>
      </c>
      <c r="M469" s="7897"/>
      <c r="N469" s="7301">
        <f t="shared" si="561"/>
        <v>22944.58</v>
      </c>
      <c r="O469" s="7868"/>
      <c r="P469" s="2662">
        <v>5883.2600000000029</v>
      </c>
      <c r="Q469" s="7923"/>
      <c r="R469" s="7310">
        <f t="shared" si="562"/>
        <v>28827.840000000004</v>
      </c>
      <c r="S469" s="7868"/>
      <c r="T469" s="2662">
        <v>7481.6499999999978</v>
      </c>
      <c r="U469" s="7923"/>
      <c r="V469" s="7310">
        <f t="shared" si="563"/>
        <v>36309.490000000005</v>
      </c>
      <c r="W469" s="7868"/>
      <c r="X469" s="2662">
        <v>11791.330000000002</v>
      </c>
      <c r="Y469" s="7897"/>
      <c r="Z469" s="7301">
        <f t="shared" si="564"/>
        <v>25156.240000000002</v>
      </c>
      <c r="AA469" s="7904"/>
      <c r="AB469" s="7302">
        <f t="shared" si="565"/>
        <v>48100.820000000007</v>
      </c>
      <c r="AC469" s="7868"/>
      <c r="AD469" s="2662">
        <v>4011.2299999999991</v>
      </c>
      <c r="AE469" s="7923"/>
      <c r="AF469" s="7310">
        <f t="shared" si="566"/>
        <v>52112.05</v>
      </c>
      <c r="AG469" s="7868"/>
      <c r="AH469" s="2662">
        <v>9767.7199999999993</v>
      </c>
      <c r="AI469" s="3914"/>
      <c r="AJ469" s="7310">
        <f t="shared" si="567"/>
        <v>61879.770000000004</v>
      </c>
      <c r="AK469" s="7868"/>
      <c r="AL469" s="2662">
        <v>9203.36</v>
      </c>
      <c r="AM469" s="7897"/>
      <c r="AN469" s="7303">
        <f t="shared" si="568"/>
        <v>22982.309999999998</v>
      </c>
      <c r="AO469" s="7923"/>
      <c r="AP469" s="7310">
        <f t="shared" si="569"/>
        <v>71083.13</v>
      </c>
      <c r="AQ469" s="7868"/>
      <c r="AR469" s="2662">
        <v>5812.8600000000006</v>
      </c>
      <c r="AS469" s="3914"/>
      <c r="AT469" s="7310">
        <f t="shared" si="570"/>
        <v>76895.990000000005</v>
      </c>
      <c r="AU469" s="7868"/>
      <c r="AV469" s="2662">
        <v>4169.47</v>
      </c>
      <c r="AW469" s="3914"/>
      <c r="AX469" s="7310">
        <f t="shared" si="571"/>
        <v>81065.460000000006</v>
      </c>
      <c r="AY469" s="7868"/>
      <c r="AZ469" s="2662">
        <v>6636.7300000000023</v>
      </c>
      <c r="BA469" s="7897"/>
      <c r="BB469" s="7303">
        <f t="shared" si="572"/>
        <v>16619.060000000005</v>
      </c>
      <c r="BC469" s="7904"/>
      <c r="BD469" s="513">
        <f t="shared" si="573"/>
        <v>39601.370000000003</v>
      </c>
      <c r="BE469" s="3914"/>
      <c r="BF469" s="7310">
        <f t="shared" si="574"/>
        <v>87702.19</v>
      </c>
      <c r="BG469" s="4152">
        <f t="shared" ref="BG469:BG532" si="575">AY469+AU469+AQ469+AK469+AG469+AC469+W469+S469+O469+K469+G469+E469-BE469</f>
        <v>0</v>
      </c>
      <c r="BH469" s="4152">
        <f t="shared" ref="BH469:BH532" si="576">AZ469+AV469+AR469+AL469+AH469+AD469+X469+T469+P469+L469+H469+F469-BF469</f>
        <v>0</v>
      </c>
      <c r="BI469" s="4152"/>
      <c r="BJ469" s="4152">
        <f t="shared" ref="BJ469:BJ532" si="577">AY469+AU469+AQ469+AK469+AG469+AC469-BC469</f>
        <v>0</v>
      </c>
      <c r="BK469" s="4152">
        <f t="shared" ref="BK469:BK532" si="578">AZ469+AV469+AR469+AL469+AH469+AD469-BD469</f>
        <v>0</v>
      </c>
    </row>
    <row r="470" spans="1:63" x14ac:dyDescent="0.25">
      <c r="A470" s="90"/>
      <c r="B470" s="8" t="s">
        <v>1488</v>
      </c>
      <c r="C470" s="7337" t="s">
        <v>50</v>
      </c>
      <c r="D470" s="148"/>
      <c r="E470" s="7866"/>
      <c r="F470" s="2237"/>
      <c r="G470" s="7866"/>
      <c r="H470" s="5568"/>
      <c r="I470" s="7921"/>
      <c r="J470" s="7310">
        <f t="shared" si="560"/>
        <v>0</v>
      </c>
      <c r="K470" s="7866"/>
      <c r="L470" s="5680">
        <v>850.9</v>
      </c>
      <c r="M470" s="7895"/>
      <c r="N470" s="7301">
        <f t="shared" si="561"/>
        <v>850.9</v>
      </c>
      <c r="O470" s="7866"/>
      <c r="P470" s="5837">
        <v>381.94000000000005</v>
      </c>
      <c r="Q470" s="7921"/>
      <c r="R470" s="7310">
        <f t="shared" si="562"/>
        <v>1232.8400000000001</v>
      </c>
      <c r="S470" s="7866"/>
      <c r="T470" s="5893">
        <v>668.14</v>
      </c>
      <c r="U470" s="7921"/>
      <c r="V470" s="7310">
        <f t="shared" si="563"/>
        <v>1900.98</v>
      </c>
      <c r="W470" s="7866"/>
      <c r="X470" s="6007">
        <v>668.87999999999988</v>
      </c>
      <c r="Y470" s="7895"/>
      <c r="Z470" s="7301">
        <f t="shared" si="564"/>
        <v>1718.9599999999998</v>
      </c>
      <c r="AA470" s="7902"/>
      <c r="AB470" s="7302">
        <f t="shared" si="565"/>
        <v>2569.8599999999997</v>
      </c>
      <c r="AC470" s="7866"/>
      <c r="AD470" s="6138"/>
      <c r="AE470" s="7921"/>
      <c r="AF470" s="7310">
        <f t="shared" si="566"/>
        <v>2569.8599999999997</v>
      </c>
      <c r="AG470" s="7866"/>
      <c r="AH470" s="6300">
        <v>1207.5</v>
      </c>
      <c r="AI470" s="3910"/>
      <c r="AJ470" s="7310">
        <f t="shared" si="567"/>
        <v>3777.3599999999997</v>
      </c>
      <c r="AK470" s="7866"/>
      <c r="AL470" s="6549">
        <v>385.06</v>
      </c>
      <c r="AM470" s="7895"/>
      <c r="AN470" s="7303">
        <f t="shared" si="568"/>
        <v>1592.56</v>
      </c>
      <c r="AO470" s="7921"/>
      <c r="AP470" s="7310">
        <f t="shared" si="569"/>
        <v>4162.42</v>
      </c>
      <c r="AQ470" s="7866"/>
      <c r="AR470" s="6643"/>
      <c r="AS470" s="3910"/>
      <c r="AT470" s="7310">
        <f t="shared" si="570"/>
        <v>4162.42</v>
      </c>
      <c r="AU470" s="7866"/>
      <c r="AV470" s="6815"/>
      <c r="AW470" s="3910"/>
      <c r="AX470" s="7310">
        <f t="shared" si="571"/>
        <v>4162.42</v>
      </c>
      <c r="AY470" s="7866"/>
      <c r="AZ470" s="6957"/>
      <c r="BA470" s="7895"/>
      <c r="BB470" s="7303">
        <f t="shared" si="572"/>
        <v>0</v>
      </c>
      <c r="BC470" s="7902"/>
      <c r="BD470" s="513">
        <f t="shared" si="573"/>
        <v>1592.56</v>
      </c>
      <c r="BE470" s="3910"/>
      <c r="BF470" s="7310">
        <f t="shared" si="574"/>
        <v>4162.42</v>
      </c>
      <c r="BG470" s="4152">
        <f t="shared" si="575"/>
        <v>0</v>
      </c>
      <c r="BH470" s="4152">
        <f t="shared" si="576"/>
        <v>0</v>
      </c>
      <c r="BI470" s="4152"/>
      <c r="BJ470" s="4152">
        <f t="shared" si="577"/>
        <v>0</v>
      </c>
      <c r="BK470" s="4152">
        <f t="shared" si="578"/>
        <v>0</v>
      </c>
    </row>
    <row r="471" spans="1:63" x14ac:dyDescent="0.25">
      <c r="A471" s="90"/>
      <c r="B471" s="8" t="s">
        <v>1906</v>
      </c>
      <c r="C471" s="7337" t="s">
        <v>50</v>
      </c>
      <c r="D471" s="148"/>
      <c r="E471" s="7866"/>
      <c r="F471" s="2237"/>
      <c r="G471" s="7866"/>
      <c r="H471" s="5568"/>
      <c r="I471" s="7921"/>
      <c r="J471" s="7310">
        <f t="shared" si="560"/>
        <v>0</v>
      </c>
      <c r="K471" s="7866"/>
      <c r="L471" s="5680"/>
      <c r="M471" s="7895"/>
      <c r="N471" s="7301">
        <f t="shared" si="561"/>
        <v>0</v>
      </c>
      <c r="O471" s="7866"/>
      <c r="P471" s="5837"/>
      <c r="Q471" s="7921"/>
      <c r="R471" s="7310">
        <f t="shared" si="562"/>
        <v>0</v>
      </c>
      <c r="S471" s="7866"/>
      <c r="T471" s="5893"/>
      <c r="U471" s="7921"/>
      <c r="V471" s="7310">
        <f t="shared" si="563"/>
        <v>0</v>
      </c>
      <c r="W471" s="7866"/>
      <c r="X471" s="6007"/>
      <c r="Y471" s="7895"/>
      <c r="Z471" s="7301">
        <f t="shared" si="564"/>
        <v>0</v>
      </c>
      <c r="AA471" s="7902"/>
      <c r="AB471" s="7302">
        <f t="shared" si="565"/>
        <v>0</v>
      </c>
      <c r="AC471" s="7866"/>
      <c r="AD471" s="6138"/>
      <c r="AE471" s="7921"/>
      <c r="AF471" s="7310">
        <f t="shared" si="566"/>
        <v>0</v>
      </c>
      <c r="AG471" s="7866"/>
      <c r="AH471" s="6300"/>
      <c r="AI471" s="3910"/>
      <c r="AJ471" s="7310">
        <f t="shared" ref="AJ471:AJ473" si="579">AF471+AH471</f>
        <v>0</v>
      </c>
      <c r="AK471" s="7866"/>
      <c r="AL471" s="6549"/>
      <c r="AM471" s="7895"/>
      <c r="AN471" s="7303">
        <f t="shared" si="568"/>
        <v>0</v>
      </c>
      <c r="AO471" s="7921"/>
      <c r="AP471" s="7310">
        <f t="shared" si="569"/>
        <v>0</v>
      </c>
      <c r="AQ471" s="7866"/>
      <c r="AR471" s="6643"/>
      <c r="AS471" s="3910"/>
      <c r="AT471" s="7310">
        <f t="shared" si="570"/>
        <v>0</v>
      </c>
      <c r="AU471" s="7866"/>
      <c r="AV471" s="6815"/>
      <c r="AW471" s="3910"/>
      <c r="AX471" s="7310">
        <f t="shared" si="571"/>
        <v>0</v>
      </c>
      <c r="AY471" s="7866"/>
      <c r="AZ471" s="6957"/>
      <c r="BA471" s="7895"/>
      <c r="BB471" s="7303">
        <f t="shared" si="572"/>
        <v>0</v>
      </c>
      <c r="BC471" s="7902"/>
      <c r="BD471" s="513">
        <f t="shared" si="573"/>
        <v>0</v>
      </c>
      <c r="BE471" s="3910"/>
      <c r="BF471" s="7310">
        <f t="shared" ref="BF471:BF473" si="580">AX471+AZ471</f>
        <v>0</v>
      </c>
      <c r="BG471" s="4152">
        <f t="shared" si="575"/>
        <v>0</v>
      </c>
      <c r="BH471" s="4152">
        <f t="shared" si="576"/>
        <v>0</v>
      </c>
      <c r="BI471" s="4152"/>
      <c r="BJ471" s="4152">
        <f t="shared" si="577"/>
        <v>0</v>
      </c>
      <c r="BK471" s="4152">
        <f t="shared" si="578"/>
        <v>0</v>
      </c>
    </row>
    <row r="472" spans="1:63" x14ac:dyDescent="0.25">
      <c r="A472" s="90"/>
      <c r="B472" s="8" t="s">
        <v>683</v>
      </c>
      <c r="C472" s="7337" t="s">
        <v>50</v>
      </c>
      <c r="D472" s="148"/>
      <c r="E472" s="7866"/>
      <c r="F472" s="2237"/>
      <c r="G472" s="7866"/>
      <c r="H472" s="5568">
        <v>978.01999999999987</v>
      </c>
      <c r="I472" s="7921"/>
      <c r="J472" s="7310">
        <f t="shared" si="560"/>
        <v>978.01999999999987</v>
      </c>
      <c r="K472" s="7866"/>
      <c r="L472" s="5680">
        <v>3812.76</v>
      </c>
      <c r="M472" s="7895"/>
      <c r="N472" s="7301">
        <f t="shared" si="561"/>
        <v>4790.78</v>
      </c>
      <c r="O472" s="7866"/>
      <c r="P472" s="5837">
        <v>1691.12</v>
      </c>
      <c r="Q472" s="7921"/>
      <c r="R472" s="7310">
        <f t="shared" si="562"/>
        <v>6481.9</v>
      </c>
      <c r="S472" s="7866"/>
      <c r="T472" s="5893">
        <v>2387.6999999999998</v>
      </c>
      <c r="U472" s="7921"/>
      <c r="V472" s="7310">
        <f t="shared" si="563"/>
        <v>8869.5999999999985</v>
      </c>
      <c r="W472" s="7866"/>
      <c r="X472" s="6007"/>
      <c r="Y472" s="7895"/>
      <c r="Z472" s="7301">
        <f t="shared" si="564"/>
        <v>4078.8199999999997</v>
      </c>
      <c r="AA472" s="7902"/>
      <c r="AB472" s="7302">
        <f t="shared" si="565"/>
        <v>8869.5999999999985</v>
      </c>
      <c r="AC472" s="7866"/>
      <c r="AD472" s="6138">
        <v>160.26</v>
      </c>
      <c r="AE472" s="7921"/>
      <c r="AF472" s="7310">
        <f t="shared" si="566"/>
        <v>9029.8599999999988</v>
      </c>
      <c r="AG472" s="7866"/>
      <c r="AH472" s="6300">
        <v>416.62</v>
      </c>
      <c r="AI472" s="3915"/>
      <c r="AJ472" s="7310">
        <f t="shared" si="579"/>
        <v>9446.48</v>
      </c>
      <c r="AK472" s="7866"/>
      <c r="AL472" s="6549"/>
      <c r="AM472" s="7895"/>
      <c r="AN472" s="7303">
        <f t="shared" si="568"/>
        <v>576.88</v>
      </c>
      <c r="AO472" s="7921"/>
      <c r="AP472" s="7310">
        <f t="shared" si="569"/>
        <v>9446.48</v>
      </c>
      <c r="AQ472" s="7866"/>
      <c r="AR472" s="6643"/>
      <c r="AS472" s="3915"/>
      <c r="AT472" s="7310">
        <f t="shared" si="570"/>
        <v>9446.48</v>
      </c>
      <c r="AU472" s="7866"/>
      <c r="AV472" s="6815"/>
      <c r="AW472" s="3915"/>
      <c r="AX472" s="7310">
        <f t="shared" si="571"/>
        <v>9446.48</v>
      </c>
      <c r="AY472" s="7866"/>
      <c r="AZ472" s="6957"/>
      <c r="BA472" s="7895"/>
      <c r="BB472" s="7303">
        <f t="shared" ref="BB472:BB473" si="581">AR472+AV472+AZ472</f>
        <v>0</v>
      </c>
      <c r="BC472" s="7902"/>
      <c r="BD472" s="513">
        <f t="shared" si="573"/>
        <v>576.88</v>
      </c>
      <c r="BE472" s="3915"/>
      <c r="BF472" s="7310">
        <f t="shared" si="580"/>
        <v>9446.48</v>
      </c>
      <c r="BG472" s="4152">
        <f t="shared" si="575"/>
        <v>0</v>
      </c>
      <c r="BH472" s="4152">
        <f t="shared" si="576"/>
        <v>0</v>
      </c>
      <c r="BI472" s="4152"/>
      <c r="BJ472" s="4152">
        <f t="shared" si="577"/>
        <v>0</v>
      </c>
      <c r="BK472" s="4152">
        <f t="shared" si="578"/>
        <v>0</v>
      </c>
    </row>
    <row r="473" spans="1:63" x14ac:dyDescent="0.25">
      <c r="A473" s="90"/>
      <c r="B473" s="3687" t="s">
        <v>516</v>
      </c>
      <c r="C473" s="194" t="s">
        <v>50</v>
      </c>
      <c r="D473" s="1820">
        <f>+D48</f>
        <v>350000</v>
      </c>
      <c r="E473" s="1820"/>
      <c r="F473" s="1820">
        <f>SUM(F441:F472)</f>
        <v>29964.870000000003</v>
      </c>
      <c r="G473" s="1820"/>
      <c r="H473" s="1820">
        <f>SUM(H441:H472)</f>
        <v>50015.529999999984</v>
      </c>
      <c r="I473" s="7311"/>
      <c r="J473" s="7310">
        <f t="shared" si="560"/>
        <v>79980.399999999994</v>
      </c>
      <c r="K473" s="1820"/>
      <c r="L473" s="1820">
        <f>SUM(L441:L472)</f>
        <v>49786.529999999984</v>
      </c>
      <c r="M473" s="7303"/>
      <c r="N473" s="7301">
        <f t="shared" si="561"/>
        <v>129766.92999999998</v>
      </c>
      <c r="O473" s="1820"/>
      <c r="P473" s="1820">
        <f>SUM(P441:P472)</f>
        <v>57214.910000000011</v>
      </c>
      <c r="Q473" s="7311"/>
      <c r="R473" s="7310">
        <f t="shared" si="562"/>
        <v>186981.84</v>
      </c>
      <c r="S473" s="1820"/>
      <c r="T473" s="1820">
        <f>SUM(T441:T472)</f>
        <v>62105.790000000008</v>
      </c>
      <c r="U473" s="7311"/>
      <c r="V473" s="7310">
        <f t="shared" si="563"/>
        <v>249087.63</v>
      </c>
      <c r="W473" s="1820"/>
      <c r="X473" s="1820">
        <f>SUM(X441:X472)</f>
        <v>53278.05</v>
      </c>
      <c r="Y473" s="7303"/>
      <c r="Z473" s="7301">
        <f t="shared" si="564"/>
        <v>172598.75</v>
      </c>
      <c r="AA473" s="513"/>
      <c r="AB473" s="7302">
        <f t="shared" si="565"/>
        <v>302365.68</v>
      </c>
      <c r="AC473" s="1820"/>
      <c r="AD473" s="1820">
        <f>SUM(AD441:AD472)</f>
        <v>49314.06</v>
      </c>
      <c r="AE473" s="7311"/>
      <c r="AF473" s="7310">
        <f t="shared" si="566"/>
        <v>351679.74</v>
      </c>
      <c r="AG473" s="1820"/>
      <c r="AH473" s="1820">
        <f>SUM(AH441:AH472)</f>
        <v>61336.37</v>
      </c>
      <c r="AI473" s="7311"/>
      <c r="AJ473" s="7311">
        <f t="shared" si="579"/>
        <v>413016.11</v>
      </c>
      <c r="AK473" s="1820"/>
      <c r="AL473" s="1820">
        <f>SUM(AL441:AL472)</f>
        <v>53803.310000000012</v>
      </c>
      <c r="AM473" s="7303"/>
      <c r="AN473" s="7303">
        <f t="shared" si="568"/>
        <v>164453.74</v>
      </c>
      <c r="AO473" s="7311"/>
      <c r="AP473" s="7311">
        <f t="shared" si="569"/>
        <v>466819.42</v>
      </c>
      <c r="AQ473" s="1820"/>
      <c r="AR473" s="1820">
        <f>SUM(AR441:AR472)</f>
        <v>38263.58</v>
      </c>
      <c r="AS473" s="7311"/>
      <c r="AT473" s="7311">
        <f t="shared" ref="AT473" si="582">AP473+AR473</f>
        <v>505083</v>
      </c>
      <c r="AU473" s="1820"/>
      <c r="AV473" s="1820">
        <f>SUM(AV441:AV472)</f>
        <v>14377.009999999998</v>
      </c>
      <c r="AW473" s="7311"/>
      <c r="AX473" s="7311">
        <f t="shared" ref="AX473" si="583">AT473+AV473</f>
        <v>519460.01</v>
      </c>
      <c r="AY473" s="1820"/>
      <c r="AZ473" s="1820">
        <f>SUM(AZ441:AZ472)</f>
        <v>38772.68</v>
      </c>
      <c r="BA473" s="7303"/>
      <c r="BB473" s="7303">
        <f t="shared" si="581"/>
        <v>91413.26999999999</v>
      </c>
      <c r="BC473" s="513"/>
      <c r="BD473" s="513">
        <f t="shared" si="573"/>
        <v>255867.00999999998</v>
      </c>
      <c r="BE473" s="7311"/>
      <c r="BF473" s="7311">
        <f t="shared" si="580"/>
        <v>558232.69000000006</v>
      </c>
      <c r="BG473" s="4152">
        <f t="shared" si="575"/>
        <v>0</v>
      </c>
      <c r="BH473" s="4152">
        <f t="shared" si="576"/>
        <v>0</v>
      </c>
      <c r="BI473" s="4152"/>
      <c r="BJ473" s="4152">
        <f t="shared" si="577"/>
        <v>0</v>
      </c>
      <c r="BK473" s="4152">
        <f t="shared" si="578"/>
        <v>0</v>
      </c>
    </row>
    <row r="474" spans="1:63" ht="20.25" customHeight="1" x14ac:dyDescent="0.25">
      <c r="A474" s="90"/>
      <c r="B474" s="3681" t="s">
        <v>515</v>
      </c>
      <c r="C474" s="7436"/>
      <c r="D474" s="3793"/>
      <c r="E474" s="3793"/>
      <c r="F474" s="3793"/>
      <c r="G474" s="3793"/>
      <c r="H474" s="3793"/>
      <c r="I474" s="3863"/>
      <c r="J474" s="7310">
        <f t="shared" si="560"/>
        <v>0</v>
      </c>
      <c r="K474" s="3793"/>
      <c r="L474" s="3793"/>
      <c r="M474" s="3864"/>
      <c r="N474" s="7301">
        <f t="shared" si="561"/>
        <v>0</v>
      </c>
      <c r="O474" s="3793"/>
      <c r="P474" s="3793"/>
      <c r="Q474" s="3863"/>
      <c r="R474" s="7310">
        <f t="shared" si="562"/>
        <v>0</v>
      </c>
      <c r="S474" s="3793"/>
      <c r="T474" s="3793"/>
      <c r="U474" s="3863"/>
      <c r="V474" s="7310">
        <f t="shared" si="563"/>
        <v>0</v>
      </c>
      <c r="W474" s="3793"/>
      <c r="X474" s="3793"/>
      <c r="Y474" s="3864"/>
      <c r="Z474" s="7301">
        <f t="shared" si="564"/>
        <v>0</v>
      </c>
      <c r="AA474" s="3916"/>
      <c r="AB474" s="7302">
        <f t="shared" si="565"/>
        <v>0</v>
      </c>
      <c r="AC474" s="3793"/>
      <c r="AD474" s="3793"/>
      <c r="AE474" s="3863"/>
      <c r="AF474" s="7310">
        <f t="shared" si="566"/>
        <v>0</v>
      </c>
      <c r="AG474" s="3793"/>
      <c r="AH474" s="3793"/>
      <c r="AI474" s="3863"/>
      <c r="AJ474" s="3863"/>
      <c r="AK474" s="3793"/>
      <c r="AL474" s="3793"/>
      <c r="AM474" s="3864"/>
      <c r="AN474" s="3864"/>
      <c r="AO474" s="3863"/>
      <c r="AP474" s="3863"/>
      <c r="AQ474" s="3793"/>
      <c r="AR474" s="3793"/>
      <c r="AS474" s="3863"/>
      <c r="AT474" s="3863"/>
      <c r="AU474" s="3793"/>
      <c r="AV474" s="3793"/>
      <c r="AW474" s="3863"/>
      <c r="AX474" s="3863"/>
      <c r="AY474" s="3793"/>
      <c r="AZ474" s="3793"/>
      <c r="BA474" s="3864"/>
      <c r="BB474" s="3864"/>
      <c r="BC474" s="3916"/>
      <c r="BD474" s="3916"/>
      <c r="BE474" s="3863"/>
      <c r="BF474" s="3863"/>
      <c r="BG474" s="4152">
        <f t="shared" si="575"/>
        <v>0</v>
      </c>
      <c r="BH474" s="4152">
        <f t="shared" si="576"/>
        <v>0</v>
      </c>
      <c r="BI474" s="4152"/>
      <c r="BJ474" s="4152">
        <f t="shared" si="577"/>
        <v>0</v>
      </c>
      <c r="BK474" s="4152">
        <f t="shared" si="578"/>
        <v>0</v>
      </c>
    </row>
    <row r="475" spans="1:63" ht="20.25" customHeight="1" x14ac:dyDescent="0.25">
      <c r="A475" s="144"/>
      <c r="B475" s="3912" t="s">
        <v>1619</v>
      </c>
      <c r="C475" s="7337"/>
      <c r="D475" s="148"/>
      <c r="E475" s="3917"/>
      <c r="F475" s="1820">
        <f>+F476+F479+F480</f>
        <v>0</v>
      </c>
      <c r="G475" s="3917"/>
      <c r="H475" s="1820">
        <f>+H476+H479+H480</f>
        <v>0</v>
      </c>
      <c r="I475" s="3863"/>
      <c r="J475" s="7310">
        <f t="shared" si="560"/>
        <v>0</v>
      </c>
      <c r="K475" s="3917"/>
      <c r="L475" s="1820">
        <f>+L476+L479+L480</f>
        <v>0</v>
      </c>
      <c r="M475" s="3864"/>
      <c r="N475" s="7301">
        <f t="shared" si="561"/>
        <v>0</v>
      </c>
      <c r="O475" s="3917"/>
      <c r="P475" s="1820">
        <f>+P476+P479+P480</f>
        <v>0</v>
      </c>
      <c r="Q475" s="3863"/>
      <c r="R475" s="7310">
        <f t="shared" si="562"/>
        <v>0</v>
      </c>
      <c r="S475" s="3917"/>
      <c r="T475" s="1820">
        <f>+T476+T479+T480</f>
        <v>0</v>
      </c>
      <c r="U475" s="3863"/>
      <c r="V475" s="7310">
        <f t="shared" si="563"/>
        <v>0</v>
      </c>
      <c r="W475" s="3917"/>
      <c r="X475" s="1820">
        <f>+X476+X479+X480</f>
        <v>0</v>
      </c>
      <c r="Y475" s="3864"/>
      <c r="Z475" s="7301">
        <f t="shared" si="564"/>
        <v>0</v>
      </c>
      <c r="AA475" s="3916"/>
      <c r="AB475" s="7302">
        <f t="shared" si="565"/>
        <v>0</v>
      </c>
      <c r="AC475" s="3917"/>
      <c r="AD475" s="1820">
        <f>+AD476+AD479+AD480</f>
        <v>0</v>
      </c>
      <c r="AE475" s="3863"/>
      <c r="AF475" s="7310">
        <f t="shared" si="566"/>
        <v>0</v>
      </c>
      <c r="AG475" s="3917"/>
      <c r="AH475" s="1820">
        <f>+AH476+AH479+AH480</f>
        <v>0</v>
      </c>
      <c r="AI475" s="3863"/>
      <c r="AJ475" s="7311">
        <f>AF475+AH475</f>
        <v>0</v>
      </c>
      <c r="AK475" s="3917"/>
      <c r="AL475" s="1820">
        <f>+AL476+AL479+AL480</f>
        <v>0</v>
      </c>
      <c r="AM475" s="3864"/>
      <c r="AN475" s="7303">
        <f t="shared" si="568"/>
        <v>0</v>
      </c>
      <c r="AO475" s="3863"/>
      <c r="AP475" s="7311">
        <f t="shared" si="569"/>
        <v>0</v>
      </c>
      <c r="AQ475" s="3917"/>
      <c r="AR475" s="1820">
        <f>+AR476+AR479+AR480</f>
        <v>0</v>
      </c>
      <c r="AS475" s="3863"/>
      <c r="AT475" s="7311">
        <f>AP475+AR475</f>
        <v>0</v>
      </c>
      <c r="AU475" s="3917"/>
      <c r="AV475" s="1820">
        <f>SUM(AV476:AV479)</f>
        <v>2022.0800000000002</v>
      </c>
      <c r="AW475" s="3863"/>
      <c r="AX475" s="7311">
        <f>AT475+AV475</f>
        <v>2022.0800000000002</v>
      </c>
      <c r="AY475" s="3917"/>
      <c r="AZ475" s="1820">
        <f>SUM(AZ476:AZ479)</f>
        <v>2066.8999999999996</v>
      </c>
      <c r="BA475" s="3864"/>
      <c r="BB475" s="7303">
        <f t="shared" ref="BB475:BB491" si="584">AR475+AV475+AZ475</f>
        <v>4088.9799999999996</v>
      </c>
      <c r="BC475" s="3916"/>
      <c r="BD475" s="513">
        <f t="shared" si="573"/>
        <v>4088.9799999999996</v>
      </c>
      <c r="BE475" s="3863"/>
      <c r="BF475" s="7311">
        <f>AX475+AZ475</f>
        <v>4088.9799999999996</v>
      </c>
      <c r="BG475" s="4152">
        <f t="shared" si="575"/>
        <v>0</v>
      </c>
      <c r="BH475" s="4152">
        <f t="shared" si="576"/>
        <v>0</v>
      </c>
      <c r="BI475" s="4152"/>
      <c r="BJ475" s="4152">
        <f t="shared" si="577"/>
        <v>0</v>
      </c>
      <c r="BK475" s="4152">
        <f t="shared" si="578"/>
        <v>0</v>
      </c>
    </row>
    <row r="476" spans="1:63" ht="18.75" customHeight="1" x14ac:dyDescent="0.25">
      <c r="A476" s="144"/>
      <c r="B476" s="3918" t="s">
        <v>1436</v>
      </c>
      <c r="C476" s="7337" t="s">
        <v>50</v>
      </c>
      <c r="D476" s="148"/>
      <c r="E476" s="3917"/>
      <c r="F476" s="2237"/>
      <c r="G476" s="3917"/>
      <c r="H476" s="5568">
        <v>0</v>
      </c>
      <c r="I476" s="3863"/>
      <c r="J476" s="7310">
        <f t="shared" si="560"/>
        <v>0</v>
      </c>
      <c r="K476" s="3917"/>
      <c r="L476" s="5680">
        <v>0</v>
      </c>
      <c r="M476" s="3864"/>
      <c r="N476" s="7301">
        <f t="shared" si="561"/>
        <v>0</v>
      </c>
      <c r="O476" s="3917"/>
      <c r="P476" s="5837">
        <v>0</v>
      </c>
      <c r="Q476" s="3863"/>
      <c r="R476" s="7310">
        <f t="shared" si="562"/>
        <v>0</v>
      </c>
      <c r="S476" s="3917"/>
      <c r="T476" s="5893">
        <v>0</v>
      </c>
      <c r="U476" s="3863"/>
      <c r="V476" s="7310">
        <f t="shared" si="563"/>
        <v>0</v>
      </c>
      <c r="W476" s="3917"/>
      <c r="X476" s="6007">
        <v>0</v>
      </c>
      <c r="Y476" s="3864"/>
      <c r="Z476" s="7301">
        <f t="shared" si="564"/>
        <v>0</v>
      </c>
      <c r="AA476" s="3916"/>
      <c r="AB476" s="7302">
        <f t="shared" si="565"/>
        <v>0</v>
      </c>
      <c r="AC476" s="3917"/>
      <c r="AD476" s="6138">
        <v>0</v>
      </c>
      <c r="AE476" s="3863"/>
      <c r="AF476" s="7310">
        <f t="shared" si="566"/>
        <v>0</v>
      </c>
      <c r="AG476" s="3917"/>
      <c r="AH476" s="6300">
        <v>0</v>
      </c>
      <c r="AI476" s="3863"/>
      <c r="AJ476" s="7310">
        <f t="shared" ref="AJ476:AJ493" si="585">AF476+AH476</f>
        <v>0</v>
      </c>
      <c r="AK476" s="3917"/>
      <c r="AL476" s="6549">
        <v>0</v>
      </c>
      <c r="AM476" s="3864"/>
      <c r="AN476" s="7301">
        <f t="shared" si="568"/>
        <v>0</v>
      </c>
      <c r="AO476" s="3863"/>
      <c r="AP476" s="7310">
        <f t="shared" si="569"/>
        <v>0</v>
      </c>
      <c r="AQ476" s="3917"/>
      <c r="AR476" s="6643">
        <v>0</v>
      </c>
      <c r="AS476" s="3863"/>
      <c r="AT476" s="7310">
        <f t="shared" ref="AT476:AT493" si="586">AP476+AR476</f>
        <v>0</v>
      </c>
      <c r="AU476" s="3917"/>
      <c r="AV476" s="6815">
        <v>0</v>
      </c>
      <c r="AW476" s="3863"/>
      <c r="AX476" s="7310">
        <f t="shared" ref="AX476:AX493" si="587">AT476+AV476</f>
        <v>0</v>
      </c>
      <c r="AY476" s="3917"/>
      <c r="AZ476" s="6957"/>
      <c r="BA476" s="3864"/>
      <c r="BB476" s="7301">
        <f t="shared" si="584"/>
        <v>0</v>
      </c>
      <c r="BC476" s="3916"/>
      <c r="BD476" s="7302">
        <f t="shared" si="573"/>
        <v>0</v>
      </c>
      <c r="BE476" s="3863"/>
      <c r="BF476" s="7310">
        <f t="shared" ref="BF476:BF493" si="588">AX476+AZ476</f>
        <v>0</v>
      </c>
      <c r="BG476" s="4152">
        <f t="shared" si="575"/>
        <v>0</v>
      </c>
      <c r="BH476" s="4152">
        <f t="shared" si="576"/>
        <v>0</v>
      </c>
      <c r="BI476" s="4152"/>
      <c r="BJ476" s="4152">
        <f t="shared" si="577"/>
        <v>0</v>
      </c>
      <c r="BK476" s="4152">
        <f t="shared" si="578"/>
        <v>0</v>
      </c>
    </row>
    <row r="477" spans="1:63" s="6880" customFormat="1" ht="18.75" customHeight="1" x14ac:dyDescent="0.25">
      <c r="A477" s="144"/>
      <c r="B477" s="6904" t="s">
        <v>2213</v>
      </c>
      <c r="C477" s="6754"/>
      <c r="D477" s="6754"/>
      <c r="E477" s="6905"/>
      <c r="F477" s="6698"/>
      <c r="G477" s="6905"/>
      <c r="H477" s="6698"/>
      <c r="I477" s="6906"/>
      <c r="J477" s="6366"/>
      <c r="K477" s="6905"/>
      <c r="L477" s="6698"/>
      <c r="M477" s="6907"/>
      <c r="N477" s="6367"/>
      <c r="O477" s="6905"/>
      <c r="P477" s="6698"/>
      <c r="Q477" s="6906"/>
      <c r="R477" s="6366"/>
      <c r="S477" s="6905"/>
      <c r="T477" s="6698"/>
      <c r="U477" s="6906"/>
      <c r="V477" s="6366"/>
      <c r="W477" s="6905"/>
      <c r="X477" s="6698"/>
      <c r="Y477" s="6907"/>
      <c r="Z477" s="6367"/>
      <c r="AA477" s="7421"/>
      <c r="AB477" s="6895"/>
      <c r="AC477" s="6905"/>
      <c r="AD477" s="6698"/>
      <c r="AE477" s="6906"/>
      <c r="AF477" s="6366"/>
      <c r="AG477" s="6905"/>
      <c r="AH477" s="6698"/>
      <c r="AI477" s="6906"/>
      <c r="AJ477" s="6366"/>
      <c r="AK477" s="6905"/>
      <c r="AL477" s="6698"/>
      <c r="AM477" s="6907"/>
      <c r="AN477" s="6367"/>
      <c r="AO477" s="6906"/>
      <c r="AP477" s="6366"/>
      <c r="AQ477" s="6905"/>
      <c r="AR477" s="6698"/>
      <c r="AS477" s="6906"/>
      <c r="AT477" s="6366"/>
      <c r="AU477" s="6905"/>
      <c r="AV477" s="6698">
        <v>441.44</v>
      </c>
      <c r="AW477" s="6906"/>
      <c r="AX477" s="7310">
        <f t="shared" si="587"/>
        <v>441.44</v>
      </c>
      <c r="AY477" s="6905"/>
      <c r="AZ477" s="6698">
        <v>296.89999999999998</v>
      </c>
      <c r="BA477" s="6907"/>
      <c r="BB477" s="7301">
        <f t="shared" si="584"/>
        <v>738.33999999999992</v>
      </c>
      <c r="BC477" s="7421"/>
      <c r="BD477" s="7302">
        <f t="shared" si="573"/>
        <v>738.33999999999992</v>
      </c>
      <c r="BE477" s="6906"/>
      <c r="BF477" s="7310">
        <f t="shared" si="588"/>
        <v>738.33999999999992</v>
      </c>
      <c r="BG477" s="4152">
        <f t="shared" si="575"/>
        <v>0</v>
      </c>
      <c r="BH477" s="4152">
        <f t="shared" si="576"/>
        <v>0</v>
      </c>
      <c r="BI477" s="4152"/>
      <c r="BJ477" s="4152">
        <f t="shared" si="577"/>
        <v>0</v>
      </c>
      <c r="BK477" s="4152">
        <f t="shared" si="578"/>
        <v>0</v>
      </c>
    </row>
    <row r="478" spans="1:63" s="6880" customFormat="1" ht="18.75" customHeight="1" x14ac:dyDescent="0.25">
      <c r="A478" s="144"/>
      <c r="B478" s="6904" t="s">
        <v>2212</v>
      </c>
      <c r="C478" s="6754"/>
      <c r="D478" s="6754"/>
      <c r="E478" s="6905"/>
      <c r="F478" s="6698"/>
      <c r="G478" s="6905"/>
      <c r="H478" s="6698"/>
      <c r="I478" s="6906"/>
      <c r="J478" s="6366"/>
      <c r="K478" s="6905"/>
      <c r="L478" s="6698"/>
      <c r="M478" s="6907"/>
      <c r="N478" s="6367"/>
      <c r="O478" s="6905"/>
      <c r="P478" s="6698"/>
      <c r="Q478" s="6906"/>
      <c r="R478" s="6366"/>
      <c r="S478" s="6905"/>
      <c r="T478" s="6698"/>
      <c r="U478" s="6906"/>
      <c r="V478" s="6366"/>
      <c r="W478" s="6905"/>
      <c r="X478" s="6698"/>
      <c r="Y478" s="6907"/>
      <c r="Z478" s="6367"/>
      <c r="AA478" s="7421"/>
      <c r="AB478" s="6895"/>
      <c r="AC478" s="6905"/>
      <c r="AD478" s="6698"/>
      <c r="AE478" s="6906"/>
      <c r="AF478" s="6366"/>
      <c r="AG478" s="6905"/>
      <c r="AH478" s="6698"/>
      <c r="AI478" s="6906"/>
      <c r="AJ478" s="6366"/>
      <c r="AK478" s="6905"/>
      <c r="AL478" s="6698"/>
      <c r="AM478" s="6907"/>
      <c r="AN478" s="6367"/>
      <c r="AO478" s="6906"/>
      <c r="AP478" s="6366"/>
      <c r="AQ478" s="6905"/>
      <c r="AR478" s="6698"/>
      <c r="AS478" s="6906"/>
      <c r="AT478" s="6366"/>
      <c r="AU478" s="6905"/>
      <c r="AV478" s="6698">
        <v>1580.64</v>
      </c>
      <c r="AW478" s="6906"/>
      <c r="AX478" s="7310">
        <f t="shared" si="587"/>
        <v>1580.64</v>
      </c>
      <c r="AY478" s="6905"/>
      <c r="AZ478" s="6698">
        <v>1769.9999999999998</v>
      </c>
      <c r="BA478" s="6907"/>
      <c r="BB478" s="7301">
        <f t="shared" si="584"/>
        <v>3350.64</v>
      </c>
      <c r="BC478" s="7421"/>
      <c r="BD478" s="7302">
        <f t="shared" si="573"/>
        <v>3350.64</v>
      </c>
      <c r="BE478" s="6906"/>
      <c r="BF478" s="7310">
        <f t="shared" si="588"/>
        <v>3350.64</v>
      </c>
      <c r="BG478" s="4152">
        <f t="shared" si="575"/>
        <v>0</v>
      </c>
      <c r="BH478" s="4152">
        <f t="shared" si="576"/>
        <v>0</v>
      </c>
      <c r="BI478" s="4152"/>
      <c r="BJ478" s="4152">
        <f t="shared" si="577"/>
        <v>0</v>
      </c>
      <c r="BK478" s="4152">
        <f t="shared" si="578"/>
        <v>0</v>
      </c>
    </row>
    <row r="479" spans="1:63" ht="18.75" customHeight="1" x14ac:dyDescent="0.25">
      <c r="A479" s="144"/>
      <c r="B479" s="3918" t="s">
        <v>1089</v>
      </c>
      <c r="C479" s="7337" t="s">
        <v>50</v>
      </c>
      <c r="D479" s="148"/>
      <c r="E479" s="3917"/>
      <c r="F479" s="2237"/>
      <c r="G479" s="3917"/>
      <c r="H479" s="5568">
        <v>0</v>
      </c>
      <c r="I479" s="3863"/>
      <c r="J479" s="7310">
        <f t="shared" si="560"/>
        <v>0</v>
      </c>
      <c r="K479" s="3917"/>
      <c r="L479" s="5680">
        <v>0</v>
      </c>
      <c r="M479" s="3864"/>
      <c r="N479" s="7301">
        <f t="shared" si="561"/>
        <v>0</v>
      </c>
      <c r="O479" s="3917"/>
      <c r="P479" s="5837">
        <v>0</v>
      </c>
      <c r="Q479" s="3863"/>
      <c r="R479" s="7310">
        <f t="shared" si="562"/>
        <v>0</v>
      </c>
      <c r="S479" s="3917"/>
      <c r="T479" s="5893">
        <v>0</v>
      </c>
      <c r="U479" s="3863"/>
      <c r="V479" s="7310">
        <f t="shared" si="563"/>
        <v>0</v>
      </c>
      <c r="W479" s="3917"/>
      <c r="X479" s="6007">
        <v>0</v>
      </c>
      <c r="Y479" s="3864"/>
      <c r="Z479" s="7301">
        <f t="shared" si="564"/>
        <v>0</v>
      </c>
      <c r="AA479" s="3916"/>
      <c r="AB479" s="7302">
        <f t="shared" si="565"/>
        <v>0</v>
      </c>
      <c r="AC479" s="3917"/>
      <c r="AD479" s="6138">
        <v>0</v>
      </c>
      <c r="AE479" s="3863"/>
      <c r="AF479" s="7310">
        <f t="shared" si="566"/>
        <v>0</v>
      </c>
      <c r="AG479" s="3917"/>
      <c r="AH479" s="6300">
        <v>0</v>
      </c>
      <c r="AI479" s="3863"/>
      <c r="AJ479" s="7310">
        <f t="shared" si="585"/>
        <v>0</v>
      </c>
      <c r="AK479" s="3917"/>
      <c r="AL479" s="6549">
        <v>0</v>
      </c>
      <c r="AM479" s="3864"/>
      <c r="AN479" s="7301">
        <f t="shared" si="568"/>
        <v>0</v>
      </c>
      <c r="AO479" s="3863"/>
      <c r="AP479" s="7310">
        <f t="shared" si="569"/>
        <v>0</v>
      </c>
      <c r="AQ479" s="3917"/>
      <c r="AR479" s="6643">
        <v>0</v>
      </c>
      <c r="AS479" s="3863"/>
      <c r="AT479" s="7310">
        <f t="shared" si="586"/>
        <v>0</v>
      </c>
      <c r="AU479" s="3917"/>
      <c r="AV479" s="6815">
        <v>0</v>
      </c>
      <c r="AW479" s="3863"/>
      <c r="AX479" s="7310">
        <f t="shared" si="587"/>
        <v>0</v>
      </c>
      <c r="AY479" s="3917"/>
      <c r="AZ479" s="6957"/>
      <c r="BA479" s="3864"/>
      <c r="BB479" s="7301">
        <f t="shared" si="584"/>
        <v>0</v>
      </c>
      <c r="BC479" s="3916"/>
      <c r="BD479" s="7302">
        <f t="shared" si="573"/>
        <v>0</v>
      </c>
      <c r="BE479" s="3863"/>
      <c r="BF479" s="7310">
        <f t="shared" si="588"/>
        <v>0</v>
      </c>
      <c r="BG479" s="4152">
        <f t="shared" si="575"/>
        <v>0</v>
      </c>
      <c r="BH479" s="4152">
        <f t="shared" si="576"/>
        <v>0</v>
      </c>
      <c r="BI479" s="4152"/>
      <c r="BJ479" s="4152">
        <f t="shared" si="577"/>
        <v>0</v>
      </c>
      <c r="BK479" s="4152">
        <f t="shared" si="578"/>
        <v>0</v>
      </c>
    </row>
    <row r="480" spans="1:63" ht="18.75" customHeight="1" x14ac:dyDescent="0.25">
      <c r="A480" s="144"/>
      <c r="B480" s="3918" t="s">
        <v>1303</v>
      </c>
      <c r="C480" s="7337" t="s">
        <v>50</v>
      </c>
      <c r="D480" s="148"/>
      <c r="E480" s="3917"/>
      <c r="F480" s="2237"/>
      <c r="G480" s="3917"/>
      <c r="H480" s="5568">
        <v>0</v>
      </c>
      <c r="I480" s="3863"/>
      <c r="J480" s="7310">
        <f t="shared" si="560"/>
        <v>0</v>
      </c>
      <c r="K480" s="3917"/>
      <c r="L480" s="5680">
        <v>0</v>
      </c>
      <c r="M480" s="3864"/>
      <c r="N480" s="7301">
        <f t="shared" si="561"/>
        <v>0</v>
      </c>
      <c r="O480" s="3917"/>
      <c r="P480" s="5837">
        <v>0</v>
      </c>
      <c r="Q480" s="3863"/>
      <c r="R480" s="7310">
        <f t="shared" si="562"/>
        <v>0</v>
      </c>
      <c r="S480" s="3917"/>
      <c r="T480" s="5893">
        <v>0</v>
      </c>
      <c r="U480" s="3863"/>
      <c r="V480" s="7310">
        <f t="shared" si="563"/>
        <v>0</v>
      </c>
      <c r="W480" s="3917"/>
      <c r="X480" s="6007">
        <v>0</v>
      </c>
      <c r="Y480" s="3864"/>
      <c r="Z480" s="7301">
        <f t="shared" si="564"/>
        <v>0</v>
      </c>
      <c r="AA480" s="3916"/>
      <c r="AB480" s="7302">
        <f t="shared" si="565"/>
        <v>0</v>
      </c>
      <c r="AC480" s="3917"/>
      <c r="AD480" s="6138">
        <v>0</v>
      </c>
      <c r="AE480" s="3863"/>
      <c r="AF480" s="7310">
        <f t="shared" si="566"/>
        <v>0</v>
      </c>
      <c r="AG480" s="3917"/>
      <c r="AH480" s="6300">
        <v>0</v>
      </c>
      <c r="AI480" s="3863"/>
      <c r="AJ480" s="7310">
        <f t="shared" si="585"/>
        <v>0</v>
      </c>
      <c r="AK480" s="3917"/>
      <c r="AL480" s="6549">
        <v>0</v>
      </c>
      <c r="AM480" s="3864"/>
      <c r="AN480" s="7301">
        <f t="shared" si="568"/>
        <v>0</v>
      </c>
      <c r="AO480" s="3863"/>
      <c r="AP480" s="7310">
        <f t="shared" si="569"/>
        <v>0</v>
      </c>
      <c r="AQ480" s="3917"/>
      <c r="AR480" s="6643">
        <v>0</v>
      </c>
      <c r="AS480" s="3863"/>
      <c r="AT480" s="7310">
        <f t="shared" si="586"/>
        <v>0</v>
      </c>
      <c r="AU480" s="3917"/>
      <c r="AV480" s="6815">
        <v>0</v>
      </c>
      <c r="AW480" s="3863"/>
      <c r="AX480" s="7310">
        <f t="shared" si="587"/>
        <v>0</v>
      </c>
      <c r="AY480" s="3917"/>
      <c r="AZ480" s="6957"/>
      <c r="BA480" s="3864"/>
      <c r="BB480" s="7301">
        <f t="shared" si="584"/>
        <v>0</v>
      </c>
      <c r="BC480" s="3916"/>
      <c r="BD480" s="7302">
        <f t="shared" si="573"/>
        <v>0</v>
      </c>
      <c r="BE480" s="3863"/>
      <c r="BF480" s="7310">
        <f t="shared" si="588"/>
        <v>0</v>
      </c>
      <c r="BG480" s="4152">
        <f t="shared" si="575"/>
        <v>0</v>
      </c>
      <c r="BH480" s="4152">
        <f t="shared" si="576"/>
        <v>0</v>
      </c>
      <c r="BI480" s="4152"/>
      <c r="BJ480" s="4152">
        <f t="shared" si="577"/>
        <v>0</v>
      </c>
      <c r="BK480" s="4152">
        <f t="shared" si="578"/>
        <v>0</v>
      </c>
    </row>
    <row r="481" spans="1:63" ht="20.25" customHeight="1" x14ac:dyDescent="0.25">
      <c r="A481" s="144"/>
      <c r="B481" s="3912" t="s">
        <v>1542</v>
      </c>
      <c r="C481" s="7337" t="s">
        <v>50</v>
      </c>
      <c r="D481" s="148"/>
      <c r="E481" s="3917"/>
      <c r="F481" s="1820">
        <f>+F482+F483</f>
        <v>1625.08</v>
      </c>
      <c r="G481" s="3917"/>
      <c r="H481" s="1820">
        <f>+H482+H483</f>
        <v>940.18000000000006</v>
      </c>
      <c r="I481" s="3863"/>
      <c r="J481" s="7310">
        <f t="shared" si="560"/>
        <v>2565.2600000000002</v>
      </c>
      <c r="K481" s="3917"/>
      <c r="L481" s="1820">
        <f>+L482+L483</f>
        <v>1065.5999999999999</v>
      </c>
      <c r="M481" s="3864"/>
      <c r="N481" s="7301">
        <f t="shared" si="561"/>
        <v>3630.86</v>
      </c>
      <c r="O481" s="3917"/>
      <c r="P481" s="1820">
        <f>+P482+P483</f>
        <v>463.1</v>
      </c>
      <c r="Q481" s="3863"/>
      <c r="R481" s="7310">
        <f t="shared" si="562"/>
        <v>4093.96</v>
      </c>
      <c r="S481" s="3917"/>
      <c r="T481" s="1820">
        <f>+T482+T483</f>
        <v>2488</v>
      </c>
      <c r="U481" s="3863"/>
      <c r="V481" s="7310">
        <f t="shared" si="563"/>
        <v>6581.96</v>
      </c>
      <c r="W481" s="3917"/>
      <c r="X481" s="1820">
        <f>+X482+X483</f>
        <v>1911</v>
      </c>
      <c r="Y481" s="3864"/>
      <c r="Z481" s="7301">
        <f t="shared" si="564"/>
        <v>4862.1000000000004</v>
      </c>
      <c r="AA481" s="3916"/>
      <c r="AB481" s="7302">
        <f t="shared" si="565"/>
        <v>8492.9600000000009</v>
      </c>
      <c r="AC481" s="3917"/>
      <c r="AD481" s="1820">
        <f>+AD482+AD483</f>
        <v>2004.1</v>
      </c>
      <c r="AE481" s="3863"/>
      <c r="AF481" s="7310">
        <f t="shared" si="566"/>
        <v>10497.060000000001</v>
      </c>
      <c r="AG481" s="3917"/>
      <c r="AH481" s="1820">
        <f>+AH482+AH483</f>
        <v>0</v>
      </c>
      <c r="AI481" s="3863"/>
      <c r="AJ481" s="7310">
        <f t="shared" si="585"/>
        <v>10497.060000000001</v>
      </c>
      <c r="AK481" s="3917"/>
      <c r="AL481" s="1820">
        <f>+AL482+AL483</f>
        <v>703.34</v>
      </c>
      <c r="AM481" s="3864"/>
      <c r="AN481" s="7303">
        <f t="shared" si="568"/>
        <v>2707.44</v>
      </c>
      <c r="AO481" s="3863"/>
      <c r="AP481" s="7310">
        <f t="shared" si="569"/>
        <v>11200.400000000001</v>
      </c>
      <c r="AQ481" s="3917"/>
      <c r="AR481" s="1820">
        <f>+AR482+AR483</f>
        <v>1927.3999999999999</v>
      </c>
      <c r="AS481" s="3863"/>
      <c r="AT481" s="7310">
        <f t="shared" si="586"/>
        <v>13127.800000000001</v>
      </c>
      <c r="AU481" s="3917"/>
      <c r="AV481" s="1820">
        <f>+AV482+AV483</f>
        <v>771.36999999999989</v>
      </c>
      <c r="AW481" s="3863"/>
      <c r="AX481" s="7310">
        <f t="shared" si="587"/>
        <v>13899.170000000002</v>
      </c>
      <c r="AY481" s="3917"/>
      <c r="AZ481" s="1820">
        <f>+AZ482+AZ483</f>
        <v>1582.9700000000003</v>
      </c>
      <c r="BA481" s="3864"/>
      <c r="BB481" s="7303">
        <f t="shared" si="584"/>
        <v>4281.74</v>
      </c>
      <c r="BC481" s="3916"/>
      <c r="BD481" s="513">
        <f t="shared" si="573"/>
        <v>6989.18</v>
      </c>
      <c r="BE481" s="3863"/>
      <c r="BF481" s="7310">
        <f t="shared" si="588"/>
        <v>15482.140000000003</v>
      </c>
      <c r="BG481" s="4152">
        <f t="shared" si="575"/>
        <v>0</v>
      </c>
      <c r="BH481" s="4152">
        <f t="shared" si="576"/>
        <v>0</v>
      </c>
      <c r="BI481" s="4152"/>
      <c r="BJ481" s="4152">
        <f t="shared" si="577"/>
        <v>0</v>
      </c>
      <c r="BK481" s="4152">
        <f t="shared" si="578"/>
        <v>0</v>
      </c>
    </row>
    <row r="482" spans="1:63" ht="21.2" customHeight="1" x14ac:dyDescent="0.25">
      <c r="A482" s="144"/>
      <c r="B482" s="3918" t="s">
        <v>1290</v>
      </c>
      <c r="C482" s="7337" t="s">
        <v>50</v>
      </c>
      <c r="D482" s="3786"/>
      <c r="E482" s="3917"/>
      <c r="F482" s="2237"/>
      <c r="G482" s="3917"/>
      <c r="H482" s="5568">
        <v>299.72000000000003</v>
      </c>
      <c r="I482" s="3919"/>
      <c r="J482" s="7310">
        <f t="shared" si="560"/>
        <v>299.72000000000003</v>
      </c>
      <c r="K482" s="3917"/>
      <c r="L482" s="5680"/>
      <c r="M482" s="3920"/>
      <c r="N482" s="7301">
        <f t="shared" si="561"/>
        <v>299.72000000000003</v>
      </c>
      <c r="O482" s="3917"/>
      <c r="P482" s="5837"/>
      <c r="Q482" s="3919"/>
      <c r="R482" s="7310">
        <f t="shared" si="562"/>
        <v>299.72000000000003</v>
      </c>
      <c r="S482" s="3917"/>
      <c r="T482" s="5893">
        <v>239</v>
      </c>
      <c r="U482" s="3919"/>
      <c r="V482" s="7310">
        <f t="shared" si="563"/>
        <v>538.72</v>
      </c>
      <c r="W482" s="3917"/>
      <c r="X482" s="6007">
        <v>497.22999999999996</v>
      </c>
      <c r="Y482" s="3920"/>
      <c r="Z482" s="7301">
        <f t="shared" si="564"/>
        <v>736.23</v>
      </c>
      <c r="AA482" s="7422"/>
      <c r="AB482" s="7302">
        <f t="shared" si="565"/>
        <v>1035.95</v>
      </c>
      <c r="AC482" s="3917"/>
      <c r="AD482" s="6138">
        <v>2004.1</v>
      </c>
      <c r="AE482" s="3919"/>
      <c r="AF482" s="7310">
        <f t="shared" si="566"/>
        <v>3040.05</v>
      </c>
      <c r="AG482" s="3917"/>
      <c r="AH482" s="6300"/>
      <c r="AI482" s="3919"/>
      <c r="AJ482" s="7310">
        <f t="shared" si="585"/>
        <v>3040.05</v>
      </c>
      <c r="AK482" s="3917"/>
      <c r="AL482" s="6549"/>
      <c r="AM482" s="3920"/>
      <c r="AN482" s="7301">
        <f t="shared" si="568"/>
        <v>2004.1</v>
      </c>
      <c r="AO482" s="3919"/>
      <c r="AP482" s="7310">
        <f t="shared" si="569"/>
        <v>3040.05</v>
      </c>
      <c r="AQ482" s="3917"/>
      <c r="AR482" s="6643">
        <v>337.56</v>
      </c>
      <c r="AS482" s="3919"/>
      <c r="AT482" s="7310">
        <f t="shared" si="586"/>
        <v>3377.61</v>
      </c>
      <c r="AU482" s="3917"/>
      <c r="AV482" s="6815">
        <v>290.02999999999997</v>
      </c>
      <c r="AW482" s="3919"/>
      <c r="AX482" s="7310">
        <f t="shared" si="587"/>
        <v>3667.6400000000003</v>
      </c>
      <c r="AY482" s="3917"/>
      <c r="AZ482" s="6957">
        <v>38.71</v>
      </c>
      <c r="BA482" s="3920"/>
      <c r="BB482" s="7301">
        <f t="shared" si="584"/>
        <v>666.3</v>
      </c>
      <c r="BC482" s="7422"/>
      <c r="BD482" s="7302">
        <f t="shared" si="573"/>
        <v>2670.3999999999996</v>
      </c>
      <c r="BE482" s="3919"/>
      <c r="BF482" s="7310">
        <f t="shared" si="588"/>
        <v>3706.3500000000004</v>
      </c>
      <c r="BG482" s="4152">
        <f t="shared" si="575"/>
        <v>0</v>
      </c>
      <c r="BH482" s="4152">
        <f t="shared" si="576"/>
        <v>0</v>
      </c>
      <c r="BI482" s="4152"/>
      <c r="BJ482" s="4152">
        <f t="shared" si="577"/>
        <v>0</v>
      </c>
      <c r="BK482" s="4152">
        <f t="shared" si="578"/>
        <v>0</v>
      </c>
    </row>
    <row r="483" spans="1:63" ht="30" x14ac:dyDescent="0.25">
      <c r="A483" s="144"/>
      <c r="B483" s="3921" t="s">
        <v>2199</v>
      </c>
      <c r="C483" s="7337" t="s">
        <v>50</v>
      </c>
      <c r="D483" s="3786"/>
      <c r="E483" s="3917"/>
      <c r="F483" s="2237">
        <f>F59</f>
        <v>1625.08</v>
      </c>
      <c r="G483" s="3917"/>
      <c r="H483" s="5568">
        <v>640.46</v>
      </c>
      <c r="I483" s="3919"/>
      <c r="J483" s="7310">
        <f t="shared" si="560"/>
        <v>2265.54</v>
      </c>
      <c r="K483" s="3917"/>
      <c r="L483" s="5680">
        <v>1065.5999999999999</v>
      </c>
      <c r="M483" s="3920"/>
      <c r="N483" s="7301">
        <f t="shared" si="561"/>
        <v>3331.14</v>
      </c>
      <c r="O483" s="3917"/>
      <c r="P483" s="5837">
        <v>463.1</v>
      </c>
      <c r="Q483" s="3919"/>
      <c r="R483" s="7310">
        <f t="shared" si="562"/>
        <v>3794.24</v>
      </c>
      <c r="S483" s="3917"/>
      <c r="T483" s="5893">
        <v>2249</v>
      </c>
      <c r="U483" s="3919"/>
      <c r="V483" s="7310">
        <f t="shared" si="563"/>
        <v>6043.24</v>
      </c>
      <c r="W483" s="3917"/>
      <c r="X483" s="6007">
        <v>1413.77</v>
      </c>
      <c r="Y483" s="3920"/>
      <c r="Z483" s="7301">
        <f t="shared" si="564"/>
        <v>4125.87</v>
      </c>
      <c r="AA483" s="7422"/>
      <c r="AB483" s="7302">
        <f t="shared" si="565"/>
        <v>7457.01</v>
      </c>
      <c r="AC483" s="3917"/>
      <c r="AD483" s="6138"/>
      <c r="AE483" s="3919"/>
      <c r="AF483" s="7310">
        <f t="shared" si="566"/>
        <v>7457.01</v>
      </c>
      <c r="AG483" s="3917"/>
      <c r="AH483" s="6300"/>
      <c r="AI483" s="3919"/>
      <c r="AJ483" s="7310">
        <f t="shared" si="585"/>
        <v>7457.01</v>
      </c>
      <c r="AK483" s="3917"/>
      <c r="AL483" s="6549">
        <v>703.34</v>
      </c>
      <c r="AM483" s="3920"/>
      <c r="AN483" s="7301">
        <f t="shared" si="568"/>
        <v>703.34</v>
      </c>
      <c r="AO483" s="3919"/>
      <c r="AP483" s="7310">
        <f t="shared" si="569"/>
        <v>8160.35</v>
      </c>
      <c r="AQ483" s="3917"/>
      <c r="AR483" s="6643">
        <v>1589.84</v>
      </c>
      <c r="AS483" s="3919"/>
      <c r="AT483" s="7310">
        <f t="shared" si="586"/>
        <v>9750.19</v>
      </c>
      <c r="AU483" s="3917"/>
      <c r="AV483" s="6815">
        <v>481.34</v>
      </c>
      <c r="AW483" s="3919"/>
      <c r="AX483" s="7310">
        <f t="shared" si="587"/>
        <v>10231.530000000001</v>
      </c>
      <c r="AY483" s="3917"/>
      <c r="AZ483" s="6957">
        <v>1544.2600000000002</v>
      </c>
      <c r="BA483" s="3920"/>
      <c r="BB483" s="7301">
        <f t="shared" si="584"/>
        <v>3615.44</v>
      </c>
      <c r="BC483" s="7422"/>
      <c r="BD483" s="7302">
        <f t="shared" si="573"/>
        <v>4318.78</v>
      </c>
      <c r="BE483" s="3919"/>
      <c r="BF483" s="7310">
        <f t="shared" si="588"/>
        <v>11775.79</v>
      </c>
      <c r="BG483" s="4152">
        <f t="shared" si="575"/>
        <v>0</v>
      </c>
      <c r="BH483" s="4152">
        <f t="shared" si="576"/>
        <v>0</v>
      </c>
      <c r="BI483" s="4152"/>
      <c r="BJ483" s="4152">
        <f t="shared" si="577"/>
        <v>0</v>
      </c>
      <c r="BK483" s="4152">
        <f t="shared" si="578"/>
        <v>0</v>
      </c>
    </row>
    <row r="484" spans="1:63" ht="20.25" customHeight="1" x14ac:dyDescent="0.25">
      <c r="A484" s="144"/>
      <c r="B484" s="3912" t="s">
        <v>606</v>
      </c>
      <c r="C484" s="7337" t="s">
        <v>50</v>
      </c>
      <c r="D484" s="148"/>
      <c r="E484" s="3922"/>
      <c r="F484" s="3793"/>
      <c r="G484" s="3922"/>
      <c r="H484" s="3793"/>
      <c r="I484" s="3910"/>
      <c r="J484" s="7310">
        <f t="shared" si="560"/>
        <v>0</v>
      </c>
      <c r="K484" s="3922"/>
      <c r="L484" s="3793"/>
      <c r="M484" s="3923"/>
      <c r="N484" s="7301">
        <f t="shared" si="561"/>
        <v>0</v>
      </c>
      <c r="O484" s="3922"/>
      <c r="P484" s="3793"/>
      <c r="Q484" s="3910"/>
      <c r="R484" s="7310">
        <f t="shared" si="562"/>
        <v>0</v>
      </c>
      <c r="S484" s="3922"/>
      <c r="T484" s="3793"/>
      <c r="U484" s="3910"/>
      <c r="V484" s="7310">
        <f t="shared" si="563"/>
        <v>0</v>
      </c>
      <c r="W484" s="3922"/>
      <c r="X484" s="3793"/>
      <c r="Y484" s="3923"/>
      <c r="Z484" s="7301">
        <f t="shared" si="564"/>
        <v>0</v>
      </c>
      <c r="AA484" s="7423"/>
      <c r="AB484" s="7302">
        <f t="shared" si="565"/>
        <v>0</v>
      </c>
      <c r="AC484" s="3922"/>
      <c r="AD484" s="3793"/>
      <c r="AE484" s="3910"/>
      <c r="AF484" s="7310">
        <f t="shared" si="566"/>
        <v>0</v>
      </c>
      <c r="AG484" s="3922"/>
      <c r="AH484" s="3793"/>
      <c r="AI484" s="3910"/>
      <c r="AJ484" s="7310">
        <f t="shared" si="585"/>
        <v>0</v>
      </c>
      <c r="AK484" s="3922"/>
      <c r="AL484" s="3793"/>
      <c r="AM484" s="3923"/>
      <c r="AN484" s="7301">
        <f t="shared" ref="AN484:AN485" si="589">AD484+AH484+AL484</f>
        <v>0</v>
      </c>
      <c r="AO484" s="3919"/>
      <c r="AP484" s="7310">
        <f t="shared" ref="AP484:AP485" si="590">AJ484+AL484</f>
        <v>0</v>
      </c>
      <c r="AQ484" s="3922"/>
      <c r="AR484" s="3793"/>
      <c r="AS484" s="3910"/>
      <c r="AT484" s="7310">
        <f t="shared" si="586"/>
        <v>0</v>
      </c>
      <c r="AU484" s="3922"/>
      <c r="AV484" s="3793"/>
      <c r="AW484" s="3910"/>
      <c r="AX484" s="7310"/>
      <c r="AY484" s="3922"/>
      <c r="AZ484" s="3793"/>
      <c r="BA484" s="3923"/>
      <c r="BB484" s="7301"/>
      <c r="BC484" s="7423"/>
      <c r="BD484" s="7302"/>
      <c r="BE484" s="3910"/>
      <c r="BF484" s="7310"/>
      <c r="BG484" s="4152">
        <f t="shared" si="575"/>
        <v>0</v>
      </c>
      <c r="BH484" s="4152">
        <f t="shared" si="576"/>
        <v>0</v>
      </c>
      <c r="BI484" s="4152"/>
      <c r="BJ484" s="4152">
        <f t="shared" si="577"/>
        <v>0</v>
      </c>
      <c r="BK484" s="4152">
        <f t="shared" si="578"/>
        <v>0</v>
      </c>
    </row>
    <row r="485" spans="1:63" x14ac:dyDescent="0.25">
      <c r="A485" s="90"/>
      <c r="B485" s="8" t="s">
        <v>1672</v>
      </c>
      <c r="C485" s="7337" t="s">
        <v>50</v>
      </c>
      <c r="D485" s="148"/>
      <c r="E485" s="727"/>
      <c r="F485" s="2237"/>
      <c r="G485" s="727"/>
      <c r="H485" s="5568"/>
      <c r="I485" s="3910"/>
      <c r="J485" s="7310">
        <f t="shared" si="560"/>
        <v>0</v>
      </c>
      <c r="K485" s="727"/>
      <c r="L485" s="5680">
        <v>247.89000000000001</v>
      </c>
      <c r="M485" s="3923"/>
      <c r="N485" s="7301">
        <f t="shared" si="561"/>
        <v>247.89000000000001</v>
      </c>
      <c r="O485" s="727"/>
      <c r="P485" s="5837">
        <v>381.2</v>
      </c>
      <c r="Q485" s="3910"/>
      <c r="R485" s="7310">
        <f t="shared" si="562"/>
        <v>629.09</v>
      </c>
      <c r="S485" s="727"/>
      <c r="T485" s="5893"/>
      <c r="U485" s="3910"/>
      <c r="V485" s="7310">
        <f t="shared" si="563"/>
        <v>629.09</v>
      </c>
      <c r="W485" s="727"/>
      <c r="X485" s="6007">
        <v>39.79</v>
      </c>
      <c r="Y485" s="3923"/>
      <c r="Z485" s="7301">
        <f t="shared" si="564"/>
        <v>420.99</v>
      </c>
      <c r="AA485" s="7423"/>
      <c r="AB485" s="7302">
        <f t="shared" si="565"/>
        <v>668.88</v>
      </c>
      <c r="AC485" s="727"/>
      <c r="AD485" s="6138">
        <v>191.86</v>
      </c>
      <c r="AE485" s="3910"/>
      <c r="AF485" s="7310">
        <f t="shared" si="566"/>
        <v>860.74</v>
      </c>
      <c r="AG485" s="727"/>
      <c r="AH485" s="6300">
        <v>319.76</v>
      </c>
      <c r="AI485" s="3910"/>
      <c r="AJ485" s="7310">
        <f t="shared" si="585"/>
        <v>1180.5</v>
      </c>
      <c r="AK485" s="727"/>
      <c r="AL485" s="6549"/>
      <c r="AM485" s="3923"/>
      <c r="AN485" s="7301">
        <f t="shared" si="589"/>
        <v>511.62</v>
      </c>
      <c r="AO485" s="3919"/>
      <c r="AP485" s="7310">
        <f t="shared" si="590"/>
        <v>1180.5</v>
      </c>
      <c r="AQ485" s="727"/>
      <c r="AR485" s="6643"/>
      <c r="AS485" s="3910"/>
      <c r="AT485" s="7310">
        <f t="shared" si="586"/>
        <v>1180.5</v>
      </c>
      <c r="AU485" s="727"/>
      <c r="AV485" s="6815">
        <v>190.8</v>
      </c>
      <c r="AW485" s="3910"/>
      <c r="AX485" s="7310">
        <f t="shared" si="587"/>
        <v>1371.3</v>
      </c>
      <c r="AY485" s="727"/>
      <c r="AZ485" s="6957">
        <v>254.79999999999998</v>
      </c>
      <c r="BA485" s="3923"/>
      <c r="BB485" s="7301">
        <f t="shared" si="584"/>
        <v>445.6</v>
      </c>
      <c r="BC485" s="7423"/>
      <c r="BD485" s="7302">
        <f t="shared" si="573"/>
        <v>957.22</v>
      </c>
      <c r="BE485" s="3910"/>
      <c r="BF485" s="7310">
        <f t="shared" si="588"/>
        <v>1626.1</v>
      </c>
      <c r="BG485" s="4152">
        <f t="shared" si="575"/>
        <v>0</v>
      </c>
      <c r="BH485" s="4152">
        <f t="shared" si="576"/>
        <v>0</v>
      </c>
      <c r="BI485" s="4152"/>
      <c r="BJ485" s="4152">
        <f t="shared" si="577"/>
        <v>0</v>
      </c>
      <c r="BK485" s="4152">
        <f t="shared" si="578"/>
        <v>0</v>
      </c>
    </row>
    <row r="486" spans="1:63" x14ac:dyDescent="0.25">
      <c r="A486" s="90"/>
      <c r="B486" s="8" t="s">
        <v>1893</v>
      </c>
      <c r="C486" s="7337" t="s">
        <v>50</v>
      </c>
      <c r="D486" s="148"/>
      <c r="E486" s="727"/>
      <c r="F486" s="2237"/>
      <c r="G486" s="727"/>
      <c r="H486" s="5568"/>
      <c r="I486" s="3910"/>
      <c r="J486" s="7310">
        <f t="shared" si="560"/>
        <v>0</v>
      </c>
      <c r="K486" s="727"/>
      <c r="L486" s="5680"/>
      <c r="M486" s="3923"/>
      <c r="N486" s="7301">
        <f t="shared" si="561"/>
        <v>0</v>
      </c>
      <c r="O486" s="727"/>
      <c r="P486" s="5837"/>
      <c r="Q486" s="3910"/>
      <c r="R486" s="7310">
        <f t="shared" si="562"/>
        <v>0</v>
      </c>
      <c r="S486" s="727"/>
      <c r="T486" s="5893"/>
      <c r="U486" s="3910"/>
      <c r="V486" s="7310">
        <f t="shared" si="563"/>
        <v>0</v>
      </c>
      <c r="W486" s="727"/>
      <c r="X486" s="6007"/>
      <c r="Y486" s="3923"/>
      <c r="Z486" s="7301">
        <f t="shared" si="564"/>
        <v>0</v>
      </c>
      <c r="AA486" s="7423"/>
      <c r="AB486" s="7302">
        <f t="shared" si="565"/>
        <v>0</v>
      </c>
      <c r="AC486" s="727"/>
      <c r="AD486" s="6138"/>
      <c r="AE486" s="3910"/>
      <c r="AF486" s="7310">
        <f t="shared" si="566"/>
        <v>0</v>
      </c>
      <c r="AG486" s="727"/>
      <c r="AH486" s="6300">
        <v>190.3</v>
      </c>
      <c r="AI486" s="3910"/>
      <c r="AJ486" s="7310">
        <f t="shared" si="585"/>
        <v>190.3</v>
      </c>
      <c r="AK486" s="727"/>
      <c r="AL486" s="6549"/>
      <c r="AM486" s="3923"/>
      <c r="AN486" s="7301">
        <f t="shared" si="568"/>
        <v>190.3</v>
      </c>
      <c r="AO486" s="3910"/>
      <c r="AP486" s="7310">
        <f t="shared" si="569"/>
        <v>190.3</v>
      </c>
      <c r="AQ486" s="727"/>
      <c r="AR486" s="6643"/>
      <c r="AS486" s="3910"/>
      <c r="AT486" s="7310">
        <f t="shared" si="586"/>
        <v>190.3</v>
      </c>
      <c r="AU486" s="727"/>
      <c r="AV486" s="6815"/>
      <c r="AW486" s="3910"/>
      <c r="AX486" s="7310">
        <f t="shared" si="587"/>
        <v>190.3</v>
      </c>
      <c r="AY486" s="727"/>
      <c r="AZ486" s="6957"/>
      <c r="BA486" s="3923"/>
      <c r="BB486" s="7301">
        <f t="shared" si="584"/>
        <v>0</v>
      </c>
      <c r="BC486" s="7423"/>
      <c r="BD486" s="7302">
        <f t="shared" si="573"/>
        <v>190.3</v>
      </c>
      <c r="BE486" s="3910"/>
      <c r="BF486" s="7310">
        <f t="shared" si="588"/>
        <v>190.3</v>
      </c>
      <c r="BG486" s="4152">
        <f t="shared" si="575"/>
        <v>0</v>
      </c>
      <c r="BH486" s="4152">
        <f t="shared" si="576"/>
        <v>0</v>
      </c>
      <c r="BI486" s="4152"/>
      <c r="BJ486" s="4152">
        <f t="shared" si="577"/>
        <v>0</v>
      </c>
      <c r="BK486" s="4152">
        <f t="shared" si="578"/>
        <v>0</v>
      </c>
    </row>
    <row r="487" spans="1:63" ht="15" customHeight="1" x14ac:dyDescent="0.25">
      <c r="A487" s="90"/>
      <c r="B487" s="8" t="s">
        <v>1537</v>
      </c>
      <c r="C487" s="7337" t="s">
        <v>50</v>
      </c>
      <c r="D487" s="148"/>
      <c r="E487" s="727"/>
      <c r="F487" s="2237"/>
      <c r="G487" s="727"/>
      <c r="H487" s="5568"/>
      <c r="I487" s="3910"/>
      <c r="J487" s="7310">
        <f t="shared" si="560"/>
        <v>0</v>
      </c>
      <c r="K487" s="727"/>
      <c r="L487" s="5680"/>
      <c r="M487" s="3923"/>
      <c r="N487" s="7301">
        <f t="shared" si="561"/>
        <v>0</v>
      </c>
      <c r="O487" s="727"/>
      <c r="P487" s="5837"/>
      <c r="Q487" s="3910"/>
      <c r="R487" s="7310">
        <f t="shared" si="562"/>
        <v>0</v>
      </c>
      <c r="S487" s="727"/>
      <c r="T487" s="5893"/>
      <c r="U487" s="3910"/>
      <c r="V487" s="7310">
        <f t="shared" si="563"/>
        <v>0</v>
      </c>
      <c r="W487" s="727"/>
      <c r="X487" s="6007"/>
      <c r="Y487" s="3923"/>
      <c r="Z487" s="7301">
        <f t="shared" si="564"/>
        <v>0</v>
      </c>
      <c r="AA487" s="7423"/>
      <c r="AB487" s="7302">
        <f t="shared" si="565"/>
        <v>0</v>
      </c>
      <c r="AC487" s="727"/>
      <c r="AD487" s="6138"/>
      <c r="AE487" s="3910"/>
      <c r="AF487" s="7310">
        <f t="shared" si="566"/>
        <v>0</v>
      </c>
      <c r="AG487" s="727"/>
      <c r="AH487" s="6300"/>
      <c r="AI487" s="3910"/>
      <c r="AJ487" s="7310">
        <f t="shared" si="585"/>
        <v>0</v>
      </c>
      <c r="AK487" s="727"/>
      <c r="AL487" s="6549"/>
      <c r="AM487" s="3923"/>
      <c r="AN487" s="7301">
        <f t="shared" si="568"/>
        <v>0</v>
      </c>
      <c r="AO487" s="3910"/>
      <c r="AP487" s="7310">
        <f t="shared" si="569"/>
        <v>0</v>
      </c>
      <c r="AQ487" s="727"/>
      <c r="AR487" s="6643"/>
      <c r="AS487" s="3910"/>
      <c r="AT487" s="7310">
        <f t="shared" si="586"/>
        <v>0</v>
      </c>
      <c r="AU487" s="727"/>
      <c r="AV487" s="6815"/>
      <c r="AW487" s="3910"/>
      <c r="AX487" s="7310">
        <f t="shared" si="587"/>
        <v>0</v>
      </c>
      <c r="AY487" s="727"/>
      <c r="AZ487" s="6957"/>
      <c r="BA487" s="3923"/>
      <c r="BB487" s="7301">
        <f t="shared" si="584"/>
        <v>0</v>
      </c>
      <c r="BC487" s="7423"/>
      <c r="BD487" s="7302">
        <f t="shared" si="573"/>
        <v>0</v>
      </c>
      <c r="BE487" s="3910"/>
      <c r="BF487" s="7310">
        <f t="shared" si="588"/>
        <v>0</v>
      </c>
      <c r="BG487" s="4152">
        <f t="shared" si="575"/>
        <v>0</v>
      </c>
      <c r="BH487" s="4152">
        <f t="shared" si="576"/>
        <v>0</v>
      </c>
      <c r="BI487" s="4152"/>
      <c r="BJ487" s="4152">
        <f t="shared" si="577"/>
        <v>0</v>
      </c>
      <c r="BK487" s="4152">
        <f t="shared" si="578"/>
        <v>0</v>
      </c>
    </row>
    <row r="488" spans="1:63" x14ac:dyDescent="0.25">
      <c r="A488" s="144"/>
      <c r="B488" s="8" t="s">
        <v>524</v>
      </c>
      <c r="C488" s="7337" t="s">
        <v>50</v>
      </c>
      <c r="D488" s="148"/>
      <c r="E488" s="727"/>
      <c r="F488" s="2237"/>
      <c r="G488" s="727"/>
      <c r="H488" s="5568"/>
      <c r="I488" s="3910"/>
      <c r="J488" s="7310">
        <f t="shared" si="560"/>
        <v>0</v>
      </c>
      <c r="K488" s="727"/>
      <c r="L488" s="5680"/>
      <c r="M488" s="3923"/>
      <c r="N488" s="7301">
        <f t="shared" si="561"/>
        <v>0</v>
      </c>
      <c r="O488" s="727"/>
      <c r="P488" s="5837"/>
      <c r="Q488" s="3910"/>
      <c r="R488" s="7310">
        <f t="shared" si="562"/>
        <v>0</v>
      </c>
      <c r="S488" s="727"/>
      <c r="T488" s="5893"/>
      <c r="U488" s="3910"/>
      <c r="V488" s="7310">
        <f t="shared" si="563"/>
        <v>0</v>
      </c>
      <c r="W488" s="727"/>
      <c r="X488" s="6007"/>
      <c r="Y488" s="3923"/>
      <c r="Z488" s="7301">
        <f t="shared" si="564"/>
        <v>0</v>
      </c>
      <c r="AA488" s="7423"/>
      <c r="AB488" s="7302">
        <f t="shared" si="565"/>
        <v>0</v>
      </c>
      <c r="AC488" s="727"/>
      <c r="AD488" s="6138"/>
      <c r="AE488" s="3910"/>
      <c r="AF488" s="7310">
        <f t="shared" si="566"/>
        <v>0</v>
      </c>
      <c r="AG488" s="727"/>
      <c r="AH488" s="6300"/>
      <c r="AI488" s="3910"/>
      <c r="AJ488" s="7310">
        <f t="shared" si="585"/>
        <v>0</v>
      </c>
      <c r="AK488" s="727"/>
      <c r="AL488" s="6549"/>
      <c r="AM488" s="3923"/>
      <c r="AN488" s="7301">
        <f t="shared" si="568"/>
        <v>0</v>
      </c>
      <c r="AO488" s="3910"/>
      <c r="AP488" s="7310">
        <f t="shared" si="569"/>
        <v>0</v>
      </c>
      <c r="AQ488" s="727"/>
      <c r="AR488" s="6643"/>
      <c r="AS488" s="3910"/>
      <c r="AT488" s="7310">
        <f t="shared" si="586"/>
        <v>0</v>
      </c>
      <c r="AU488" s="727"/>
      <c r="AV488" s="6815"/>
      <c r="AW488" s="3910"/>
      <c r="AX488" s="7310">
        <f t="shared" si="587"/>
        <v>0</v>
      </c>
      <c r="AY488" s="727"/>
      <c r="AZ488" s="6957"/>
      <c r="BA488" s="3923"/>
      <c r="BB488" s="7301">
        <f t="shared" si="584"/>
        <v>0</v>
      </c>
      <c r="BC488" s="7423"/>
      <c r="BD488" s="7302">
        <f t="shared" si="573"/>
        <v>0</v>
      </c>
      <c r="BE488" s="3910"/>
      <c r="BF488" s="7310">
        <f t="shared" si="588"/>
        <v>0</v>
      </c>
      <c r="BG488" s="4152">
        <f t="shared" si="575"/>
        <v>0</v>
      </c>
      <c r="BH488" s="4152">
        <f t="shared" si="576"/>
        <v>0</v>
      </c>
      <c r="BI488" s="4152"/>
      <c r="BJ488" s="4152">
        <f t="shared" si="577"/>
        <v>0</v>
      </c>
      <c r="BK488" s="4152">
        <f t="shared" si="578"/>
        <v>0</v>
      </c>
    </row>
    <row r="489" spans="1:63" x14ac:dyDescent="0.25">
      <c r="A489" s="90"/>
      <c r="B489" s="8" t="s">
        <v>681</v>
      </c>
      <c r="C489" s="7337" t="s">
        <v>50</v>
      </c>
      <c r="D489" s="148"/>
      <c r="E489" s="727"/>
      <c r="F489" s="2237"/>
      <c r="G489" s="727"/>
      <c r="H489" s="5568">
        <v>2079.3999999999996</v>
      </c>
      <c r="I489" s="3910"/>
      <c r="J489" s="7310">
        <f t="shared" si="560"/>
        <v>2079.3999999999996</v>
      </c>
      <c r="K489" s="727"/>
      <c r="L489" s="5680"/>
      <c r="M489" s="3923"/>
      <c r="N489" s="7301">
        <f t="shared" si="561"/>
        <v>2079.3999999999996</v>
      </c>
      <c r="O489" s="727"/>
      <c r="P489" s="5837"/>
      <c r="Q489" s="3910"/>
      <c r="R489" s="7310">
        <f t="shared" si="562"/>
        <v>2079.3999999999996</v>
      </c>
      <c r="S489" s="727"/>
      <c r="T489" s="5893">
        <v>5383.21</v>
      </c>
      <c r="U489" s="3910"/>
      <c r="V489" s="7310">
        <f t="shared" si="563"/>
        <v>7462.61</v>
      </c>
      <c r="W489" s="727"/>
      <c r="X489" s="6007">
        <v>371.69000000000005</v>
      </c>
      <c r="Y489" s="3923"/>
      <c r="Z489" s="7301">
        <f t="shared" si="564"/>
        <v>5754.9</v>
      </c>
      <c r="AA489" s="7423"/>
      <c r="AB489" s="7302">
        <f t="shared" si="565"/>
        <v>7834.2999999999993</v>
      </c>
      <c r="AC489" s="727"/>
      <c r="AD489" s="6138">
        <v>7791.2599999999966</v>
      </c>
      <c r="AE489" s="3910"/>
      <c r="AF489" s="7310">
        <f t="shared" si="566"/>
        <v>15625.559999999996</v>
      </c>
      <c r="AG489" s="727"/>
      <c r="AH489" s="6300">
        <v>1196.5999999999999</v>
      </c>
      <c r="AI489" s="3910"/>
      <c r="AJ489" s="7310">
        <f t="shared" si="585"/>
        <v>16822.159999999996</v>
      </c>
      <c r="AK489" s="727"/>
      <c r="AL489" s="6549"/>
      <c r="AM489" s="3923"/>
      <c r="AN489" s="7301">
        <f t="shared" si="568"/>
        <v>8987.8599999999969</v>
      </c>
      <c r="AO489" s="3910"/>
      <c r="AP489" s="7310">
        <f t="shared" si="569"/>
        <v>16822.159999999996</v>
      </c>
      <c r="AQ489" s="727"/>
      <c r="AR489" s="6643"/>
      <c r="AS489" s="3910"/>
      <c r="AT489" s="7310">
        <f t="shared" si="586"/>
        <v>16822.159999999996</v>
      </c>
      <c r="AU489" s="727"/>
      <c r="AV489" s="6815"/>
      <c r="AW489" s="3910"/>
      <c r="AX489" s="7310">
        <f t="shared" si="587"/>
        <v>16822.159999999996</v>
      </c>
      <c r="AY489" s="727"/>
      <c r="AZ489" s="6957"/>
      <c r="BA489" s="3923"/>
      <c r="BB489" s="7301">
        <f t="shared" si="584"/>
        <v>0</v>
      </c>
      <c r="BC489" s="7423"/>
      <c r="BD489" s="7302">
        <f t="shared" si="573"/>
        <v>8987.8599999999969</v>
      </c>
      <c r="BE489" s="3910"/>
      <c r="BF489" s="7310">
        <f t="shared" si="588"/>
        <v>16822.159999999996</v>
      </c>
      <c r="BG489" s="4152">
        <f t="shared" si="575"/>
        <v>0</v>
      </c>
      <c r="BH489" s="4152">
        <f t="shared" si="576"/>
        <v>0</v>
      </c>
      <c r="BI489" s="4152"/>
      <c r="BJ489" s="4152">
        <f t="shared" si="577"/>
        <v>0</v>
      </c>
      <c r="BK489" s="4152">
        <f t="shared" si="578"/>
        <v>0</v>
      </c>
    </row>
    <row r="490" spans="1:63" x14ac:dyDescent="0.25">
      <c r="A490" s="90"/>
      <c r="B490" s="8" t="s">
        <v>682</v>
      </c>
      <c r="C490" s="7337" t="s">
        <v>50</v>
      </c>
      <c r="D490" s="148"/>
      <c r="E490" s="727"/>
      <c r="F490" s="2237"/>
      <c r="G490" s="727"/>
      <c r="H490" s="5568"/>
      <c r="I490" s="3910"/>
      <c r="J490" s="7310">
        <f t="shared" si="560"/>
        <v>0</v>
      </c>
      <c r="K490" s="727"/>
      <c r="L490" s="5680"/>
      <c r="M490" s="3923"/>
      <c r="N490" s="7301">
        <f t="shared" si="561"/>
        <v>0</v>
      </c>
      <c r="O490" s="727"/>
      <c r="P490" s="5837"/>
      <c r="Q490" s="3910"/>
      <c r="R490" s="7310">
        <f t="shared" si="562"/>
        <v>0</v>
      </c>
      <c r="S490" s="727"/>
      <c r="T490" s="5893"/>
      <c r="U490" s="3910"/>
      <c r="V490" s="7310">
        <f t="shared" si="563"/>
        <v>0</v>
      </c>
      <c r="W490" s="727"/>
      <c r="X490" s="6007"/>
      <c r="Y490" s="3923"/>
      <c r="Z490" s="7301">
        <f t="shared" si="564"/>
        <v>0</v>
      </c>
      <c r="AA490" s="7423"/>
      <c r="AB490" s="7302">
        <f t="shared" si="565"/>
        <v>0</v>
      </c>
      <c r="AC490" s="727"/>
      <c r="AD490" s="6138"/>
      <c r="AE490" s="3910"/>
      <c r="AF490" s="7310">
        <f t="shared" si="566"/>
        <v>0</v>
      </c>
      <c r="AG490" s="727"/>
      <c r="AH490" s="6300"/>
      <c r="AI490" s="3910"/>
      <c r="AJ490" s="7310">
        <f t="shared" si="585"/>
        <v>0</v>
      </c>
      <c r="AK490" s="727"/>
      <c r="AL490" s="6549"/>
      <c r="AM490" s="3923"/>
      <c r="AN490" s="7301">
        <f t="shared" si="568"/>
        <v>0</v>
      </c>
      <c r="AO490" s="3910"/>
      <c r="AP490" s="7310">
        <f t="shared" si="569"/>
        <v>0</v>
      </c>
      <c r="AQ490" s="727"/>
      <c r="AR490" s="6643">
        <v>1814.0600000000004</v>
      </c>
      <c r="AS490" s="3910"/>
      <c r="AT490" s="7310">
        <f t="shared" si="586"/>
        <v>1814.0600000000004</v>
      </c>
      <c r="AU490" s="727"/>
      <c r="AV490" s="6815">
        <v>1283.8399999999999</v>
      </c>
      <c r="AW490" s="3910"/>
      <c r="AX490" s="7310">
        <f t="shared" si="587"/>
        <v>3097.9000000000005</v>
      </c>
      <c r="AY490" s="727"/>
      <c r="AZ490" s="6957"/>
      <c r="BA490" s="3923"/>
      <c r="BB490" s="7301">
        <f t="shared" si="584"/>
        <v>3097.9000000000005</v>
      </c>
      <c r="BC490" s="7423"/>
      <c r="BD490" s="7302">
        <f t="shared" si="573"/>
        <v>3097.9000000000005</v>
      </c>
      <c r="BE490" s="3910"/>
      <c r="BF490" s="7310">
        <f t="shared" si="588"/>
        <v>3097.9000000000005</v>
      </c>
      <c r="BG490" s="4152">
        <f t="shared" si="575"/>
        <v>0</v>
      </c>
      <c r="BH490" s="4152">
        <f t="shared" si="576"/>
        <v>0</v>
      </c>
      <c r="BI490" s="4152"/>
      <c r="BJ490" s="4152">
        <f t="shared" si="577"/>
        <v>0</v>
      </c>
      <c r="BK490" s="4152">
        <f t="shared" si="578"/>
        <v>0</v>
      </c>
    </row>
    <row r="491" spans="1:63" x14ac:dyDescent="0.25">
      <c r="A491" s="90"/>
      <c r="B491" s="8" t="s">
        <v>683</v>
      </c>
      <c r="C491" s="7337" t="s">
        <v>50</v>
      </c>
      <c r="D491" s="148"/>
      <c r="E491" s="727"/>
      <c r="F491" s="2237"/>
      <c r="G491" s="727"/>
      <c r="H491" s="5568"/>
      <c r="I491" s="3910"/>
      <c r="J491" s="7310">
        <f t="shared" si="560"/>
        <v>0</v>
      </c>
      <c r="K491" s="727"/>
      <c r="L491" s="5680"/>
      <c r="M491" s="3923"/>
      <c r="N491" s="7301">
        <f t="shared" si="561"/>
        <v>0</v>
      </c>
      <c r="O491" s="727"/>
      <c r="P491" s="5837"/>
      <c r="Q491" s="3910"/>
      <c r="R491" s="7310">
        <f t="shared" si="562"/>
        <v>0</v>
      </c>
      <c r="S491" s="727"/>
      <c r="T491" s="5893"/>
      <c r="U491" s="3910"/>
      <c r="V491" s="7310">
        <f t="shared" si="563"/>
        <v>0</v>
      </c>
      <c r="W491" s="727"/>
      <c r="X491" s="6007"/>
      <c r="Y491" s="3923"/>
      <c r="Z491" s="7301">
        <f t="shared" si="564"/>
        <v>0</v>
      </c>
      <c r="AA491" s="7423"/>
      <c r="AB491" s="7302">
        <f t="shared" si="565"/>
        <v>0</v>
      </c>
      <c r="AC491" s="727"/>
      <c r="AD491" s="6138"/>
      <c r="AE491" s="3910"/>
      <c r="AF491" s="7310">
        <f t="shared" si="566"/>
        <v>0</v>
      </c>
      <c r="AG491" s="727"/>
      <c r="AH491" s="6300"/>
      <c r="AI491" s="3910"/>
      <c r="AJ491" s="7310">
        <f t="shared" si="585"/>
        <v>0</v>
      </c>
      <c r="AK491" s="727"/>
      <c r="AL491" s="6549"/>
      <c r="AM491" s="3923"/>
      <c r="AN491" s="7301">
        <f t="shared" si="568"/>
        <v>0</v>
      </c>
      <c r="AO491" s="3910"/>
      <c r="AP491" s="7310">
        <f t="shared" si="569"/>
        <v>0</v>
      </c>
      <c r="AQ491" s="727"/>
      <c r="AR491" s="6643"/>
      <c r="AS491" s="3910"/>
      <c r="AT491" s="7310">
        <f t="shared" si="586"/>
        <v>0</v>
      </c>
      <c r="AU491" s="727"/>
      <c r="AV491" s="6815"/>
      <c r="AW491" s="3910"/>
      <c r="AX491" s="7310">
        <f t="shared" si="587"/>
        <v>0</v>
      </c>
      <c r="AY491" s="727"/>
      <c r="AZ491" s="6957"/>
      <c r="BA491" s="3923"/>
      <c r="BB491" s="7301">
        <f t="shared" si="584"/>
        <v>0</v>
      </c>
      <c r="BC491" s="7423"/>
      <c r="BD491" s="7302">
        <f t="shared" si="573"/>
        <v>0</v>
      </c>
      <c r="BE491" s="3910"/>
      <c r="BF491" s="7310">
        <f t="shared" si="588"/>
        <v>0</v>
      </c>
      <c r="BG491" s="4152">
        <f t="shared" si="575"/>
        <v>0</v>
      </c>
      <c r="BH491" s="4152">
        <f t="shared" si="576"/>
        <v>0</v>
      </c>
      <c r="BI491" s="4152"/>
      <c r="BJ491" s="4152">
        <f t="shared" si="577"/>
        <v>0</v>
      </c>
      <c r="BK491" s="4152">
        <f t="shared" si="578"/>
        <v>0</v>
      </c>
    </row>
    <row r="492" spans="1:63" ht="20.25" customHeight="1" x14ac:dyDescent="0.25">
      <c r="A492" s="144"/>
      <c r="B492" s="3687" t="s">
        <v>517</v>
      </c>
      <c r="C492" s="194" t="s">
        <v>50</v>
      </c>
      <c r="D492" s="1820">
        <f>+D56</f>
        <v>0</v>
      </c>
      <c r="E492" s="1820"/>
      <c r="F492" s="1820">
        <f>+F475+F481+SUM(F485:F491)</f>
        <v>1625.08</v>
      </c>
      <c r="G492" s="1820"/>
      <c r="H492" s="1820">
        <f>+H475+H481+SUM(H485:H491)</f>
        <v>3019.58</v>
      </c>
      <c r="I492" s="7311"/>
      <c r="J492" s="7310">
        <f t="shared" si="560"/>
        <v>4644.66</v>
      </c>
      <c r="K492" s="1820"/>
      <c r="L492" s="1820">
        <f>+L475+L481+SUM(L485:L491)</f>
        <v>1313.49</v>
      </c>
      <c r="M492" s="7303"/>
      <c r="N492" s="7301">
        <f t="shared" si="561"/>
        <v>5958.15</v>
      </c>
      <c r="O492" s="1820"/>
      <c r="P492" s="1820">
        <f>+P475+P481+SUM(P485:P491)</f>
        <v>844.3</v>
      </c>
      <c r="Q492" s="7311"/>
      <c r="R492" s="7310">
        <f t="shared" si="562"/>
        <v>6802.45</v>
      </c>
      <c r="S492" s="1820"/>
      <c r="T492" s="1820">
        <f>+T475+T481+SUM(T485:T491)</f>
        <v>7871.21</v>
      </c>
      <c r="U492" s="7311"/>
      <c r="V492" s="7310">
        <f t="shared" si="563"/>
        <v>14673.66</v>
      </c>
      <c r="W492" s="1820"/>
      <c r="X492" s="1820">
        <f>+X475+X481+SUM(X485:X491)</f>
        <v>2322.48</v>
      </c>
      <c r="Y492" s="7303"/>
      <c r="Z492" s="7301">
        <f t="shared" si="564"/>
        <v>11037.99</v>
      </c>
      <c r="AA492" s="513"/>
      <c r="AB492" s="7302">
        <f t="shared" si="565"/>
        <v>16996.14</v>
      </c>
      <c r="AC492" s="1820"/>
      <c r="AD492" s="1820">
        <f>+AD475+AD481+SUM(AD485:AD491)</f>
        <v>9987.2199999999957</v>
      </c>
      <c r="AE492" s="7311"/>
      <c r="AF492" s="7310">
        <f t="shared" si="566"/>
        <v>26983.359999999993</v>
      </c>
      <c r="AG492" s="1820"/>
      <c r="AH492" s="1820">
        <f>+AH475+AH481+SUM(AH485:AH491)</f>
        <v>1706.6599999999999</v>
      </c>
      <c r="AI492" s="7311"/>
      <c r="AJ492" s="7311">
        <f t="shared" si="585"/>
        <v>28690.019999999993</v>
      </c>
      <c r="AK492" s="1820"/>
      <c r="AL492" s="1820">
        <f>+AL475+AL481+SUM(AL485:AL491)</f>
        <v>703.34</v>
      </c>
      <c r="AM492" s="7303"/>
      <c r="AN492" s="7303">
        <f t="shared" si="568"/>
        <v>12397.219999999996</v>
      </c>
      <c r="AO492" s="7311"/>
      <c r="AP492" s="7311">
        <f t="shared" si="569"/>
        <v>29393.359999999993</v>
      </c>
      <c r="AQ492" s="1820"/>
      <c r="AR492" s="1820">
        <f>+AR475+AR481+SUM(AR485:AR491)</f>
        <v>3741.46</v>
      </c>
      <c r="AS492" s="7311"/>
      <c r="AT492" s="7311">
        <f t="shared" si="586"/>
        <v>33134.819999999992</v>
      </c>
      <c r="AU492" s="1820"/>
      <c r="AV492" s="1820">
        <f>+AV475+AV481+SUM(AV485:AV491)</f>
        <v>4268.09</v>
      </c>
      <c r="AW492" s="7311"/>
      <c r="AX492" s="7311">
        <f t="shared" si="587"/>
        <v>37402.909999999989</v>
      </c>
      <c r="AY492" s="1820"/>
      <c r="AZ492" s="1820">
        <f>+AZ475+AZ481+SUM(AZ485:AZ491)</f>
        <v>3904.67</v>
      </c>
      <c r="BA492" s="7303"/>
      <c r="BB492" s="7303">
        <f>AR492+AV492+AZ492</f>
        <v>11914.220000000001</v>
      </c>
      <c r="BC492" s="513"/>
      <c r="BD492" s="513">
        <f t="shared" si="573"/>
        <v>24311.439999999995</v>
      </c>
      <c r="BE492" s="7311"/>
      <c r="BF492" s="7311">
        <f t="shared" si="588"/>
        <v>41307.579999999987</v>
      </c>
      <c r="BG492" s="4152">
        <f t="shared" si="575"/>
        <v>0</v>
      </c>
      <c r="BH492" s="4152">
        <f t="shared" si="576"/>
        <v>0</v>
      </c>
      <c r="BI492" s="4152"/>
      <c r="BJ492" s="4152">
        <f t="shared" si="577"/>
        <v>0</v>
      </c>
      <c r="BK492" s="4152">
        <f t="shared" si="578"/>
        <v>0</v>
      </c>
    </row>
    <row r="493" spans="1:63" ht="21" customHeight="1" thickBot="1" x14ac:dyDescent="0.3">
      <c r="A493" s="90"/>
      <c r="B493" s="1626" t="s">
        <v>518</v>
      </c>
      <c r="C493" s="2315" t="s">
        <v>50</v>
      </c>
      <c r="D493" s="3788">
        <f>+D37</f>
        <v>350000</v>
      </c>
      <c r="E493" s="3788">
        <f>+E37</f>
        <v>20999.957109341791</v>
      </c>
      <c r="F493" s="3788">
        <f>+F473+F492+F436</f>
        <v>32106.710000000003</v>
      </c>
      <c r="G493" s="5571">
        <f>+G37</f>
        <v>48499.576671657102</v>
      </c>
      <c r="H493" s="5571">
        <f>+H473+H492</f>
        <v>53035.109999999986</v>
      </c>
      <c r="I493" s="7317">
        <f>+I37</f>
        <v>69499.5337809989</v>
      </c>
      <c r="J493" s="7310">
        <f t="shared" si="560"/>
        <v>85141.819999999992</v>
      </c>
      <c r="K493" s="5691">
        <f>+K37</f>
        <v>48000.110883115201</v>
      </c>
      <c r="L493" s="5691">
        <f>+L473+L492</f>
        <v>51100.019999999982</v>
      </c>
      <c r="M493" s="7322">
        <f>E493+G493+K493</f>
        <v>117499.64466411411</v>
      </c>
      <c r="N493" s="7301">
        <f t="shared" si="561"/>
        <v>136241.83999999997</v>
      </c>
      <c r="O493" s="5848">
        <f>+O37</f>
        <v>43500.141355320899</v>
      </c>
      <c r="P493" s="5848">
        <f>+P473+P492</f>
        <v>58059.210000000014</v>
      </c>
      <c r="Q493" s="7317">
        <f>+Q37</f>
        <v>160999.78601943501</v>
      </c>
      <c r="R493" s="7310">
        <f t="shared" si="562"/>
        <v>194301.05</v>
      </c>
      <c r="S493" s="5899">
        <f>+S37</f>
        <v>43500.141355320899</v>
      </c>
      <c r="T493" s="5899">
        <f>+T473+T492</f>
        <v>69977.000000000015</v>
      </c>
      <c r="U493" s="7317">
        <f>+U37</f>
        <v>204499.92737475591</v>
      </c>
      <c r="V493" s="7310">
        <f t="shared" si="563"/>
        <v>264278.05</v>
      </c>
      <c r="W493" s="6014">
        <f>+W37</f>
        <v>15300.0147648532</v>
      </c>
      <c r="X493" s="6014">
        <f>+X473+X492</f>
        <v>55600.530000000006</v>
      </c>
      <c r="Y493" s="7322">
        <f>O493+S493+W493</f>
        <v>102300.297475495</v>
      </c>
      <c r="Z493" s="7301">
        <f t="shared" si="564"/>
        <v>183636.74000000002</v>
      </c>
      <c r="AA493" s="7319">
        <f>M493+Y493</f>
        <v>219799.94213960911</v>
      </c>
      <c r="AB493" s="7302">
        <f t="shared" si="565"/>
        <v>319878.57999999996</v>
      </c>
      <c r="AC493" s="6147">
        <f>+AC37</f>
        <v>48999.528159756301</v>
      </c>
      <c r="AD493" s="6147">
        <f>+AD473+AD492</f>
        <v>59301.279999999992</v>
      </c>
      <c r="AE493" s="7317">
        <f>+AE37</f>
        <v>268799.47029936541</v>
      </c>
      <c r="AF493" s="7310">
        <f t="shared" si="566"/>
        <v>379179.85999999993</v>
      </c>
      <c r="AG493" s="6309">
        <f>+AG37</f>
        <v>45499.588455674595</v>
      </c>
      <c r="AH493" s="6309">
        <f>+AH473+AH492</f>
        <v>63043.03</v>
      </c>
      <c r="AI493" s="7317">
        <f>+AI37</f>
        <v>314299.05875503999</v>
      </c>
      <c r="AJ493" s="7317">
        <f t="shared" si="585"/>
        <v>442222.8899999999</v>
      </c>
      <c r="AK493" s="6555">
        <f>+AK37</f>
        <v>46000.054244216401</v>
      </c>
      <c r="AL493" s="6555">
        <f>+AL473+AL492</f>
        <v>54506.650000000009</v>
      </c>
      <c r="AM493" s="7322">
        <f>AC493+AG493+AK493</f>
        <v>140499.17085964727</v>
      </c>
      <c r="AN493" s="7322">
        <f t="shared" si="568"/>
        <v>176850.96000000002</v>
      </c>
      <c r="AO493" s="7317">
        <f t="shared" si="569"/>
        <v>360299.11299925641</v>
      </c>
      <c r="AP493" s="7317">
        <f t="shared" si="569"/>
        <v>496729.53999999992</v>
      </c>
      <c r="AQ493" s="6654">
        <f>+AQ37</f>
        <v>48499.664678463945</v>
      </c>
      <c r="AR493" s="6654">
        <f>+AR473+AR492</f>
        <v>42005.04</v>
      </c>
      <c r="AS493" s="7317">
        <f>+AS37</f>
        <v>408798.77767772035</v>
      </c>
      <c r="AT493" s="7317">
        <f t="shared" si="586"/>
        <v>538734.57999999996</v>
      </c>
      <c r="AU493" s="6820">
        <f>+AU37</f>
        <v>41500.010429203743</v>
      </c>
      <c r="AV493" s="6820">
        <f>+AV473+AV492</f>
        <v>18645.099999999999</v>
      </c>
      <c r="AW493" s="7317">
        <f>+AW37</f>
        <v>450298.7881069241</v>
      </c>
      <c r="AX493" s="7317">
        <f t="shared" si="587"/>
        <v>557379.67999999993</v>
      </c>
      <c r="AY493" s="6963">
        <f>+AY37</f>
        <v>46999.690762923987</v>
      </c>
      <c r="AZ493" s="6963">
        <f>AZ436+AZ473+AZ492</f>
        <v>42863.76</v>
      </c>
      <c r="BA493" s="7322">
        <f>AQ493+AU493+AY493</f>
        <v>136999.36587059166</v>
      </c>
      <c r="BB493" s="7322">
        <f t="shared" ref="BB493" si="591">AR493+AV493+AZ493</f>
        <v>103513.9</v>
      </c>
      <c r="BC493" s="513">
        <f>AM493+BA493</f>
        <v>277498.53673023893</v>
      </c>
      <c r="BD493" s="7319">
        <f t="shared" si="573"/>
        <v>280364.86</v>
      </c>
      <c r="BE493" s="7317">
        <f>+BE37</f>
        <v>497298.47886984807</v>
      </c>
      <c r="BF493" s="7317">
        <f t="shared" si="588"/>
        <v>600243.43999999994</v>
      </c>
      <c r="BG493" s="4152">
        <f t="shared" si="575"/>
        <v>0</v>
      </c>
      <c r="BH493" s="4152">
        <f t="shared" si="576"/>
        <v>0</v>
      </c>
      <c r="BI493" s="4152"/>
      <c r="BJ493" s="4152">
        <f t="shared" si="577"/>
        <v>0</v>
      </c>
      <c r="BK493" s="4152">
        <f t="shared" si="578"/>
        <v>0</v>
      </c>
    </row>
    <row r="494" spans="1:63" ht="15" customHeight="1" x14ac:dyDescent="0.25">
      <c r="A494" s="7965"/>
      <c r="B494" s="2398"/>
      <c r="C494" s="2398"/>
      <c r="D494" s="2398"/>
      <c r="E494" s="2398"/>
      <c r="F494" s="2398"/>
      <c r="G494" s="2398"/>
      <c r="H494" s="2398"/>
      <c r="I494" s="7362"/>
      <c r="J494" s="7310">
        <f t="shared" si="560"/>
        <v>0</v>
      </c>
      <c r="K494" s="2398"/>
      <c r="L494" s="2398"/>
      <c r="M494" s="2399"/>
      <c r="N494" s="7301">
        <f t="shared" si="561"/>
        <v>0</v>
      </c>
      <c r="O494" s="2398"/>
      <c r="P494" s="2398"/>
      <c r="Q494" s="7362"/>
      <c r="R494" s="7310">
        <f t="shared" si="562"/>
        <v>0</v>
      </c>
      <c r="S494" s="2398"/>
      <c r="T494" s="2398"/>
      <c r="U494" s="7362"/>
      <c r="V494" s="7310">
        <f t="shared" si="563"/>
        <v>0</v>
      </c>
      <c r="W494" s="2398"/>
      <c r="X494" s="2398"/>
      <c r="Y494" s="2399"/>
      <c r="Z494" s="7301">
        <f t="shared" si="564"/>
        <v>0</v>
      </c>
      <c r="AA494" s="7424"/>
      <c r="AB494" s="7302">
        <f t="shared" si="565"/>
        <v>0</v>
      </c>
      <c r="AC494" s="2398"/>
      <c r="AD494" s="2398"/>
      <c r="AE494" s="7362"/>
      <c r="AF494" s="7310">
        <f t="shared" si="566"/>
        <v>0</v>
      </c>
      <c r="AG494" s="2398"/>
      <c r="AH494" s="2398"/>
      <c r="AK494" s="2398"/>
      <c r="AL494" s="2398"/>
      <c r="AM494" s="2399"/>
      <c r="AN494" s="2399"/>
      <c r="AQ494" s="2398"/>
      <c r="AR494" s="2398"/>
      <c r="AU494" s="2398"/>
      <c r="AV494" s="2398"/>
      <c r="AY494" s="2398"/>
      <c r="AZ494" s="2398"/>
      <c r="BA494" s="2399"/>
      <c r="BB494" s="2399"/>
      <c r="BC494" s="7424"/>
      <c r="BD494" s="7424"/>
      <c r="BG494" s="4152">
        <f t="shared" si="575"/>
        <v>0</v>
      </c>
      <c r="BH494" s="4152">
        <f t="shared" si="576"/>
        <v>0</v>
      </c>
      <c r="BI494" s="4152"/>
      <c r="BJ494" s="4152">
        <f t="shared" si="577"/>
        <v>0</v>
      </c>
      <c r="BK494" s="4152">
        <f t="shared" si="578"/>
        <v>0</v>
      </c>
    </row>
    <row r="495" spans="1:63" ht="15" customHeight="1" x14ac:dyDescent="0.25">
      <c r="A495" s="7965"/>
      <c r="B495" s="610"/>
      <c r="C495" s="610"/>
      <c r="D495" s="610"/>
      <c r="E495" s="610"/>
      <c r="F495" s="610"/>
      <c r="G495" s="610"/>
      <c r="H495" s="610"/>
      <c r="I495" s="820"/>
      <c r="J495" s="7310">
        <f t="shared" si="560"/>
        <v>0</v>
      </c>
      <c r="K495" s="610"/>
      <c r="L495" s="610"/>
      <c r="M495" s="821"/>
      <c r="N495" s="7301">
        <f t="shared" si="561"/>
        <v>0</v>
      </c>
      <c r="O495" s="610"/>
      <c r="P495" s="610"/>
      <c r="Q495" s="820"/>
      <c r="R495" s="7310">
        <f t="shared" si="562"/>
        <v>0</v>
      </c>
      <c r="S495" s="610"/>
      <c r="T495" s="610"/>
      <c r="U495" s="820"/>
      <c r="V495" s="7310">
        <f t="shared" si="563"/>
        <v>0</v>
      </c>
      <c r="W495" s="610"/>
      <c r="X495" s="610"/>
      <c r="Y495" s="821"/>
      <c r="Z495" s="7301">
        <f t="shared" si="564"/>
        <v>0</v>
      </c>
      <c r="AA495" s="7401"/>
      <c r="AB495" s="7302">
        <f t="shared" si="565"/>
        <v>0</v>
      </c>
      <c r="AC495" s="610"/>
      <c r="AD495" s="610"/>
      <c r="AE495" s="820"/>
      <c r="AF495" s="7310">
        <f t="shared" si="566"/>
        <v>0</v>
      </c>
      <c r="AG495" s="610"/>
      <c r="AH495" s="610"/>
      <c r="AK495" s="610"/>
      <c r="AL495" s="610"/>
      <c r="AM495" s="821"/>
      <c r="AN495" s="821"/>
      <c r="AQ495" s="610"/>
      <c r="AR495" s="610"/>
      <c r="AU495" s="610"/>
      <c r="AV495" s="610"/>
      <c r="AY495" s="610"/>
      <c r="AZ495" s="610"/>
      <c r="BA495" s="821"/>
      <c r="BB495" s="821"/>
      <c r="BC495" s="7401"/>
      <c r="BD495" s="7401"/>
      <c r="BG495" s="4152">
        <f t="shared" si="575"/>
        <v>0</v>
      </c>
      <c r="BH495" s="4152">
        <f t="shared" si="576"/>
        <v>0</v>
      </c>
      <c r="BI495" s="4152"/>
      <c r="BJ495" s="4152">
        <f t="shared" si="577"/>
        <v>0</v>
      </c>
      <c r="BK495" s="4152">
        <f t="shared" si="578"/>
        <v>0</v>
      </c>
    </row>
    <row r="496" spans="1:63" ht="15" customHeight="1" x14ac:dyDescent="0.25">
      <c r="A496" s="7965"/>
      <c r="B496" s="610" t="s">
        <v>1064</v>
      </c>
      <c r="C496" s="610"/>
      <c r="D496" s="610"/>
      <c r="E496" s="1259">
        <f>+E493-E37</f>
        <v>0</v>
      </c>
      <c r="F496" s="1259">
        <f>+F493-F37</f>
        <v>0</v>
      </c>
      <c r="G496" s="1259">
        <f>+G493-G37</f>
        <v>0</v>
      </c>
      <c r="H496" s="1259">
        <f>+H493-H37</f>
        <v>0</v>
      </c>
      <c r="I496" s="3861">
        <f>+I493-I37</f>
        <v>0</v>
      </c>
      <c r="J496" s="7310">
        <f t="shared" si="560"/>
        <v>0</v>
      </c>
      <c r="K496" s="1259">
        <f>+K493-K37</f>
        <v>0</v>
      </c>
      <c r="L496" s="1259">
        <f>+L493-L37</f>
        <v>0</v>
      </c>
      <c r="M496" s="1616">
        <f>+M493-M37</f>
        <v>0</v>
      </c>
      <c r="N496" s="7301">
        <f t="shared" si="561"/>
        <v>0</v>
      </c>
      <c r="O496" s="1259">
        <f>+O493-O37</f>
        <v>0</v>
      </c>
      <c r="P496" s="1259">
        <f>+P493-P37</f>
        <v>0</v>
      </c>
      <c r="Q496" s="3861">
        <f>+Q493-Q37</f>
        <v>0</v>
      </c>
      <c r="R496" s="7310">
        <f t="shared" si="562"/>
        <v>0</v>
      </c>
      <c r="S496" s="1259">
        <f>+S493-S37</f>
        <v>0</v>
      </c>
      <c r="T496" s="1259">
        <f>+T493-T37</f>
        <v>4.0000000008149073E-2</v>
      </c>
      <c r="U496" s="3861">
        <f>+U493-U37</f>
        <v>0</v>
      </c>
      <c r="V496" s="7310">
        <f t="shared" si="563"/>
        <v>4.0000000008149073E-2</v>
      </c>
      <c r="W496" s="1259">
        <f>+W493-W37</f>
        <v>0</v>
      </c>
      <c r="X496" s="1259">
        <f>+X493-X37</f>
        <v>0</v>
      </c>
      <c r="Y496" s="1616">
        <f>+Y493-Y37</f>
        <v>0</v>
      </c>
      <c r="Z496" s="7301">
        <f t="shared" si="564"/>
        <v>4.0000000008149073E-2</v>
      </c>
      <c r="AA496" s="7425">
        <f>+AA493-AA37</f>
        <v>0</v>
      </c>
      <c r="AB496" s="7302">
        <f t="shared" si="565"/>
        <v>4.0000000008149073E-2</v>
      </c>
      <c r="AC496" s="1259">
        <f>+AC493-AC37</f>
        <v>0</v>
      </c>
      <c r="AD496" s="1259">
        <f>+AD493-AD37</f>
        <v>0</v>
      </c>
      <c r="AE496" s="3861">
        <f>+AE493-AE37</f>
        <v>0</v>
      </c>
      <c r="AF496" s="7310">
        <f t="shared" si="566"/>
        <v>4.0000000008149073E-2</v>
      </c>
      <c r="AG496" s="1259">
        <f t="shared" ref="AG496:BF496" si="592">+AG493-AG37</f>
        <v>0</v>
      </c>
      <c r="AH496" s="1259">
        <f t="shared" si="592"/>
        <v>0</v>
      </c>
      <c r="AI496" s="3861">
        <f t="shared" si="592"/>
        <v>0</v>
      </c>
      <c r="AJ496" s="3861">
        <f t="shared" si="592"/>
        <v>3.9999999920837581E-2</v>
      </c>
      <c r="AK496" s="1259">
        <f t="shared" si="592"/>
        <v>0</v>
      </c>
      <c r="AL496" s="1259">
        <f t="shared" si="592"/>
        <v>0</v>
      </c>
      <c r="AM496" s="1616">
        <f t="shared" si="592"/>
        <v>0</v>
      </c>
      <c r="AN496" s="1616">
        <f t="shared" si="592"/>
        <v>0</v>
      </c>
      <c r="AO496" s="3861">
        <f t="shared" si="592"/>
        <v>0</v>
      </c>
      <c r="AP496" s="3861">
        <f t="shared" si="592"/>
        <v>3.9999999920837581E-2</v>
      </c>
      <c r="AQ496" s="1259">
        <f t="shared" si="592"/>
        <v>0</v>
      </c>
      <c r="AR496" s="1259">
        <f t="shared" si="592"/>
        <v>0</v>
      </c>
      <c r="AS496" s="3861">
        <f t="shared" si="592"/>
        <v>0</v>
      </c>
      <c r="AT496" s="3861">
        <f t="shared" si="592"/>
        <v>3.9999999920837581E-2</v>
      </c>
      <c r="AU496" s="1259">
        <f t="shared" si="592"/>
        <v>0</v>
      </c>
      <c r="AV496" s="1259">
        <f t="shared" si="592"/>
        <v>3.9999999997235136E-2</v>
      </c>
      <c r="AW496" s="3861">
        <f t="shared" si="592"/>
        <v>0</v>
      </c>
      <c r="AX496" s="3861">
        <f t="shared" si="592"/>
        <v>7.9999999841675162E-2</v>
      </c>
      <c r="AY496" s="1259">
        <f t="shared" si="592"/>
        <v>0</v>
      </c>
      <c r="AZ496" s="1259">
        <f t="shared" si="592"/>
        <v>0</v>
      </c>
      <c r="BA496" s="1616">
        <f t="shared" si="592"/>
        <v>0</v>
      </c>
      <c r="BB496" s="1616">
        <f t="shared" si="592"/>
        <v>3.9999999993597157E-2</v>
      </c>
      <c r="BC496" s="7425">
        <f t="shared" si="592"/>
        <v>0</v>
      </c>
      <c r="BD496" s="7425">
        <f t="shared" si="592"/>
        <v>3.9999999979045242E-2</v>
      </c>
      <c r="BE496" s="3861">
        <f t="shared" si="592"/>
        <v>0</v>
      </c>
      <c r="BF496" s="3861">
        <f t="shared" si="592"/>
        <v>7.9999999841675162E-2</v>
      </c>
      <c r="BG496" s="4152">
        <f t="shared" si="575"/>
        <v>0</v>
      </c>
      <c r="BH496" s="4152">
        <f t="shared" si="576"/>
        <v>1.6370904631912708E-10</v>
      </c>
      <c r="BI496" s="4152"/>
      <c r="BJ496" s="4152">
        <f t="shared" si="577"/>
        <v>0</v>
      </c>
      <c r="BK496" s="4152">
        <f t="shared" si="578"/>
        <v>1.8189894035458565E-11</v>
      </c>
    </row>
    <row r="497" spans="1:63" ht="15" customHeight="1" x14ac:dyDescent="0.25">
      <c r="A497" s="7965"/>
      <c r="B497" s="610"/>
      <c r="C497" s="610"/>
      <c r="D497" s="610"/>
      <c r="E497" s="1259">
        <f>+E493-E91</f>
        <v>0</v>
      </c>
      <c r="F497" s="1259">
        <f>+F493-F93</f>
        <v>0</v>
      </c>
      <c r="G497" s="1259">
        <f>+G493-G91</f>
        <v>0</v>
      </c>
      <c r="H497" s="1259">
        <f>+H493-H93</f>
        <v>0</v>
      </c>
      <c r="I497" s="3861">
        <f>+I493-I91</f>
        <v>0</v>
      </c>
      <c r="J497" s="7310">
        <f t="shared" si="560"/>
        <v>0</v>
      </c>
      <c r="K497" s="1259">
        <f>+K493-K91</f>
        <v>0</v>
      </c>
      <c r="L497" s="1259">
        <f>+L493-L93</f>
        <v>0</v>
      </c>
      <c r="M497" s="1616">
        <f>+M493-M91</f>
        <v>0</v>
      </c>
      <c r="N497" s="7301">
        <f t="shared" si="561"/>
        <v>0</v>
      </c>
      <c r="O497" s="1259">
        <f>+O493-O91</f>
        <v>0</v>
      </c>
      <c r="P497" s="1259">
        <f>+P493-P93</f>
        <v>0</v>
      </c>
      <c r="Q497" s="3861">
        <f>+Q493-Q91</f>
        <v>0</v>
      </c>
      <c r="R497" s="7310">
        <f t="shared" si="562"/>
        <v>0</v>
      </c>
      <c r="S497" s="1259">
        <f>+S493-S91</f>
        <v>0</v>
      </c>
      <c r="T497" s="1259">
        <f>+T493-T93</f>
        <v>4.0000000008149073E-2</v>
      </c>
      <c r="U497" s="3861">
        <f>+U493-U91</f>
        <v>0</v>
      </c>
      <c r="V497" s="7310">
        <f t="shared" si="563"/>
        <v>4.0000000008149073E-2</v>
      </c>
      <c r="W497" s="1259">
        <f>+W493-W91</f>
        <v>0</v>
      </c>
      <c r="X497" s="1259">
        <f>+X493-X93</f>
        <v>0</v>
      </c>
      <c r="Y497" s="1616">
        <f>+Y493-Y91</f>
        <v>0</v>
      </c>
      <c r="Z497" s="7301">
        <f t="shared" si="564"/>
        <v>4.0000000008149073E-2</v>
      </c>
      <c r="AA497" s="7425">
        <f>+AA493-AA91</f>
        <v>0</v>
      </c>
      <c r="AB497" s="7302">
        <f t="shared" si="565"/>
        <v>4.0000000008149073E-2</v>
      </c>
      <c r="AC497" s="1259">
        <f>+AC493-AC91</f>
        <v>0</v>
      </c>
      <c r="AD497" s="1259">
        <f>+AD493-AD93</f>
        <v>0</v>
      </c>
      <c r="AE497" s="3861">
        <f>+AE493-AE91</f>
        <v>0</v>
      </c>
      <c r="AF497" s="7310">
        <f t="shared" si="566"/>
        <v>4.0000000008149073E-2</v>
      </c>
      <c r="AG497" s="1259">
        <f>+AG493-AG91</f>
        <v>0</v>
      </c>
      <c r="AH497" s="1259">
        <f>+AH493-AH93</f>
        <v>0</v>
      </c>
      <c r="AI497" s="3861">
        <f>+AI493-AI91</f>
        <v>0</v>
      </c>
      <c r="AJ497" s="3861">
        <f>+AJ493-AJ93</f>
        <v>3.9999999920837581E-2</v>
      </c>
      <c r="AK497" s="1259">
        <f>+AK493-AK91</f>
        <v>0</v>
      </c>
      <c r="AL497" s="1259">
        <f>+AL493-AL93</f>
        <v>-0.75999999999476131</v>
      </c>
      <c r="AM497" s="1616">
        <f>+AM493-AM91</f>
        <v>0</v>
      </c>
      <c r="AN497" s="1616">
        <f>+AN493-AN93</f>
        <v>-0.7599999999802094</v>
      </c>
      <c r="AO497" s="3861">
        <f>+AO493-AO91</f>
        <v>0</v>
      </c>
      <c r="AP497" s="3861">
        <f>+AP493-AP93</f>
        <v>-0.72000000008847564</v>
      </c>
      <c r="AQ497" s="1259">
        <f>+AQ493-AQ91</f>
        <v>0</v>
      </c>
      <c r="AR497" s="1259">
        <f>+AR493-AR93</f>
        <v>0</v>
      </c>
      <c r="AS497" s="3861">
        <f>+AS493-AS91</f>
        <v>0</v>
      </c>
      <c r="AT497" s="3861">
        <f>+AT493-AT93</f>
        <v>-0.72000000008847564</v>
      </c>
      <c r="AU497" s="1259">
        <f>+AU493-AU91</f>
        <v>0</v>
      </c>
      <c r="AV497" s="1259">
        <f>+AV493-AV93</f>
        <v>3.9999999997235136E-2</v>
      </c>
      <c r="AW497" s="3861">
        <f>+AW493-AW91</f>
        <v>0</v>
      </c>
      <c r="AX497" s="3861">
        <f>+AX493-AX93</f>
        <v>-0.68000000016763806</v>
      </c>
      <c r="AY497" s="1259">
        <f>+AY493-AY91</f>
        <v>0</v>
      </c>
      <c r="AZ497" s="1259">
        <f>+AZ493-AZ93</f>
        <v>-9.9999999998544808E-2</v>
      </c>
      <c r="BA497" s="1616">
        <f>+BA493-BA91</f>
        <v>0</v>
      </c>
      <c r="BB497" s="1616">
        <f>+BB493-BB93</f>
        <v>-5.9999999997671694E-2</v>
      </c>
      <c r="BC497" s="7425">
        <f>+BC493-BC91</f>
        <v>0</v>
      </c>
      <c r="BD497" s="7425">
        <f>+BD493-BD93</f>
        <v>-0.82000000000698492</v>
      </c>
      <c r="BE497" s="3861">
        <f>+BE493-BE91</f>
        <v>0</v>
      </c>
      <c r="BF497" s="3861">
        <f>+BF493-BF93</f>
        <v>-0.780000000144355</v>
      </c>
      <c r="BG497" s="4152">
        <f t="shared" si="575"/>
        <v>0</v>
      </c>
      <c r="BH497" s="4152">
        <f t="shared" si="576"/>
        <v>1.5643308870494366E-10</v>
      </c>
      <c r="BI497" s="4152"/>
      <c r="BJ497" s="4152">
        <f t="shared" si="577"/>
        <v>0</v>
      </c>
      <c r="BK497" s="4152">
        <f t="shared" si="578"/>
        <v>1.0913936421275139E-11</v>
      </c>
    </row>
    <row r="498" spans="1:63" ht="15" customHeight="1" x14ac:dyDescent="0.25">
      <c r="A498" s="7965"/>
      <c r="B498" s="610"/>
      <c r="C498" s="610"/>
      <c r="D498" s="610"/>
      <c r="E498" s="610"/>
      <c r="F498" s="610"/>
      <c r="G498" s="610"/>
      <c r="H498" s="610"/>
      <c r="I498" s="820"/>
      <c r="J498" s="7310">
        <f t="shared" si="560"/>
        <v>0</v>
      </c>
      <c r="K498" s="610"/>
      <c r="L498" s="610"/>
      <c r="M498" s="821"/>
      <c r="N498" s="7301">
        <f t="shared" si="561"/>
        <v>0</v>
      </c>
      <c r="O498" s="610"/>
      <c r="P498" s="610"/>
      <c r="Q498" s="820"/>
      <c r="R498" s="7310">
        <f t="shared" si="562"/>
        <v>0</v>
      </c>
      <c r="S498" s="610"/>
      <c r="T498" s="610"/>
      <c r="U498" s="820"/>
      <c r="V498" s="7310">
        <f t="shared" si="563"/>
        <v>0</v>
      </c>
      <c r="W498" s="610"/>
      <c r="X498" s="610"/>
      <c r="Y498" s="821"/>
      <c r="Z498" s="7301">
        <f t="shared" si="564"/>
        <v>0</v>
      </c>
      <c r="AA498" s="7401"/>
      <c r="AB498" s="7302">
        <f t="shared" si="565"/>
        <v>0</v>
      </c>
      <c r="AC498" s="610"/>
      <c r="AD498" s="610"/>
      <c r="AE498" s="820"/>
      <c r="AF498" s="7310">
        <f t="shared" si="566"/>
        <v>0</v>
      </c>
      <c r="AG498" s="610"/>
      <c r="AH498" s="610"/>
      <c r="AI498" s="820"/>
      <c r="AJ498" s="820"/>
      <c r="AK498" s="610"/>
      <c r="AL498" s="610"/>
      <c r="AM498" s="821"/>
      <c r="AN498" s="821"/>
      <c r="AO498" s="820"/>
      <c r="AP498" s="820"/>
      <c r="AQ498" s="610"/>
      <c r="AR498" s="610"/>
      <c r="AS498" s="820"/>
      <c r="AT498" s="820"/>
      <c r="AU498" s="610"/>
      <c r="AV498" s="610"/>
      <c r="AW498" s="820"/>
      <c r="AX498" s="820"/>
      <c r="AY498" s="610"/>
      <c r="AZ498" s="610"/>
      <c r="BA498" s="821"/>
      <c r="BB498" s="821"/>
      <c r="BC498" s="7401"/>
      <c r="BD498" s="7401"/>
      <c r="BE498" s="820"/>
      <c r="BF498" s="820"/>
      <c r="BG498" s="4152">
        <f t="shared" si="575"/>
        <v>0</v>
      </c>
      <c r="BH498" s="4152">
        <f t="shared" si="576"/>
        <v>0</v>
      </c>
      <c r="BI498" s="4152"/>
      <c r="BJ498" s="4152">
        <f t="shared" si="577"/>
        <v>0</v>
      </c>
      <c r="BK498" s="4152">
        <f t="shared" si="578"/>
        <v>0</v>
      </c>
    </row>
    <row r="499" spans="1:63" ht="15" customHeight="1" x14ac:dyDescent="0.25">
      <c r="A499" s="7965"/>
      <c r="B499" s="610"/>
      <c r="C499" s="610"/>
      <c r="D499" s="610"/>
      <c r="E499" s="610"/>
      <c r="F499" s="610"/>
      <c r="G499" s="610"/>
      <c r="H499" s="610"/>
      <c r="I499" s="820"/>
      <c r="J499" s="7310">
        <f t="shared" si="560"/>
        <v>0</v>
      </c>
      <c r="K499" s="610"/>
      <c r="L499" s="610"/>
      <c r="M499" s="821"/>
      <c r="N499" s="7301">
        <f t="shared" si="561"/>
        <v>0</v>
      </c>
      <c r="O499" s="610"/>
      <c r="P499" s="610"/>
      <c r="Q499" s="820"/>
      <c r="R499" s="7310">
        <f t="shared" si="562"/>
        <v>0</v>
      </c>
      <c r="S499" s="610"/>
      <c r="T499" s="610"/>
      <c r="U499" s="820"/>
      <c r="V499" s="7310">
        <f t="shared" si="563"/>
        <v>0</v>
      </c>
      <c r="W499" s="610"/>
      <c r="X499" s="610"/>
      <c r="Y499" s="821"/>
      <c r="Z499" s="7301">
        <f t="shared" si="564"/>
        <v>0</v>
      </c>
      <c r="AA499" s="7401"/>
      <c r="AB499" s="7302">
        <f t="shared" si="565"/>
        <v>0</v>
      </c>
      <c r="AC499" s="610"/>
      <c r="AD499" s="610"/>
      <c r="AE499" s="820"/>
      <c r="AF499" s="7310">
        <f t="shared" si="566"/>
        <v>0</v>
      </c>
      <c r="AG499" s="610"/>
      <c r="AH499" s="610"/>
      <c r="AI499" s="820"/>
      <c r="AJ499" s="820"/>
      <c r="AK499" s="610"/>
      <c r="AL499" s="610"/>
      <c r="AM499" s="821"/>
      <c r="AN499" s="821"/>
      <c r="AO499" s="820"/>
      <c r="AP499" s="820"/>
      <c r="AQ499" s="610"/>
      <c r="AR499" s="610"/>
      <c r="AS499" s="820"/>
      <c r="AT499" s="820"/>
      <c r="AU499" s="610"/>
      <c r="AV499" s="610"/>
      <c r="AW499" s="820"/>
      <c r="AX499" s="820"/>
      <c r="AY499" s="610"/>
      <c r="AZ499" s="610"/>
      <c r="BA499" s="821"/>
      <c r="BB499" s="821"/>
      <c r="BC499" s="7401"/>
      <c r="BD499" s="7401"/>
      <c r="BE499" s="820"/>
      <c r="BF499" s="820"/>
      <c r="BG499" s="4152">
        <f t="shared" si="575"/>
        <v>0</v>
      </c>
      <c r="BH499" s="4152">
        <f t="shared" si="576"/>
        <v>0</v>
      </c>
      <c r="BI499" s="4152"/>
      <c r="BJ499" s="4152">
        <f t="shared" si="577"/>
        <v>0</v>
      </c>
      <c r="BK499" s="4152">
        <f t="shared" si="578"/>
        <v>0</v>
      </c>
    </row>
    <row r="500" spans="1:63" ht="15" customHeight="1" x14ac:dyDescent="0.25">
      <c r="A500" s="7965"/>
      <c r="B500" s="610"/>
      <c r="C500" s="610"/>
      <c r="D500" s="610"/>
      <c r="E500" s="610"/>
      <c r="F500" s="610"/>
      <c r="G500" s="610"/>
      <c r="H500" s="610"/>
      <c r="I500" s="820"/>
      <c r="J500" s="7310">
        <f t="shared" si="560"/>
        <v>0</v>
      </c>
      <c r="K500" s="610"/>
      <c r="L500" s="610"/>
      <c r="M500" s="821"/>
      <c r="N500" s="7301">
        <f t="shared" si="561"/>
        <v>0</v>
      </c>
      <c r="O500" s="610"/>
      <c r="P500" s="610"/>
      <c r="Q500" s="820"/>
      <c r="R500" s="7310">
        <f t="shared" si="562"/>
        <v>0</v>
      </c>
      <c r="S500" s="610"/>
      <c r="T500" s="610"/>
      <c r="U500" s="820"/>
      <c r="V500" s="7310">
        <f t="shared" si="563"/>
        <v>0</v>
      </c>
      <c r="W500" s="610"/>
      <c r="X500" s="610"/>
      <c r="Y500" s="821"/>
      <c r="Z500" s="7301">
        <f t="shared" si="564"/>
        <v>0</v>
      </c>
      <c r="AA500" s="7401"/>
      <c r="AB500" s="7302">
        <f t="shared" si="565"/>
        <v>0</v>
      </c>
      <c r="AC500" s="610"/>
      <c r="AD500" s="610"/>
      <c r="AE500" s="820"/>
      <c r="AF500" s="7310">
        <f t="shared" si="566"/>
        <v>0</v>
      </c>
      <c r="AG500" s="610"/>
      <c r="AH500" s="610"/>
      <c r="AI500" s="820"/>
      <c r="AJ500" s="820"/>
      <c r="AK500" s="610"/>
      <c r="AL500" s="610"/>
      <c r="AM500" s="821"/>
      <c r="AN500" s="821"/>
      <c r="AO500" s="820"/>
      <c r="AP500" s="820"/>
      <c r="AQ500" s="610"/>
      <c r="AR500" s="610"/>
      <c r="AS500" s="820"/>
      <c r="AT500" s="820"/>
      <c r="AU500" s="610"/>
      <c r="AV500" s="610"/>
      <c r="AW500" s="820"/>
      <c r="AX500" s="820"/>
      <c r="AY500" s="610"/>
      <c r="AZ500" s="610"/>
      <c r="BA500" s="821"/>
      <c r="BB500" s="821"/>
      <c r="BC500" s="7401"/>
      <c r="BD500" s="7401"/>
      <c r="BE500" s="820"/>
      <c r="BF500" s="820"/>
      <c r="BG500" s="4152">
        <f t="shared" si="575"/>
        <v>0</v>
      </c>
      <c r="BH500" s="4152">
        <f t="shared" si="576"/>
        <v>0</v>
      </c>
      <c r="BI500" s="4152"/>
      <c r="BJ500" s="4152">
        <f t="shared" si="577"/>
        <v>0</v>
      </c>
      <c r="BK500" s="4152">
        <f t="shared" si="578"/>
        <v>0</v>
      </c>
    </row>
    <row r="501" spans="1:63" ht="15" customHeight="1" x14ac:dyDescent="0.25">
      <c r="A501" s="7966"/>
      <c r="B501" s="610"/>
      <c r="C501" s="610"/>
      <c r="D501" s="610"/>
      <c r="E501" s="610"/>
      <c r="F501" s="610"/>
      <c r="G501" s="610"/>
      <c r="H501" s="610"/>
      <c r="I501" s="820"/>
      <c r="J501" s="7310">
        <f t="shared" si="560"/>
        <v>0</v>
      </c>
      <c r="K501" s="610"/>
      <c r="L501" s="610"/>
      <c r="M501" s="821"/>
      <c r="N501" s="7301">
        <f t="shared" si="561"/>
        <v>0</v>
      </c>
      <c r="O501" s="610"/>
      <c r="P501" s="610"/>
      <c r="Q501" s="820"/>
      <c r="R501" s="7310">
        <f t="shared" si="562"/>
        <v>0</v>
      </c>
      <c r="S501" s="610"/>
      <c r="T501" s="610"/>
      <c r="U501" s="820"/>
      <c r="V501" s="7310">
        <f t="shared" si="563"/>
        <v>0</v>
      </c>
      <c r="W501" s="610"/>
      <c r="X501" s="610"/>
      <c r="Y501" s="821"/>
      <c r="Z501" s="7301">
        <f t="shared" si="564"/>
        <v>0</v>
      </c>
      <c r="AA501" s="7401"/>
      <c r="AB501" s="7302">
        <f t="shared" si="565"/>
        <v>0</v>
      </c>
      <c r="AC501" s="610"/>
      <c r="AD501" s="610"/>
      <c r="AE501" s="820"/>
      <c r="AF501" s="7310">
        <f t="shared" si="566"/>
        <v>0</v>
      </c>
      <c r="AG501" s="610"/>
      <c r="AH501" s="610"/>
      <c r="AI501" s="820"/>
      <c r="AJ501" s="820"/>
      <c r="AK501" s="610"/>
      <c r="AL501" s="610"/>
      <c r="AM501" s="821"/>
      <c r="AN501" s="821"/>
      <c r="AO501" s="820"/>
      <c r="AP501" s="820"/>
      <c r="AQ501" s="610"/>
      <c r="AR501" s="610"/>
      <c r="AS501" s="820"/>
      <c r="AT501" s="820"/>
      <c r="AU501" s="610"/>
      <c r="AV501" s="610"/>
      <c r="AW501" s="820"/>
      <c r="AX501" s="820"/>
      <c r="AY501" s="610"/>
      <c r="AZ501" s="610"/>
      <c r="BA501" s="821"/>
      <c r="BB501" s="821"/>
      <c r="BC501" s="7401"/>
      <c r="BD501" s="7401"/>
      <c r="BE501" s="820"/>
      <c r="BF501" s="820"/>
      <c r="BG501" s="4152">
        <f t="shared" si="575"/>
        <v>0</v>
      </c>
      <c r="BH501" s="4152">
        <f t="shared" si="576"/>
        <v>0</v>
      </c>
      <c r="BI501" s="4152"/>
      <c r="BJ501" s="4152">
        <f t="shared" si="577"/>
        <v>0</v>
      </c>
      <c r="BK501" s="4152">
        <f t="shared" si="578"/>
        <v>0</v>
      </c>
    </row>
    <row r="502" spans="1:63" ht="15" customHeight="1" x14ac:dyDescent="0.25">
      <c r="A502" s="144"/>
      <c r="B502" s="610"/>
      <c r="C502" s="610"/>
      <c r="D502" s="610"/>
      <c r="E502" s="1259">
        <f>+E299-E83</f>
        <v>0</v>
      </c>
      <c r="F502" s="1259">
        <f>+F299-F85</f>
        <v>0</v>
      </c>
      <c r="G502" s="1259">
        <f>+G299-G83</f>
        <v>0</v>
      </c>
      <c r="H502" s="1259">
        <f>+H299-H85</f>
        <v>0</v>
      </c>
      <c r="I502" s="3861">
        <f>+I299-I83</f>
        <v>0</v>
      </c>
      <c r="J502" s="7310">
        <f t="shared" si="560"/>
        <v>0</v>
      </c>
      <c r="K502" s="1259">
        <f>+K299-K83</f>
        <v>0</v>
      </c>
      <c r="L502" s="1259">
        <f>+L299-L85</f>
        <v>0</v>
      </c>
      <c r="M502" s="1616">
        <f>+M299-M83</f>
        <v>0</v>
      </c>
      <c r="N502" s="7301">
        <f t="shared" si="561"/>
        <v>0</v>
      </c>
      <c r="O502" s="1259">
        <f>+O299-O83</f>
        <v>0</v>
      </c>
      <c r="P502" s="1259">
        <f>+P299-P85</f>
        <v>0</v>
      </c>
      <c r="Q502" s="3861">
        <f>+Q299-Q83</f>
        <v>0</v>
      </c>
      <c r="R502" s="7310">
        <f t="shared" si="562"/>
        <v>0</v>
      </c>
      <c r="S502" s="1259">
        <f>+S299-S83</f>
        <v>0</v>
      </c>
      <c r="T502" s="1259">
        <f>+T299-T85</f>
        <v>0</v>
      </c>
      <c r="U502" s="3861">
        <f>+U299-U83</f>
        <v>0</v>
      </c>
      <c r="V502" s="7310">
        <f t="shared" si="563"/>
        <v>0</v>
      </c>
      <c r="W502" s="1259">
        <f>+W299-W83</f>
        <v>0</v>
      </c>
      <c r="X502" s="1259">
        <f>+X299-X85</f>
        <v>0</v>
      </c>
      <c r="Y502" s="1616">
        <f>+Y299-Y83</f>
        <v>0</v>
      </c>
      <c r="Z502" s="7301">
        <f t="shared" si="564"/>
        <v>0</v>
      </c>
      <c r="AA502" s="7425">
        <f>+AA299-AA83</f>
        <v>0</v>
      </c>
      <c r="AB502" s="7302">
        <f t="shared" si="565"/>
        <v>0</v>
      </c>
      <c r="AC502" s="1259">
        <f>+AC299-AC83</f>
        <v>0</v>
      </c>
      <c r="AD502" s="1259">
        <f>+AD299-AD85</f>
        <v>0</v>
      </c>
      <c r="AE502" s="3861">
        <f>+AE299-AE83</f>
        <v>0</v>
      </c>
      <c r="AF502" s="7310">
        <f t="shared" si="566"/>
        <v>0</v>
      </c>
      <c r="AG502" s="1259">
        <f>+AG299-AG83</f>
        <v>0</v>
      </c>
      <c r="AH502" s="1259">
        <f>+AH299-AH85</f>
        <v>0</v>
      </c>
      <c r="AI502" s="3861">
        <f>+AI299-AI83</f>
        <v>0</v>
      </c>
      <c r="AJ502" s="3861">
        <f>+AJ299-AJ85</f>
        <v>0</v>
      </c>
      <c r="AK502" s="1259">
        <f>+AK299-AK83</f>
        <v>0</v>
      </c>
      <c r="AL502" s="1259">
        <f>+AL299-AL85</f>
        <v>0</v>
      </c>
      <c r="AM502" s="1616">
        <f>+AM299-AM83</f>
        <v>0</v>
      </c>
      <c r="AN502" s="1616">
        <f>+AN299-AN85</f>
        <v>0</v>
      </c>
      <c r="AO502" s="3861">
        <f>+AO299-AO83</f>
        <v>0</v>
      </c>
      <c r="AP502" s="3861">
        <f>+AP299-AP85</f>
        <v>0</v>
      </c>
      <c r="AQ502" s="1259">
        <f>+AQ299-AQ83</f>
        <v>0</v>
      </c>
      <c r="AR502" s="1259">
        <f>+AR299-AR85</f>
        <v>0</v>
      </c>
      <c r="AS502" s="3861">
        <f>+AS299-AS83</f>
        <v>0</v>
      </c>
      <c r="AT502" s="3861">
        <f>+AT299-AT85</f>
        <v>0</v>
      </c>
      <c r="AU502" s="1259">
        <f>+AU299-AU83</f>
        <v>0</v>
      </c>
      <c r="AV502" s="1259">
        <f>+AV299-AV85</f>
        <v>0</v>
      </c>
      <c r="AW502" s="3861">
        <f>+AW299-AW83</f>
        <v>0</v>
      </c>
      <c r="AX502" s="3861">
        <f>+AX299-AX85</f>
        <v>0</v>
      </c>
      <c r="AY502" s="1259">
        <f>+AY299-AY83</f>
        <v>0</v>
      </c>
      <c r="AZ502" s="1259">
        <f>+AZ299-AZ85</f>
        <v>0</v>
      </c>
      <c r="BA502" s="1616">
        <f>+BA299-BA83</f>
        <v>0</v>
      </c>
      <c r="BB502" s="1616">
        <f>+BB299-BB85</f>
        <v>0</v>
      </c>
      <c r="BC502" s="7425">
        <f>+BC299-BC83</f>
        <v>0</v>
      </c>
      <c r="BD502" s="7425">
        <f>+BD299-BD85</f>
        <v>0</v>
      </c>
      <c r="BE502" s="3861">
        <f>+BE299-BE83</f>
        <v>0</v>
      </c>
      <c r="BF502" s="3861">
        <f>+BF299-BF85</f>
        <v>0</v>
      </c>
      <c r="BG502" s="4152">
        <f t="shared" si="575"/>
        <v>0</v>
      </c>
      <c r="BH502" s="4152">
        <f t="shared" si="576"/>
        <v>0</v>
      </c>
      <c r="BI502" s="4152"/>
      <c r="BJ502" s="4152">
        <f t="shared" si="577"/>
        <v>0</v>
      </c>
      <c r="BK502" s="4152">
        <f t="shared" si="578"/>
        <v>0</v>
      </c>
    </row>
    <row r="503" spans="1:63" ht="15" customHeight="1" x14ac:dyDescent="0.25">
      <c r="A503" s="144"/>
      <c r="B503" s="610"/>
      <c r="C503" s="610"/>
      <c r="D503" s="610"/>
      <c r="E503" s="1259">
        <f>+E299-E21</f>
        <v>0</v>
      </c>
      <c r="F503" s="1259">
        <f>+F299-F21</f>
        <v>0</v>
      </c>
      <c r="G503" s="1259">
        <f>+G299-G21</f>
        <v>0</v>
      </c>
      <c r="H503" s="1259">
        <f>+H299-H21</f>
        <v>0</v>
      </c>
      <c r="I503" s="3861">
        <f>+I299-I21</f>
        <v>0</v>
      </c>
      <c r="J503" s="7310">
        <f t="shared" si="560"/>
        <v>0</v>
      </c>
      <c r="K503" s="1259">
        <f>+K299-K21</f>
        <v>0</v>
      </c>
      <c r="L503" s="1259">
        <f>+L299-L21</f>
        <v>0</v>
      </c>
      <c r="M503" s="1616">
        <f>+M299-M21</f>
        <v>0</v>
      </c>
      <c r="N503" s="7301">
        <f t="shared" si="561"/>
        <v>0</v>
      </c>
      <c r="O503" s="1259">
        <f>+O299-O21</f>
        <v>0</v>
      </c>
      <c r="P503" s="1259">
        <f>+P299-P21</f>
        <v>0</v>
      </c>
      <c r="Q503" s="3861">
        <f>+Q299-Q21</f>
        <v>0</v>
      </c>
      <c r="R503" s="7310">
        <f t="shared" si="562"/>
        <v>0</v>
      </c>
      <c r="S503" s="1259">
        <f>+S299-S21</f>
        <v>0</v>
      </c>
      <c r="T503" s="1259">
        <f>+T299-T21</f>
        <v>0</v>
      </c>
      <c r="U503" s="3861">
        <f>+U299-U21</f>
        <v>0</v>
      </c>
      <c r="V503" s="7310">
        <f t="shared" si="563"/>
        <v>0</v>
      </c>
      <c r="W503" s="1259">
        <f>+W299-W21</f>
        <v>0</v>
      </c>
      <c r="X503" s="1259">
        <f>+X299-X21</f>
        <v>0</v>
      </c>
      <c r="Y503" s="1616">
        <f>+Y299-Y21</f>
        <v>0</v>
      </c>
      <c r="Z503" s="7301">
        <f t="shared" si="564"/>
        <v>0</v>
      </c>
      <c r="AA503" s="7425">
        <f>+AA299-AA21</f>
        <v>0</v>
      </c>
      <c r="AB503" s="7302">
        <f t="shared" si="565"/>
        <v>0</v>
      </c>
      <c r="AC503" s="1259">
        <f>+AC299-AC21</f>
        <v>0</v>
      </c>
      <c r="AD503" s="1259">
        <f>+AD299-AD21</f>
        <v>0</v>
      </c>
      <c r="AE503" s="3861">
        <f>+AE299-AE21</f>
        <v>0</v>
      </c>
      <c r="AF503" s="7310">
        <f t="shared" si="566"/>
        <v>0</v>
      </c>
      <c r="AG503" s="1259">
        <f t="shared" ref="AG503:BF503" si="593">+AG299-AG21</f>
        <v>0</v>
      </c>
      <c r="AH503" s="1259">
        <f t="shared" si="593"/>
        <v>0</v>
      </c>
      <c r="AI503" s="3861">
        <f t="shared" si="593"/>
        <v>0</v>
      </c>
      <c r="AJ503" s="3861">
        <f t="shared" si="593"/>
        <v>0</v>
      </c>
      <c r="AK503" s="1259">
        <f t="shared" si="593"/>
        <v>0</v>
      </c>
      <c r="AL503" s="1259">
        <f t="shared" si="593"/>
        <v>0</v>
      </c>
      <c r="AM503" s="1616">
        <f t="shared" si="593"/>
        <v>0</v>
      </c>
      <c r="AN503" s="1616">
        <f t="shared" si="593"/>
        <v>0</v>
      </c>
      <c r="AO503" s="3861">
        <f t="shared" si="593"/>
        <v>0</v>
      </c>
      <c r="AP503" s="3861">
        <f t="shared" si="593"/>
        <v>0</v>
      </c>
      <c r="AQ503" s="1259">
        <f t="shared" si="593"/>
        <v>0</v>
      </c>
      <c r="AR503" s="1259">
        <f t="shared" si="593"/>
        <v>0</v>
      </c>
      <c r="AS503" s="3861">
        <f t="shared" si="593"/>
        <v>0</v>
      </c>
      <c r="AT503" s="3861">
        <f t="shared" si="593"/>
        <v>0</v>
      </c>
      <c r="AU503" s="1259">
        <f t="shared" si="593"/>
        <v>0</v>
      </c>
      <c r="AV503" s="1259">
        <f t="shared" si="593"/>
        <v>0</v>
      </c>
      <c r="AW503" s="3861">
        <f t="shared" si="593"/>
        <v>0</v>
      </c>
      <c r="AX503" s="3861">
        <f t="shared" si="593"/>
        <v>0</v>
      </c>
      <c r="AY503" s="1259">
        <f t="shared" si="593"/>
        <v>0</v>
      </c>
      <c r="AZ503" s="1259">
        <f t="shared" si="593"/>
        <v>0</v>
      </c>
      <c r="BA503" s="1616">
        <f t="shared" si="593"/>
        <v>0</v>
      </c>
      <c r="BB503" s="1616">
        <f t="shared" si="593"/>
        <v>0</v>
      </c>
      <c r="BC503" s="7425">
        <f t="shared" si="593"/>
        <v>0</v>
      </c>
      <c r="BD503" s="7425">
        <f t="shared" si="593"/>
        <v>0</v>
      </c>
      <c r="BE503" s="3861">
        <f t="shared" si="593"/>
        <v>0</v>
      </c>
      <c r="BF503" s="3861">
        <f t="shared" si="593"/>
        <v>0</v>
      </c>
      <c r="BG503" s="4152">
        <f t="shared" si="575"/>
        <v>0</v>
      </c>
      <c r="BH503" s="4152">
        <f t="shared" si="576"/>
        <v>0</v>
      </c>
      <c r="BI503" s="4152"/>
      <c r="BJ503" s="4152">
        <f t="shared" si="577"/>
        <v>0</v>
      </c>
      <c r="BK503" s="4152">
        <f t="shared" si="578"/>
        <v>0</v>
      </c>
    </row>
    <row r="504" spans="1:63" ht="15" customHeight="1" x14ac:dyDescent="0.25">
      <c r="A504" s="144"/>
      <c r="B504" s="610"/>
      <c r="C504" s="610"/>
      <c r="D504" s="610"/>
      <c r="E504" s="610"/>
      <c r="F504" s="610"/>
      <c r="G504" s="610"/>
      <c r="H504" s="610"/>
      <c r="I504" s="820"/>
      <c r="J504" s="7310">
        <f t="shared" si="560"/>
        <v>0</v>
      </c>
      <c r="K504" s="610"/>
      <c r="L504" s="610"/>
      <c r="M504" s="821"/>
      <c r="N504" s="7301">
        <f t="shared" si="561"/>
        <v>0</v>
      </c>
      <c r="O504" s="610"/>
      <c r="P504" s="610"/>
      <c r="Q504" s="820"/>
      <c r="R504" s="7310">
        <f t="shared" si="562"/>
        <v>0</v>
      </c>
      <c r="S504" s="610"/>
      <c r="T504" s="610"/>
      <c r="U504" s="820"/>
      <c r="V504" s="7310">
        <f t="shared" si="563"/>
        <v>0</v>
      </c>
      <c r="W504" s="610"/>
      <c r="X504" s="610"/>
      <c r="Y504" s="821"/>
      <c r="Z504" s="7301">
        <f t="shared" si="564"/>
        <v>0</v>
      </c>
      <c r="AA504" s="7401"/>
      <c r="AB504" s="7302">
        <f t="shared" si="565"/>
        <v>0</v>
      </c>
      <c r="AC504" s="610"/>
      <c r="AD504" s="610"/>
      <c r="AE504" s="820"/>
      <c r="AF504" s="7310">
        <f t="shared" si="566"/>
        <v>0</v>
      </c>
      <c r="AG504" s="610"/>
      <c r="AH504" s="610"/>
      <c r="AI504" s="820"/>
      <c r="AJ504" s="820"/>
      <c r="AK504" s="610"/>
      <c r="AL504" s="610"/>
      <c r="AM504" s="821"/>
      <c r="AN504" s="821"/>
      <c r="AO504" s="820"/>
      <c r="AP504" s="820"/>
      <c r="AQ504" s="610"/>
      <c r="AR504" s="610"/>
      <c r="AS504" s="820"/>
      <c r="AT504" s="820"/>
      <c r="AU504" s="610"/>
      <c r="AV504" s="610"/>
      <c r="AW504" s="820"/>
      <c r="AX504" s="820"/>
      <c r="AY504" s="610"/>
      <c r="AZ504" s="610"/>
      <c r="BA504" s="821"/>
      <c r="BB504" s="821"/>
      <c r="BC504" s="7401"/>
      <c r="BD504" s="7401"/>
      <c r="BE504" s="820"/>
      <c r="BF504" s="820"/>
      <c r="BG504" s="4152">
        <f t="shared" si="575"/>
        <v>0</v>
      </c>
      <c r="BH504" s="4152">
        <f t="shared" si="576"/>
        <v>0</v>
      </c>
      <c r="BI504" s="4152"/>
      <c r="BJ504" s="4152">
        <f t="shared" si="577"/>
        <v>0</v>
      </c>
      <c r="BK504" s="4152">
        <f t="shared" si="578"/>
        <v>0</v>
      </c>
    </row>
    <row r="505" spans="1:63" ht="15" customHeight="1" x14ac:dyDescent="0.25">
      <c r="A505" s="144"/>
      <c r="B505" s="7967" t="s">
        <v>114</v>
      </c>
      <c r="C505" s="787"/>
      <c r="D505" s="787"/>
      <c r="E505" s="373">
        <f>+E13-E79</f>
        <v>0</v>
      </c>
      <c r="F505" s="373">
        <f>+F13-F81</f>
        <v>0</v>
      </c>
      <c r="G505" s="373">
        <f>+G13-G79</f>
        <v>0</v>
      </c>
      <c r="H505" s="373">
        <f>+H13-H81</f>
        <v>0</v>
      </c>
      <c r="I505" s="344">
        <f>+I13-I79</f>
        <v>0</v>
      </c>
      <c r="J505" s="7310">
        <f t="shared" si="560"/>
        <v>0</v>
      </c>
      <c r="K505" s="373">
        <f>+K13-K79</f>
        <v>0</v>
      </c>
      <c r="L505" s="373">
        <f>+L13-L81</f>
        <v>0</v>
      </c>
      <c r="M505" s="420">
        <f>+M13-M79</f>
        <v>0</v>
      </c>
      <c r="N505" s="7301">
        <f t="shared" si="561"/>
        <v>0</v>
      </c>
      <c r="O505" s="373">
        <f>+O13-O79</f>
        <v>0</v>
      </c>
      <c r="P505" s="373">
        <f>+P13-P81</f>
        <v>0</v>
      </c>
      <c r="Q505" s="344">
        <f>+Q13-Q79</f>
        <v>0</v>
      </c>
      <c r="R505" s="7310">
        <f t="shared" si="562"/>
        <v>0</v>
      </c>
      <c r="S505" s="373">
        <f>+S13-S79</f>
        <v>0</v>
      </c>
      <c r="T505" s="373">
        <f>+T13-T81</f>
        <v>0.27999999999883585</v>
      </c>
      <c r="U505" s="344">
        <f>+U13-U79</f>
        <v>0</v>
      </c>
      <c r="V505" s="7310">
        <f t="shared" si="563"/>
        <v>0.27999999999883585</v>
      </c>
      <c r="W505" s="373">
        <f>+W13-W79</f>
        <v>0</v>
      </c>
      <c r="X505" s="373">
        <f>+X13-X81</f>
        <v>0</v>
      </c>
      <c r="Y505" s="420">
        <f>+Y13-Y79</f>
        <v>0</v>
      </c>
      <c r="Z505" s="7301">
        <f t="shared" si="564"/>
        <v>0.27999999999883585</v>
      </c>
      <c r="AA505" s="444">
        <f>+AA13-AA79</f>
        <v>0</v>
      </c>
      <c r="AB505" s="7302">
        <f t="shared" si="565"/>
        <v>0.27999999999883585</v>
      </c>
      <c r="AC505" s="373">
        <f>+AC13-AC79</f>
        <v>0</v>
      </c>
      <c r="AD505" s="373">
        <f>+AD13-AD81</f>
        <v>0</v>
      </c>
      <c r="AE505" s="344">
        <f>+AE13-AE79</f>
        <v>0</v>
      </c>
      <c r="AF505" s="7310">
        <f t="shared" si="566"/>
        <v>0.27999999999883585</v>
      </c>
      <c r="AG505" s="373">
        <f>+AG13-AG79</f>
        <v>0</v>
      </c>
      <c r="AH505" s="373">
        <f>+AH13-AH81</f>
        <v>0</v>
      </c>
      <c r="AI505" s="344">
        <f>+AI13-AI79</f>
        <v>0</v>
      </c>
      <c r="AJ505" s="344">
        <f>+AJ13-AJ81</f>
        <v>0.27999999996973202</v>
      </c>
      <c r="AK505" s="373">
        <f>+AK13-AK79</f>
        <v>0</v>
      </c>
      <c r="AL505" s="373">
        <f>+AL13-AL81</f>
        <v>0</v>
      </c>
      <c r="AM505" s="420">
        <f>+AM13-AM79</f>
        <v>0</v>
      </c>
      <c r="AN505" s="420">
        <f>+AN13-AN81</f>
        <v>0</v>
      </c>
      <c r="AO505" s="344">
        <f>+AO13-AO79</f>
        <v>0</v>
      </c>
      <c r="AP505" s="344">
        <f>+AP13-AP81</f>
        <v>0.27999999996973202</v>
      </c>
      <c r="AQ505" s="373">
        <f>+AQ13-AQ79</f>
        <v>0</v>
      </c>
      <c r="AR505" s="373">
        <f>+AR13-AR81</f>
        <v>0</v>
      </c>
      <c r="AS505" s="344">
        <f>+AS13-AS79</f>
        <v>0</v>
      </c>
      <c r="AT505" s="344">
        <f>+AT13-AT81</f>
        <v>0.27999999996973202</v>
      </c>
      <c r="AU505" s="373">
        <f>+AU13-AU79</f>
        <v>0</v>
      </c>
      <c r="AV505" s="373">
        <f>+AV13-AV81</f>
        <v>0</v>
      </c>
      <c r="AW505" s="344">
        <f>+AW13-AW79</f>
        <v>0</v>
      </c>
      <c r="AX505" s="344">
        <f>+AX13-AX81</f>
        <v>0.28000000002793968</v>
      </c>
      <c r="AY505" s="373">
        <f>+AY13-AY79</f>
        <v>0</v>
      </c>
      <c r="AZ505" s="373">
        <f>+AZ13-AZ81</f>
        <v>0</v>
      </c>
      <c r="BA505" s="420">
        <f>+BA13-BA79</f>
        <v>0</v>
      </c>
      <c r="BB505" s="420">
        <f>+BB13-BB81</f>
        <v>0</v>
      </c>
      <c r="BC505" s="444">
        <f>+BC13-BC79</f>
        <v>0</v>
      </c>
      <c r="BD505" s="444">
        <f>+BD13-BD81</f>
        <v>0</v>
      </c>
      <c r="BE505" s="344">
        <f>+BE13-BE79</f>
        <v>0</v>
      </c>
      <c r="BF505" s="344">
        <f>+BF13-BF81</f>
        <v>0.28000000002793968</v>
      </c>
      <c r="BG505" s="4152">
        <f t="shared" si="575"/>
        <v>0</v>
      </c>
      <c r="BH505" s="4152">
        <f t="shared" si="576"/>
        <v>-2.9103830456733704E-11</v>
      </c>
      <c r="BI505" s="4152"/>
      <c r="BJ505" s="4152">
        <f t="shared" si="577"/>
        <v>0</v>
      </c>
      <c r="BK505" s="4152">
        <f t="shared" si="578"/>
        <v>0</v>
      </c>
    </row>
    <row r="506" spans="1:63" ht="15" customHeight="1" x14ac:dyDescent="0.25">
      <c r="A506" s="144"/>
      <c r="B506" s="7967"/>
      <c r="C506" s="787"/>
      <c r="D506" s="787"/>
      <c r="E506" s="373">
        <f>+E79-E236</f>
        <v>0</v>
      </c>
      <c r="F506" s="373">
        <f>+F81-F236</f>
        <v>0</v>
      </c>
      <c r="G506" s="373">
        <f>+G79-G236</f>
        <v>0</v>
      </c>
      <c r="H506" s="373">
        <f>+H81-H236</f>
        <v>0</v>
      </c>
      <c r="I506" s="344">
        <f>+I79-I236</f>
        <v>0</v>
      </c>
      <c r="J506" s="7310">
        <f t="shared" ref="J506:J569" si="594">F506+H506</f>
        <v>0</v>
      </c>
      <c r="K506" s="373">
        <f>+K79-K236</f>
        <v>0</v>
      </c>
      <c r="L506" s="373">
        <f>+L81-L236</f>
        <v>0</v>
      </c>
      <c r="M506" s="420">
        <f>+M79-M236</f>
        <v>0</v>
      </c>
      <c r="N506" s="7301">
        <f t="shared" ref="N506:N569" si="595">J506+L506</f>
        <v>0</v>
      </c>
      <c r="O506" s="373">
        <f>+O79-O236</f>
        <v>0</v>
      </c>
      <c r="P506" s="373">
        <f>+P81-P236</f>
        <v>0</v>
      </c>
      <c r="Q506" s="344">
        <f>+Q79-Q236</f>
        <v>0</v>
      </c>
      <c r="R506" s="7310">
        <f t="shared" ref="R506:R569" si="596">N506+P506</f>
        <v>0</v>
      </c>
      <c r="S506" s="373">
        <f>+S79-S236</f>
        <v>0</v>
      </c>
      <c r="T506" s="373">
        <f>+T81-T236</f>
        <v>-0.28000000001338776</v>
      </c>
      <c r="U506" s="344">
        <f>+U79-U236</f>
        <v>0</v>
      </c>
      <c r="V506" s="7310">
        <f t="shared" ref="V506:V569" si="597">R506+T506</f>
        <v>-0.28000000001338776</v>
      </c>
      <c r="W506" s="373">
        <f>+W79-W236</f>
        <v>0</v>
      </c>
      <c r="X506" s="373">
        <f>+X81-X236</f>
        <v>0</v>
      </c>
      <c r="Y506" s="420">
        <f>+Y79-Y236</f>
        <v>0</v>
      </c>
      <c r="Z506" s="7301">
        <f t="shared" ref="Z506:Z569" si="598">P506+T506+X506</f>
        <v>-0.28000000001338776</v>
      </c>
      <c r="AA506" s="444">
        <f>+AA79-AA236</f>
        <v>0</v>
      </c>
      <c r="AB506" s="7302">
        <f t="shared" ref="AB506:AB569" si="599">N506+Z506</f>
        <v>-0.28000000001338776</v>
      </c>
      <c r="AC506" s="373">
        <f>+AC79-AC236</f>
        <v>0</v>
      </c>
      <c r="AD506" s="373">
        <f>+AD81-AD236</f>
        <v>0</v>
      </c>
      <c r="AE506" s="344">
        <f>+AE79-AE236</f>
        <v>0</v>
      </c>
      <c r="AF506" s="7310">
        <f t="shared" ref="AF506:AF569" si="600">AB506+AD506</f>
        <v>-0.28000000001338776</v>
      </c>
      <c r="AG506" s="373">
        <f>+AG79-AG236</f>
        <v>0</v>
      </c>
      <c r="AH506" s="373">
        <f>+AH81-AH236</f>
        <v>0</v>
      </c>
      <c r="AI506" s="344">
        <f>+AI79-AI236</f>
        <v>0</v>
      </c>
      <c r="AJ506" s="344">
        <f>+AJ81-AJ236</f>
        <v>-0.28000000002793968</v>
      </c>
      <c r="AK506" s="373">
        <f>+AK79-AK236</f>
        <v>0</v>
      </c>
      <c r="AL506" s="373">
        <f>+AL81-AL236</f>
        <v>0</v>
      </c>
      <c r="AM506" s="420">
        <f>+AM79-AM236</f>
        <v>0</v>
      </c>
      <c r="AN506" s="420">
        <f>+AN81-AN236</f>
        <v>0</v>
      </c>
      <c r="AO506" s="344">
        <f>+AO79-AO236</f>
        <v>0</v>
      </c>
      <c r="AP506" s="344">
        <f>+AP81-AP236</f>
        <v>-0.28000000008614734</v>
      </c>
      <c r="AQ506" s="373">
        <f>+AQ79-AQ236</f>
        <v>0</v>
      </c>
      <c r="AR506" s="373">
        <f>+AR81-AR236</f>
        <v>0</v>
      </c>
      <c r="AS506" s="344">
        <f>+AS79-AS236</f>
        <v>0</v>
      </c>
      <c r="AT506" s="344">
        <f>+AT81-AT236</f>
        <v>-0.28000000008614734</v>
      </c>
      <c r="AU506" s="373">
        <f>+AU79-AU236</f>
        <v>0</v>
      </c>
      <c r="AV506" s="373">
        <f>+AV81-AV236</f>
        <v>0</v>
      </c>
      <c r="AW506" s="344">
        <f>+AW79-AW236</f>
        <v>0</v>
      </c>
      <c r="AX506" s="344">
        <f>+AX81-AX236</f>
        <v>-0.280000000144355</v>
      </c>
      <c r="AY506" s="373">
        <f>+AY79-AY236</f>
        <v>0</v>
      </c>
      <c r="AZ506" s="373">
        <f>+AZ81-AZ236</f>
        <v>0</v>
      </c>
      <c r="BA506" s="420">
        <f>+BA79-BA236</f>
        <v>0</v>
      </c>
      <c r="BB506" s="420">
        <f>+BB81-BB236</f>
        <v>0</v>
      </c>
      <c r="BC506" s="444">
        <f>+BC79-BC236</f>
        <v>0</v>
      </c>
      <c r="BD506" s="444">
        <f>+BD81-BD236</f>
        <v>0</v>
      </c>
      <c r="BE506" s="344">
        <f>+BE79-BE236</f>
        <v>0</v>
      </c>
      <c r="BF506" s="344">
        <f>+BF81-BF236</f>
        <v>-0.280000000144355</v>
      </c>
      <c r="BG506" s="4152">
        <f t="shared" si="575"/>
        <v>0</v>
      </c>
      <c r="BH506" s="4152">
        <f t="shared" si="576"/>
        <v>1.3096723705530167E-10</v>
      </c>
      <c r="BI506" s="4152"/>
      <c r="BJ506" s="4152">
        <f t="shared" si="577"/>
        <v>0</v>
      </c>
      <c r="BK506" s="4152">
        <f t="shared" si="578"/>
        <v>0</v>
      </c>
    </row>
    <row r="507" spans="1:63" ht="15" customHeight="1" x14ac:dyDescent="0.25">
      <c r="A507" s="144"/>
      <c r="B507" s="7967"/>
      <c r="C507" s="787"/>
      <c r="D507" s="787"/>
      <c r="E507" s="373">
        <f>+E13-E236</f>
        <v>0</v>
      </c>
      <c r="F507" s="373">
        <f>+F13-F236</f>
        <v>0</v>
      </c>
      <c r="G507" s="373">
        <f>+G13-G236</f>
        <v>0</v>
      </c>
      <c r="H507" s="373">
        <f>+H13-H236</f>
        <v>0</v>
      </c>
      <c r="I507" s="344">
        <f>+I13-I236</f>
        <v>0</v>
      </c>
      <c r="J507" s="7310">
        <f t="shared" si="594"/>
        <v>0</v>
      </c>
      <c r="K507" s="373">
        <f>+K13-K236</f>
        <v>0</v>
      </c>
      <c r="L507" s="373">
        <f>+L13-L236</f>
        <v>0</v>
      </c>
      <c r="M507" s="420">
        <f>+M13-M236</f>
        <v>0</v>
      </c>
      <c r="N507" s="7301">
        <f t="shared" si="595"/>
        <v>0</v>
      </c>
      <c r="O507" s="373">
        <f>+O13-O236</f>
        <v>0</v>
      </c>
      <c r="P507" s="373">
        <f>+P13-P236</f>
        <v>0</v>
      </c>
      <c r="Q507" s="344">
        <f>+Q13-Q236</f>
        <v>0</v>
      </c>
      <c r="R507" s="7310">
        <f t="shared" si="596"/>
        <v>0</v>
      </c>
      <c r="S507" s="373">
        <f>+S13-S236</f>
        <v>0</v>
      </c>
      <c r="T507" s="373">
        <f>+T13-T236</f>
        <v>0</v>
      </c>
      <c r="U507" s="344">
        <f>+U13-U236</f>
        <v>0</v>
      </c>
      <c r="V507" s="7310">
        <f t="shared" si="597"/>
        <v>0</v>
      </c>
      <c r="W507" s="373">
        <f>+W13-W236</f>
        <v>0</v>
      </c>
      <c r="X507" s="373">
        <f>+X13-X236</f>
        <v>0</v>
      </c>
      <c r="Y507" s="420">
        <f>+Y13-Y236</f>
        <v>0</v>
      </c>
      <c r="Z507" s="7301">
        <f t="shared" si="598"/>
        <v>0</v>
      </c>
      <c r="AA507" s="444">
        <f>+AA13-AA236</f>
        <v>0</v>
      </c>
      <c r="AB507" s="7302">
        <f t="shared" si="599"/>
        <v>0</v>
      </c>
      <c r="AC507" s="373">
        <f>+AC13-AC236</f>
        <v>0</v>
      </c>
      <c r="AD507" s="373">
        <f>+AD13-AD236</f>
        <v>0</v>
      </c>
      <c r="AE507" s="344">
        <f>+AE13-AE236</f>
        <v>0</v>
      </c>
      <c r="AF507" s="7310">
        <f t="shared" si="600"/>
        <v>0</v>
      </c>
      <c r="AG507" s="373">
        <f t="shared" ref="AG507:BF507" si="601">+AG13-AG236</f>
        <v>0</v>
      </c>
      <c r="AH507" s="373">
        <f t="shared" si="601"/>
        <v>0</v>
      </c>
      <c r="AI507" s="344">
        <f t="shared" si="601"/>
        <v>0</v>
      </c>
      <c r="AJ507" s="344">
        <f t="shared" si="601"/>
        <v>0</v>
      </c>
      <c r="AK507" s="373">
        <f t="shared" si="601"/>
        <v>0</v>
      </c>
      <c r="AL507" s="373">
        <f t="shared" si="601"/>
        <v>0</v>
      </c>
      <c r="AM507" s="420">
        <f t="shared" si="601"/>
        <v>0</v>
      </c>
      <c r="AN507" s="420">
        <f t="shared" si="601"/>
        <v>0</v>
      </c>
      <c r="AO507" s="344">
        <f t="shared" si="601"/>
        <v>0</v>
      </c>
      <c r="AP507" s="344">
        <f t="shared" si="601"/>
        <v>0</v>
      </c>
      <c r="AQ507" s="373">
        <f t="shared" si="601"/>
        <v>0</v>
      </c>
      <c r="AR507" s="373">
        <f t="shared" si="601"/>
        <v>0</v>
      </c>
      <c r="AS507" s="344">
        <f t="shared" si="601"/>
        <v>0</v>
      </c>
      <c r="AT507" s="344">
        <f t="shared" si="601"/>
        <v>0</v>
      </c>
      <c r="AU507" s="373">
        <f t="shared" si="601"/>
        <v>0</v>
      </c>
      <c r="AV507" s="373">
        <f t="shared" si="601"/>
        <v>0</v>
      </c>
      <c r="AW507" s="344">
        <f t="shared" si="601"/>
        <v>0</v>
      </c>
      <c r="AX507" s="344">
        <f t="shared" si="601"/>
        <v>0</v>
      </c>
      <c r="AY507" s="373">
        <f t="shared" si="601"/>
        <v>0</v>
      </c>
      <c r="AZ507" s="373">
        <f t="shared" si="601"/>
        <v>0</v>
      </c>
      <c r="BA507" s="420">
        <f t="shared" si="601"/>
        <v>0</v>
      </c>
      <c r="BB507" s="420">
        <f t="shared" si="601"/>
        <v>0</v>
      </c>
      <c r="BC507" s="444">
        <f t="shared" si="601"/>
        <v>0</v>
      </c>
      <c r="BD507" s="444">
        <f t="shared" si="601"/>
        <v>0</v>
      </c>
      <c r="BE507" s="344">
        <f t="shared" si="601"/>
        <v>0</v>
      </c>
      <c r="BF507" s="344">
        <f t="shared" si="601"/>
        <v>0</v>
      </c>
      <c r="BG507" s="4152">
        <f t="shared" si="575"/>
        <v>0</v>
      </c>
      <c r="BH507" s="4152">
        <f t="shared" si="576"/>
        <v>0</v>
      </c>
      <c r="BI507" s="4152"/>
      <c r="BJ507" s="4152">
        <f t="shared" si="577"/>
        <v>0</v>
      </c>
      <c r="BK507" s="4152">
        <f t="shared" si="578"/>
        <v>0</v>
      </c>
    </row>
    <row r="508" spans="1:63" ht="15" customHeight="1" x14ac:dyDescent="0.25">
      <c r="A508" s="144"/>
      <c r="B508" s="7967"/>
      <c r="C508" s="845"/>
      <c r="D508" s="845"/>
      <c r="E508" s="845"/>
      <c r="F508" s="343">
        <f>+F9-F256</f>
        <v>121.35</v>
      </c>
      <c r="G508" s="845"/>
      <c r="H508" s="343">
        <f>+H9-H256</f>
        <v>0</v>
      </c>
      <c r="I508" s="614"/>
      <c r="J508" s="7310">
        <f t="shared" si="594"/>
        <v>121.35</v>
      </c>
      <c r="K508" s="845"/>
      <c r="L508" s="343">
        <f>+L9-L256</f>
        <v>0</v>
      </c>
      <c r="M508" s="613"/>
      <c r="N508" s="7301">
        <f t="shared" si="595"/>
        <v>121.35</v>
      </c>
      <c r="O508" s="845"/>
      <c r="P508" s="343">
        <f>+P9-P256</f>
        <v>0</v>
      </c>
      <c r="Q508" s="614"/>
      <c r="R508" s="7310">
        <f t="shared" si="596"/>
        <v>121.35</v>
      </c>
      <c r="S508" s="845"/>
      <c r="T508" s="343">
        <f>+T9-T256</f>
        <v>0</v>
      </c>
      <c r="U508" s="614"/>
      <c r="V508" s="7310">
        <f t="shared" si="597"/>
        <v>121.35</v>
      </c>
      <c r="W508" s="845"/>
      <c r="X508" s="343">
        <f>+X9-X256</f>
        <v>0</v>
      </c>
      <c r="Y508" s="613"/>
      <c r="Z508" s="7301">
        <f t="shared" si="598"/>
        <v>0</v>
      </c>
      <c r="AA508" s="788"/>
      <c r="AB508" s="7302">
        <f t="shared" si="599"/>
        <v>121.35</v>
      </c>
      <c r="AC508" s="845"/>
      <c r="AD508" s="343">
        <f>+AD9-AD256</f>
        <v>0</v>
      </c>
      <c r="AE508" s="614"/>
      <c r="AF508" s="7310">
        <f t="shared" si="600"/>
        <v>121.35</v>
      </c>
      <c r="AG508" s="845"/>
      <c r="AH508" s="343">
        <f>+AH9-AH256</f>
        <v>0</v>
      </c>
      <c r="AI508" s="614"/>
      <c r="AJ508" s="344">
        <f>+AJ9-AJ256</f>
        <v>121.35000000000008</v>
      </c>
      <c r="AK508" s="845"/>
      <c r="AL508" s="343">
        <f>+AL9-AL256</f>
        <v>0</v>
      </c>
      <c r="AM508" s="613"/>
      <c r="AN508" s="420">
        <f>+AN9-AN256</f>
        <v>0</v>
      </c>
      <c r="AO508" s="614"/>
      <c r="AP508" s="344">
        <f>+AP9-AP256</f>
        <v>121.35000000000014</v>
      </c>
      <c r="AQ508" s="845"/>
      <c r="AR508" s="343">
        <f>+AR9-AR256</f>
        <v>0</v>
      </c>
      <c r="AS508" s="614"/>
      <c r="AT508" s="344">
        <f>+AT9-AT256</f>
        <v>121.35000000000014</v>
      </c>
      <c r="AU508" s="845"/>
      <c r="AV508" s="343">
        <f>+AV9-AV256</f>
        <v>0</v>
      </c>
      <c r="AW508" s="614"/>
      <c r="AX508" s="344">
        <f>+AX9-AX256</f>
        <v>121.35000000000014</v>
      </c>
      <c r="AY508" s="845"/>
      <c r="AZ508" s="343">
        <f>+AZ9-AZ256</f>
        <v>0</v>
      </c>
      <c r="BA508" s="613"/>
      <c r="BB508" s="420">
        <f>+BB9-BB256</f>
        <v>0</v>
      </c>
      <c r="BC508" s="788"/>
      <c r="BD508" s="444">
        <f>+BD9-BD256</f>
        <v>0</v>
      </c>
      <c r="BE508" s="614"/>
      <c r="BF508" s="344">
        <f>+BF9-BF256</f>
        <v>121.35000000000036</v>
      </c>
      <c r="BG508" s="4152">
        <f t="shared" si="575"/>
        <v>0</v>
      </c>
      <c r="BH508" s="4152">
        <f t="shared" si="576"/>
        <v>-3.694822225952521E-13</v>
      </c>
      <c r="BI508" s="4152"/>
      <c r="BJ508" s="4152">
        <f t="shared" si="577"/>
        <v>0</v>
      </c>
      <c r="BK508" s="4152">
        <f t="shared" si="578"/>
        <v>0</v>
      </c>
    </row>
    <row r="509" spans="1:63" ht="15" customHeight="1" x14ac:dyDescent="0.25">
      <c r="A509" s="144"/>
      <c r="B509" s="7967" t="s">
        <v>1096</v>
      </c>
      <c r="C509" s="250"/>
      <c r="D509" s="250"/>
      <c r="E509" s="343">
        <f>+E21-E83</f>
        <v>0</v>
      </c>
      <c r="F509" s="343">
        <f>+F21-F85</f>
        <v>0</v>
      </c>
      <c r="G509" s="343">
        <f>+G21-G83</f>
        <v>0</v>
      </c>
      <c r="H509" s="343">
        <f>+H21-H85</f>
        <v>0</v>
      </c>
      <c r="I509" s="344">
        <f>+I21-I83</f>
        <v>0</v>
      </c>
      <c r="J509" s="7310">
        <f t="shared" si="594"/>
        <v>0</v>
      </c>
      <c r="K509" s="343">
        <f>+K21-K83</f>
        <v>0</v>
      </c>
      <c r="L509" s="343">
        <f>+L21-L85</f>
        <v>0</v>
      </c>
      <c r="M509" s="420">
        <f>+M21-M83</f>
        <v>0</v>
      </c>
      <c r="N509" s="7301">
        <f t="shared" si="595"/>
        <v>0</v>
      </c>
      <c r="O509" s="343">
        <f>+O21-O83</f>
        <v>0</v>
      </c>
      <c r="P509" s="343">
        <f>+P21-P85</f>
        <v>0</v>
      </c>
      <c r="Q509" s="344">
        <f>+Q21-Q83</f>
        <v>0</v>
      </c>
      <c r="R509" s="7310">
        <f t="shared" si="596"/>
        <v>0</v>
      </c>
      <c r="S509" s="343">
        <f>+S21-S83</f>
        <v>0</v>
      </c>
      <c r="T509" s="343">
        <f>+T21-T85</f>
        <v>0</v>
      </c>
      <c r="U509" s="344">
        <f>+U21-U83</f>
        <v>0</v>
      </c>
      <c r="V509" s="7310">
        <f t="shared" si="597"/>
        <v>0</v>
      </c>
      <c r="W509" s="343">
        <f>+W21-W83</f>
        <v>0</v>
      </c>
      <c r="X509" s="343">
        <f>+X21-X85</f>
        <v>0</v>
      </c>
      <c r="Y509" s="420">
        <f>+Y21-Y83</f>
        <v>0</v>
      </c>
      <c r="Z509" s="7301">
        <f t="shared" si="598"/>
        <v>0</v>
      </c>
      <c r="AA509" s="444">
        <f>+AA21-AA83</f>
        <v>0</v>
      </c>
      <c r="AB509" s="7302">
        <f t="shared" si="599"/>
        <v>0</v>
      </c>
      <c r="AC509" s="343">
        <f>+AC21-AC83</f>
        <v>0</v>
      </c>
      <c r="AD509" s="343">
        <f>+AD21-AD85</f>
        <v>0</v>
      </c>
      <c r="AE509" s="344">
        <f>+AE21-AE83</f>
        <v>0</v>
      </c>
      <c r="AF509" s="7310">
        <f t="shared" si="600"/>
        <v>0</v>
      </c>
      <c r="AG509" s="343">
        <f>+AG21-AG83</f>
        <v>0</v>
      </c>
      <c r="AH509" s="343">
        <f>+AH21-AH85</f>
        <v>0</v>
      </c>
      <c r="AI509" s="344">
        <f>+AI21-AI83</f>
        <v>0</v>
      </c>
      <c r="AJ509" s="344">
        <f>+AJ21-AJ85</f>
        <v>0</v>
      </c>
      <c r="AK509" s="343">
        <f>+AK21-AK83</f>
        <v>0</v>
      </c>
      <c r="AL509" s="343">
        <f>+AL21-AL85</f>
        <v>0</v>
      </c>
      <c r="AM509" s="420">
        <f>+AM21-AM83</f>
        <v>0</v>
      </c>
      <c r="AN509" s="420">
        <f>+AN21-AN85</f>
        <v>0</v>
      </c>
      <c r="AO509" s="344">
        <f>+AO21-AO83</f>
        <v>0</v>
      </c>
      <c r="AP509" s="344">
        <f>+AP21-AP85</f>
        <v>0</v>
      </c>
      <c r="AQ509" s="343">
        <f>+AQ21-AQ83</f>
        <v>0</v>
      </c>
      <c r="AR509" s="343">
        <f>+AR21-AR85</f>
        <v>0</v>
      </c>
      <c r="AS509" s="344">
        <f>+AS21-AS83</f>
        <v>0</v>
      </c>
      <c r="AT509" s="344">
        <f>+AT21-AT85</f>
        <v>0</v>
      </c>
      <c r="AU509" s="343">
        <f>+AU21-AU83</f>
        <v>0</v>
      </c>
      <c r="AV509" s="343">
        <f>+AV21-AV85</f>
        <v>0</v>
      </c>
      <c r="AW509" s="344">
        <f>+AW21-AW83</f>
        <v>0</v>
      </c>
      <c r="AX509" s="344">
        <f>+AX21-AX85</f>
        <v>0</v>
      </c>
      <c r="AY509" s="343">
        <f>+AY21-AY83</f>
        <v>0</v>
      </c>
      <c r="AZ509" s="343">
        <f>+AZ21-AZ85</f>
        <v>0</v>
      </c>
      <c r="BA509" s="420">
        <f>+BA21-BA83</f>
        <v>0</v>
      </c>
      <c r="BB509" s="420">
        <f>+BB21-BB85</f>
        <v>0</v>
      </c>
      <c r="BC509" s="444">
        <f>+BC21-BC83</f>
        <v>0</v>
      </c>
      <c r="BD509" s="444">
        <f>+BD21-BD85</f>
        <v>0</v>
      </c>
      <c r="BE509" s="344">
        <f>+BE21-BE83</f>
        <v>0</v>
      </c>
      <c r="BF509" s="344">
        <f>+BF21-BF85</f>
        <v>0</v>
      </c>
      <c r="BG509" s="4152">
        <f t="shared" si="575"/>
        <v>0</v>
      </c>
      <c r="BH509" s="4152">
        <f t="shared" si="576"/>
        <v>0</v>
      </c>
      <c r="BI509" s="4152"/>
      <c r="BJ509" s="4152">
        <f t="shared" si="577"/>
        <v>0</v>
      </c>
      <c r="BK509" s="4152">
        <f t="shared" si="578"/>
        <v>0</v>
      </c>
    </row>
    <row r="510" spans="1:63" ht="21.2" customHeight="1" x14ac:dyDescent="0.25">
      <c r="A510" s="144"/>
      <c r="B510" s="7967"/>
      <c r="C510" s="250"/>
      <c r="D510" s="250"/>
      <c r="E510" s="343">
        <f>+E83-E299</f>
        <v>0</v>
      </c>
      <c r="F510" s="343">
        <f>+F85-F299</f>
        <v>0</v>
      </c>
      <c r="G510" s="343">
        <f>+G83-G299</f>
        <v>0</v>
      </c>
      <c r="H510" s="343">
        <f>+H85-H299</f>
        <v>0</v>
      </c>
      <c r="I510" s="344">
        <f>+I83-I299</f>
        <v>0</v>
      </c>
      <c r="J510" s="7310">
        <f t="shared" si="594"/>
        <v>0</v>
      </c>
      <c r="K510" s="343">
        <f>+K83-K299</f>
        <v>0</v>
      </c>
      <c r="L510" s="343">
        <f>+L85-L299</f>
        <v>0</v>
      </c>
      <c r="M510" s="420">
        <f>+M83-M299</f>
        <v>0</v>
      </c>
      <c r="N510" s="7301">
        <f t="shared" si="595"/>
        <v>0</v>
      </c>
      <c r="O510" s="343">
        <f>+O83-O299</f>
        <v>0</v>
      </c>
      <c r="P510" s="343">
        <f>+P85-P299</f>
        <v>0</v>
      </c>
      <c r="Q510" s="344">
        <f>+Q83-Q299</f>
        <v>0</v>
      </c>
      <c r="R510" s="7310">
        <f t="shared" si="596"/>
        <v>0</v>
      </c>
      <c r="S510" s="343">
        <f>+S83-S299</f>
        <v>0</v>
      </c>
      <c r="T510" s="343">
        <f>+T85-T299</f>
        <v>0</v>
      </c>
      <c r="U510" s="344">
        <f>+U83-U299</f>
        <v>0</v>
      </c>
      <c r="V510" s="7310">
        <f t="shared" si="597"/>
        <v>0</v>
      </c>
      <c r="W510" s="343">
        <f>+W83-W299</f>
        <v>0</v>
      </c>
      <c r="X510" s="343">
        <f>+X85-X299</f>
        <v>0</v>
      </c>
      <c r="Y510" s="420">
        <f>+Y83-Y299</f>
        <v>0</v>
      </c>
      <c r="Z510" s="7301">
        <f t="shared" si="598"/>
        <v>0</v>
      </c>
      <c r="AA510" s="444">
        <f>+AA83-AA299</f>
        <v>0</v>
      </c>
      <c r="AB510" s="7302">
        <f t="shared" si="599"/>
        <v>0</v>
      </c>
      <c r="AC510" s="343">
        <f>+AC83-AC299</f>
        <v>0</v>
      </c>
      <c r="AD510" s="343">
        <f>+AD85-AD299</f>
        <v>0</v>
      </c>
      <c r="AE510" s="344">
        <f>+AE83-AE299</f>
        <v>0</v>
      </c>
      <c r="AF510" s="7310">
        <f t="shared" si="600"/>
        <v>0</v>
      </c>
      <c r="AG510" s="343">
        <f>+AG83-AG299</f>
        <v>0</v>
      </c>
      <c r="AH510" s="343">
        <f>+AH85-AH299</f>
        <v>0</v>
      </c>
      <c r="AI510" s="344">
        <f>+AI83-AI299</f>
        <v>0</v>
      </c>
      <c r="AJ510" s="344">
        <f>+AJ85-AJ299</f>
        <v>0</v>
      </c>
      <c r="AK510" s="343">
        <f>+AK83-AK299</f>
        <v>0</v>
      </c>
      <c r="AL510" s="343">
        <f>+AL85-AL299</f>
        <v>0</v>
      </c>
      <c r="AM510" s="420">
        <f>+AM83-AM299</f>
        <v>0</v>
      </c>
      <c r="AN510" s="420">
        <f>+AN85-AN299</f>
        <v>0</v>
      </c>
      <c r="AO510" s="344">
        <f>+AO83-AO299</f>
        <v>0</v>
      </c>
      <c r="AP510" s="344">
        <f>+AP85-AP299</f>
        <v>0</v>
      </c>
      <c r="AQ510" s="343">
        <f>+AQ83-AQ299</f>
        <v>0</v>
      </c>
      <c r="AR510" s="343">
        <f>+AR85-AR299</f>
        <v>0</v>
      </c>
      <c r="AS510" s="344">
        <f>+AS83-AS299</f>
        <v>0</v>
      </c>
      <c r="AT510" s="344">
        <f>+AT85-AT299</f>
        <v>0</v>
      </c>
      <c r="AU510" s="343">
        <f>+AU83-AU299</f>
        <v>0</v>
      </c>
      <c r="AV510" s="343">
        <f>+AV85-AV299</f>
        <v>0</v>
      </c>
      <c r="AW510" s="344">
        <f>+AW83-AW299</f>
        <v>0</v>
      </c>
      <c r="AX510" s="344">
        <f>+AX85-AX299</f>
        <v>0</v>
      </c>
      <c r="AY510" s="343">
        <f>+AY83-AY299</f>
        <v>0</v>
      </c>
      <c r="AZ510" s="343">
        <f>+AZ85-AZ299</f>
        <v>0</v>
      </c>
      <c r="BA510" s="420">
        <f>+BA83-BA299</f>
        <v>0</v>
      </c>
      <c r="BB510" s="420">
        <f>+BB85-BB299</f>
        <v>0</v>
      </c>
      <c r="BC510" s="444">
        <f>+BC83-BC299</f>
        <v>0</v>
      </c>
      <c r="BD510" s="444">
        <f>+BD85-BD299</f>
        <v>0</v>
      </c>
      <c r="BE510" s="344">
        <f>+BE83-BE299</f>
        <v>0</v>
      </c>
      <c r="BF510" s="344">
        <f>+BF85-BF299</f>
        <v>0</v>
      </c>
      <c r="BG510" s="4152">
        <f t="shared" si="575"/>
        <v>0</v>
      </c>
      <c r="BH510" s="4152">
        <f t="shared" si="576"/>
        <v>0</v>
      </c>
      <c r="BI510" s="4152"/>
      <c r="BJ510" s="4152">
        <f t="shared" si="577"/>
        <v>0</v>
      </c>
      <c r="BK510" s="4152">
        <f t="shared" si="578"/>
        <v>0</v>
      </c>
    </row>
    <row r="511" spans="1:63" ht="15" customHeight="1" x14ac:dyDescent="0.25">
      <c r="A511" s="144"/>
      <c r="B511" s="7967"/>
      <c r="C511" s="250"/>
      <c r="D511" s="250"/>
      <c r="E511" s="343">
        <f>+E21-E299</f>
        <v>0</v>
      </c>
      <c r="F511" s="343">
        <f>+F21-F299</f>
        <v>0</v>
      </c>
      <c r="G511" s="343">
        <f>+G21-G299</f>
        <v>0</v>
      </c>
      <c r="H511" s="343">
        <f>+H21-H299</f>
        <v>0</v>
      </c>
      <c r="I511" s="344">
        <f>+I21-I299</f>
        <v>0</v>
      </c>
      <c r="J511" s="7310">
        <f t="shared" si="594"/>
        <v>0</v>
      </c>
      <c r="K511" s="343">
        <f>+K21-K299</f>
        <v>0</v>
      </c>
      <c r="L511" s="343">
        <f>+L21-L299</f>
        <v>0</v>
      </c>
      <c r="M511" s="420">
        <f>+M21-M299</f>
        <v>0</v>
      </c>
      <c r="N511" s="7301">
        <f t="shared" si="595"/>
        <v>0</v>
      </c>
      <c r="O511" s="343">
        <f>+O21-O299</f>
        <v>0</v>
      </c>
      <c r="P511" s="343">
        <f>+P21-P299</f>
        <v>0</v>
      </c>
      <c r="Q511" s="344">
        <f>+Q21-Q299</f>
        <v>0</v>
      </c>
      <c r="R511" s="7310">
        <f t="shared" si="596"/>
        <v>0</v>
      </c>
      <c r="S511" s="343">
        <f>+S21-S299</f>
        <v>0</v>
      </c>
      <c r="T511" s="343">
        <f>+T21-T299</f>
        <v>0</v>
      </c>
      <c r="U511" s="344">
        <f>+U21-U299</f>
        <v>0</v>
      </c>
      <c r="V511" s="7310">
        <f t="shared" si="597"/>
        <v>0</v>
      </c>
      <c r="W511" s="343">
        <f>+W21-W299</f>
        <v>0</v>
      </c>
      <c r="X511" s="343">
        <f>+X21-X299</f>
        <v>0</v>
      </c>
      <c r="Y511" s="420">
        <f>+Y21-Y299</f>
        <v>0</v>
      </c>
      <c r="Z511" s="7301">
        <f t="shared" si="598"/>
        <v>0</v>
      </c>
      <c r="AA511" s="444">
        <f>+AA21-AA299</f>
        <v>0</v>
      </c>
      <c r="AB511" s="7302">
        <f t="shared" si="599"/>
        <v>0</v>
      </c>
      <c r="AC511" s="343">
        <f>+AC21-AC299</f>
        <v>0</v>
      </c>
      <c r="AD511" s="343">
        <f>+AD21-AD299</f>
        <v>0</v>
      </c>
      <c r="AE511" s="344">
        <f>+AE21-AE299</f>
        <v>0</v>
      </c>
      <c r="AF511" s="7310">
        <f t="shared" si="600"/>
        <v>0</v>
      </c>
      <c r="AG511" s="343">
        <f t="shared" ref="AG511:BF511" si="602">+AG21-AG299</f>
        <v>0</v>
      </c>
      <c r="AH511" s="343">
        <f t="shared" si="602"/>
        <v>0</v>
      </c>
      <c r="AI511" s="344">
        <f t="shared" si="602"/>
        <v>0</v>
      </c>
      <c r="AJ511" s="344">
        <f t="shared" si="602"/>
        <v>0</v>
      </c>
      <c r="AK511" s="343">
        <f t="shared" si="602"/>
        <v>0</v>
      </c>
      <c r="AL511" s="343">
        <f t="shared" si="602"/>
        <v>0</v>
      </c>
      <c r="AM511" s="420">
        <f t="shared" si="602"/>
        <v>0</v>
      </c>
      <c r="AN511" s="420">
        <f t="shared" si="602"/>
        <v>0</v>
      </c>
      <c r="AO511" s="344">
        <f t="shared" si="602"/>
        <v>0</v>
      </c>
      <c r="AP511" s="344">
        <f t="shared" si="602"/>
        <v>0</v>
      </c>
      <c r="AQ511" s="343">
        <f t="shared" si="602"/>
        <v>0</v>
      </c>
      <c r="AR511" s="343">
        <f t="shared" si="602"/>
        <v>0</v>
      </c>
      <c r="AS511" s="344">
        <f t="shared" si="602"/>
        <v>0</v>
      </c>
      <c r="AT511" s="344">
        <f t="shared" si="602"/>
        <v>0</v>
      </c>
      <c r="AU511" s="343">
        <f t="shared" si="602"/>
        <v>0</v>
      </c>
      <c r="AV511" s="343">
        <f t="shared" si="602"/>
        <v>0</v>
      </c>
      <c r="AW511" s="344">
        <f t="shared" si="602"/>
        <v>0</v>
      </c>
      <c r="AX511" s="344">
        <f t="shared" si="602"/>
        <v>0</v>
      </c>
      <c r="AY511" s="343">
        <f t="shared" si="602"/>
        <v>0</v>
      </c>
      <c r="AZ511" s="343">
        <f t="shared" si="602"/>
        <v>0</v>
      </c>
      <c r="BA511" s="420">
        <f t="shared" si="602"/>
        <v>0</v>
      </c>
      <c r="BB511" s="420">
        <f t="shared" si="602"/>
        <v>0</v>
      </c>
      <c r="BC511" s="444">
        <f t="shared" si="602"/>
        <v>0</v>
      </c>
      <c r="BD511" s="444">
        <f t="shared" si="602"/>
        <v>0</v>
      </c>
      <c r="BE511" s="344">
        <f t="shared" si="602"/>
        <v>0</v>
      </c>
      <c r="BF511" s="344">
        <f t="shared" si="602"/>
        <v>0</v>
      </c>
      <c r="BG511" s="4152">
        <f t="shared" si="575"/>
        <v>0</v>
      </c>
      <c r="BH511" s="4152">
        <f t="shared" si="576"/>
        <v>0</v>
      </c>
      <c r="BI511" s="4152"/>
      <c r="BJ511" s="4152">
        <f t="shared" si="577"/>
        <v>0</v>
      </c>
      <c r="BK511" s="4152">
        <f t="shared" si="578"/>
        <v>0</v>
      </c>
    </row>
    <row r="512" spans="1:63" ht="15" customHeight="1" x14ac:dyDescent="0.25">
      <c r="A512" s="144"/>
      <c r="B512" s="7967"/>
      <c r="C512" s="250"/>
      <c r="D512" s="250"/>
      <c r="E512" s="845"/>
      <c r="F512" s="343">
        <f>+F17-F304</f>
        <v>0</v>
      </c>
      <c r="G512" s="845"/>
      <c r="H512" s="343">
        <f>+H17-H304</f>
        <v>0</v>
      </c>
      <c r="I512" s="614"/>
      <c r="J512" s="7310">
        <f t="shared" si="594"/>
        <v>0</v>
      </c>
      <c r="K512" s="845"/>
      <c r="L512" s="343">
        <f>+L17-L304</f>
        <v>0</v>
      </c>
      <c r="M512" s="613"/>
      <c r="N512" s="7301">
        <f t="shared" si="595"/>
        <v>0</v>
      </c>
      <c r="O512" s="845"/>
      <c r="P512" s="343">
        <f>+P17-P304</f>
        <v>0</v>
      </c>
      <c r="Q512" s="614"/>
      <c r="R512" s="7310">
        <f t="shared" si="596"/>
        <v>0</v>
      </c>
      <c r="S512" s="845"/>
      <c r="T512" s="343">
        <f>+T17-T304</f>
        <v>0</v>
      </c>
      <c r="U512" s="614"/>
      <c r="V512" s="7310">
        <f t="shared" si="597"/>
        <v>0</v>
      </c>
      <c r="W512" s="845"/>
      <c r="X512" s="343">
        <f>+X17-X304</f>
        <v>0</v>
      </c>
      <c r="Y512" s="613"/>
      <c r="Z512" s="7301">
        <f t="shared" si="598"/>
        <v>0</v>
      </c>
      <c r="AA512" s="788"/>
      <c r="AB512" s="7302">
        <f t="shared" si="599"/>
        <v>0</v>
      </c>
      <c r="AC512" s="845"/>
      <c r="AD512" s="343">
        <f>+AD17-AD304</f>
        <v>0</v>
      </c>
      <c r="AE512" s="614"/>
      <c r="AF512" s="7310">
        <f t="shared" si="600"/>
        <v>0</v>
      </c>
      <c r="AG512" s="845"/>
      <c r="AH512" s="343">
        <f>+AH17-AH304</f>
        <v>0</v>
      </c>
      <c r="AI512" s="614"/>
      <c r="AJ512" s="344">
        <f>+AJ17-AJ304</f>
        <v>0</v>
      </c>
      <c r="AK512" s="845"/>
      <c r="AL512" s="343">
        <f>+AL17-AL304</f>
        <v>0</v>
      </c>
      <c r="AM512" s="613"/>
      <c r="AN512" s="420">
        <f>+AN17-AN304</f>
        <v>0</v>
      </c>
      <c r="AO512" s="614"/>
      <c r="AP512" s="344">
        <f>+AP17-AP304</f>
        <v>0</v>
      </c>
      <c r="AQ512" s="845"/>
      <c r="AR512" s="343">
        <f>+AR17-AR304</f>
        <v>0</v>
      </c>
      <c r="AS512" s="614"/>
      <c r="AT512" s="344">
        <f>+AT17-AT304</f>
        <v>0</v>
      </c>
      <c r="AU512" s="845"/>
      <c r="AV512" s="343">
        <f>+AV17-AV304</f>
        <v>0</v>
      </c>
      <c r="AW512" s="614"/>
      <c r="AX512" s="344">
        <f>+AX17-AX304</f>
        <v>0</v>
      </c>
      <c r="AY512" s="845"/>
      <c r="AZ512" s="343">
        <f>+AZ17-AZ304</f>
        <v>0</v>
      </c>
      <c r="BA512" s="613"/>
      <c r="BB512" s="420">
        <f>+BB17-BB304</f>
        <v>0</v>
      </c>
      <c r="BC512" s="788"/>
      <c r="BD512" s="444">
        <f>+BD17-BD304</f>
        <v>0</v>
      </c>
      <c r="BE512" s="614"/>
      <c r="BF512" s="344">
        <f>+BF17-BF304</f>
        <v>0</v>
      </c>
      <c r="BG512" s="4152">
        <f t="shared" si="575"/>
        <v>0</v>
      </c>
      <c r="BH512" s="4152">
        <f t="shared" si="576"/>
        <v>0</v>
      </c>
      <c r="BI512" s="4152"/>
      <c r="BJ512" s="4152">
        <f t="shared" si="577"/>
        <v>0</v>
      </c>
      <c r="BK512" s="4152">
        <f t="shared" si="578"/>
        <v>0</v>
      </c>
    </row>
    <row r="513" spans="1:63" ht="15" customHeight="1" x14ac:dyDescent="0.25">
      <c r="A513" s="144"/>
      <c r="B513" s="7967" t="s">
        <v>1097</v>
      </c>
      <c r="C513" s="610"/>
      <c r="D513" s="610"/>
      <c r="E513" s="373">
        <f>+E29-E87</f>
        <v>0</v>
      </c>
      <c r="F513" s="373">
        <f>+F29-F89</f>
        <v>0</v>
      </c>
      <c r="G513" s="373">
        <f>+G29-G87</f>
        <v>0</v>
      </c>
      <c r="H513" s="373">
        <f>+H29-H89</f>
        <v>0</v>
      </c>
      <c r="I513" s="344">
        <f>+I29-I87</f>
        <v>0</v>
      </c>
      <c r="J513" s="7310">
        <f t="shared" si="594"/>
        <v>0</v>
      </c>
      <c r="K513" s="373">
        <f>+K29-K87</f>
        <v>0</v>
      </c>
      <c r="L513" s="373">
        <f>+L29-L89</f>
        <v>0</v>
      </c>
      <c r="M513" s="420">
        <f>+M29-M87</f>
        <v>0</v>
      </c>
      <c r="N513" s="7301">
        <f t="shared" si="595"/>
        <v>0</v>
      </c>
      <c r="O513" s="373">
        <f>+O29-O87</f>
        <v>0</v>
      </c>
      <c r="P513" s="373">
        <f>+P29-P89</f>
        <v>0</v>
      </c>
      <c r="Q513" s="344">
        <f>+Q29-Q87</f>
        <v>0</v>
      </c>
      <c r="R513" s="7310">
        <f t="shared" si="596"/>
        <v>0</v>
      </c>
      <c r="S513" s="373">
        <f>+S29-S87</f>
        <v>0</v>
      </c>
      <c r="T513" s="373">
        <f>+T29-T89</f>
        <v>0</v>
      </c>
      <c r="U513" s="344">
        <f>+U29-U87</f>
        <v>0</v>
      </c>
      <c r="V513" s="7310">
        <f t="shared" si="597"/>
        <v>0</v>
      </c>
      <c r="W513" s="373">
        <f>+W29-W87</f>
        <v>0</v>
      </c>
      <c r="X513" s="373">
        <f>+X29-X89</f>
        <v>0</v>
      </c>
      <c r="Y513" s="420">
        <f>+Y29-Y87</f>
        <v>0</v>
      </c>
      <c r="Z513" s="7301">
        <f t="shared" si="598"/>
        <v>0</v>
      </c>
      <c r="AA513" s="444">
        <f>+AA29-AA87</f>
        <v>0</v>
      </c>
      <c r="AB513" s="7302">
        <f t="shared" si="599"/>
        <v>0</v>
      </c>
      <c r="AC513" s="373">
        <f>+AC29-AC87</f>
        <v>0</v>
      </c>
      <c r="AD513" s="373">
        <f>+AD29-AD89</f>
        <v>0</v>
      </c>
      <c r="AE513" s="344">
        <f>+AE29-AE87</f>
        <v>0</v>
      </c>
      <c r="AF513" s="7310">
        <f t="shared" si="600"/>
        <v>0</v>
      </c>
      <c r="AG513" s="373">
        <f>+AG29-AG87</f>
        <v>0</v>
      </c>
      <c r="AH513" s="373">
        <f>+AH29-AH89</f>
        <v>0</v>
      </c>
      <c r="AI513" s="344">
        <f>+AI29-AI87</f>
        <v>0</v>
      </c>
      <c r="AJ513" s="344">
        <f>+AJ29-AJ89</f>
        <v>0</v>
      </c>
      <c r="AK513" s="373">
        <f>+AK29-AK87</f>
        <v>0</v>
      </c>
      <c r="AL513" s="373">
        <f>+AL29-AL89</f>
        <v>0</v>
      </c>
      <c r="AM513" s="420">
        <f>+AM29-AM87</f>
        <v>0</v>
      </c>
      <c r="AN513" s="420">
        <f>+AN29-AN89</f>
        <v>0</v>
      </c>
      <c r="AO513" s="344">
        <f>+AO29-AO87</f>
        <v>0</v>
      </c>
      <c r="AP513" s="344">
        <f>+AP29-AP89</f>
        <v>0</v>
      </c>
      <c r="AQ513" s="373">
        <f>+AQ29-AQ87</f>
        <v>0</v>
      </c>
      <c r="AR513" s="373">
        <f>+AR29-AR89</f>
        <v>0</v>
      </c>
      <c r="AS513" s="344">
        <f>+AS29-AS87</f>
        <v>0</v>
      </c>
      <c r="AT513" s="344">
        <f>+AT29-AT89</f>
        <v>0</v>
      </c>
      <c r="AU513" s="373">
        <f>+AU29-AU87</f>
        <v>0</v>
      </c>
      <c r="AV513" s="373">
        <f>+AV29-AV89</f>
        <v>0</v>
      </c>
      <c r="AW513" s="344">
        <f>+AW29-AW87</f>
        <v>0</v>
      </c>
      <c r="AX513" s="344">
        <f>+AX29-AX89</f>
        <v>0</v>
      </c>
      <c r="AY513" s="373">
        <f>+AY29-AY87</f>
        <v>0</v>
      </c>
      <c r="AZ513" s="373">
        <f>+AZ29-AZ89</f>
        <v>0</v>
      </c>
      <c r="BA513" s="420">
        <f>+BA29-BA87</f>
        <v>0</v>
      </c>
      <c r="BB513" s="420">
        <f>+BB29-BB89</f>
        <v>0</v>
      </c>
      <c r="BC513" s="444">
        <f>+BC29-BC87</f>
        <v>0</v>
      </c>
      <c r="BD513" s="444">
        <f>+BD29-BD89</f>
        <v>0</v>
      </c>
      <c r="BE513" s="344">
        <f>+BE29-BE87</f>
        <v>0</v>
      </c>
      <c r="BF513" s="344">
        <f>+BF29-BF89</f>
        <v>0</v>
      </c>
      <c r="BG513" s="4152">
        <f t="shared" si="575"/>
        <v>0</v>
      </c>
      <c r="BH513" s="4152">
        <f t="shared" si="576"/>
        <v>0</v>
      </c>
      <c r="BI513" s="4152"/>
      <c r="BJ513" s="4152">
        <f t="shared" si="577"/>
        <v>0</v>
      </c>
      <c r="BK513" s="4152">
        <f t="shared" si="578"/>
        <v>0</v>
      </c>
    </row>
    <row r="514" spans="1:63" ht="15" customHeight="1" x14ac:dyDescent="0.25">
      <c r="A514" s="144"/>
      <c r="B514" s="7967"/>
      <c r="C514" s="610"/>
      <c r="D514" s="610"/>
      <c r="E514" s="373">
        <f>+E87-E416</f>
        <v>0</v>
      </c>
      <c r="F514" s="373">
        <f>+F89-F416</f>
        <v>0</v>
      </c>
      <c r="G514" s="373">
        <f>+G87-G416</f>
        <v>0</v>
      </c>
      <c r="H514" s="373">
        <f>+H89-H416</f>
        <v>0</v>
      </c>
      <c r="I514" s="344">
        <f>+I87-I416</f>
        <v>0</v>
      </c>
      <c r="J514" s="7310">
        <f t="shared" si="594"/>
        <v>0</v>
      </c>
      <c r="K514" s="373">
        <f>+K87-K416</f>
        <v>0</v>
      </c>
      <c r="L514" s="373">
        <f>+L89-L416</f>
        <v>0</v>
      </c>
      <c r="M514" s="420">
        <f>+M87-M416</f>
        <v>0</v>
      </c>
      <c r="N514" s="7301">
        <f t="shared" si="595"/>
        <v>0</v>
      </c>
      <c r="O514" s="373">
        <f>+O87-O416</f>
        <v>0</v>
      </c>
      <c r="P514" s="373">
        <f>+P89-P416</f>
        <v>0</v>
      </c>
      <c r="Q514" s="344">
        <f>+Q87-Q416</f>
        <v>0</v>
      </c>
      <c r="R514" s="7310">
        <f t="shared" si="596"/>
        <v>0</v>
      </c>
      <c r="S514" s="373">
        <f>+S87-S416</f>
        <v>0</v>
      </c>
      <c r="T514" s="373">
        <f>+T89-T416</f>
        <v>0</v>
      </c>
      <c r="U514" s="344">
        <f>+U87-U416</f>
        <v>0</v>
      </c>
      <c r="V514" s="7310">
        <f t="shared" si="597"/>
        <v>0</v>
      </c>
      <c r="W514" s="373">
        <f>+W87-W416</f>
        <v>0</v>
      </c>
      <c r="X514" s="373">
        <f>+X89-X416</f>
        <v>0</v>
      </c>
      <c r="Y514" s="420">
        <f>+Y87-Y416</f>
        <v>0</v>
      </c>
      <c r="Z514" s="7301">
        <f t="shared" si="598"/>
        <v>0</v>
      </c>
      <c r="AA514" s="444">
        <f>+AA87-AA416</f>
        <v>0</v>
      </c>
      <c r="AB514" s="7302">
        <f t="shared" si="599"/>
        <v>0</v>
      </c>
      <c r="AC514" s="373">
        <f>+AC87-AC416</f>
        <v>0</v>
      </c>
      <c r="AD514" s="373">
        <f>+AD89-AD416</f>
        <v>0</v>
      </c>
      <c r="AE514" s="344">
        <f>+AE87-AE416</f>
        <v>0</v>
      </c>
      <c r="AF514" s="7310">
        <f t="shared" si="600"/>
        <v>0</v>
      </c>
      <c r="AG514" s="373">
        <f>+AG87-AG416</f>
        <v>0</v>
      </c>
      <c r="AH514" s="373">
        <f>+AH89-AH416</f>
        <v>0</v>
      </c>
      <c r="AI514" s="344">
        <f>+AI87-AI416</f>
        <v>0</v>
      </c>
      <c r="AJ514" s="344">
        <f>+AJ89-AJ416</f>
        <v>0</v>
      </c>
      <c r="AK514" s="373">
        <f>+AK87-AK416</f>
        <v>0</v>
      </c>
      <c r="AL514" s="373">
        <f>+AL89-AL416</f>
        <v>0</v>
      </c>
      <c r="AM514" s="420">
        <f>+AM87-AM416</f>
        <v>0</v>
      </c>
      <c r="AN514" s="420">
        <f>+AN89-AN416</f>
        <v>0</v>
      </c>
      <c r="AO514" s="344">
        <f>+AO87-AO416</f>
        <v>0</v>
      </c>
      <c r="AP514" s="344">
        <f>+AP89-AP416</f>
        <v>0</v>
      </c>
      <c r="AQ514" s="373">
        <f>+AQ87-AQ416</f>
        <v>0</v>
      </c>
      <c r="AR514" s="373">
        <f>+AR89-AR416</f>
        <v>0</v>
      </c>
      <c r="AS514" s="344">
        <f>+AS87-AS416</f>
        <v>0</v>
      </c>
      <c r="AT514" s="344">
        <f>+AT89-AT416</f>
        <v>0</v>
      </c>
      <c r="AU514" s="373">
        <f>+AU87-AU416</f>
        <v>0</v>
      </c>
      <c r="AV514" s="373">
        <f>+AV89-AV416</f>
        <v>0</v>
      </c>
      <c r="AW514" s="344">
        <f>+AW87-AW416</f>
        <v>0</v>
      </c>
      <c r="AX514" s="344">
        <f>+AX89-AX416</f>
        <v>0</v>
      </c>
      <c r="AY514" s="373">
        <f>+AY87-AY416</f>
        <v>0</v>
      </c>
      <c r="AZ514" s="373">
        <f>+AZ89-AZ416</f>
        <v>0</v>
      </c>
      <c r="BA514" s="420">
        <f>+BA87-BA416</f>
        <v>0</v>
      </c>
      <c r="BB514" s="420">
        <f>+BB89-BB416</f>
        <v>0</v>
      </c>
      <c r="BC514" s="444">
        <f>+BC87-BC416</f>
        <v>0</v>
      </c>
      <c r="BD514" s="444">
        <f>+BD89-BD416</f>
        <v>0</v>
      </c>
      <c r="BE514" s="344">
        <f>+BE87-BE416</f>
        <v>0</v>
      </c>
      <c r="BF514" s="344">
        <f>+BF89-BF416</f>
        <v>0</v>
      </c>
      <c r="BG514" s="4152">
        <f t="shared" si="575"/>
        <v>0</v>
      </c>
      <c r="BH514" s="4152">
        <f t="shared" si="576"/>
        <v>0</v>
      </c>
      <c r="BI514" s="4152"/>
      <c r="BJ514" s="4152">
        <f t="shared" si="577"/>
        <v>0</v>
      </c>
      <c r="BK514" s="4152">
        <f t="shared" si="578"/>
        <v>0</v>
      </c>
    </row>
    <row r="515" spans="1:63" ht="15" customHeight="1" x14ac:dyDescent="0.25">
      <c r="A515" s="144"/>
      <c r="B515" s="7967"/>
      <c r="C515" s="610"/>
      <c r="D515" s="610"/>
      <c r="E515" s="373">
        <f>E29-E416</f>
        <v>0</v>
      </c>
      <c r="F515" s="373">
        <f>+F29-F416</f>
        <v>0</v>
      </c>
      <c r="G515" s="373">
        <f>G29-G416</f>
        <v>0</v>
      </c>
      <c r="H515" s="373">
        <f>+H29-H416</f>
        <v>0</v>
      </c>
      <c r="I515" s="344">
        <f>I29-I416</f>
        <v>0</v>
      </c>
      <c r="J515" s="7310">
        <f t="shared" si="594"/>
        <v>0</v>
      </c>
      <c r="K515" s="373">
        <f>K29-K416</f>
        <v>0</v>
      </c>
      <c r="L515" s="373">
        <f>+L29-L416</f>
        <v>0</v>
      </c>
      <c r="M515" s="420">
        <f>M29-M416</f>
        <v>0</v>
      </c>
      <c r="N515" s="7301">
        <f t="shared" si="595"/>
        <v>0</v>
      </c>
      <c r="O515" s="373">
        <f>O29-O416</f>
        <v>0</v>
      </c>
      <c r="P515" s="373">
        <f>+P29-P416</f>
        <v>0</v>
      </c>
      <c r="Q515" s="344">
        <f>Q29-Q416</f>
        <v>0</v>
      </c>
      <c r="R515" s="7310">
        <f t="shared" si="596"/>
        <v>0</v>
      </c>
      <c r="S515" s="373">
        <f>S29-S416</f>
        <v>0</v>
      </c>
      <c r="T515" s="373">
        <f>+T29-T416</f>
        <v>0</v>
      </c>
      <c r="U515" s="344">
        <f>U29-U416</f>
        <v>0</v>
      </c>
      <c r="V515" s="7310">
        <f t="shared" si="597"/>
        <v>0</v>
      </c>
      <c r="W515" s="373">
        <f>W29-W416</f>
        <v>0</v>
      </c>
      <c r="X515" s="373">
        <f>+X29-X416</f>
        <v>0</v>
      </c>
      <c r="Y515" s="420">
        <f>Y29-Y416</f>
        <v>0</v>
      </c>
      <c r="Z515" s="7301">
        <f t="shared" si="598"/>
        <v>0</v>
      </c>
      <c r="AA515" s="444">
        <f>AA29-AA416</f>
        <v>0</v>
      </c>
      <c r="AB515" s="7302">
        <f t="shared" si="599"/>
        <v>0</v>
      </c>
      <c r="AC515" s="373">
        <f>AC29-AC416</f>
        <v>0</v>
      </c>
      <c r="AD515" s="373">
        <f>+AD29-AD416</f>
        <v>0</v>
      </c>
      <c r="AE515" s="344">
        <f>AE29-AE416</f>
        <v>0</v>
      </c>
      <c r="AF515" s="7310">
        <f t="shared" si="600"/>
        <v>0</v>
      </c>
      <c r="AG515" s="373">
        <f>AG29-AG416</f>
        <v>0</v>
      </c>
      <c r="AH515" s="373">
        <f>+AH29-AH416</f>
        <v>0</v>
      </c>
      <c r="AI515" s="344">
        <f>AI29-AI416</f>
        <v>0</v>
      </c>
      <c r="AJ515" s="344">
        <f>+AJ29-AJ416</f>
        <v>0</v>
      </c>
      <c r="AK515" s="373">
        <f>AK29-AK416</f>
        <v>0</v>
      </c>
      <c r="AL515" s="373">
        <f>+AL29-AL416</f>
        <v>0</v>
      </c>
      <c r="AM515" s="420">
        <f>AM29-AM416</f>
        <v>0</v>
      </c>
      <c r="AN515" s="420">
        <f>+AN29-AN416</f>
        <v>0</v>
      </c>
      <c r="AO515" s="344">
        <f>AO29-AO416</f>
        <v>0</v>
      </c>
      <c r="AP515" s="344">
        <f>+AP29-AP416</f>
        <v>0</v>
      </c>
      <c r="AQ515" s="373">
        <f>AQ29-AQ416</f>
        <v>0</v>
      </c>
      <c r="AR515" s="373">
        <f>+AR29-AR416</f>
        <v>0</v>
      </c>
      <c r="AS515" s="344">
        <f>AS29-AS416</f>
        <v>0</v>
      </c>
      <c r="AT515" s="344">
        <f>+AT29-AT416</f>
        <v>0</v>
      </c>
      <c r="AU515" s="373">
        <f>AU29-AU416</f>
        <v>0</v>
      </c>
      <c r="AV515" s="373">
        <f>+AV29-AV416</f>
        <v>0</v>
      </c>
      <c r="AW515" s="344">
        <f>AW29-AW416</f>
        <v>0</v>
      </c>
      <c r="AX515" s="344">
        <f>+AX29-AX416</f>
        <v>0</v>
      </c>
      <c r="AY515" s="373">
        <f>AY29-AY416</f>
        <v>0</v>
      </c>
      <c r="AZ515" s="373">
        <f>+AZ29-AZ416</f>
        <v>0</v>
      </c>
      <c r="BA515" s="420">
        <f>BA29-BA416</f>
        <v>0</v>
      </c>
      <c r="BB515" s="420">
        <f>+BB29-BB416</f>
        <v>0</v>
      </c>
      <c r="BC515" s="444">
        <f>BC29-BC416</f>
        <v>0</v>
      </c>
      <c r="BD515" s="444">
        <f>+BD29-BD416</f>
        <v>0</v>
      </c>
      <c r="BE515" s="344">
        <f>BE29-BE416</f>
        <v>0</v>
      </c>
      <c r="BF515" s="344">
        <f>+BF29-BF416</f>
        <v>0</v>
      </c>
      <c r="BG515" s="4152">
        <f t="shared" si="575"/>
        <v>0</v>
      </c>
      <c r="BH515" s="4152">
        <f t="shared" si="576"/>
        <v>0</v>
      </c>
      <c r="BI515" s="4152"/>
      <c r="BJ515" s="4152">
        <f t="shared" si="577"/>
        <v>0</v>
      </c>
      <c r="BK515" s="4152">
        <f t="shared" si="578"/>
        <v>0</v>
      </c>
    </row>
    <row r="516" spans="1:63" ht="15" customHeight="1" x14ac:dyDescent="0.25">
      <c r="A516" s="144"/>
      <c r="B516" s="7967"/>
      <c r="C516" s="610"/>
      <c r="D516" s="610"/>
      <c r="E516" s="787"/>
      <c r="F516" s="373">
        <f>+F25-F431</f>
        <v>164.46</v>
      </c>
      <c r="G516" s="787"/>
      <c r="H516" s="373">
        <f>+H25-H431</f>
        <v>0</v>
      </c>
      <c r="I516" s="614"/>
      <c r="J516" s="7310">
        <f t="shared" si="594"/>
        <v>164.46</v>
      </c>
      <c r="K516" s="787"/>
      <c r="L516" s="373">
        <f>+L25-L431</f>
        <v>0</v>
      </c>
      <c r="M516" s="613"/>
      <c r="N516" s="7301">
        <f t="shared" si="595"/>
        <v>164.46</v>
      </c>
      <c r="O516" s="787"/>
      <c r="P516" s="373">
        <f>+P25-P431</f>
        <v>0</v>
      </c>
      <c r="Q516" s="614"/>
      <c r="R516" s="7310">
        <f t="shared" si="596"/>
        <v>164.46</v>
      </c>
      <c r="S516" s="787"/>
      <c r="T516" s="373">
        <f>+T25-T431</f>
        <v>0</v>
      </c>
      <c r="U516" s="614"/>
      <c r="V516" s="7310">
        <f t="shared" si="597"/>
        <v>164.46</v>
      </c>
      <c r="W516" s="787"/>
      <c r="X516" s="373">
        <f>+X25-X431</f>
        <v>0</v>
      </c>
      <c r="Y516" s="613"/>
      <c r="Z516" s="7301">
        <f t="shared" si="598"/>
        <v>0</v>
      </c>
      <c r="AA516" s="788"/>
      <c r="AB516" s="7302">
        <f t="shared" si="599"/>
        <v>164.46</v>
      </c>
      <c r="AC516" s="787"/>
      <c r="AD516" s="373">
        <f>+AD25-AD431</f>
        <v>0</v>
      </c>
      <c r="AE516" s="614"/>
      <c r="AF516" s="7310">
        <f t="shared" si="600"/>
        <v>164.46</v>
      </c>
      <c r="AG516" s="787"/>
      <c r="AH516" s="373">
        <f>+AH25-AH431</f>
        <v>0</v>
      </c>
      <c r="AI516" s="614"/>
      <c r="AJ516" s="344">
        <f>+AJ25-AJ431</f>
        <v>164.46</v>
      </c>
      <c r="AK516" s="787"/>
      <c r="AL516" s="373">
        <f>+AL25-AL431</f>
        <v>0</v>
      </c>
      <c r="AM516" s="613"/>
      <c r="AN516" s="420">
        <f>+AN25-AN431</f>
        <v>0</v>
      </c>
      <c r="AO516" s="614"/>
      <c r="AP516" s="344">
        <f>+AP25-AP431</f>
        <v>164.46</v>
      </c>
      <c r="AQ516" s="787"/>
      <c r="AR516" s="373">
        <f>+AR25-AR431</f>
        <v>0</v>
      </c>
      <c r="AS516" s="614"/>
      <c r="AT516" s="344">
        <f>+AT25-AT431</f>
        <v>164.46</v>
      </c>
      <c r="AU516" s="787"/>
      <c r="AV516" s="373">
        <f>+AV25-AV431</f>
        <v>0</v>
      </c>
      <c r="AW516" s="614"/>
      <c r="AX516" s="344">
        <f>+AX25-AX431</f>
        <v>164.46</v>
      </c>
      <c r="AY516" s="787"/>
      <c r="AZ516" s="373">
        <f>+AZ25-AZ431</f>
        <v>0</v>
      </c>
      <c r="BA516" s="613"/>
      <c r="BB516" s="420">
        <f>+BB25-BB431</f>
        <v>0</v>
      </c>
      <c r="BC516" s="788"/>
      <c r="BD516" s="444">
        <f>+BD25-BD431</f>
        <v>0</v>
      </c>
      <c r="BE516" s="614"/>
      <c r="BF516" s="344">
        <f>+BF25-BF431</f>
        <v>164.46</v>
      </c>
      <c r="BG516" s="4152">
        <f t="shared" si="575"/>
        <v>0</v>
      </c>
      <c r="BH516" s="4152">
        <f t="shared" si="576"/>
        <v>0</v>
      </c>
      <c r="BI516" s="4152"/>
      <c r="BJ516" s="4152">
        <f t="shared" si="577"/>
        <v>0</v>
      </c>
      <c r="BK516" s="4152">
        <f t="shared" si="578"/>
        <v>0</v>
      </c>
    </row>
    <row r="517" spans="1:63" ht="15" customHeight="1" x14ac:dyDescent="0.25">
      <c r="A517" s="144"/>
      <c r="B517" s="7967" t="s">
        <v>488</v>
      </c>
      <c r="C517" s="787"/>
      <c r="D517" s="787"/>
      <c r="E517" s="373">
        <f>+E37-E91</f>
        <v>0</v>
      </c>
      <c r="F517" s="373">
        <f>+F37-F93</f>
        <v>0</v>
      </c>
      <c r="G517" s="373">
        <f>+G37-G91</f>
        <v>0</v>
      </c>
      <c r="H517" s="373">
        <f>+H37-H93</f>
        <v>0</v>
      </c>
      <c r="I517" s="344">
        <f>+I37-I91</f>
        <v>0</v>
      </c>
      <c r="J517" s="7310">
        <f t="shared" si="594"/>
        <v>0</v>
      </c>
      <c r="K517" s="373">
        <f>+K37-K91</f>
        <v>0</v>
      </c>
      <c r="L517" s="373">
        <f>+L37-L93</f>
        <v>0</v>
      </c>
      <c r="M517" s="420">
        <f>+M37-M91</f>
        <v>0</v>
      </c>
      <c r="N517" s="7301">
        <f t="shared" si="595"/>
        <v>0</v>
      </c>
      <c r="O517" s="373">
        <f>+O37-O91</f>
        <v>0</v>
      </c>
      <c r="P517" s="373">
        <f>+P37-P93</f>
        <v>0</v>
      </c>
      <c r="Q517" s="344">
        <f>+Q37-Q91</f>
        <v>0</v>
      </c>
      <c r="R517" s="7310">
        <f t="shared" si="596"/>
        <v>0</v>
      </c>
      <c r="S517" s="373">
        <f>+S37-S91</f>
        <v>0</v>
      </c>
      <c r="T517" s="373">
        <f>+T37-T93</f>
        <v>0</v>
      </c>
      <c r="U517" s="344">
        <f>+U37-U91</f>
        <v>0</v>
      </c>
      <c r="V517" s="7310">
        <f t="shared" si="597"/>
        <v>0</v>
      </c>
      <c r="W517" s="373">
        <f>+W37-W91</f>
        <v>0</v>
      </c>
      <c r="X517" s="373">
        <f>+X37-X93</f>
        <v>0</v>
      </c>
      <c r="Y517" s="420">
        <f>+Y37-Y91</f>
        <v>0</v>
      </c>
      <c r="Z517" s="7301">
        <f t="shared" si="598"/>
        <v>0</v>
      </c>
      <c r="AA517" s="444">
        <f>+AA37-AA91</f>
        <v>0</v>
      </c>
      <c r="AB517" s="7302">
        <f t="shared" si="599"/>
        <v>0</v>
      </c>
      <c r="AC517" s="373">
        <f>+AC37-AC91</f>
        <v>0</v>
      </c>
      <c r="AD517" s="373">
        <f>+AD37-AD93</f>
        <v>0</v>
      </c>
      <c r="AE517" s="344">
        <f>+AE37-AE91</f>
        <v>0</v>
      </c>
      <c r="AF517" s="7310">
        <f t="shared" si="600"/>
        <v>0</v>
      </c>
      <c r="AG517" s="373">
        <f>+AG37-AG91</f>
        <v>0</v>
      </c>
      <c r="AH517" s="373">
        <f>+AH37-AH93</f>
        <v>0</v>
      </c>
      <c r="AI517" s="344">
        <f>+AI37-AI91</f>
        <v>0</v>
      </c>
      <c r="AJ517" s="344">
        <f>+AJ37-AJ93</f>
        <v>0</v>
      </c>
      <c r="AK517" s="373">
        <f>+AK37-AK91</f>
        <v>0</v>
      </c>
      <c r="AL517" s="373">
        <f>+AL37-AL93</f>
        <v>-0.75999999999476131</v>
      </c>
      <c r="AM517" s="420">
        <f>+AM37-AM91</f>
        <v>0</v>
      </c>
      <c r="AN517" s="420">
        <f>+AN37-AN93</f>
        <v>-0.76000000000931323</v>
      </c>
      <c r="AO517" s="344">
        <f>+AO37-AO91</f>
        <v>0</v>
      </c>
      <c r="AP517" s="344">
        <f>+AP37-AP93</f>
        <v>-0.76000000000931323</v>
      </c>
      <c r="AQ517" s="373">
        <f>+AQ37-AQ91</f>
        <v>0</v>
      </c>
      <c r="AR517" s="373">
        <f>+AR37-AR93</f>
        <v>0</v>
      </c>
      <c r="AS517" s="344">
        <f>+AS37-AS91</f>
        <v>0</v>
      </c>
      <c r="AT517" s="344">
        <f>+AT37-AT93</f>
        <v>-0.76000000000931323</v>
      </c>
      <c r="AU517" s="373">
        <f>+AU37-AU91</f>
        <v>0</v>
      </c>
      <c r="AV517" s="373">
        <f>+AV37-AV93</f>
        <v>0</v>
      </c>
      <c r="AW517" s="344">
        <f>+AW37-AW91</f>
        <v>0</v>
      </c>
      <c r="AX517" s="344">
        <f>+AX37-AX93</f>
        <v>-0.76000000000931323</v>
      </c>
      <c r="AY517" s="373">
        <f>+AY37-AY91</f>
        <v>0</v>
      </c>
      <c r="AZ517" s="373">
        <f>+AZ37-AZ93</f>
        <v>-0.10000000000582077</v>
      </c>
      <c r="BA517" s="420">
        <f>+BA37-BA91</f>
        <v>0</v>
      </c>
      <c r="BB517" s="420">
        <f>+BB37-BB93</f>
        <v>-9.9999999991268851E-2</v>
      </c>
      <c r="BC517" s="444">
        <f>+BC37-BC91</f>
        <v>0</v>
      </c>
      <c r="BD517" s="444">
        <f>+BD37-BD93</f>
        <v>-0.85999999998603016</v>
      </c>
      <c r="BE517" s="344">
        <f>+BE37-BE91</f>
        <v>0</v>
      </c>
      <c r="BF517" s="344">
        <f>+BF37-BF93</f>
        <v>-0.85999999998603016</v>
      </c>
      <c r="BG517" s="4152">
        <f t="shared" si="575"/>
        <v>0</v>
      </c>
      <c r="BH517" s="4152">
        <f t="shared" si="576"/>
        <v>-1.4551915228366852E-11</v>
      </c>
      <c r="BI517" s="4152"/>
      <c r="BJ517" s="4152">
        <f t="shared" si="577"/>
        <v>0</v>
      </c>
      <c r="BK517" s="4152">
        <f t="shared" si="578"/>
        <v>-1.4551915228366852E-11</v>
      </c>
    </row>
    <row r="518" spans="1:63" ht="15" customHeight="1" x14ac:dyDescent="0.25">
      <c r="A518" s="144"/>
      <c r="B518" s="7967"/>
      <c r="C518" s="787"/>
      <c r="D518" s="787"/>
      <c r="E518" s="373">
        <f>+E91-E493</f>
        <v>0</v>
      </c>
      <c r="F518" s="373">
        <f>+F93-F493</f>
        <v>0</v>
      </c>
      <c r="G518" s="373">
        <f>+G91-G493</f>
        <v>0</v>
      </c>
      <c r="H518" s="373">
        <f>+H93-H493</f>
        <v>0</v>
      </c>
      <c r="I518" s="344">
        <f>+I91-I493</f>
        <v>0</v>
      </c>
      <c r="J518" s="7310">
        <f t="shared" si="594"/>
        <v>0</v>
      </c>
      <c r="K518" s="373">
        <f>+K91-K493</f>
        <v>0</v>
      </c>
      <c r="L518" s="373">
        <f>+L93-L493</f>
        <v>0</v>
      </c>
      <c r="M518" s="420">
        <f>+M91-M493</f>
        <v>0</v>
      </c>
      <c r="N518" s="7301">
        <f t="shared" si="595"/>
        <v>0</v>
      </c>
      <c r="O518" s="373">
        <f>+O91-O493</f>
        <v>0</v>
      </c>
      <c r="P518" s="373">
        <f>+P93-P493</f>
        <v>0</v>
      </c>
      <c r="Q518" s="344">
        <f>+Q91-Q493</f>
        <v>0</v>
      </c>
      <c r="R518" s="7310">
        <f t="shared" si="596"/>
        <v>0</v>
      </c>
      <c r="S518" s="373">
        <f>+S91-S493</f>
        <v>0</v>
      </c>
      <c r="T518" s="373">
        <f>+T93-T493</f>
        <v>-4.0000000008149073E-2</v>
      </c>
      <c r="U518" s="344">
        <f>+U91-U493</f>
        <v>0</v>
      </c>
      <c r="V518" s="7310">
        <f t="shared" si="597"/>
        <v>-4.0000000008149073E-2</v>
      </c>
      <c r="W518" s="373">
        <f>+W91-W493</f>
        <v>0</v>
      </c>
      <c r="X518" s="373">
        <f>+X93-X493</f>
        <v>0</v>
      </c>
      <c r="Y518" s="420">
        <f>+Y91-Y493</f>
        <v>0</v>
      </c>
      <c r="Z518" s="7301">
        <f t="shared" si="598"/>
        <v>-4.0000000008149073E-2</v>
      </c>
      <c r="AA518" s="444">
        <f>+AA91-AA493</f>
        <v>0</v>
      </c>
      <c r="AB518" s="7302">
        <f t="shared" si="599"/>
        <v>-4.0000000008149073E-2</v>
      </c>
      <c r="AC518" s="373">
        <f>+AC91-AC493</f>
        <v>0</v>
      </c>
      <c r="AD518" s="373">
        <f>+AD93-AD493</f>
        <v>0</v>
      </c>
      <c r="AE518" s="344">
        <f>+AE91-AE493</f>
        <v>0</v>
      </c>
      <c r="AF518" s="7310">
        <f t="shared" si="600"/>
        <v>-4.0000000008149073E-2</v>
      </c>
      <c r="AG518" s="373">
        <f>+AG91-AG493</f>
        <v>0</v>
      </c>
      <c r="AH518" s="373">
        <f>+AH93-AH493</f>
        <v>0</v>
      </c>
      <c r="AI518" s="344">
        <f>+AI91-AI493</f>
        <v>0</v>
      </c>
      <c r="AJ518" s="344">
        <f>+AJ93-AJ493</f>
        <v>-3.9999999920837581E-2</v>
      </c>
      <c r="AK518" s="373">
        <f>+AK91-AK493</f>
        <v>0</v>
      </c>
      <c r="AL518" s="373">
        <f>+AL93-AL493</f>
        <v>0.75999999999476131</v>
      </c>
      <c r="AM518" s="420">
        <f>+AM91-AM493</f>
        <v>0</v>
      </c>
      <c r="AN518" s="420">
        <f>+AN93-AN493</f>
        <v>0.7599999999802094</v>
      </c>
      <c r="AO518" s="344">
        <f>+AO91-AO493</f>
        <v>0</v>
      </c>
      <c r="AP518" s="344">
        <f>+AP93-AP493</f>
        <v>0.72000000008847564</v>
      </c>
      <c r="AQ518" s="373">
        <f>+AQ91-AQ493</f>
        <v>0</v>
      </c>
      <c r="AR518" s="373">
        <f>+AR93-AR493</f>
        <v>0</v>
      </c>
      <c r="AS518" s="344">
        <f>+AS91-AS493</f>
        <v>0</v>
      </c>
      <c r="AT518" s="344">
        <f>+AT93-AT493</f>
        <v>0.72000000008847564</v>
      </c>
      <c r="AU518" s="373">
        <f>+AU91-AU493</f>
        <v>0</v>
      </c>
      <c r="AV518" s="373">
        <f>+AV93-AV493</f>
        <v>-3.9999999997235136E-2</v>
      </c>
      <c r="AW518" s="344">
        <f>+AW91-AW493</f>
        <v>0</v>
      </c>
      <c r="AX518" s="344">
        <f>+AX93-AX493</f>
        <v>0.68000000016763806</v>
      </c>
      <c r="AY518" s="373">
        <f>+AY91-AY493</f>
        <v>0</v>
      </c>
      <c r="AZ518" s="373">
        <f>+AZ93-AZ493</f>
        <v>9.9999999998544808E-2</v>
      </c>
      <c r="BA518" s="420">
        <f>+BA91-BA493</f>
        <v>0</v>
      </c>
      <c r="BB518" s="420">
        <f>+BB93-BB493</f>
        <v>5.9999999997671694E-2</v>
      </c>
      <c r="BC518" s="444">
        <f>+BC91-BC493</f>
        <v>0</v>
      </c>
      <c r="BD518" s="444">
        <f>+BD93-BD493</f>
        <v>0.82000000000698492</v>
      </c>
      <c r="BE518" s="344">
        <f>+BE91-BE493</f>
        <v>0</v>
      </c>
      <c r="BF518" s="344">
        <f>+BF93-BF493</f>
        <v>0.780000000144355</v>
      </c>
      <c r="BG518" s="4152">
        <f t="shared" si="575"/>
        <v>0</v>
      </c>
      <c r="BH518" s="4152">
        <f t="shared" si="576"/>
        <v>-1.5643308870494366E-10</v>
      </c>
      <c r="BI518" s="4152"/>
      <c r="BJ518" s="4152">
        <f t="shared" si="577"/>
        <v>0</v>
      </c>
      <c r="BK518" s="4152">
        <f t="shared" si="578"/>
        <v>-1.0913936421275139E-11</v>
      </c>
    </row>
    <row r="519" spans="1:63" ht="15" customHeight="1" x14ac:dyDescent="0.25">
      <c r="A519" s="144"/>
      <c r="B519" s="7967"/>
      <c r="C519" s="787"/>
      <c r="D519" s="787"/>
      <c r="E519" s="373">
        <f>+E37-E493</f>
        <v>0</v>
      </c>
      <c r="F519" s="373">
        <f>+F37-F493</f>
        <v>0</v>
      </c>
      <c r="G519" s="373">
        <f>+G37-G493</f>
        <v>0</v>
      </c>
      <c r="H519" s="373">
        <f>+H37-H493</f>
        <v>0</v>
      </c>
      <c r="I519" s="344">
        <f>+I37-I493</f>
        <v>0</v>
      </c>
      <c r="J519" s="7310">
        <f t="shared" si="594"/>
        <v>0</v>
      </c>
      <c r="K519" s="373">
        <f>+K37-K493</f>
        <v>0</v>
      </c>
      <c r="L519" s="373">
        <f>+L37-L493</f>
        <v>0</v>
      </c>
      <c r="M519" s="420">
        <f>+M37-M493</f>
        <v>0</v>
      </c>
      <c r="N519" s="7301">
        <f t="shared" si="595"/>
        <v>0</v>
      </c>
      <c r="O519" s="373">
        <f>+O37-O493</f>
        <v>0</v>
      </c>
      <c r="P519" s="373">
        <f>+P37-P493</f>
        <v>0</v>
      </c>
      <c r="Q519" s="344">
        <f>+Q37-Q493</f>
        <v>0</v>
      </c>
      <c r="R519" s="7310">
        <f t="shared" si="596"/>
        <v>0</v>
      </c>
      <c r="S519" s="373">
        <f>+S37-S493</f>
        <v>0</v>
      </c>
      <c r="T519" s="373">
        <f>+T37-T493</f>
        <v>-4.0000000008149073E-2</v>
      </c>
      <c r="U519" s="344">
        <f>+U37-U493</f>
        <v>0</v>
      </c>
      <c r="V519" s="7310">
        <f t="shared" si="597"/>
        <v>-4.0000000008149073E-2</v>
      </c>
      <c r="W519" s="373">
        <f>+W37-W493</f>
        <v>0</v>
      </c>
      <c r="X519" s="373">
        <f>+X37-X493</f>
        <v>0</v>
      </c>
      <c r="Y519" s="420">
        <f>+Y37-Y493</f>
        <v>0</v>
      </c>
      <c r="Z519" s="7301">
        <f t="shared" si="598"/>
        <v>-4.0000000008149073E-2</v>
      </c>
      <c r="AA519" s="444">
        <f>+AA37-AA493</f>
        <v>0</v>
      </c>
      <c r="AB519" s="7302">
        <f t="shared" si="599"/>
        <v>-4.0000000008149073E-2</v>
      </c>
      <c r="AC519" s="373">
        <f>+AC37-AC493</f>
        <v>0</v>
      </c>
      <c r="AD519" s="373">
        <f>+AD37-AD493</f>
        <v>0</v>
      </c>
      <c r="AE519" s="344">
        <f>+AE37-AE493</f>
        <v>0</v>
      </c>
      <c r="AF519" s="7310">
        <f t="shared" si="600"/>
        <v>-4.0000000008149073E-2</v>
      </c>
      <c r="AG519" s="373">
        <f t="shared" ref="AG519:BF519" si="603">+AG37-AG493</f>
        <v>0</v>
      </c>
      <c r="AH519" s="373">
        <f t="shared" si="603"/>
        <v>0</v>
      </c>
      <c r="AI519" s="344">
        <f t="shared" si="603"/>
        <v>0</v>
      </c>
      <c r="AJ519" s="344">
        <f t="shared" si="603"/>
        <v>-3.9999999920837581E-2</v>
      </c>
      <c r="AK519" s="373">
        <f t="shared" si="603"/>
        <v>0</v>
      </c>
      <c r="AL519" s="373">
        <f t="shared" si="603"/>
        <v>0</v>
      </c>
      <c r="AM519" s="420">
        <f t="shared" si="603"/>
        <v>0</v>
      </c>
      <c r="AN519" s="420">
        <f t="shared" si="603"/>
        <v>0</v>
      </c>
      <c r="AO519" s="344">
        <f t="shared" si="603"/>
        <v>0</v>
      </c>
      <c r="AP519" s="344">
        <f t="shared" si="603"/>
        <v>-3.9999999920837581E-2</v>
      </c>
      <c r="AQ519" s="373">
        <f t="shared" si="603"/>
        <v>0</v>
      </c>
      <c r="AR519" s="373">
        <f t="shared" si="603"/>
        <v>0</v>
      </c>
      <c r="AS519" s="344">
        <f t="shared" si="603"/>
        <v>0</v>
      </c>
      <c r="AT519" s="344">
        <f t="shared" si="603"/>
        <v>-3.9999999920837581E-2</v>
      </c>
      <c r="AU519" s="373">
        <f t="shared" si="603"/>
        <v>0</v>
      </c>
      <c r="AV519" s="373">
        <f t="shared" si="603"/>
        <v>-3.9999999997235136E-2</v>
      </c>
      <c r="AW519" s="344">
        <f t="shared" si="603"/>
        <v>0</v>
      </c>
      <c r="AX519" s="344">
        <f t="shared" si="603"/>
        <v>-7.9999999841675162E-2</v>
      </c>
      <c r="AY519" s="373">
        <f t="shared" si="603"/>
        <v>0</v>
      </c>
      <c r="AZ519" s="373">
        <f t="shared" si="603"/>
        <v>0</v>
      </c>
      <c r="BA519" s="420">
        <f t="shared" si="603"/>
        <v>0</v>
      </c>
      <c r="BB519" s="420">
        <f t="shared" si="603"/>
        <v>-3.9999999993597157E-2</v>
      </c>
      <c r="BC519" s="444">
        <f t="shared" si="603"/>
        <v>0</v>
      </c>
      <c r="BD519" s="444">
        <f t="shared" si="603"/>
        <v>-3.9999999979045242E-2</v>
      </c>
      <c r="BE519" s="344">
        <f t="shared" si="603"/>
        <v>0</v>
      </c>
      <c r="BF519" s="344">
        <f t="shared" si="603"/>
        <v>-7.9999999841675162E-2</v>
      </c>
      <c r="BG519" s="4152">
        <f t="shared" si="575"/>
        <v>0</v>
      </c>
      <c r="BH519" s="4152">
        <f t="shared" si="576"/>
        <v>-1.6370904631912708E-10</v>
      </c>
      <c r="BI519" s="4152"/>
      <c r="BJ519" s="4152">
        <f t="shared" si="577"/>
        <v>0</v>
      </c>
      <c r="BK519" s="4152">
        <f t="shared" si="578"/>
        <v>-1.8189894035458565E-11</v>
      </c>
    </row>
    <row r="520" spans="1:63" ht="15" customHeight="1" x14ac:dyDescent="0.25">
      <c r="A520" s="144"/>
      <c r="B520" s="7967"/>
      <c r="C520" s="787"/>
      <c r="D520" s="787"/>
      <c r="E520" s="787"/>
      <c r="F520" s="787"/>
      <c r="G520" s="787"/>
      <c r="H520" s="787"/>
      <c r="I520" s="614"/>
      <c r="J520" s="7310">
        <f t="shared" si="594"/>
        <v>0</v>
      </c>
      <c r="K520" s="787"/>
      <c r="L520" s="787"/>
      <c r="M520" s="613"/>
      <c r="N520" s="7301">
        <f t="shared" si="595"/>
        <v>0</v>
      </c>
      <c r="O520" s="787"/>
      <c r="P520" s="787"/>
      <c r="Q520" s="614"/>
      <c r="R520" s="7310">
        <f t="shared" si="596"/>
        <v>0</v>
      </c>
      <c r="S520" s="787"/>
      <c r="T520" s="787"/>
      <c r="U520" s="614"/>
      <c r="V520" s="7310">
        <f t="shared" si="597"/>
        <v>0</v>
      </c>
      <c r="W520" s="787"/>
      <c r="X520" s="787"/>
      <c r="Y520" s="613"/>
      <c r="Z520" s="7301">
        <f t="shared" si="598"/>
        <v>0</v>
      </c>
      <c r="AA520" s="788"/>
      <c r="AB520" s="7302">
        <f t="shared" si="599"/>
        <v>0</v>
      </c>
      <c r="AC520" s="787"/>
      <c r="AD520" s="787"/>
      <c r="AE520" s="614"/>
      <c r="AF520" s="7310">
        <f t="shared" si="600"/>
        <v>0</v>
      </c>
      <c r="AG520" s="787"/>
      <c r="AH520" s="787"/>
      <c r="AI520" s="614"/>
      <c r="AJ520" s="614"/>
      <c r="AK520" s="787"/>
      <c r="AL520" s="787"/>
      <c r="AM520" s="613"/>
      <c r="AN520" s="613"/>
      <c r="AO520" s="614"/>
      <c r="AP520" s="614"/>
      <c r="AQ520" s="787"/>
      <c r="AR520" s="787"/>
      <c r="AS520" s="614"/>
      <c r="AT520" s="614"/>
      <c r="AU520" s="787"/>
      <c r="AV520" s="787"/>
      <c r="AW520" s="614"/>
      <c r="AX520" s="614"/>
      <c r="AY520" s="787"/>
      <c r="AZ520" s="787"/>
      <c r="BA520" s="613"/>
      <c r="BB520" s="613"/>
      <c r="BC520" s="788"/>
      <c r="BD520" s="788"/>
      <c r="BE520" s="614"/>
      <c r="BF520" s="614"/>
      <c r="BG520" s="4152">
        <f t="shared" si="575"/>
        <v>0</v>
      </c>
      <c r="BH520" s="4152">
        <f t="shared" si="576"/>
        <v>0</v>
      </c>
      <c r="BI520" s="4152"/>
      <c r="BJ520" s="4152">
        <f t="shared" si="577"/>
        <v>0</v>
      </c>
      <c r="BK520" s="4152">
        <f t="shared" si="578"/>
        <v>0</v>
      </c>
    </row>
    <row r="521" spans="1:63" ht="21" customHeight="1" x14ac:dyDescent="0.25">
      <c r="A521" s="144"/>
      <c r="B521" s="610"/>
      <c r="C521" s="610"/>
      <c r="D521" s="610"/>
      <c r="E521" s="610"/>
      <c r="F521" s="610"/>
      <c r="G521" s="610"/>
      <c r="H521" s="610"/>
      <c r="I521" s="820"/>
      <c r="J521" s="7310">
        <f t="shared" si="594"/>
        <v>0</v>
      </c>
      <c r="K521" s="610"/>
      <c r="L521" s="610"/>
      <c r="M521" s="821"/>
      <c r="N521" s="7301">
        <f t="shared" si="595"/>
        <v>0</v>
      </c>
      <c r="O521" s="610"/>
      <c r="P521" s="610"/>
      <c r="Q521" s="820"/>
      <c r="R521" s="7310">
        <f t="shared" si="596"/>
        <v>0</v>
      </c>
      <c r="S521" s="610"/>
      <c r="T521" s="610"/>
      <c r="U521" s="820"/>
      <c r="V521" s="7310">
        <f t="shared" si="597"/>
        <v>0</v>
      </c>
      <c r="W521" s="610"/>
      <c r="X521" s="610"/>
      <c r="Y521" s="821"/>
      <c r="Z521" s="7301">
        <f t="shared" si="598"/>
        <v>0</v>
      </c>
      <c r="AA521" s="7401"/>
      <c r="AB521" s="7302">
        <f t="shared" si="599"/>
        <v>0</v>
      </c>
      <c r="AC521" s="610"/>
      <c r="AD521" s="610"/>
      <c r="AE521" s="820"/>
      <c r="AF521" s="7310">
        <f t="shared" si="600"/>
        <v>0</v>
      </c>
      <c r="AG521" s="610"/>
      <c r="AH521" s="610"/>
      <c r="AI521" s="820"/>
      <c r="AJ521" s="820"/>
      <c r="AK521" s="610"/>
      <c r="AL521" s="610"/>
      <c r="AM521" s="821"/>
      <c r="AN521" s="821"/>
      <c r="AO521" s="820"/>
      <c r="AP521" s="820"/>
      <c r="AQ521" s="610"/>
      <c r="AR521" s="610"/>
      <c r="AS521" s="820"/>
      <c r="AT521" s="820"/>
      <c r="AU521" s="610"/>
      <c r="AV521" s="610"/>
      <c r="AW521" s="820"/>
      <c r="AX521" s="820"/>
      <c r="AY521" s="610"/>
      <c r="AZ521" s="610"/>
      <c r="BA521" s="821"/>
      <c r="BB521" s="821"/>
      <c r="BC521" s="7401"/>
      <c r="BD521" s="7401"/>
      <c r="BE521" s="820"/>
      <c r="BF521" s="820"/>
      <c r="BG521" s="4152">
        <f t="shared" si="575"/>
        <v>0</v>
      </c>
      <c r="BH521" s="4152">
        <f t="shared" si="576"/>
        <v>0</v>
      </c>
      <c r="BI521" s="4152"/>
      <c r="BJ521" s="4152">
        <f t="shared" si="577"/>
        <v>0</v>
      </c>
      <c r="BK521" s="4152">
        <f t="shared" si="578"/>
        <v>0</v>
      </c>
    </row>
    <row r="522" spans="1:63" ht="21" customHeight="1" x14ac:dyDescent="0.25">
      <c r="A522" s="144"/>
      <c r="B522" s="3924" t="s">
        <v>1098</v>
      </c>
      <c r="C522" s="610"/>
      <c r="D522" s="610"/>
      <c r="E522" s="1259">
        <f>+E69-'Maj Despatch Summ'!E12</f>
        <v>0.27340158307924867</v>
      </c>
      <c r="F522" s="1259">
        <f>+F69-'Maj Despatch Summ'!F12</f>
        <v>0</v>
      </c>
      <c r="G522" s="1259">
        <f>+G69-'Maj Despatch Summ'!G12</f>
        <v>0</v>
      </c>
      <c r="H522" s="1259">
        <f>+H69-'Maj Despatch Summ'!H12</f>
        <v>0</v>
      </c>
      <c r="I522" s="3861">
        <f>+I69-'Maj Despatch Summ'!I12</f>
        <v>0.27340158313745633</v>
      </c>
      <c r="J522" s="7310">
        <f t="shared" si="594"/>
        <v>0</v>
      </c>
      <c r="K522" s="1259">
        <f>+K69-'Maj Despatch Summ'!K12</f>
        <v>0</v>
      </c>
      <c r="L522" s="1259">
        <f>+L69-'Maj Despatch Summ'!L12</f>
        <v>0</v>
      </c>
      <c r="M522" s="1616">
        <f>+M69-'Maj Despatch Summ'!M12</f>
        <v>0.27340158307924867</v>
      </c>
      <c r="N522" s="7301">
        <f t="shared" si="595"/>
        <v>0</v>
      </c>
      <c r="O522" s="1259">
        <f>+O69-'Maj Despatch Summ'!O12</f>
        <v>0</v>
      </c>
      <c r="P522" s="1259">
        <f>+P69-'Maj Despatch Summ'!P12</f>
        <v>0</v>
      </c>
      <c r="Q522" s="3861">
        <f>+Q69-'Maj Despatch Summ'!Q12</f>
        <v>0.27340158319566399</v>
      </c>
      <c r="R522" s="7310">
        <f t="shared" si="596"/>
        <v>0</v>
      </c>
      <c r="S522" s="1259">
        <f>+S69-'Maj Despatch Summ'!S12</f>
        <v>0</v>
      </c>
      <c r="T522" s="1259">
        <f>+T69-'Maj Despatch Summ'!T12</f>
        <v>0</v>
      </c>
      <c r="U522" s="3861">
        <f>+U69-'Maj Despatch Summ'!U12</f>
        <v>0.27340158307924867</v>
      </c>
      <c r="V522" s="7310">
        <f t="shared" si="597"/>
        <v>0</v>
      </c>
      <c r="W522" s="1259">
        <f>+W69-'Maj Despatch Summ'!W12</f>
        <v>0.33333333328482695</v>
      </c>
      <c r="X522" s="1259">
        <f>+X69-'Maj Despatch Summ'!X12</f>
        <v>-0.27999999996973202</v>
      </c>
      <c r="Y522" s="1616">
        <f>+Y69-'Maj Despatch Summ'!Y12</f>
        <v>0.33333333337213844</v>
      </c>
      <c r="Z522" s="7301">
        <f t="shared" si="598"/>
        <v>-0.27999999996973202</v>
      </c>
      <c r="AA522" s="7425">
        <f>+AA69-'Maj Despatch Summ'!AA12</f>
        <v>0.60673491656780243</v>
      </c>
      <c r="AB522" s="7302">
        <f t="shared" si="599"/>
        <v>-0.27999999996973202</v>
      </c>
      <c r="AC522" s="1259">
        <f>+AC69-'Maj Despatch Summ'!AC12</f>
        <v>0</v>
      </c>
      <c r="AD522" s="1259">
        <f>+AD69-'Maj Despatch Summ'!AD12</f>
        <v>0</v>
      </c>
      <c r="AE522" s="3861">
        <f>+AE69-'Maj Despatch Summ'!AE12</f>
        <v>0.60673491633497179</v>
      </c>
      <c r="AF522" s="7310">
        <f t="shared" si="600"/>
        <v>-0.27999999996973202</v>
      </c>
      <c r="AG522" s="1259">
        <f>+AG69-'Maj Despatch Summ'!AG12</f>
        <v>0</v>
      </c>
      <c r="AH522" s="1259">
        <f>+AH69-'Maj Despatch Summ'!AH12</f>
        <v>0</v>
      </c>
      <c r="AI522" s="3861">
        <f>+AI69-'Maj Despatch Summ'!AI12</f>
        <v>0.60673491633497179</v>
      </c>
      <c r="AJ522" s="3861">
        <f>+AJ69-'Maj Despatch Summ'!AJ12</f>
        <v>-0.27999999979510903</v>
      </c>
      <c r="AK522" s="1259">
        <f>+AK69-'Maj Despatch Summ'!AK12</f>
        <v>3.3332908060401678E-6</v>
      </c>
      <c r="AL522" s="1259">
        <f>+AL69-'Maj Despatch Summ'!AL12</f>
        <v>-0.76000000000931323</v>
      </c>
      <c r="AM522" s="1616">
        <f>+AM69-'Maj Despatch Summ'!AM12</f>
        <v>3.3332034945487976E-6</v>
      </c>
      <c r="AN522" s="1616">
        <f>+AN69-'Maj Despatch Summ'!AN12</f>
        <v>-0.76000000000931323</v>
      </c>
      <c r="AO522" s="3861">
        <f>+AO69-'Maj Despatch Summ'!AO12</f>
        <v>0.60673824953846633</v>
      </c>
      <c r="AP522" s="3861">
        <f>+AP69-'Maj Despatch Summ'!AP12</f>
        <v>-1.0399999998044223</v>
      </c>
      <c r="AQ522" s="1259">
        <f>+AQ69-'Maj Despatch Summ'!AQ12</f>
        <v>3.3333199098706245E-6</v>
      </c>
      <c r="AR522" s="1259">
        <f>+AR69-'Maj Despatch Summ'!AR12</f>
        <v>0</v>
      </c>
      <c r="AS522" s="3861">
        <f>+AS69-'Maj Despatch Summ'!AS12</f>
        <v>0.60674158297479153</v>
      </c>
      <c r="AT522" s="3861">
        <f>+AT69-'Maj Despatch Summ'!AT12</f>
        <v>-1.0399999995715916</v>
      </c>
      <c r="AU522" s="1259">
        <f>+AU69-'Maj Despatch Summ'!AU12</f>
        <v>3.3333490137010813E-6</v>
      </c>
      <c r="AV522" s="1259">
        <f>+AV69-'Maj Despatch Summ'!AV12</f>
        <v>-4.0000000008149073E-2</v>
      </c>
      <c r="AW522" s="3861">
        <f>+AW69-'Maj Despatch Summ'!AW12</f>
        <v>0.60674491664394736</v>
      </c>
      <c r="AX522" s="3861">
        <f>+AX69-'Maj Despatch Summ'!AX12</f>
        <v>-1.0800000000745058</v>
      </c>
      <c r="AY522" s="1259">
        <f>+AY69-'Maj Despatch Summ'!AY12</f>
        <v>-0.30923374270787463</v>
      </c>
      <c r="AZ522" s="1259">
        <f>+AZ69-'Maj Despatch Summ'!AZ12</f>
        <v>0</v>
      </c>
      <c r="BA522" s="1616">
        <f>+BA69-'Maj Despatch Summ'!BA12</f>
        <v>-0.30922707600984722</v>
      </c>
      <c r="BB522" s="1616">
        <f>+BB69-'Maj Despatch Summ'!BB12</f>
        <v>-4.0000000037252903E-2</v>
      </c>
      <c r="BC522" s="7425">
        <f>+BC69-'Maj Despatch Summ'!BC12</f>
        <v>-0.30922374268993735</v>
      </c>
      <c r="BD522" s="7425">
        <f>+BD69-'Maj Despatch Summ'!BD12</f>
        <v>-0.79999999981373549</v>
      </c>
      <c r="BE522" s="3861">
        <f>+BE69-'Maj Despatch Summ'!BE12</f>
        <v>0.29751117387786508</v>
      </c>
      <c r="BF522" s="3861">
        <f>+BF69-'Maj Despatch Summ'!BF12</f>
        <v>-1.0800000000745058</v>
      </c>
      <c r="BG522" s="4152">
        <f t="shared" si="575"/>
        <v>-2.6193447411060333E-10</v>
      </c>
      <c r="BH522" s="4152">
        <f t="shared" si="576"/>
        <v>8.7311491370201111E-11</v>
      </c>
      <c r="BI522" s="4152"/>
      <c r="BJ522" s="4152">
        <f t="shared" si="577"/>
        <v>-5.8207660913467407E-11</v>
      </c>
      <c r="BK522" s="4152">
        <f t="shared" si="578"/>
        <v>-2.0372681319713593E-10</v>
      </c>
    </row>
    <row r="523" spans="1:63" ht="21" customHeight="1" x14ac:dyDescent="0.25">
      <c r="A523" s="144"/>
      <c r="B523" s="610"/>
      <c r="C523" s="610"/>
      <c r="D523" s="610"/>
      <c r="E523" s="1259">
        <f>+E76-'Maj Despatch Summ'!E12</f>
        <v>0.2734015831083525</v>
      </c>
      <c r="F523" s="1259">
        <f>+F76-'Maj Despatch Summ'!F12</f>
        <v>0</v>
      </c>
      <c r="G523" s="1259">
        <f>+G76-'Maj Despatch Summ'!G12</f>
        <v>0</v>
      </c>
      <c r="H523" s="1259">
        <f>+H76-'Maj Despatch Summ'!H12</f>
        <v>0</v>
      </c>
      <c r="I523" s="3861">
        <f>+I76-'Maj Despatch Summ'!I12</f>
        <v>0.27340158313745633</v>
      </c>
      <c r="J523" s="7310">
        <f t="shared" si="594"/>
        <v>0</v>
      </c>
      <c r="K523" s="1259">
        <f>+K76-'Maj Despatch Summ'!K12</f>
        <v>0</v>
      </c>
      <c r="L523" s="1259">
        <f>+L76-'Maj Despatch Summ'!L12</f>
        <v>0</v>
      </c>
      <c r="M523" s="1616">
        <f>+M76-'Maj Despatch Summ'!M12</f>
        <v>0.27340158307924867</v>
      </c>
      <c r="N523" s="7301">
        <f t="shared" si="595"/>
        <v>0</v>
      </c>
      <c r="O523" s="1259">
        <f>+O76-'Maj Despatch Summ'!O12</f>
        <v>0</v>
      </c>
      <c r="P523" s="1259">
        <f>+P76-'Maj Despatch Summ'!P12</f>
        <v>0</v>
      </c>
      <c r="Q523" s="3861">
        <f>+Q76-'Maj Despatch Summ'!Q12</f>
        <v>0.27340158319566399</v>
      </c>
      <c r="R523" s="7310">
        <f t="shared" si="596"/>
        <v>0</v>
      </c>
      <c r="S523" s="1259">
        <f>+S76-'Maj Despatch Summ'!S12</f>
        <v>0</v>
      </c>
      <c r="T523" s="1259">
        <f>+T76-'Maj Despatch Summ'!T12</f>
        <v>0</v>
      </c>
      <c r="U523" s="3861">
        <f>+U76-'Maj Despatch Summ'!U12</f>
        <v>0.27340158307924867</v>
      </c>
      <c r="V523" s="7310">
        <f t="shared" si="597"/>
        <v>0</v>
      </c>
      <c r="W523" s="1259">
        <f>+W76-'Maj Despatch Summ'!W12</f>
        <v>0.33333333328482695</v>
      </c>
      <c r="X523" s="1259">
        <f>+X76-'Maj Despatch Summ'!X12</f>
        <v>-0.27999999999883585</v>
      </c>
      <c r="Y523" s="1616">
        <f>+Y76-'Maj Despatch Summ'!Y12</f>
        <v>0.33333333337213844</v>
      </c>
      <c r="Z523" s="7301">
        <f t="shared" si="598"/>
        <v>-0.27999999999883585</v>
      </c>
      <c r="AA523" s="7425">
        <f>+AA76-'Maj Despatch Summ'!AA12</f>
        <v>0.60673491656780243</v>
      </c>
      <c r="AB523" s="7302">
        <f t="shared" si="599"/>
        <v>-0.27999999999883585</v>
      </c>
      <c r="AC523" s="1259">
        <f>+AC76-'Maj Despatch Summ'!AC12</f>
        <v>0</v>
      </c>
      <c r="AD523" s="1259">
        <f>+AD76-'Maj Despatch Summ'!AD12</f>
        <v>0</v>
      </c>
      <c r="AE523" s="3861">
        <f>+AE76-'Maj Despatch Summ'!AE12</f>
        <v>0.60673491633497179</v>
      </c>
      <c r="AF523" s="7310">
        <f t="shared" si="600"/>
        <v>-0.27999999999883585</v>
      </c>
      <c r="AG523" s="1259">
        <f>+AG76-'Maj Despatch Summ'!AG12</f>
        <v>0</v>
      </c>
      <c r="AH523" s="1259">
        <f>+AH76-'Maj Despatch Summ'!AH12</f>
        <v>0</v>
      </c>
      <c r="AI523" s="3861">
        <f>+AI76-'Maj Despatch Summ'!AI12</f>
        <v>0.60673491633497179</v>
      </c>
      <c r="AJ523" s="3861">
        <f>+AJ76-'Maj Despatch Summ'!AJ12</f>
        <v>-0.27999999979510903</v>
      </c>
      <c r="AK523" s="1259">
        <f>+AK76-'Maj Despatch Summ'!AK12</f>
        <v>3.3333199098706245E-6</v>
      </c>
      <c r="AL523" s="1259">
        <f>+AL76-'Maj Despatch Summ'!AL12</f>
        <v>-0.76000000000931323</v>
      </c>
      <c r="AM523" s="1616">
        <f>+AM76-'Maj Despatch Summ'!AM12</f>
        <v>3.3332034945487976E-6</v>
      </c>
      <c r="AN523" s="1616">
        <f>+AN76-'Maj Despatch Summ'!AN12</f>
        <v>-0.76000000000931323</v>
      </c>
      <c r="AO523" s="3861">
        <f>+AO76-'Maj Despatch Summ'!AO12</f>
        <v>0.60673824977129698</v>
      </c>
      <c r="AP523" s="3861">
        <f>+AP76-'Maj Despatch Summ'!AP12</f>
        <v>-1.0399999998044223</v>
      </c>
      <c r="AQ523" s="1259">
        <f>+AQ76-'Maj Despatch Summ'!AQ12</f>
        <v>3.3333199098706245E-6</v>
      </c>
      <c r="AR523" s="1259">
        <f>+AR76-'Maj Despatch Summ'!AR12</f>
        <v>0</v>
      </c>
      <c r="AS523" s="3861">
        <f>+AS76-'Maj Despatch Summ'!AS12</f>
        <v>0.60674158297479153</v>
      </c>
      <c r="AT523" s="3861">
        <f>+AT76-'Maj Despatch Summ'!AT12</f>
        <v>-1.0399999995715916</v>
      </c>
      <c r="AU523" s="1259">
        <f>+AU76-'Maj Despatch Summ'!AU12</f>
        <v>3.3333199098706245E-6</v>
      </c>
      <c r="AV523" s="1259">
        <f>+AV76-'Maj Despatch Summ'!AV12</f>
        <v>-4.0000000008149073E-2</v>
      </c>
      <c r="AW523" s="3861">
        <f>+AW76-'Maj Despatch Summ'!AW12</f>
        <v>0.60674491617828608</v>
      </c>
      <c r="AX523" s="3861">
        <f>+AX76-'Maj Despatch Summ'!AX12</f>
        <v>-1.0800000000745058</v>
      </c>
      <c r="AY523" s="1259">
        <f>+AY76-'Maj Despatch Summ'!AY12</f>
        <v>-0.30923374270787463</v>
      </c>
      <c r="AZ523" s="1259">
        <f>+AZ76-'Maj Despatch Summ'!AZ12</f>
        <v>0</v>
      </c>
      <c r="BA523" s="1616">
        <f>+BA76-'Maj Despatch Summ'!BA12</f>
        <v>-0.30922707600984722</v>
      </c>
      <c r="BB523" s="1616">
        <f>+BB76-'Maj Despatch Summ'!BB12</f>
        <v>-4.0000000037252903E-2</v>
      </c>
      <c r="BC523" s="7425">
        <f>+BC76-'Maj Despatch Summ'!BC12</f>
        <v>-0.30922374268993735</v>
      </c>
      <c r="BD523" s="7425">
        <f>+BD76-'Maj Despatch Summ'!BD12</f>
        <v>-0.79999999981373549</v>
      </c>
      <c r="BE523" s="3861">
        <f>+BE76-'Maj Despatch Summ'!BE12</f>
        <v>0.29751117341220379</v>
      </c>
      <c r="BF523" s="3861">
        <f>+BF76-'Maj Despatch Summ'!BF12</f>
        <v>-1.0800000000745058</v>
      </c>
      <c r="BG523" s="4152">
        <f t="shared" si="575"/>
        <v>2.3283064365386963E-10</v>
      </c>
      <c r="BH523" s="4152">
        <f t="shared" si="576"/>
        <v>5.8207660913467407E-11</v>
      </c>
      <c r="BI523" s="4152"/>
      <c r="BJ523" s="4152">
        <f t="shared" si="577"/>
        <v>-5.8207660913467407E-11</v>
      </c>
      <c r="BK523" s="4152">
        <f t="shared" si="578"/>
        <v>-2.0372681319713593E-10</v>
      </c>
    </row>
    <row r="524" spans="1:63" ht="21" customHeight="1" x14ac:dyDescent="0.25">
      <c r="A524" s="144"/>
      <c r="B524" s="610"/>
      <c r="C524" s="610"/>
      <c r="D524" s="610"/>
      <c r="E524" s="1259">
        <f>E492-E56</f>
        <v>0</v>
      </c>
      <c r="F524" s="1259">
        <f>F492-F56</f>
        <v>1625.08</v>
      </c>
      <c r="G524" s="1259">
        <f>G492-G56</f>
        <v>0</v>
      </c>
      <c r="H524" s="1259">
        <f>H492-H56</f>
        <v>640.46</v>
      </c>
      <c r="I524" s="3861">
        <f>I492-I56</f>
        <v>0</v>
      </c>
      <c r="J524" s="7310">
        <f t="shared" si="594"/>
        <v>2265.54</v>
      </c>
      <c r="K524" s="1259">
        <f>K492-K56</f>
        <v>0</v>
      </c>
      <c r="L524" s="1259">
        <f>L492-L56</f>
        <v>1065.5999999999999</v>
      </c>
      <c r="M524" s="1616">
        <f>M492-M56</f>
        <v>0</v>
      </c>
      <c r="N524" s="7301">
        <f t="shared" si="595"/>
        <v>3331.14</v>
      </c>
      <c r="O524" s="1259">
        <f>O492-O56</f>
        <v>0</v>
      </c>
      <c r="P524" s="1259">
        <f>P492-P56</f>
        <v>463.09999999999997</v>
      </c>
      <c r="Q524" s="3861">
        <f>Q492-Q56</f>
        <v>0</v>
      </c>
      <c r="R524" s="7310">
        <f t="shared" si="596"/>
        <v>3794.24</v>
      </c>
      <c r="S524" s="1259">
        <f>S492-S56</f>
        <v>0</v>
      </c>
      <c r="T524" s="1259">
        <f>T492-T56</f>
        <v>2248.96</v>
      </c>
      <c r="U524" s="3861">
        <f>U492-U56</f>
        <v>0</v>
      </c>
      <c r="V524" s="7310">
        <f t="shared" si="597"/>
        <v>6043.2</v>
      </c>
      <c r="W524" s="1259">
        <f>W492-W56</f>
        <v>0</v>
      </c>
      <c r="X524" s="1259">
        <f>X492-X56</f>
        <v>1413.77</v>
      </c>
      <c r="Y524" s="1616">
        <f>Y492-Y56</f>
        <v>0</v>
      </c>
      <c r="Z524" s="7301">
        <f t="shared" si="598"/>
        <v>4125.83</v>
      </c>
      <c r="AA524" s="7425">
        <f>AA492-AA56</f>
        <v>0</v>
      </c>
      <c r="AB524" s="7302">
        <f t="shared" si="599"/>
        <v>7456.9699999999993</v>
      </c>
      <c r="AC524" s="1259">
        <f>AC492-AC56</f>
        <v>0</v>
      </c>
      <c r="AD524" s="1259">
        <f>AD492-AD56</f>
        <v>2004.0999999999995</v>
      </c>
      <c r="AE524" s="3861">
        <f>AE492-AE56</f>
        <v>0</v>
      </c>
      <c r="AF524" s="7310">
        <f t="shared" si="600"/>
        <v>9461.07</v>
      </c>
      <c r="AG524" s="1259">
        <f t="shared" ref="AG524:BD524" si="604">AG492-AG56</f>
        <v>0</v>
      </c>
      <c r="AH524" s="1259">
        <f t="shared" si="604"/>
        <v>0</v>
      </c>
      <c r="AI524" s="3861">
        <f t="shared" si="604"/>
        <v>0</v>
      </c>
      <c r="AJ524" s="3861">
        <f t="shared" si="604"/>
        <v>9461.0699999999961</v>
      </c>
      <c r="AK524" s="1259">
        <f t="shared" si="604"/>
        <v>0</v>
      </c>
      <c r="AL524" s="1259">
        <f t="shared" si="604"/>
        <v>703.34</v>
      </c>
      <c r="AM524" s="1616">
        <f t="shared" si="604"/>
        <v>0</v>
      </c>
      <c r="AN524" s="1616">
        <f t="shared" si="604"/>
        <v>2707.4400000000005</v>
      </c>
      <c r="AO524" s="3861">
        <f t="shared" si="604"/>
        <v>0</v>
      </c>
      <c r="AP524" s="3861">
        <f t="shared" si="604"/>
        <v>10164.409999999996</v>
      </c>
      <c r="AQ524" s="1259">
        <f t="shared" si="604"/>
        <v>0</v>
      </c>
      <c r="AR524" s="1259">
        <f t="shared" si="604"/>
        <v>1589.8399999999997</v>
      </c>
      <c r="AS524" s="3861">
        <f t="shared" si="604"/>
        <v>0</v>
      </c>
      <c r="AT524" s="3861">
        <f t="shared" si="604"/>
        <v>11754.249999999996</v>
      </c>
      <c r="AU524" s="1259">
        <f t="shared" si="604"/>
        <v>0</v>
      </c>
      <c r="AV524" s="1259">
        <f t="shared" si="604"/>
        <v>481.38000000000011</v>
      </c>
      <c r="AW524" s="3861">
        <f t="shared" si="604"/>
        <v>0</v>
      </c>
      <c r="AX524" s="3861">
        <f t="shared" si="604"/>
        <v>12235.629999999994</v>
      </c>
      <c r="AY524" s="1259">
        <f t="shared" si="604"/>
        <v>0</v>
      </c>
      <c r="AZ524" s="1259">
        <f t="shared" si="604"/>
        <v>1544.2600000000002</v>
      </c>
      <c r="BA524" s="1616">
        <f t="shared" si="604"/>
        <v>0</v>
      </c>
      <c r="BB524" s="1616">
        <f t="shared" si="604"/>
        <v>3615.4800000000014</v>
      </c>
      <c r="BC524" s="7425">
        <f t="shared" si="604"/>
        <v>0</v>
      </c>
      <c r="BD524" s="7425">
        <f t="shared" si="604"/>
        <v>6322.9199999999983</v>
      </c>
      <c r="BE524" s="3861"/>
      <c r="BF524" s="3861">
        <f>BF492-BF56</f>
        <v>13779.889999999992</v>
      </c>
      <c r="BG524" s="4152">
        <f t="shared" si="575"/>
        <v>0</v>
      </c>
      <c r="BH524" s="4152">
        <f t="shared" si="576"/>
        <v>0</v>
      </c>
      <c r="BI524" s="4152"/>
      <c r="BJ524" s="4152">
        <f t="shared" si="577"/>
        <v>0</v>
      </c>
      <c r="BK524" s="4152">
        <f t="shared" si="578"/>
        <v>0</v>
      </c>
    </row>
    <row r="525" spans="1:63" ht="21" customHeight="1" x14ac:dyDescent="0.25">
      <c r="A525" s="144"/>
      <c r="B525" s="610"/>
      <c r="C525" s="610"/>
      <c r="D525" s="610"/>
      <c r="E525" s="610"/>
      <c r="F525" s="1259">
        <f>F473-F48</f>
        <v>0</v>
      </c>
      <c r="G525" s="610"/>
      <c r="H525" s="1259">
        <f>H473-H48</f>
        <v>0</v>
      </c>
      <c r="I525" s="3861">
        <f>I473-I48</f>
        <v>0</v>
      </c>
      <c r="J525" s="7310">
        <f t="shared" si="594"/>
        <v>0</v>
      </c>
      <c r="K525" s="610"/>
      <c r="L525" s="1259">
        <f>L473-L48</f>
        <v>0</v>
      </c>
      <c r="M525" s="1616">
        <f>M473-M48</f>
        <v>0</v>
      </c>
      <c r="N525" s="7301">
        <f t="shared" si="595"/>
        <v>0</v>
      </c>
      <c r="O525" s="610"/>
      <c r="P525" s="1259">
        <f>P473-P48</f>
        <v>0</v>
      </c>
      <c r="Q525" s="3861">
        <f>Q473-Q48</f>
        <v>0</v>
      </c>
      <c r="R525" s="7310">
        <f t="shared" si="596"/>
        <v>0</v>
      </c>
      <c r="S525" s="610"/>
      <c r="T525" s="1259">
        <f>T473-T48</f>
        <v>0</v>
      </c>
      <c r="U525" s="3861">
        <f>U473-U48</f>
        <v>0</v>
      </c>
      <c r="V525" s="7310">
        <f t="shared" si="597"/>
        <v>0</v>
      </c>
      <c r="W525" s="610"/>
      <c r="X525" s="1259">
        <f>X473-X48</f>
        <v>0</v>
      </c>
      <c r="Y525" s="1616">
        <f>Y473-Y48</f>
        <v>0</v>
      </c>
      <c r="Z525" s="7301">
        <f t="shared" si="598"/>
        <v>0</v>
      </c>
      <c r="AA525" s="7425">
        <f>AA473-AA48</f>
        <v>0</v>
      </c>
      <c r="AB525" s="7302">
        <f t="shared" si="599"/>
        <v>0</v>
      </c>
      <c r="AC525" s="610"/>
      <c r="AD525" s="1259">
        <f>AD473-AD48</f>
        <v>0</v>
      </c>
      <c r="AE525" s="3861">
        <f>AE473-AE48</f>
        <v>0</v>
      </c>
      <c r="AF525" s="7310">
        <f t="shared" si="600"/>
        <v>0</v>
      </c>
      <c r="AG525" s="610"/>
      <c r="AH525" s="1259">
        <f>AH473-AH48</f>
        <v>0</v>
      </c>
      <c r="AI525" s="3861">
        <f>AI473-AI48</f>
        <v>0</v>
      </c>
      <c r="AJ525" s="3861">
        <f>AJ473-AJ48</f>
        <v>0</v>
      </c>
      <c r="AK525" s="610"/>
      <c r="AL525" s="1259">
        <f>AL473-AL48</f>
        <v>0</v>
      </c>
      <c r="AM525" s="1616">
        <f>AM473-AM48</f>
        <v>0</v>
      </c>
      <c r="AN525" s="1616">
        <f>AN473-AN48</f>
        <v>0</v>
      </c>
      <c r="AO525" s="3861">
        <f>AO473-AO48</f>
        <v>0</v>
      </c>
      <c r="AP525" s="3861">
        <f>AP473-AP48</f>
        <v>0</v>
      </c>
      <c r="AQ525" s="610"/>
      <c r="AR525" s="1259">
        <f>AR473-AR48</f>
        <v>0</v>
      </c>
      <c r="AS525" s="3861">
        <f>AS473-AS48</f>
        <v>0</v>
      </c>
      <c r="AT525" s="3861">
        <f>AT473-AT48</f>
        <v>0</v>
      </c>
      <c r="AU525" s="610"/>
      <c r="AV525" s="1259">
        <f>AV473-AV48</f>
        <v>0</v>
      </c>
      <c r="AW525" s="3861">
        <f>AW473-AW48</f>
        <v>0</v>
      </c>
      <c r="AX525" s="3861">
        <f>AX473-AX48</f>
        <v>0</v>
      </c>
      <c r="AY525" s="610"/>
      <c r="AZ525" s="1259">
        <f>AZ473-AZ48</f>
        <v>0</v>
      </c>
      <c r="BA525" s="1616">
        <f>BA473-BA48</f>
        <v>0</v>
      </c>
      <c r="BB525" s="1616">
        <f>BB473-BB48</f>
        <v>0</v>
      </c>
      <c r="BC525" s="7425">
        <f>BC473-BC48</f>
        <v>0</v>
      </c>
      <c r="BD525" s="7425">
        <f>BD473-BD48</f>
        <v>0</v>
      </c>
      <c r="BE525" s="3861"/>
      <c r="BF525" s="3861">
        <f>BF473-BF48</f>
        <v>0</v>
      </c>
      <c r="BG525" s="4152">
        <f t="shared" si="575"/>
        <v>0</v>
      </c>
      <c r="BH525" s="4152">
        <f t="shared" si="576"/>
        <v>0</v>
      </c>
      <c r="BI525" s="4152"/>
      <c r="BJ525" s="4152">
        <f t="shared" si="577"/>
        <v>0</v>
      </c>
      <c r="BK525" s="4152">
        <f t="shared" si="578"/>
        <v>0</v>
      </c>
    </row>
    <row r="526" spans="1:63" ht="21" customHeight="1" x14ac:dyDescent="0.25">
      <c r="A526" s="144"/>
      <c r="B526" s="610"/>
      <c r="C526" s="610"/>
      <c r="D526" s="610"/>
      <c r="E526" s="610"/>
      <c r="F526" s="610"/>
      <c r="G526" s="610"/>
      <c r="H526" s="610"/>
      <c r="I526" s="820"/>
      <c r="J526" s="7310">
        <f t="shared" si="594"/>
        <v>0</v>
      </c>
      <c r="K526" s="610"/>
      <c r="L526" s="610"/>
      <c r="M526" s="821"/>
      <c r="N526" s="7301">
        <f t="shared" si="595"/>
        <v>0</v>
      </c>
      <c r="O526" s="610"/>
      <c r="P526" s="610"/>
      <c r="Q526" s="820"/>
      <c r="R526" s="7310">
        <f t="shared" si="596"/>
        <v>0</v>
      </c>
      <c r="S526" s="610"/>
      <c r="T526" s="610"/>
      <c r="U526" s="820"/>
      <c r="V526" s="7310">
        <f t="shared" si="597"/>
        <v>0</v>
      </c>
      <c r="W526" s="610"/>
      <c r="X526" s="610"/>
      <c r="Y526" s="821"/>
      <c r="Z526" s="7301">
        <f t="shared" si="598"/>
        <v>0</v>
      </c>
      <c r="AA526" s="7401"/>
      <c r="AB526" s="7302">
        <f t="shared" si="599"/>
        <v>0</v>
      </c>
      <c r="AC526" s="610"/>
      <c r="AD526" s="610"/>
      <c r="AE526" s="820"/>
      <c r="AF526" s="7310">
        <f t="shared" si="600"/>
        <v>0</v>
      </c>
      <c r="AG526" s="610"/>
      <c r="AH526" s="610"/>
      <c r="AK526" s="610"/>
      <c r="AL526" s="610"/>
      <c r="AM526" s="821"/>
      <c r="AN526" s="821"/>
      <c r="AQ526" s="610"/>
      <c r="AR526" s="610"/>
      <c r="AU526" s="610"/>
      <c r="AV526" s="610"/>
      <c r="AY526" s="610"/>
      <c r="AZ526" s="610"/>
      <c r="BA526" s="821"/>
      <c r="BB526" s="821"/>
      <c r="BC526" s="7401"/>
      <c r="BD526" s="7401"/>
      <c r="BG526" s="4152">
        <f t="shared" si="575"/>
        <v>0</v>
      </c>
      <c r="BH526" s="4152">
        <f t="shared" si="576"/>
        <v>0</v>
      </c>
      <c r="BI526" s="4152"/>
      <c r="BJ526" s="4152">
        <f t="shared" si="577"/>
        <v>0</v>
      </c>
      <c r="BK526" s="4152">
        <f t="shared" si="578"/>
        <v>0</v>
      </c>
    </row>
    <row r="527" spans="1:63" ht="21" customHeight="1" x14ac:dyDescent="0.25">
      <c r="A527" s="144"/>
      <c r="B527" s="610"/>
      <c r="C527" s="610"/>
      <c r="D527" s="610"/>
      <c r="E527" s="610"/>
      <c r="F527" s="610"/>
      <c r="G527" s="610"/>
      <c r="H527" s="610"/>
      <c r="I527" s="820"/>
      <c r="J527" s="7310">
        <f t="shared" si="594"/>
        <v>0</v>
      </c>
      <c r="K527" s="610"/>
      <c r="L527" s="610"/>
      <c r="M527" s="821"/>
      <c r="N527" s="7301">
        <f t="shared" si="595"/>
        <v>0</v>
      </c>
      <c r="O527" s="610"/>
      <c r="P527" s="610"/>
      <c r="Q527" s="820"/>
      <c r="R527" s="7310">
        <f t="shared" si="596"/>
        <v>0</v>
      </c>
      <c r="S527" s="610"/>
      <c r="T527" s="610"/>
      <c r="U527" s="820"/>
      <c r="V527" s="7310">
        <f t="shared" si="597"/>
        <v>0</v>
      </c>
      <c r="W527" s="610"/>
      <c r="X527" s="610"/>
      <c r="Y527" s="821"/>
      <c r="Z527" s="7301">
        <f t="shared" si="598"/>
        <v>0</v>
      </c>
      <c r="AA527" s="7401"/>
      <c r="AB527" s="7302">
        <f t="shared" si="599"/>
        <v>0</v>
      </c>
      <c r="AC527" s="610"/>
      <c r="AD527" s="610"/>
      <c r="AE527" s="820"/>
      <c r="AF527" s="7310">
        <f t="shared" si="600"/>
        <v>0</v>
      </c>
      <c r="AG527" s="610"/>
      <c r="AH527" s="610"/>
      <c r="AK527" s="610"/>
      <c r="AL527" s="610"/>
      <c r="AM527" s="821"/>
      <c r="AN527" s="821"/>
      <c r="AQ527" s="610"/>
      <c r="AR527" s="610"/>
      <c r="AU527" s="610"/>
      <c r="AV527" s="610"/>
      <c r="AY527" s="610"/>
      <c r="AZ527" s="610"/>
      <c r="BA527" s="821"/>
      <c r="BB527" s="821"/>
      <c r="BC527" s="7401"/>
      <c r="BD527" s="7401"/>
      <c r="BG527" s="4152">
        <f t="shared" si="575"/>
        <v>0</v>
      </c>
      <c r="BH527" s="4152">
        <f t="shared" si="576"/>
        <v>0</v>
      </c>
      <c r="BI527" s="4152"/>
      <c r="BJ527" s="4152">
        <f t="shared" si="577"/>
        <v>0</v>
      </c>
      <c r="BK527" s="4152">
        <f t="shared" si="578"/>
        <v>0</v>
      </c>
    </row>
    <row r="528" spans="1:63" ht="21" customHeight="1" x14ac:dyDescent="0.25">
      <c r="A528" s="144"/>
      <c r="B528" s="610"/>
      <c r="C528" s="610"/>
      <c r="D528" s="610"/>
      <c r="E528" s="610"/>
      <c r="F528" s="610"/>
      <c r="G528" s="610"/>
      <c r="H528" s="610"/>
      <c r="I528" s="820"/>
      <c r="J528" s="7310">
        <f t="shared" si="594"/>
        <v>0</v>
      </c>
      <c r="K528" s="610"/>
      <c r="L528" s="610"/>
      <c r="M528" s="821"/>
      <c r="N528" s="7301">
        <f t="shared" si="595"/>
        <v>0</v>
      </c>
      <c r="O528" s="610"/>
      <c r="P528" s="610"/>
      <c r="Q528" s="820"/>
      <c r="R528" s="7310">
        <f t="shared" si="596"/>
        <v>0</v>
      </c>
      <c r="S528" s="610"/>
      <c r="T528" s="610"/>
      <c r="U528" s="820"/>
      <c r="V528" s="7310">
        <f t="shared" si="597"/>
        <v>0</v>
      </c>
      <c r="W528" s="610"/>
      <c r="X528" s="610"/>
      <c r="Y528" s="821"/>
      <c r="Z528" s="7301">
        <f t="shared" si="598"/>
        <v>0</v>
      </c>
      <c r="AA528" s="7401"/>
      <c r="AB528" s="7302">
        <f t="shared" si="599"/>
        <v>0</v>
      </c>
      <c r="AC528" s="610"/>
      <c r="AD528" s="610"/>
      <c r="AE528" s="820"/>
      <c r="AF528" s="7310">
        <f t="shared" si="600"/>
        <v>0</v>
      </c>
      <c r="AG528" s="610"/>
      <c r="AH528" s="610"/>
      <c r="AK528" s="610"/>
      <c r="AL528" s="610"/>
      <c r="AM528" s="821"/>
      <c r="AN528" s="821"/>
      <c r="AQ528" s="610"/>
      <c r="AR528" s="610"/>
      <c r="AU528" s="610"/>
      <c r="AV528" s="610"/>
      <c r="AY528" s="610"/>
      <c r="AZ528" s="610"/>
      <c r="BA528" s="821"/>
      <c r="BB528" s="821"/>
      <c r="BC528" s="7401"/>
      <c r="BD528" s="7401"/>
      <c r="BG528" s="4152">
        <f t="shared" si="575"/>
        <v>0</v>
      </c>
      <c r="BH528" s="4152">
        <f t="shared" si="576"/>
        <v>0</v>
      </c>
      <c r="BI528" s="4152"/>
      <c r="BJ528" s="4152">
        <f t="shared" si="577"/>
        <v>0</v>
      </c>
      <c r="BK528" s="4152">
        <f t="shared" si="578"/>
        <v>0</v>
      </c>
    </row>
    <row r="529" spans="1:63" ht="21" customHeight="1" x14ac:dyDescent="0.25">
      <c r="A529" s="144"/>
      <c r="B529" s="610"/>
      <c r="C529" s="610"/>
      <c r="D529" s="610"/>
      <c r="E529" s="610"/>
      <c r="F529" s="610"/>
      <c r="G529" s="610"/>
      <c r="H529" s="610"/>
      <c r="I529" s="820"/>
      <c r="J529" s="7310">
        <f t="shared" si="594"/>
        <v>0</v>
      </c>
      <c r="K529" s="610"/>
      <c r="L529" s="610"/>
      <c r="M529" s="821"/>
      <c r="N529" s="7301">
        <f t="shared" si="595"/>
        <v>0</v>
      </c>
      <c r="O529" s="610"/>
      <c r="P529" s="610"/>
      <c r="Q529" s="820"/>
      <c r="R529" s="7310">
        <f t="shared" si="596"/>
        <v>0</v>
      </c>
      <c r="S529" s="610"/>
      <c r="T529" s="610"/>
      <c r="U529" s="820"/>
      <c r="V529" s="7310">
        <f t="shared" si="597"/>
        <v>0</v>
      </c>
      <c r="W529" s="610"/>
      <c r="X529" s="610"/>
      <c r="Y529" s="821"/>
      <c r="Z529" s="7301">
        <f t="shared" si="598"/>
        <v>0</v>
      </c>
      <c r="AA529" s="7401"/>
      <c r="AB529" s="7302">
        <f t="shared" si="599"/>
        <v>0</v>
      </c>
      <c r="AC529" s="610"/>
      <c r="AD529" s="610"/>
      <c r="AE529" s="820"/>
      <c r="AF529" s="7310">
        <f t="shared" si="600"/>
        <v>0</v>
      </c>
      <c r="AG529" s="610"/>
      <c r="AH529" s="610"/>
      <c r="AK529" s="610"/>
      <c r="AL529" s="610"/>
      <c r="AM529" s="821"/>
      <c r="AN529" s="821"/>
      <c r="AQ529" s="610"/>
      <c r="AR529" s="610"/>
      <c r="AU529" s="610"/>
      <c r="AV529" s="610"/>
      <c r="AY529" s="610"/>
      <c r="AZ529" s="610"/>
      <c r="BA529" s="821"/>
      <c r="BB529" s="821"/>
      <c r="BC529" s="7401"/>
      <c r="BD529" s="7401"/>
      <c r="BG529" s="4152">
        <f t="shared" si="575"/>
        <v>0</v>
      </c>
      <c r="BH529" s="4152">
        <f t="shared" si="576"/>
        <v>0</v>
      </c>
      <c r="BI529" s="4152"/>
      <c r="BJ529" s="4152">
        <f t="shared" si="577"/>
        <v>0</v>
      </c>
      <c r="BK529" s="4152">
        <f t="shared" si="578"/>
        <v>0</v>
      </c>
    </row>
    <row r="530" spans="1:63" ht="21" customHeight="1" x14ac:dyDescent="0.25">
      <c r="A530" s="144"/>
      <c r="B530" s="610"/>
      <c r="C530" s="610"/>
      <c r="D530" s="610"/>
      <c r="E530" s="610"/>
      <c r="F530" s="610"/>
      <c r="G530" s="610"/>
      <c r="H530" s="610"/>
      <c r="I530" s="820"/>
      <c r="J530" s="7310">
        <f t="shared" si="594"/>
        <v>0</v>
      </c>
      <c r="K530" s="610"/>
      <c r="L530" s="610"/>
      <c r="M530" s="821"/>
      <c r="N530" s="7301">
        <f t="shared" si="595"/>
        <v>0</v>
      </c>
      <c r="O530" s="610"/>
      <c r="P530" s="610"/>
      <c r="Q530" s="820"/>
      <c r="R530" s="7310">
        <f t="shared" si="596"/>
        <v>0</v>
      </c>
      <c r="S530" s="610"/>
      <c r="T530" s="610"/>
      <c r="U530" s="820"/>
      <c r="V530" s="7310">
        <f t="shared" si="597"/>
        <v>0</v>
      </c>
      <c r="W530" s="610"/>
      <c r="X530" s="610"/>
      <c r="Y530" s="821"/>
      <c r="Z530" s="7301">
        <f t="shared" si="598"/>
        <v>0</v>
      </c>
      <c r="AA530" s="7401"/>
      <c r="AB530" s="7302">
        <f t="shared" si="599"/>
        <v>0</v>
      </c>
      <c r="AC530" s="610"/>
      <c r="AD530" s="610"/>
      <c r="AE530" s="820"/>
      <c r="AF530" s="7310">
        <f t="shared" si="600"/>
        <v>0</v>
      </c>
      <c r="AG530" s="610"/>
      <c r="AH530" s="610"/>
      <c r="AK530" s="610"/>
      <c r="AL530" s="610"/>
      <c r="AM530" s="821"/>
      <c r="AN530" s="821"/>
      <c r="AQ530" s="610"/>
      <c r="AR530" s="610"/>
      <c r="AU530" s="610"/>
      <c r="AV530" s="610"/>
      <c r="AY530" s="610"/>
      <c r="AZ530" s="610"/>
      <c r="BA530" s="821"/>
      <c r="BB530" s="821"/>
      <c r="BC530" s="7401"/>
      <c r="BD530" s="7401"/>
      <c r="BG530" s="4152">
        <f t="shared" si="575"/>
        <v>0</v>
      </c>
      <c r="BH530" s="4152">
        <f t="shared" si="576"/>
        <v>0</v>
      </c>
      <c r="BI530" s="4152"/>
      <c r="BJ530" s="4152">
        <f t="shared" si="577"/>
        <v>0</v>
      </c>
      <c r="BK530" s="4152">
        <f t="shared" si="578"/>
        <v>0</v>
      </c>
    </row>
    <row r="531" spans="1:63" ht="21" customHeight="1" x14ac:dyDescent="0.25">
      <c r="A531" s="144"/>
      <c r="B531" s="610"/>
      <c r="C531" s="610"/>
      <c r="D531" s="610"/>
      <c r="E531" s="610"/>
      <c r="F531" s="610"/>
      <c r="G531" s="610"/>
      <c r="H531" s="610"/>
      <c r="I531" s="820"/>
      <c r="J531" s="7310">
        <f t="shared" si="594"/>
        <v>0</v>
      </c>
      <c r="K531" s="610"/>
      <c r="L531" s="610"/>
      <c r="M531" s="821"/>
      <c r="N531" s="7301">
        <f t="shared" si="595"/>
        <v>0</v>
      </c>
      <c r="O531" s="610"/>
      <c r="P531" s="610"/>
      <c r="Q531" s="820"/>
      <c r="R531" s="7310">
        <f t="shared" si="596"/>
        <v>0</v>
      </c>
      <c r="S531" s="610"/>
      <c r="T531" s="610"/>
      <c r="U531" s="820"/>
      <c r="V531" s="7310">
        <f t="shared" si="597"/>
        <v>0</v>
      </c>
      <c r="W531" s="610"/>
      <c r="X531" s="610"/>
      <c r="Y531" s="821"/>
      <c r="Z531" s="7301">
        <f t="shared" si="598"/>
        <v>0</v>
      </c>
      <c r="AA531" s="7401"/>
      <c r="AB531" s="7302">
        <f t="shared" si="599"/>
        <v>0</v>
      </c>
      <c r="AC531" s="610"/>
      <c r="AD531" s="610"/>
      <c r="AE531" s="820"/>
      <c r="AF531" s="7310">
        <f t="shared" si="600"/>
        <v>0</v>
      </c>
      <c r="AG531" s="610"/>
      <c r="AH531" s="610"/>
      <c r="AK531" s="610"/>
      <c r="AL531" s="610"/>
      <c r="AM531" s="821"/>
      <c r="AN531" s="821"/>
      <c r="AQ531" s="610"/>
      <c r="AR531" s="610"/>
      <c r="AU531" s="610"/>
      <c r="AV531" s="610"/>
      <c r="AY531" s="610"/>
      <c r="AZ531" s="610"/>
      <c r="BA531" s="821"/>
      <c r="BB531" s="821"/>
      <c r="BC531" s="7401"/>
      <c r="BD531" s="7401"/>
      <c r="BG531" s="4152">
        <f t="shared" si="575"/>
        <v>0</v>
      </c>
      <c r="BH531" s="4152">
        <f t="shared" si="576"/>
        <v>0</v>
      </c>
      <c r="BI531" s="4152"/>
      <c r="BJ531" s="4152">
        <f t="shared" si="577"/>
        <v>0</v>
      </c>
      <c r="BK531" s="4152">
        <f t="shared" si="578"/>
        <v>0</v>
      </c>
    </row>
    <row r="532" spans="1:63" ht="21" customHeight="1" x14ac:dyDescent="0.25">
      <c r="A532" s="144"/>
      <c r="B532" s="610"/>
      <c r="C532" s="610"/>
      <c r="D532" s="610"/>
      <c r="E532" s="610"/>
      <c r="F532" s="610"/>
      <c r="G532" s="610"/>
      <c r="H532" s="610"/>
      <c r="I532" s="820"/>
      <c r="J532" s="7310">
        <f t="shared" si="594"/>
        <v>0</v>
      </c>
      <c r="K532" s="610"/>
      <c r="L532" s="610"/>
      <c r="M532" s="821"/>
      <c r="N532" s="7301">
        <f t="shared" si="595"/>
        <v>0</v>
      </c>
      <c r="O532" s="610"/>
      <c r="P532" s="610"/>
      <c r="Q532" s="820"/>
      <c r="R532" s="7310">
        <f t="shared" si="596"/>
        <v>0</v>
      </c>
      <c r="S532" s="610"/>
      <c r="T532" s="610"/>
      <c r="U532" s="820"/>
      <c r="V532" s="7310">
        <f t="shared" si="597"/>
        <v>0</v>
      </c>
      <c r="W532" s="610"/>
      <c r="X532" s="610"/>
      <c r="Y532" s="821"/>
      <c r="Z532" s="7301">
        <f t="shared" si="598"/>
        <v>0</v>
      </c>
      <c r="AA532" s="7401"/>
      <c r="AB532" s="7302">
        <f t="shared" si="599"/>
        <v>0</v>
      </c>
      <c r="AC532" s="610"/>
      <c r="AD532" s="610"/>
      <c r="AE532" s="820"/>
      <c r="AF532" s="7310">
        <f t="shared" si="600"/>
        <v>0</v>
      </c>
      <c r="AG532" s="610"/>
      <c r="AH532" s="610"/>
      <c r="AK532" s="610"/>
      <c r="AL532" s="610"/>
      <c r="AM532" s="821"/>
      <c r="AN532" s="821"/>
      <c r="AQ532" s="610"/>
      <c r="AR532" s="610"/>
      <c r="AU532" s="610"/>
      <c r="AV532" s="610"/>
      <c r="AY532" s="610"/>
      <c r="AZ532" s="610"/>
      <c r="BA532" s="821"/>
      <c r="BB532" s="821"/>
      <c r="BC532" s="7401"/>
      <c r="BD532" s="7401"/>
      <c r="BG532" s="4152">
        <f t="shared" si="575"/>
        <v>0</v>
      </c>
      <c r="BH532" s="4152">
        <f t="shared" si="576"/>
        <v>0</v>
      </c>
      <c r="BI532" s="4152"/>
      <c r="BJ532" s="4152">
        <f t="shared" si="577"/>
        <v>0</v>
      </c>
      <c r="BK532" s="4152">
        <f t="shared" si="578"/>
        <v>0</v>
      </c>
    </row>
    <row r="533" spans="1:63" ht="21" customHeight="1" x14ac:dyDescent="0.25">
      <c r="A533" s="144"/>
      <c r="B533" s="610"/>
      <c r="C533" s="610"/>
      <c r="D533" s="610"/>
      <c r="E533" s="610"/>
      <c r="F533" s="610"/>
      <c r="G533" s="610"/>
      <c r="H533" s="610"/>
      <c r="I533" s="820"/>
      <c r="J533" s="7310">
        <f t="shared" si="594"/>
        <v>0</v>
      </c>
      <c r="K533" s="610"/>
      <c r="L533" s="610"/>
      <c r="M533" s="821"/>
      <c r="N533" s="7301">
        <f t="shared" si="595"/>
        <v>0</v>
      </c>
      <c r="O533" s="610"/>
      <c r="P533" s="610"/>
      <c r="Q533" s="820"/>
      <c r="R533" s="7310">
        <f t="shared" si="596"/>
        <v>0</v>
      </c>
      <c r="S533" s="610"/>
      <c r="T533" s="610"/>
      <c r="U533" s="820"/>
      <c r="V533" s="7310">
        <f t="shared" si="597"/>
        <v>0</v>
      </c>
      <c r="W533" s="610"/>
      <c r="X533" s="610"/>
      <c r="Y533" s="821"/>
      <c r="Z533" s="7301">
        <f t="shared" si="598"/>
        <v>0</v>
      </c>
      <c r="AA533" s="7401"/>
      <c r="AB533" s="7302">
        <f t="shared" si="599"/>
        <v>0</v>
      </c>
      <c r="AC533" s="610"/>
      <c r="AD533" s="610"/>
      <c r="AE533" s="820"/>
      <c r="AF533" s="7310">
        <f t="shared" si="600"/>
        <v>0</v>
      </c>
      <c r="AG533" s="610"/>
      <c r="AH533" s="610"/>
      <c r="AK533" s="610"/>
      <c r="AL533" s="610"/>
      <c r="AM533" s="821"/>
      <c r="AN533" s="821"/>
      <c r="AQ533" s="610"/>
      <c r="AR533" s="610"/>
      <c r="AU533" s="610"/>
      <c r="AV533" s="610"/>
      <c r="AY533" s="610"/>
      <c r="AZ533" s="610"/>
      <c r="BA533" s="821"/>
      <c r="BB533" s="821"/>
      <c r="BC533" s="7401"/>
      <c r="BD533" s="7401"/>
      <c r="BG533" s="4152">
        <f t="shared" ref="BG533:BG596" si="605">AY533+AU533+AQ533+AK533+AG533+AC533+W533+S533+O533+K533+G533+E533-BE533</f>
        <v>0</v>
      </c>
      <c r="BH533" s="4152">
        <f t="shared" ref="BH533:BH596" si="606">AZ533+AV533+AR533+AL533+AH533+AD533+X533+T533+P533+L533+H533+F533-BF533</f>
        <v>0</v>
      </c>
      <c r="BI533" s="4152"/>
      <c r="BJ533" s="4152">
        <f t="shared" ref="BJ533:BJ596" si="607">AY533+AU533+AQ533+AK533+AG533+AC533-BC533</f>
        <v>0</v>
      </c>
      <c r="BK533" s="4152">
        <f t="shared" ref="BK533:BK596" si="608">AZ533+AV533+AR533+AL533+AH533+AD533-BD533</f>
        <v>0</v>
      </c>
    </row>
    <row r="534" spans="1:63" ht="21" customHeight="1" x14ac:dyDescent="0.25">
      <c r="A534" s="144"/>
      <c r="B534" s="610"/>
      <c r="C534" s="610"/>
      <c r="D534" s="610"/>
      <c r="E534" s="610"/>
      <c r="F534" s="610"/>
      <c r="G534" s="610"/>
      <c r="H534" s="610"/>
      <c r="I534" s="820"/>
      <c r="J534" s="7310">
        <f t="shared" si="594"/>
        <v>0</v>
      </c>
      <c r="K534" s="610"/>
      <c r="L534" s="610"/>
      <c r="M534" s="821"/>
      <c r="N534" s="7301">
        <f t="shared" si="595"/>
        <v>0</v>
      </c>
      <c r="O534" s="610"/>
      <c r="P534" s="610"/>
      <c r="Q534" s="820"/>
      <c r="R534" s="7310">
        <f t="shared" si="596"/>
        <v>0</v>
      </c>
      <c r="S534" s="610"/>
      <c r="T534" s="610"/>
      <c r="U534" s="820"/>
      <c r="V534" s="7310">
        <f t="shared" si="597"/>
        <v>0</v>
      </c>
      <c r="W534" s="610"/>
      <c r="X534" s="610"/>
      <c r="Y534" s="821"/>
      <c r="Z534" s="7301">
        <f t="shared" si="598"/>
        <v>0</v>
      </c>
      <c r="AA534" s="7401"/>
      <c r="AB534" s="7302">
        <f t="shared" si="599"/>
        <v>0</v>
      </c>
      <c r="AC534" s="610"/>
      <c r="AD534" s="610"/>
      <c r="AE534" s="820"/>
      <c r="AF534" s="7310">
        <f t="shared" si="600"/>
        <v>0</v>
      </c>
      <c r="AG534" s="610"/>
      <c r="AH534" s="610"/>
      <c r="AK534" s="610"/>
      <c r="AL534" s="610"/>
      <c r="AM534" s="821"/>
      <c r="AN534" s="821"/>
      <c r="AQ534" s="610"/>
      <c r="AR534" s="610"/>
      <c r="AU534" s="610"/>
      <c r="AV534" s="610"/>
      <c r="AY534" s="610"/>
      <c r="AZ534" s="610"/>
      <c r="BA534" s="821"/>
      <c r="BB534" s="821"/>
      <c r="BC534" s="7401"/>
      <c r="BD534" s="7401"/>
      <c r="BG534" s="4152">
        <f t="shared" si="605"/>
        <v>0</v>
      </c>
      <c r="BH534" s="4152">
        <f t="shared" si="606"/>
        <v>0</v>
      </c>
      <c r="BI534" s="4152"/>
      <c r="BJ534" s="4152">
        <f t="shared" si="607"/>
        <v>0</v>
      </c>
      <c r="BK534" s="4152">
        <f t="shared" si="608"/>
        <v>0</v>
      </c>
    </row>
    <row r="535" spans="1:63" ht="21" customHeight="1" x14ac:dyDescent="0.25">
      <c r="A535" s="144"/>
      <c r="B535" s="610"/>
      <c r="C535" s="610"/>
      <c r="D535" s="610"/>
      <c r="E535" s="610"/>
      <c r="F535" s="610"/>
      <c r="G535" s="610"/>
      <c r="H535" s="610"/>
      <c r="I535" s="820"/>
      <c r="J535" s="7310">
        <f t="shared" si="594"/>
        <v>0</v>
      </c>
      <c r="K535" s="610"/>
      <c r="L535" s="610"/>
      <c r="M535" s="821"/>
      <c r="N535" s="7301">
        <f t="shared" si="595"/>
        <v>0</v>
      </c>
      <c r="O535" s="610"/>
      <c r="P535" s="610"/>
      <c r="Q535" s="820"/>
      <c r="R535" s="7310">
        <f t="shared" si="596"/>
        <v>0</v>
      </c>
      <c r="S535" s="610"/>
      <c r="T535" s="610"/>
      <c r="U535" s="820"/>
      <c r="V535" s="7310">
        <f t="shared" si="597"/>
        <v>0</v>
      </c>
      <c r="W535" s="610"/>
      <c r="X535" s="610"/>
      <c r="Y535" s="821"/>
      <c r="Z535" s="7301">
        <f t="shared" si="598"/>
        <v>0</v>
      </c>
      <c r="AA535" s="7401"/>
      <c r="AB535" s="7302">
        <f t="shared" si="599"/>
        <v>0</v>
      </c>
      <c r="AC535" s="610"/>
      <c r="AD535" s="610"/>
      <c r="AE535" s="820"/>
      <c r="AF535" s="7310">
        <f t="shared" si="600"/>
        <v>0</v>
      </c>
      <c r="AG535" s="610"/>
      <c r="AH535" s="610"/>
      <c r="AK535" s="610"/>
      <c r="AL535" s="610"/>
      <c r="AM535" s="821"/>
      <c r="AN535" s="821"/>
      <c r="AQ535" s="610"/>
      <c r="AR535" s="610"/>
      <c r="AU535" s="610"/>
      <c r="AV535" s="610"/>
      <c r="AY535" s="610"/>
      <c r="AZ535" s="610"/>
      <c r="BA535" s="821"/>
      <c r="BB535" s="821"/>
      <c r="BC535" s="7401"/>
      <c r="BD535" s="7401"/>
      <c r="BG535" s="4152">
        <f t="shared" si="605"/>
        <v>0</v>
      </c>
      <c r="BH535" s="4152">
        <f t="shared" si="606"/>
        <v>0</v>
      </c>
      <c r="BI535" s="4152"/>
      <c r="BJ535" s="4152">
        <f t="shared" si="607"/>
        <v>0</v>
      </c>
      <c r="BK535" s="4152">
        <f t="shared" si="608"/>
        <v>0</v>
      </c>
    </row>
    <row r="536" spans="1:63" ht="21" customHeight="1" x14ac:dyDescent="0.25">
      <c r="A536" s="144"/>
      <c r="B536" s="610"/>
      <c r="C536" s="610"/>
      <c r="D536" s="610"/>
      <c r="E536" s="610"/>
      <c r="F536" s="610"/>
      <c r="G536" s="610"/>
      <c r="H536" s="610"/>
      <c r="I536" s="820"/>
      <c r="J536" s="7310">
        <f t="shared" si="594"/>
        <v>0</v>
      </c>
      <c r="K536" s="610"/>
      <c r="L536" s="610"/>
      <c r="M536" s="821"/>
      <c r="N536" s="7301">
        <f t="shared" si="595"/>
        <v>0</v>
      </c>
      <c r="O536" s="610"/>
      <c r="P536" s="610"/>
      <c r="Q536" s="820"/>
      <c r="R536" s="7310">
        <f t="shared" si="596"/>
        <v>0</v>
      </c>
      <c r="S536" s="610"/>
      <c r="T536" s="610"/>
      <c r="U536" s="820"/>
      <c r="V536" s="7310">
        <f t="shared" si="597"/>
        <v>0</v>
      </c>
      <c r="W536" s="610"/>
      <c r="X536" s="610"/>
      <c r="Y536" s="821"/>
      <c r="Z536" s="7301">
        <f t="shared" si="598"/>
        <v>0</v>
      </c>
      <c r="AA536" s="7401"/>
      <c r="AB536" s="7302">
        <f t="shared" si="599"/>
        <v>0</v>
      </c>
      <c r="AC536" s="610"/>
      <c r="AD536" s="610"/>
      <c r="AE536" s="820"/>
      <c r="AF536" s="7310">
        <f t="shared" si="600"/>
        <v>0</v>
      </c>
      <c r="AG536" s="610"/>
      <c r="AH536" s="610"/>
      <c r="AK536" s="610"/>
      <c r="AL536" s="610"/>
      <c r="AM536" s="821"/>
      <c r="AN536" s="821"/>
      <c r="AQ536" s="610"/>
      <c r="AR536" s="610"/>
      <c r="AU536" s="610"/>
      <c r="AV536" s="610"/>
      <c r="AY536" s="610"/>
      <c r="AZ536" s="610"/>
      <c r="BA536" s="821"/>
      <c r="BB536" s="821"/>
      <c r="BC536" s="7401"/>
      <c r="BD536" s="7401"/>
      <c r="BG536" s="4152">
        <f t="shared" si="605"/>
        <v>0</v>
      </c>
      <c r="BH536" s="4152">
        <f t="shared" si="606"/>
        <v>0</v>
      </c>
      <c r="BI536" s="4152"/>
      <c r="BJ536" s="4152">
        <f t="shared" si="607"/>
        <v>0</v>
      </c>
      <c r="BK536" s="4152">
        <f t="shared" si="608"/>
        <v>0</v>
      </c>
    </row>
    <row r="537" spans="1:63" ht="21" customHeight="1" x14ac:dyDescent="0.25">
      <c r="A537" s="144"/>
      <c r="B537" s="610"/>
      <c r="C537" s="610"/>
      <c r="D537" s="610"/>
      <c r="E537" s="610"/>
      <c r="F537" s="610"/>
      <c r="G537" s="610"/>
      <c r="H537" s="610"/>
      <c r="I537" s="820"/>
      <c r="J537" s="7310">
        <f t="shared" si="594"/>
        <v>0</v>
      </c>
      <c r="K537" s="610"/>
      <c r="L537" s="610"/>
      <c r="M537" s="821"/>
      <c r="N537" s="7301">
        <f t="shared" si="595"/>
        <v>0</v>
      </c>
      <c r="O537" s="610"/>
      <c r="P537" s="610"/>
      <c r="Q537" s="820"/>
      <c r="R537" s="7310">
        <f t="shared" si="596"/>
        <v>0</v>
      </c>
      <c r="S537" s="610"/>
      <c r="T537" s="610"/>
      <c r="U537" s="820"/>
      <c r="V537" s="7310">
        <f t="shared" si="597"/>
        <v>0</v>
      </c>
      <c r="W537" s="610"/>
      <c r="X537" s="610"/>
      <c r="Y537" s="821"/>
      <c r="Z537" s="7301">
        <f t="shared" si="598"/>
        <v>0</v>
      </c>
      <c r="AA537" s="7401"/>
      <c r="AB537" s="7302">
        <f t="shared" si="599"/>
        <v>0</v>
      </c>
      <c r="AC537" s="610"/>
      <c r="AD537" s="610"/>
      <c r="AE537" s="820"/>
      <c r="AF537" s="7310">
        <f t="shared" si="600"/>
        <v>0</v>
      </c>
      <c r="AG537" s="610"/>
      <c r="AH537" s="610"/>
      <c r="AK537" s="610"/>
      <c r="AL537" s="610"/>
      <c r="AM537" s="821"/>
      <c r="AN537" s="821"/>
      <c r="AQ537" s="610"/>
      <c r="AR537" s="610"/>
      <c r="AU537" s="610"/>
      <c r="AV537" s="610"/>
      <c r="AY537" s="610"/>
      <c r="AZ537" s="610"/>
      <c r="BA537" s="821"/>
      <c r="BB537" s="821"/>
      <c r="BC537" s="7401"/>
      <c r="BD537" s="7401"/>
      <c r="BG537" s="4152">
        <f t="shared" si="605"/>
        <v>0</v>
      </c>
      <c r="BH537" s="4152">
        <f t="shared" si="606"/>
        <v>0</v>
      </c>
      <c r="BI537" s="4152"/>
      <c r="BJ537" s="4152">
        <f t="shared" si="607"/>
        <v>0</v>
      </c>
      <c r="BK537" s="4152">
        <f t="shared" si="608"/>
        <v>0</v>
      </c>
    </row>
    <row r="538" spans="1:63" ht="21" customHeight="1" x14ac:dyDescent="0.25">
      <c r="A538" s="144"/>
      <c r="B538" s="610"/>
      <c r="C538" s="610"/>
      <c r="D538" s="610"/>
      <c r="E538" s="610"/>
      <c r="F538" s="610"/>
      <c r="G538" s="610"/>
      <c r="H538" s="610"/>
      <c r="I538" s="820"/>
      <c r="J538" s="7310">
        <f t="shared" si="594"/>
        <v>0</v>
      </c>
      <c r="K538" s="610"/>
      <c r="L538" s="610"/>
      <c r="M538" s="821"/>
      <c r="N538" s="7301">
        <f t="shared" si="595"/>
        <v>0</v>
      </c>
      <c r="O538" s="610"/>
      <c r="P538" s="610"/>
      <c r="Q538" s="820"/>
      <c r="R538" s="7310">
        <f t="shared" si="596"/>
        <v>0</v>
      </c>
      <c r="S538" s="610"/>
      <c r="T538" s="610"/>
      <c r="U538" s="820"/>
      <c r="V538" s="7310">
        <f t="shared" si="597"/>
        <v>0</v>
      </c>
      <c r="W538" s="610"/>
      <c r="X538" s="610"/>
      <c r="Y538" s="821"/>
      <c r="Z538" s="7301">
        <f t="shared" si="598"/>
        <v>0</v>
      </c>
      <c r="AA538" s="7401"/>
      <c r="AB538" s="7302">
        <f t="shared" si="599"/>
        <v>0</v>
      </c>
      <c r="AC538" s="610"/>
      <c r="AD538" s="610"/>
      <c r="AE538" s="820"/>
      <c r="AF538" s="7310">
        <f t="shared" si="600"/>
        <v>0</v>
      </c>
      <c r="AG538" s="610"/>
      <c r="AH538" s="610"/>
      <c r="AK538" s="610"/>
      <c r="AL538" s="610"/>
      <c r="AM538" s="821"/>
      <c r="AN538" s="821"/>
      <c r="AQ538" s="610"/>
      <c r="AR538" s="610"/>
      <c r="AU538" s="610"/>
      <c r="AV538" s="610"/>
      <c r="AY538" s="610"/>
      <c r="AZ538" s="610"/>
      <c r="BA538" s="821"/>
      <c r="BB538" s="821"/>
      <c r="BC538" s="7401"/>
      <c r="BD538" s="7401"/>
      <c r="BG538" s="4152">
        <f t="shared" si="605"/>
        <v>0</v>
      </c>
      <c r="BH538" s="4152">
        <f t="shared" si="606"/>
        <v>0</v>
      </c>
      <c r="BI538" s="4152"/>
      <c r="BJ538" s="4152">
        <f t="shared" si="607"/>
        <v>0</v>
      </c>
      <c r="BK538" s="4152">
        <f t="shared" si="608"/>
        <v>0</v>
      </c>
    </row>
    <row r="539" spans="1:63" ht="21" customHeight="1" x14ac:dyDescent="0.25">
      <c r="A539" s="144"/>
      <c r="B539" s="610"/>
      <c r="C539" s="610"/>
      <c r="D539" s="610"/>
      <c r="E539" s="610"/>
      <c r="F539" s="610"/>
      <c r="G539" s="610"/>
      <c r="H539" s="610"/>
      <c r="I539" s="820"/>
      <c r="J539" s="7310">
        <f t="shared" si="594"/>
        <v>0</v>
      </c>
      <c r="K539" s="610"/>
      <c r="L539" s="610"/>
      <c r="M539" s="821"/>
      <c r="N539" s="7301">
        <f t="shared" si="595"/>
        <v>0</v>
      </c>
      <c r="O539" s="610"/>
      <c r="P539" s="610"/>
      <c r="Q539" s="820"/>
      <c r="R539" s="7310">
        <f t="shared" si="596"/>
        <v>0</v>
      </c>
      <c r="S539" s="610"/>
      <c r="T539" s="610"/>
      <c r="U539" s="820"/>
      <c r="V539" s="7310">
        <f t="shared" si="597"/>
        <v>0</v>
      </c>
      <c r="W539" s="610"/>
      <c r="X539" s="610"/>
      <c r="Y539" s="821"/>
      <c r="Z539" s="7301">
        <f t="shared" si="598"/>
        <v>0</v>
      </c>
      <c r="AA539" s="7401"/>
      <c r="AB539" s="7302">
        <f t="shared" si="599"/>
        <v>0</v>
      </c>
      <c r="AC539" s="610"/>
      <c r="AD539" s="610"/>
      <c r="AE539" s="820"/>
      <c r="AF539" s="7310">
        <f t="shared" si="600"/>
        <v>0</v>
      </c>
      <c r="AG539" s="610"/>
      <c r="AH539" s="610"/>
      <c r="AK539" s="610"/>
      <c r="AL539" s="610"/>
      <c r="AM539" s="821"/>
      <c r="AN539" s="821"/>
      <c r="AQ539" s="610"/>
      <c r="AR539" s="610"/>
      <c r="AU539" s="610"/>
      <c r="AV539" s="610"/>
      <c r="AY539" s="610"/>
      <c r="AZ539" s="610"/>
      <c r="BA539" s="821"/>
      <c r="BB539" s="821"/>
      <c r="BC539" s="7401"/>
      <c r="BD539" s="7401"/>
      <c r="BG539" s="4152">
        <f t="shared" si="605"/>
        <v>0</v>
      </c>
      <c r="BH539" s="4152">
        <f t="shared" si="606"/>
        <v>0</v>
      </c>
      <c r="BI539" s="4152"/>
      <c r="BJ539" s="4152">
        <f t="shared" si="607"/>
        <v>0</v>
      </c>
      <c r="BK539" s="4152">
        <f t="shared" si="608"/>
        <v>0</v>
      </c>
    </row>
    <row r="540" spans="1:63" ht="21" customHeight="1" x14ac:dyDescent="0.25">
      <c r="A540" s="144"/>
      <c r="B540" s="610"/>
      <c r="C540" s="610"/>
      <c r="D540" s="610"/>
      <c r="E540" s="610"/>
      <c r="F540" s="610"/>
      <c r="G540" s="610"/>
      <c r="H540" s="610"/>
      <c r="I540" s="820"/>
      <c r="J540" s="7310">
        <f t="shared" si="594"/>
        <v>0</v>
      </c>
      <c r="K540" s="610"/>
      <c r="L540" s="610"/>
      <c r="M540" s="821"/>
      <c r="N540" s="7301">
        <f t="shared" si="595"/>
        <v>0</v>
      </c>
      <c r="O540" s="610"/>
      <c r="P540" s="610"/>
      <c r="Q540" s="820"/>
      <c r="R540" s="7310">
        <f t="shared" si="596"/>
        <v>0</v>
      </c>
      <c r="S540" s="610"/>
      <c r="T540" s="610"/>
      <c r="U540" s="820"/>
      <c r="V540" s="7310">
        <f t="shared" si="597"/>
        <v>0</v>
      </c>
      <c r="W540" s="610"/>
      <c r="X540" s="610"/>
      <c r="Y540" s="821"/>
      <c r="Z540" s="7301">
        <f t="shared" si="598"/>
        <v>0</v>
      </c>
      <c r="AA540" s="7401"/>
      <c r="AB540" s="7302">
        <f t="shared" si="599"/>
        <v>0</v>
      </c>
      <c r="AC540" s="610"/>
      <c r="AD540" s="610"/>
      <c r="AE540" s="820"/>
      <c r="AF540" s="7310">
        <f t="shared" si="600"/>
        <v>0</v>
      </c>
      <c r="AG540" s="610"/>
      <c r="AH540" s="610"/>
      <c r="AK540" s="610"/>
      <c r="AL540" s="610"/>
      <c r="AM540" s="821"/>
      <c r="AN540" s="821"/>
      <c r="AQ540" s="610"/>
      <c r="AR540" s="610"/>
      <c r="AU540" s="610"/>
      <c r="AV540" s="610"/>
      <c r="AY540" s="610"/>
      <c r="AZ540" s="610"/>
      <c r="BA540" s="821"/>
      <c r="BB540" s="821"/>
      <c r="BC540" s="7401"/>
      <c r="BD540" s="7401"/>
      <c r="BG540" s="4152">
        <f t="shared" si="605"/>
        <v>0</v>
      </c>
      <c r="BH540" s="4152">
        <f t="shared" si="606"/>
        <v>0</v>
      </c>
      <c r="BI540" s="4152"/>
      <c r="BJ540" s="4152">
        <f t="shared" si="607"/>
        <v>0</v>
      </c>
      <c r="BK540" s="4152">
        <f t="shared" si="608"/>
        <v>0</v>
      </c>
    </row>
    <row r="541" spans="1:63" ht="21" customHeight="1" x14ac:dyDescent="0.25">
      <c r="A541" s="144"/>
      <c r="B541" s="610"/>
      <c r="C541" s="610"/>
      <c r="D541" s="610"/>
      <c r="E541" s="610"/>
      <c r="F541" s="610"/>
      <c r="G541" s="610"/>
      <c r="H541" s="610"/>
      <c r="I541" s="820"/>
      <c r="J541" s="7310">
        <f t="shared" si="594"/>
        <v>0</v>
      </c>
      <c r="K541" s="610"/>
      <c r="L541" s="610"/>
      <c r="M541" s="821"/>
      <c r="N541" s="7301">
        <f t="shared" si="595"/>
        <v>0</v>
      </c>
      <c r="O541" s="610"/>
      <c r="P541" s="610"/>
      <c r="Q541" s="820"/>
      <c r="R541" s="7310">
        <f t="shared" si="596"/>
        <v>0</v>
      </c>
      <c r="S541" s="610"/>
      <c r="T541" s="610"/>
      <c r="U541" s="820"/>
      <c r="V541" s="7310">
        <f t="shared" si="597"/>
        <v>0</v>
      </c>
      <c r="W541" s="610"/>
      <c r="X541" s="610"/>
      <c r="Y541" s="821"/>
      <c r="Z541" s="7301">
        <f t="shared" si="598"/>
        <v>0</v>
      </c>
      <c r="AA541" s="7401"/>
      <c r="AB541" s="7302">
        <f t="shared" si="599"/>
        <v>0</v>
      </c>
      <c r="AC541" s="610"/>
      <c r="AD541" s="610"/>
      <c r="AE541" s="820"/>
      <c r="AF541" s="7310">
        <f t="shared" si="600"/>
        <v>0</v>
      </c>
      <c r="AG541" s="610"/>
      <c r="AH541" s="610"/>
      <c r="AK541" s="610"/>
      <c r="AL541" s="610"/>
      <c r="AM541" s="821"/>
      <c r="AN541" s="821"/>
      <c r="AQ541" s="610"/>
      <c r="AR541" s="610"/>
      <c r="AU541" s="610"/>
      <c r="AV541" s="610"/>
      <c r="AY541" s="610"/>
      <c r="AZ541" s="610"/>
      <c r="BA541" s="821"/>
      <c r="BB541" s="821"/>
      <c r="BC541" s="7401"/>
      <c r="BD541" s="7401"/>
      <c r="BG541" s="4152">
        <f t="shared" si="605"/>
        <v>0</v>
      </c>
      <c r="BH541" s="4152">
        <f t="shared" si="606"/>
        <v>0</v>
      </c>
      <c r="BI541" s="4152"/>
      <c r="BJ541" s="4152">
        <f t="shared" si="607"/>
        <v>0</v>
      </c>
      <c r="BK541" s="4152">
        <f t="shared" si="608"/>
        <v>0</v>
      </c>
    </row>
    <row r="542" spans="1:63" ht="21" customHeight="1" x14ac:dyDescent="0.25">
      <c r="A542" s="144"/>
      <c r="B542" s="610"/>
      <c r="C542" s="610"/>
      <c r="D542" s="610"/>
      <c r="E542" s="610"/>
      <c r="F542" s="610"/>
      <c r="G542" s="610"/>
      <c r="H542" s="610"/>
      <c r="I542" s="820"/>
      <c r="J542" s="7310">
        <f t="shared" si="594"/>
        <v>0</v>
      </c>
      <c r="K542" s="610"/>
      <c r="L542" s="610"/>
      <c r="M542" s="821"/>
      <c r="N542" s="7301">
        <f t="shared" si="595"/>
        <v>0</v>
      </c>
      <c r="O542" s="610"/>
      <c r="P542" s="610"/>
      <c r="Q542" s="820"/>
      <c r="R542" s="7310">
        <f t="shared" si="596"/>
        <v>0</v>
      </c>
      <c r="S542" s="610"/>
      <c r="T542" s="610"/>
      <c r="U542" s="820"/>
      <c r="V542" s="7310">
        <f t="shared" si="597"/>
        <v>0</v>
      </c>
      <c r="W542" s="610"/>
      <c r="X542" s="610"/>
      <c r="Y542" s="821"/>
      <c r="Z542" s="7301">
        <f t="shared" si="598"/>
        <v>0</v>
      </c>
      <c r="AA542" s="7401"/>
      <c r="AB542" s="7302">
        <f t="shared" si="599"/>
        <v>0</v>
      </c>
      <c r="AC542" s="610"/>
      <c r="AD542" s="610"/>
      <c r="AE542" s="820"/>
      <c r="AF542" s="7310">
        <f t="shared" si="600"/>
        <v>0</v>
      </c>
      <c r="AG542" s="610"/>
      <c r="AH542" s="610"/>
      <c r="AK542" s="610"/>
      <c r="AL542" s="610"/>
      <c r="AM542" s="821"/>
      <c r="AN542" s="821"/>
      <c r="AQ542" s="610"/>
      <c r="AR542" s="610"/>
      <c r="AU542" s="610"/>
      <c r="AV542" s="610"/>
      <c r="AY542" s="610"/>
      <c r="AZ542" s="610"/>
      <c r="BA542" s="821"/>
      <c r="BB542" s="821"/>
      <c r="BC542" s="7401"/>
      <c r="BD542" s="7401"/>
      <c r="BG542" s="4152">
        <f t="shared" si="605"/>
        <v>0</v>
      </c>
      <c r="BH542" s="4152">
        <f t="shared" si="606"/>
        <v>0</v>
      </c>
      <c r="BI542" s="4152"/>
      <c r="BJ542" s="4152">
        <f t="shared" si="607"/>
        <v>0</v>
      </c>
      <c r="BK542" s="4152">
        <f t="shared" si="608"/>
        <v>0</v>
      </c>
    </row>
    <row r="543" spans="1:63" ht="21" customHeight="1" x14ac:dyDescent="0.25">
      <c r="A543" s="144"/>
      <c r="B543" s="610"/>
      <c r="C543" s="610"/>
      <c r="D543" s="610"/>
      <c r="E543" s="610"/>
      <c r="F543" s="610"/>
      <c r="G543" s="610"/>
      <c r="H543" s="610"/>
      <c r="I543" s="820"/>
      <c r="J543" s="7310">
        <f t="shared" si="594"/>
        <v>0</v>
      </c>
      <c r="K543" s="610"/>
      <c r="L543" s="610"/>
      <c r="M543" s="821"/>
      <c r="N543" s="7301">
        <f t="shared" si="595"/>
        <v>0</v>
      </c>
      <c r="O543" s="610"/>
      <c r="P543" s="610"/>
      <c r="Q543" s="820"/>
      <c r="R543" s="7310">
        <f t="shared" si="596"/>
        <v>0</v>
      </c>
      <c r="S543" s="610"/>
      <c r="T543" s="610"/>
      <c r="U543" s="820"/>
      <c r="V543" s="7310">
        <f t="shared" si="597"/>
        <v>0</v>
      </c>
      <c r="W543" s="610"/>
      <c r="X543" s="610"/>
      <c r="Y543" s="821"/>
      <c r="Z543" s="7301">
        <f t="shared" si="598"/>
        <v>0</v>
      </c>
      <c r="AA543" s="7401"/>
      <c r="AB543" s="7302">
        <f t="shared" si="599"/>
        <v>0</v>
      </c>
      <c r="AC543" s="610"/>
      <c r="AD543" s="610"/>
      <c r="AE543" s="820"/>
      <c r="AF543" s="7310">
        <f t="shared" si="600"/>
        <v>0</v>
      </c>
      <c r="AG543" s="610"/>
      <c r="AH543" s="610"/>
      <c r="AK543" s="610"/>
      <c r="AL543" s="610"/>
      <c r="AM543" s="821"/>
      <c r="AN543" s="821"/>
      <c r="AQ543" s="610"/>
      <c r="AR543" s="610"/>
      <c r="AU543" s="610"/>
      <c r="AV543" s="610"/>
      <c r="AY543" s="610"/>
      <c r="AZ543" s="610"/>
      <c r="BA543" s="821"/>
      <c r="BB543" s="821"/>
      <c r="BC543" s="7401"/>
      <c r="BD543" s="7401"/>
      <c r="BG543" s="4152">
        <f t="shared" si="605"/>
        <v>0</v>
      </c>
      <c r="BH543" s="4152">
        <f t="shared" si="606"/>
        <v>0</v>
      </c>
      <c r="BI543" s="4152"/>
      <c r="BJ543" s="4152">
        <f t="shared" si="607"/>
        <v>0</v>
      </c>
      <c r="BK543" s="4152">
        <f t="shared" si="608"/>
        <v>0</v>
      </c>
    </row>
    <row r="544" spans="1:63" ht="21" customHeight="1" x14ac:dyDescent="0.25">
      <c r="A544" s="144"/>
      <c r="B544" s="610"/>
      <c r="C544" s="610"/>
      <c r="D544" s="610"/>
      <c r="E544" s="610"/>
      <c r="F544" s="610"/>
      <c r="G544" s="610"/>
      <c r="H544" s="610"/>
      <c r="I544" s="820"/>
      <c r="J544" s="7310">
        <f t="shared" si="594"/>
        <v>0</v>
      </c>
      <c r="K544" s="610"/>
      <c r="L544" s="610"/>
      <c r="M544" s="821"/>
      <c r="N544" s="7301">
        <f t="shared" si="595"/>
        <v>0</v>
      </c>
      <c r="O544" s="610"/>
      <c r="P544" s="610"/>
      <c r="Q544" s="820"/>
      <c r="R544" s="7310">
        <f t="shared" si="596"/>
        <v>0</v>
      </c>
      <c r="S544" s="610"/>
      <c r="T544" s="610"/>
      <c r="U544" s="820"/>
      <c r="V544" s="7310">
        <f t="shared" si="597"/>
        <v>0</v>
      </c>
      <c r="W544" s="610"/>
      <c r="X544" s="610"/>
      <c r="Y544" s="821"/>
      <c r="Z544" s="7301">
        <f t="shared" si="598"/>
        <v>0</v>
      </c>
      <c r="AA544" s="7401"/>
      <c r="AB544" s="7302">
        <f t="shared" si="599"/>
        <v>0</v>
      </c>
      <c r="AC544" s="610"/>
      <c r="AD544" s="610"/>
      <c r="AE544" s="820"/>
      <c r="AF544" s="7310">
        <f t="shared" si="600"/>
        <v>0</v>
      </c>
      <c r="AG544" s="610"/>
      <c r="AH544" s="610"/>
      <c r="AK544" s="610"/>
      <c r="AL544" s="610"/>
      <c r="AM544" s="821"/>
      <c r="AN544" s="821"/>
      <c r="AQ544" s="610"/>
      <c r="AR544" s="610"/>
      <c r="AU544" s="610"/>
      <c r="AV544" s="610"/>
      <c r="AY544" s="610"/>
      <c r="AZ544" s="610"/>
      <c r="BA544" s="821"/>
      <c r="BB544" s="821"/>
      <c r="BC544" s="7401"/>
      <c r="BD544" s="7401"/>
      <c r="BG544" s="4152">
        <f t="shared" si="605"/>
        <v>0</v>
      </c>
      <c r="BH544" s="4152">
        <f t="shared" si="606"/>
        <v>0</v>
      </c>
      <c r="BI544" s="4152"/>
      <c r="BJ544" s="4152">
        <f t="shared" si="607"/>
        <v>0</v>
      </c>
      <c r="BK544" s="4152">
        <f t="shared" si="608"/>
        <v>0</v>
      </c>
    </row>
    <row r="545" spans="1:63" ht="21" customHeight="1" x14ac:dyDescent="0.25">
      <c r="A545" s="144"/>
      <c r="B545" s="610"/>
      <c r="C545" s="610"/>
      <c r="D545" s="610"/>
      <c r="E545" s="610"/>
      <c r="F545" s="610"/>
      <c r="G545" s="610"/>
      <c r="H545" s="610"/>
      <c r="I545" s="820"/>
      <c r="J545" s="7310">
        <f t="shared" si="594"/>
        <v>0</v>
      </c>
      <c r="K545" s="610"/>
      <c r="L545" s="610"/>
      <c r="M545" s="821"/>
      <c r="N545" s="7301">
        <f t="shared" si="595"/>
        <v>0</v>
      </c>
      <c r="O545" s="610"/>
      <c r="P545" s="610"/>
      <c r="Q545" s="820"/>
      <c r="R545" s="7310">
        <f t="shared" si="596"/>
        <v>0</v>
      </c>
      <c r="S545" s="610"/>
      <c r="T545" s="610"/>
      <c r="U545" s="820"/>
      <c r="V545" s="7310">
        <f t="shared" si="597"/>
        <v>0</v>
      </c>
      <c r="W545" s="610"/>
      <c r="X545" s="610"/>
      <c r="Y545" s="821"/>
      <c r="Z545" s="7301">
        <f t="shared" si="598"/>
        <v>0</v>
      </c>
      <c r="AA545" s="7401"/>
      <c r="AB545" s="7302">
        <f t="shared" si="599"/>
        <v>0</v>
      </c>
      <c r="AC545" s="610"/>
      <c r="AD545" s="610"/>
      <c r="AE545" s="820"/>
      <c r="AF545" s="7310">
        <f t="shared" si="600"/>
        <v>0</v>
      </c>
      <c r="AG545" s="610"/>
      <c r="AH545" s="610"/>
      <c r="AK545" s="610"/>
      <c r="AL545" s="610"/>
      <c r="AM545" s="821"/>
      <c r="AN545" s="821"/>
      <c r="AQ545" s="610"/>
      <c r="AR545" s="610"/>
      <c r="AU545" s="610"/>
      <c r="AV545" s="610"/>
      <c r="AY545" s="610"/>
      <c r="AZ545" s="610"/>
      <c r="BA545" s="821"/>
      <c r="BB545" s="821"/>
      <c r="BC545" s="7401"/>
      <c r="BD545" s="7401"/>
      <c r="BG545" s="4152">
        <f t="shared" si="605"/>
        <v>0</v>
      </c>
      <c r="BH545" s="4152">
        <f t="shared" si="606"/>
        <v>0</v>
      </c>
      <c r="BI545" s="4152"/>
      <c r="BJ545" s="4152">
        <f t="shared" si="607"/>
        <v>0</v>
      </c>
      <c r="BK545" s="4152">
        <f t="shared" si="608"/>
        <v>0</v>
      </c>
    </row>
    <row r="546" spans="1:63" ht="21" customHeight="1" x14ac:dyDescent="0.25">
      <c r="A546" s="144"/>
      <c r="B546" s="610"/>
      <c r="C546" s="610"/>
      <c r="D546" s="610"/>
      <c r="E546" s="610"/>
      <c r="F546" s="610"/>
      <c r="G546" s="610"/>
      <c r="H546" s="610"/>
      <c r="I546" s="820"/>
      <c r="J546" s="7310">
        <f t="shared" si="594"/>
        <v>0</v>
      </c>
      <c r="K546" s="610"/>
      <c r="L546" s="610"/>
      <c r="M546" s="821"/>
      <c r="N546" s="7301">
        <f t="shared" si="595"/>
        <v>0</v>
      </c>
      <c r="O546" s="610"/>
      <c r="P546" s="610"/>
      <c r="Q546" s="820"/>
      <c r="R546" s="7310">
        <f t="shared" si="596"/>
        <v>0</v>
      </c>
      <c r="S546" s="610"/>
      <c r="T546" s="610"/>
      <c r="U546" s="820"/>
      <c r="V546" s="7310">
        <f t="shared" si="597"/>
        <v>0</v>
      </c>
      <c r="W546" s="610"/>
      <c r="X546" s="610"/>
      <c r="Y546" s="821"/>
      <c r="Z546" s="7301">
        <f t="shared" si="598"/>
        <v>0</v>
      </c>
      <c r="AA546" s="7401"/>
      <c r="AB546" s="7302">
        <f t="shared" si="599"/>
        <v>0</v>
      </c>
      <c r="AC546" s="610"/>
      <c r="AD546" s="610"/>
      <c r="AE546" s="820"/>
      <c r="AF546" s="7310">
        <f t="shared" si="600"/>
        <v>0</v>
      </c>
      <c r="AG546" s="610"/>
      <c r="AH546" s="610"/>
      <c r="AK546" s="610"/>
      <c r="AL546" s="610"/>
      <c r="AM546" s="821"/>
      <c r="AN546" s="821"/>
      <c r="AQ546" s="610"/>
      <c r="AR546" s="610"/>
      <c r="AU546" s="610"/>
      <c r="AV546" s="610"/>
      <c r="AY546" s="610"/>
      <c r="AZ546" s="610"/>
      <c r="BA546" s="821"/>
      <c r="BB546" s="821"/>
      <c r="BC546" s="7401"/>
      <c r="BD546" s="7401"/>
      <c r="BG546" s="4152">
        <f t="shared" si="605"/>
        <v>0</v>
      </c>
      <c r="BH546" s="4152">
        <f t="shared" si="606"/>
        <v>0</v>
      </c>
      <c r="BI546" s="4152"/>
      <c r="BJ546" s="4152">
        <f t="shared" si="607"/>
        <v>0</v>
      </c>
      <c r="BK546" s="4152">
        <f t="shared" si="608"/>
        <v>0</v>
      </c>
    </row>
    <row r="547" spans="1:63" ht="21" customHeight="1" x14ac:dyDescent="0.25">
      <c r="A547" s="144"/>
      <c r="B547" s="610"/>
      <c r="C547" s="610"/>
      <c r="D547" s="610"/>
      <c r="E547" s="610"/>
      <c r="F547" s="610"/>
      <c r="G547" s="610"/>
      <c r="H547" s="610"/>
      <c r="I547" s="820"/>
      <c r="J547" s="7310">
        <f t="shared" si="594"/>
        <v>0</v>
      </c>
      <c r="K547" s="610"/>
      <c r="L547" s="610"/>
      <c r="M547" s="821"/>
      <c r="N547" s="7301">
        <f t="shared" si="595"/>
        <v>0</v>
      </c>
      <c r="O547" s="610"/>
      <c r="P547" s="610"/>
      <c r="Q547" s="820"/>
      <c r="R547" s="7310">
        <f t="shared" si="596"/>
        <v>0</v>
      </c>
      <c r="S547" s="610"/>
      <c r="T547" s="610"/>
      <c r="U547" s="820"/>
      <c r="V547" s="7310">
        <f t="shared" si="597"/>
        <v>0</v>
      </c>
      <c r="W547" s="610"/>
      <c r="X547" s="610"/>
      <c r="Y547" s="821"/>
      <c r="Z547" s="7301">
        <f t="shared" si="598"/>
        <v>0</v>
      </c>
      <c r="AA547" s="7401"/>
      <c r="AB547" s="7302">
        <f t="shared" si="599"/>
        <v>0</v>
      </c>
      <c r="AC547" s="610"/>
      <c r="AD547" s="610"/>
      <c r="AE547" s="820"/>
      <c r="AF547" s="7310">
        <f t="shared" si="600"/>
        <v>0</v>
      </c>
      <c r="AG547" s="610"/>
      <c r="AH547" s="610"/>
      <c r="AK547" s="610"/>
      <c r="AL547" s="610"/>
      <c r="AM547" s="821"/>
      <c r="AN547" s="821"/>
      <c r="AQ547" s="610"/>
      <c r="AR547" s="610"/>
      <c r="AU547" s="610"/>
      <c r="AV547" s="610"/>
      <c r="AY547" s="610"/>
      <c r="AZ547" s="610"/>
      <c r="BA547" s="821"/>
      <c r="BB547" s="821"/>
      <c r="BC547" s="7401"/>
      <c r="BD547" s="7401"/>
      <c r="BG547" s="4152">
        <f t="shared" si="605"/>
        <v>0</v>
      </c>
      <c r="BH547" s="4152">
        <f t="shared" si="606"/>
        <v>0</v>
      </c>
      <c r="BI547" s="4152"/>
      <c r="BJ547" s="4152">
        <f t="shared" si="607"/>
        <v>0</v>
      </c>
      <c r="BK547" s="4152">
        <f t="shared" si="608"/>
        <v>0</v>
      </c>
    </row>
    <row r="548" spans="1:63" ht="21" customHeight="1" x14ac:dyDescent="0.25">
      <c r="A548" s="144"/>
      <c r="B548" s="610"/>
      <c r="C548" s="610"/>
      <c r="D548" s="610"/>
      <c r="E548" s="610"/>
      <c r="F548" s="610"/>
      <c r="G548" s="610"/>
      <c r="H548" s="610"/>
      <c r="I548" s="820"/>
      <c r="J548" s="7310">
        <f t="shared" si="594"/>
        <v>0</v>
      </c>
      <c r="K548" s="610"/>
      <c r="L548" s="610"/>
      <c r="M548" s="821"/>
      <c r="N548" s="7301">
        <f t="shared" si="595"/>
        <v>0</v>
      </c>
      <c r="O548" s="610"/>
      <c r="P548" s="610"/>
      <c r="Q548" s="820"/>
      <c r="R548" s="7310">
        <f t="shared" si="596"/>
        <v>0</v>
      </c>
      <c r="S548" s="610"/>
      <c r="T548" s="610"/>
      <c r="U548" s="820"/>
      <c r="V548" s="7310">
        <f t="shared" si="597"/>
        <v>0</v>
      </c>
      <c r="W548" s="610"/>
      <c r="X548" s="610"/>
      <c r="Y548" s="821"/>
      <c r="Z548" s="7301">
        <f t="shared" si="598"/>
        <v>0</v>
      </c>
      <c r="AA548" s="7401"/>
      <c r="AB548" s="7302">
        <f t="shared" si="599"/>
        <v>0</v>
      </c>
      <c r="AC548" s="610"/>
      <c r="AD548" s="610"/>
      <c r="AE548" s="820"/>
      <c r="AF548" s="7310">
        <f t="shared" si="600"/>
        <v>0</v>
      </c>
      <c r="AG548" s="610"/>
      <c r="AH548" s="610"/>
      <c r="AK548" s="610"/>
      <c r="AL548" s="610"/>
      <c r="AM548" s="821"/>
      <c r="AN548" s="821"/>
      <c r="AQ548" s="610"/>
      <c r="AR548" s="610"/>
      <c r="AU548" s="610"/>
      <c r="AV548" s="610"/>
      <c r="AY548" s="610"/>
      <c r="AZ548" s="610"/>
      <c r="BA548" s="821"/>
      <c r="BB548" s="821"/>
      <c r="BC548" s="7401"/>
      <c r="BD548" s="7401"/>
      <c r="BG548" s="4152">
        <f t="shared" si="605"/>
        <v>0</v>
      </c>
      <c r="BH548" s="4152">
        <f t="shared" si="606"/>
        <v>0</v>
      </c>
      <c r="BI548" s="4152"/>
      <c r="BJ548" s="4152">
        <f t="shared" si="607"/>
        <v>0</v>
      </c>
      <c r="BK548" s="4152">
        <f t="shared" si="608"/>
        <v>0</v>
      </c>
    </row>
    <row r="549" spans="1:63" ht="21" customHeight="1" x14ac:dyDescent="0.25">
      <c r="A549" s="144"/>
      <c r="B549" s="610"/>
      <c r="C549" s="610"/>
      <c r="D549" s="610"/>
      <c r="E549" s="610"/>
      <c r="F549" s="610"/>
      <c r="G549" s="610"/>
      <c r="H549" s="610"/>
      <c r="I549" s="820"/>
      <c r="J549" s="7310">
        <f t="shared" si="594"/>
        <v>0</v>
      </c>
      <c r="K549" s="610"/>
      <c r="L549" s="610"/>
      <c r="M549" s="821"/>
      <c r="N549" s="7301">
        <f t="shared" si="595"/>
        <v>0</v>
      </c>
      <c r="O549" s="610"/>
      <c r="P549" s="610"/>
      <c r="Q549" s="820"/>
      <c r="R549" s="7310">
        <f t="shared" si="596"/>
        <v>0</v>
      </c>
      <c r="S549" s="610"/>
      <c r="T549" s="610"/>
      <c r="U549" s="820"/>
      <c r="V549" s="7310">
        <f t="shared" si="597"/>
        <v>0</v>
      </c>
      <c r="W549" s="610"/>
      <c r="X549" s="610"/>
      <c r="Y549" s="821"/>
      <c r="Z549" s="7301">
        <f t="shared" si="598"/>
        <v>0</v>
      </c>
      <c r="AA549" s="7401"/>
      <c r="AB549" s="7302">
        <f t="shared" si="599"/>
        <v>0</v>
      </c>
      <c r="AC549" s="610"/>
      <c r="AD549" s="610"/>
      <c r="AE549" s="820"/>
      <c r="AF549" s="7310">
        <f t="shared" si="600"/>
        <v>0</v>
      </c>
      <c r="AG549" s="610"/>
      <c r="AH549" s="610"/>
      <c r="AK549" s="610"/>
      <c r="AL549" s="610"/>
      <c r="AM549" s="821"/>
      <c r="AN549" s="821"/>
      <c r="AQ549" s="610"/>
      <c r="AR549" s="610"/>
      <c r="AU549" s="610"/>
      <c r="AV549" s="610"/>
      <c r="AY549" s="610"/>
      <c r="AZ549" s="610"/>
      <c r="BA549" s="821"/>
      <c r="BB549" s="821"/>
      <c r="BC549" s="7401"/>
      <c r="BD549" s="7401"/>
      <c r="BG549" s="4152">
        <f t="shared" si="605"/>
        <v>0</v>
      </c>
      <c r="BH549" s="4152">
        <f t="shared" si="606"/>
        <v>0</v>
      </c>
      <c r="BI549" s="4152"/>
      <c r="BJ549" s="4152">
        <f t="shared" si="607"/>
        <v>0</v>
      </c>
      <c r="BK549" s="4152">
        <f t="shared" si="608"/>
        <v>0</v>
      </c>
    </row>
    <row r="550" spans="1:63" ht="21" customHeight="1" x14ac:dyDescent="0.25">
      <c r="A550" s="144"/>
      <c r="B550" s="610"/>
      <c r="C550" s="610"/>
      <c r="D550" s="610"/>
      <c r="E550" s="610"/>
      <c r="F550" s="610"/>
      <c r="G550" s="610"/>
      <c r="H550" s="610"/>
      <c r="I550" s="820"/>
      <c r="J550" s="7310">
        <f t="shared" si="594"/>
        <v>0</v>
      </c>
      <c r="K550" s="610"/>
      <c r="L550" s="610"/>
      <c r="M550" s="821"/>
      <c r="N550" s="7301">
        <f t="shared" si="595"/>
        <v>0</v>
      </c>
      <c r="O550" s="610"/>
      <c r="P550" s="610"/>
      <c r="Q550" s="820"/>
      <c r="R550" s="7310">
        <f t="shared" si="596"/>
        <v>0</v>
      </c>
      <c r="S550" s="610"/>
      <c r="T550" s="610"/>
      <c r="U550" s="820"/>
      <c r="V550" s="7310">
        <f t="shared" si="597"/>
        <v>0</v>
      </c>
      <c r="W550" s="610"/>
      <c r="X550" s="610"/>
      <c r="Y550" s="821"/>
      <c r="Z550" s="7301">
        <f t="shared" si="598"/>
        <v>0</v>
      </c>
      <c r="AA550" s="7401"/>
      <c r="AB550" s="7302">
        <f t="shared" si="599"/>
        <v>0</v>
      </c>
      <c r="AC550" s="610"/>
      <c r="AD550" s="610"/>
      <c r="AE550" s="820"/>
      <c r="AF550" s="7310">
        <f t="shared" si="600"/>
        <v>0</v>
      </c>
      <c r="AG550" s="610"/>
      <c r="AH550" s="610"/>
      <c r="AK550" s="610"/>
      <c r="AL550" s="610"/>
      <c r="AM550" s="821"/>
      <c r="AN550" s="821"/>
      <c r="AQ550" s="610"/>
      <c r="AR550" s="610"/>
      <c r="AU550" s="610"/>
      <c r="AV550" s="610"/>
      <c r="AY550" s="610"/>
      <c r="AZ550" s="610"/>
      <c r="BA550" s="821"/>
      <c r="BB550" s="821"/>
      <c r="BC550" s="7401"/>
      <c r="BD550" s="7401"/>
      <c r="BG550" s="4152">
        <f t="shared" si="605"/>
        <v>0</v>
      </c>
      <c r="BH550" s="4152">
        <f t="shared" si="606"/>
        <v>0</v>
      </c>
      <c r="BI550" s="4152"/>
      <c r="BJ550" s="4152">
        <f t="shared" si="607"/>
        <v>0</v>
      </c>
      <c r="BK550" s="4152">
        <f t="shared" si="608"/>
        <v>0</v>
      </c>
    </row>
    <row r="551" spans="1:63" ht="21" customHeight="1" x14ac:dyDescent="0.25">
      <c r="A551" s="144"/>
      <c r="B551" s="610"/>
      <c r="C551" s="610"/>
      <c r="D551" s="610"/>
      <c r="E551" s="610"/>
      <c r="F551" s="610"/>
      <c r="G551" s="610"/>
      <c r="H551" s="610"/>
      <c r="I551" s="820"/>
      <c r="J551" s="7310">
        <f t="shared" si="594"/>
        <v>0</v>
      </c>
      <c r="K551" s="610"/>
      <c r="L551" s="610"/>
      <c r="M551" s="821"/>
      <c r="N551" s="7301">
        <f t="shared" si="595"/>
        <v>0</v>
      </c>
      <c r="O551" s="610"/>
      <c r="P551" s="610"/>
      <c r="Q551" s="820"/>
      <c r="R551" s="7310">
        <f t="shared" si="596"/>
        <v>0</v>
      </c>
      <c r="S551" s="610"/>
      <c r="T551" s="610"/>
      <c r="U551" s="820"/>
      <c r="V551" s="7310">
        <f t="shared" si="597"/>
        <v>0</v>
      </c>
      <c r="W551" s="610"/>
      <c r="X551" s="610"/>
      <c r="Y551" s="821"/>
      <c r="Z551" s="7301">
        <f t="shared" si="598"/>
        <v>0</v>
      </c>
      <c r="AA551" s="7401"/>
      <c r="AB551" s="7302">
        <f t="shared" si="599"/>
        <v>0</v>
      </c>
      <c r="AC551" s="610"/>
      <c r="AD551" s="610"/>
      <c r="AE551" s="820"/>
      <c r="AF551" s="7310">
        <f t="shared" si="600"/>
        <v>0</v>
      </c>
      <c r="AG551" s="610"/>
      <c r="AH551" s="610"/>
      <c r="AK551" s="610"/>
      <c r="AL551" s="610"/>
      <c r="AM551" s="821"/>
      <c r="AN551" s="821"/>
      <c r="AQ551" s="610"/>
      <c r="AR551" s="610"/>
      <c r="AU551" s="610"/>
      <c r="AV551" s="610"/>
      <c r="AY551" s="610"/>
      <c r="AZ551" s="610"/>
      <c r="BA551" s="821"/>
      <c r="BB551" s="821"/>
      <c r="BC551" s="7401"/>
      <c r="BD551" s="7401"/>
      <c r="BG551" s="4152">
        <f t="shared" si="605"/>
        <v>0</v>
      </c>
      <c r="BH551" s="4152">
        <f t="shared" si="606"/>
        <v>0</v>
      </c>
      <c r="BI551" s="4152"/>
      <c r="BJ551" s="4152">
        <f t="shared" si="607"/>
        <v>0</v>
      </c>
      <c r="BK551" s="4152">
        <f t="shared" si="608"/>
        <v>0</v>
      </c>
    </row>
    <row r="552" spans="1:63" ht="21" customHeight="1" x14ac:dyDescent="0.25">
      <c r="A552" s="144"/>
      <c r="B552" s="610"/>
      <c r="C552" s="610"/>
      <c r="D552" s="610"/>
      <c r="E552" s="610"/>
      <c r="F552" s="610"/>
      <c r="G552" s="610"/>
      <c r="H552" s="610"/>
      <c r="I552" s="820"/>
      <c r="J552" s="7310">
        <f t="shared" si="594"/>
        <v>0</v>
      </c>
      <c r="K552" s="610"/>
      <c r="L552" s="610"/>
      <c r="M552" s="821"/>
      <c r="N552" s="7301">
        <f t="shared" si="595"/>
        <v>0</v>
      </c>
      <c r="O552" s="610"/>
      <c r="P552" s="610"/>
      <c r="Q552" s="820"/>
      <c r="R552" s="7310">
        <f t="shared" si="596"/>
        <v>0</v>
      </c>
      <c r="S552" s="610"/>
      <c r="T552" s="610"/>
      <c r="U552" s="820"/>
      <c r="V552" s="7310">
        <f t="shared" si="597"/>
        <v>0</v>
      </c>
      <c r="W552" s="610"/>
      <c r="X552" s="610"/>
      <c r="Y552" s="821"/>
      <c r="Z552" s="7301">
        <f t="shared" si="598"/>
        <v>0</v>
      </c>
      <c r="AA552" s="7401"/>
      <c r="AB552" s="7302">
        <f t="shared" si="599"/>
        <v>0</v>
      </c>
      <c r="AC552" s="610"/>
      <c r="AD552" s="610"/>
      <c r="AE552" s="820"/>
      <c r="AF552" s="7310">
        <f t="shared" si="600"/>
        <v>0</v>
      </c>
      <c r="AG552" s="610"/>
      <c r="AH552" s="610"/>
      <c r="AK552" s="610"/>
      <c r="AL552" s="610"/>
      <c r="AM552" s="821"/>
      <c r="AN552" s="821"/>
      <c r="AQ552" s="610"/>
      <c r="AR552" s="610"/>
      <c r="AU552" s="610"/>
      <c r="AV552" s="610"/>
      <c r="AY552" s="610"/>
      <c r="AZ552" s="610"/>
      <c r="BA552" s="821"/>
      <c r="BB552" s="821"/>
      <c r="BC552" s="7401"/>
      <c r="BD552" s="7401"/>
      <c r="BG552" s="4152">
        <f t="shared" si="605"/>
        <v>0</v>
      </c>
      <c r="BH552" s="4152">
        <f t="shared" si="606"/>
        <v>0</v>
      </c>
      <c r="BI552" s="4152"/>
      <c r="BJ552" s="4152">
        <f t="shared" si="607"/>
        <v>0</v>
      </c>
      <c r="BK552" s="4152">
        <f t="shared" si="608"/>
        <v>0</v>
      </c>
    </row>
    <row r="553" spans="1:63" ht="21" customHeight="1" x14ac:dyDescent="0.25">
      <c r="A553" s="144"/>
      <c r="B553" s="610"/>
      <c r="C553" s="610"/>
      <c r="D553" s="610"/>
      <c r="E553" s="610"/>
      <c r="F553" s="610"/>
      <c r="G553" s="610"/>
      <c r="H553" s="610"/>
      <c r="I553" s="820"/>
      <c r="J553" s="7310">
        <f t="shared" si="594"/>
        <v>0</v>
      </c>
      <c r="K553" s="610"/>
      <c r="L553" s="610"/>
      <c r="M553" s="821"/>
      <c r="N553" s="7301">
        <f t="shared" si="595"/>
        <v>0</v>
      </c>
      <c r="O553" s="610"/>
      <c r="P553" s="610"/>
      <c r="Q553" s="820"/>
      <c r="R553" s="7310">
        <f t="shared" si="596"/>
        <v>0</v>
      </c>
      <c r="S553" s="610"/>
      <c r="T553" s="610"/>
      <c r="U553" s="820"/>
      <c r="V553" s="7310">
        <f t="shared" si="597"/>
        <v>0</v>
      </c>
      <c r="W553" s="610"/>
      <c r="X553" s="610"/>
      <c r="Y553" s="821"/>
      <c r="Z553" s="7301">
        <f t="shared" si="598"/>
        <v>0</v>
      </c>
      <c r="AA553" s="7401"/>
      <c r="AB553" s="7302">
        <f t="shared" si="599"/>
        <v>0</v>
      </c>
      <c r="AC553" s="610"/>
      <c r="AD553" s="610"/>
      <c r="AE553" s="820"/>
      <c r="AF553" s="7310">
        <f t="shared" si="600"/>
        <v>0</v>
      </c>
      <c r="AG553" s="610"/>
      <c r="AH553" s="610"/>
      <c r="AK553" s="610"/>
      <c r="AL553" s="610"/>
      <c r="AM553" s="821"/>
      <c r="AN553" s="821"/>
      <c r="AQ553" s="610"/>
      <c r="AR553" s="610"/>
      <c r="AU553" s="610"/>
      <c r="AV553" s="610"/>
      <c r="AY553" s="610"/>
      <c r="AZ553" s="610"/>
      <c r="BA553" s="821"/>
      <c r="BB553" s="821"/>
      <c r="BC553" s="7401"/>
      <c r="BD553" s="7401"/>
      <c r="BG553" s="4152">
        <f t="shared" si="605"/>
        <v>0</v>
      </c>
      <c r="BH553" s="4152">
        <f t="shared" si="606"/>
        <v>0</v>
      </c>
      <c r="BI553" s="4152"/>
      <c r="BJ553" s="4152">
        <f t="shared" si="607"/>
        <v>0</v>
      </c>
      <c r="BK553" s="4152">
        <f t="shared" si="608"/>
        <v>0</v>
      </c>
    </row>
    <row r="554" spans="1:63" ht="21" customHeight="1" x14ac:dyDescent="0.25">
      <c r="A554" s="144"/>
      <c r="B554" s="610"/>
      <c r="C554" s="610"/>
      <c r="D554" s="610"/>
      <c r="E554" s="610"/>
      <c r="F554" s="610"/>
      <c r="G554" s="610"/>
      <c r="H554" s="610"/>
      <c r="I554" s="820"/>
      <c r="J554" s="7310">
        <f t="shared" si="594"/>
        <v>0</v>
      </c>
      <c r="K554" s="610"/>
      <c r="L554" s="610"/>
      <c r="M554" s="821"/>
      <c r="N554" s="7301">
        <f t="shared" si="595"/>
        <v>0</v>
      </c>
      <c r="O554" s="610"/>
      <c r="P554" s="610"/>
      <c r="Q554" s="820"/>
      <c r="R554" s="7310">
        <f t="shared" si="596"/>
        <v>0</v>
      </c>
      <c r="S554" s="610"/>
      <c r="T554" s="610"/>
      <c r="U554" s="820"/>
      <c r="V554" s="7310">
        <f t="shared" si="597"/>
        <v>0</v>
      </c>
      <c r="W554" s="610"/>
      <c r="X554" s="610"/>
      <c r="Y554" s="821"/>
      <c r="Z554" s="7301">
        <f t="shared" si="598"/>
        <v>0</v>
      </c>
      <c r="AA554" s="7401"/>
      <c r="AB554" s="7302">
        <f t="shared" si="599"/>
        <v>0</v>
      </c>
      <c r="AC554" s="610"/>
      <c r="AD554" s="610"/>
      <c r="AE554" s="820"/>
      <c r="AF554" s="7310">
        <f t="shared" si="600"/>
        <v>0</v>
      </c>
      <c r="AG554" s="610"/>
      <c r="AH554" s="610"/>
      <c r="AK554" s="610"/>
      <c r="AL554" s="610"/>
      <c r="AM554" s="821"/>
      <c r="AN554" s="821"/>
      <c r="AQ554" s="610"/>
      <c r="AR554" s="610"/>
      <c r="AU554" s="610"/>
      <c r="AV554" s="610"/>
      <c r="AY554" s="610"/>
      <c r="AZ554" s="610"/>
      <c r="BA554" s="821"/>
      <c r="BB554" s="821"/>
      <c r="BC554" s="7401"/>
      <c r="BD554" s="7401"/>
      <c r="BG554" s="4152">
        <f t="shared" si="605"/>
        <v>0</v>
      </c>
      <c r="BH554" s="4152">
        <f t="shared" si="606"/>
        <v>0</v>
      </c>
      <c r="BI554" s="4152"/>
      <c r="BJ554" s="4152">
        <f t="shared" si="607"/>
        <v>0</v>
      </c>
      <c r="BK554" s="4152">
        <f t="shared" si="608"/>
        <v>0</v>
      </c>
    </row>
    <row r="555" spans="1:63" ht="21" customHeight="1" x14ac:dyDescent="0.25">
      <c r="A555" s="144"/>
      <c r="B555" s="610"/>
      <c r="C555" s="610"/>
      <c r="D555" s="610"/>
      <c r="E555" s="610"/>
      <c r="F555" s="610"/>
      <c r="G555" s="610"/>
      <c r="H555" s="610"/>
      <c r="I555" s="820"/>
      <c r="J555" s="7310">
        <f t="shared" si="594"/>
        <v>0</v>
      </c>
      <c r="K555" s="610"/>
      <c r="L555" s="610"/>
      <c r="M555" s="821"/>
      <c r="N555" s="7301">
        <f t="shared" si="595"/>
        <v>0</v>
      </c>
      <c r="O555" s="610"/>
      <c r="P555" s="610"/>
      <c r="Q555" s="820"/>
      <c r="R555" s="7310">
        <f t="shared" si="596"/>
        <v>0</v>
      </c>
      <c r="S555" s="610"/>
      <c r="T555" s="610"/>
      <c r="U555" s="820"/>
      <c r="V555" s="7310">
        <f t="shared" si="597"/>
        <v>0</v>
      </c>
      <c r="W555" s="610"/>
      <c r="X555" s="610"/>
      <c r="Y555" s="821"/>
      <c r="Z555" s="7301">
        <f t="shared" si="598"/>
        <v>0</v>
      </c>
      <c r="AA555" s="7401"/>
      <c r="AB555" s="7302">
        <f t="shared" si="599"/>
        <v>0</v>
      </c>
      <c r="AC555" s="610"/>
      <c r="AD555" s="610"/>
      <c r="AE555" s="820"/>
      <c r="AF555" s="7310">
        <f t="shared" si="600"/>
        <v>0</v>
      </c>
      <c r="AG555" s="610"/>
      <c r="AH555" s="610"/>
      <c r="AK555" s="610"/>
      <c r="AL555" s="610"/>
      <c r="AM555" s="821"/>
      <c r="AN555" s="821"/>
      <c r="AQ555" s="610"/>
      <c r="AR555" s="610"/>
      <c r="AU555" s="610"/>
      <c r="AV555" s="610"/>
      <c r="AY555" s="610"/>
      <c r="AZ555" s="610"/>
      <c r="BA555" s="821"/>
      <c r="BB555" s="821"/>
      <c r="BC555" s="7401"/>
      <c r="BD555" s="7401"/>
      <c r="BG555" s="4152">
        <f t="shared" si="605"/>
        <v>0</v>
      </c>
      <c r="BH555" s="4152">
        <f t="shared" si="606"/>
        <v>0</v>
      </c>
      <c r="BI555" s="4152"/>
      <c r="BJ555" s="4152">
        <f t="shared" si="607"/>
        <v>0</v>
      </c>
      <c r="BK555" s="4152">
        <f t="shared" si="608"/>
        <v>0</v>
      </c>
    </row>
    <row r="556" spans="1:63" ht="21" customHeight="1" x14ac:dyDescent="0.25">
      <c r="A556" s="144"/>
      <c r="B556" s="610"/>
      <c r="C556" s="610"/>
      <c r="D556" s="610"/>
      <c r="E556" s="610"/>
      <c r="F556" s="610"/>
      <c r="G556" s="610"/>
      <c r="H556" s="610"/>
      <c r="I556" s="820"/>
      <c r="J556" s="7310">
        <f t="shared" si="594"/>
        <v>0</v>
      </c>
      <c r="K556" s="610"/>
      <c r="L556" s="610"/>
      <c r="M556" s="821"/>
      <c r="N556" s="7301">
        <f t="shared" si="595"/>
        <v>0</v>
      </c>
      <c r="O556" s="610"/>
      <c r="P556" s="610"/>
      <c r="Q556" s="820"/>
      <c r="R556" s="7310">
        <f t="shared" si="596"/>
        <v>0</v>
      </c>
      <c r="S556" s="610"/>
      <c r="T556" s="610"/>
      <c r="U556" s="820"/>
      <c r="V556" s="7310">
        <f t="shared" si="597"/>
        <v>0</v>
      </c>
      <c r="W556" s="610"/>
      <c r="X556" s="610"/>
      <c r="Y556" s="821"/>
      <c r="Z556" s="7301">
        <f t="shared" si="598"/>
        <v>0</v>
      </c>
      <c r="AA556" s="7401"/>
      <c r="AB556" s="7302">
        <f t="shared" si="599"/>
        <v>0</v>
      </c>
      <c r="AC556" s="610"/>
      <c r="AD556" s="610"/>
      <c r="AE556" s="820"/>
      <c r="AF556" s="7310">
        <f t="shared" si="600"/>
        <v>0</v>
      </c>
      <c r="AG556" s="610"/>
      <c r="AH556" s="610"/>
      <c r="AK556" s="610"/>
      <c r="AL556" s="610"/>
      <c r="AM556" s="821"/>
      <c r="AN556" s="821"/>
      <c r="AQ556" s="610"/>
      <c r="AR556" s="610"/>
      <c r="AU556" s="610"/>
      <c r="AV556" s="610"/>
      <c r="AY556" s="610"/>
      <c r="AZ556" s="610"/>
      <c r="BA556" s="821"/>
      <c r="BB556" s="821"/>
      <c r="BC556" s="7401"/>
      <c r="BD556" s="7401"/>
      <c r="BG556" s="4152">
        <f t="shared" si="605"/>
        <v>0</v>
      </c>
      <c r="BH556" s="4152">
        <f t="shared" si="606"/>
        <v>0</v>
      </c>
      <c r="BI556" s="4152"/>
      <c r="BJ556" s="4152">
        <f t="shared" si="607"/>
        <v>0</v>
      </c>
      <c r="BK556" s="4152">
        <f t="shared" si="608"/>
        <v>0</v>
      </c>
    </row>
    <row r="557" spans="1:63" ht="21" customHeight="1" x14ac:dyDescent="0.25">
      <c r="A557" s="144"/>
      <c r="B557" s="610"/>
      <c r="C557" s="610"/>
      <c r="D557" s="610"/>
      <c r="E557" s="610"/>
      <c r="F557" s="610"/>
      <c r="G557" s="610"/>
      <c r="H557" s="610"/>
      <c r="I557" s="820"/>
      <c r="J557" s="7310">
        <f t="shared" si="594"/>
        <v>0</v>
      </c>
      <c r="K557" s="610"/>
      <c r="L557" s="610"/>
      <c r="M557" s="821"/>
      <c r="N557" s="7301">
        <f t="shared" si="595"/>
        <v>0</v>
      </c>
      <c r="O557" s="610"/>
      <c r="P557" s="610"/>
      <c r="Q557" s="820"/>
      <c r="R557" s="7310">
        <f t="shared" si="596"/>
        <v>0</v>
      </c>
      <c r="S557" s="610"/>
      <c r="T557" s="610"/>
      <c r="U557" s="820"/>
      <c r="V557" s="7310">
        <f t="shared" si="597"/>
        <v>0</v>
      </c>
      <c r="W557" s="610"/>
      <c r="X557" s="610"/>
      <c r="Y557" s="821"/>
      <c r="Z557" s="7301">
        <f t="shared" si="598"/>
        <v>0</v>
      </c>
      <c r="AA557" s="7401"/>
      <c r="AB557" s="7302">
        <f t="shared" si="599"/>
        <v>0</v>
      </c>
      <c r="AC557" s="610"/>
      <c r="AD557" s="610"/>
      <c r="AE557" s="820"/>
      <c r="AF557" s="7310">
        <f t="shared" si="600"/>
        <v>0</v>
      </c>
      <c r="AG557" s="610"/>
      <c r="AH557" s="610"/>
      <c r="AK557" s="610"/>
      <c r="AL557" s="610"/>
      <c r="AM557" s="821"/>
      <c r="AN557" s="821"/>
      <c r="AQ557" s="610"/>
      <c r="AR557" s="610"/>
      <c r="AU557" s="610"/>
      <c r="AV557" s="610"/>
      <c r="AY557" s="610"/>
      <c r="AZ557" s="610"/>
      <c r="BA557" s="821"/>
      <c r="BB557" s="821"/>
      <c r="BC557" s="7401"/>
      <c r="BD557" s="7401"/>
      <c r="BG557" s="4152">
        <f t="shared" si="605"/>
        <v>0</v>
      </c>
      <c r="BH557" s="4152">
        <f t="shared" si="606"/>
        <v>0</v>
      </c>
      <c r="BI557" s="4152"/>
      <c r="BJ557" s="4152">
        <f t="shared" si="607"/>
        <v>0</v>
      </c>
      <c r="BK557" s="4152">
        <f t="shared" si="608"/>
        <v>0</v>
      </c>
    </row>
    <row r="558" spans="1:63" ht="21" customHeight="1" x14ac:dyDescent="0.25">
      <c r="A558" s="144"/>
      <c r="B558" s="610"/>
      <c r="C558" s="610"/>
      <c r="D558" s="610"/>
      <c r="E558" s="610"/>
      <c r="F558" s="610"/>
      <c r="G558" s="610"/>
      <c r="H558" s="610"/>
      <c r="I558" s="820"/>
      <c r="J558" s="7310">
        <f t="shared" si="594"/>
        <v>0</v>
      </c>
      <c r="K558" s="610"/>
      <c r="L558" s="610"/>
      <c r="M558" s="821"/>
      <c r="N558" s="7301">
        <f t="shared" si="595"/>
        <v>0</v>
      </c>
      <c r="O558" s="610"/>
      <c r="P558" s="610"/>
      <c r="Q558" s="820"/>
      <c r="R558" s="7310">
        <f t="shared" si="596"/>
        <v>0</v>
      </c>
      <c r="S558" s="610"/>
      <c r="T558" s="610"/>
      <c r="U558" s="820"/>
      <c r="V558" s="7310">
        <f t="shared" si="597"/>
        <v>0</v>
      </c>
      <c r="W558" s="610"/>
      <c r="X558" s="610"/>
      <c r="Y558" s="821"/>
      <c r="Z558" s="7301">
        <f t="shared" si="598"/>
        <v>0</v>
      </c>
      <c r="AA558" s="7401"/>
      <c r="AB558" s="7302">
        <f t="shared" si="599"/>
        <v>0</v>
      </c>
      <c r="AC558" s="610"/>
      <c r="AD558" s="610"/>
      <c r="AE558" s="820"/>
      <c r="AF558" s="7310">
        <f t="shared" si="600"/>
        <v>0</v>
      </c>
      <c r="AG558" s="610"/>
      <c r="AH558" s="610"/>
      <c r="AK558" s="610"/>
      <c r="AL558" s="610"/>
      <c r="AM558" s="821"/>
      <c r="AN558" s="821"/>
      <c r="AQ558" s="610"/>
      <c r="AR558" s="610"/>
      <c r="AU558" s="610"/>
      <c r="AV558" s="610"/>
      <c r="AY558" s="610"/>
      <c r="AZ558" s="610"/>
      <c r="BA558" s="821"/>
      <c r="BB558" s="821"/>
      <c r="BC558" s="7401"/>
      <c r="BD558" s="7401"/>
      <c r="BG558" s="4152">
        <f t="shared" si="605"/>
        <v>0</v>
      </c>
      <c r="BH558" s="4152">
        <f t="shared" si="606"/>
        <v>0</v>
      </c>
      <c r="BI558" s="4152"/>
      <c r="BJ558" s="4152">
        <f t="shared" si="607"/>
        <v>0</v>
      </c>
      <c r="BK558" s="4152">
        <f t="shared" si="608"/>
        <v>0</v>
      </c>
    </row>
    <row r="559" spans="1:63" ht="21" customHeight="1" x14ac:dyDescent="0.25">
      <c r="A559" s="144"/>
      <c r="B559" s="610"/>
      <c r="C559" s="610"/>
      <c r="D559" s="610"/>
      <c r="E559" s="610"/>
      <c r="F559" s="610"/>
      <c r="G559" s="610"/>
      <c r="H559" s="610"/>
      <c r="I559" s="820"/>
      <c r="J559" s="7310">
        <f t="shared" si="594"/>
        <v>0</v>
      </c>
      <c r="K559" s="610"/>
      <c r="L559" s="610"/>
      <c r="M559" s="821"/>
      <c r="N559" s="7301">
        <f t="shared" si="595"/>
        <v>0</v>
      </c>
      <c r="O559" s="610"/>
      <c r="P559" s="610"/>
      <c r="Q559" s="820"/>
      <c r="R559" s="7310">
        <f t="shared" si="596"/>
        <v>0</v>
      </c>
      <c r="S559" s="610"/>
      <c r="T559" s="610"/>
      <c r="U559" s="820"/>
      <c r="V559" s="7310">
        <f t="shared" si="597"/>
        <v>0</v>
      </c>
      <c r="W559" s="610"/>
      <c r="X559" s="610"/>
      <c r="Y559" s="821"/>
      <c r="Z559" s="7301">
        <f t="shared" si="598"/>
        <v>0</v>
      </c>
      <c r="AA559" s="7401"/>
      <c r="AB559" s="7302">
        <f t="shared" si="599"/>
        <v>0</v>
      </c>
      <c r="AC559" s="610"/>
      <c r="AD559" s="610"/>
      <c r="AE559" s="820"/>
      <c r="AF559" s="7310">
        <f t="shared" si="600"/>
        <v>0</v>
      </c>
      <c r="AG559" s="610"/>
      <c r="AH559" s="610"/>
      <c r="AK559" s="610"/>
      <c r="AL559" s="610"/>
      <c r="AM559" s="821"/>
      <c r="AN559" s="821"/>
      <c r="AQ559" s="610"/>
      <c r="AR559" s="610"/>
      <c r="AU559" s="610"/>
      <c r="AV559" s="610"/>
      <c r="AY559" s="610"/>
      <c r="AZ559" s="610"/>
      <c r="BA559" s="821"/>
      <c r="BB559" s="821"/>
      <c r="BC559" s="7401"/>
      <c r="BD559" s="7401"/>
      <c r="BG559" s="4152">
        <f t="shared" si="605"/>
        <v>0</v>
      </c>
      <c r="BH559" s="4152">
        <f t="shared" si="606"/>
        <v>0</v>
      </c>
      <c r="BI559" s="4152"/>
      <c r="BJ559" s="4152">
        <f t="shared" si="607"/>
        <v>0</v>
      </c>
      <c r="BK559" s="4152">
        <f t="shared" si="608"/>
        <v>0</v>
      </c>
    </row>
    <row r="560" spans="1:63" ht="21" customHeight="1" x14ac:dyDescent="0.25">
      <c r="A560" s="144"/>
      <c r="B560" s="610"/>
      <c r="C560" s="610"/>
      <c r="D560" s="610"/>
      <c r="E560" s="610"/>
      <c r="F560" s="610"/>
      <c r="G560" s="610"/>
      <c r="H560" s="610"/>
      <c r="I560" s="820"/>
      <c r="J560" s="7310">
        <f t="shared" si="594"/>
        <v>0</v>
      </c>
      <c r="K560" s="610"/>
      <c r="L560" s="610"/>
      <c r="M560" s="821"/>
      <c r="N560" s="7301">
        <f t="shared" si="595"/>
        <v>0</v>
      </c>
      <c r="O560" s="610"/>
      <c r="P560" s="610"/>
      <c r="Q560" s="820"/>
      <c r="R560" s="7310">
        <f t="shared" si="596"/>
        <v>0</v>
      </c>
      <c r="S560" s="610"/>
      <c r="T560" s="610"/>
      <c r="U560" s="820"/>
      <c r="V560" s="7310">
        <f t="shared" si="597"/>
        <v>0</v>
      </c>
      <c r="W560" s="610"/>
      <c r="X560" s="610"/>
      <c r="Y560" s="821"/>
      <c r="Z560" s="7301">
        <f t="shared" si="598"/>
        <v>0</v>
      </c>
      <c r="AA560" s="7401"/>
      <c r="AB560" s="7302">
        <f t="shared" si="599"/>
        <v>0</v>
      </c>
      <c r="AC560" s="610"/>
      <c r="AD560" s="610"/>
      <c r="AE560" s="820"/>
      <c r="AF560" s="7310">
        <f t="shared" si="600"/>
        <v>0</v>
      </c>
      <c r="AG560" s="610"/>
      <c r="AH560" s="610"/>
      <c r="AK560" s="610"/>
      <c r="AL560" s="610"/>
      <c r="AM560" s="821"/>
      <c r="AN560" s="821"/>
      <c r="AQ560" s="610"/>
      <c r="AR560" s="610"/>
      <c r="AU560" s="610"/>
      <c r="AV560" s="610"/>
      <c r="AY560" s="610"/>
      <c r="AZ560" s="610"/>
      <c r="BA560" s="821"/>
      <c r="BB560" s="821"/>
      <c r="BC560" s="7401"/>
      <c r="BD560" s="7401"/>
      <c r="BG560" s="4152">
        <f t="shared" si="605"/>
        <v>0</v>
      </c>
      <c r="BH560" s="4152">
        <f t="shared" si="606"/>
        <v>0</v>
      </c>
      <c r="BI560" s="4152"/>
      <c r="BJ560" s="4152">
        <f t="shared" si="607"/>
        <v>0</v>
      </c>
      <c r="BK560" s="4152">
        <f t="shared" si="608"/>
        <v>0</v>
      </c>
    </row>
    <row r="561" spans="1:63" ht="21" customHeight="1" x14ac:dyDescent="0.25">
      <c r="A561" s="144"/>
      <c r="B561" s="610"/>
      <c r="C561" s="610"/>
      <c r="D561" s="610"/>
      <c r="E561" s="610"/>
      <c r="F561" s="610"/>
      <c r="G561" s="610"/>
      <c r="H561" s="610"/>
      <c r="I561" s="820"/>
      <c r="J561" s="7310">
        <f t="shared" si="594"/>
        <v>0</v>
      </c>
      <c r="K561" s="610"/>
      <c r="L561" s="610"/>
      <c r="M561" s="821"/>
      <c r="N561" s="7301">
        <f t="shared" si="595"/>
        <v>0</v>
      </c>
      <c r="O561" s="610"/>
      <c r="P561" s="610"/>
      <c r="Q561" s="820"/>
      <c r="R561" s="7310">
        <f t="shared" si="596"/>
        <v>0</v>
      </c>
      <c r="S561" s="610"/>
      <c r="T561" s="610"/>
      <c r="U561" s="820"/>
      <c r="V561" s="7310">
        <f t="shared" si="597"/>
        <v>0</v>
      </c>
      <c r="W561" s="610"/>
      <c r="X561" s="610"/>
      <c r="Y561" s="821"/>
      <c r="Z561" s="7301">
        <f t="shared" si="598"/>
        <v>0</v>
      </c>
      <c r="AA561" s="7401"/>
      <c r="AB561" s="7302">
        <f t="shared" si="599"/>
        <v>0</v>
      </c>
      <c r="AC561" s="610"/>
      <c r="AD561" s="610"/>
      <c r="AE561" s="820"/>
      <c r="AF561" s="7310">
        <f t="shared" si="600"/>
        <v>0</v>
      </c>
      <c r="AG561" s="610"/>
      <c r="AH561" s="610"/>
      <c r="AK561" s="610"/>
      <c r="AL561" s="610"/>
      <c r="AM561" s="821"/>
      <c r="AN561" s="821"/>
      <c r="AQ561" s="610"/>
      <c r="AR561" s="610"/>
      <c r="AU561" s="610"/>
      <c r="AV561" s="610"/>
      <c r="AY561" s="610"/>
      <c r="AZ561" s="610"/>
      <c r="BA561" s="821"/>
      <c r="BB561" s="821"/>
      <c r="BC561" s="7401"/>
      <c r="BD561" s="7401"/>
      <c r="BG561" s="4152">
        <f t="shared" si="605"/>
        <v>0</v>
      </c>
      <c r="BH561" s="4152">
        <f t="shared" si="606"/>
        <v>0</v>
      </c>
      <c r="BI561" s="4152"/>
      <c r="BJ561" s="4152">
        <f t="shared" si="607"/>
        <v>0</v>
      </c>
      <c r="BK561" s="4152">
        <f t="shared" si="608"/>
        <v>0</v>
      </c>
    </row>
    <row r="562" spans="1:63" ht="21" customHeight="1" x14ac:dyDescent="0.25">
      <c r="A562" s="144"/>
      <c r="B562" s="610"/>
      <c r="C562" s="610"/>
      <c r="D562" s="610"/>
      <c r="E562" s="610"/>
      <c r="F562" s="610"/>
      <c r="G562" s="610"/>
      <c r="H562" s="610"/>
      <c r="I562" s="820"/>
      <c r="J562" s="7310">
        <f t="shared" si="594"/>
        <v>0</v>
      </c>
      <c r="K562" s="610"/>
      <c r="L562" s="610"/>
      <c r="M562" s="821"/>
      <c r="N562" s="7301">
        <f t="shared" si="595"/>
        <v>0</v>
      </c>
      <c r="O562" s="610"/>
      <c r="P562" s="610"/>
      <c r="Q562" s="820"/>
      <c r="R562" s="7310">
        <f t="shared" si="596"/>
        <v>0</v>
      </c>
      <c r="S562" s="610"/>
      <c r="T562" s="610"/>
      <c r="U562" s="820"/>
      <c r="V562" s="7310">
        <f t="shared" si="597"/>
        <v>0</v>
      </c>
      <c r="W562" s="610"/>
      <c r="X562" s="610"/>
      <c r="Y562" s="821"/>
      <c r="Z562" s="7301">
        <f t="shared" si="598"/>
        <v>0</v>
      </c>
      <c r="AA562" s="7401"/>
      <c r="AB562" s="7302">
        <f t="shared" si="599"/>
        <v>0</v>
      </c>
      <c r="AC562" s="610"/>
      <c r="AD562" s="610"/>
      <c r="AE562" s="820"/>
      <c r="AF562" s="7310">
        <f t="shared" si="600"/>
        <v>0</v>
      </c>
      <c r="AG562" s="610"/>
      <c r="AH562" s="610"/>
      <c r="AK562" s="610"/>
      <c r="AL562" s="610"/>
      <c r="AM562" s="821"/>
      <c r="AN562" s="821"/>
      <c r="AQ562" s="610"/>
      <c r="AR562" s="610"/>
      <c r="AU562" s="610"/>
      <c r="AV562" s="610"/>
      <c r="AY562" s="610"/>
      <c r="AZ562" s="610"/>
      <c r="BA562" s="821"/>
      <c r="BB562" s="821"/>
      <c r="BC562" s="7401"/>
      <c r="BD562" s="7401"/>
      <c r="BG562" s="4152">
        <f t="shared" si="605"/>
        <v>0</v>
      </c>
      <c r="BH562" s="4152">
        <f t="shared" si="606"/>
        <v>0</v>
      </c>
      <c r="BI562" s="4152"/>
      <c r="BJ562" s="4152">
        <f t="shared" si="607"/>
        <v>0</v>
      </c>
      <c r="BK562" s="4152">
        <f t="shared" si="608"/>
        <v>0</v>
      </c>
    </row>
    <row r="563" spans="1:63" ht="21" customHeight="1" x14ac:dyDescent="0.25">
      <c r="A563" s="144"/>
      <c r="B563" s="610"/>
      <c r="C563" s="610"/>
      <c r="D563" s="610"/>
      <c r="E563" s="610"/>
      <c r="F563" s="610"/>
      <c r="G563" s="610"/>
      <c r="H563" s="610"/>
      <c r="I563" s="820"/>
      <c r="J563" s="7310">
        <f t="shared" si="594"/>
        <v>0</v>
      </c>
      <c r="K563" s="610"/>
      <c r="L563" s="610"/>
      <c r="M563" s="821"/>
      <c r="N563" s="7301">
        <f t="shared" si="595"/>
        <v>0</v>
      </c>
      <c r="O563" s="610"/>
      <c r="P563" s="610"/>
      <c r="Q563" s="820"/>
      <c r="R563" s="7310">
        <f t="shared" si="596"/>
        <v>0</v>
      </c>
      <c r="S563" s="610"/>
      <c r="T563" s="610"/>
      <c r="U563" s="820"/>
      <c r="V563" s="7310">
        <f t="shared" si="597"/>
        <v>0</v>
      </c>
      <c r="W563" s="610"/>
      <c r="X563" s="610"/>
      <c r="Y563" s="821"/>
      <c r="Z563" s="7301">
        <f t="shared" si="598"/>
        <v>0</v>
      </c>
      <c r="AA563" s="7401"/>
      <c r="AB563" s="7302">
        <f t="shared" si="599"/>
        <v>0</v>
      </c>
      <c r="AC563" s="610"/>
      <c r="AD563" s="610"/>
      <c r="AE563" s="820"/>
      <c r="AF563" s="7310">
        <f t="shared" si="600"/>
        <v>0</v>
      </c>
      <c r="AG563" s="610"/>
      <c r="AH563" s="610"/>
      <c r="AK563" s="610"/>
      <c r="AL563" s="610"/>
      <c r="AM563" s="821"/>
      <c r="AN563" s="821"/>
      <c r="AQ563" s="610"/>
      <c r="AR563" s="610"/>
      <c r="AU563" s="610"/>
      <c r="AV563" s="610"/>
      <c r="AY563" s="610"/>
      <c r="AZ563" s="610"/>
      <c r="BA563" s="821"/>
      <c r="BB563" s="821"/>
      <c r="BC563" s="7401"/>
      <c r="BD563" s="7401"/>
      <c r="BG563" s="4152">
        <f t="shared" si="605"/>
        <v>0</v>
      </c>
      <c r="BH563" s="4152">
        <f t="shared" si="606"/>
        <v>0</v>
      </c>
      <c r="BI563" s="4152"/>
      <c r="BJ563" s="4152">
        <f t="shared" si="607"/>
        <v>0</v>
      </c>
      <c r="BK563" s="4152">
        <f t="shared" si="608"/>
        <v>0</v>
      </c>
    </row>
    <row r="564" spans="1:63" ht="21" customHeight="1" x14ac:dyDescent="0.25">
      <c r="A564" s="144"/>
      <c r="B564" s="610"/>
      <c r="C564" s="610"/>
      <c r="D564" s="610"/>
      <c r="E564" s="610"/>
      <c r="F564" s="610"/>
      <c r="G564" s="610"/>
      <c r="H564" s="610"/>
      <c r="I564" s="820"/>
      <c r="J564" s="7310">
        <f t="shared" si="594"/>
        <v>0</v>
      </c>
      <c r="K564" s="610"/>
      <c r="L564" s="610"/>
      <c r="M564" s="821"/>
      <c r="N564" s="7301">
        <f t="shared" si="595"/>
        <v>0</v>
      </c>
      <c r="O564" s="610"/>
      <c r="P564" s="610"/>
      <c r="Q564" s="820"/>
      <c r="R564" s="7310">
        <f t="shared" si="596"/>
        <v>0</v>
      </c>
      <c r="S564" s="610"/>
      <c r="T564" s="610"/>
      <c r="U564" s="820"/>
      <c r="V564" s="7310">
        <f t="shared" si="597"/>
        <v>0</v>
      </c>
      <c r="W564" s="610"/>
      <c r="X564" s="610"/>
      <c r="Y564" s="821"/>
      <c r="Z564" s="7301">
        <f t="shared" si="598"/>
        <v>0</v>
      </c>
      <c r="AA564" s="7401"/>
      <c r="AB564" s="7302">
        <f t="shared" si="599"/>
        <v>0</v>
      </c>
      <c r="AC564" s="610"/>
      <c r="AD564" s="610"/>
      <c r="AE564" s="820"/>
      <c r="AF564" s="7310">
        <f t="shared" si="600"/>
        <v>0</v>
      </c>
      <c r="AG564" s="610"/>
      <c r="AH564" s="610"/>
      <c r="AK564" s="610"/>
      <c r="AL564" s="610"/>
      <c r="AM564" s="821"/>
      <c r="AN564" s="821"/>
      <c r="AQ564" s="610"/>
      <c r="AR564" s="610"/>
      <c r="AU564" s="610"/>
      <c r="AV564" s="610"/>
      <c r="AY564" s="610"/>
      <c r="AZ564" s="610"/>
      <c r="BA564" s="821"/>
      <c r="BB564" s="821"/>
      <c r="BC564" s="7401"/>
      <c r="BD564" s="7401"/>
      <c r="BG564" s="4152">
        <f t="shared" si="605"/>
        <v>0</v>
      </c>
      <c r="BH564" s="4152">
        <f t="shared" si="606"/>
        <v>0</v>
      </c>
      <c r="BI564" s="4152"/>
      <c r="BJ564" s="4152">
        <f t="shared" si="607"/>
        <v>0</v>
      </c>
      <c r="BK564" s="4152">
        <f t="shared" si="608"/>
        <v>0</v>
      </c>
    </row>
    <row r="565" spans="1:63" ht="21" customHeight="1" x14ac:dyDescent="0.25">
      <c r="A565" s="144"/>
      <c r="B565" s="610"/>
      <c r="C565" s="610"/>
      <c r="D565" s="610"/>
      <c r="E565" s="610"/>
      <c r="F565" s="610"/>
      <c r="G565" s="610"/>
      <c r="H565" s="610"/>
      <c r="I565" s="820"/>
      <c r="J565" s="7310">
        <f t="shared" si="594"/>
        <v>0</v>
      </c>
      <c r="K565" s="610"/>
      <c r="L565" s="610"/>
      <c r="M565" s="821"/>
      <c r="N565" s="7301">
        <f t="shared" si="595"/>
        <v>0</v>
      </c>
      <c r="O565" s="610"/>
      <c r="P565" s="610"/>
      <c r="Q565" s="820"/>
      <c r="R565" s="7310">
        <f t="shared" si="596"/>
        <v>0</v>
      </c>
      <c r="S565" s="610"/>
      <c r="T565" s="610"/>
      <c r="U565" s="820"/>
      <c r="V565" s="7310">
        <f t="shared" si="597"/>
        <v>0</v>
      </c>
      <c r="W565" s="610"/>
      <c r="X565" s="610"/>
      <c r="Y565" s="821"/>
      <c r="Z565" s="7301">
        <f t="shared" si="598"/>
        <v>0</v>
      </c>
      <c r="AA565" s="7401"/>
      <c r="AB565" s="7302">
        <f t="shared" si="599"/>
        <v>0</v>
      </c>
      <c r="AC565" s="610"/>
      <c r="AD565" s="610"/>
      <c r="AE565" s="820"/>
      <c r="AF565" s="7310">
        <f t="shared" si="600"/>
        <v>0</v>
      </c>
      <c r="AG565" s="610"/>
      <c r="AH565" s="610"/>
      <c r="AK565" s="610"/>
      <c r="AL565" s="610"/>
      <c r="AM565" s="821"/>
      <c r="AN565" s="821"/>
      <c r="AQ565" s="610"/>
      <c r="AR565" s="610"/>
      <c r="AU565" s="610"/>
      <c r="AV565" s="610"/>
      <c r="AY565" s="610"/>
      <c r="AZ565" s="610"/>
      <c r="BA565" s="821"/>
      <c r="BB565" s="821"/>
      <c r="BC565" s="7401"/>
      <c r="BD565" s="7401"/>
      <c r="BG565" s="4152">
        <f t="shared" si="605"/>
        <v>0</v>
      </c>
      <c r="BH565" s="4152">
        <f t="shared" si="606"/>
        <v>0</v>
      </c>
      <c r="BI565" s="4152"/>
      <c r="BJ565" s="4152">
        <f t="shared" si="607"/>
        <v>0</v>
      </c>
      <c r="BK565" s="4152">
        <f t="shared" si="608"/>
        <v>0</v>
      </c>
    </row>
    <row r="566" spans="1:63" ht="21" customHeight="1" x14ac:dyDescent="0.25">
      <c r="A566" s="144"/>
      <c r="B566" s="610"/>
      <c r="C566" s="610"/>
      <c r="D566" s="610"/>
      <c r="E566" s="610"/>
      <c r="F566" s="610"/>
      <c r="G566" s="610"/>
      <c r="H566" s="610"/>
      <c r="I566" s="820"/>
      <c r="J566" s="7310">
        <f t="shared" si="594"/>
        <v>0</v>
      </c>
      <c r="K566" s="610"/>
      <c r="L566" s="610"/>
      <c r="M566" s="821"/>
      <c r="N566" s="7301">
        <f t="shared" si="595"/>
        <v>0</v>
      </c>
      <c r="O566" s="610"/>
      <c r="P566" s="610"/>
      <c r="Q566" s="820"/>
      <c r="R566" s="7310">
        <f t="shared" si="596"/>
        <v>0</v>
      </c>
      <c r="S566" s="610"/>
      <c r="T566" s="610"/>
      <c r="U566" s="820"/>
      <c r="V566" s="7310">
        <f t="shared" si="597"/>
        <v>0</v>
      </c>
      <c r="W566" s="610"/>
      <c r="X566" s="610"/>
      <c r="Y566" s="821"/>
      <c r="Z566" s="7301">
        <f t="shared" si="598"/>
        <v>0</v>
      </c>
      <c r="AA566" s="7401"/>
      <c r="AB566" s="7302">
        <f t="shared" si="599"/>
        <v>0</v>
      </c>
      <c r="AC566" s="610"/>
      <c r="AD566" s="610"/>
      <c r="AE566" s="820"/>
      <c r="AF566" s="7310">
        <f t="shared" si="600"/>
        <v>0</v>
      </c>
      <c r="AG566" s="610"/>
      <c r="AH566" s="610"/>
      <c r="AK566" s="610"/>
      <c r="AL566" s="610"/>
      <c r="AM566" s="821"/>
      <c r="AN566" s="821"/>
      <c r="AQ566" s="610"/>
      <c r="AR566" s="610"/>
      <c r="AU566" s="610"/>
      <c r="AV566" s="610"/>
      <c r="AY566" s="610"/>
      <c r="AZ566" s="610"/>
      <c r="BA566" s="821"/>
      <c r="BB566" s="821"/>
      <c r="BC566" s="7401"/>
      <c r="BD566" s="7401"/>
      <c r="BG566" s="4152">
        <f t="shared" si="605"/>
        <v>0</v>
      </c>
      <c r="BH566" s="4152">
        <f t="shared" si="606"/>
        <v>0</v>
      </c>
      <c r="BI566" s="4152"/>
      <c r="BJ566" s="4152">
        <f t="shared" si="607"/>
        <v>0</v>
      </c>
      <c r="BK566" s="4152">
        <f t="shared" si="608"/>
        <v>0</v>
      </c>
    </row>
    <row r="567" spans="1:63" ht="21" customHeight="1" x14ac:dyDescent="0.25">
      <c r="A567" s="144"/>
      <c r="B567" s="610"/>
      <c r="C567" s="610"/>
      <c r="D567" s="610"/>
      <c r="E567" s="610"/>
      <c r="F567" s="610"/>
      <c r="G567" s="610"/>
      <c r="H567" s="610"/>
      <c r="I567" s="820"/>
      <c r="J567" s="7310">
        <f t="shared" si="594"/>
        <v>0</v>
      </c>
      <c r="K567" s="610"/>
      <c r="L567" s="610"/>
      <c r="M567" s="821"/>
      <c r="N567" s="7301">
        <f t="shared" si="595"/>
        <v>0</v>
      </c>
      <c r="O567" s="610"/>
      <c r="P567" s="610"/>
      <c r="Q567" s="820"/>
      <c r="R567" s="7310">
        <f t="shared" si="596"/>
        <v>0</v>
      </c>
      <c r="S567" s="610"/>
      <c r="T567" s="610"/>
      <c r="U567" s="820"/>
      <c r="V567" s="7310">
        <f t="shared" si="597"/>
        <v>0</v>
      </c>
      <c r="W567" s="610"/>
      <c r="X567" s="610"/>
      <c r="Y567" s="821"/>
      <c r="Z567" s="7301">
        <f t="shared" si="598"/>
        <v>0</v>
      </c>
      <c r="AA567" s="7401"/>
      <c r="AB567" s="7302">
        <f t="shared" si="599"/>
        <v>0</v>
      </c>
      <c r="AC567" s="610"/>
      <c r="AD567" s="610"/>
      <c r="AE567" s="820"/>
      <c r="AF567" s="7310">
        <f t="shared" si="600"/>
        <v>0</v>
      </c>
      <c r="AG567" s="610"/>
      <c r="AH567" s="610"/>
      <c r="AK567" s="610"/>
      <c r="AL567" s="610"/>
      <c r="AM567" s="821"/>
      <c r="AN567" s="821"/>
      <c r="AQ567" s="610"/>
      <c r="AR567" s="610"/>
      <c r="AU567" s="610"/>
      <c r="AV567" s="610"/>
      <c r="AY567" s="610"/>
      <c r="AZ567" s="610"/>
      <c r="BA567" s="821"/>
      <c r="BB567" s="821"/>
      <c r="BC567" s="7401"/>
      <c r="BD567" s="7401"/>
      <c r="BG567" s="4152">
        <f t="shared" si="605"/>
        <v>0</v>
      </c>
      <c r="BH567" s="4152">
        <f t="shared" si="606"/>
        <v>0</v>
      </c>
      <c r="BI567" s="4152"/>
      <c r="BJ567" s="4152">
        <f t="shared" si="607"/>
        <v>0</v>
      </c>
      <c r="BK567" s="4152">
        <f t="shared" si="608"/>
        <v>0</v>
      </c>
    </row>
    <row r="568" spans="1:63" ht="21" customHeight="1" x14ac:dyDescent="0.25">
      <c r="A568" s="144"/>
      <c r="B568" s="610"/>
      <c r="C568" s="610"/>
      <c r="D568" s="610"/>
      <c r="E568" s="610"/>
      <c r="F568" s="610"/>
      <c r="G568" s="610"/>
      <c r="H568" s="610"/>
      <c r="I568" s="820"/>
      <c r="J568" s="7310">
        <f t="shared" si="594"/>
        <v>0</v>
      </c>
      <c r="K568" s="610"/>
      <c r="L568" s="610"/>
      <c r="M568" s="821"/>
      <c r="N568" s="7301">
        <f t="shared" si="595"/>
        <v>0</v>
      </c>
      <c r="O568" s="610"/>
      <c r="P568" s="610"/>
      <c r="Q568" s="820"/>
      <c r="R568" s="7310">
        <f t="shared" si="596"/>
        <v>0</v>
      </c>
      <c r="S568" s="610"/>
      <c r="T568" s="610"/>
      <c r="U568" s="820"/>
      <c r="V568" s="7310">
        <f t="shared" si="597"/>
        <v>0</v>
      </c>
      <c r="W568" s="610"/>
      <c r="X568" s="610"/>
      <c r="Y568" s="821"/>
      <c r="Z568" s="7301">
        <f t="shared" si="598"/>
        <v>0</v>
      </c>
      <c r="AA568" s="7401"/>
      <c r="AB568" s="7302">
        <f t="shared" si="599"/>
        <v>0</v>
      </c>
      <c r="AC568" s="610"/>
      <c r="AD568" s="610"/>
      <c r="AE568" s="820"/>
      <c r="AF568" s="7310">
        <f t="shared" si="600"/>
        <v>0</v>
      </c>
      <c r="AG568" s="610"/>
      <c r="AH568" s="610"/>
      <c r="AK568" s="610"/>
      <c r="AL568" s="610"/>
      <c r="AM568" s="821"/>
      <c r="AN568" s="821"/>
      <c r="AQ568" s="610"/>
      <c r="AR568" s="610"/>
      <c r="AU568" s="610"/>
      <c r="AV568" s="610"/>
      <c r="AY568" s="610"/>
      <c r="AZ568" s="610"/>
      <c r="BA568" s="821"/>
      <c r="BB568" s="821"/>
      <c r="BC568" s="7401"/>
      <c r="BD568" s="7401"/>
      <c r="BG568" s="4152">
        <f t="shared" si="605"/>
        <v>0</v>
      </c>
      <c r="BH568" s="4152">
        <f t="shared" si="606"/>
        <v>0</v>
      </c>
      <c r="BI568" s="4152"/>
      <c r="BJ568" s="4152">
        <f t="shared" si="607"/>
        <v>0</v>
      </c>
      <c r="BK568" s="4152">
        <f t="shared" si="608"/>
        <v>0</v>
      </c>
    </row>
    <row r="569" spans="1:63" ht="21" customHeight="1" x14ac:dyDescent="0.25">
      <c r="A569" s="144"/>
      <c r="B569" s="610"/>
      <c r="C569" s="610"/>
      <c r="D569" s="610"/>
      <c r="E569" s="610"/>
      <c r="F569" s="610"/>
      <c r="G569" s="610"/>
      <c r="H569" s="610"/>
      <c r="I569" s="820"/>
      <c r="J569" s="7310">
        <f t="shared" si="594"/>
        <v>0</v>
      </c>
      <c r="K569" s="610"/>
      <c r="L569" s="610"/>
      <c r="M569" s="821"/>
      <c r="N569" s="7301">
        <f t="shared" si="595"/>
        <v>0</v>
      </c>
      <c r="O569" s="610"/>
      <c r="P569" s="610"/>
      <c r="Q569" s="820"/>
      <c r="R569" s="7310">
        <f t="shared" si="596"/>
        <v>0</v>
      </c>
      <c r="S569" s="610"/>
      <c r="T569" s="610"/>
      <c r="U569" s="820"/>
      <c r="V569" s="7310">
        <f t="shared" si="597"/>
        <v>0</v>
      </c>
      <c r="W569" s="610"/>
      <c r="X569" s="610"/>
      <c r="Y569" s="821"/>
      <c r="Z569" s="7301">
        <f t="shared" si="598"/>
        <v>0</v>
      </c>
      <c r="AA569" s="7401"/>
      <c r="AB569" s="7302">
        <f t="shared" si="599"/>
        <v>0</v>
      </c>
      <c r="AC569" s="610"/>
      <c r="AD569" s="610"/>
      <c r="AE569" s="820"/>
      <c r="AF569" s="7310">
        <f t="shared" si="600"/>
        <v>0</v>
      </c>
      <c r="AG569" s="610"/>
      <c r="AH569" s="610"/>
      <c r="AK569" s="610"/>
      <c r="AL569" s="610"/>
      <c r="AM569" s="821"/>
      <c r="AN569" s="821"/>
      <c r="AQ569" s="610"/>
      <c r="AR569" s="610"/>
      <c r="AU569" s="610"/>
      <c r="AV569" s="610"/>
      <c r="AY569" s="610"/>
      <c r="AZ569" s="610"/>
      <c r="BA569" s="821"/>
      <c r="BB569" s="821"/>
      <c r="BC569" s="7401"/>
      <c r="BD569" s="7401"/>
      <c r="BG569" s="4152">
        <f t="shared" si="605"/>
        <v>0</v>
      </c>
      <c r="BH569" s="4152">
        <f t="shared" si="606"/>
        <v>0</v>
      </c>
      <c r="BI569" s="4152"/>
      <c r="BJ569" s="4152">
        <f t="shared" si="607"/>
        <v>0</v>
      </c>
      <c r="BK569" s="4152">
        <f t="shared" si="608"/>
        <v>0</v>
      </c>
    </row>
    <row r="570" spans="1:63" ht="21" customHeight="1" x14ac:dyDescent="0.25">
      <c r="A570" s="144"/>
      <c r="B570" s="610"/>
      <c r="C570" s="610"/>
      <c r="D570" s="610"/>
      <c r="E570" s="610"/>
      <c r="F570" s="610"/>
      <c r="G570" s="610"/>
      <c r="H570" s="610"/>
      <c r="I570" s="820"/>
      <c r="J570" s="7310">
        <f t="shared" ref="J570:J596" si="609">F570+H570</f>
        <v>0</v>
      </c>
      <c r="K570" s="610"/>
      <c r="L570" s="610"/>
      <c r="M570" s="821"/>
      <c r="N570" s="7301">
        <f t="shared" ref="N570:N596" si="610">J570+L570</f>
        <v>0</v>
      </c>
      <c r="O570" s="610"/>
      <c r="P570" s="610"/>
      <c r="Q570" s="820"/>
      <c r="R570" s="7310">
        <f t="shared" ref="R570:R596" si="611">N570+P570</f>
        <v>0</v>
      </c>
      <c r="S570" s="610"/>
      <c r="T570" s="610"/>
      <c r="U570" s="820"/>
      <c r="V570" s="7310">
        <f t="shared" ref="V570:V596" si="612">R570+T570</f>
        <v>0</v>
      </c>
      <c r="W570" s="610"/>
      <c r="X570" s="610"/>
      <c r="Y570" s="821"/>
      <c r="Z570" s="7301">
        <f t="shared" ref="Z570:Z596" si="613">P570+T570+X570</f>
        <v>0</v>
      </c>
      <c r="AA570" s="7401"/>
      <c r="AB570" s="7302">
        <f t="shared" ref="AB570:AB596" si="614">N570+Z570</f>
        <v>0</v>
      </c>
      <c r="AC570" s="610"/>
      <c r="AD570" s="610"/>
      <c r="AE570" s="820"/>
      <c r="AF570" s="7310">
        <f t="shared" ref="AF570:AF596" si="615">AB570+AD570</f>
        <v>0</v>
      </c>
      <c r="AG570" s="610"/>
      <c r="AH570" s="610"/>
      <c r="AK570" s="610"/>
      <c r="AL570" s="610"/>
      <c r="AM570" s="821"/>
      <c r="AN570" s="821"/>
      <c r="AQ570" s="610"/>
      <c r="AR570" s="610"/>
      <c r="AU570" s="610"/>
      <c r="AV570" s="610"/>
      <c r="AY570" s="610"/>
      <c r="AZ570" s="610"/>
      <c r="BA570" s="821"/>
      <c r="BB570" s="821"/>
      <c r="BC570" s="7401"/>
      <c r="BD570" s="7401"/>
      <c r="BG570" s="4152">
        <f t="shared" si="605"/>
        <v>0</v>
      </c>
      <c r="BH570" s="4152">
        <f t="shared" si="606"/>
        <v>0</v>
      </c>
      <c r="BI570" s="4152"/>
      <c r="BJ570" s="4152">
        <f t="shared" si="607"/>
        <v>0</v>
      </c>
      <c r="BK570" s="4152">
        <f t="shared" si="608"/>
        <v>0</v>
      </c>
    </row>
    <row r="571" spans="1:63" ht="21" customHeight="1" x14ac:dyDescent="0.25">
      <c r="A571" s="144"/>
      <c r="B571" s="610"/>
      <c r="C571" s="610"/>
      <c r="D571" s="610"/>
      <c r="E571" s="610"/>
      <c r="F571" s="610"/>
      <c r="G571" s="610"/>
      <c r="H571" s="610"/>
      <c r="I571" s="820"/>
      <c r="J571" s="7310">
        <f t="shared" si="609"/>
        <v>0</v>
      </c>
      <c r="K571" s="610"/>
      <c r="L571" s="610"/>
      <c r="M571" s="821"/>
      <c r="N571" s="7301">
        <f t="shared" si="610"/>
        <v>0</v>
      </c>
      <c r="O571" s="610"/>
      <c r="P571" s="610"/>
      <c r="Q571" s="820"/>
      <c r="R571" s="7310">
        <f t="shared" si="611"/>
        <v>0</v>
      </c>
      <c r="S571" s="610"/>
      <c r="T571" s="610"/>
      <c r="U571" s="820"/>
      <c r="V571" s="7310">
        <f t="shared" si="612"/>
        <v>0</v>
      </c>
      <c r="W571" s="610"/>
      <c r="X571" s="610"/>
      <c r="Y571" s="821"/>
      <c r="Z571" s="7301">
        <f t="shared" si="613"/>
        <v>0</v>
      </c>
      <c r="AA571" s="7401"/>
      <c r="AB571" s="7302">
        <f t="shared" si="614"/>
        <v>0</v>
      </c>
      <c r="AC571" s="610"/>
      <c r="AD571" s="610"/>
      <c r="AE571" s="820"/>
      <c r="AF571" s="7310">
        <f t="shared" si="615"/>
        <v>0</v>
      </c>
      <c r="AG571" s="610"/>
      <c r="AH571" s="610"/>
      <c r="AK571" s="610"/>
      <c r="AL571" s="610"/>
      <c r="AM571" s="821"/>
      <c r="AN571" s="821"/>
      <c r="AQ571" s="610"/>
      <c r="AR571" s="610"/>
      <c r="AU571" s="610"/>
      <c r="AV571" s="610"/>
      <c r="AY571" s="610"/>
      <c r="AZ571" s="610"/>
      <c r="BA571" s="821"/>
      <c r="BB571" s="821"/>
      <c r="BC571" s="7401"/>
      <c r="BD571" s="7401"/>
      <c r="BG571" s="4152">
        <f t="shared" si="605"/>
        <v>0</v>
      </c>
      <c r="BH571" s="4152">
        <f t="shared" si="606"/>
        <v>0</v>
      </c>
      <c r="BI571" s="4152"/>
      <c r="BJ571" s="4152">
        <f t="shared" si="607"/>
        <v>0</v>
      </c>
      <c r="BK571" s="4152">
        <f t="shared" si="608"/>
        <v>0</v>
      </c>
    </row>
    <row r="572" spans="1:63" ht="21" customHeight="1" x14ac:dyDescent="0.25">
      <c r="A572" s="144"/>
      <c r="B572" s="610"/>
      <c r="C572" s="610"/>
      <c r="D572" s="610"/>
      <c r="E572" s="610"/>
      <c r="F572" s="610"/>
      <c r="G572" s="610"/>
      <c r="H572" s="610"/>
      <c r="I572" s="820"/>
      <c r="J572" s="7310">
        <f t="shared" si="609"/>
        <v>0</v>
      </c>
      <c r="K572" s="610"/>
      <c r="L572" s="610"/>
      <c r="M572" s="821"/>
      <c r="N572" s="7301">
        <f t="shared" si="610"/>
        <v>0</v>
      </c>
      <c r="O572" s="610"/>
      <c r="P572" s="610"/>
      <c r="Q572" s="820"/>
      <c r="R572" s="7310">
        <f t="shared" si="611"/>
        <v>0</v>
      </c>
      <c r="S572" s="610"/>
      <c r="T572" s="610"/>
      <c r="U572" s="820"/>
      <c r="V572" s="7310">
        <f t="shared" si="612"/>
        <v>0</v>
      </c>
      <c r="W572" s="610"/>
      <c r="X572" s="610"/>
      <c r="Y572" s="821"/>
      <c r="Z572" s="7301">
        <f t="shared" si="613"/>
        <v>0</v>
      </c>
      <c r="AA572" s="7401"/>
      <c r="AB572" s="7302">
        <f t="shared" si="614"/>
        <v>0</v>
      </c>
      <c r="AC572" s="610"/>
      <c r="AD572" s="610"/>
      <c r="AE572" s="820"/>
      <c r="AF572" s="7310">
        <f t="shared" si="615"/>
        <v>0</v>
      </c>
      <c r="AG572" s="610"/>
      <c r="AH572" s="610"/>
      <c r="AK572" s="610"/>
      <c r="AL572" s="610"/>
      <c r="AM572" s="821"/>
      <c r="AN572" s="821"/>
      <c r="AQ572" s="610"/>
      <c r="AR572" s="610"/>
      <c r="AU572" s="610"/>
      <c r="AV572" s="610"/>
      <c r="AY572" s="610"/>
      <c r="AZ572" s="610"/>
      <c r="BA572" s="821"/>
      <c r="BB572" s="821"/>
      <c r="BC572" s="7401"/>
      <c r="BD572" s="7401"/>
      <c r="BG572" s="4152">
        <f t="shared" si="605"/>
        <v>0</v>
      </c>
      <c r="BH572" s="4152">
        <f t="shared" si="606"/>
        <v>0</v>
      </c>
      <c r="BI572" s="4152"/>
      <c r="BJ572" s="4152">
        <f t="shared" si="607"/>
        <v>0</v>
      </c>
      <c r="BK572" s="4152">
        <f t="shared" si="608"/>
        <v>0</v>
      </c>
    </row>
    <row r="573" spans="1:63" ht="21" customHeight="1" x14ac:dyDescent="0.25">
      <c r="A573" s="144"/>
      <c r="B573" s="610"/>
      <c r="C573" s="610"/>
      <c r="D573" s="610"/>
      <c r="E573" s="610"/>
      <c r="F573" s="610"/>
      <c r="G573" s="610"/>
      <c r="H573" s="610"/>
      <c r="I573" s="820"/>
      <c r="J573" s="7310">
        <f t="shared" si="609"/>
        <v>0</v>
      </c>
      <c r="K573" s="610"/>
      <c r="L573" s="610"/>
      <c r="M573" s="821"/>
      <c r="N573" s="7301">
        <f t="shared" si="610"/>
        <v>0</v>
      </c>
      <c r="O573" s="610"/>
      <c r="P573" s="610"/>
      <c r="Q573" s="820"/>
      <c r="R573" s="7310">
        <f t="shared" si="611"/>
        <v>0</v>
      </c>
      <c r="S573" s="610"/>
      <c r="T573" s="610"/>
      <c r="U573" s="820"/>
      <c r="V573" s="7310">
        <f t="shared" si="612"/>
        <v>0</v>
      </c>
      <c r="W573" s="610"/>
      <c r="X573" s="610"/>
      <c r="Y573" s="821"/>
      <c r="Z573" s="7301">
        <f t="shared" si="613"/>
        <v>0</v>
      </c>
      <c r="AA573" s="7401"/>
      <c r="AB573" s="7302">
        <f t="shared" si="614"/>
        <v>0</v>
      </c>
      <c r="AC573" s="610"/>
      <c r="AD573" s="610"/>
      <c r="AE573" s="820"/>
      <c r="AF573" s="7310">
        <f t="shared" si="615"/>
        <v>0</v>
      </c>
      <c r="AG573" s="610"/>
      <c r="AH573" s="610"/>
      <c r="AK573" s="610"/>
      <c r="AL573" s="610"/>
      <c r="AM573" s="821"/>
      <c r="AN573" s="821"/>
      <c r="AQ573" s="610"/>
      <c r="AR573" s="610"/>
      <c r="AU573" s="610"/>
      <c r="AV573" s="610"/>
      <c r="AY573" s="610"/>
      <c r="AZ573" s="610"/>
      <c r="BA573" s="821"/>
      <c r="BB573" s="821"/>
      <c r="BC573" s="7401"/>
      <c r="BD573" s="7401"/>
      <c r="BG573" s="4152">
        <f t="shared" si="605"/>
        <v>0</v>
      </c>
      <c r="BH573" s="4152">
        <f t="shared" si="606"/>
        <v>0</v>
      </c>
      <c r="BI573" s="4152"/>
      <c r="BJ573" s="4152">
        <f t="shared" si="607"/>
        <v>0</v>
      </c>
      <c r="BK573" s="4152">
        <f t="shared" si="608"/>
        <v>0</v>
      </c>
    </row>
    <row r="574" spans="1:63" ht="21" customHeight="1" x14ac:dyDescent="0.25">
      <c r="A574" s="144"/>
      <c r="B574" s="610"/>
      <c r="C574" s="610"/>
      <c r="D574" s="610"/>
      <c r="E574" s="610"/>
      <c r="F574" s="610"/>
      <c r="G574" s="610"/>
      <c r="H574" s="610"/>
      <c r="I574" s="820"/>
      <c r="J574" s="7310">
        <f t="shared" si="609"/>
        <v>0</v>
      </c>
      <c r="K574" s="610"/>
      <c r="L574" s="610"/>
      <c r="M574" s="821"/>
      <c r="N574" s="7301">
        <f t="shared" si="610"/>
        <v>0</v>
      </c>
      <c r="O574" s="610"/>
      <c r="P574" s="610"/>
      <c r="Q574" s="820"/>
      <c r="R574" s="7310">
        <f t="shared" si="611"/>
        <v>0</v>
      </c>
      <c r="S574" s="610"/>
      <c r="T574" s="610"/>
      <c r="U574" s="820"/>
      <c r="V574" s="7310">
        <f t="shared" si="612"/>
        <v>0</v>
      </c>
      <c r="W574" s="610"/>
      <c r="X574" s="610"/>
      <c r="Y574" s="821"/>
      <c r="Z574" s="7301">
        <f t="shared" si="613"/>
        <v>0</v>
      </c>
      <c r="AA574" s="7401"/>
      <c r="AB574" s="7302">
        <f t="shared" si="614"/>
        <v>0</v>
      </c>
      <c r="AC574" s="610"/>
      <c r="AD574" s="610"/>
      <c r="AE574" s="820"/>
      <c r="AF574" s="7310">
        <f t="shared" si="615"/>
        <v>0</v>
      </c>
      <c r="AG574" s="610"/>
      <c r="AH574" s="610"/>
      <c r="AK574" s="610"/>
      <c r="AL574" s="610"/>
      <c r="AM574" s="821"/>
      <c r="AN574" s="821"/>
      <c r="AQ574" s="610"/>
      <c r="AR574" s="610"/>
      <c r="AU574" s="610"/>
      <c r="AV574" s="610"/>
      <c r="AY574" s="610"/>
      <c r="AZ574" s="610"/>
      <c r="BA574" s="821"/>
      <c r="BB574" s="821"/>
      <c r="BC574" s="7401"/>
      <c r="BD574" s="7401"/>
      <c r="BG574" s="4152">
        <f t="shared" si="605"/>
        <v>0</v>
      </c>
      <c r="BH574" s="4152">
        <f t="shared" si="606"/>
        <v>0</v>
      </c>
      <c r="BI574" s="4152"/>
      <c r="BJ574" s="4152">
        <f t="shared" si="607"/>
        <v>0</v>
      </c>
      <c r="BK574" s="4152">
        <f t="shared" si="608"/>
        <v>0</v>
      </c>
    </row>
    <row r="575" spans="1:63" ht="21" customHeight="1" x14ac:dyDescent="0.25">
      <c r="A575" s="144"/>
      <c r="B575" s="610"/>
      <c r="C575" s="610"/>
      <c r="D575" s="610"/>
      <c r="E575" s="610"/>
      <c r="F575" s="610"/>
      <c r="G575" s="610"/>
      <c r="H575" s="610"/>
      <c r="I575" s="820"/>
      <c r="J575" s="7310">
        <f t="shared" si="609"/>
        <v>0</v>
      </c>
      <c r="K575" s="610"/>
      <c r="L575" s="610"/>
      <c r="M575" s="821"/>
      <c r="N575" s="7301">
        <f t="shared" si="610"/>
        <v>0</v>
      </c>
      <c r="O575" s="610"/>
      <c r="P575" s="610"/>
      <c r="Q575" s="820"/>
      <c r="R575" s="7310">
        <f t="shared" si="611"/>
        <v>0</v>
      </c>
      <c r="S575" s="610"/>
      <c r="T575" s="610"/>
      <c r="U575" s="820"/>
      <c r="V575" s="7310">
        <f t="shared" si="612"/>
        <v>0</v>
      </c>
      <c r="W575" s="610"/>
      <c r="X575" s="610"/>
      <c r="Y575" s="821"/>
      <c r="Z575" s="7301">
        <f t="shared" si="613"/>
        <v>0</v>
      </c>
      <c r="AA575" s="7401"/>
      <c r="AB575" s="7302">
        <f t="shared" si="614"/>
        <v>0</v>
      </c>
      <c r="AC575" s="610"/>
      <c r="AD575" s="610"/>
      <c r="AE575" s="820"/>
      <c r="AF575" s="7310">
        <f t="shared" si="615"/>
        <v>0</v>
      </c>
      <c r="AG575" s="610"/>
      <c r="AH575" s="610"/>
      <c r="AK575" s="610"/>
      <c r="AL575" s="610"/>
      <c r="AM575" s="821"/>
      <c r="AN575" s="821"/>
      <c r="AQ575" s="610"/>
      <c r="AR575" s="610"/>
      <c r="AU575" s="610"/>
      <c r="AV575" s="610"/>
      <c r="AY575" s="610"/>
      <c r="AZ575" s="610"/>
      <c r="BA575" s="821"/>
      <c r="BB575" s="821"/>
      <c r="BC575" s="7401"/>
      <c r="BD575" s="7401"/>
      <c r="BG575" s="4152">
        <f t="shared" si="605"/>
        <v>0</v>
      </c>
      <c r="BH575" s="4152">
        <f t="shared" si="606"/>
        <v>0</v>
      </c>
      <c r="BI575" s="4152"/>
      <c r="BJ575" s="4152">
        <f t="shared" si="607"/>
        <v>0</v>
      </c>
      <c r="BK575" s="4152">
        <f t="shared" si="608"/>
        <v>0</v>
      </c>
    </row>
    <row r="576" spans="1:63" ht="21" customHeight="1" x14ac:dyDescent="0.25">
      <c r="A576" s="144"/>
      <c r="B576" s="610"/>
      <c r="C576" s="610"/>
      <c r="D576" s="610"/>
      <c r="E576" s="610"/>
      <c r="F576" s="610"/>
      <c r="G576" s="610"/>
      <c r="H576" s="610"/>
      <c r="I576" s="820"/>
      <c r="J576" s="7310">
        <f t="shared" si="609"/>
        <v>0</v>
      </c>
      <c r="K576" s="610"/>
      <c r="L576" s="610"/>
      <c r="M576" s="821"/>
      <c r="N576" s="7301">
        <f t="shared" si="610"/>
        <v>0</v>
      </c>
      <c r="O576" s="610"/>
      <c r="P576" s="610"/>
      <c r="Q576" s="820"/>
      <c r="R576" s="7310">
        <f t="shared" si="611"/>
        <v>0</v>
      </c>
      <c r="S576" s="610"/>
      <c r="T576" s="610"/>
      <c r="U576" s="820"/>
      <c r="V576" s="7310">
        <f t="shared" si="612"/>
        <v>0</v>
      </c>
      <c r="W576" s="610"/>
      <c r="X576" s="610"/>
      <c r="Y576" s="821"/>
      <c r="Z576" s="7301">
        <f t="shared" si="613"/>
        <v>0</v>
      </c>
      <c r="AA576" s="7401"/>
      <c r="AB576" s="7302">
        <f t="shared" si="614"/>
        <v>0</v>
      </c>
      <c r="AC576" s="610"/>
      <c r="AD576" s="610"/>
      <c r="AE576" s="820"/>
      <c r="AF576" s="7310">
        <f t="shared" si="615"/>
        <v>0</v>
      </c>
      <c r="AG576" s="610"/>
      <c r="AH576" s="610"/>
      <c r="AK576" s="610"/>
      <c r="AL576" s="610"/>
      <c r="AM576" s="821"/>
      <c r="AN576" s="821"/>
      <c r="AQ576" s="610"/>
      <c r="AR576" s="610"/>
      <c r="AU576" s="610"/>
      <c r="AV576" s="610"/>
      <c r="AY576" s="610"/>
      <c r="AZ576" s="610"/>
      <c r="BA576" s="821"/>
      <c r="BB576" s="821"/>
      <c r="BC576" s="7401"/>
      <c r="BD576" s="7401"/>
      <c r="BG576" s="4152">
        <f t="shared" si="605"/>
        <v>0</v>
      </c>
      <c r="BH576" s="4152">
        <f t="shared" si="606"/>
        <v>0</v>
      </c>
      <c r="BI576" s="4152"/>
      <c r="BJ576" s="4152">
        <f t="shared" si="607"/>
        <v>0</v>
      </c>
      <c r="BK576" s="4152">
        <f t="shared" si="608"/>
        <v>0</v>
      </c>
    </row>
    <row r="577" spans="1:63" ht="21" customHeight="1" x14ac:dyDescent="0.25">
      <c r="A577" s="144"/>
      <c r="B577" s="610"/>
      <c r="C577" s="610"/>
      <c r="D577" s="610"/>
      <c r="E577" s="610"/>
      <c r="F577" s="610"/>
      <c r="G577" s="610"/>
      <c r="H577" s="610"/>
      <c r="I577" s="820"/>
      <c r="J577" s="7310">
        <f t="shared" si="609"/>
        <v>0</v>
      </c>
      <c r="K577" s="610"/>
      <c r="L577" s="610"/>
      <c r="M577" s="821"/>
      <c r="N577" s="7301">
        <f t="shared" si="610"/>
        <v>0</v>
      </c>
      <c r="O577" s="610"/>
      <c r="P577" s="610"/>
      <c r="Q577" s="820"/>
      <c r="R577" s="7310">
        <f t="shared" si="611"/>
        <v>0</v>
      </c>
      <c r="S577" s="610"/>
      <c r="T577" s="610"/>
      <c r="U577" s="820"/>
      <c r="V577" s="7310">
        <f t="shared" si="612"/>
        <v>0</v>
      </c>
      <c r="W577" s="610"/>
      <c r="X577" s="610"/>
      <c r="Y577" s="821"/>
      <c r="Z577" s="7301">
        <f t="shared" si="613"/>
        <v>0</v>
      </c>
      <c r="AA577" s="7401"/>
      <c r="AB577" s="7302">
        <f t="shared" si="614"/>
        <v>0</v>
      </c>
      <c r="AC577" s="610"/>
      <c r="AD577" s="610"/>
      <c r="AE577" s="820"/>
      <c r="AF577" s="7310">
        <f t="shared" si="615"/>
        <v>0</v>
      </c>
      <c r="AG577" s="610"/>
      <c r="AH577" s="610"/>
      <c r="AK577" s="610"/>
      <c r="AL577" s="610"/>
      <c r="AM577" s="821"/>
      <c r="AN577" s="821"/>
      <c r="AQ577" s="610"/>
      <c r="AR577" s="610"/>
      <c r="AU577" s="610"/>
      <c r="AV577" s="610"/>
      <c r="AY577" s="610"/>
      <c r="AZ577" s="610"/>
      <c r="BA577" s="821"/>
      <c r="BB577" s="821"/>
      <c r="BC577" s="7401"/>
      <c r="BD577" s="7401"/>
      <c r="BG577" s="4152">
        <f t="shared" si="605"/>
        <v>0</v>
      </c>
      <c r="BH577" s="4152">
        <f t="shared" si="606"/>
        <v>0</v>
      </c>
      <c r="BI577" s="4152"/>
      <c r="BJ577" s="4152">
        <f t="shared" si="607"/>
        <v>0</v>
      </c>
      <c r="BK577" s="4152">
        <f t="shared" si="608"/>
        <v>0</v>
      </c>
    </row>
    <row r="578" spans="1:63" ht="15" customHeight="1" x14ac:dyDescent="0.25">
      <c r="G578" s="5570"/>
      <c r="H578" s="5570"/>
      <c r="J578" s="7310">
        <f t="shared" si="609"/>
        <v>0</v>
      </c>
      <c r="K578" s="5683"/>
      <c r="L578" s="5683"/>
      <c r="N578" s="7301">
        <f t="shared" si="610"/>
        <v>0</v>
      </c>
      <c r="O578" s="5840"/>
      <c r="P578" s="5840"/>
      <c r="R578" s="7310">
        <f t="shared" si="611"/>
        <v>0</v>
      </c>
      <c r="S578" s="5895"/>
      <c r="T578" s="5895"/>
      <c r="V578" s="7310">
        <f t="shared" si="612"/>
        <v>0</v>
      </c>
      <c r="W578" s="6009"/>
      <c r="X578" s="6009"/>
      <c r="Z578" s="7301">
        <f t="shared" si="613"/>
        <v>0</v>
      </c>
      <c r="AB578" s="7302">
        <f t="shared" si="614"/>
        <v>0</v>
      </c>
      <c r="AC578" s="6140"/>
      <c r="AD578" s="6140"/>
      <c r="AF578" s="7310">
        <f t="shared" si="615"/>
        <v>0</v>
      </c>
      <c r="AG578" s="6302"/>
      <c r="AH578" s="6302"/>
      <c r="AK578" s="6551"/>
      <c r="AL578" s="6551"/>
      <c r="AQ578" s="6645"/>
      <c r="AR578" s="6645"/>
      <c r="AU578" s="6817"/>
      <c r="AV578" s="6817"/>
      <c r="AY578" s="6959"/>
      <c r="AZ578" s="6959"/>
      <c r="BG578" s="4152">
        <f t="shared" si="605"/>
        <v>0</v>
      </c>
      <c r="BH578" s="4152">
        <f t="shared" si="606"/>
        <v>0</v>
      </c>
      <c r="BI578" s="4152"/>
      <c r="BJ578" s="4152">
        <f t="shared" si="607"/>
        <v>0</v>
      </c>
      <c r="BK578" s="4152">
        <f t="shared" si="608"/>
        <v>0</v>
      </c>
    </row>
    <row r="579" spans="1:63" ht="15" customHeight="1" x14ac:dyDescent="0.25">
      <c r="G579" s="5570"/>
      <c r="H579" s="5570"/>
      <c r="J579" s="7310">
        <f t="shared" si="609"/>
        <v>0</v>
      </c>
      <c r="K579" s="5683"/>
      <c r="L579" s="5683"/>
      <c r="N579" s="7301">
        <f t="shared" si="610"/>
        <v>0</v>
      </c>
      <c r="O579" s="5840"/>
      <c r="P579" s="5840"/>
      <c r="R579" s="7310">
        <f t="shared" si="611"/>
        <v>0</v>
      </c>
      <c r="S579" s="5895"/>
      <c r="T579" s="5895"/>
      <c r="V579" s="7310">
        <f t="shared" si="612"/>
        <v>0</v>
      </c>
      <c r="W579" s="6009"/>
      <c r="X579" s="6009"/>
      <c r="Z579" s="7301">
        <f t="shared" si="613"/>
        <v>0</v>
      </c>
      <c r="AB579" s="7302">
        <f t="shared" si="614"/>
        <v>0</v>
      </c>
      <c r="AC579" s="6140"/>
      <c r="AD579" s="6140"/>
      <c r="AF579" s="7310">
        <f t="shared" si="615"/>
        <v>0</v>
      </c>
      <c r="AG579" s="6302"/>
      <c r="AH579" s="6302"/>
      <c r="AK579" s="6551"/>
      <c r="AL579" s="6551"/>
      <c r="AQ579" s="6645"/>
      <c r="AR579" s="6645"/>
      <c r="AU579" s="6817"/>
      <c r="AV579" s="6817"/>
      <c r="AY579" s="6959"/>
      <c r="AZ579" s="6959"/>
      <c r="BG579" s="4152">
        <f t="shared" si="605"/>
        <v>0</v>
      </c>
      <c r="BH579" s="4152">
        <f t="shared" si="606"/>
        <v>0</v>
      </c>
      <c r="BI579" s="4152"/>
      <c r="BJ579" s="4152">
        <f t="shared" si="607"/>
        <v>0</v>
      </c>
      <c r="BK579" s="4152">
        <f t="shared" si="608"/>
        <v>0</v>
      </c>
    </row>
    <row r="580" spans="1:63" ht="15" customHeight="1" x14ac:dyDescent="0.25">
      <c r="G580" s="5570"/>
      <c r="H580" s="5570"/>
      <c r="J580" s="7310">
        <f t="shared" si="609"/>
        <v>0</v>
      </c>
      <c r="K580" s="5683"/>
      <c r="L580" s="5683"/>
      <c r="N580" s="7301">
        <f t="shared" si="610"/>
        <v>0</v>
      </c>
      <c r="O580" s="5840"/>
      <c r="P580" s="5840"/>
      <c r="R580" s="7310">
        <f t="shared" si="611"/>
        <v>0</v>
      </c>
      <c r="S580" s="5895"/>
      <c r="T580" s="5895"/>
      <c r="V580" s="7310">
        <f t="shared" si="612"/>
        <v>0</v>
      </c>
      <c r="W580" s="6009"/>
      <c r="X580" s="6009"/>
      <c r="Z580" s="7301">
        <f t="shared" si="613"/>
        <v>0</v>
      </c>
      <c r="AB580" s="7302">
        <f t="shared" si="614"/>
        <v>0</v>
      </c>
      <c r="AC580" s="6140"/>
      <c r="AD580" s="6140"/>
      <c r="AF580" s="7310">
        <f t="shared" si="615"/>
        <v>0</v>
      </c>
      <c r="AG580" s="6302"/>
      <c r="AH580" s="6302"/>
      <c r="AK580" s="6551"/>
      <c r="AL580" s="6551"/>
      <c r="AQ580" s="6645"/>
      <c r="AR580" s="6645"/>
      <c r="AU580" s="6817"/>
      <c r="AV580" s="6817"/>
      <c r="AY580" s="6959"/>
      <c r="AZ580" s="6959"/>
      <c r="BG580" s="4152">
        <f t="shared" si="605"/>
        <v>0</v>
      </c>
      <c r="BH580" s="4152">
        <f t="shared" si="606"/>
        <v>0</v>
      </c>
      <c r="BI580" s="4152"/>
      <c r="BJ580" s="4152">
        <f t="shared" si="607"/>
        <v>0</v>
      </c>
      <c r="BK580" s="4152">
        <f t="shared" si="608"/>
        <v>0</v>
      </c>
    </row>
    <row r="581" spans="1:63" ht="15" customHeight="1" x14ac:dyDescent="0.25">
      <c r="G581" s="5570"/>
      <c r="H581" s="5570"/>
      <c r="J581" s="7310">
        <f t="shared" si="609"/>
        <v>0</v>
      </c>
      <c r="K581" s="5683"/>
      <c r="L581" s="5683"/>
      <c r="N581" s="7301">
        <f t="shared" si="610"/>
        <v>0</v>
      </c>
      <c r="O581" s="5840"/>
      <c r="P581" s="5840"/>
      <c r="R581" s="7310">
        <f t="shared" si="611"/>
        <v>0</v>
      </c>
      <c r="S581" s="5895"/>
      <c r="T581" s="5895"/>
      <c r="V581" s="7310">
        <f t="shared" si="612"/>
        <v>0</v>
      </c>
      <c r="W581" s="6009"/>
      <c r="X581" s="6009"/>
      <c r="Z581" s="7301">
        <f t="shared" si="613"/>
        <v>0</v>
      </c>
      <c r="AB581" s="7302">
        <f t="shared" si="614"/>
        <v>0</v>
      </c>
      <c r="AC581" s="6140"/>
      <c r="AD581" s="6140"/>
      <c r="AF581" s="7310">
        <f t="shared" si="615"/>
        <v>0</v>
      </c>
      <c r="AG581" s="6302"/>
      <c r="AH581" s="6302"/>
      <c r="AK581" s="6551"/>
      <c r="AL581" s="6551"/>
      <c r="AQ581" s="6645"/>
      <c r="AR581" s="6645"/>
      <c r="AU581" s="6817"/>
      <c r="AV581" s="6817"/>
      <c r="AY581" s="6959"/>
      <c r="AZ581" s="6959"/>
      <c r="BG581" s="4152">
        <f t="shared" si="605"/>
        <v>0</v>
      </c>
      <c r="BH581" s="4152">
        <f t="shared" si="606"/>
        <v>0</v>
      </c>
      <c r="BI581" s="4152"/>
      <c r="BJ581" s="4152">
        <f t="shared" si="607"/>
        <v>0</v>
      </c>
      <c r="BK581" s="4152">
        <f t="shared" si="608"/>
        <v>0</v>
      </c>
    </row>
    <row r="582" spans="1:63" ht="5.25" customHeight="1" x14ac:dyDescent="0.25">
      <c r="G582" s="5570"/>
      <c r="H582" s="5570"/>
      <c r="J582" s="7310">
        <f t="shared" si="609"/>
        <v>0</v>
      </c>
      <c r="K582" s="5683"/>
      <c r="L582" s="5683"/>
      <c r="N582" s="7301">
        <f t="shared" si="610"/>
        <v>0</v>
      </c>
      <c r="O582" s="5840"/>
      <c r="P582" s="5840"/>
      <c r="R582" s="7310">
        <f t="shared" si="611"/>
        <v>0</v>
      </c>
      <c r="S582" s="5895"/>
      <c r="T582" s="5895"/>
      <c r="V582" s="7310">
        <f t="shared" si="612"/>
        <v>0</v>
      </c>
      <c r="W582" s="6009"/>
      <c r="X582" s="6009"/>
      <c r="Z582" s="7301">
        <f t="shared" si="613"/>
        <v>0</v>
      </c>
      <c r="AB582" s="7302">
        <f t="shared" si="614"/>
        <v>0</v>
      </c>
      <c r="AC582" s="6140"/>
      <c r="AD582" s="6140"/>
      <c r="AF582" s="7310">
        <f t="shared" si="615"/>
        <v>0</v>
      </c>
      <c r="AG582" s="6302"/>
      <c r="AH582" s="6302"/>
      <c r="AK582" s="6551"/>
      <c r="AL582" s="6551"/>
      <c r="AQ582" s="6645"/>
      <c r="AR582" s="6645"/>
      <c r="AU582" s="6817"/>
      <c r="AV582" s="6817"/>
      <c r="AY582" s="6959"/>
      <c r="AZ582" s="6959"/>
      <c r="BG582" s="4152">
        <f t="shared" si="605"/>
        <v>0</v>
      </c>
      <c r="BH582" s="4152">
        <f t="shared" si="606"/>
        <v>0</v>
      </c>
      <c r="BI582" s="4152"/>
      <c r="BJ582" s="4152">
        <f t="shared" si="607"/>
        <v>0</v>
      </c>
      <c r="BK582" s="4152">
        <f t="shared" si="608"/>
        <v>0</v>
      </c>
    </row>
    <row r="583" spans="1:63" ht="15" customHeight="1" x14ac:dyDescent="0.25">
      <c r="G583" s="5570"/>
      <c r="H583" s="5570"/>
      <c r="J583" s="7310">
        <f t="shared" si="609"/>
        <v>0</v>
      </c>
      <c r="K583" s="5683"/>
      <c r="L583" s="5683"/>
      <c r="N583" s="7301">
        <f t="shared" si="610"/>
        <v>0</v>
      </c>
      <c r="O583" s="5840"/>
      <c r="P583" s="5840"/>
      <c r="R583" s="7310">
        <f t="shared" si="611"/>
        <v>0</v>
      </c>
      <c r="S583" s="5895"/>
      <c r="T583" s="5895"/>
      <c r="V583" s="7310">
        <f t="shared" si="612"/>
        <v>0</v>
      </c>
      <c r="W583" s="6009"/>
      <c r="X583" s="6009"/>
      <c r="Z583" s="7301">
        <f t="shared" si="613"/>
        <v>0</v>
      </c>
      <c r="AB583" s="7302">
        <f t="shared" si="614"/>
        <v>0</v>
      </c>
      <c r="AC583" s="6140"/>
      <c r="AD583" s="6140"/>
      <c r="AF583" s="7310">
        <f t="shared" si="615"/>
        <v>0</v>
      </c>
      <c r="AG583" s="6302"/>
      <c r="AH583" s="6302"/>
      <c r="AK583" s="6551"/>
      <c r="AL583" s="6551"/>
      <c r="AQ583" s="6645"/>
      <c r="AR583" s="6645"/>
      <c r="AU583" s="6817"/>
      <c r="AV583" s="6817"/>
      <c r="AY583" s="6959"/>
      <c r="AZ583" s="6959"/>
      <c r="BG583" s="4152">
        <f t="shared" si="605"/>
        <v>0</v>
      </c>
      <c r="BH583" s="4152">
        <f t="shared" si="606"/>
        <v>0</v>
      </c>
      <c r="BI583" s="4152"/>
      <c r="BJ583" s="4152">
        <f t="shared" si="607"/>
        <v>0</v>
      </c>
      <c r="BK583" s="4152">
        <f t="shared" si="608"/>
        <v>0</v>
      </c>
    </row>
    <row r="584" spans="1:63" ht="15" customHeight="1" x14ac:dyDescent="0.25">
      <c r="G584" s="5570"/>
      <c r="H584" s="5570"/>
      <c r="J584" s="7310">
        <f t="shared" si="609"/>
        <v>0</v>
      </c>
      <c r="K584" s="5683"/>
      <c r="L584" s="5683"/>
      <c r="N584" s="7301">
        <f t="shared" si="610"/>
        <v>0</v>
      </c>
      <c r="O584" s="5840"/>
      <c r="P584" s="5840"/>
      <c r="R584" s="7310">
        <f t="shared" si="611"/>
        <v>0</v>
      </c>
      <c r="S584" s="5895"/>
      <c r="T584" s="5895"/>
      <c r="V584" s="7310">
        <f t="shared" si="612"/>
        <v>0</v>
      </c>
      <c r="W584" s="6009"/>
      <c r="X584" s="6009"/>
      <c r="Z584" s="7301">
        <f t="shared" si="613"/>
        <v>0</v>
      </c>
      <c r="AB584" s="7302">
        <f t="shared" si="614"/>
        <v>0</v>
      </c>
      <c r="AC584" s="6140"/>
      <c r="AD584" s="6140"/>
      <c r="AF584" s="7310">
        <f t="shared" si="615"/>
        <v>0</v>
      </c>
      <c r="AG584" s="6302"/>
      <c r="AH584" s="6302"/>
      <c r="AK584" s="6551"/>
      <c r="AL584" s="6551"/>
      <c r="AQ584" s="6645"/>
      <c r="AR584" s="6645"/>
      <c r="AU584" s="6817"/>
      <c r="AV584" s="6817"/>
      <c r="AY584" s="6959"/>
      <c r="AZ584" s="6959"/>
      <c r="BG584" s="4152">
        <f t="shared" si="605"/>
        <v>0</v>
      </c>
      <c r="BH584" s="4152">
        <f t="shared" si="606"/>
        <v>0</v>
      </c>
      <c r="BI584" s="4152"/>
      <c r="BJ584" s="4152">
        <f t="shared" si="607"/>
        <v>0</v>
      </c>
      <c r="BK584" s="4152">
        <f t="shared" si="608"/>
        <v>0</v>
      </c>
    </row>
    <row r="585" spans="1:63" ht="15" customHeight="1" x14ac:dyDescent="0.25">
      <c r="G585" s="5570"/>
      <c r="H585" s="5570"/>
      <c r="J585" s="7310">
        <f t="shared" si="609"/>
        <v>0</v>
      </c>
      <c r="K585" s="5683"/>
      <c r="L585" s="5683"/>
      <c r="N585" s="7301">
        <f t="shared" si="610"/>
        <v>0</v>
      </c>
      <c r="O585" s="5840"/>
      <c r="P585" s="5840"/>
      <c r="R585" s="7310">
        <f t="shared" si="611"/>
        <v>0</v>
      </c>
      <c r="S585" s="5895"/>
      <c r="T585" s="5895"/>
      <c r="V585" s="7310">
        <f t="shared" si="612"/>
        <v>0</v>
      </c>
      <c r="W585" s="6009"/>
      <c r="X585" s="6009"/>
      <c r="Z585" s="7301">
        <f t="shared" si="613"/>
        <v>0</v>
      </c>
      <c r="AB585" s="7302">
        <f t="shared" si="614"/>
        <v>0</v>
      </c>
      <c r="AC585" s="6140"/>
      <c r="AD585" s="6140"/>
      <c r="AF585" s="7310">
        <f t="shared" si="615"/>
        <v>0</v>
      </c>
      <c r="AG585" s="6302"/>
      <c r="AH585" s="6302"/>
      <c r="AK585" s="6551"/>
      <c r="AL585" s="6551"/>
      <c r="AQ585" s="6645"/>
      <c r="AR585" s="6645"/>
      <c r="AU585" s="6817"/>
      <c r="AV585" s="6817"/>
      <c r="AY585" s="6959"/>
      <c r="AZ585" s="6959"/>
      <c r="BG585" s="4152">
        <f t="shared" si="605"/>
        <v>0</v>
      </c>
      <c r="BH585" s="4152">
        <f t="shared" si="606"/>
        <v>0</v>
      </c>
      <c r="BI585" s="4152"/>
      <c r="BJ585" s="4152">
        <f t="shared" si="607"/>
        <v>0</v>
      </c>
      <c r="BK585" s="4152">
        <f t="shared" si="608"/>
        <v>0</v>
      </c>
    </row>
    <row r="586" spans="1:63" ht="15" customHeight="1" x14ac:dyDescent="0.25">
      <c r="G586" s="5570"/>
      <c r="H586" s="5570"/>
      <c r="J586" s="7310">
        <f t="shared" si="609"/>
        <v>0</v>
      </c>
      <c r="K586" s="5683"/>
      <c r="L586" s="5683"/>
      <c r="N586" s="7301">
        <f t="shared" si="610"/>
        <v>0</v>
      </c>
      <c r="O586" s="5840"/>
      <c r="P586" s="5840"/>
      <c r="R586" s="7310">
        <f t="shared" si="611"/>
        <v>0</v>
      </c>
      <c r="S586" s="5895"/>
      <c r="T586" s="5895"/>
      <c r="V586" s="7310">
        <f t="shared" si="612"/>
        <v>0</v>
      </c>
      <c r="W586" s="6009"/>
      <c r="X586" s="6009"/>
      <c r="Z586" s="7301">
        <f t="shared" si="613"/>
        <v>0</v>
      </c>
      <c r="AB586" s="7302">
        <f t="shared" si="614"/>
        <v>0</v>
      </c>
      <c r="AC586" s="6140"/>
      <c r="AD586" s="6140"/>
      <c r="AF586" s="7310">
        <f t="shared" si="615"/>
        <v>0</v>
      </c>
      <c r="AG586" s="6302"/>
      <c r="AH586" s="6302"/>
      <c r="AK586" s="6551"/>
      <c r="AL586" s="6551"/>
      <c r="AQ586" s="6645"/>
      <c r="AR586" s="6645"/>
      <c r="AU586" s="6817"/>
      <c r="AV586" s="6817"/>
      <c r="AY586" s="6959"/>
      <c r="AZ586" s="6959"/>
      <c r="BG586" s="4152">
        <f t="shared" si="605"/>
        <v>0</v>
      </c>
      <c r="BH586" s="4152">
        <f t="shared" si="606"/>
        <v>0</v>
      </c>
      <c r="BI586" s="4152"/>
      <c r="BJ586" s="4152">
        <f t="shared" si="607"/>
        <v>0</v>
      </c>
      <c r="BK586" s="4152">
        <f t="shared" si="608"/>
        <v>0</v>
      </c>
    </row>
    <row r="587" spans="1:63" ht="15" customHeight="1" x14ac:dyDescent="0.25">
      <c r="G587" s="5570"/>
      <c r="H587" s="5570"/>
      <c r="J587" s="7310">
        <f t="shared" si="609"/>
        <v>0</v>
      </c>
      <c r="K587" s="5683"/>
      <c r="L587" s="5683"/>
      <c r="N587" s="7301">
        <f t="shared" si="610"/>
        <v>0</v>
      </c>
      <c r="O587" s="5840"/>
      <c r="P587" s="5840"/>
      <c r="R587" s="7310">
        <f t="shared" si="611"/>
        <v>0</v>
      </c>
      <c r="S587" s="5895"/>
      <c r="T587" s="5895"/>
      <c r="V587" s="7310">
        <f t="shared" si="612"/>
        <v>0</v>
      </c>
      <c r="W587" s="6009"/>
      <c r="X587" s="6009"/>
      <c r="Z587" s="7301">
        <f t="shared" si="613"/>
        <v>0</v>
      </c>
      <c r="AB587" s="7302">
        <f t="shared" si="614"/>
        <v>0</v>
      </c>
      <c r="AC587" s="6140"/>
      <c r="AD587" s="6140"/>
      <c r="AF587" s="7310">
        <f t="shared" si="615"/>
        <v>0</v>
      </c>
      <c r="AG587" s="6302"/>
      <c r="AH587" s="6302"/>
      <c r="AK587" s="6551"/>
      <c r="AL587" s="6551"/>
      <c r="AQ587" s="6645"/>
      <c r="AR587" s="6645"/>
      <c r="AU587" s="6817"/>
      <c r="AV587" s="6817"/>
      <c r="AY587" s="6959"/>
      <c r="AZ587" s="6959"/>
      <c r="BG587" s="4152">
        <f t="shared" si="605"/>
        <v>0</v>
      </c>
      <c r="BH587" s="4152">
        <f t="shared" si="606"/>
        <v>0</v>
      </c>
      <c r="BI587" s="4152"/>
      <c r="BJ587" s="4152">
        <f t="shared" si="607"/>
        <v>0</v>
      </c>
      <c r="BK587" s="4152">
        <f t="shared" si="608"/>
        <v>0</v>
      </c>
    </row>
    <row r="588" spans="1:63" ht="15" customHeight="1" x14ac:dyDescent="0.25">
      <c r="G588" s="5570"/>
      <c r="H588" s="5570"/>
      <c r="J588" s="7310">
        <f t="shared" si="609"/>
        <v>0</v>
      </c>
      <c r="K588" s="5683"/>
      <c r="L588" s="5683"/>
      <c r="N588" s="7301">
        <f t="shared" si="610"/>
        <v>0</v>
      </c>
      <c r="O588" s="5840"/>
      <c r="P588" s="5840"/>
      <c r="R588" s="7310">
        <f t="shared" si="611"/>
        <v>0</v>
      </c>
      <c r="S588" s="5895"/>
      <c r="T588" s="5895"/>
      <c r="V588" s="7310">
        <f t="shared" si="612"/>
        <v>0</v>
      </c>
      <c r="W588" s="6009"/>
      <c r="X588" s="6009"/>
      <c r="Z588" s="7301">
        <f t="shared" si="613"/>
        <v>0</v>
      </c>
      <c r="AB588" s="7302">
        <f t="shared" si="614"/>
        <v>0</v>
      </c>
      <c r="AC588" s="6140"/>
      <c r="AD588" s="6140"/>
      <c r="AF588" s="7310">
        <f t="shared" si="615"/>
        <v>0</v>
      </c>
      <c r="AG588" s="6302"/>
      <c r="AH588" s="6302"/>
      <c r="AK588" s="6551"/>
      <c r="AL588" s="6551"/>
      <c r="AQ588" s="6645"/>
      <c r="AR588" s="6645"/>
      <c r="AU588" s="6817"/>
      <c r="AV588" s="6817"/>
      <c r="AY588" s="6959"/>
      <c r="AZ588" s="6959"/>
      <c r="BG588" s="4152">
        <f t="shared" si="605"/>
        <v>0</v>
      </c>
      <c r="BH588" s="4152">
        <f t="shared" si="606"/>
        <v>0</v>
      </c>
      <c r="BI588" s="4152"/>
      <c r="BJ588" s="4152">
        <f t="shared" si="607"/>
        <v>0</v>
      </c>
      <c r="BK588" s="4152">
        <f t="shared" si="608"/>
        <v>0</v>
      </c>
    </row>
    <row r="589" spans="1:63" ht="15" customHeight="1" x14ac:dyDescent="0.25">
      <c r="G589" s="5570"/>
      <c r="H589" s="5570"/>
      <c r="J589" s="7310">
        <f t="shared" si="609"/>
        <v>0</v>
      </c>
      <c r="K589" s="5683"/>
      <c r="L589" s="5683"/>
      <c r="N589" s="7301">
        <f t="shared" si="610"/>
        <v>0</v>
      </c>
      <c r="O589" s="5840"/>
      <c r="P589" s="5840"/>
      <c r="R589" s="7310">
        <f t="shared" si="611"/>
        <v>0</v>
      </c>
      <c r="S589" s="5895"/>
      <c r="T589" s="5895"/>
      <c r="V589" s="7310">
        <f t="shared" si="612"/>
        <v>0</v>
      </c>
      <c r="W589" s="6009"/>
      <c r="X589" s="6009"/>
      <c r="Z589" s="7301">
        <f t="shared" si="613"/>
        <v>0</v>
      </c>
      <c r="AB589" s="7302">
        <f t="shared" si="614"/>
        <v>0</v>
      </c>
      <c r="AC589" s="6140"/>
      <c r="AD589" s="6140"/>
      <c r="AF589" s="7310">
        <f t="shared" si="615"/>
        <v>0</v>
      </c>
      <c r="AG589" s="6302"/>
      <c r="AH589" s="6302"/>
      <c r="AK589" s="6551"/>
      <c r="AL589" s="6551"/>
      <c r="AQ589" s="6645"/>
      <c r="AR589" s="6645"/>
      <c r="AU589" s="6817"/>
      <c r="AV589" s="6817"/>
      <c r="AY589" s="6959"/>
      <c r="AZ589" s="6959"/>
      <c r="BG589" s="4152">
        <f t="shared" si="605"/>
        <v>0</v>
      </c>
      <c r="BH589" s="4152">
        <f t="shared" si="606"/>
        <v>0</v>
      </c>
      <c r="BI589" s="4152"/>
      <c r="BJ589" s="4152">
        <f t="shared" si="607"/>
        <v>0</v>
      </c>
      <c r="BK589" s="4152">
        <f t="shared" si="608"/>
        <v>0</v>
      </c>
    </row>
    <row r="590" spans="1:63" ht="15" customHeight="1" x14ac:dyDescent="0.25">
      <c r="G590" s="5570"/>
      <c r="H590" s="5570"/>
      <c r="J590" s="7310">
        <f t="shared" si="609"/>
        <v>0</v>
      </c>
      <c r="K590" s="5683"/>
      <c r="L590" s="5683"/>
      <c r="N590" s="7301">
        <f t="shared" si="610"/>
        <v>0</v>
      </c>
      <c r="O590" s="5840"/>
      <c r="P590" s="5840"/>
      <c r="R590" s="7310">
        <f t="shared" si="611"/>
        <v>0</v>
      </c>
      <c r="S590" s="5895"/>
      <c r="T590" s="5895"/>
      <c r="V590" s="7310">
        <f t="shared" si="612"/>
        <v>0</v>
      </c>
      <c r="W590" s="6009"/>
      <c r="X590" s="6009"/>
      <c r="Z590" s="7301">
        <f t="shared" si="613"/>
        <v>0</v>
      </c>
      <c r="AB590" s="7302">
        <f t="shared" si="614"/>
        <v>0</v>
      </c>
      <c r="AC590" s="6140"/>
      <c r="AD590" s="6140"/>
      <c r="AF590" s="7310">
        <f t="shared" si="615"/>
        <v>0</v>
      </c>
      <c r="AG590" s="6302"/>
      <c r="AH590" s="6302"/>
      <c r="AK590" s="6551"/>
      <c r="AL590" s="6551"/>
      <c r="AQ590" s="6645"/>
      <c r="AR590" s="6645"/>
      <c r="AU590" s="6817"/>
      <c r="AV590" s="6817"/>
      <c r="AY590" s="6959"/>
      <c r="AZ590" s="6959"/>
      <c r="BG590" s="4152">
        <f t="shared" si="605"/>
        <v>0</v>
      </c>
      <c r="BH590" s="4152">
        <f t="shared" si="606"/>
        <v>0</v>
      </c>
      <c r="BI590" s="4152"/>
      <c r="BJ590" s="4152">
        <f t="shared" si="607"/>
        <v>0</v>
      </c>
      <c r="BK590" s="4152">
        <f t="shared" si="608"/>
        <v>0</v>
      </c>
    </row>
    <row r="591" spans="1:63" s="5533" customFormat="1" ht="15" customHeight="1" x14ac:dyDescent="0.25">
      <c r="B591" s="4487"/>
      <c r="C591" s="7348"/>
      <c r="D591" s="4487"/>
      <c r="E591" s="4487"/>
      <c r="F591" s="4487"/>
      <c r="G591" s="4487"/>
      <c r="H591" s="4487"/>
      <c r="I591" s="4779"/>
      <c r="J591" s="7310">
        <f t="shared" si="609"/>
        <v>0</v>
      </c>
      <c r="K591" s="4487"/>
      <c r="L591" s="4487"/>
      <c r="M591" s="4780"/>
      <c r="N591" s="7301">
        <f t="shared" si="610"/>
        <v>0</v>
      </c>
      <c r="O591" s="4487"/>
      <c r="P591" s="4487"/>
      <c r="Q591" s="4779"/>
      <c r="R591" s="7310">
        <f t="shared" si="611"/>
        <v>0</v>
      </c>
      <c r="S591" s="4487"/>
      <c r="T591" s="4487"/>
      <c r="U591" s="4779"/>
      <c r="V591" s="7310">
        <f t="shared" si="612"/>
        <v>0</v>
      </c>
      <c r="W591" s="4487"/>
      <c r="X591" s="4487"/>
      <c r="Y591" s="4780"/>
      <c r="Z591" s="7301">
        <f t="shared" si="613"/>
        <v>0</v>
      </c>
      <c r="AA591" s="4781"/>
      <c r="AB591" s="7302">
        <f t="shared" si="614"/>
        <v>0</v>
      </c>
      <c r="AC591" s="4487"/>
      <c r="AD591" s="4487"/>
      <c r="AE591" s="4779"/>
      <c r="AF591" s="7310">
        <f t="shared" si="615"/>
        <v>0</v>
      </c>
      <c r="AG591" s="4487"/>
      <c r="AH591" s="4487"/>
      <c r="AI591" s="4779"/>
      <c r="AJ591" s="4779"/>
      <c r="AK591" s="4487"/>
      <c r="AL591" s="4487"/>
      <c r="AM591" s="4780"/>
      <c r="AN591" s="4780"/>
      <c r="AO591" s="4779"/>
      <c r="AP591" s="4779"/>
      <c r="AQ591" s="4487"/>
      <c r="AR591" s="4487"/>
      <c r="AS591" s="4779"/>
      <c r="AT591" s="4779"/>
      <c r="AU591" s="4487"/>
      <c r="AV591" s="4487"/>
      <c r="AW591" s="4779"/>
      <c r="AX591" s="4779"/>
      <c r="AY591" s="4487"/>
      <c r="AZ591" s="4487"/>
      <c r="BA591" s="4780"/>
      <c r="BB591" s="4780"/>
      <c r="BC591" s="4781"/>
      <c r="BD591" s="4781"/>
      <c r="BE591" s="4779"/>
      <c r="BF591" s="4779"/>
      <c r="BG591" s="4152">
        <f t="shared" si="605"/>
        <v>0</v>
      </c>
      <c r="BH591" s="4152">
        <f t="shared" si="606"/>
        <v>0</v>
      </c>
      <c r="BI591" s="4152"/>
      <c r="BJ591" s="4152">
        <f t="shared" si="607"/>
        <v>0</v>
      </c>
      <c r="BK591" s="4152">
        <f t="shared" si="608"/>
        <v>0</v>
      </c>
    </row>
    <row r="592" spans="1:63" s="5533" customFormat="1" ht="15" customHeight="1" x14ac:dyDescent="0.25">
      <c r="B592" s="4487"/>
      <c r="C592" s="7348"/>
      <c r="D592" s="4487"/>
      <c r="E592" s="4487"/>
      <c r="F592" s="4487"/>
      <c r="G592" s="4487"/>
      <c r="H592" s="4487"/>
      <c r="I592" s="4779"/>
      <c r="J592" s="7310">
        <f t="shared" si="609"/>
        <v>0</v>
      </c>
      <c r="K592" s="4487"/>
      <c r="L592" s="4487"/>
      <c r="M592" s="4780"/>
      <c r="N592" s="7301">
        <f t="shared" si="610"/>
        <v>0</v>
      </c>
      <c r="O592" s="4487"/>
      <c r="P592" s="4487"/>
      <c r="Q592" s="4779"/>
      <c r="R592" s="7310">
        <f t="shared" si="611"/>
        <v>0</v>
      </c>
      <c r="S592" s="4487"/>
      <c r="T592" s="4487"/>
      <c r="U592" s="4779"/>
      <c r="V592" s="7310">
        <f t="shared" si="612"/>
        <v>0</v>
      </c>
      <c r="W592" s="4487"/>
      <c r="X592" s="4487"/>
      <c r="Y592" s="4780"/>
      <c r="Z592" s="7301">
        <f t="shared" si="613"/>
        <v>0</v>
      </c>
      <c r="AA592" s="4781"/>
      <c r="AB592" s="7302">
        <f t="shared" si="614"/>
        <v>0</v>
      </c>
      <c r="AC592" s="4487"/>
      <c r="AD592" s="4487"/>
      <c r="AE592" s="4779"/>
      <c r="AF592" s="7310">
        <f t="shared" si="615"/>
        <v>0</v>
      </c>
      <c r="AG592" s="4487"/>
      <c r="AH592" s="4487"/>
      <c r="AI592" s="4779"/>
      <c r="AJ592" s="4779"/>
      <c r="AK592" s="4487"/>
      <c r="AL592" s="4487"/>
      <c r="AM592" s="4780"/>
      <c r="AN592" s="4780"/>
      <c r="AO592" s="4779"/>
      <c r="AP592" s="4779"/>
      <c r="AQ592" s="4487"/>
      <c r="AR592" s="4487"/>
      <c r="AS592" s="4779"/>
      <c r="AT592" s="4779"/>
      <c r="AU592" s="4487"/>
      <c r="AV592" s="4487"/>
      <c r="AW592" s="4779"/>
      <c r="AX592" s="4779"/>
      <c r="AY592" s="4487"/>
      <c r="AZ592" s="4487"/>
      <c r="BA592" s="4780"/>
      <c r="BB592" s="4780"/>
      <c r="BC592" s="4781"/>
      <c r="BD592" s="4781"/>
      <c r="BE592" s="4779"/>
      <c r="BF592" s="4779"/>
      <c r="BG592" s="4152">
        <f t="shared" si="605"/>
        <v>0</v>
      </c>
      <c r="BH592" s="4152">
        <f t="shared" si="606"/>
        <v>0</v>
      </c>
      <c r="BI592" s="4152"/>
      <c r="BJ592" s="4152">
        <f t="shared" si="607"/>
        <v>0</v>
      </c>
      <c r="BK592" s="4152">
        <f t="shared" si="608"/>
        <v>0</v>
      </c>
    </row>
    <row r="593" spans="2:63" s="5533" customFormat="1" ht="15" customHeight="1" x14ac:dyDescent="0.25">
      <c r="B593" s="4487"/>
      <c r="C593" s="7348"/>
      <c r="D593" s="4487"/>
      <c r="E593" s="4487"/>
      <c r="F593" s="4487"/>
      <c r="G593" s="4487"/>
      <c r="H593" s="4487"/>
      <c r="I593" s="4779"/>
      <c r="J593" s="7310">
        <f t="shared" si="609"/>
        <v>0</v>
      </c>
      <c r="K593" s="4487"/>
      <c r="L593" s="4487"/>
      <c r="M593" s="4780"/>
      <c r="N593" s="7301">
        <f t="shared" si="610"/>
        <v>0</v>
      </c>
      <c r="O593" s="4487"/>
      <c r="P593" s="4487"/>
      <c r="Q593" s="4779"/>
      <c r="R593" s="7310">
        <f t="shared" si="611"/>
        <v>0</v>
      </c>
      <c r="S593" s="4487"/>
      <c r="T593" s="4487"/>
      <c r="U593" s="4779"/>
      <c r="V593" s="7310">
        <f t="shared" si="612"/>
        <v>0</v>
      </c>
      <c r="W593" s="4487"/>
      <c r="X593" s="4487"/>
      <c r="Y593" s="4780"/>
      <c r="Z593" s="7301">
        <f t="shared" si="613"/>
        <v>0</v>
      </c>
      <c r="AA593" s="4781"/>
      <c r="AB593" s="7302">
        <f t="shared" si="614"/>
        <v>0</v>
      </c>
      <c r="AC593" s="4487"/>
      <c r="AD593" s="4487"/>
      <c r="AE593" s="4779"/>
      <c r="AF593" s="7310">
        <f t="shared" si="615"/>
        <v>0</v>
      </c>
      <c r="AG593" s="4487"/>
      <c r="AH593" s="4487"/>
      <c r="AI593" s="4779"/>
      <c r="AJ593" s="4779"/>
      <c r="AK593" s="4487"/>
      <c r="AL593" s="4487"/>
      <c r="AM593" s="4780"/>
      <c r="AN593" s="4780"/>
      <c r="AO593" s="4779"/>
      <c r="AP593" s="4779"/>
      <c r="AQ593" s="4487"/>
      <c r="AR593" s="4487"/>
      <c r="AS593" s="4779"/>
      <c r="AT593" s="4779"/>
      <c r="AU593" s="4487"/>
      <c r="AV593" s="4487"/>
      <c r="AW593" s="4779"/>
      <c r="AX593" s="4779"/>
      <c r="AY593" s="4487"/>
      <c r="AZ593" s="4487"/>
      <c r="BA593" s="4780"/>
      <c r="BB593" s="4780"/>
      <c r="BC593" s="4781"/>
      <c r="BD593" s="4781"/>
      <c r="BE593" s="4779"/>
      <c r="BF593" s="4779"/>
      <c r="BG593" s="4152">
        <f t="shared" si="605"/>
        <v>0</v>
      </c>
      <c r="BH593" s="4152">
        <f t="shared" si="606"/>
        <v>0</v>
      </c>
      <c r="BI593" s="4152"/>
      <c r="BJ593" s="4152">
        <f t="shared" si="607"/>
        <v>0</v>
      </c>
      <c r="BK593" s="4152">
        <f t="shared" si="608"/>
        <v>0</v>
      </c>
    </row>
    <row r="594" spans="2:63" x14ac:dyDescent="0.25">
      <c r="B594" s="945" t="s">
        <v>1955</v>
      </c>
      <c r="C594" s="7337"/>
      <c r="D594" s="5532"/>
      <c r="E594" s="5532"/>
      <c r="F594" s="1819"/>
      <c r="G594" s="5568"/>
      <c r="H594" s="1819"/>
      <c r="I594" s="7310"/>
      <c r="J594" s="7310">
        <f t="shared" si="609"/>
        <v>0</v>
      </c>
      <c r="K594" s="5680"/>
      <c r="L594" s="1819"/>
      <c r="M594" s="7301"/>
      <c r="N594" s="7301">
        <f t="shared" si="610"/>
        <v>0</v>
      </c>
      <c r="O594" s="5837"/>
      <c r="P594" s="1819"/>
      <c r="Q594" s="7310"/>
      <c r="R594" s="7310">
        <f t="shared" si="611"/>
        <v>0</v>
      </c>
      <c r="S594" s="5893"/>
      <c r="T594" s="1819"/>
      <c r="U594" s="7310"/>
      <c r="V594" s="7310"/>
      <c r="W594" s="6007"/>
      <c r="X594" s="1819"/>
      <c r="Z594" s="7301"/>
      <c r="AB594" s="7302"/>
      <c r="AC594" s="6138"/>
      <c r="AD594" s="1819"/>
      <c r="AF594" s="7310"/>
      <c r="AG594" s="6300"/>
      <c r="AH594" s="1819"/>
      <c r="AJ594" s="7310"/>
      <c r="AK594" s="6549"/>
      <c r="AL594" s="1819"/>
      <c r="AQ594" s="6643"/>
      <c r="AR594" s="1819"/>
      <c r="AS594" s="7310"/>
      <c r="AT594" s="7310"/>
      <c r="AU594" s="6815"/>
      <c r="AV594" s="1819"/>
      <c r="AY594" s="6957"/>
      <c r="AZ594" s="1819"/>
      <c r="BG594" s="4152">
        <f t="shared" si="605"/>
        <v>0</v>
      </c>
      <c r="BH594" s="4152">
        <f t="shared" si="606"/>
        <v>0</v>
      </c>
      <c r="BI594" s="4152"/>
      <c r="BJ594" s="4152">
        <f t="shared" si="607"/>
        <v>0</v>
      </c>
      <c r="BK594" s="4152">
        <f t="shared" si="608"/>
        <v>0</v>
      </c>
    </row>
    <row r="595" spans="2:63" ht="15.75" thickBot="1" x14ac:dyDescent="0.3">
      <c r="B595" s="945" t="s">
        <v>1336</v>
      </c>
      <c r="C595" s="7337"/>
      <c r="D595" s="5532"/>
      <c r="E595" s="5532"/>
      <c r="F595" s="1819">
        <v>9528</v>
      </c>
      <c r="G595" s="5568"/>
      <c r="H595" s="1819">
        <v>10028.82</v>
      </c>
      <c r="I595" s="7310"/>
      <c r="J595" s="7310">
        <f t="shared" si="609"/>
        <v>19556.82</v>
      </c>
      <c r="K595" s="5680"/>
      <c r="L595" s="1819">
        <v>7885</v>
      </c>
      <c r="M595" s="7301"/>
      <c r="N595" s="7301">
        <f t="shared" si="610"/>
        <v>27441.82</v>
      </c>
      <c r="O595" s="5837"/>
      <c r="P595" s="1819">
        <v>6996</v>
      </c>
      <c r="Q595" s="7310"/>
      <c r="R595" s="7310">
        <f t="shared" si="611"/>
        <v>34437.82</v>
      </c>
      <c r="S595" s="5893"/>
      <c r="T595" s="1819">
        <v>9644</v>
      </c>
      <c r="U595" s="7310"/>
      <c r="V595" s="7310">
        <f t="shared" si="612"/>
        <v>44081.82</v>
      </c>
      <c r="W595" s="6007"/>
      <c r="X595" s="1819">
        <v>13649</v>
      </c>
      <c r="Z595" s="7301">
        <f t="shared" si="613"/>
        <v>30289</v>
      </c>
      <c r="AB595" s="7302">
        <f t="shared" si="614"/>
        <v>57730.82</v>
      </c>
      <c r="AC595" s="6138"/>
      <c r="AD595" s="1819">
        <v>4011</v>
      </c>
      <c r="AF595" s="7310">
        <f t="shared" si="615"/>
        <v>61741.82</v>
      </c>
      <c r="AG595" s="6300"/>
      <c r="AH595" s="6427">
        <v>11896</v>
      </c>
      <c r="AJ595" s="7310">
        <f>AF595+AH595</f>
        <v>73637.820000000007</v>
      </c>
      <c r="AK595" s="6549"/>
      <c r="AL595" s="6549">
        <v>11371</v>
      </c>
      <c r="AN595" s="7303">
        <f t="shared" ref="AN595:AN596" si="616">AD595+AH595+AL595</f>
        <v>27278</v>
      </c>
      <c r="AP595" s="7310">
        <f t="shared" ref="AP595:AP596" si="617">AJ595+AL595</f>
        <v>85008.82</v>
      </c>
      <c r="AQ595" s="6643"/>
      <c r="AR595" s="6686">
        <v>5812.86</v>
      </c>
      <c r="AS595" s="7310"/>
      <c r="AT595" s="7310">
        <f t="shared" ref="AT595:AT596" si="618">AP595+AR595</f>
        <v>90821.680000000008</v>
      </c>
      <c r="AU595" s="6815"/>
      <c r="AV595" s="6815">
        <v>4829</v>
      </c>
      <c r="AW595" s="7311"/>
      <c r="AX595" s="7311">
        <f t="shared" ref="AX595:AX596" si="619">AT595+AV595</f>
        <v>95650.680000000008</v>
      </c>
      <c r="AY595" s="6957"/>
      <c r="AZ595" s="6957">
        <v>7533</v>
      </c>
      <c r="BA595" s="7322">
        <f t="shared" ref="BA595:BA596" si="620">AQ595+AU595+AY595</f>
        <v>0</v>
      </c>
      <c r="BB595" s="7322">
        <f t="shared" ref="BB595:BB596" si="621">AR595+AV595+AZ595</f>
        <v>18174.86</v>
      </c>
      <c r="BC595" s="513">
        <f t="shared" ref="BC595:BC596" si="622">AM595+BA595</f>
        <v>0</v>
      </c>
      <c r="BD595" s="7319">
        <f t="shared" ref="BD595:BD596" si="623">AN595+BB595</f>
        <v>45452.86</v>
      </c>
      <c r="BE595" s="7317">
        <f>+BE146</f>
        <v>0</v>
      </c>
      <c r="BF595" s="7317">
        <f t="shared" ref="BF595:BF596" si="624">AX595+AZ595</f>
        <v>103183.68000000001</v>
      </c>
      <c r="BG595" s="4152">
        <f t="shared" si="605"/>
        <v>0</v>
      </c>
      <c r="BH595" s="4152">
        <f t="shared" si="606"/>
        <v>0</v>
      </c>
      <c r="BI595" s="4152"/>
      <c r="BJ595" s="4152">
        <f t="shared" si="607"/>
        <v>0</v>
      </c>
      <c r="BK595" s="4152">
        <f t="shared" si="608"/>
        <v>0</v>
      </c>
    </row>
    <row r="596" spans="2:63" ht="15.75" thickBot="1" x14ac:dyDescent="0.3">
      <c r="B596" s="945" t="s">
        <v>1337</v>
      </c>
      <c r="C596" s="7337"/>
      <c r="D596" s="5532"/>
      <c r="E596" s="5532"/>
      <c r="F596" s="1819"/>
      <c r="G596" s="5568"/>
      <c r="H596" s="1819">
        <v>0</v>
      </c>
      <c r="I596" s="7310"/>
      <c r="J596" s="7310">
        <f t="shared" si="609"/>
        <v>0</v>
      </c>
      <c r="K596" s="5680"/>
      <c r="L596" s="1819">
        <v>0</v>
      </c>
      <c r="M596" s="7301"/>
      <c r="N596" s="7301">
        <f t="shared" si="610"/>
        <v>0</v>
      </c>
      <c r="O596" s="5837"/>
      <c r="P596" s="1819">
        <v>0</v>
      </c>
      <c r="Q596" s="7310"/>
      <c r="R596" s="7310">
        <f t="shared" si="611"/>
        <v>0</v>
      </c>
      <c r="S596" s="5893"/>
      <c r="T596" s="1819">
        <v>0</v>
      </c>
      <c r="U596" s="7310"/>
      <c r="V596" s="7310">
        <f t="shared" si="612"/>
        <v>0</v>
      </c>
      <c r="W596" s="6007"/>
      <c r="X596" s="1819">
        <v>0</v>
      </c>
      <c r="Z596" s="7301">
        <f t="shared" si="613"/>
        <v>0</v>
      </c>
      <c r="AB596" s="7302">
        <f t="shared" si="614"/>
        <v>0</v>
      </c>
      <c r="AC596" s="6138"/>
      <c r="AD596" s="1819">
        <v>0</v>
      </c>
      <c r="AF596" s="7310">
        <f t="shared" si="615"/>
        <v>0</v>
      </c>
      <c r="AG596" s="6300"/>
      <c r="AH596" s="6427">
        <v>0</v>
      </c>
      <c r="AJ596" s="7310">
        <f t="shared" ref="AJ596" si="625">AF596+AH596</f>
        <v>0</v>
      </c>
      <c r="AK596" s="6549"/>
      <c r="AL596" s="6549">
        <v>0</v>
      </c>
      <c r="AN596" s="7303">
        <f t="shared" si="616"/>
        <v>0</v>
      </c>
      <c r="AP596" s="7311">
        <f t="shared" si="617"/>
        <v>0</v>
      </c>
      <c r="AQ596" s="6643"/>
      <c r="AR596" s="6686">
        <v>0</v>
      </c>
      <c r="AS596" s="7310"/>
      <c r="AT596" s="7310">
        <f t="shared" si="618"/>
        <v>0</v>
      </c>
      <c r="AU596" s="6815"/>
      <c r="AV596" s="6815"/>
      <c r="AW596" s="7311"/>
      <c r="AX596" s="7311">
        <f t="shared" si="619"/>
        <v>0</v>
      </c>
      <c r="AY596" s="6957"/>
      <c r="AZ596" s="6957"/>
      <c r="BA596" s="7322">
        <f t="shared" si="620"/>
        <v>0</v>
      </c>
      <c r="BB596" s="7322">
        <f t="shared" si="621"/>
        <v>0</v>
      </c>
      <c r="BC596" s="513">
        <f t="shared" si="622"/>
        <v>0</v>
      </c>
      <c r="BD596" s="7319">
        <f t="shared" si="623"/>
        <v>0</v>
      </c>
      <c r="BE596" s="7317">
        <f>+BE147</f>
        <v>0</v>
      </c>
      <c r="BF596" s="7317">
        <f t="shared" si="624"/>
        <v>0</v>
      </c>
      <c r="BG596" s="4152">
        <f t="shared" si="605"/>
        <v>0</v>
      </c>
      <c r="BH596" s="4152">
        <f t="shared" si="606"/>
        <v>0</v>
      </c>
      <c r="BI596" s="4152"/>
      <c r="BJ596" s="4152">
        <f t="shared" si="607"/>
        <v>0</v>
      </c>
      <c r="BK596" s="4152">
        <f t="shared" si="608"/>
        <v>0</v>
      </c>
    </row>
  </sheetData>
  <mergeCells count="423">
    <mergeCell ref="AG440:AG472"/>
    <mergeCell ref="AU87:AU89"/>
    <mergeCell ref="AW87:AW89"/>
    <mergeCell ref="AU91:AU93"/>
    <mergeCell ref="AW91:AW93"/>
    <mergeCell ref="AU95:AU97"/>
    <mergeCell ref="AW95:AW97"/>
    <mergeCell ref="AU307:AU415"/>
    <mergeCell ref="AW307:AW415"/>
    <mergeCell ref="AQ87:AQ89"/>
    <mergeCell ref="AS87:AS89"/>
    <mergeCell ref="AQ91:AQ93"/>
    <mergeCell ref="AS91:AS93"/>
    <mergeCell ref="AQ95:AQ97"/>
    <mergeCell ref="AS95:AS97"/>
    <mergeCell ref="AQ307:AQ415"/>
    <mergeCell ref="AS307:AS415"/>
    <mergeCell ref="AG87:AG89"/>
    <mergeCell ref="AI87:AI89"/>
    <mergeCell ref="AG91:AG93"/>
    <mergeCell ref="AI91:AI93"/>
    <mergeCell ref="AG95:AG97"/>
    <mergeCell ref="AI95:AI97"/>
    <mergeCell ref="AG307:AG415"/>
    <mergeCell ref="AU42:AU43"/>
    <mergeCell ref="AW42:AW43"/>
    <mergeCell ref="AU50:AU51"/>
    <mergeCell ref="AW50:AW51"/>
    <mergeCell ref="AU63:AU64"/>
    <mergeCell ref="AW63:AW64"/>
    <mergeCell ref="AU79:AU81"/>
    <mergeCell ref="AW79:AW81"/>
    <mergeCell ref="AU83:AU85"/>
    <mergeCell ref="AW83:AW85"/>
    <mergeCell ref="AU3:AV3"/>
    <mergeCell ref="AW3:AX3"/>
    <mergeCell ref="AU7:AU8"/>
    <mergeCell ref="AW7:AW8"/>
    <mergeCell ref="AU15:AU16"/>
    <mergeCell ref="AW15:AW16"/>
    <mergeCell ref="AU23:AU24"/>
    <mergeCell ref="AW23:AW24"/>
    <mergeCell ref="AU31:AU32"/>
    <mergeCell ref="AW31:AW32"/>
    <mergeCell ref="AQ42:AQ43"/>
    <mergeCell ref="AS42:AS43"/>
    <mergeCell ref="AQ50:AQ51"/>
    <mergeCell ref="AS50:AS51"/>
    <mergeCell ref="AQ63:AQ64"/>
    <mergeCell ref="AS63:AS64"/>
    <mergeCell ref="AQ79:AQ81"/>
    <mergeCell ref="AS79:AS81"/>
    <mergeCell ref="AQ83:AQ85"/>
    <mergeCell ref="AS83:AS85"/>
    <mergeCell ref="AQ3:AR3"/>
    <mergeCell ref="AS3:AT3"/>
    <mergeCell ref="AQ7:AQ8"/>
    <mergeCell ref="AS7:AS8"/>
    <mergeCell ref="AQ15:AQ16"/>
    <mergeCell ref="AS15:AS16"/>
    <mergeCell ref="AQ23:AQ24"/>
    <mergeCell ref="AS23:AS24"/>
    <mergeCell ref="AQ31:AQ32"/>
    <mergeCell ref="AS31:AS32"/>
    <mergeCell ref="AI307:AI415"/>
    <mergeCell ref="AG42:AG43"/>
    <mergeCell ref="AI42:AI43"/>
    <mergeCell ref="AG50:AG51"/>
    <mergeCell ref="AI50:AI51"/>
    <mergeCell ref="AG63:AG64"/>
    <mergeCell ref="AI63:AI64"/>
    <mergeCell ref="AG79:AG81"/>
    <mergeCell ref="AI79:AI81"/>
    <mergeCell ref="AG83:AG85"/>
    <mergeCell ref="AI83:AI85"/>
    <mergeCell ref="AG3:AH3"/>
    <mergeCell ref="AI3:AJ3"/>
    <mergeCell ref="AG7:AG8"/>
    <mergeCell ref="AI7:AI8"/>
    <mergeCell ref="AG15:AG16"/>
    <mergeCell ref="AI15:AI16"/>
    <mergeCell ref="AG23:AG24"/>
    <mergeCell ref="AI23:AI24"/>
    <mergeCell ref="AG31:AG32"/>
    <mergeCell ref="AI31:AI32"/>
    <mergeCell ref="AC87:AC89"/>
    <mergeCell ref="AE87:AE89"/>
    <mergeCell ref="AC91:AC93"/>
    <mergeCell ref="AE91:AE93"/>
    <mergeCell ref="AC95:AC97"/>
    <mergeCell ref="AE95:AE97"/>
    <mergeCell ref="AC307:AC415"/>
    <mergeCell ref="AE307:AE415"/>
    <mergeCell ref="AC440:AC472"/>
    <mergeCell ref="AE440:AE472"/>
    <mergeCell ref="AC42:AC43"/>
    <mergeCell ref="AE42:AE43"/>
    <mergeCell ref="AC50:AC51"/>
    <mergeCell ref="AE50:AE51"/>
    <mergeCell ref="AC63:AC64"/>
    <mergeCell ref="AE63:AE64"/>
    <mergeCell ref="AC79:AC81"/>
    <mergeCell ref="AE79:AE81"/>
    <mergeCell ref="AC83:AC85"/>
    <mergeCell ref="AE83:AE85"/>
    <mergeCell ref="AC3:AD3"/>
    <mergeCell ref="AE3:AF3"/>
    <mergeCell ref="AC7:AC8"/>
    <mergeCell ref="AE7:AE8"/>
    <mergeCell ref="AC15:AC16"/>
    <mergeCell ref="AE15:AE16"/>
    <mergeCell ref="AC23:AC24"/>
    <mergeCell ref="AE23:AE24"/>
    <mergeCell ref="AC31:AC32"/>
    <mergeCell ref="AE31:AE32"/>
    <mergeCell ref="AA83:AA85"/>
    <mergeCell ref="AA87:AA89"/>
    <mergeCell ref="AA91:AA93"/>
    <mergeCell ref="AA95:AA97"/>
    <mergeCell ref="AA307:AA415"/>
    <mergeCell ref="AA440:AA472"/>
    <mergeCell ref="AA3:AB3"/>
    <mergeCell ref="AA7:AA8"/>
    <mergeCell ref="AA15:AA16"/>
    <mergeCell ref="AA23:AA24"/>
    <mergeCell ref="AA31:AA32"/>
    <mergeCell ref="AA42:AA43"/>
    <mergeCell ref="AA50:AA51"/>
    <mergeCell ref="AA63:AA64"/>
    <mergeCell ref="AA79:AA81"/>
    <mergeCell ref="W87:W89"/>
    <mergeCell ref="Y87:Y89"/>
    <mergeCell ref="W91:W93"/>
    <mergeCell ref="Y91:Y93"/>
    <mergeCell ref="W95:W97"/>
    <mergeCell ref="Y95:Y97"/>
    <mergeCell ref="W307:W415"/>
    <mergeCell ref="Y307:Y415"/>
    <mergeCell ref="W440:W472"/>
    <mergeCell ref="Y440:Y472"/>
    <mergeCell ref="W42:W43"/>
    <mergeCell ref="Y42:Y43"/>
    <mergeCell ref="W50:W51"/>
    <mergeCell ref="Y50:Y51"/>
    <mergeCell ref="W63:W64"/>
    <mergeCell ref="Y63:Y64"/>
    <mergeCell ref="W79:W81"/>
    <mergeCell ref="Y79:Y81"/>
    <mergeCell ref="W83:W85"/>
    <mergeCell ref="Y83:Y85"/>
    <mergeCell ref="W3:X3"/>
    <mergeCell ref="Y3:Z3"/>
    <mergeCell ref="W7:W8"/>
    <mergeCell ref="Y7:Y8"/>
    <mergeCell ref="W15:W16"/>
    <mergeCell ref="Y15:Y16"/>
    <mergeCell ref="W23:W24"/>
    <mergeCell ref="Y23:Y24"/>
    <mergeCell ref="W31:W32"/>
    <mergeCell ref="Y31:Y32"/>
    <mergeCell ref="K91:K93"/>
    <mergeCell ref="M91:M93"/>
    <mergeCell ref="K95:K97"/>
    <mergeCell ref="M95:M97"/>
    <mergeCell ref="K307:K415"/>
    <mergeCell ref="M307:M415"/>
    <mergeCell ref="K440:K472"/>
    <mergeCell ref="M440:M472"/>
    <mergeCell ref="K50:K51"/>
    <mergeCell ref="M50:M51"/>
    <mergeCell ref="K63:K64"/>
    <mergeCell ref="M63:M64"/>
    <mergeCell ref="K79:K81"/>
    <mergeCell ref="M79:M81"/>
    <mergeCell ref="K83:K85"/>
    <mergeCell ref="M83:M85"/>
    <mergeCell ref="K87:K89"/>
    <mergeCell ref="M87:M89"/>
    <mergeCell ref="I440:I472"/>
    <mergeCell ref="I50:I51"/>
    <mergeCell ref="I63:I64"/>
    <mergeCell ref="I79:I81"/>
    <mergeCell ref="I83:I85"/>
    <mergeCell ref="E31:E32"/>
    <mergeCell ref="E42:E43"/>
    <mergeCell ref="K3:L3"/>
    <mergeCell ref="M3:N3"/>
    <mergeCell ref="K7:K8"/>
    <mergeCell ref="M7:M8"/>
    <mergeCell ref="K15:K16"/>
    <mergeCell ref="M15:M16"/>
    <mergeCell ref="K23:K24"/>
    <mergeCell ref="M23:M24"/>
    <mergeCell ref="K31:K32"/>
    <mergeCell ref="M31:M32"/>
    <mergeCell ref="K42:K43"/>
    <mergeCell ref="M42:M43"/>
    <mergeCell ref="I42:I43"/>
    <mergeCell ref="G15:G16"/>
    <mergeCell ref="G23:G24"/>
    <mergeCell ref="G31:G32"/>
    <mergeCell ref="G440:G472"/>
    <mergeCell ref="B513:B516"/>
    <mergeCell ref="E307:E415"/>
    <mergeCell ref="B517:B520"/>
    <mergeCell ref="B509:B512"/>
    <mergeCell ref="E3:F3"/>
    <mergeCell ref="D3:D4"/>
    <mergeCell ref="E79:E81"/>
    <mergeCell ref="E87:E89"/>
    <mergeCell ref="E95:E97"/>
    <mergeCell ref="D50:D51"/>
    <mergeCell ref="D63:D64"/>
    <mergeCell ref="D79:D81"/>
    <mergeCell ref="B3:B4"/>
    <mergeCell ref="C3:C4"/>
    <mergeCell ref="D83:D85"/>
    <mergeCell ref="D87:D89"/>
    <mergeCell ref="D7:D8"/>
    <mergeCell ref="D15:D16"/>
    <mergeCell ref="D23:D24"/>
    <mergeCell ref="D31:D32"/>
    <mergeCell ref="D42:D43"/>
    <mergeCell ref="E7:E8"/>
    <mergeCell ref="E15:E16"/>
    <mergeCell ref="E23:E24"/>
    <mergeCell ref="A494:A501"/>
    <mergeCell ref="B505:B508"/>
    <mergeCell ref="E440:E472"/>
    <mergeCell ref="D91:D93"/>
    <mergeCell ref="D95:D97"/>
    <mergeCell ref="E91:E93"/>
    <mergeCell ref="E83:E85"/>
    <mergeCell ref="E50:E51"/>
    <mergeCell ref="E63:E64"/>
    <mergeCell ref="G42:G43"/>
    <mergeCell ref="G50:G51"/>
    <mergeCell ref="G63:G64"/>
    <mergeCell ref="G1:H1"/>
    <mergeCell ref="I87:I89"/>
    <mergeCell ref="I91:I93"/>
    <mergeCell ref="I95:I97"/>
    <mergeCell ref="I307:I415"/>
    <mergeCell ref="I3:J3"/>
    <mergeCell ref="I7:I8"/>
    <mergeCell ref="I15:I16"/>
    <mergeCell ref="I23:I24"/>
    <mergeCell ref="I31:I32"/>
    <mergeCell ref="G87:G89"/>
    <mergeCell ref="G91:G93"/>
    <mergeCell ref="G95:G97"/>
    <mergeCell ref="G307:G415"/>
    <mergeCell ref="G3:H3"/>
    <mergeCell ref="G7:G8"/>
    <mergeCell ref="G79:G81"/>
    <mergeCell ref="G83:G85"/>
    <mergeCell ref="O42:O43"/>
    <mergeCell ref="O50:O51"/>
    <mergeCell ref="O63:O64"/>
    <mergeCell ref="O79:O81"/>
    <mergeCell ref="O83:O85"/>
    <mergeCell ref="O3:P3"/>
    <mergeCell ref="O7:O8"/>
    <mergeCell ref="O15:O16"/>
    <mergeCell ref="O23:O24"/>
    <mergeCell ref="O31:O32"/>
    <mergeCell ref="O87:O89"/>
    <mergeCell ref="O91:O93"/>
    <mergeCell ref="O95:O97"/>
    <mergeCell ref="O307:O415"/>
    <mergeCell ref="Q87:Q89"/>
    <mergeCell ref="Q91:Q93"/>
    <mergeCell ref="Q95:Q97"/>
    <mergeCell ref="Q307:Q415"/>
    <mergeCell ref="O440:O472"/>
    <mergeCell ref="Q440:Q472"/>
    <mergeCell ref="Q42:Q43"/>
    <mergeCell ref="Q50:Q51"/>
    <mergeCell ref="Q63:Q64"/>
    <mergeCell ref="Q79:Q81"/>
    <mergeCell ref="Q83:Q85"/>
    <mergeCell ref="Q3:R3"/>
    <mergeCell ref="Q7:Q8"/>
    <mergeCell ref="Q15:Q16"/>
    <mergeCell ref="Q23:Q24"/>
    <mergeCell ref="Q31:Q32"/>
    <mergeCell ref="S3:T3"/>
    <mergeCell ref="U3:V3"/>
    <mergeCell ref="S7:S8"/>
    <mergeCell ref="U7:U8"/>
    <mergeCell ref="S15:S16"/>
    <mergeCell ref="U15:U16"/>
    <mergeCell ref="S23:S24"/>
    <mergeCell ref="U23:U24"/>
    <mergeCell ref="S31:S32"/>
    <mergeCell ref="U31:U32"/>
    <mergeCell ref="S42:S43"/>
    <mergeCell ref="U42:U43"/>
    <mergeCell ref="S50:S51"/>
    <mergeCell ref="U50:U51"/>
    <mergeCell ref="S63:S64"/>
    <mergeCell ref="U63:U64"/>
    <mergeCell ref="S79:S81"/>
    <mergeCell ref="U79:U81"/>
    <mergeCell ref="S83:S85"/>
    <mergeCell ref="U83:U85"/>
    <mergeCell ref="S87:S89"/>
    <mergeCell ref="U87:U89"/>
    <mergeCell ref="S91:S93"/>
    <mergeCell ref="U91:U93"/>
    <mergeCell ref="S95:S97"/>
    <mergeCell ref="U95:U97"/>
    <mergeCell ref="S307:S415"/>
    <mergeCell ref="U307:U415"/>
    <mergeCell ref="S440:S472"/>
    <mergeCell ref="U440:U472"/>
    <mergeCell ref="AK3:AL3"/>
    <mergeCell ref="AM3:AN3"/>
    <mergeCell ref="AK7:AK8"/>
    <mergeCell ref="AM7:AM8"/>
    <mergeCell ref="AK15:AK16"/>
    <mergeCell ref="AM15:AM16"/>
    <mergeCell ref="AK23:AK24"/>
    <mergeCell ref="AM23:AM24"/>
    <mergeCell ref="AK31:AK32"/>
    <mergeCell ref="AM31:AM32"/>
    <mergeCell ref="AM91:AM93"/>
    <mergeCell ref="AK95:AK97"/>
    <mergeCell ref="AM95:AM97"/>
    <mergeCell ref="AK307:AK415"/>
    <mergeCell ref="AM307:AM415"/>
    <mergeCell ref="AK440:AK472"/>
    <mergeCell ref="AM440:AM472"/>
    <mergeCell ref="AK42:AK43"/>
    <mergeCell ref="AM42:AM43"/>
    <mergeCell ref="AK50:AK51"/>
    <mergeCell ref="AM50:AM51"/>
    <mergeCell ref="AK63:AK64"/>
    <mergeCell ref="AM63:AM64"/>
    <mergeCell ref="AK79:AK81"/>
    <mergeCell ref="AM79:AM81"/>
    <mergeCell ref="AK83:AK85"/>
    <mergeCell ref="AM83:AM85"/>
    <mergeCell ref="AO3:AP3"/>
    <mergeCell ref="AO7:AO8"/>
    <mergeCell ref="AO15:AO16"/>
    <mergeCell ref="AO23:AO24"/>
    <mergeCell ref="AO31:AO32"/>
    <mergeCell ref="AO42:AO43"/>
    <mergeCell ref="AO50:AO51"/>
    <mergeCell ref="AO63:AO64"/>
    <mergeCell ref="AO79:AO81"/>
    <mergeCell ref="AY3:AZ3"/>
    <mergeCell ref="BE3:BF3"/>
    <mergeCell ref="AY7:AY8"/>
    <mergeCell ref="BE7:BE8"/>
    <mergeCell ref="AY15:AY16"/>
    <mergeCell ref="BE15:BE16"/>
    <mergeCell ref="AY23:AY24"/>
    <mergeCell ref="BE23:BE24"/>
    <mergeCell ref="AY31:AY32"/>
    <mergeCell ref="BE31:BE32"/>
    <mergeCell ref="BE42:BE43"/>
    <mergeCell ref="AY50:AY51"/>
    <mergeCell ref="BE50:BE51"/>
    <mergeCell ref="AY63:AY64"/>
    <mergeCell ref="BE63:BE64"/>
    <mergeCell ref="AY79:AY81"/>
    <mergeCell ref="BE79:BE81"/>
    <mergeCell ref="AY83:AY85"/>
    <mergeCell ref="BE83:BE85"/>
    <mergeCell ref="BA79:BA81"/>
    <mergeCell ref="BC79:BC81"/>
    <mergeCell ref="BA83:BA85"/>
    <mergeCell ref="BC83:BC85"/>
    <mergeCell ref="BE87:BE89"/>
    <mergeCell ref="AY91:AY93"/>
    <mergeCell ref="BE91:BE93"/>
    <mergeCell ref="AY95:AY97"/>
    <mergeCell ref="BE95:BE97"/>
    <mergeCell ref="AY307:AY415"/>
    <mergeCell ref="BE307:BE415"/>
    <mergeCell ref="BA3:BB3"/>
    <mergeCell ref="BC3:BD3"/>
    <mergeCell ref="BA7:BA8"/>
    <mergeCell ref="BC7:BC8"/>
    <mergeCell ref="BA15:BA16"/>
    <mergeCell ref="BC15:BC16"/>
    <mergeCell ref="BA23:BA24"/>
    <mergeCell ref="BC23:BC24"/>
    <mergeCell ref="BA31:BA32"/>
    <mergeCell ref="BC31:BC32"/>
    <mergeCell ref="BA42:BA43"/>
    <mergeCell ref="BC42:BC43"/>
    <mergeCell ref="BA50:BA51"/>
    <mergeCell ref="BC50:BC51"/>
    <mergeCell ref="BA63:BA64"/>
    <mergeCell ref="BC63:BC64"/>
    <mergeCell ref="AY42:AY43"/>
    <mergeCell ref="D46:D47"/>
    <mergeCell ref="AQ440:AQ472"/>
    <mergeCell ref="BA87:BA89"/>
    <mergeCell ref="BC87:BC89"/>
    <mergeCell ref="BA91:BA93"/>
    <mergeCell ref="BC91:BC93"/>
    <mergeCell ref="BA95:BA97"/>
    <mergeCell ref="BC95:BC97"/>
    <mergeCell ref="BA307:BA415"/>
    <mergeCell ref="BC307:BC415"/>
    <mergeCell ref="BA440:BA472"/>
    <mergeCell ref="BC440:BC472"/>
    <mergeCell ref="AY87:AY89"/>
    <mergeCell ref="AU440:AU472"/>
    <mergeCell ref="AY440:AY472"/>
    <mergeCell ref="AO83:AO85"/>
    <mergeCell ref="AO87:AO89"/>
    <mergeCell ref="AO91:AO93"/>
    <mergeCell ref="AO95:AO97"/>
    <mergeCell ref="AO307:AO415"/>
    <mergeCell ref="AO440:AO472"/>
    <mergeCell ref="AK87:AK89"/>
    <mergeCell ref="AM87:AM89"/>
    <mergeCell ref="AK91:AK93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B353"/>
  <sheetViews>
    <sheetView zoomScale="85" zoomScaleNormal="85" workbookViewId="0">
      <pane xSplit="3" ySplit="3" topLeftCell="E73" activePane="bottomRight" state="frozen"/>
      <selection pane="topRight" activeCell="D1" sqref="D1"/>
      <selection pane="bottomLeft" activeCell="A4" sqref="A4"/>
      <selection pane="bottomRight" activeCell="BH108" sqref="BH108"/>
    </sheetView>
  </sheetViews>
  <sheetFormatPr defaultRowHeight="15" x14ac:dyDescent="0.25"/>
  <cols>
    <col min="1" max="1" width="2.5703125" customWidth="1"/>
    <col min="2" max="2" width="45.140625" customWidth="1"/>
    <col min="3" max="3" width="46.140625" bestFit="1" customWidth="1"/>
    <col min="4" max="4" width="9.85546875" customWidth="1"/>
    <col min="5" max="5" width="16.85546875" bestFit="1" customWidth="1"/>
    <col min="6" max="6" width="7.5703125" hidden="1" customWidth="1"/>
    <col min="7" max="7" width="9.42578125" hidden="1" customWidth="1"/>
    <col min="8" max="8" width="7.5703125" hidden="1" customWidth="1"/>
    <col min="9" max="9" width="9.42578125" hidden="1" customWidth="1"/>
    <col min="10" max="10" width="7.85546875" style="139" hidden="1" customWidth="1"/>
    <col min="11" max="11" width="10.28515625" style="139" hidden="1" customWidth="1"/>
    <col min="12" max="12" width="7.85546875" hidden="1" customWidth="1"/>
    <col min="13" max="13" width="11.42578125" hidden="1" customWidth="1"/>
    <col min="14" max="14" width="7.85546875" hidden="1" customWidth="1"/>
    <col min="15" max="15" width="11.28515625" hidden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28" width="7.5703125" hidden="1" customWidth="1"/>
    <col min="29" max="30" width="9.140625" hidden="1" customWidth="1"/>
    <col min="31" max="31" width="9.140625" style="6267" hidden="1" customWidth="1"/>
    <col min="32" max="34" width="9.140625" hidden="1" customWidth="1"/>
    <col min="35" max="35" width="18.7109375" hidden="1" customWidth="1"/>
    <col min="36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44" width="9.140625" hidden="1" customWidth="1"/>
    <col min="45" max="45" width="9.42578125" hidden="1" customWidth="1"/>
    <col min="46" max="47" width="9.140625" hidden="1" customWidth="1"/>
    <col min="48" max="48" width="7.5703125" hidden="1" customWidth="1"/>
    <col min="49" max="51" width="9.140625" hidden="1" customWidth="1"/>
    <col min="52" max="53" width="9.140625" style="2832" hidden="1" customWidth="1"/>
    <col min="54" max="54" width="7.5703125" style="2832" hidden="1" customWidth="1"/>
    <col min="55" max="55" width="9.42578125" style="2832" hidden="1" customWidth="1"/>
    <col min="56" max="56" width="9.140625" hidden="1" customWidth="1"/>
    <col min="57" max="57" width="9.42578125" hidden="1" customWidth="1"/>
    <col min="59" max="59" width="9.7109375" bestFit="1" customWidth="1"/>
    <col min="60" max="60" width="17" bestFit="1" customWidth="1"/>
  </cols>
  <sheetData>
    <row r="1" spans="2:80" ht="15.75" thickBot="1" x14ac:dyDescent="0.3">
      <c r="BE1" s="2957"/>
    </row>
    <row r="2" spans="2:80" ht="21.95" customHeight="1" x14ac:dyDescent="0.25">
      <c r="B2" s="1386"/>
      <c r="C2" s="1389"/>
      <c r="D2" s="7984">
        <v>46113</v>
      </c>
      <c r="E2" s="7985"/>
      <c r="F2" s="7984">
        <v>45778</v>
      </c>
      <c r="G2" s="7985"/>
      <c r="H2" s="7980" t="s">
        <v>627</v>
      </c>
      <c r="I2" s="7981"/>
      <c r="J2" s="7978">
        <v>45809</v>
      </c>
      <c r="K2" s="7986"/>
      <c r="L2" s="7987" t="s">
        <v>607</v>
      </c>
      <c r="M2" s="7988"/>
      <c r="N2" s="7978">
        <v>45839</v>
      </c>
      <c r="O2" s="7979"/>
      <c r="P2" s="7980" t="s">
        <v>620</v>
      </c>
      <c r="Q2" s="7981"/>
      <c r="R2" s="7978">
        <v>45870</v>
      </c>
      <c r="S2" s="7979"/>
      <c r="T2" s="7980" t="s">
        <v>798</v>
      </c>
      <c r="U2" s="7981"/>
      <c r="V2" s="7978">
        <v>45901</v>
      </c>
      <c r="W2" s="7979"/>
      <c r="X2" s="7987" t="s">
        <v>629</v>
      </c>
      <c r="Y2" s="8001"/>
      <c r="Z2" s="7983" t="s">
        <v>626</v>
      </c>
      <c r="AA2" s="7983"/>
      <c r="AB2" s="7978">
        <v>45931</v>
      </c>
      <c r="AC2" s="7979"/>
      <c r="AD2" s="7980" t="s">
        <v>1055</v>
      </c>
      <c r="AE2" s="7981"/>
      <c r="AF2" s="7978">
        <v>45962</v>
      </c>
      <c r="AG2" s="7979"/>
      <c r="AH2" s="7980" t="s">
        <v>1561</v>
      </c>
      <c r="AI2" s="7981"/>
      <c r="AJ2" s="7978">
        <v>45992</v>
      </c>
      <c r="AK2" s="7979"/>
      <c r="AL2" s="7987" t="s">
        <v>631</v>
      </c>
      <c r="AM2" s="7988"/>
      <c r="AN2" s="7980" t="s">
        <v>876</v>
      </c>
      <c r="AO2" s="7981"/>
      <c r="AP2" s="7978">
        <v>46023</v>
      </c>
      <c r="AQ2" s="7979"/>
      <c r="AR2" s="7980" t="s">
        <v>1593</v>
      </c>
      <c r="AS2" s="7981"/>
      <c r="AT2" s="7978">
        <v>46054</v>
      </c>
      <c r="AU2" s="7979"/>
      <c r="AV2" s="7980" t="s">
        <v>1599</v>
      </c>
      <c r="AW2" s="7981"/>
      <c r="AX2" s="7978">
        <v>46082</v>
      </c>
      <c r="AY2" s="7979"/>
      <c r="AZ2" s="7987" t="s">
        <v>632</v>
      </c>
      <c r="BA2" s="8001"/>
      <c r="BB2" s="7983" t="s">
        <v>638</v>
      </c>
      <c r="BC2" s="7983"/>
      <c r="BD2" s="7980" t="s">
        <v>1984</v>
      </c>
      <c r="BE2" s="7981"/>
    </row>
    <row r="3" spans="2:80" s="1269" customFormat="1" ht="21.95" customHeight="1" thickBot="1" x14ac:dyDescent="0.3">
      <c r="B3" s="1387"/>
      <c r="C3" s="1390"/>
      <c r="D3" s="1388" t="s">
        <v>1174</v>
      </c>
      <c r="E3" s="1385" t="s">
        <v>1175</v>
      </c>
      <c r="F3" s="1388" t="s">
        <v>1174</v>
      </c>
      <c r="G3" s="1385" t="s">
        <v>1175</v>
      </c>
      <c r="H3" s="1393" t="s">
        <v>1174</v>
      </c>
      <c r="I3" s="1392" t="s">
        <v>1175</v>
      </c>
      <c r="J3" s="1427" t="s">
        <v>1174</v>
      </c>
      <c r="K3" s="2108" t="s">
        <v>1175</v>
      </c>
      <c r="L3" s="2109" t="s">
        <v>1174</v>
      </c>
      <c r="M3" s="2110" t="s">
        <v>1175</v>
      </c>
      <c r="N3" s="1427" t="s">
        <v>1174</v>
      </c>
      <c r="O3" s="1428" t="s">
        <v>1175</v>
      </c>
      <c r="P3" s="1393" t="s">
        <v>1174</v>
      </c>
      <c r="Q3" s="1392" t="s">
        <v>1175</v>
      </c>
      <c r="R3" s="1427" t="s">
        <v>1174</v>
      </c>
      <c r="S3" s="1428" t="s">
        <v>1175</v>
      </c>
      <c r="T3" s="1393" t="s">
        <v>1174</v>
      </c>
      <c r="U3" s="1392" t="s">
        <v>1175</v>
      </c>
      <c r="V3" s="1427" t="s">
        <v>1174</v>
      </c>
      <c r="W3" s="1428" t="s">
        <v>1175</v>
      </c>
      <c r="X3" s="2109" t="s">
        <v>1174</v>
      </c>
      <c r="Y3" s="2998" t="s">
        <v>1175</v>
      </c>
      <c r="Z3" s="2999" t="s">
        <v>1174</v>
      </c>
      <c r="AA3" s="2999" t="s">
        <v>1175</v>
      </c>
      <c r="AB3" s="1427" t="s">
        <v>1174</v>
      </c>
      <c r="AC3" s="1428" t="s">
        <v>1175</v>
      </c>
      <c r="AD3" s="6268" t="s">
        <v>1174</v>
      </c>
      <c r="AE3" s="6291" t="s">
        <v>1175</v>
      </c>
      <c r="AF3" s="6283" t="s">
        <v>1174</v>
      </c>
      <c r="AG3" s="1428" t="s">
        <v>1175</v>
      </c>
      <c r="AH3" s="1393" t="s">
        <v>1174</v>
      </c>
      <c r="AI3" s="1392" t="s">
        <v>1175</v>
      </c>
      <c r="AJ3" s="1427" t="s">
        <v>1174</v>
      </c>
      <c r="AK3" s="1428" t="s">
        <v>1175</v>
      </c>
      <c r="AL3" s="2109" t="s">
        <v>1174</v>
      </c>
      <c r="AM3" s="2110" t="s">
        <v>1175</v>
      </c>
      <c r="AN3" s="1393" t="s">
        <v>1174</v>
      </c>
      <c r="AO3" s="1392" t="s">
        <v>1175</v>
      </c>
      <c r="AP3" s="1427" t="s">
        <v>1174</v>
      </c>
      <c r="AQ3" s="1428" t="s">
        <v>1175</v>
      </c>
      <c r="AR3" s="1393" t="s">
        <v>1174</v>
      </c>
      <c r="AS3" s="1392" t="s">
        <v>1175</v>
      </c>
      <c r="AT3" s="1427" t="s">
        <v>1174</v>
      </c>
      <c r="AU3" s="1428" t="s">
        <v>1175</v>
      </c>
      <c r="AV3" s="1393" t="s">
        <v>1174</v>
      </c>
      <c r="AW3" s="1392" t="s">
        <v>1175</v>
      </c>
      <c r="AX3" s="1427" t="s">
        <v>1174</v>
      </c>
      <c r="AY3" s="1428" t="s">
        <v>1175</v>
      </c>
      <c r="AZ3" s="2109" t="s">
        <v>1174</v>
      </c>
      <c r="BA3" s="2998" t="s">
        <v>1175</v>
      </c>
      <c r="BB3" s="2999" t="s">
        <v>1174</v>
      </c>
      <c r="BC3" s="2999" t="s">
        <v>1175</v>
      </c>
      <c r="BD3" s="1393" t="s">
        <v>1174</v>
      </c>
      <c r="BE3" s="1392" t="s">
        <v>1175</v>
      </c>
    </row>
    <row r="4" spans="2:80" ht="21.95" customHeight="1" thickBot="1" x14ac:dyDescent="0.3">
      <c r="B4" s="7972" t="s">
        <v>1176</v>
      </c>
      <c r="C4" s="1371" t="s">
        <v>974</v>
      </c>
      <c r="D4" s="1384">
        <v>7.6</v>
      </c>
      <c r="E4" s="1391">
        <v>29316.97</v>
      </c>
      <c r="F4" s="1384">
        <v>14.2</v>
      </c>
      <c r="G4" s="1391">
        <v>51152</v>
      </c>
      <c r="H4" s="1394">
        <f>+D4+F4</f>
        <v>21.799999999999997</v>
      </c>
      <c r="I4" s="1395">
        <f>+G4+E4</f>
        <v>80468.97</v>
      </c>
      <c r="J4" s="1384">
        <v>10.5</v>
      </c>
      <c r="K4" s="1391">
        <v>39920</v>
      </c>
      <c r="L4" s="5198">
        <f>+D4+F4+J4</f>
        <v>32.299999999999997</v>
      </c>
      <c r="M4" s="5268">
        <f>+E4+G4+K4</f>
        <v>120388.97</v>
      </c>
      <c r="N4" s="1384">
        <v>11.4</v>
      </c>
      <c r="O4" s="1391">
        <v>45986</v>
      </c>
      <c r="P4" s="1444">
        <f>L4+N4</f>
        <v>43.699999999999996</v>
      </c>
      <c r="Q4" s="1444">
        <f>+E4+G4+K4+O4</f>
        <v>166374.97</v>
      </c>
      <c r="R4" s="1384">
        <v>10.7</v>
      </c>
      <c r="S4" s="1391">
        <v>41746.199999999997</v>
      </c>
      <c r="T4" s="1444">
        <f>P4+R4</f>
        <v>54.399999999999991</v>
      </c>
      <c r="U4" s="1444">
        <f>+E4+S4+O4+K4+G4</f>
        <v>208121.16999999998</v>
      </c>
      <c r="V4" s="1384">
        <v>10.8</v>
      </c>
      <c r="W4" s="1391">
        <v>42309.4</v>
      </c>
      <c r="X4" s="5198">
        <f>+N4+R4+V4</f>
        <v>32.900000000000006</v>
      </c>
      <c r="Y4" s="5269">
        <f>+O4+S4+W4</f>
        <v>130041.60000000001</v>
      </c>
      <c r="Z4" s="5199">
        <f>L4+X4</f>
        <v>65.2</v>
      </c>
      <c r="AA4" s="5196">
        <f>+W4+S4+O4+K4+G4+E4</f>
        <v>250430.57</v>
      </c>
      <c r="AB4" s="1384">
        <v>10.8</v>
      </c>
      <c r="AC4" s="1391">
        <v>41546.400000000001</v>
      </c>
      <c r="AD4" s="6269">
        <f>Z4+AB4</f>
        <v>76</v>
      </c>
      <c r="AE4" s="6203">
        <f>+AC4+W4+S4+O4+K4+G4+E4</f>
        <v>291976.96999999997</v>
      </c>
      <c r="AF4" s="1384">
        <v>7.3</v>
      </c>
      <c r="AG4" s="1391">
        <v>28660.42</v>
      </c>
      <c r="AH4" s="1394">
        <f>AD4+AF4</f>
        <v>83.3</v>
      </c>
      <c r="AI4" s="1444">
        <f>+AG4+AC4+W4+S4+O4+K4+G4+E4</f>
        <v>320637.39</v>
      </c>
      <c r="AJ4" s="1384">
        <v>6.4</v>
      </c>
      <c r="AK4" s="1391">
        <v>46095.09</v>
      </c>
      <c r="AL4" s="5198">
        <f>+AB4+AF4+AJ4</f>
        <v>24.5</v>
      </c>
      <c r="AM4" s="5268">
        <f>+AC4+AG4+AK4</f>
        <v>116301.91</v>
      </c>
      <c r="AN4" s="1394">
        <f>AH4+AJ4</f>
        <v>89.7</v>
      </c>
      <c r="AO4" s="1444">
        <f>+AK4+AG4+AC4+W4+S4+O4+K4+G4+E4</f>
        <v>366732.48</v>
      </c>
      <c r="AP4" s="1384">
        <v>10.1</v>
      </c>
      <c r="AQ4" s="1391">
        <v>40797.53</v>
      </c>
      <c r="AR4" s="1394">
        <f>AN4+AP4</f>
        <v>99.8</v>
      </c>
      <c r="AS4" s="1444">
        <f>+AQ4+AK4+AG4+AC4+W4+S4+O4+K4+G4+E4</f>
        <v>407530.01</v>
      </c>
      <c r="AT4" s="1384">
        <v>12.5</v>
      </c>
      <c r="AU4" s="1391">
        <v>47894.83</v>
      </c>
      <c r="AV4" s="1394">
        <f>AR4+AT4</f>
        <v>112.3</v>
      </c>
      <c r="AW4" s="1444">
        <f>+AU4+AQ4+AK4+AG4+AC4+W4+S4+O4+K4+G4+E4</f>
        <v>455424.83999999997</v>
      </c>
      <c r="AX4" s="1384">
        <v>14.5</v>
      </c>
      <c r="AY4" s="1391">
        <v>56660.94</v>
      </c>
      <c r="AZ4" s="5198">
        <f>+AP4+AT4+AX4</f>
        <v>37.1</v>
      </c>
      <c r="BA4" s="5269">
        <f>+AQ4+AU4+AY4</f>
        <v>145353.29999999999</v>
      </c>
      <c r="BB4" s="5199">
        <f>AL4+AZ4</f>
        <v>61.6</v>
      </c>
      <c r="BC4" s="5196">
        <f>AM4+BA4</f>
        <v>261655.21</v>
      </c>
      <c r="BD4" s="1394">
        <f>AV4+AX4</f>
        <v>126.8</v>
      </c>
      <c r="BE4" s="1444">
        <f>+BC4+AA4</f>
        <v>512085.78</v>
      </c>
      <c r="BF4" s="1137"/>
      <c r="BG4" s="1137"/>
      <c r="BH4" s="502"/>
      <c r="BI4" s="502"/>
      <c r="BJ4" s="502"/>
      <c r="BK4" s="4487"/>
      <c r="BL4" s="4487"/>
      <c r="BM4" s="4487"/>
      <c r="BN4" s="4487"/>
      <c r="BO4" s="4487"/>
      <c r="BP4" s="4487"/>
      <c r="BQ4" s="502"/>
      <c r="BR4" s="502"/>
      <c r="BS4" s="502"/>
      <c r="BT4" s="502"/>
      <c r="BU4" s="502"/>
      <c r="BV4" s="502"/>
      <c r="BW4" s="502"/>
      <c r="BX4" s="502"/>
      <c r="BY4" s="502"/>
      <c r="BZ4" s="502"/>
      <c r="CA4" s="502"/>
      <c r="CB4" s="502"/>
    </row>
    <row r="5" spans="2:80" ht="21.95" customHeight="1" thickBot="1" x14ac:dyDescent="0.3">
      <c r="B5" s="7973"/>
      <c r="C5" s="5270" t="s">
        <v>975</v>
      </c>
      <c r="D5" s="5271">
        <v>4</v>
      </c>
      <c r="E5" s="5272">
        <v>15934.9</v>
      </c>
      <c r="F5" s="5271">
        <v>13.2</v>
      </c>
      <c r="G5" s="5272">
        <v>47881</v>
      </c>
      <c r="H5" s="1394">
        <f t="shared" ref="H5:H76" si="0">+D5+F5</f>
        <v>17.2</v>
      </c>
      <c r="I5" s="1395">
        <f>+G5+E5</f>
        <v>63815.9</v>
      </c>
      <c r="J5" s="5271">
        <v>10.6</v>
      </c>
      <c r="K5" s="5272">
        <v>40444</v>
      </c>
      <c r="L5" s="5198">
        <f>+D5+F5+J5</f>
        <v>27.799999999999997</v>
      </c>
      <c r="M5" s="5268">
        <f>+E5+G5+K5</f>
        <v>104259.9</v>
      </c>
      <c r="N5" s="5271">
        <v>7.2</v>
      </c>
      <c r="O5" s="5272">
        <v>27251.599999999999</v>
      </c>
      <c r="P5" s="1444">
        <f t="shared" ref="P5:P18" si="1">L5+N5</f>
        <v>35</v>
      </c>
      <c r="Q5" s="1444">
        <f>+E5+G5+K5+O5</f>
        <v>131511.5</v>
      </c>
      <c r="R5" s="5271">
        <v>10</v>
      </c>
      <c r="S5" s="5272">
        <v>40295.519999999997</v>
      </c>
      <c r="T5" s="1444">
        <f t="shared" ref="T5:T75" si="2">P5+R5</f>
        <v>45</v>
      </c>
      <c r="U5" s="1444">
        <f>+E5+S5+O5+K5+G5</f>
        <v>171807.02</v>
      </c>
      <c r="V5" s="5271">
        <v>12.3</v>
      </c>
      <c r="W5" s="5272">
        <v>49970.600000000006</v>
      </c>
      <c r="X5" s="5198">
        <f t="shared" ref="X5:X75" si="3">+N5+R5+V5</f>
        <v>29.5</v>
      </c>
      <c r="Y5" s="5269">
        <f t="shared" ref="Y5:Y75" si="4">+O5+S5+W5</f>
        <v>117517.72</v>
      </c>
      <c r="Z5" s="5199">
        <f t="shared" ref="Z5:Z75" si="5">L5+X5</f>
        <v>57.3</v>
      </c>
      <c r="AA5" s="5196">
        <f>+W5+S5+O5+K5+G5+E5</f>
        <v>221777.62</v>
      </c>
      <c r="AB5" s="5271">
        <v>8.6</v>
      </c>
      <c r="AC5" s="5272">
        <v>33378.6</v>
      </c>
      <c r="AD5" s="6269">
        <f t="shared" ref="AD5:AD75" si="6">Z5+AB5</f>
        <v>65.899999999999991</v>
      </c>
      <c r="AE5" s="6203">
        <f>+AC5+W5+S5+O5+K5+G5+E5</f>
        <v>255156.22</v>
      </c>
      <c r="AF5" s="6261">
        <v>6.8999999999999995</v>
      </c>
      <c r="AG5" s="5272">
        <v>27203.899999999998</v>
      </c>
      <c r="AH5" s="1394">
        <f t="shared" ref="AH5:AH6" si="7">AD5+AF5</f>
        <v>72.8</v>
      </c>
      <c r="AI5" s="1444">
        <f>+AG5+AC5+W5+S5+O5+K5+G5+E5</f>
        <v>282360.12</v>
      </c>
      <c r="AJ5" s="5271">
        <v>4.0999999999999996</v>
      </c>
      <c r="AK5" s="5272">
        <v>35578.44</v>
      </c>
      <c r="AL5" s="5198">
        <f t="shared" ref="AL5:AL6" si="8">+AB5+AF5+AJ5</f>
        <v>19.600000000000001</v>
      </c>
      <c r="AM5" s="5268">
        <f t="shared" ref="AM5:AM75" si="9">+AC5+AG5+AK5</f>
        <v>96160.94</v>
      </c>
      <c r="AN5" s="1394">
        <f t="shared" ref="AN5:AN23" si="10">AH5+AJ5</f>
        <v>76.899999999999991</v>
      </c>
      <c r="AO5" s="1444">
        <f>+AK5+AG5+AC5+W5+S5+O5+K5+G5+E5</f>
        <v>317938.56000000006</v>
      </c>
      <c r="AP5" s="5271">
        <v>5</v>
      </c>
      <c r="AQ5" s="5272">
        <v>20550.02</v>
      </c>
      <c r="AR5" s="1394">
        <f t="shared" ref="AR5:AR6" si="11">AN5+AP5</f>
        <v>81.899999999999991</v>
      </c>
      <c r="AS5" s="1444">
        <f>+AQ5+AK5+AG5+AC5+W5+S5+O5+K5+G5+E5</f>
        <v>338488.58</v>
      </c>
      <c r="AT5" s="5271">
        <v>2.7</v>
      </c>
      <c r="AU5" s="5272">
        <v>11617.39</v>
      </c>
      <c r="AV5" s="1394">
        <f t="shared" ref="AV5:AV6" si="12">AR5+AT5</f>
        <v>84.6</v>
      </c>
      <c r="AW5" s="1444">
        <f>+AU5+AQ5+AK5+AG5+AC5+W5+S5+O5+K5+G5+E5</f>
        <v>350105.97000000003</v>
      </c>
      <c r="AX5" s="5271">
        <v>1.9</v>
      </c>
      <c r="AY5" s="5272">
        <v>8290.2999999999993</v>
      </c>
      <c r="AZ5" s="5198">
        <f t="shared" ref="AZ5:AZ6" si="13">+AP5+AT5+AX5</f>
        <v>9.6</v>
      </c>
      <c r="BA5" s="5269">
        <f t="shared" ref="BA5:BA75" si="14">+AQ5+AU5+AY5</f>
        <v>40457.71</v>
      </c>
      <c r="BB5" s="5199">
        <f t="shared" ref="BB5:BB6" si="15">AL5+AZ5</f>
        <v>29.200000000000003</v>
      </c>
      <c r="BC5" s="5196">
        <f t="shared" ref="BC5:BC75" si="16">AM5+BA5</f>
        <v>136618.65</v>
      </c>
      <c r="BD5" s="1394">
        <f t="shared" ref="BD5:BD6" si="17">AV5+AX5</f>
        <v>86.5</v>
      </c>
      <c r="BE5" s="1444">
        <f t="shared" ref="BE5:BE75" si="18">+BC5+AA5</f>
        <v>358396.27</v>
      </c>
      <c r="BF5" s="1137"/>
      <c r="BG5" s="1137"/>
      <c r="BH5" s="502"/>
      <c r="BI5" s="502"/>
      <c r="BJ5" s="502"/>
      <c r="BK5" s="4487"/>
      <c r="BL5" s="4487"/>
      <c r="BM5" s="4487"/>
      <c r="BN5" s="4487"/>
      <c r="BO5" s="4487"/>
      <c r="BP5" s="4487"/>
      <c r="BQ5" s="502"/>
      <c r="BR5" s="502"/>
      <c r="BS5" s="502"/>
      <c r="BT5" s="502"/>
      <c r="BU5" s="502"/>
      <c r="BV5" s="502"/>
      <c r="BW5" s="502"/>
      <c r="BX5" s="502"/>
      <c r="BY5" s="502"/>
      <c r="BZ5" s="502"/>
      <c r="CA5" s="502"/>
      <c r="CB5" s="502"/>
    </row>
    <row r="6" spans="2:80" ht="21.95" customHeight="1" x14ac:dyDescent="0.25">
      <c r="B6" s="7973"/>
      <c r="C6" s="5270" t="s">
        <v>1177</v>
      </c>
      <c r="D6" s="5271">
        <v>0</v>
      </c>
      <c r="E6" s="5272">
        <v>0</v>
      </c>
      <c r="F6" s="5271">
        <v>0</v>
      </c>
      <c r="G6" s="5272">
        <v>0</v>
      </c>
      <c r="H6" s="1394">
        <f t="shared" si="0"/>
        <v>0</v>
      </c>
      <c r="I6" s="1395">
        <f>+G6+E6</f>
        <v>0</v>
      </c>
      <c r="J6" s="5271">
        <v>0</v>
      </c>
      <c r="K6" s="5272">
        <v>0</v>
      </c>
      <c r="L6" s="5198">
        <f t="shared" ref="L6:L76" si="19">+D6+F6+J6</f>
        <v>0</v>
      </c>
      <c r="M6" s="5268">
        <f>+E6+G6+K6</f>
        <v>0</v>
      </c>
      <c r="N6" s="5271">
        <v>0</v>
      </c>
      <c r="O6" s="5272">
        <v>0</v>
      </c>
      <c r="P6" s="1444">
        <f t="shared" si="1"/>
        <v>0</v>
      </c>
      <c r="Q6" s="1444">
        <f>+E6+G6+K6+O6</f>
        <v>0</v>
      </c>
      <c r="R6" s="5271">
        <v>0</v>
      </c>
      <c r="S6" s="5272">
        <v>0</v>
      </c>
      <c r="T6" s="1444">
        <f t="shared" si="2"/>
        <v>0</v>
      </c>
      <c r="U6" s="1444">
        <f>+E6+S6+O6+K6+G6</f>
        <v>0</v>
      </c>
      <c r="V6" s="5271">
        <v>0</v>
      </c>
      <c r="W6" s="5272">
        <v>0</v>
      </c>
      <c r="X6" s="5198">
        <f t="shared" si="3"/>
        <v>0</v>
      </c>
      <c r="Y6" s="5269">
        <f t="shared" si="4"/>
        <v>0</v>
      </c>
      <c r="Z6" s="5199">
        <f t="shared" si="5"/>
        <v>0</v>
      </c>
      <c r="AA6" s="5196">
        <f>+W6+S6+O6+K6+G6+E6</f>
        <v>0</v>
      </c>
      <c r="AB6" s="5271">
        <v>0</v>
      </c>
      <c r="AC6" s="5272">
        <v>0</v>
      </c>
      <c r="AD6" s="6269">
        <f t="shared" si="6"/>
        <v>0</v>
      </c>
      <c r="AE6" s="6203">
        <f>+AC6+W6+S6+O6+K6+G6+E6</f>
        <v>0</v>
      </c>
      <c r="AF6" s="6261">
        <v>0</v>
      </c>
      <c r="AG6" s="5272">
        <v>0</v>
      </c>
      <c r="AH6" s="1394">
        <f t="shared" si="7"/>
        <v>0</v>
      </c>
      <c r="AI6" s="1444">
        <f>+AG6+AC6+W6+S6+O6+K6+G6+E6</f>
        <v>0</v>
      </c>
      <c r="AJ6" s="5271">
        <v>0</v>
      </c>
      <c r="AK6" s="5272">
        <v>0</v>
      </c>
      <c r="AL6" s="5198">
        <f t="shared" si="8"/>
        <v>0</v>
      </c>
      <c r="AM6" s="5268">
        <f t="shared" si="9"/>
        <v>0</v>
      </c>
      <c r="AN6" s="1394">
        <f t="shared" si="10"/>
        <v>0</v>
      </c>
      <c r="AO6" s="1444">
        <f>+AK6+AG6+AC6+W6+S6+O6+K6+G6+E6</f>
        <v>0</v>
      </c>
      <c r="AP6" s="5271">
        <v>0</v>
      </c>
      <c r="AQ6" s="5272">
        <v>0</v>
      </c>
      <c r="AR6" s="1394">
        <f t="shared" si="11"/>
        <v>0</v>
      </c>
      <c r="AS6" s="1444">
        <f>+AQ6+AK6+AG6+AC6+W6+S6+O6+K6+G6+E6</f>
        <v>0</v>
      </c>
      <c r="AT6" s="5271">
        <v>0</v>
      </c>
      <c r="AU6" s="5272">
        <v>0</v>
      </c>
      <c r="AV6" s="1394">
        <f t="shared" si="12"/>
        <v>0</v>
      </c>
      <c r="AW6" s="1444">
        <f>+AU6+AQ6+AK6+AG6+AC6+W6+S6+O6+K6+G6+E6</f>
        <v>0</v>
      </c>
      <c r="AX6" s="5271">
        <v>0</v>
      </c>
      <c r="AY6" s="5272">
        <v>0</v>
      </c>
      <c r="AZ6" s="5198">
        <f t="shared" si="13"/>
        <v>0</v>
      </c>
      <c r="BA6" s="5269">
        <f t="shared" si="14"/>
        <v>0</v>
      </c>
      <c r="BB6" s="5199">
        <f t="shared" si="15"/>
        <v>0</v>
      </c>
      <c r="BC6" s="5196">
        <f t="shared" si="16"/>
        <v>0</v>
      </c>
      <c r="BD6" s="1394">
        <f t="shared" si="17"/>
        <v>0</v>
      </c>
      <c r="BE6" s="1444">
        <f t="shared" si="18"/>
        <v>0</v>
      </c>
      <c r="BF6" s="1137"/>
      <c r="BG6" s="1137"/>
      <c r="BH6" s="502"/>
      <c r="BI6" s="502"/>
      <c r="BJ6" s="502"/>
      <c r="BK6" s="4487"/>
      <c r="BL6" s="4487"/>
      <c r="BM6" s="4487"/>
      <c r="BN6" s="4487"/>
      <c r="BO6" s="4487"/>
      <c r="BP6" s="4487"/>
      <c r="BQ6" s="502"/>
      <c r="BR6" s="502"/>
      <c r="BS6" s="502"/>
      <c r="BT6" s="502"/>
      <c r="BU6" s="502"/>
      <c r="BV6" s="502"/>
      <c r="BW6" s="502"/>
      <c r="BX6" s="502"/>
      <c r="BY6" s="502"/>
      <c r="BZ6" s="502"/>
      <c r="CA6" s="502"/>
      <c r="CB6" s="502"/>
    </row>
    <row r="7" spans="2:80" ht="21.95" customHeight="1" thickBot="1" x14ac:dyDescent="0.3">
      <c r="B7" s="7973"/>
      <c r="C7" s="5273" t="s">
        <v>2</v>
      </c>
      <c r="D7" s="5274">
        <f t="shared" ref="D7" si="20">SUM(D4:D6)</f>
        <v>11.6</v>
      </c>
      <c r="E7" s="5274">
        <f>SUM(E4:E6)</f>
        <v>45251.87</v>
      </c>
      <c r="F7" s="5274">
        <f t="shared" ref="F7:BE7" si="21">SUM(F4:F6)</f>
        <v>27.4</v>
      </c>
      <c r="G7" s="5274">
        <f t="shared" si="21"/>
        <v>99033</v>
      </c>
      <c r="H7" s="5274">
        <f t="shared" si="21"/>
        <v>39</v>
      </c>
      <c r="I7" s="5274">
        <f t="shared" si="21"/>
        <v>144284.87</v>
      </c>
      <c r="J7" s="5274">
        <f t="shared" si="21"/>
        <v>21.1</v>
      </c>
      <c r="K7" s="5274">
        <f t="shared" si="21"/>
        <v>80364</v>
      </c>
      <c r="L7" s="5274">
        <f t="shared" si="21"/>
        <v>60.099999999999994</v>
      </c>
      <c r="M7" s="5274">
        <f t="shared" si="21"/>
        <v>224648.87</v>
      </c>
      <c r="N7" s="5274">
        <f t="shared" si="21"/>
        <v>18.600000000000001</v>
      </c>
      <c r="O7" s="5274">
        <f t="shared" si="21"/>
        <v>73237.600000000006</v>
      </c>
      <c r="P7" s="5274">
        <f t="shared" si="21"/>
        <v>78.699999999999989</v>
      </c>
      <c r="Q7" s="5274">
        <f t="shared" si="21"/>
        <v>297886.46999999997</v>
      </c>
      <c r="R7" s="5274">
        <f t="shared" si="21"/>
        <v>20.7</v>
      </c>
      <c r="S7" s="5274">
        <f t="shared" si="21"/>
        <v>82041.72</v>
      </c>
      <c r="T7" s="5274">
        <f t="shared" si="21"/>
        <v>99.399999999999991</v>
      </c>
      <c r="U7" s="5274">
        <f t="shared" si="21"/>
        <v>379928.18999999994</v>
      </c>
      <c r="V7" s="5274">
        <f t="shared" si="21"/>
        <v>23.1</v>
      </c>
      <c r="W7" s="5274">
        <f t="shared" si="21"/>
        <v>92280</v>
      </c>
      <c r="X7" s="5274">
        <f t="shared" si="21"/>
        <v>62.400000000000006</v>
      </c>
      <c r="Y7" s="5274">
        <f t="shared" si="21"/>
        <v>247559.32</v>
      </c>
      <c r="Z7" s="5274">
        <f t="shared" si="21"/>
        <v>122.5</v>
      </c>
      <c r="AA7" s="5274">
        <f t="shared" si="21"/>
        <v>472208.19</v>
      </c>
      <c r="AB7" s="5274">
        <f t="shared" si="21"/>
        <v>19.399999999999999</v>
      </c>
      <c r="AC7" s="5274">
        <f t="shared" si="21"/>
        <v>74925</v>
      </c>
      <c r="AD7" s="6270">
        <f t="shared" si="21"/>
        <v>141.89999999999998</v>
      </c>
      <c r="AE7" s="5983">
        <f t="shared" si="21"/>
        <v>547133.18999999994</v>
      </c>
      <c r="AF7" s="6246">
        <f t="shared" si="21"/>
        <v>14.2</v>
      </c>
      <c r="AG7" s="5274">
        <f t="shared" ref="AG7" si="22">SUM(AG4:AG6)</f>
        <v>55864.319999999992</v>
      </c>
      <c r="AH7" s="5274">
        <f t="shared" si="21"/>
        <v>156.1</v>
      </c>
      <c r="AI7" s="5274">
        <f t="shared" ref="AI7:AI75" si="23">+AG7+AC7+W7+S7+O7+K7+G7+E7</f>
        <v>602997.51</v>
      </c>
      <c r="AJ7" s="5274">
        <f t="shared" si="21"/>
        <v>10.5</v>
      </c>
      <c r="AK7" s="5274">
        <f t="shared" si="21"/>
        <v>81673.53</v>
      </c>
      <c r="AL7" s="5274">
        <f t="shared" si="21"/>
        <v>44.1</v>
      </c>
      <c r="AM7" s="5274">
        <f t="shared" si="21"/>
        <v>212462.85</v>
      </c>
      <c r="AN7" s="5274">
        <f t="shared" si="21"/>
        <v>166.6</v>
      </c>
      <c r="AO7" s="5274">
        <f t="shared" si="21"/>
        <v>684671.04</v>
      </c>
      <c r="AP7" s="5274">
        <f t="shared" ref="AP7:AQ7" si="24">SUM(AP4:AP6)</f>
        <v>15.1</v>
      </c>
      <c r="AQ7" s="5274">
        <f t="shared" si="24"/>
        <v>61347.55</v>
      </c>
      <c r="AR7" s="5274">
        <f t="shared" si="21"/>
        <v>181.7</v>
      </c>
      <c r="AS7" s="5274">
        <f t="shared" si="21"/>
        <v>746018.59000000008</v>
      </c>
      <c r="AT7" s="5274">
        <f t="shared" si="21"/>
        <v>15.2</v>
      </c>
      <c r="AU7" s="5274">
        <f t="shared" si="21"/>
        <v>59512.22</v>
      </c>
      <c r="AV7" s="5274">
        <f t="shared" si="21"/>
        <v>196.89999999999998</v>
      </c>
      <c r="AW7" s="5274">
        <f t="shared" si="21"/>
        <v>805530.81</v>
      </c>
      <c r="AX7" s="5274">
        <f t="shared" ref="AX7:AY7" si="25">SUM(AX4:AX6)</f>
        <v>16.399999999999999</v>
      </c>
      <c r="AY7" s="5274">
        <f t="shared" si="25"/>
        <v>64951.240000000005</v>
      </c>
      <c r="AZ7" s="5274">
        <f t="shared" si="21"/>
        <v>46.7</v>
      </c>
      <c r="BA7" s="5274">
        <f t="shared" si="21"/>
        <v>185811.00999999998</v>
      </c>
      <c r="BB7" s="5274">
        <f t="shared" si="21"/>
        <v>90.800000000000011</v>
      </c>
      <c r="BC7" s="5274">
        <f t="shared" si="21"/>
        <v>398273.86</v>
      </c>
      <c r="BD7" s="5274">
        <f t="shared" si="21"/>
        <v>213.3</v>
      </c>
      <c r="BE7" s="5274">
        <f t="shared" si="21"/>
        <v>870482.05</v>
      </c>
      <c r="BF7" s="1137"/>
      <c r="BG7" s="1137"/>
      <c r="BH7" s="502"/>
      <c r="BI7" s="502"/>
      <c r="BJ7" s="502"/>
      <c r="BK7" s="4487"/>
      <c r="BL7" s="4487"/>
      <c r="BM7" s="4487"/>
      <c r="BN7" s="4487"/>
      <c r="BO7" s="4487"/>
      <c r="BP7" s="4487"/>
      <c r="BQ7" s="502"/>
      <c r="BR7" s="502"/>
      <c r="BS7" s="502"/>
      <c r="BT7" s="502"/>
      <c r="BU7" s="502"/>
      <c r="BV7" s="502"/>
      <c r="BW7" s="502"/>
      <c r="BX7" s="502"/>
      <c r="BY7" s="502"/>
      <c r="BZ7" s="502"/>
      <c r="CA7" s="502"/>
      <c r="CB7" s="502"/>
    </row>
    <row r="8" spans="2:80" ht="21.95" customHeight="1" thickBot="1" x14ac:dyDescent="0.3">
      <c r="B8" s="7973"/>
      <c r="C8" s="5270" t="s">
        <v>972</v>
      </c>
      <c r="D8" s="5271">
        <v>6.2</v>
      </c>
      <c r="E8" s="5272">
        <v>23665.3</v>
      </c>
      <c r="F8" s="5271">
        <v>16</v>
      </c>
      <c r="G8" s="5272">
        <v>61793</v>
      </c>
      <c r="H8" s="1394">
        <f t="shared" si="0"/>
        <v>22.2</v>
      </c>
      <c r="I8" s="1395">
        <f t="shared" ref="I8:I75" si="26">+G8+E8</f>
        <v>85458.3</v>
      </c>
      <c r="J8" s="5271">
        <v>9.1</v>
      </c>
      <c r="K8" s="5272">
        <v>34541</v>
      </c>
      <c r="L8" s="5198">
        <f t="shared" si="19"/>
        <v>31.299999999999997</v>
      </c>
      <c r="M8" s="5268">
        <f t="shared" ref="M8:M75" si="27">+E8+G8+K8</f>
        <v>119999.3</v>
      </c>
      <c r="N8" s="5271">
        <v>10.1</v>
      </c>
      <c r="O8" s="5272">
        <v>38148.699999999997</v>
      </c>
      <c r="P8" s="1444">
        <f t="shared" si="1"/>
        <v>41.4</v>
      </c>
      <c r="Q8" s="1444">
        <f t="shared" ref="Q8:Q75" si="28">+E8+G8+K8+O8</f>
        <v>158148</v>
      </c>
      <c r="R8" s="5271">
        <v>6.5</v>
      </c>
      <c r="S8" s="5272">
        <v>24877.300000000003</v>
      </c>
      <c r="T8" s="1444">
        <f t="shared" si="2"/>
        <v>47.9</v>
      </c>
      <c r="U8" s="1444">
        <f t="shared" ref="U8:U75" si="29">+E8+S8+O8+K8+G8</f>
        <v>183025.3</v>
      </c>
      <c r="V8" s="5271">
        <v>3</v>
      </c>
      <c r="W8" s="5272">
        <v>11483.900000000001</v>
      </c>
      <c r="X8" s="5198">
        <f t="shared" si="3"/>
        <v>19.600000000000001</v>
      </c>
      <c r="Y8" s="5269">
        <f t="shared" si="4"/>
        <v>74509.899999999994</v>
      </c>
      <c r="Z8" s="5199">
        <f t="shared" si="5"/>
        <v>50.9</v>
      </c>
      <c r="AA8" s="5196">
        <f t="shared" ref="AA8:AA75" si="30">+W8+S8+O8+K8+G8+E8</f>
        <v>194509.19999999998</v>
      </c>
      <c r="AB8" s="5271">
        <v>5.6</v>
      </c>
      <c r="AC8" s="5272">
        <v>20853.599999999999</v>
      </c>
      <c r="AD8" s="6269">
        <f t="shared" si="6"/>
        <v>56.5</v>
      </c>
      <c r="AE8" s="6203">
        <f t="shared" ref="AE8:AE75" si="31">+AC8+W8+S8+O8+K8+G8+E8</f>
        <v>215362.8</v>
      </c>
      <c r="AF8" s="6261">
        <v>3</v>
      </c>
      <c r="AG8" s="5272">
        <v>11370.2</v>
      </c>
      <c r="AH8" s="1394">
        <f t="shared" ref="AH8:AH12" si="32">AD8+AF8</f>
        <v>59.5</v>
      </c>
      <c r="AI8" s="1444">
        <f t="shared" si="23"/>
        <v>226733</v>
      </c>
      <c r="AJ8" s="5271">
        <v>7.6</v>
      </c>
      <c r="AK8" s="5272">
        <v>22193</v>
      </c>
      <c r="AL8" s="5198">
        <f t="shared" ref="AL8:AL12" si="33">+AB8+AF8+AJ8</f>
        <v>16.2</v>
      </c>
      <c r="AM8" s="5268">
        <f t="shared" si="9"/>
        <v>54416.800000000003</v>
      </c>
      <c r="AN8" s="1394">
        <f t="shared" si="10"/>
        <v>67.099999999999994</v>
      </c>
      <c r="AO8" s="1444">
        <f t="shared" ref="AO8:AO75" si="34">+AK8+AG8+AC8+W8+S8+O8+K8+G8+E8</f>
        <v>248926</v>
      </c>
      <c r="AP8" s="5271">
        <v>6.5</v>
      </c>
      <c r="AQ8" s="5272">
        <v>24690.5</v>
      </c>
      <c r="AR8" s="1394">
        <f t="shared" ref="AR8:AR12" si="35">AN8+AP8</f>
        <v>73.599999999999994</v>
      </c>
      <c r="AS8" s="1444">
        <f t="shared" ref="AS8:AS75" si="36">+AQ8+AK8+AG8+AC8+W8+S8+O8+K8+G8+E8</f>
        <v>273616.5</v>
      </c>
      <c r="AT8" s="5271">
        <v>8.1</v>
      </c>
      <c r="AU8" s="5272">
        <v>31169.4</v>
      </c>
      <c r="AV8" s="1394">
        <f t="shared" ref="AV8:AV12" si="37">AR8+AT8</f>
        <v>81.699999999999989</v>
      </c>
      <c r="AW8" s="1444">
        <f t="shared" ref="AW8:AW75" si="38">+AU8+AQ8+AK8+AG8+AC8+W8+S8+O8+K8+G8+E8</f>
        <v>304785.89999999997</v>
      </c>
      <c r="AX8" s="5271">
        <v>6.8</v>
      </c>
      <c r="AY8" s="5272">
        <v>26191.21</v>
      </c>
      <c r="AZ8" s="5198">
        <f t="shared" ref="AZ8:AZ12" si="39">+AP8+AT8+AX8</f>
        <v>21.4</v>
      </c>
      <c r="BA8" s="5269">
        <f t="shared" si="14"/>
        <v>82051.11</v>
      </c>
      <c r="BB8" s="5199">
        <f t="shared" ref="BB8:BB12" si="40">AL8+AZ8</f>
        <v>37.599999999999994</v>
      </c>
      <c r="BC8" s="5196">
        <f t="shared" si="16"/>
        <v>136467.91</v>
      </c>
      <c r="BD8" s="1394">
        <f t="shared" ref="BD8:BD12" si="41">AV8+AX8</f>
        <v>88.499999999999986</v>
      </c>
      <c r="BE8" s="1444">
        <f t="shared" si="18"/>
        <v>330977.11</v>
      </c>
      <c r="BF8" s="1137"/>
      <c r="BG8" s="1137"/>
      <c r="BH8" s="502"/>
      <c r="BI8" s="502"/>
      <c r="BJ8" s="502"/>
      <c r="BK8" s="4487"/>
      <c r="BL8" s="4487"/>
      <c r="BM8" s="4487"/>
      <c r="BN8" s="4487"/>
      <c r="BO8" s="4487"/>
      <c r="BP8" s="4487"/>
      <c r="BQ8" s="502"/>
      <c r="BR8" s="502"/>
      <c r="BS8" s="502"/>
      <c r="BT8" s="502"/>
      <c r="BU8" s="502"/>
      <c r="BV8" s="502"/>
      <c r="BW8" s="502"/>
      <c r="BX8" s="502"/>
      <c r="BY8" s="502"/>
      <c r="BZ8" s="502"/>
      <c r="CA8" s="502"/>
      <c r="CB8" s="502"/>
    </row>
    <row r="9" spans="2:80" ht="21.95" customHeight="1" thickBot="1" x14ac:dyDescent="0.3">
      <c r="B9" s="7974"/>
      <c r="C9" s="1374" t="s">
        <v>973</v>
      </c>
      <c r="D9" s="5275">
        <v>5.4</v>
      </c>
      <c r="E9" s="5276">
        <v>21586.57</v>
      </c>
      <c r="F9" s="5275">
        <v>11.4</v>
      </c>
      <c r="G9" s="5276">
        <v>37239</v>
      </c>
      <c r="H9" s="1394">
        <f t="shared" si="0"/>
        <v>16.8</v>
      </c>
      <c r="I9" s="1395">
        <f t="shared" si="26"/>
        <v>58825.57</v>
      </c>
      <c r="J9" s="5275">
        <v>12</v>
      </c>
      <c r="K9" s="5276">
        <v>45824</v>
      </c>
      <c r="L9" s="5198">
        <f t="shared" si="19"/>
        <v>28.8</v>
      </c>
      <c r="M9" s="5268">
        <f t="shared" si="27"/>
        <v>104649.57</v>
      </c>
      <c r="N9" s="5275">
        <v>8.5</v>
      </c>
      <c r="O9" s="5276">
        <v>35089.1</v>
      </c>
      <c r="P9" s="1444">
        <f t="shared" si="1"/>
        <v>37.299999999999997</v>
      </c>
      <c r="Q9" s="1444">
        <f t="shared" si="28"/>
        <v>139738.67000000001</v>
      </c>
      <c r="R9" s="5275">
        <v>14.2</v>
      </c>
      <c r="S9" s="5276">
        <v>57164.42</v>
      </c>
      <c r="T9" s="1444">
        <f t="shared" si="2"/>
        <v>51.5</v>
      </c>
      <c r="U9" s="1444">
        <f t="shared" si="29"/>
        <v>196903.09</v>
      </c>
      <c r="V9" s="5275">
        <v>20.100000000000001</v>
      </c>
      <c r="W9" s="5276">
        <v>80796.100000000006</v>
      </c>
      <c r="X9" s="5198">
        <f t="shared" si="3"/>
        <v>42.8</v>
      </c>
      <c r="Y9" s="5269">
        <f t="shared" si="4"/>
        <v>173049.62</v>
      </c>
      <c r="Z9" s="5199">
        <f t="shared" si="5"/>
        <v>71.599999999999994</v>
      </c>
      <c r="AA9" s="5196">
        <f t="shared" si="30"/>
        <v>277699.19</v>
      </c>
      <c r="AB9" s="5275">
        <v>13.8</v>
      </c>
      <c r="AC9" s="5276">
        <v>54071.4</v>
      </c>
      <c r="AD9" s="6269">
        <f t="shared" si="6"/>
        <v>85.399999999999991</v>
      </c>
      <c r="AE9" s="6203">
        <f t="shared" si="31"/>
        <v>331770.59000000003</v>
      </c>
      <c r="AF9" s="5275">
        <v>11.2</v>
      </c>
      <c r="AG9" s="5276">
        <v>44494.119999999995</v>
      </c>
      <c r="AH9" s="1394">
        <f t="shared" si="32"/>
        <v>96.6</v>
      </c>
      <c r="AI9" s="1444">
        <f t="shared" si="23"/>
        <v>376264.70999999996</v>
      </c>
      <c r="AJ9" s="5275">
        <v>2.9</v>
      </c>
      <c r="AK9" s="5276">
        <v>59480.53</v>
      </c>
      <c r="AL9" s="5198">
        <f t="shared" si="33"/>
        <v>27.9</v>
      </c>
      <c r="AM9" s="5268">
        <f t="shared" si="9"/>
        <v>158046.04999999999</v>
      </c>
      <c r="AN9" s="1394">
        <f t="shared" si="10"/>
        <v>99.5</v>
      </c>
      <c r="AO9" s="1444">
        <f t="shared" si="34"/>
        <v>435745.24</v>
      </c>
      <c r="AP9" s="5275">
        <v>8.6</v>
      </c>
      <c r="AQ9" s="5276">
        <v>36657.050000000003</v>
      </c>
      <c r="AR9" s="1394">
        <f t="shared" si="35"/>
        <v>108.1</v>
      </c>
      <c r="AS9" s="1444">
        <f t="shared" si="36"/>
        <v>472402.29</v>
      </c>
      <c r="AT9" s="5275">
        <v>7.1000000000000005</v>
      </c>
      <c r="AU9" s="5276">
        <v>28342.82</v>
      </c>
      <c r="AV9" s="1394">
        <f t="shared" si="37"/>
        <v>115.19999999999999</v>
      </c>
      <c r="AW9" s="1444">
        <f t="shared" si="38"/>
        <v>500745.11</v>
      </c>
      <c r="AX9" s="5275">
        <v>9.6</v>
      </c>
      <c r="AY9" s="5276">
        <v>38760.03</v>
      </c>
      <c r="AZ9" s="5198">
        <f t="shared" si="39"/>
        <v>25.299999999999997</v>
      </c>
      <c r="BA9" s="5269">
        <f t="shared" si="14"/>
        <v>103759.9</v>
      </c>
      <c r="BB9" s="5199">
        <f t="shared" si="40"/>
        <v>53.199999999999996</v>
      </c>
      <c r="BC9" s="5196">
        <f t="shared" si="16"/>
        <v>261805.94999999998</v>
      </c>
      <c r="BD9" s="1394">
        <f t="shared" si="41"/>
        <v>124.79999999999998</v>
      </c>
      <c r="BE9" s="1444">
        <f t="shared" si="18"/>
        <v>539505.14</v>
      </c>
      <c r="BF9" s="1137"/>
      <c r="BG9" s="1137"/>
      <c r="BH9" s="502"/>
      <c r="BI9" s="502"/>
      <c r="BJ9" s="502"/>
      <c r="BK9" s="4487"/>
      <c r="BL9" s="4487"/>
      <c r="BM9" s="4487"/>
      <c r="BN9" s="4487"/>
      <c r="BO9" s="4487"/>
      <c r="BP9" s="4487"/>
      <c r="BQ9" s="502"/>
      <c r="BR9" s="502"/>
      <c r="BS9" s="502"/>
      <c r="BT9" s="502"/>
      <c r="BU9" s="502"/>
      <c r="BV9" s="502"/>
      <c r="BW9" s="502"/>
      <c r="BX9" s="502"/>
      <c r="BY9" s="502"/>
      <c r="BZ9" s="502"/>
      <c r="CA9" s="502"/>
      <c r="CB9" s="502"/>
    </row>
    <row r="10" spans="2:80" ht="21.95" customHeight="1" thickBot="1" x14ac:dyDescent="0.3">
      <c r="B10" s="7972" t="s">
        <v>1178</v>
      </c>
      <c r="C10" s="1371" t="s">
        <v>974</v>
      </c>
      <c r="D10" s="1384">
        <v>48.400000000000006</v>
      </c>
      <c r="E10" s="1391">
        <v>185561.78999999998</v>
      </c>
      <c r="F10" s="1384">
        <v>60.8</v>
      </c>
      <c r="G10" s="1391">
        <v>214121</v>
      </c>
      <c r="H10" s="1394">
        <f t="shared" si="0"/>
        <v>109.2</v>
      </c>
      <c r="I10" s="1395">
        <f t="shared" si="26"/>
        <v>399682.79</v>
      </c>
      <c r="J10" s="1384">
        <v>55.5</v>
      </c>
      <c r="K10" s="1391">
        <v>210544</v>
      </c>
      <c r="L10" s="5198">
        <f t="shared" si="19"/>
        <v>164.7</v>
      </c>
      <c r="M10" s="5268">
        <f t="shared" si="27"/>
        <v>610226.79</v>
      </c>
      <c r="N10" s="1384">
        <v>62.3</v>
      </c>
      <c r="O10" s="1391">
        <v>245889.94</v>
      </c>
      <c r="P10" s="1444">
        <f t="shared" si="1"/>
        <v>227</v>
      </c>
      <c r="Q10" s="1444">
        <f t="shared" si="28"/>
        <v>856116.73</v>
      </c>
      <c r="R10" s="1384">
        <v>51.3</v>
      </c>
      <c r="S10" s="1391">
        <v>198519.24</v>
      </c>
      <c r="T10" s="1444">
        <f t="shared" si="2"/>
        <v>278.3</v>
      </c>
      <c r="U10" s="1444">
        <f t="shared" si="29"/>
        <v>1054635.97</v>
      </c>
      <c r="V10" s="1384">
        <v>63.8</v>
      </c>
      <c r="W10" s="1391">
        <v>248966.46999999997</v>
      </c>
      <c r="X10" s="5198">
        <f t="shared" si="3"/>
        <v>177.39999999999998</v>
      </c>
      <c r="Y10" s="5269">
        <f t="shared" si="4"/>
        <v>693375.64999999991</v>
      </c>
      <c r="Z10" s="5199">
        <f t="shared" si="5"/>
        <v>342.09999999999997</v>
      </c>
      <c r="AA10" s="5196">
        <f t="shared" si="30"/>
        <v>1303602.44</v>
      </c>
      <c r="AB10" s="1384">
        <v>63.199999999999996</v>
      </c>
      <c r="AC10" s="1391">
        <v>243474.99</v>
      </c>
      <c r="AD10" s="6269">
        <f t="shared" si="6"/>
        <v>405.29999999999995</v>
      </c>
      <c r="AE10" s="6203">
        <f t="shared" si="31"/>
        <v>1547077.43</v>
      </c>
      <c r="AF10" s="1384">
        <v>46.7</v>
      </c>
      <c r="AG10" s="1391">
        <v>184238.98</v>
      </c>
      <c r="AH10" s="1394">
        <f t="shared" si="32"/>
        <v>451.99999999999994</v>
      </c>
      <c r="AI10" s="1444">
        <f t="shared" si="23"/>
        <v>1731316.41</v>
      </c>
      <c r="AJ10" s="1384">
        <v>60.6</v>
      </c>
      <c r="AK10" s="1391">
        <v>216130.47999999998</v>
      </c>
      <c r="AL10" s="5198">
        <f t="shared" si="33"/>
        <v>170.5</v>
      </c>
      <c r="AM10" s="5268">
        <f t="shared" si="9"/>
        <v>643844.44999999995</v>
      </c>
      <c r="AN10" s="1394">
        <f t="shared" si="10"/>
        <v>512.59999999999991</v>
      </c>
      <c r="AO10" s="1444">
        <f t="shared" si="34"/>
        <v>1947446.89</v>
      </c>
      <c r="AP10" s="1384">
        <v>57.5</v>
      </c>
      <c r="AQ10" s="1391">
        <v>227045.12</v>
      </c>
      <c r="AR10" s="1394">
        <f t="shared" si="35"/>
        <v>570.09999999999991</v>
      </c>
      <c r="AS10" s="1444">
        <f t="shared" si="36"/>
        <v>2174492.0099999998</v>
      </c>
      <c r="AT10" s="1384">
        <v>49.3</v>
      </c>
      <c r="AU10" s="1391">
        <v>190660.5</v>
      </c>
      <c r="AV10" s="1394">
        <f t="shared" si="37"/>
        <v>619.39999999999986</v>
      </c>
      <c r="AW10" s="1444">
        <f t="shared" si="38"/>
        <v>2365152.5099999998</v>
      </c>
      <c r="AX10" s="1384">
        <v>58.5</v>
      </c>
      <c r="AY10" s="1391">
        <v>233633.87</v>
      </c>
      <c r="AZ10" s="5198">
        <f t="shared" si="39"/>
        <v>165.3</v>
      </c>
      <c r="BA10" s="5269">
        <f t="shared" si="14"/>
        <v>651339.49</v>
      </c>
      <c r="BB10" s="5199">
        <f t="shared" si="40"/>
        <v>335.8</v>
      </c>
      <c r="BC10" s="5196">
        <f t="shared" si="16"/>
        <v>1295183.94</v>
      </c>
      <c r="BD10" s="1394">
        <f t="shared" si="41"/>
        <v>677.89999999999986</v>
      </c>
      <c r="BE10" s="1444">
        <f t="shared" si="18"/>
        <v>2598786.38</v>
      </c>
      <c r="BF10" s="1137"/>
      <c r="BG10" s="1137"/>
      <c r="BH10" s="502"/>
      <c r="BI10" s="502"/>
      <c r="BJ10" s="502"/>
      <c r="BK10" s="4487"/>
      <c r="BL10" s="4487"/>
      <c r="BM10" s="4487"/>
      <c r="BN10" s="4487"/>
      <c r="BO10" s="4487"/>
      <c r="BP10" s="4487"/>
      <c r="BQ10" s="502"/>
      <c r="BR10" s="502"/>
      <c r="BS10" s="502"/>
      <c r="BT10" s="502"/>
      <c r="BU10" s="502"/>
      <c r="BV10" s="502"/>
      <c r="BW10" s="502"/>
      <c r="BX10" s="502"/>
      <c r="BY10" s="502"/>
      <c r="BZ10" s="502"/>
      <c r="CA10" s="502"/>
      <c r="CB10" s="502"/>
    </row>
    <row r="11" spans="2:80" ht="21.95" customHeight="1" thickBot="1" x14ac:dyDescent="0.3">
      <c r="B11" s="7973"/>
      <c r="C11" s="5270" t="s">
        <v>975</v>
      </c>
      <c r="D11" s="5271">
        <v>16</v>
      </c>
      <c r="E11" s="5277">
        <v>62457.100000000006</v>
      </c>
      <c r="F11" s="5271">
        <v>12.8</v>
      </c>
      <c r="G11" s="5277">
        <v>37438</v>
      </c>
      <c r="H11" s="1394">
        <f t="shared" si="0"/>
        <v>28.8</v>
      </c>
      <c r="I11" s="1395">
        <f t="shared" si="26"/>
        <v>99895.1</v>
      </c>
      <c r="J11" s="5271">
        <v>11.4</v>
      </c>
      <c r="K11" s="5277">
        <v>43637</v>
      </c>
      <c r="L11" s="5198">
        <f t="shared" si="19"/>
        <v>40.200000000000003</v>
      </c>
      <c r="M11" s="5268">
        <f t="shared" si="27"/>
        <v>143532.1</v>
      </c>
      <c r="N11" s="5271">
        <v>8.8000000000000007</v>
      </c>
      <c r="O11" s="5277">
        <v>33986.5</v>
      </c>
      <c r="P11" s="1444">
        <f t="shared" si="1"/>
        <v>49</v>
      </c>
      <c r="Q11" s="1444">
        <f t="shared" si="28"/>
        <v>177518.6</v>
      </c>
      <c r="R11" s="5271">
        <v>15</v>
      </c>
      <c r="S11" s="5277">
        <v>59832.829999999994</v>
      </c>
      <c r="T11" s="1444">
        <f t="shared" si="2"/>
        <v>64</v>
      </c>
      <c r="U11" s="1444">
        <f t="shared" si="29"/>
        <v>237351.43</v>
      </c>
      <c r="V11" s="5271">
        <v>15.7</v>
      </c>
      <c r="W11" s="5277">
        <v>64874.799999999996</v>
      </c>
      <c r="X11" s="5198">
        <f t="shared" si="3"/>
        <v>39.5</v>
      </c>
      <c r="Y11" s="5269">
        <f t="shared" si="4"/>
        <v>158694.12999999998</v>
      </c>
      <c r="Z11" s="5199">
        <f t="shared" si="5"/>
        <v>79.7</v>
      </c>
      <c r="AA11" s="5196">
        <f t="shared" si="30"/>
        <v>302226.23</v>
      </c>
      <c r="AB11" s="5271">
        <v>13.4</v>
      </c>
      <c r="AC11" s="5277">
        <v>52192.4</v>
      </c>
      <c r="AD11" s="6269">
        <f t="shared" si="6"/>
        <v>93.100000000000009</v>
      </c>
      <c r="AE11" s="6203">
        <f t="shared" si="31"/>
        <v>354418.63</v>
      </c>
      <c r="AF11" s="6261">
        <v>13.1</v>
      </c>
      <c r="AG11" s="5277">
        <v>52944.41</v>
      </c>
      <c r="AH11" s="1394">
        <f t="shared" si="32"/>
        <v>106.2</v>
      </c>
      <c r="AI11" s="1444">
        <f t="shared" si="23"/>
        <v>407363.03999999992</v>
      </c>
      <c r="AJ11" s="5271">
        <v>6.9</v>
      </c>
      <c r="AK11" s="5277">
        <v>70013.509999999995</v>
      </c>
      <c r="AL11" s="5198">
        <f t="shared" si="33"/>
        <v>33.4</v>
      </c>
      <c r="AM11" s="5268">
        <f t="shared" si="9"/>
        <v>175150.32</v>
      </c>
      <c r="AN11" s="1394">
        <f t="shared" si="10"/>
        <v>113.10000000000001</v>
      </c>
      <c r="AO11" s="1444">
        <f t="shared" si="34"/>
        <v>477376.55000000005</v>
      </c>
      <c r="AP11" s="5271">
        <v>10</v>
      </c>
      <c r="AQ11" s="5277">
        <v>40538.5</v>
      </c>
      <c r="AR11" s="1394">
        <f t="shared" si="35"/>
        <v>123.10000000000001</v>
      </c>
      <c r="AS11" s="1444">
        <f t="shared" si="36"/>
        <v>517915.05000000005</v>
      </c>
      <c r="AT11" s="5271">
        <v>12.3</v>
      </c>
      <c r="AU11" s="5277">
        <v>49612.18</v>
      </c>
      <c r="AV11" s="1394">
        <f t="shared" si="37"/>
        <v>135.4</v>
      </c>
      <c r="AW11" s="1444">
        <f t="shared" si="38"/>
        <v>567527.23</v>
      </c>
      <c r="AX11" s="5271">
        <v>8.1</v>
      </c>
      <c r="AY11" s="5277">
        <v>35511.549999999996</v>
      </c>
      <c r="AZ11" s="5198">
        <f t="shared" si="39"/>
        <v>30.4</v>
      </c>
      <c r="BA11" s="5269">
        <f t="shared" si="14"/>
        <v>125662.22999999998</v>
      </c>
      <c r="BB11" s="5199">
        <f t="shared" si="40"/>
        <v>63.8</v>
      </c>
      <c r="BC11" s="5196">
        <f t="shared" si="16"/>
        <v>300812.55</v>
      </c>
      <c r="BD11" s="1394">
        <f t="shared" si="41"/>
        <v>143.5</v>
      </c>
      <c r="BE11" s="1444">
        <f t="shared" si="18"/>
        <v>603038.78</v>
      </c>
      <c r="BF11" s="1137"/>
      <c r="BG11" s="1137"/>
      <c r="BH11" s="502"/>
      <c r="BI11" s="502"/>
      <c r="BJ11" s="502"/>
      <c r="BK11" s="4487"/>
      <c r="BL11" s="4487"/>
      <c r="BM11" s="4487"/>
      <c r="BN11" s="4487"/>
      <c r="BO11" s="4487"/>
      <c r="BP11" s="4487"/>
      <c r="BQ11" s="502"/>
      <c r="BR11" s="502"/>
      <c r="BS11" s="502"/>
      <c r="BT11" s="502"/>
      <c r="BU11" s="502"/>
      <c r="BV11" s="502"/>
      <c r="BW11" s="502"/>
      <c r="BX11" s="502"/>
      <c r="BY11" s="502"/>
      <c r="BZ11" s="502"/>
      <c r="CA11" s="502"/>
      <c r="CB11" s="502"/>
    </row>
    <row r="12" spans="2:80" ht="21.95" customHeight="1" x14ac:dyDescent="0.25">
      <c r="B12" s="7973"/>
      <c r="C12" s="5270" t="s">
        <v>1177</v>
      </c>
      <c r="D12" s="5271">
        <v>1</v>
      </c>
      <c r="E12" s="5272">
        <v>3478.6</v>
      </c>
      <c r="F12" s="5271">
        <v>1</v>
      </c>
      <c r="G12" s="5272">
        <v>3081</v>
      </c>
      <c r="H12" s="1394">
        <f t="shared" si="0"/>
        <v>2</v>
      </c>
      <c r="I12" s="1395">
        <f t="shared" si="26"/>
        <v>6559.6</v>
      </c>
      <c r="J12" s="5271">
        <v>3</v>
      </c>
      <c r="K12" s="5272">
        <v>10570</v>
      </c>
      <c r="L12" s="5198">
        <f t="shared" si="19"/>
        <v>5</v>
      </c>
      <c r="M12" s="5268">
        <f t="shared" si="27"/>
        <v>17129.599999999999</v>
      </c>
      <c r="N12" s="5271">
        <v>5</v>
      </c>
      <c r="O12" s="5272">
        <v>17532.900000000001</v>
      </c>
      <c r="P12" s="1444">
        <f t="shared" si="1"/>
        <v>10</v>
      </c>
      <c r="Q12" s="1444">
        <f t="shared" si="28"/>
        <v>34662.5</v>
      </c>
      <c r="R12" s="5271">
        <v>5</v>
      </c>
      <c r="S12" s="5272">
        <v>18020.079999999998</v>
      </c>
      <c r="T12" s="1444">
        <f t="shared" si="2"/>
        <v>15</v>
      </c>
      <c r="U12" s="1444">
        <f t="shared" si="29"/>
        <v>52682.58</v>
      </c>
      <c r="V12" s="5271">
        <v>0</v>
      </c>
      <c r="W12" s="5272">
        <v>0</v>
      </c>
      <c r="X12" s="5198">
        <f t="shared" si="3"/>
        <v>10</v>
      </c>
      <c r="Y12" s="5269">
        <f t="shared" si="4"/>
        <v>35552.979999999996</v>
      </c>
      <c r="Z12" s="5199">
        <f t="shared" si="5"/>
        <v>15</v>
      </c>
      <c r="AA12" s="5196">
        <f t="shared" si="30"/>
        <v>52682.579999999994</v>
      </c>
      <c r="AB12" s="5271">
        <v>1</v>
      </c>
      <c r="AC12" s="5272">
        <v>4012</v>
      </c>
      <c r="AD12" s="6269">
        <f t="shared" si="6"/>
        <v>16</v>
      </c>
      <c r="AE12" s="6203">
        <f t="shared" si="31"/>
        <v>56694.579999999994</v>
      </c>
      <c r="AF12" s="6261">
        <v>0</v>
      </c>
      <c r="AG12" s="5272">
        <v>0</v>
      </c>
      <c r="AH12" s="1394">
        <f t="shared" si="32"/>
        <v>16</v>
      </c>
      <c r="AI12" s="1444">
        <f t="shared" si="23"/>
        <v>56694.579999999994</v>
      </c>
      <c r="AJ12" s="5271">
        <v>1</v>
      </c>
      <c r="AK12" s="5272">
        <v>0</v>
      </c>
      <c r="AL12" s="5198">
        <f t="shared" si="33"/>
        <v>2</v>
      </c>
      <c r="AM12" s="5268">
        <f t="shared" si="9"/>
        <v>4012</v>
      </c>
      <c r="AN12" s="1394">
        <f t="shared" si="10"/>
        <v>17</v>
      </c>
      <c r="AO12" s="1444">
        <f t="shared" si="34"/>
        <v>56694.579999999994</v>
      </c>
      <c r="AP12" s="5271">
        <v>0</v>
      </c>
      <c r="AQ12" s="5272">
        <v>0</v>
      </c>
      <c r="AR12" s="1394">
        <f t="shared" si="35"/>
        <v>17</v>
      </c>
      <c r="AS12" s="1444">
        <f t="shared" si="36"/>
        <v>56694.579999999994</v>
      </c>
      <c r="AT12" s="5271">
        <v>0</v>
      </c>
      <c r="AU12" s="5272">
        <v>0</v>
      </c>
      <c r="AV12" s="1394">
        <f t="shared" si="37"/>
        <v>17</v>
      </c>
      <c r="AW12" s="1444">
        <f t="shared" si="38"/>
        <v>56694.579999999994</v>
      </c>
      <c r="AX12" s="5271">
        <v>0</v>
      </c>
      <c r="AY12" s="5272">
        <v>0</v>
      </c>
      <c r="AZ12" s="5198">
        <f t="shared" si="39"/>
        <v>0</v>
      </c>
      <c r="BA12" s="5269">
        <f t="shared" si="14"/>
        <v>0</v>
      </c>
      <c r="BB12" s="5199">
        <f t="shared" si="40"/>
        <v>2</v>
      </c>
      <c r="BC12" s="5196">
        <f t="shared" si="16"/>
        <v>4012</v>
      </c>
      <c r="BD12" s="1394">
        <f t="shared" si="41"/>
        <v>17</v>
      </c>
      <c r="BE12" s="1444">
        <f t="shared" si="18"/>
        <v>56694.579999999994</v>
      </c>
      <c r="BF12" s="1137"/>
      <c r="BG12" s="1137"/>
      <c r="BH12" s="502"/>
      <c r="BI12" s="502"/>
      <c r="BJ12" s="502"/>
      <c r="BK12" s="4487"/>
      <c r="BL12" s="4487"/>
      <c r="BM12" s="4487"/>
      <c r="BN12" s="4487"/>
      <c r="BO12" s="4487"/>
      <c r="BP12" s="4487"/>
      <c r="BQ12" s="502"/>
      <c r="BR12" s="502"/>
      <c r="BS12" s="502"/>
      <c r="BT12" s="502"/>
      <c r="BU12" s="502"/>
      <c r="BV12" s="502"/>
      <c r="BW12" s="502"/>
      <c r="BX12" s="502"/>
      <c r="BY12" s="502"/>
      <c r="BZ12" s="502"/>
      <c r="CA12" s="502"/>
      <c r="CB12" s="502"/>
    </row>
    <row r="13" spans="2:80" ht="21.95" customHeight="1" thickBot="1" x14ac:dyDescent="0.3">
      <c r="B13" s="7973"/>
      <c r="C13" s="5273" t="s">
        <v>2</v>
      </c>
      <c r="D13" s="5274">
        <f t="shared" ref="D13:E13" si="42">SUM(D10:D12)</f>
        <v>65.400000000000006</v>
      </c>
      <c r="E13" s="5274">
        <f t="shared" si="42"/>
        <v>251497.49</v>
      </c>
      <c r="F13" s="5274">
        <f t="shared" ref="F13:BE13" si="43">SUM(F10:F12)</f>
        <v>74.599999999999994</v>
      </c>
      <c r="G13" s="5274">
        <f t="shared" si="43"/>
        <v>254640</v>
      </c>
      <c r="H13" s="5274">
        <f t="shared" si="43"/>
        <v>140</v>
      </c>
      <c r="I13" s="5274">
        <f t="shared" si="43"/>
        <v>506137.49</v>
      </c>
      <c r="J13" s="5274">
        <f t="shared" si="43"/>
        <v>69.900000000000006</v>
      </c>
      <c r="K13" s="5274">
        <f t="shared" si="43"/>
        <v>264751</v>
      </c>
      <c r="L13" s="5274">
        <f t="shared" si="43"/>
        <v>209.89999999999998</v>
      </c>
      <c r="M13" s="5274">
        <f t="shared" si="43"/>
        <v>770888.49</v>
      </c>
      <c r="N13" s="5274">
        <f t="shared" si="43"/>
        <v>76.099999999999994</v>
      </c>
      <c r="O13" s="5274">
        <f t="shared" si="43"/>
        <v>297409.34000000003</v>
      </c>
      <c r="P13" s="5274">
        <f t="shared" si="43"/>
        <v>286</v>
      </c>
      <c r="Q13" s="5274">
        <f t="shared" si="43"/>
        <v>1068297.83</v>
      </c>
      <c r="R13" s="5274">
        <f t="shared" si="43"/>
        <v>71.3</v>
      </c>
      <c r="S13" s="5274">
        <f t="shared" si="43"/>
        <v>276372.14999999997</v>
      </c>
      <c r="T13" s="5274">
        <f t="shared" si="43"/>
        <v>357.3</v>
      </c>
      <c r="U13" s="5274">
        <f t="shared" si="43"/>
        <v>1344669.98</v>
      </c>
      <c r="V13" s="5274">
        <f t="shared" si="43"/>
        <v>79.5</v>
      </c>
      <c r="W13" s="5274">
        <f t="shared" si="43"/>
        <v>313841.26999999996</v>
      </c>
      <c r="X13" s="5274">
        <f t="shared" si="43"/>
        <v>226.89999999999998</v>
      </c>
      <c r="Y13" s="5274">
        <f t="shared" si="43"/>
        <v>887622.75999999989</v>
      </c>
      <c r="Z13" s="5274">
        <f t="shared" si="43"/>
        <v>436.79999999999995</v>
      </c>
      <c r="AA13" s="5274">
        <f t="shared" si="43"/>
        <v>1658511.25</v>
      </c>
      <c r="AB13" s="5274">
        <f t="shared" si="43"/>
        <v>77.599999999999994</v>
      </c>
      <c r="AC13" s="5274">
        <f t="shared" si="43"/>
        <v>299679.39</v>
      </c>
      <c r="AD13" s="6270">
        <f t="shared" si="43"/>
        <v>514.4</v>
      </c>
      <c r="AE13" s="5983">
        <f t="shared" si="43"/>
        <v>1958190.6400000001</v>
      </c>
      <c r="AF13" s="6246">
        <f t="shared" si="43"/>
        <v>59.800000000000004</v>
      </c>
      <c r="AG13" s="5274">
        <f t="shared" ref="AG13" si="44">SUM(AG10:AG12)</f>
        <v>237183.39</v>
      </c>
      <c r="AH13" s="5274">
        <f t="shared" si="43"/>
        <v>574.19999999999993</v>
      </c>
      <c r="AI13" s="5274">
        <f t="shared" si="23"/>
        <v>2195374.0300000003</v>
      </c>
      <c r="AJ13" s="5274">
        <f t="shared" si="43"/>
        <v>68.5</v>
      </c>
      <c r="AK13" s="5274">
        <f t="shared" si="43"/>
        <v>286143.99</v>
      </c>
      <c r="AL13" s="5274">
        <f t="shared" si="43"/>
        <v>205.9</v>
      </c>
      <c r="AM13" s="5274">
        <f t="shared" si="43"/>
        <v>823006.77</v>
      </c>
      <c r="AN13" s="5274">
        <f t="shared" si="43"/>
        <v>642.69999999999993</v>
      </c>
      <c r="AO13" s="5274">
        <f t="shared" si="43"/>
        <v>2481518.02</v>
      </c>
      <c r="AP13" s="5274">
        <f t="shared" ref="AP13:AQ13" si="45">SUM(AP10:AP12)</f>
        <v>67.5</v>
      </c>
      <c r="AQ13" s="5274">
        <f t="shared" si="45"/>
        <v>267583.62</v>
      </c>
      <c r="AR13" s="5274">
        <f t="shared" si="43"/>
        <v>710.19999999999993</v>
      </c>
      <c r="AS13" s="5274">
        <f t="shared" si="43"/>
        <v>2749101.6399999997</v>
      </c>
      <c r="AT13" s="5274">
        <f t="shared" si="43"/>
        <v>61.599999999999994</v>
      </c>
      <c r="AU13" s="5274">
        <f t="shared" si="43"/>
        <v>240272.68</v>
      </c>
      <c r="AV13" s="5274">
        <f t="shared" si="43"/>
        <v>771.79999999999984</v>
      </c>
      <c r="AW13" s="5274">
        <f t="shared" si="43"/>
        <v>2989374.32</v>
      </c>
      <c r="AX13" s="5274">
        <f t="shared" ref="AX13:AY13" si="46">SUM(AX10:AX12)</f>
        <v>66.599999999999994</v>
      </c>
      <c r="AY13" s="5274">
        <f t="shared" si="46"/>
        <v>269145.42</v>
      </c>
      <c r="AZ13" s="5274">
        <f t="shared" si="43"/>
        <v>195.70000000000002</v>
      </c>
      <c r="BA13" s="5274">
        <f t="shared" si="43"/>
        <v>777001.72</v>
      </c>
      <c r="BB13" s="5274">
        <f t="shared" si="43"/>
        <v>401.6</v>
      </c>
      <c r="BC13" s="5274">
        <f t="shared" si="43"/>
        <v>1600008.49</v>
      </c>
      <c r="BD13" s="5274">
        <f t="shared" si="43"/>
        <v>838.39999999999986</v>
      </c>
      <c r="BE13" s="5274">
        <f t="shared" si="43"/>
        <v>3258519.74</v>
      </c>
      <c r="BF13" s="1137"/>
      <c r="BG13" s="1137"/>
      <c r="BH13" s="502"/>
      <c r="BI13" s="502"/>
      <c r="BJ13" s="502"/>
      <c r="BK13" s="4487"/>
      <c r="BL13" s="4487"/>
      <c r="BM13" s="4487"/>
      <c r="BN13" s="4487"/>
      <c r="BO13" s="4487"/>
      <c r="BP13" s="4487"/>
      <c r="BQ13" s="502"/>
      <c r="BR13" s="502"/>
      <c r="BS13" s="502"/>
      <c r="BT13" s="502"/>
      <c r="BU13" s="502"/>
      <c r="BV13" s="502"/>
      <c r="BW13" s="502"/>
      <c r="BX13" s="502"/>
      <c r="BY13" s="502"/>
      <c r="BZ13" s="502"/>
      <c r="CA13" s="502"/>
      <c r="CB13" s="502"/>
    </row>
    <row r="14" spans="2:80" ht="21.95" customHeight="1" thickBot="1" x14ac:dyDescent="0.3">
      <c r="B14" s="7973"/>
      <c r="C14" s="5270" t="s">
        <v>972</v>
      </c>
      <c r="D14" s="5271">
        <v>33.799999999999997</v>
      </c>
      <c r="E14" s="5272">
        <v>128166.6</v>
      </c>
      <c r="F14" s="5271">
        <v>43</v>
      </c>
      <c r="G14" s="5272">
        <v>157366</v>
      </c>
      <c r="H14" s="1394">
        <f t="shared" si="0"/>
        <v>76.8</v>
      </c>
      <c r="I14" s="1395">
        <f t="shared" si="26"/>
        <v>285532.59999999998</v>
      </c>
      <c r="J14" s="5271">
        <v>40.9</v>
      </c>
      <c r="K14" s="5272">
        <v>156519</v>
      </c>
      <c r="L14" s="5198">
        <f t="shared" si="19"/>
        <v>117.69999999999999</v>
      </c>
      <c r="M14" s="5268">
        <f t="shared" si="27"/>
        <v>442051.6</v>
      </c>
      <c r="N14" s="5271">
        <v>41.6</v>
      </c>
      <c r="O14" s="5272">
        <v>157151</v>
      </c>
      <c r="P14" s="1444">
        <f t="shared" si="1"/>
        <v>159.29999999999998</v>
      </c>
      <c r="Q14" s="1444">
        <f t="shared" si="28"/>
        <v>599202.6</v>
      </c>
      <c r="R14" s="5271">
        <v>31.5</v>
      </c>
      <c r="S14" s="5272">
        <v>118600.1</v>
      </c>
      <c r="T14" s="1444">
        <f t="shared" si="2"/>
        <v>190.79999999999998</v>
      </c>
      <c r="U14" s="1444">
        <f t="shared" si="29"/>
        <v>717802.7</v>
      </c>
      <c r="V14" s="5271">
        <v>18.8</v>
      </c>
      <c r="W14" s="5272">
        <v>71715.3</v>
      </c>
      <c r="X14" s="5198">
        <f t="shared" si="3"/>
        <v>91.899999999999991</v>
      </c>
      <c r="Y14" s="5269">
        <f t="shared" si="4"/>
        <v>347466.39999999997</v>
      </c>
      <c r="Z14" s="5199">
        <f t="shared" si="5"/>
        <v>209.59999999999997</v>
      </c>
      <c r="AA14" s="5196">
        <f t="shared" si="30"/>
        <v>789518</v>
      </c>
      <c r="AB14" s="5271">
        <v>31.4</v>
      </c>
      <c r="AC14" s="5272">
        <v>118011</v>
      </c>
      <c r="AD14" s="6269">
        <f t="shared" si="6"/>
        <v>240.99999999999997</v>
      </c>
      <c r="AE14" s="6203">
        <f t="shared" si="31"/>
        <v>907529</v>
      </c>
      <c r="AF14" s="6261">
        <v>21</v>
      </c>
      <c r="AG14" s="5272">
        <v>78525.400000000009</v>
      </c>
      <c r="AH14" s="1394">
        <f t="shared" ref="AH14:AH20" si="47">AD14+AF14</f>
        <v>262</v>
      </c>
      <c r="AI14" s="1444">
        <f t="shared" si="23"/>
        <v>986054.4</v>
      </c>
      <c r="AJ14" s="5271">
        <v>59.4</v>
      </c>
      <c r="AK14" s="5272">
        <v>115965.5</v>
      </c>
      <c r="AL14" s="5198">
        <f t="shared" ref="AL14:AL20" si="48">+AB14+AF14+AJ14</f>
        <v>111.8</v>
      </c>
      <c r="AM14" s="5268">
        <f t="shared" si="9"/>
        <v>312501.90000000002</v>
      </c>
      <c r="AN14" s="1394">
        <f t="shared" si="10"/>
        <v>321.39999999999998</v>
      </c>
      <c r="AO14" s="1444">
        <f t="shared" si="34"/>
        <v>1102019.9000000001</v>
      </c>
      <c r="AP14" s="5271">
        <v>34.5</v>
      </c>
      <c r="AQ14" s="5272">
        <v>133030.20000000001</v>
      </c>
      <c r="AR14" s="1394">
        <f t="shared" ref="AR14:AR20" si="49">AN14+AP14</f>
        <v>355.9</v>
      </c>
      <c r="AS14" s="1444">
        <f t="shared" si="36"/>
        <v>1235050.1000000001</v>
      </c>
      <c r="AT14" s="5271">
        <v>29.9</v>
      </c>
      <c r="AU14" s="5272">
        <v>113945.5</v>
      </c>
      <c r="AV14" s="1394">
        <f t="shared" ref="AV14:AV20" si="50">AR14+AT14</f>
        <v>385.79999999999995</v>
      </c>
      <c r="AW14" s="1444">
        <f t="shared" si="38"/>
        <v>1348995.6</v>
      </c>
      <c r="AX14" s="5271">
        <v>26.2</v>
      </c>
      <c r="AY14" s="5272">
        <v>101229.5</v>
      </c>
      <c r="AZ14" s="5198">
        <f t="shared" ref="AZ14:AZ20" si="51">+AP14+AT14+AX14</f>
        <v>90.600000000000009</v>
      </c>
      <c r="BA14" s="5269">
        <f t="shared" si="14"/>
        <v>348205.2</v>
      </c>
      <c r="BB14" s="5199">
        <f t="shared" ref="BB14:BB20" si="52">AL14+AZ14</f>
        <v>202.4</v>
      </c>
      <c r="BC14" s="5196">
        <f t="shared" si="16"/>
        <v>660707.10000000009</v>
      </c>
      <c r="BD14" s="1394">
        <f t="shared" ref="BD14:BD20" si="53">AV14+AX14</f>
        <v>411.99999999999994</v>
      </c>
      <c r="BE14" s="1444">
        <f t="shared" si="18"/>
        <v>1450225.1</v>
      </c>
      <c r="BF14" s="1137"/>
      <c r="BG14" s="1137"/>
      <c r="BH14" s="502"/>
      <c r="BI14" s="502"/>
      <c r="BJ14" s="502"/>
      <c r="BK14" s="4487"/>
      <c r="BL14" s="4487"/>
      <c r="BM14" s="4487"/>
      <c r="BN14" s="4487"/>
      <c r="BO14" s="4487"/>
      <c r="BP14" s="4487"/>
      <c r="BQ14" s="502"/>
      <c r="BR14" s="502"/>
      <c r="BS14" s="502"/>
      <c r="BT14" s="502"/>
      <c r="BU14" s="502"/>
      <c r="BV14" s="502"/>
      <c r="BW14" s="502"/>
      <c r="BX14" s="502"/>
      <c r="BY14" s="502"/>
      <c r="BZ14" s="502"/>
      <c r="CA14" s="502"/>
      <c r="CB14" s="502"/>
    </row>
    <row r="15" spans="2:80" ht="21.95" customHeight="1" thickBot="1" x14ac:dyDescent="0.3">
      <c r="B15" s="7974"/>
      <c r="C15" s="1374" t="s">
        <v>973</v>
      </c>
      <c r="D15" s="5275">
        <v>31.6</v>
      </c>
      <c r="E15" s="5276">
        <v>123330.89</v>
      </c>
      <c r="F15" s="5275">
        <v>31.6</v>
      </c>
      <c r="G15" s="5276">
        <v>97275</v>
      </c>
      <c r="H15" s="1394">
        <f t="shared" si="0"/>
        <v>63.2</v>
      </c>
      <c r="I15" s="1395">
        <f t="shared" si="26"/>
        <v>220605.89</v>
      </c>
      <c r="J15" s="5275">
        <v>29</v>
      </c>
      <c r="K15" s="5276">
        <v>108233</v>
      </c>
      <c r="L15" s="5198">
        <f t="shared" si="19"/>
        <v>92.2</v>
      </c>
      <c r="M15" s="5268">
        <f t="shared" si="27"/>
        <v>328838.89</v>
      </c>
      <c r="N15" s="5275">
        <v>34.5</v>
      </c>
      <c r="O15" s="5276">
        <v>140258.34</v>
      </c>
      <c r="P15" s="1444">
        <f t="shared" si="1"/>
        <v>126.7</v>
      </c>
      <c r="Q15" s="1444">
        <f t="shared" si="28"/>
        <v>469097.23</v>
      </c>
      <c r="R15" s="5275">
        <v>39.799999999999997</v>
      </c>
      <c r="S15" s="5276">
        <v>157772.05000000002</v>
      </c>
      <c r="T15" s="1444">
        <f t="shared" si="2"/>
        <v>166.5</v>
      </c>
      <c r="U15" s="1444">
        <f t="shared" si="29"/>
        <v>626869.28</v>
      </c>
      <c r="V15" s="5275">
        <v>60.7</v>
      </c>
      <c r="W15" s="5276">
        <v>242125.96999999997</v>
      </c>
      <c r="X15" s="5198">
        <f t="shared" si="3"/>
        <v>135</v>
      </c>
      <c r="Y15" s="5269">
        <f t="shared" si="4"/>
        <v>540156.36</v>
      </c>
      <c r="Z15" s="5199">
        <f t="shared" si="5"/>
        <v>227.2</v>
      </c>
      <c r="AA15" s="5196">
        <f t="shared" si="30"/>
        <v>868995.25</v>
      </c>
      <c r="AB15" s="5275">
        <v>46.199999999999996</v>
      </c>
      <c r="AC15" s="5276">
        <v>181668.38999999998</v>
      </c>
      <c r="AD15" s="6269">
        <f t="shared" si="6"/>
        <v>273.39999999999998</v>
      </c>
      <c r="AE15" s="6203">
        <f t="shared" si="31"/>
        <v>1050663.6399999999</v>
      </c>
      <c r="AF15" s="5275">
        <v>38.799999999999997</v>
      </c>
      <c r="AG15" s="5276">
        <v>158657.99</v>
      </c>
      <c r="AH15" s="1394">
        <f t="shared" si="47"/>
        <v>312.2</v>
      </c>
      <c r="AI15" s="1444">
        <f t="shared" si="23"/>
        <v>1209321.6299999999</v>
      </c>
      <c r="AJ15" s="5275">
        <v>9.1</v>
      </c>
      <c r="AK15" s="5276">
        <v>170178.49</v>
      </c>
      <c r="AL15" s="5198">
        <f t="shared" si="48"/>
        <v>94.1</v>
      </c>
      <c r="AM15" s="5268">
        <f t="shared" si="9"/>
        <v>510504.87</v>
      </c>
      <c r="AN15" s="1394">
        <f t="shared" si="10"/>
        <v>321.3</v>
      </c>
      <c r="AO15" s="1444">
        <f t="shared" si="34"/>
        <v>1379500.1199999999</v>
      </c>
      <c r="AP15" s="5275">
        <v>33</v>
      </c>
      <c r="AQ15" s="5276">
        <v>134553.41999999998</v>
      </c>
      <c r="AR15" s="1394">
        <f t="shared" si="49"/>
        <v>354.3</v>
      </c>
      <c r="AS15" s="1444">
        <f t="shared" si="36"/>
        <v>1514053.5399999998</v>
      </c>
      <c r="AT15" s="5275">
        <v>31.7</v>
      </c>
      <c r="AU15" s="5276">
        <v>126327.18000000001</v>
      </c>
      <c r="AV15" s="1394">
        <f t="shared" si="50"/>
        <v>386</v>
      </c>
      <c r="AW15" s="1444">
        <f t="shared" si="38"/>
        <v>1640380.72</v>
      </c>
      <c r="AX15" s="5275">
        <v>40.4</v>
      </c>
      <c r="AY15" s="5276">
        <v>167915.92</v>
      </c>
      <c r="AZ15" s="5198">
        <f t="shared" si="51"/>
        <v>105.1</v>
      </c>
      <c r="BA15" s="5269">
        <f t="shared" si="14"/>
        <v>428796.52</v>
      </c>
      <c r="BB15" s="5199">
        <f t="shared" si="52"/>
        <v>199.2</v>
      </c>
      <c r="BC15" s="5196">
        <f t="shared" si="16"/>
        <v>939301.39</v>
      </c>
      <c r="BD15" s="1394">
        <f t="shared" si="53"/>
        <v>426.4</v>
      </c>
      <c r="BE15" s="1444">
        <f t="shared" si="18"/>
        <v>1808296.6400000001</v>
      </c>
      <c r="BF15" s="1137"/>
      <c r="BG15" s="1137"/>
      <c r="BH15" s="502"/>
      <c r="BI15" s="502"/>
      <c r="BJ15" s="502"/>
      <c r="BK15" s="4487"/>
      <c r="BL15" s="4487"/>
      <c r="BM15" s="4487"/>
      <c r="BN15" s="4487"/>
      <c r="BO15" s="4487"/>
      <c r="BP15" s="4487"/>
      <c r="BQ15" s="502"/>
      <c r="BR15" s="502"/>
      <c r="BS15" s="502"/>
      <c r="BT15" s="502"/>
      <c r="BU15" s="502"/>
      <c r="BV15" s="502"/>
      <c r="BW15" s="502"/>
      <c r="BX15" s="502"/>
      <c r="BY15" s="502"/>
      <c r="BZ15" s="502"/>
      <c r="CA15" s="502"/>
      <c r="CB15" s="502"/>
    </row>
    <row r="16" spans="2:80" s="4487" customFormat="1" ht="21.95" customHeight="1" thickBot="1" x14ac:dyDescent="0.3">
      <c r="B16" s="7993" t="s">
        <v>1263</v>
      </c>
      <c r="C16" s="5527" t="s">
        <v>1985</v>
      </c>
      <c r="D16" s="5530">
        <v>21</v>
      </c>
      <c r="E16" s="5531">
        <v>89757.4</v>
      </c>
      <c r="F16" s="5530">
        <v>20</v>
      </c>
      <c r="G16" s="5531">
        <v>82611</v>
      </c>
      <c r="H16" s="1394">
        <f t="shared" si="0"/>
        <v>41</v>
      </c>
      <c r="I16" s="1395">
        <f t="shared" si="26"/>
        <v>172368.4</v>
      </c>
      <c r="J16" s="5530">
        <v>20</v>
      </c>
      <c r="K16" s="5531">
        <v>85063</v>
      </c>
      <c r="L16" s="5198">
        <f t="shared" ref="L16:L18" si="54">+D16+F16+J16</f>
        <v>61</v>
      </c>
      <c r="M16" s="5268">
        <f t="shared" si="27"/>
        <v>257431.4</v>
      </c>
      <c r="N16" s="5530">
        <v>22</v>
      </c>
      <c r="O16" s="5531">
        <v>90744.8</v>
      </c>
      <c r="P16" s="1444">
        <f t="shared" si="1"/>
        <v>83</v>
      </c>
      <c r="Q16" s="1444">
        <f t="shared" si="28"/>
        <v>348176.2</v>
      </c>
      <c r="R16" s="5530">
        <v>18</v>
      </c>
      <c r="S16" s="5531">
        <v>74831.399999999994</v>
      </c>
      <c r="T16" s="1444">
        <f t="shared" si="2"/>
        <v>101</v>
      </c>
      <c r="U16" s="1444">
        <f t="shared" si="29"/>
        <v>423007.6</v>
      </c>
      <c r="V16" s="5530">
        <v>18</v>
      </c>
      <c r="W16" s="5531">
        <v>73771.8</v>
      </c>
      <c r="X16" s="5198">
        <f t="shared" si="3"/>
        <v>58</v>
      </c>
      <c r="Y16" s="5269">
        <f t="shared" si="4"/>
        <v>239348</v>
      </c>
      <c r="Z16" s="5199">
        <f t="shared" si="5"/>
        <v>119</v>
      </c>
      <c r="AA16" s="5196">
        <f t="shared" si="30"/>
        <v>496779.4</v>
      </c>
      <c r="AB16" s="5530">
        <v>16</v>
      </c>
      <c r="AC16" s="5531">
        <v>67646.600000000006</v>
      </c>
      <c r="AD16" s="6269">
        <f t="shared" si="6"/>
        <v>135</v>
      </c>
      <c r="AE16" s="6203">
        <f t="shared" si="31"/>
        <v>564426</v>
      </c>
      <c r="AF16" s="5530">
        <v>18</v>
      </c>
      <c r="AG16" s="5531">
        <v>72568.2</v>
      </c>
      <c r="AH16" s="1394"/>
      <c r="AI16" s="1444">
        <f t="shared" si="23"/>
        <v>636994.20000000007</v>
      </c>
      <c r="AJ16" s="5530"/>
      <c r="AK16" s="5531">
        <v>74404.2</v>
      </c>
      <c r="AL16" s="5198"/>
      <c r="AM16" s="5268">
        <f t="shared" si="9"/>
        <v>214619</v>
      </c>
      <c r="AN16" s="1394"/>
      <c r="AO16" s="1444">
        <f t="shared" si="34"/>
        <v>711398.40000000002</v>
      </c>
      <c r="AP16" s="5530">
        <v>18</v>
      </c>
      <c r="AQ16" s="5531">
        <v>75892</v>
      </c>
      <c r="AR16" s="1394"/>
      <c r="AS16" s="1444">
        <f t="shared" si="36"/>
        <v>787290.4</v>
      </c>
      <c r="AT16" s="5530">
        <v>17</v>
      </c>
      <c r="AU16" s="5531">
        <v>72020</v>
      </c>
      <c r="AV16" s="1394"/>
      <c r="AW16" s="1444">
        <f t="shared" si="38"/>
        <v>859310.4</v>
      </c>
      <c r="AX16" s="5530">
        <v>19</v>
      </c>
      <c r="AY16" s="5531">
        <v>81669.600000000006</v>
      </c>
      <c r="AZ16" s="5198"/>
      <c r="BA16" s="5269">
        <f t="shared" si="14"/>
        <v>229581.6</v>
      </c>
      <c r="BB16" s="5199"/>
      <c r="BC16" s="5196">
        <f t="shared" si="16"/>
        <v>444200.6</v>
      </c>
      <c r="BD16" s="1394"/>
      <c r="BE16" s="1444">
        <f t="shared" si="18"/>
        <v>940980</v>
      </c>
      <c r="BF16" s="1137"/>
      <c r="BG16" s="1137"/>
      <c r="BH16" s="502"/>
      <c r="BI16" s="502"/>
      <c r="BJ16" s="502"/>
      <c r="BQ16" s="502"/>
      <c r="BR16" s="502"/>
      <c r="BS16" s="502"/>
      <c r="BT16" s="502"/>
      <c r="BU16" s="502"/>
      <c r="BV16" s="502"/>
      <c r="BW16" s="502"/>
      <c r="BX16" s="502"/>
      <c r="BY16" s="502"/>
      <c r="BZ16" s="502"/>
      <c r="CA16" s="502"/>
      <c r="CB16" s="502"/>
    </row>
    <row r="17" spans="2:80" s="4487" customFormat="1" ht="21.95" customHeight="1" thickBot="1" x14ac:dyDescent="0.3">
      <c r="B17" s="7994"/>
      <c r="C17" s="5527" t="s">
        <v>1263</v>
      </c>
      <c r="D17" s="5530">
        <v>14</v>
      </c>
      <c r="E17" s="5531">
        <v>57486.470000000008</v>
      </c>
      <c r="F17" s="5530">
        <v>16</v>
      </c>
      <c r="G17" s="5531">
        <v>60403</v>
      </c>
      <c r="H17" s="1394">
        <f t="shared" si="0"/>
        <v>30</v>
      </c>
      <c r="I17" s="1395">
        <f t="shared" si="26"/>
        <v>117889.47</v>
      </c>
      <c r="J17" s="5530">
        <v>16</v>
      </c>
      <c r="K17" s="5531">
        <v>66375</v>
      </c>
      <c r="L17" s="5198">
        <f t="shared" si="54"/>
        <v>46</v>
      </c>
      <c r="M17" s="5268">
        <f t="shared" si="27"/>
        <v>184264.47</v>
      </c>
      <c r="N17" s="5530">
        <v>16</v>
      </c>
      <c r="O17" s="5531">
        <v>65365.38</v>
      </c>
      <c r="P17" s="1444">
        <f t="shared" si="1"/>
        <v>62</v>
      </c>
      <c r="Q17" s="1444">
        <f t="shared" si="28"/>
        <v>249629.85</v>
      </c>
      <c r="R17" s="5530">
        <v>20</v>
      </c>
      <c r="S17" s="5531">
        <v>82261.61</v>
      </c>
      <c r="T17" s="1444">
        <f t="shared" si="2"/>
        <v>82</v>
      </c>
      <c r="U17" s="1444">
        <f t="shared" si="29"/>
        <v>331891.46000000002</v>
      </c>
      <c r="V17" s="5530">
        <v>14</v>
      </c>
      <c r="W17" s="5531">
        <v>58497.16</v>
      </c>
      <c r="X17" s="5198">
        <f t="shared" si="3"/>
        <v>50</v>
      </c>
      <c r="Y17" s="5269">
        <f t="shared" si="4"/>
        <v>206124.15</v>
      </c>
      <c r="Z17" s="5199">
        <f t="shared" si="5"/>
        <v>96</v>
      </c>
      <c r="AA17" s="5196">
        <f t="shared" si="30"/>
        <v>390388.62000000005</v>
      </c>
      <c r="AB17" s="5530">
        <v>16</v>
      </c>
      <c r="AC17" s="5531">
        <v>65790.649999999994</v>
      </c>
      <c r="AD17" s="6269">
        <f t="shared" si="6"/>
        <v>112</v>
      </c>
      <c r="AE17" s="6203">
        <f t="shared" si="31"/>
        <v>456179.27</v>
      </c>
      <c r="AF17" s="5530">
        <v>15</v>
      </c>
      <c r="AG17" s="5531">
        <v>61123.93</v>
      </c>
      <c r="AH17" s="1394"/>
      <c r="AI17" s="1444">
        <f t="shared" si="23"/>
        <v>517303.2</v>
      </c>
      <c r="AJ17" s="5530"/>
      <c r="AK17" s="5531">
        <v>65777</v>
      </c>
      <c r="AL17" s="5198"/>
      <c r="AM17" s="5268">
        <f t="shared" si="9"/>
        <v>192691.58</v>
      </c>
      <c r="AN17" s="1394"/>
      <c r="AO17" s="1444">
        <f t="shared" si="34"/>
        <v>583080.19999999995</v>
      </c>
      <c r="AP17" s="5530">
        <v>14</v>
      </c>
      <c r="AQ17" s="5531">
        <v>56692.73</v>
      </c>
      <c r="AR17" s="1394"/>
      <c r="AS17" s="1444">
        <f t="shared" si="36"/>
        <v>639772.92999999993</v>
      </c>
      <c r="AT17" s="5530">
        <v>15</v>
      </c>
      <c r="AU17" s="5531">
        <v>61602.71</v>
      </c>
      <c r="AV17" s="1394"/>
      <c r="AW17" s="1444">
        <f t="shared" si="38"/>
        <v>701375.64</v>
      </c>
      <c r="AX17" s="5530">
        <v>15</v>
      </c>
      <c r="AY17" s="5531">
        <v>62110.96</v>
      </c>
      <c r="AZ17" s="5198"/>
      <c r="BA17" s="5269">
        <f t="shared" si="14"/>
        <v>180406.39999999999</v>
      </c>
      <c r="BB17" s="5199"/>
      <c r="BC17" s="5196">
        <f t="shared" si="16"/>
        <v>373097.98</v>
      </c>
      <c r="BD17" s="1394"/>
      <c r="BE17" s="1444">
        <f t="shared" si="18"/>
        <v>763486.60000000009</v>
      </c>
      <c r="BF17" s="1137"/>
      <c r="BG17" s="1137"/>
      <c r="BH17" s="502"/>
      <c r="BI17" s="502"/>
      <c r="BJ17" s="502"/>
      <c r="BQ17" s="502"/>
      <c r="BR17" s="502"/>
      <c r="BS17" s="502"/>
      <c r="BT17" s="502"/>
      <c r="BU17" s="502"/>
      <c r="BV17" s="502"/>
      <c r="BW17" s="502"/>
      <c r="BX17" s="502"/>
      <c r="BY17" s="502"/>
      <c r="BZ17" s="502"/>
      <c r="CA17" s="502"/>
      <c r="CB17" s="502"/>
    </row>
    <row r="18" spans="2:80" s="4487" customFormat="1" ht="21.95" customHeight="1" thickBot="1" x14ac:dyDescent="0.3">
      <c r="B18" s="5529"/>
      <c r="C18" s="5528"/>
      <c r="D18" s="5530"/>
      <c r="E18" s="5531"/>
      <c r="F18" s="5530"/>
      <c r="G18" s="5531"/>
      <c r="H18" s="1394"/>
      <c r="I18" s="1395">
        <f t="shared" si="26"/>
        <v>0</v>
      </c>
      <c r="J18" s="5530"/>
      <c r="K18" s="5531"/>
      <c r="L18" s="5198">
        <f t="shared" si="54"/>
        <v>0</v>
      </c>
      <c r="M18" s="5268">
        <f t="shared" si="27"/>
        <v>0</v>
      </c>
      <c r="N18" s="5530"/>
      <c r="O18" s="5531"/>
      <c r="P18" s="1444">
        <f t="shared" si="1"/>
        <v>0</v>
      </c>
      <c r="Q18" s="1444">
        <f t="shared" si="28"/>
        <v>0</v>
      </c>
      <c r="R18" s="5530"/>
      <c r="S18" s="5531"/>
      <c r="T18" s="1444">
        <f t="shared" si="2"/>
        <v>0</v>
      </c>
      <c r="U18" s="1444">
        <f t="shared" si="29"/>
        <v>0</v>
      </c>
      <c r="V18" s="5530"/>
      <c r="W18" s="5531"/>
      <c r="X18" s="5198">
        <f t="shared" si="3"/>
        <v>0</v>
      </c>
      <c r="Y18" s="5269">
        <f t="shared" si="4"/>
        <v>0</v>
      </c>
      <c r="Z18" s="5199">
        <f t="shared" si="5"/>
        <v>0</v>
      </c>
      <c r="AA18" s="5196">
        <f t="shared" si="30"/>
        <v>0</v>
      </c>
      <c r="AB18" s="5530"/>
      <c r="AC18" s="5531"/>
      <c r="AD18" s="6269">
        <f t="shared" si="6"/>
        <v>0</v>
      </c>
      <c r="AE18" s="6203">
        <f t="shared" si="31"/>
        <v>0</v>
      </c>
      <c r="AF18" s="5530"/>
      <c r="AG18" s="5531"/>
      <c r="AH18" s="1394"/>
      <c r="AI18" s="1444">
        <f t="shared" si="23"/>
        <v>0</v>
      </c>
      <c r="AJ18" s="5530"/>
      <c r="AK18" s="5531"/>
      <c r="AL18" s="5198"/>
      <c r="AM18" s="5268">
        <f t="shared" si="9"/>
        <v>0</v>
      </c>
      <c r="AN18" s="1394"/>
      <c r="AO18" s="1444">
        <f t="shared" si="34"/>
        <v>0</v>
      </c>
      <c r="AP18" s="5530"/>
      <c r="AQ18" s="5531"/>
      <c r="AR18" s="1394"/>
      <c r="AS18" s="1444">
        <f t="shared" si="36"/>
        <v>0</v>
      </c>
      <c r="AT18" s="5530"/>
      <c r="AU18" s="5531"/>
      <c r="AV18" s="1394"/>
      <c r="AW18" s="1444">
        <f t="shared" si="38"/>
        <v>0</v>
      </c>
      <c r="AX18" s="5530"/>
      <c r="AY18" s="5531"/>
      <c r="AZ18" s="5198"/>
      <c r="BA18" s="5269">
        <f t="shared" si="14"/>
        <v>0</v>
      </c>
      <c r="BB18" s="5199"/>
      <c r="BC18" s="5196">
        <f t="shared" si="16"/>
        <v>0</v>
      </c>
      <c r="BD18" s="1394"/>
      <c r="BE18" s="1444">
        <f t="shared" si="18"/>
        <v>0</v>
      </c>
      <c r="BF18" s="1137"/>
      <c r="BG18" s="1137"/>
      <c r="BH18" s="502"/>
      <c r="BI18" s="502"/>
      <c r="BJ18" s="502"/>
      <c r="BQ18" s="502"/>
      <c r="BR18" s="502"/>
      <c r="BS18" s="502"/>
      <c r="BT18" s="502"/>
      <c r="BU18" s="502"/>
      <c r="BV18" s="502"/>
      <c r="BW18" s="502"/>
      <c r="BX18" s="502"/>
      <c r="BY18" s="502"/>
      <c r="BZ18" s="502"/>
      <c r="CA18" s="502"/>
      <c r="CB18" s="502"/>
    </row>
    <row r="19" spans="2:80" ht="21.95" customHeight="1" thickBot="1" x14ac:dyDescent="0.3">
      <c r="B19" s="7975" t="s">
        <v>1179</v>
      </c>
      <c r="C19" s="1371" t="s">
        <v>977</v>
      </c>
      <c r="D19" s="1384">
        <v>12</v>
      </c>
      <c r="E19" s="1391">
        <v>49431.65</v>
      </c>
      <c r="F19" s="1384">
        <v>7</v>
      </c>
      <c r="G19" s="1391">
        <v>28976</v>
      </c>
      <c r="H19" s="1394">
        <f t="shared" si="0"/>
        <v>19</v>
      </c>
      <c r="I19" s="1395">
        <f t="shared" si="26"/>
        <v>78407.649999999994</v>
      </c>
      <c r="J19" s="1384">
        <v>5</v>
      </c>
      <c r="K19" s="1391">
        <v>20609</v>
      </c>
      <c r="L19" s="5198">
        <f t="shared" si="19"/>
        <v>24</v>
      </c>
      <c r="M19" s="5268">
        <f t="shared" si="27"/>
        <v>99016.65</v>
      </c>
      <c r="N19" s="1384">
        <v>10</v>
      </c>
      <c r="O19" s="1391">
        <v>41059.71</v>
      </c>
      <c r="P19" s="1444">
        <f t="shared" ref="P19:P76" si="55">L19+N19</f>
        <v>34</v>
      </c>
      <c r="Q19" s="1444">
        <f t="shared" si="28"/>
        <v>140076.35999999999</v>
      </c>
      <c r="R19" s="1384">
        <v>8</v>
      </c>
      <c r="S19" s="1391">
        <v>33032.14</v>
      </c>
      <c r="T19" s="1444">
        <f t="shared" si="2"/>
        <v>42</v>
      </c>
      <c r="U19" s="1444">
        <f t="shared" si="29"/>
        <v>173108.5</v>
      </c>
      <c r="V19" s="1384">
        <v>8</v>
      </c>
      <c r="W19" s="1391">
        <v>32927.870000000003</v>
      </c>
      <c r="X19" s="5198">
        <f t="shared" si="3"/>
        <v>26</v>
      </c>
      <c r="Y19" s="5269">
        <f t="shared" si="4"/>
        <v>107019.72</v>
      </c>
      <c r="Z19" s="5199">
        <f t="shared" si="5"/>
        <v>50</v>
      </c>
      <c r="AA19" s="5196">
        <f t="shared" si="30"/>
        <v>206036.37</v>
      </c>
      <c r="AB19" s="1384">
        <v>8</v>
      </c>
      <c r="AC19" s="1391">
        <v>32841.440000000002</v>
      </c>
      <c r="AD19" s="6269">
        <f t="shared" si="6"/>
        <v>58</v>
      </c>
      <c r="AE19" s="6203">
        <f t="shared" si="31"/>
        <v>238877.81</v>
      </c>
      <c r="AF19" s="1384">
        <v>8</v>
      </c>
      <c r="AG19" s="1391">
        <v>32887.54</v>
      </c>
      <c r="AH19" s="1394">
        <f t="shared" si="47"/>
        <v>66</v>
      </c>
      <c r="AI19" s="1444">
        <f t="shared" si="23"/>
        <v>271765.34999999998</v>
      </c>
      <c r="AJ19" s="1384">
        <v>4</v>
      </c>
      <c r="AK19" s="1391">
        <v>28692.639999999999</v>
      </c>
      <c r="AL19" s="5198">
        <f t="shared" si="48"/>
        <v>20</v>
      </c>
      <c r="AM19" s="5268">
        <f t="shared" si="9"/>
        <v>94421.62000000001</v>
      </c>
      <c r="AN19" s="1394">
        <f t="shared" si="10"/>
        <v>70</v>
      </c>
      <c r="AO19" s="1444">
        <f t="shared" si="34"/>
        <v>300457.99</v>
      </c>
      <c r="AP19" s="1384">
        <v>10</v>
      </c>
      <c r="AQ19" s="1391">
        <v>41215.269999999997</v>
      </c>
      <c r="AR19" s="1394">
        <f t="shared" si="49"/>
        <v>80</v>
      </c>
      <c r="AS19" s="1444">
        <f t="shared" si="36"/>
        <v>341673.26</v>
      </c>
      <c r="AT19" s="1384">
        <v>9</v>
      </c>
      <c r="AU19" s="1391">
        <v>37212.97</v>
      </c>
      <c r="AV19" s="1394">
        <f t="shared" si="50"/>
        <v>89</v>
      </c>
      <c r="AW19" s="1444">
        <f t="shared" si="38"/>
        <v>378886.23000000004</v>
      </c>
      <c r="AX19" s="1384">
        <v>10</v>
      </c>
      <c r="AY19" s="1391">
        <v>41136.76</v>
      </c>
      <c r="AZ19" s="5198">
        <f t="shared" si="51"/>
        <v>29</v>
      </c>
      <c r="BA19" s="5269">
        <f t="shared" si="14"/>
        <v>119565</v>
      </c>
      <c r="BB19" s="5199">
        <f t="shared" si="52"/>
        <v>49</v>
      </c>
      <c r="BC19" s="5196">
        <f t="shared" si="16"/>
        <v>213986.62</v>
      </c>
      <c r="BD19" s="1394">
        <f t="shared" si="53"/>
        <v>99</v>
      </c>
      <c r="BE19" s="1444">
        <f t="shared" si="18"/>
        <v>420022.99</v>
      </c>
      <c r="BF19" s="1137"/>
      <c r="BG19" s="1137"/>
      <c r="BH19" s="502"/>
      <c r="BI19" s="502"/>
      <c r="BJ19" s="502"/>
      <c r="BK19" s="4487"/>
      <c r="BL19" s="4487"/>
      <c r="BM19" s="4487"/>
      <c r="BN19" s="4487"/>
      <c r="BO19" s="4487"/>
      <c r="BP19" s="4487"/>
      <c r="BQ19" s="502"/>
      <c r="BR19" s="502"/>
      <c r="BS19" s="502"/>
      <c r="BT19" s="502"/>
      <c r="BU19" s="502"/>
      <c r="BV19" s="502"/>
      <c r="BW19" s="502"/>
      <c r="BX19" s="502"/>
      <c r="BY19" s="502"/>
      <c r="BZ19" s="502"/>
      <c r="CA19" s="502"/>
      <c r="CB19" s="502"/>
    </row>
    <row r="20" spans="2:80" ht="21.95" customHeight="1" x14ac:dyDescent="0.25">
      <c r="B20" s="7976"/>
      <c r="C20" s="5270" t="s">
        <v>978</v>
      </c>
      <c r="D20" s="5271">
        <v>1</v>
      </c>
      <c r="E20" s="5272">
        <v>3878.68</v>
      </c>
      <c r="F20" s="5271">
        <v>9</v>
      </c>
      <c r="G20" s="5272">
        <v>34601</v>
      </c>
      <c r="H20" s="1394">
        <f t="shared" si="0"/>
        <v>10</v>
      </c>
      <c r="I20" s="1395">
        <f t="shared" si="26"/>
        <v>38479.68</v>
      </c>
      <c r="J20" s="5271">
        <v>8</v>
      </c>
      <c r="K20" s="5272">
        <v>31490</v>
      </c>
      <c r="L20" s="5198">
        <f t="shared" si="19"/>
        <v>18</v>
      </c>
      <c r="M20" s="5268">
        <f t="shared" si="27"/>
        <v>69969.679999999993</v>
      </c>
      <c r="N20" s="5271">
        <v>9</v>
      </c>
      <c r="O20" s="5272">
        <v>31875</v>
      </c>
      <c r="P20" s="1444">
        <f t="shared" si="55"/>
        <v>27</v>
      </c>
      <c r="Q20" s="1444">
        <f t="shared" si="28"/>
        <v>101844.68</v>
      </c>
      <c r="R20" s="5271">
        <v>7</v>
      </c>
      <c r="S20" s="5272">
        <v>27437.95</v>
      </c>
      <c r="T20" s="1444">
        <f t="shared" si="2"/>
        <v>34</v>
      </c>
      <c r="U20" s="1444">
        <f t="shared" si="29"/>
        <v>129282.63</v>
      </c>
      <c r="V20" s="5271">
        <v>6</v>
      </c>
      <c r="W20" s="5272">
        <v>23636</v>
      </c>
      <c r="X20" s="5198">
        <f t="shared" si="3"/>
        <v>22</v>
      </c>
      <c r="Y20" s="5269">
        <f t="shared" si="4"/>
        <v>82948.95</v>
      </c>
      <c r="Z20" s="5199">
        <f t="shared" si="5"/>
        <v>40</v>
      </c>
      <c r="AA20" s="5196">
        <f t="shared" si="30"/>
        <v>152918.63</v>
      </c>
      <c r="AB20" s="5271">
        <v>8</v>
      </c>
      <c r="AC20" s="5272">
        <v>30910.74</v>
      </c>
      <c r="AD20" s="6269">
        <f t="shared" si="6"/>
        <v>48</v>
      </c>
      <c r="AE20" s="6203">
        <f t="shared" si="31"/>
        <v>183829.37</v>
      </c>
      <c r="AF20" s="6261">
        <v>6</v>
      </c>
      <c r="AG20" s="5272">
        <v>23187.95</v>
      </c>
      <c r="AH20" s="1394">
        <f t="shared" si="47"/>
        <v>54</v>
      </c>
      <c r="AI20" s="1444">
        <f t="shared" si="23"/>
        <v>207017.32</v>
      </c>
      <c r="AJ20" s="5271">
        <v>9</v>
      </c>
      <c r="AK20" s="5272">
        <v>35326.54</v>
      </c>
      <c r="AL20" s="5198">
        <f t="shared" si="48"/>
        <v>23</v>
      </c>
      <c r="AM20" s="5268">
        <f t="shared" si="9"/>
        <v>89425.23000000001</v>
      </c>
      <c r="AN20" s="1394">
        <f t="shared" si="10"/>
        <v>63</v>
      </c>
      <c r="AO20" s="1444">
        <f t="shared" si="34"/>
        <v>242343.86000000002</v>
      </c>
      <c r="AP20" s="5271">
        <v>8</v>
      </c>
      <c r="AQ20" s="5272">
        <v>31150.98</v>
      </c>
      <c r="AR20" s="1394">
        <f t="shared" si="49"/>
        <v>71</v>
      </c>
      <c r="AS20" s="1444">
        <f t="shared" si="36"/>
        <v>273494.84000000003</v>
      </c>
      <c r="AT20" s="5271">
        <v>6</v>
      </c>
      <c r="AU20" s="5272">
        <v>23018.82</v>
      </c>
      <c r="AV20" s="1394">
        <f t="shared" si="50"/>
        <v>77</v>
      </c>
      <c r="AW20" s="1444">
        <f t="shared" si="38"/>
        <v>296513.65999999997</v>
      </c>
      <c r="AX20" s="5271">
        <v>6</v>
      </c>
      <c r="AY20" s="5272">
        <v>22898.76</v>
      </c>
      <c r="AZ20" s="5198">
        <f t="shared" si="51"/>
        <v>20</v>
      </c>
      <c r="BA20" s="5269">
        <f t="shared" si="14"/>
        <v>77068.56</v>
      </c>
      <c r="BB20" s="5199">
        <f t="shared" si="52"/>
        <v>43</v>
      </c>
      <c r="BC20" s="5196">
        <f t="shared" si="16"/>
        <v>166493.79</v>
      </c>
      <c r="BD20" s="1394">
        <f t="shared" si="53"/>
        <v>83</v>
      </c>
      <c r="BE20" s="1444">
        <f t="shared" si="18"/>
        <v>319412.42000000004</v>
      </c>
      <c r="BF20" s="1137"/>
      <c r="BG20" s="1137"/>
      <c r="BH20" s="502"/>
      <c r="BI20" s="502"/>
      <c r="BJ20" s="502"/>
      <c r="BK20" s="4487"/>
      <c r="BL20" s="4487"/>
      <c r="BM20" s="4487"/>
      <c r="BN20" s="4487"/>
      <c r="BO20" s="4487"/>
      <c r="BP20" s="4487"/>
      <c r="BQ20" s="502"/>
      <c r="BR20" s="502"/>
      <c r="BS20" s="502"/>
      <c r="BT20" s="502"/>
      <c r="BU20" s="502"/>
      <c r="BV20" s="502"/>
      <c r="BW20" s="502"/>
      <c r="BX20" s="502"/>
      <c r="BY20" s="502"/>
      <c r="BZ20" s="502"/>
      <c r="CA20" s="502"/>
      <c r="CB20" s="502"/>
    </row>
    <row r="21" spans="2:80" ht="21.95" customHeight="1" thickBot="1" x14ac:dyDescent="0.3">
      <c r="B21" s="7977"/>
      <c r="C21" s="5278" t="s">
        <v>2</v>
      </c>
      <c r="D21" s="5279">
        <f t="shared" ref="D21:E21" si="56">SUM(D19:D20)</f>
        <v>13</v>
      </c>
      <c r="E21" s="5279">
        <f t="shared" si="56"/>
        <v>53310.33</v>
      </c>
      <c r="F21" s="5279">
        <f t="shared" ref="F21:BE21" si="57">SUM(F19:F20)</f>
        <v>16</v>
      </c>
      <c r="G21" s="5279">
        <f t="shared" si="57"/>
        <v>63577</v>
      </c>
      <c r="H21" s="5279">
        <f t="shared" si="57"/>
        <v>29</v>
      </c>
      <c r="I21" s="5279">
        <f t="shared" si="57"/>
        <v>116887.32999999999</v>
      </c>
      <c r="J21" s="5279">
        <f t="shared" si="57"/>
        <v>13</v>
      </c>
      <c r="K21" s="5279">
        <f t="shared" si="57"/>
        <v>52099</v>
      </c>
      <c r="L21" s="5279">
        <f t="shared" si="57"/>
        <v>42</v>
      </c>
      <c r="M21" s="5279">
        <f t="shared" si="57"/>
        <v>168986.33</v>
      </c>
      <c r="N21" s="5279">
        <f t="shared" si="57"/>
        <v>19</v>
      </c>
      <c r="O21" s="5279">
        <f t="shared" si="57"/>
        <v>72934.709999999992</v>
      </c>
      <c r="P21" s="5279">
        <f t="shared" si="57"/>
        <v>61</v>
      </c>
      <c r="Q21" s="5279">
        <f t="shared" si="57"/>
        <v>241921.03999999998</v>
      </c>
      <c r="R21" s="5279">
        <f t="shared" si="57"/>
        <v>15</v>
      </c>
      <c r="S21" s="5279">
        <f t="shared" si="57"/>
        <v>60470.09</v>
      </c>
      <c r="T21" s="5279">
        <f t="shared" si="57"/>
        <v>76</v>
      </c>
      <c r="U21" s="5279">
        <f t="shared" si="57"/>
        <v>302391.13</v>
      </c>
      <c r="V21" s="5279">
        <f t="shared" si="57"/>
        <v>14</v>
      </c>
      <c r="W21" s="5279">
        <f t="shared" si="57"/>
        <v>56563.87</v>
      </c>
      <c r="X21" s="5279">
        <f t="shared" si="57"/>
        <v>48</v>
      </c>
      <c r="Y21" s="5279">
        <f t="shared" si="57"/>
        <v>189968.66999999998</v>
      </c>
      <c r="Z21" s="5279">
        <f t="shared" si="57"/>
        <v>90</v>
      </c>
      <c r="AA21" s="5279">
        <f t="shared" si="57"/>
        <v>358955</v>
      </c>
      <c r="AB21" s="5279">
        <f t="shared" si="57"/>
        <v>16</v>
      </c>
      <c r="AC21" s="5279">
        <f t="shared" si="57"/>
        <v>63752.180000000008</v>
      </c>
      <c r="AD21" s="6271">
        <f t="shared" si="57"/>
        <v>106</v>
      </c>
      <c r="AE21" s="5983">
        <f t="shared" si="57"/>
        <v>422707.18</v>
      </c>
      <c r="AF21" s="6284">
        <f t="shared" si="57"/>
        <v>14</v>
      </c>
      <c r="AG21" s="5279">
        <f t="shared" ref="AG21" si="58">SUM(AG19:AG20)</f>
        <v>56075.490000000005</v>
      </c>
      <c r="AH21" s="5279">
        <f t="shared" si="57"/>
        <v>120</v>
      </c>
      <c r="AI21" s="5279">
        <f t="shared" si="23"/>
        <v>478782.67</v>
      </c>
      <c r="AJ21" s="5279">
        <f t="shared" si="57"/>
        <v>13</v>
      </c>
      <c r="AK21" s="5279">
        <f t="shared" si="57"/>
        <v>64019.18</v>
      </c>
      <c r="AL21" s="5279">
        <f t="shared" si="57"/>
        <v>43</v>
      </c>
      <c r="AM21" s="5279">
        <f t="shared" si="57"/>
        <v>183846.85000000003</v>
      </c>
      <c r="AN21" s="5279">
        <f t="shared" si="57"/>
        <v>133</v>
      </c>
      <c r="AO21" s="5279">
        <f t="shared" si="57"/>
        <v>542801.85</v>
      </c>
      <c r="AP21" s="5279">
        <f t="shared" ref="AP21:AQ21" si="59">SUM(AP19:AP20)</f>
        <v>18</v>
      </c>
      <c r="AQ21" s="5279">
        <f t="shared" si="59"/>
        <v>72366.25</v>
      </c>
      <c r="AR21" s="5279">
        <f t="shared" si="57"/>
        <v>151</v>
      </c>
      <c r="AS21" s="5279">
        <f t="shared" si="57"/>
        <v>615168.10000000009</v>
      </c>
      <c r="AT21" s="5279">
        <f t="shared" si="57"/>
        <v>15</v>
      </c>
      <c r="AU21" s="5279">
        <f t="shared" si="57"/>
        <v>60231.79</v>
      </c>
      <c r="AV21" s="5279">
        <f t="shared" si="57"/>
        <v>166</v>
      </c>
      <c r="AW21" s="5279">
        <f t="shared" si="57"/>
        <v>675399.89</v>
      </c>
      <c r="AX21" s="5279">
        <f t="shared" ref="AX21:AY21" si="60">SUM(AX19:AX20)</f>
        <v>16</v>
      </c>
      <c r="AY21" s="5279">
        <f t="shared" si="60"/>
        <v>64035.520000000004</v>
      </c>
      <c r="AZ21" s="5279">
        <f t="shared" si="57"/>
        <v>49</v>
      </c>
      <c r="BA21" s="5279">
        <f t="shared" si="57"/>
        <v>196633.56</v>
      </c>
      <c r="BB21" s="5279">
        <f t="shared" si="57"/>
        <v>92</v>
      </c>
      <c r="BC21" s="5279">
        <f t="shared" si="57"/>
        <v>380480.41000000003</v>
      </c>
      <c r="BD21" s="5279">
        <f t="shared" si="57"/>
        <v>182</v>
      </c>
      <c r="BE21" s="5279">
        <f t="shared" si="57"/>
        <v>739435.41</v>
      </c>
      <c r="BF21" s="1137"/>
      <c r="BG21" s="1137"/>
      <c r="BH21" s="502"/>
      <c r="BI21" s="502"/>
      <c r="BJ21" s="502"/>
      <c r="BK21" s="4487"/>
      <c r="BL21" s="4487"/>
      <c r="BM21" s="4487"/>
      <c r="BN21" s="4487"/>
      <c r="BO21" s="4487"/>
      <c r="BP21" s="4487"/>
      <c r="BQ21" s="502"/>
      <c r="BR21" s="502"/>
      <c r="BS21" s="502"/>
      <c r="BT21" s="502"/>
      <c r="BU21" s="502"/>
      <c r="BV21" s="502"/>
      <c r="BW21" s="502"/>
      <c r="BX21" s="502"/>
      <c r="BY21" s="502"/>
      <c r="BZ21" s="502"/>
      <c r="CA21" s="502"/>
      <c r="CB21" s="502"/>
    </row>
    <row r="22" spans="2:80" ht="21.95" customHeight="1" thickBot="1" x14ac:dyDescent="0.3">
      <c r="B22" s="7975" t="s">
        <v>1180</v>
      </c>
      <c r="C22" s="1499" t="s">
        <v>977</v>
      </c>
      <c r="D22" s="1384">
        <v>0</v>
      </c>
      <c r="E22" s="1391">
        <v>0</v>
      </c>
      <c r="F22" s="1384">
        <v>0</v>
      </c>
      <c r="G22" s="1391">
        <v>0</v>
      </c>
      <c r="H22" s="1394">
        <f t="shared" si="0"/>
        <v>0</v>
      </c>
      <c r="I22" s="1395">
        <f t="shared" si="26"/>
        <v>0</v>
      </c>
      <c r="J22" s="1384">
        <v>0</v>
      </c>
      <c r="K22" s="1391">
        <v>0</v>
      </c>
      <c r="L22" s="5198">
        <f t="shared" si="19"/>
        <v>0</v>
      </c>
      <c r="M22" s="5268">
        <f t="shared" si="27"/>
        <v>0</v>
      </c>
      <c r="N22" s="1384"/>
      <c r="O22" s="1391"/>
      <c r="P22" s="1444">
        <f t="shared" si="55"/>
        <v>0</v>
      </c>
      <c r="Q22" s="1444">
        <f t="shared" si="28"/>
        <v>0</v>
      </c>
      <c r="R22" s="1384"/>
      <c r="S22" s="1391"/>
      <c r="T22" s="1444">
        <f t="shared" si="2"/>
        <v>0</v>
      </c>
      <c r="U22" s="1444">
        <f t="shared" si="29"/>
        <v>0</v>
      </c>
      <c r="V22" s="1384"/>
      <c r="W22" s="1391"/>
      <c r="X22" s="5198">
        <f t="shared" si="3"/>
        <v>0</v>
      </c>
      <c r="Y22" s="5269">
        <f t="shared" si="4"/>
        <v>0</v>
      </c>
      <c r="Z22" s="5199">
        <f t="shared" si="5"/>
        <v>0</v>
      </c>
      <c r="AA22" s="5196">
        <f t="shared" si="30"/>
        <v>0</v>
      </c>
      <c r="AB22" s="1384">
        <v>0</v>
      </c>
      <c r="AC22" s="1391">
        <v>0</v>
      </c>
      <c r="AD22" s="6272">
        <f t="shared" si="6"/>
        <v>0</v>
      </c>
      <c r="AE22" s="6203">
        <f t="shared" si="31"/>
        <v>0</v>
      </c>
      <c r="AF22" s="1384">
        <v>0</v>
      </c>
      <c r="AG22" s="1391">
        <v>0</v>
      </c>
      <c r="AH22" s="2032">
        <f t="shared" ref="AH22:AH25" si="61">AD22+AF22</f>
        <v>0</v>
      </c>
      <c r="AI22" s="1444">
        <f t="shared" si="23"/>
        <v>0</v>
      </c>
      <c r="AJ22" s="1384">
        <v>0</v>
      </c>
      <c r="AK22" s="1391"/>
      <c r="AL22" s="5198">
        <f t="shared" ref="AL22:AL25" si="62">+AB22+AF22+AJ22</f>
        <v>0</v>
      </c>
      <c r="AM22" s="5268">
        <f t="shared" si="9"/>
        <v>0</v>
      </c>
      <c r="AN22" s="1394">
        <f t="shared" si="10"/>
        <v>0</v>
      </c>
      <c r="AO22" s="1444">
        <f t="shared" si="34"/>
        <v>0</v>
      </c>
      <c r="AP22" s="1384">
        <v>0</v>
      </c>
      <c r="AQ22" s="1391">
        <v>0</v>
      </c>
      <c r="AR22" s="2032">
        <f t="shared" ref="AR22:AR25" si="63">AN22+AP22</f>
        <v>0</v>
      </c>
      <c r="AS22" s="1444">
        <f t="shared" si="36"/>
        <v>0</v>
      </c>
      <c r="AT22" s="1384">
        <v>0</v>
      </c>
      <c r="AU22" s="1391">
        <v>0</v>
      </c>
      <c r="AV22" s="2032">
        <f t="shared" ref="AV22:AV25" si="64">AR22+AT22</f>
        <v>0</v>
      </c>
      <c r="AW22" s="1444">
        <f t="shared" si="38"/>
        <v>0</v>
      </c>
      <c r="AX22" s="1384">
        <v>0</v>
      </c>
      <c r="AY22" s="1391">
        <v>0</v>
      </c>
      <c r="AZ22" s="5198">
        <f t="shared" ref="AZ22:AZ25" si="65">+AP22+AT22+AX22</f>
        <v>0</v>
      </c>
      <c r="BA22" s="5269">
        <f t="shared" si="14"/>
        <v>0</v>
      </c>
      <c r="BB22" s="5199">
        <f t="shared" ref="BB22:BB25" si="66">AL22+AZ22</f>
        <v>0</v>
      </c>
      <c r="BC22" s="5196">
        <f t="shared" si="16"/>
        <v>0</v>
      </c>
      <c r="BD22" s="1394">
        <f t="shared" ref="BD22:BD25" si="67">AV22+AX22</f>
        <v>0</v>
      </c>
      <c r="BE22" s="1444">
        <f t="shared" si="18"/>
        <v>0</v>
      </c>
      <c r="BF22" s="1137"/>
      <c r="BG22" s="1137"/>
      <c r="BH22" s="502"/>
      <c r="BI22" s="502"/>
      <c r="BJ22" s="502"/>
      <c r="BK22" s="4487"/>
      <c r="BL22" s="4487"/>
      <c r="BM22" s="4487"/>
      <c r="BN22" s="4487"/>
      <c r="BO22" s="4487"/>
      <c r="BP22" s="4487"/>
      <c r="BQ22" s="502"/>
      <c r="BR22" s="502"/>
      <c r="BS22" s="502"/>
      <c r="BT22" s="502"/>
      <c r="BU22" s="502"/>
      <c r="BV22" s="502"/>
      <c r="BW22" s="502"/>
      <c r="BX22" s="502"/>
      <c r="BY22" s="502"/>
      <c r="BZ22" s="502"/>
      <c r="CA22" s="502"/>
      <c r="CB22" s="502"/>
    </row>
    <row r="23" spans="2:80" ht="21.95" customHeight="1" thickBot="1" x14ac:dyDescent="0.3">
      <c r="B23" s="7976"/>
      <c r="C23" s="5280" t="s">
        <v>978</v>
      </c>
      <c r="D23" s="5271">
        <v>0</v>
      </c>
      <c r="E23" s="5272">
        <v>0</v>
      </c>
      <c r="F23" s="5271">
        <v>0</v>
      </c>
      <c r="G23" s="5272">
        <v>0</v>
      </c>
      <c r="H23" s="1394">
        <f t="shared" si="0"/>
        <v>0</v>
      </c>
      <c r="I23" s="1395">
        <f t="shared" si="26"/>
        <v>0</v>
      </c>
      <c r="J23" s="5271">
        <v>0</v>
      </c>
      <c r="K23" s="5272">
        <v>0</v>
      </c>
      <c r="L23" s="5198">
        <f t="shared" si="19"/>
        <v>0</v>
      </c>
      <c r="M23" s="5268">
        <f t="shared" si="27"/>
        <v>0</v>
      </c>
      <c r="N23" s="5271"/>
      <c r="O23" s="5272"/>
      <c r="P23" s="1444">
        <f t="shared" si="55"/>
        <v>0</v>
      </c>
      <c r="Q23" s="1444">
        <f t="shared" si="28"/>
        <v>0</v>
      </c>
      <c r="R23" s="5271"/>
      <c r="S23" s="5272"/>
      <c r="T23" s="1444">
        <f t="shared" si="2"/>
        <v>0</v>
      </c>
      <c r="U23" s="1444">
        <f t="shared" si="29"/>
        <v>0</v>
      </c>
      <c r="V23" s="5271"/>
      <c r="W23" s="5272"/>
      <c r="X23" s="5198">
        <f t="shared" si="3"/>
        <v>0</v>
      </c>
      <c r="Y23" s="5269">
        <f t="shared" si="4"/>
        <v>0</v>
      </c>
      <c r="Z23" s="5199">
        <f t="shared" si="5"/>
        <v>0</v>
      </c>
      <c r="AA23" s="5196">
        <f t="shared" si="30"/>
        <v>0</v>
      </c>
      <c r="AB23" s="5271">
        <v>0</v>
      </c>
      <c r="AC23" s="5272">
        <v>0</v>
      </c>
      <c r="AD23" s="6272">
        <f t="shared" si="6"/>
        <v>0</v>
      </c>
      <c r="AE23" s="6203">
        <f t="shared" si="31"/>
        <v>0</v>
      </c>
      <c r="AF23" s="6261">
        <v>0</v>
      </c>
      <c r="AG23" s="5272">
        <v>0</v>
      </c>
      <c r="AH23" s="2032">
        <f t="shared" si="61"/>
        <v>0</v>
      </c>
      <c r="AI23" s="1444">
        <f t="shared" si="23"/>
        <v>0</v>
      </c>
      <c r="AJ23" s="5271">
        <v>0</v>
      </c>
      <c r="AK23" s="5272"/>
      <c r="AL23" s="5198">
        <f t="shared" si="62"/>
        <v>0</v>
      </c>
      <c r="AM23" s="5268">
        <f t="shared" si="9"/>
        <v>0</v>
      </c>
      <c r="AN23" s="1394">
        <f t="shared" si="10"/>
        <v>0</v>
      </c>
      <c r="AO23" s="1444">
        <f t="shared" si="34"/>
        <v>0</v>
      </c>
      <c r="AP23" s="5271">
        <v>0</v>
      </c>
      <c r="AQ23" s="5272">
        <v>0</v>
      </c>
      <c r="AR23" s="2032">
        <f t="shared" si="63"/>
        <v>0</v>
      </c>
      <c r="AS23" s="1444">
        <f t="shared" si="36"/>
        <v>0</v>
      </c>
      <c r="AT23" s="5271">
        <v>0</v>
      </c>
      <c r="AU23" s="5272">
        <v>0</v>
      </c>
      <c r="AV23" s="2032">
        <f t="shared" si="64"/>
        <v>0</v>
      </c>
      <c r="AW23" s="1444">
        <f t="shared" si="38"/>
        <v>0</v>
      </c>
      <c r="AX23" s="5271">
        <v>0</v>
      </c>
      <c r="AY23" s="5272">
        <v>0</v>
      </c>
      <c r="AZ23" s="5198">
        <f t="shared" si="65"/>
        <v>0</v>
      </c>
      <c r="BA23" s="5269">
        <f t="shared" si="14"/>
        <v>0</v>
      </c>
      <c r="BB23" s="5199">
        <f t="shared" si="66"/>
        <v>0</v>
      </c>
      <c r="BC23" s="5196">
        <f t="shared" si="16"/>
        <v>0</v>
      </c>
      <c r="BD23" s="1394">
        <f t="shared" si="67"/>
        <v>0</v>
      </c>
      <c r="BE23" s="1444">
        <f t="shared" si="18"/>
        <v>0</v>
      </c>
      <c r="BF23" s="1137"/>
      <c r="BG23" s="1137"/>
      <c r="BH23" s="502"/>
      <c r="BI23" s="502"/>
      <c r="BJ23" s="502"/>
      <c r="BK23" s="4487"/>
      <c r="BL23" s="4487"/>
      <c r="BM23" s="4487"/>
      <c r="BN23" s="4487"/>
      <c r="BO23" s="4487"/>
      <c r="BP23" s="4487"/>
      <c r="BQ23" s="502"/>
      <c r="BR23" s="502"/>
      <c r="BS23" s="502"/>
      <c r="BT23" s="502"/>
      <c r="BU23" s="502"/>
      <c r="BV23" s="502"/>
      <c r="BW23" s="502"/>
      <c r="BX23" s="502"/>
      <c r="BY23" s="502"/>
      <c r="BZ23" s="502"/>
      <c r="CA23" s="502"/>
      <c r="CB23" s="502"/>
    </row>
    <row r="24" spans="2:80" ht="21.95" customHeight="1" thickBot="1" x14ac:dyDescent="0.3">
      <c r="B24" s="7976"/>
      <c r="C24" s="5280" t="s">
        <v>1082</v>
      </c>
      <c r="D24" s="5271">
        <v>0</v>
      </c>
      <c r="E24" s="5272">
        <v>0</v>
      </c>
      <c r="F24" s="5271"/>
      <c r="G24" s="5272"/>
      <c r="H24" s="1394">
        <f t="shared" si="0"/>
        <v>0</v>
      </c>
      <c r="I24" s="1395">
        <f t="shared" si="26"/>
        <v>0</v>
      </c>
      <c r="J24" s="5271">
        <v>0</v>
      </c>
      <c r="K24" s="5272">
        <v>0</v>
      </c>
      <c r="L24" s="5198">
        <f t="shared" si="19"/>
        <v>0</v>
      </c>
      <c r="M24" s="5268">
        <f t="shared" si="27"/>
        <v>0</v>
      </c>
      <c r="N24" s="5271">
        <v>0</v>
      </c>
      <c r="O24" s="5272">
        <v>0</v>
      </c>
      <c r="P24" s="1444">
        <f t="shared" si="55"/>
        <v>0</v>
      </c>
      <c r="Q24" s="1444">
        <f t="shared" si="28"/>
        <v>0</v>
      </c>
      <c r="R24" s="5271"/>
      <c r="S24" s="5272"/>
      <c r="T24" s="1444">
        <f t="shared" si="2"/>
        <v>0</v>
      </c>
      <c r="U24" s="1444">
        <f t="shared" si="29"/>
        <v>0</v>
      </c>
      <c r="V24" s="5271"/>
      <c r="W24" s="5272"/>
      <c r="X24" s="5198">
        <f t="shared" si="3"/>
        <v>0</v>
      </c>
      <c r="Y24" s="5269">
        <f t="shared" si="4"/>
        <v>0</v>
      </c>
      <c r="Z24" s="5199">
        <f t="shared" si="5"/>
        <v>0</v>
      </c>
      <c r="AA24" s="5196">
        <f t="shared" si="30"/>
        <v>0</v>
      </c>
      <c r="AB24" s="5271">
        <v>0</v>
      </c>
      <c r="AC24" s="5272">
        <v>0</v>
      </c>
      <c r="AD24" s="6273">
        <f t="shared" si="6"/>
        <v>0</v>
      </c>
      <c r="AE24" s="6203">
        <f t="shared" si="31"/>
        <v>0</v>
      </c>
      <c r="AF24" s="6261">
        <v>0</v>
      </c>
      <c r="AG24" s="5272">
        <v>0</v>
      </c>
      <c r="AH24" s="2033">
        <f t="shared" si="61"/>
        <v>0</v>
      </c>
      <c r="AI24" s="1444">
        <f t="shared" si="23"/>
        <v>0</v>
      </c>
      <c r="AJ24" s="5271">
        <v>0</v>
      </c>
      <c r="AK24" s="5272"/>
      <c r="AL24" s="5198">
        <f t="shared" si="62"/>
        <v>0</v>
      </c>
      <c r="AM24" s="5268">
        <f t="shared" si="9"/>
        <v>0</v>
      </c>
      <c r="AN24" s="1394">
        <f t="shared" ref="AN24:AN46" si="68">AH24+AJ24</f>
        <v>0</v>
      </c>
      <c r="AO24" s="1444">
        <f t="shared" si="34"/>
        <v>0</v>
      </c>
      <c r="AP24" s="5271">
        <v>0</v>
      </c>
      <c r="AQ24" s="5272">
        <v>0</v>
      </c>
      <c r="AR24" s="2033">
        <f t="shared" si="63"/>
        <v>0</v>
      </c>
      <c r="AS24" s="1444">
        <f t="shared" si="36"/>
        <v>0</v>
      </c>
      <c r="AT24" s="5271">
        <v>0</v>
      </c>
      <c r="AU24" s="5272">
        <v>0</v>
      </c>
      <c r="AV24" s="2033">
        <f t="shared" si="64"/>
        <v>0</v>
      </c>
      <c r="AW24" s="1444">
        <f t="shared" si="38"/>
        <v>0</v>
      </c>
      <c r="AX24" s="5271">
        <v>0</v>
      </c>
      <c r="AY24" s="5272">
        <v>0</v>
      </c>
      <c r="AZ24" s="5198">
        <f t="shared" si="65"/>
        <v>0</v>
      </c>
      <c r="BA24" s="5269">
        <f t="shared" si="14"/>
        <v>0</v>
      </c>
      <c r="BB24" s="5199">
        <f t="shared" si="66"/>
        <v>0</v>
      </c>
      <c r="BC24" s="5196">
        <f t="shared" si="16"/>
        <v>0</v>
      </c>
      <c r="BD24" s="1394">
        <f t="shared" si="67"/>
        <v>0</v>
      </c>
      <c r="BE24" s="1444">
        <f t="shared" si="18"/>
        <v>0</v>
      </c>
      <c r="BF24" s="1137"/>
      <c r="BG24" s="1137"/>
      <c r="BH24" s="502"/>
      <c r="BI24" s="502"/>
      <c r="BJ24" s="502"/>
      <c r="BK24" s="4487"/>
      <c r="BL24" s="4487"/>
      <c r="BM24" s="4487"/>
      <c r="BN24" s="4487"/>
      <c r="BO24" s="4487"/>
      <c r="BP24" s="4487"/>
      <c r="BQ24" s="502"/>
      <c r="BR24" s="502"/>
      <c r="BS24" s="502"/>
      <c r="BT24" s="502"/>
      <c r="BU24" s="502"/>
      <c r="BV24" s="502"/>
      <c r="BW24" s="502"/>
      <c r="BX24" s="502"/>
      <c r="BY24" s="502"/>
      <c r="BZ24" s="502"/>
      <c r="CA24" s="502"/>
      <c r="CB24" s="502"/>
    </row>
    <row r="25" spans="2:80" ht="21.95" customHeight="1" x14ac:dyDescent="0.25">
      <c r="B25" s="7977"/>
      <c r="C25" s="5281" t="s">
        <v>1234</v>
      </c>
      <c r="D25" s="5282">
        <v>0</v>
      </c>
      <c r="E25" s="5283">
        <v>0</v>
      </c>
      <c r="F25" s="5282"/>
      <c r="G25" s="5283"/>
      <c r="H25" s="1394">
        <f t="shared" si="0"/>
        <v>0</v>
      </c>
      <c r="I25" s="1395">
        <f t="shared" si="26"/>
        <v>0</v>
      </c>
      <c r="J25" s="5282">
        <v>0</v>
      </c>
      <c r="K25" s="5283">
        <v>0</v>
      </c>
      <c r="L25" s="5198">
        <f t="shared" si="19"/>
        <v>0</v>
      </c>
      <c r="M25" s="5268">
        <f t="shared" si="27"/>
        <v>0</v>
      </c>
      <c r="N25" s="5282">
        <v>1</v>
      </c>
      <c r="O25" s="5283">
        <v>4039.73</v>
      </c>
      <c r="P25" s="1444">
        <f t="shared" si="55"/>
        <v>1</v>
      </c>
      <c r="Q25" s="1444">
        <f t="shared" si="28"/>
        <v>4039.73</v>
      </c>
      <c r="R25" s="5282"/>
      <c r="S25" s="5283"/>
      <c r="T25" s="1444">
        <f t="shared" si="2"/>
        <v>1</v>
      </c>
      <c r="U25" s="1444">
        <f t="shared" si="29"/>
        <v>4039.73</v>
      </c>
      <c r="V25" s="5282"/>
      <c r="W25" s="5283"/>
      <c r="X25" s="5198">
        <f t="shared" si="3"/>
        <v>1</v>
      </c>
      <c r="Y25" s="5269">
        <f t="shared" si="4"/>
        <v>4039.73</v>
      </c>
      <c r="Z25" s="5199">
        <f t="shared" si="5"/>
        <v>1</v>
      </c>
      <c r="AA25" s="5196">
        <f t="shared" si="30"/>
        <v>4039.73</v>
      </c>
      <c r="AB25" s="5282">
        <v>1</v>
      </c>
      <c r="AC25" s="5283">
        <v>4139.5200000000004</v>
      </c>
      <c r="AD25" s="6274">
        <f t="shared" si="6"/>
        <v>2</v>
      </c>
      <c r="AE25" s="6203">
        <f t="shared" si="31"/>
        <v>8179.25</v>
      </c>
      <c r="AF25" s="6285">
        <v>1</v>
      </c>
      <c r="AG25" s="5283">
        <v>4143.88</v>
      </c>
      <c r="AH25" s="5200">
        <f t="shared" si="61"/>
        <v>3</v>
      </c>
      <c r="AI25" s="1444">
        <f t="shared" si="23"/>
        <v>12323.130000000001</v>
      </c>
      <c r="AJ25" s="5282">
        <v>1</v>
      </c>
      <c r="AK25" s="5283"/>
      <c r="AL25" s="5198">
        <f t="shared" si="62"/>
        <v>3</v>
      </c>
      <c r="AM25" s="5268">
        <f t="shared" si="9"/>
        <v>8283.4000000000015</v>
      </c>
      <c r="AN25" s="1394">
        <f t="shared" si="68"/>
        <v>4</v>
      </c>
      <c r="AO25" s="1444">
        <f t="shared" si="34"/>
        <v>12323.130000000001</v>
      </c>
      <c r="AP25" s="5282">
        <v>1</v>
      </c>
      <c r="AQ25" s="5283">
        <v>4013.23</v>
      </c>
      <c r="AR25" s="5200">
        <f t="shared" si="63"/>
        <v>5</v>
      </c>
      <c r="AS25" s="1444">
        <f t="shared" si="36"/>
        <v>16336.36</v>
      </c>
      <c r="AT25" s="5282">
        <v>0</v>
      </c>
      <c r="AU25" s="5283">
        <v>0</v>
      </c>
      <c r="AV25" s="5200">
        <f t="shared" si="64"/>
        <v>5</v>
      </c>
      <c r="AW25" s="1444">
        <f t="shared" si="38"/>
        <v>16336.36</v>
      </c>
      <c r="AX25" s="5282">
        <v>0</v>
      </c>
      <c r="AY25" s="5283">
        <v>0</v>
      </c>
      <c r="AZ25" s="5198">
        <f t="shared" si="65"/>
        <v>1</v>
      </c>
      <c r="BA25" s="5269">
        <f t="shared" si="14"/>
        <v>4013.23</v>
      </c>
      <c r="BB25" s="5199">
        <f t="shared" si="66"/>
        <v>4</v>
      </c>
      <c r="BC25" s="5196">
        <f t="shared" si="16"/>
        <v>12296.630000000001</v>
      </c>
      <c r="BD25" s="1394">
        <f t="shared" si="67"/>
        <v>5</v>
      </c>
      <c r="BE25" s="1444">
        <f t="shared" si="18"/>
        <v>16336.36</v>
      </c>
      <c r="BF25" s="1137"/>
      <c r="BG25" s="1137"/>
      <c r="BH25" s="502"/>
      <c r="BI25" s="502"/>
      <c r="BJ25" s="502"/>
      <c r="BK25" s="4487"/>
      <c r="BL25" s="4487"/>
      <c r="BM25" s="4487"/>
      <c r="BN25" s="4487"/>
      <c r="BO25" s="4487"/>
      <c r="BP25" s="4487"/>
      <c r="BQ25" s="502"/>
      <c r="BR25" s="502"/>
      <c r="BS25" s="502"/>
      <c r="BT25" s="502"/>
      <c r="BU25" s="502"/>
      <c r="BV25" s="502"/>
      <c r="BW25" s="502"/>
      <c r="BX25" s="502"/>
      <c r="BY25" s="502"/>
      <c r="BZ25" s="502"/>
      <c r="CA25" s="502"/>
      <c r="CB25" s="502"/>
    </row>
    <row r="26" spans="2:80" ht="21.95" customHeight="1" thickBot="1" x14ac:dyDescent="0.3">
      <c r="B26" s="7989"/>
      <c r="C26" s="1500" t="s">
        <v>2</v>
      </c>
      <c r="D26" s="5284">
        <f t="shared" ref="D26:E26" si="69">SUM(D22:D25)</f>
        <v>0</v>
      </c>
      <c r="E26" s="5284">
        <f t="shared" si="69"/>
        <v>0</v>
      </c>
      <c r="F26" s="5284">
        <f t="shared" ref="F26:BE26" si="70">SUM(F22:F25)</f>
        <v>0</v>
      </c>
      <c r="G26" s="5284">
        <f t="shared" si="70"/>
        <v>0</v>
      </c>
      <c r="H26" s="5284">
        <f t="shared" si="70"/>
        <v>0</v>
      </c>
      <c r="I26" s="5284">
        <f t="shared" si="70"/>
        <v>0</v>
      </c>
      <c r="J26" s="5284">
        <f t="shared" si="70"/>
        <v>0</v>
      </c>
      <c r="K26" s="5284">
        <f t="shared" si="70"/>
        <v>0</v>
      </c>
      <c r="L26" s="5284">
        <f t="shared" si="70"/>
        <v>0</v>
      </c>
      <c r="M26" s="5284">
        <f t="shared" si="70"/>
        <v>0</v>
      </c>
      <c r="N26" s="5284">
        <f t="shared" si="70"/>
        <v>1</v>
      </c>
      <c r="O26" s="5284">
        <f t="shared" si="70"/>
        <v>4039.73</v>
      </c>
      <c r="P26" s="5284">
        <f t="shared" si="70"/>
        <v>1</v>
      </c>
      <c r="Q26" s="5284">
        <f t="shared" si="70"/>
        <v>4039.73</v>
      </c>
      <c r="R26" s="5284">
        <f t="shared" si="70"/>
        <v>0</v>
      </c>
      <c r="S26" s="5284">
        <f t="shared" si="70"/>
        <v>0</v>
      </c>
      <c r="T26" s="5284">
        <f t="shared" si="70"/>
        <v>1</v>
      </c>
      <c r="U26" s="5284">
        <f t="shared" si="70"/>
        <v>4039.73</v>
      </c>
      <c r="V26" s="5284">
        <f t="shared" si="70"/>
        <v>0</v>
      </c>
      <c r="W26" s="5284">
        <f t="shared" si="70"/>
        <v>0</v>
      </c>
      <c r="X26" s="5284">
        <f t="shared" si="70"/>
        <v>1</v>
      </c>
      <c r="Y26" s="5284">
        <f t="shared" si="70"/>
        <v>4039.73</v>
      </c>
      <c r="Z26" s="5284">
        <f t="shared" si="70"/>
        <v>1</v>
      </c>
      <c r="AA26" s="5284">
        <f t="shared" si="70"/>
        <v>4039.73</v>
      </c>
      <c r="AB26" s="5284">
        <f t="shared" si="70"/>
        <v>1</v>
      </c>
      <c r="AC26" s="5284">
        <f t="shared" si="70"/>
        <v>4139.5200000000004</v>
      </c>
      <c r="AD26" s="5285">
        <f t="shared" si="70"/>
        <v>2</v>
      </c>
      <c r="AE26" s="5983">
        <f t="shared" si="70"/>
        <v>8179.25</v>
      </c>
      <c r="AF26" s="5284">
        <f t="shared" si="70"/>
        <v>1</v>
      </c>
      <c r="AG26" s="5284">
        <f t="shared" ref="AG26" si="71">SUM(AG22:AG25)</f>
        <v>4143.88</v>
      </c>
      <c r="AH26" s="5284">
        <f t="shared" si="70"/>
        <v>3</v>
      </c>
      <c r="AI26" s="5284">
        <f t="shared" si="23"/>
        <v>12323.130000000001</v>
      </c>
      <c r="AJ26" s="5284">
        <f t="shared" si="70"/>
        <v>1</v>
      </c>
      <c r="AK26" s="5284">
        <f t="shared" si="70"/>
        <v>0</v>
      </c>
      <c r="AL26" s="5284">
        <f t="shared" si="70"/>
        <v>3</v>
      </c>
      <c r="AM26" s="5284">
        <f t="shared" si="70"/>
        <v>8283.4000000000015</v>
      </c>
      <c r="AN26" s="5284">
        <f t="shared" si="70"/>
        <v>4</v>
      </c>
      <c r="AO26" s="5284">
        <f t="shared" si="70"/>
        <v>12323.130000000001</v>
      </c>
      <c r="AP26" s="5284">
        <f t="shared" ref="AP26:AQ26" si="72">SUM(AP22:AP25)</f>
        <v>1</v>
      </c>
      <c r="AQ26" s="5284">
        <f t="shared" si="72"/>
        <v>4013.23</v>
      </c>
      <c r="AR26" s="5284">
        <f t="shared" si="70"/>
        <v>5</v>
      </c>
      <c r="AS26" s="5284">
        <f t="shared" si="70"/>
        <v>16336.36</v>
      </c>
      <c r="AT26" s="5284">
        <f t="shared" si="70"/>
        <v>0</v>
      </c>
      <c r="AU26" s="5284">
        <f t="shared" si="70"/>
        <v>0</v>
      </c>
      <c r="AV26" s="5284">
        <f t="shared" si="70"/>
        <v>5</v>
      </c>
      <c r="AW26" s="5284">
        <f t="shared" si="70"/>
        <v>16336.36</v>
      </c>
      <c r="AX26" s="5284">
        <f t="shared" ref="AX26:AY26" si="73">SUM(AX22:AX25)</f>
        <v>0</v>
      </c>
      <c r="AY26" s="5284">
        <f t="shared" si="73"/>
        <v>0</v>
      </c>
      <c r="AZ26" s="5284">
        <f t="shared" si="70"/>
        <v>1</v>
      </c>
      <c r="BA26" s="5284">
        <f t="shared" si="70"/>
        <v>4013.23</v>
      </c>
      <c r="BB26" s="5284">
        <f t="shared" si="70"/>
        <v>4</v>
      </c>
      <c r="BC26" s="5284">
        <f t="shared" si="70"/>
        <v>12296.630000000001</v>
      </c>
      <c r="BD26" s="5284">
        <f t="shared" si="70"/>
        <v>5</v>
      </c>
      <c r="BE26" s="5284">
        <f t="shared" si="70"/>
        <v>16336.36</v>
      </c>
      <c r="BF26" s="1137"/>
      <c r="BG26" s="1137"/>
      <c r="BH26" s="502"/>
      <c r="BI26" s="502"/>
      <c r="BJ26" s="502"/>
      <c r="BK26" s="4487"/>
      <c r="BL26" s="4487"/>
      <c r="BM26" s="4487"/>
      <c r="BN26" s="4487"/>
      <c r="BO26" s="4487"/>
      <c r="BP26" s="4487"/>
      <c r="BQ26" s="502"/>
      <c r="BR26" s="502"/>
      <c r="BS26" s="502"/>
      <c r="BT26" s="502"/>
      <c r="BU26" s="502"/>
      <c r="BV26" s="502"/>
      <c r="BW26" s="502"/>
      <c r="BX26" s="502"/>
      <c r="BY26" s="502"/>
      <c r="BZ26" s="502"/>
      <c r="CA26" s="502"/>
      <c r="CB26" s="502"/>
    </row>
    <row r="27" spans="2:80" ht="21.95" customHeight="1" thickBot="1" x14ac:dyDescent="0.3">
      <c r="B27" s="7990" t="s">
        <v>1181</v>
      </c>
      <c r="C27" s="1501" t="s">
        <v>1182</v>
      </c>
      <c r="D27" s="1372">
        <v>1</v>
      </c>
      <c r="E27" s="1373">
        <v>3926.97</v>
      </c>
      <c r="F27" s="1372">
        <v>2</v>
      </c>
      <c r="G27" s="1373">
        <v>6631</v>
      </c>
      <c r="H27" s="1394">
        <f t="shared" si="0"/>
        <v>3</v>
      </c>
      <c r="I27" s="1395">
        <f t="shared" si="26"/>
        <v>10557.97</v>
      </c>
      <c r="J27" s="1372">
        <v>1</v>
      </c>
      <c r="K27" s="1373">
        <v>4115</v>
      </c>
      <c r="L27" s="5198">
        <f t="shared" si="19"/>
        <v>4</v>
      </c>
      <c r="M27" s="5268">
        <f t="shared" si="27"/>
        <v>14672.97</v>
      </c>
      <c r="N27" s="1372">
        <v>1</v>
      </c>
      <c r="O27" s="1373">
        <v>4030.11</v>
      </c>
      <c r="P27" s="1444">
        <f t="shared" si="55"/>
        <v>5</v>
      </c>
      <c r="Q27" s="1444">
        <f t="shared" si="28"/>
        <v>18703.079999999998</v>
      </c>
      <c r="R27" s="1372">
        <v>2</v>
      </c>
      <c r="S27" s="1373">
        <v>7453.56</v>
      </c>
      <c r="T27" s="1444">
        <f t="shared" si="2"/>
        <v>7</v>
      </c>
      <c r="U27" s="1444">
        <f t="shared" si="29"/>
        <v>26156.639999999999</v>
      </c>
      <c r="V27" s="1372">
        <v>1</v>
      </c>
      <c r="W27" s="1373">
        <v>3900.83</v>
      </c>
      <c r="X27" s="5198">
        <f t="shared" si="3"/>
        <v>4</v>
      </c>
      <c r="Y27" s="5269">
        <f t="shared" si="4"/>
        <v>15384.5</v>
      </c>
      <c r="Z27" s="5199">
        <f t="shared" si="5"/>
        <v>8</v>
      </c>
      <c r="AA27" s="5196">
        <f t="shared" si="30"/>
        <v>30057.47</v>
      </c>
      <c r="AB27" s="1372">
        <v>1</v>
      </c>
      <c r="AC27" s="1373">
        <v>3992.12</v>
      </c>
      <c r="AD27" s="6269">
        <f t="shared" si="6"/>
        <v>9</v>
      </c>
      <c r="AE27" s="6203">
        <f t="shared" si="31"/>
        <v>34049.589999999997</v>
      </c>
      <c r="AF27" s="1372">
        <v>1</v>
      </c>
      <c r="AG27" s="1373">
        <v>3364.78</v>
      </c>
      <c r="AH27" s="1394">
        <f t="shared" ref="AH27:AH31" si="74">AD27+AF27</f>
        <v>10</v>
      </c>
      <c r="AI27" s="1444">
        <f t="shared" si="23"/>
        <v>37414.370000000003</v>
      </c>
      <c r="AJ27" s="1372">
        <v>1</v>
      </c>
      <c r="AK27" s="1373">
        <v>4059.37</v>
      </c>
      <c r="AL27" s="5198">
        <f t="shared" ref="AL27:AL31" si="75">+AB27+AF27+AJ27</f>
        <v>3</v>
      </c>
      <c r="AM27" s="5268">
        <f t="shared" si="9"/>
        <v>11416.27</v>
      </c>
      <c r="AN27" s="1394">
        <f t="shared" si="68"/>
        <v>11</v>
      </c>
      <c r="AO27" s="1444">
        <f t="shared" si="34"/>
        <v>41473.740000000005</v>
      </c>
      <c r="AP27" s="1372">
        <v>0</v>
      </c>
      <c r="AQ27" s="1373">
        <v>0</v>
      </c>
      <c r="AR27" s="1394">
        <f t="shared" ref="AR27:AR31" si="76">AN27+AP27</f>
        <v>11</v>
      </c>
      <c r="AS27" s="1444">
        <f t="shared" si="36"/>
        <v>41473.740000000005</v>
      </c>
      <c r="AT27" s="1372">
        <v>1</v>
      </c>
      <c r="AU27" s="1373">
        <v>3547.67</v>
      </c>
      <c r="AV27" s="1394">
        <f t="shared" ref="AV27:AV31" si="77">AR27+AT27</f>
        <v>12</v>
      </c>
      <c r="AW27" s="1444">
        <f t="shared" si="38"/>
        <v>45021.41</v>
      </c>
      <c r="AX27" s="1372">
        <v>0</v>
      </c>
      <c r="AY27" s="1373">
        <v>0</v>
      </c>
      <c r="AZ27" s="5198">
        <f t="shared" ref="AZ27:AZ31" si="78">+AP27+AT27+AX27</f>
        <v>1</v>
      </c>
      <c r="BA27" s="5269">
        <f t="shared" si="14"/>
        <v>3547.67</v>
      </c>
      <c r="BB27" s="5199">
        <f t="shared" ref="BB27:BB31" si="79">AL27+AZ27</f>
        <v>4</v>
      </c>
      <c r="BC27" s="5196">
        <f t="shared" si="16"/>
        <v>14963.94</v>
      </c>
      <c r="BD27" s="1394">
        <f t="shared" ref="BD27:BD31" si="80">AV27+AX27</f>
        <v>12</v>
      </c>
      <c r="BE27" s="1444">
        <f t="shared" si="18"/>
        <v>45021.41</v>
      </c>
      <c r="BF27" s="1137"/>
      <c r="BG27" s="1137"/>
      <c r="BH27" s="502"/>
      <c r="BI27" s="502"/>
      <c r="BJ27" s="502"/>
      <c r="BK27" s="4487"/>
      <c r="BL27" s="4487"/>
      <c r="BM27" s="4487"/>
      <c r="BN27" s="4487"/>
      <c r="BO27" s="4487"/>
      <c r="BP27" s="4487"/>
      <c r="BQ27" s="502"/>
      <c r="BR27" s="502"/>
      <c r="BS27" s="502"/>
      <c r="BT27" s="502"/>
      <c r="BU27" s="502"/>
      <c r="BV27" s="502"/>
      <c r="BW27" s="502"/>
      <c r="BX27" s="502"/>
      <c r="BY27" s="502"/>
      <c r="BZ27" s="502"/>
      <c r="CA27" s="502"/>
      <c r="CB27" s="502"/>
    </row>
    <row r="28" spans="2:80" ht="21.95" customHeight="1" thickBot="1" x14ac:dyDescent="0.3">
      <c r="B28" s="7991"/>
      <c r="C28" s="5280" t="s">
        <v>1183</v>
      </c>
      <c r="D28" s="5286">
        <v>0</v>
      </c>
      <c r="E28" s="5287">
        <v>0</v>
      </c>
      <c r="F28" s="5286"/>
      <c r="G28" s="5287"/>
      <c r="H28" s="1394">
        <f t="shared" si="0"/>
        <v>0</v>
      </c>
      <c r="I28" s="1395">
        <f t="shared" si="26"/>
        <v>0</v>
      </c>
      <c r="J28" s="5286"/>
      <c r="K28" s="5287"/>
      <c r="L28" s="5198">
        <f t="shared" si="19"/>
        <v>0</v>
      </c>
      <c r="M28" s="5268">
        <f t="shared" si="27"/>
        <v>0</v>
      </c>
      <c r="N28" s="5286"/>
      <c r="O28" s="5287"/>
      <c r="P28" s="1444">
        <f t="shared" si="55"/>
        <v>0</v>
      </c>
      <c r="Q28" s="1444">
        <f t="shared" si="28"/>
        <v>0</v>
      </c>
      <c r="R28" s="5286"/>
      <c r="S28" s="5287"/>
      <c r="T28" s="1444">
        <f t="shared" si="2"/>
        <v>0</v>
      </c>
      <c r="U28" s="1444">
        <f t="shared" si="29"/>
        <v>0</v>
      </c>
      <c r="V28" s="5286"/>
      <c r="W28" s="5287"/>
      <c r="X28" s="5198">
        <f t="shared" si="3"/>
        <v>0</v>
      </c>
      <c r="Y28" s="5269">
        <f t="shared" si="4"/>
        <v>0</v>
      </c>
      <c r="Z28" s="5199">
        <f t="shared" si="5"/>
        <v>0</v>
      </c>
      <c r="AA28" s="5196">
        <f t="shared" si="30"/>
        <v>0</v>
      </c>
      <c r="AB28" s="5286">
        <v>0</v>
      </c>
      <c r="AC28" s="5287">
        <v>0</v>
      </c>
      <c r="AD28" s="6269">
        <f t="shared" si="6"/>
        <v>0</v>
      </c>
      <c r="AE28" s="6203">
        <f t="shared" si="31"/>
        <v>0</v>
      </c>
      <c r="AF28" s="6286">
        <v>0</v>
      </c>
      <c r="AG28" s="5287">
        <v>0</v>
      </c>
      <c r="AH28" s="1394">
        <f t="shared" si="74"/>
        <v>0</v>
      </c>
      <c r="AI28" s="1444">
        <f t="shared" si="23"/>
        <v>0</v>
      </c>
      <c r="AJ28" s="5286"/>
      <c r="AK28" s="5287">
        <v>0</v>
      </c>
      <c r="AL28" s="5198">
        <f t="shared" si="75"/>
        <v>0</v>
      </c>
      <c r="AM28" s="5268">
        <f t="shared" si="9"/>
        <v>0</v>
      </c>
      <c r="AN28" s="1394">
        <f t="shared" si="68"/>
        <v>0</v>
      </c>
      <c r="AO28" s="1444">
        <f t="shared" si="34"/>
        <v>0</v>
      </c>
      <c r="AP28" s="5286">
        <v>0</v>
      </c>
      <c r="AQ28" s="5287">
        <v>0</v>
      </c>
      <c r="AR28" s="1394">
        <f t="shared" si="76"/>
        <v>0</v>
      </c>
      <c r="AS28" s="1444">
        <f t="shared" si="36"/>
        <v>0</v>
      </c>
      <c r="AT28" s="5286">
        <v>0</v>
      </c>
      <c r="AU28" s="5287">
        <v>0</v>
      </c>
      <c r="AV28" s="1394">
        <f t="shared" si="77"/>
        <v>0</v>
      </c>
      <c r="AW28" s="1444">
        <f t="shared" si="38"/>
        <v>0</v>
      </c>
      <c r="AX28" s="5286">
        <v>0</v>
      </c>
      <c r="AY28" s="5287">
        <v>0</v>
      </c>
      <c r="AZ28" s="5198">
        <f t="shared" si="78"/>
        <v>0</v>
      </c>
      <c r="BA28" s="5269">
        <f t="shared" si="14"/>
        <v>0</v>
      </c>
      <c r="BB28" s="5199">
        <f t="shared" si="79"/>
        <v>0</v>
      </c>
      <c r="BC28" s="5196">
        <f t="shared" si="16"/>
        <v>0</v>
      </c>
      <c r="BD28" s="1394">
        <f t="shared" si="80"/>
        <v>0</v>
      </c>
      <c r="BE28" s="1444">
        <f t="shared" si="18"/>
        <v>0</v>
      </c>
      <c r="BF28" s="1137"/>
      <c r="BG28" s="1137"/>
      <c r="BH28" s="502"/>
      <c r="BI28" s="502"/>
      <c r="BJ28" s="502"/>
      <c r="BK28" s="4487"/>
      <c r="BL28" s="4487"/>
      <c r="BM28" s="4487"/>
      <c r="BN28" s="4487"/>
      <c r="BO28" s="4487"/>
      <c r="BP28" s="4487"/>
      <c r="BQ28" s="502"/>
      <c r="BR28" s="502"/>
      <c r="BS28" s="502"/>
      <c r="BT28" s="502"/>
      <c r="BU28" s="502"/>
      <c r="BV28" s="502"/>
      <c r="BW28" s="502"/>
      <c r="BX28" s="502"/>
      <c r="BY28" s="502"/>
      <c r="BZ28" s="502"/>
      <c r="CA28" s="502"/>
      <c r="CB28" s="502"/>
    </row>
    <row r="29" spans="2:80" ht="21.95" customHeight="1" thickBot="1" x14ac:dyDescent="0.3">
      <c r="B29" s="7991"/>
      <c r="C29" s="5280" t="s">
        <v>976</v>
      </c>
      <c r="D29" s="5271">
        <v>3</v>
      </c>
      <c r="E29" s="5272">
        <v>11760.96</v>
      </c>
      <c r="F29" s="5271">
        <v>3</v>
      </c>
      <c r="G29" s="5272">
        <v>11998</v>
      </c>
      <c r="H29" s="1394">
        <f t="shared" si="0"/>
        <v>6</v>
      </c>
      <c r="I29" s="1395">
        <f t="shared" si="26"/>
        <v>23758.959999999999</v>
      </c>
      <c r="J29" s="5271">
        <v>4</v>
      </c>
      <c r="K29" s="5272">
        <v>15764</v>
      </c>
      <c r="L29" s="5198">
        <f t="shared" si="19"/>
        <v>10</v>
      </c>
      <c r="M29" s="5268">
        <f t="shared" si="27"/>
        <v>39522.959999999999</v>
      </c>
      <c r="N29" s="5271">
        <v>4</v>
      </c>
      <c r="O29" s="5272">
        <v>16007.35</v>
      </c>
      <c r="P29" s="1444">
        <f t="shared" si="55"/>
        <v>14</v>
      </c>
      <c r="Q29" s="1444">
        <f t="shared" si="28"/>
        <v>55530.31</v>
      </c>
      <c r="R29" s="5271">
        <v>4</v>
      </c>
      <c r="S29" s="5272">
        <v>15772.76</v>
      </c>
      <c r="T29" s="1444">
        <f t="shared" si="2"/>
        <v>18</v>
      </c>
      <c r="U29" s="1444">
        <f t="shared" si="29"/>
        <v>71303.070000000007</v>
      </c>
      <c r="V29" s="5271">
        <v>4</v>
      </c>
      <c r="W29" s="5272">
        <v>15524.81</v>
      </c>
      <c r="X29" s="5198">
        <f t="shared" si="3"/>
        <v>12</v>
      </c>
      <c r="Y29" s="5269">
        <f t="shared" si="4"/>
        <v>47304.92</v>
      </c>
      <c r="Z29" s="5199">
        <f t="shared" si="5"/>
        <v>22</v>
      </c>
      <c r="AA29" s="5196">
        <f t="shared" si="30"/>
        <v>86827.88</v>
      </c>
      <c r="AB29" s="5271">
        <v>6</v>
      </c>
      <c r="AC29" s="5272">
        <v>23472.39</v>
      </c>
      <c r="AD29" s="6269">
        <f t="shared" si="6"/>
        <v>28</v>
      </c>
      <c r="AE29" s="6203">
        <f t="shared" si="31"/>
        <v>110300.26999999999</v>
      </c>
      <c r="AF29" s="6261">
        <v>5</v>
      </c>
      <c r="AG29" s="5272">
        <v>19195.349999999999</v>
      </c>
      <c r="AH29" s="1394">
        <f t="shared" si="74"/>
        <v>33</v>
      </c>
      <c r="AI29" s="1444">
        <f t="shared" si="23"/>
        <v>129495.62</v>
      </c>
      <c r="AJ29" s="5271">
        <v>2</v>
      </c>
      <c r="AK29" s="5272">
        <v>31519.17</v>
      </c>
      <c r="AL29" s="5198">
        <f t="shared" si="75"/>
        <v>13</v>
      </c>
      <c r="AM29" s="5268">
        <f t="shared" si="9"/>
        <v>74186.91</v>
      </c>
      <c r="AN29" s="1394">
        <f t="shared" si="68"/>
        <v>35</v>
      </c>
      <c r="AO29" s="1444">
        <f t="shared" si="34"/>
        <v>161014.79</v>
      </c>
      <c r="AP29" s="5271">
        <v>7</v>
      </c>
      <c r="AQ29" s="5272">
        <v>27528.880000000001</v>
      </c>
      <c r="AR29" s="1394">
        <f t="shared" si="76"/>
        <v>42</v>
      </c>
      <c r="AS29" s="1444">
        <f t="shared" si="36"/>
        <v>188543.66999999998</v>
      </c>
      <c r="AT29" s="5271">
        <v>4</v>
      </c>
      <c r="AU29" s="5272">
        <v>15817.37</v>
      </c>
      <c r="AV29" s="1394">
        <f t="shared" si="77"/>
        <v>46</v>
      </c>
      <c r="AW29" s="1444">
        <f t="shared" si="38"/>
        <v>204361.04</v>
      </c>
      <c r="AX29" s="5271">
        <v>5</v>
      </c>
      <c r="AY29" s="5272">
        <v>19523.439999999999</v>
      </c>
      <c r="AZ29" s="5198">
        <f t="shared" si="78"/>
        <v>16</v>
      </c>
      <c r="BA29" s="5269">
        <f t="shared" si="14"/>
        <v>62869.69</v>
      </c>
      <c r="BB29" s="5199">
        <f t="shared" si="79"/>
        <v>29</v>
      </c>
      <c r="BC29" s="5196">
        <f t="shared" si="16"/>
        <v>137056.6</v>
      </c>
      <c r="BD29" s="1394">
        <f t="shared" si="80"/>
        <v>51</v>
      </c>
      <c r="BE29" s="1444">
        <f t="shared" si="18"/>
        <v>223884.48</v>
      </c>
      <c r="BF29" s="1137"/>
      <c r="BG29" s="1137"/>
      <c r="BH29" s="502"/>
      <c r="BI29" s="502"/>
      <c r="BJ29" s="502"/>
      <c r="BK29" s="4487"/>
      <c r="BL29" s="4487"/>
      <c r="BM29" s="4487"/>
      <c r="BN29" s="4487"/>
      <c r="BO29" s="4487"/>
      <c r="BP29" s="4487"/>
      <c r="BQ29" s="502"/>
      <c r="BR29" s="502"/>
      <c r="BS29" s="502"/>
      <c r="BT29" s="502"/>
      <c r="BU29" s="502"/>
      <c r="BV29" s="502"/>
      <c r="BW29" s="502"/>
      <c r="BX29" s="502"/>
      <c r="BY29" s="502"/>
      <c r="BZ29" s="502"/>
      <c r="CA29" s="502"/>
      <c r="CB29" s="502"/>
    </row>
    <row r="30" spans="2:80" ht="21.95" customHeight="1" thickBot="1" x14ac:dyDescent="0.3">
      <c r="B30" s="7991"/>
      <c r="C30" s="5280" t="s">
        <v>1184</v>
      </c>
      <c r="D30" s="5271">
        <v>0</v>
      </c>
      <c r="E30" s="5272">
        <v>0</v>
      </c>
      <c r="F30" s="5271">
        <v>0</v>
      </c>
      <c r="G30" s="5272">
        <v>0</v>
      </c>
      <c r="H30" s="1394">
        <f t="shared" si="0"/>
        <v>0</v>
      </c>
      <c r="I30" s="1395">
        <f t="shared" si="26"/>
        <v>0</v>
      </c>
      <c r="J30" s="5271">
        <v>1</v>
      </c>
      <c r="K30" s="5272">
        <v>4048</v>
      </c>
      <c r="L30" s="5198">
        <f t="shared" si="19"/>
        <v>1</v>
      </c>
      <c r="M30" s="5268">
        <f t="shared" si="27"/>
        <v>4048</v>
      </c>
      <c r="N30" s="5271">
        <v>1</v>
      </c>
      <c r="O30" s="5272">
        <v>4083.64</v>
      </c>
      <c r="P30" s="1444">
        <f t="shared" si="55"/>
        <v>2</v>
      </c>
      <c r="Q30" s="1444">
        <f t="shared" si="28"/>
        <v>8131.6399999999994</v>
      </c>
      <c r="R30" s="5271">
        <v>0</v>
      </c>
      <c r="S30" s="5272">
        <v>0</v>
      </c>
      <c r="T30" s="1444">
        <f t="shared" si="2"/>
        <v>2</v>
      </c>
      <c r="U30" s="1444">
        <f t="shared" si="29"/>
        <v>8131.6399999999994</v>
      </c>
      <c r="V30" s="5271">
        <v>0</v>
      </c>
      <c r="W30" s="5272">
        <v>0</v>
      </c>
      <c r="X30" s="5198">
        <f t="shared" si="3"/>
        <v>1</v>
      </c>
      <c r="Y30" s="5269">
        <f t="shared" si="4"/>
        <v>4083.64</v>
      </c>
      <c r="Z30" s="5199">
        <f t="shared" si="5"/>
        <v>2</v>
      </c>
      <c r="AA30" s="5196">
        <f t="shared" si="30"/>
        <v>8131.6399999999994</v>
      </c>
      <c r="AB30" s="5271">
        <v>1</v>
      </c>
      <c r="AC30" s="5272">
        <v>4158.8</v>
      </c>
      <c r="AD30" s="6269">
        <f t="shared" si="6"/>
        <v>3</v>
      </c>
      <c r="AE30" s="6203">
        <f t="shared" si="31"/>
        <v>12290.44</v>
      </c>
      <c r="AF30" s="6261">
        <v>0</v>
      </c>
      <c r="AG30" s="5272">
        <v>0</v>
      </c>
      <c r="AH30" s="1394">
        <f t="shared" si="74"/>
        <v>3</v>
      </c>
      <c r="AI30" s="1444">
        <f t="shared" si="23"/>
        <v>12290.44</v>
      </c>
      <c r="AJ30" s="5271">
        <v>1</v>
      </c>
      <c r="AK30" s="5272">
        <v>4084.52</v>
      </c>
      <c r="AL30" s="5198">
        <f t="shared" si="75"/>
        <v>2</v>
      </c>
      <c r="AM30" s="5268">
        <f t="shared" si="9"/>
        <v>8243.32</v>
      </c>
      <c r="AN30" s="1394">
        <f t="shared" si="68"/>
        <v>4</v>
      </c>
      <c r="AO30" s="1444">
        <f t="shared" si="34"/>
        <v>16374.96</v>
      </c>
      <c r="AP30" s="5271">
        <v>1</v>
      </c>
      <c r="AQ30" s="5272">
        <v>3955.25</v>
      </c>
      <c r="AR30" s="1394">
        <f t="shared" si="76"/>
        <v>5</v>
      </c>
      <c r="AS30" s="1444">
        <f t="shared" si="36"/>
        <v>20330.21</v>
      </c>
      <c r="AT30" s="5271">
        <v>0</v>
      </c>
      <c r="AU30" s="5272">
        <v>0</v>
      </c>
      <c r="AV30" s="1394">
        <f t="shared" si="77"/>
        <v>5</v>
      </c>
      <c r="AW30" s="1444">
        <f t="shared" si="38"/>
        <v>20330.21</v>
      </c>
      <c r="AX30" s="5271">
        <v>0</v>
      </c>
      <c r="AY30" s="5272">
        <v>0</v>
      </c>
      <c r="AZ30" s="5198">
        <f t="shared" si="78"/>
        <v>1</v>
      </c>
      <c r="BA30" s="5269">
        <f t="shared" si="14"/>
        <v>3955.25</v>
      </c>
      <c r="BB30" s="5199">
        <f t="shared" si="79"/>
        <v>3</v>
      </c>
      <c r="BC30" s="5196">
        <f t="shared" si="16"/>
        <v>12198.57</v>
      </c>
      <c r="BD30" s="1394">
        <f t="shared" si="80"/>
        <v>5</v>
      </c>
      <c r="BE30" s="1444">
        <f t="shared" si="18"/>
        <v>20330.21</v>
      </c>
      <c r="BF30" s="1137"/>
      <c r="BG30" s="1137"/>
      <c r="BH30" s="502"/>
      <c r="BI30" s="502"/>
      <c r="BJ30" s="502"/>
      <c r="BK30" s="4487"/>
      <c r="BL30" s="4487"/>
      <c r="BM30" s="4487"/>
      <c r="BN30" s="4487"/>
      <c r="BO30" s="4487"/>
      <c r="BP30" s="4487"/>
      <c r="BQ30" s="502"/>
      <c r="BR30" s="502"/>
      <c r="BS30" s="502"/>
      <c r="BT30" s="502"/>
      <c r="BU30" s="502"/>
      <c r="BV30" s="502"/>
      <c r="BW30" s="502"/>
      <c r="BX30" s="502"/>
      <c r="BY30" s="502"/>
      <c r="BZ30" s="502"/>
      <c r="CA30" s="502"/>
      <c r="CB30" s="502"/>
    </row>
    <row r="31" spans="2:80" ht="21.95" customHeight="1" x14ac:dyDescent="0.25">
      <c r="B31" s="7991"/>
      <c r="C31" s="5280" t="s">
        <v>1185</v>
      </c>
      <c r="D31" s="5271">
        <v>1</v>
      </c>
      <c r="E31" s="5272">
        <v>3869.42</v>
      </c>
      <c r="F31" s="5271">
        <v>0</v>
      </c>
      <c r="G31" s="5272">
        <v>0</v>
      </c>
      <c r="H31" s="1394">
        <f t="shared" si="0"/>
        <v>1</v>
      </c>
      <c r="I31" s="1395">
        <f t="shared" si="26"/>
        <v>3869.42</v>
      </c>
      <c r="J31" s="5271">
        <v>0</v>
      </c>
      <c r="K31" s="5272">
        <v>0</v>
      </c>
      <c r="L31" s="5198">
        <f t="shared" si="19"/>
        <v>1</v>
      </c>
      <c r="M31" s="5268">
        <f t="shared" si="27"/>
        <v>3869.42</v>
      </c>
      <c r="N31" s="5271">
        <v>1</v>
      </c>
      <c r="O31" s="5272">
        <v>3850.4</v>
      </c>
      <c r="P31" s="1444">
        <f t="shared" si="55"/>
        <v>2</v>
      </c>
      <c r="Q31" s="1444">
        <f t="shared" si="28"/>
        <v>7719.82</v>
      </c>
      <c r="R31" s="5271">
        <v>1</v>
      </c>
      <c r="S31" s="5272">
        <v>3852.88</v>
      </c>
      <c r="T31" s="1444">
        <f t="shared" si="2"/>
        <v>3</v>
      </c>
      <c r="U31" s="1444">
        <f t="shared" si="29"/>
        <v>11572.7</v>
      </c>
      <c r="V31" s="5271">
        <v>0</v>
      </c>
      <c r="W31" s="5272">
        <v>0</v>
      </c>
      <c r="X31" s="5198">
        <f t="shared" si="3"/>
        <v>2</v>
      </c>
      <c r="Y31" s="5269">
        <f t="shared" si="4"/>
        <v>7703.2800000000007</v>
      </c>
      <c r="Z31" s="5199">
        <f t="shared" si="5"/>
        <v>3</v>
      </c>
      <c r="AA31" s="5196">
        <f t="shared" si="30"/>
        <v>11572.7</v>
      </c>
      <c r="AB31" s="5271">
        <v>0</v>
      </c>
      <c r="AC31" s="5272">
        <v>0</v>
      </c>
      <c r="AD31" s="6269">
        <f t="shared" si="6"/>
        <v>3</v>
      </c>
      <c r="AE31" s="6203">
        <f t="shared" si="31"/>
        <v>11572.7</v>
      </c>
      <c r="AF31" s="6261">
        <v>1</v>
      </c>
      <c r="AG31" s="5272">
        <v>3817.47</v>
      </c>
      <c r="AH31" s="1394">
        <f t="shared" si="74"/>
        <v>4</v>
      </c>
      <c r="AI31" s="1444">
        <f t="shared" si="23"/>
        <v>15390.17</v>
      </c>
      <c r="AJ31" s="5271">
        <v>0</v>
      </c>
      <c r="AK31" s="5272">
        <v>0</v>
      </c>
      <c r="AL31" s="5198">
        <f t="shared" si="75"/>
        <v>1</v>
      </c>
      <c r="AM31" s="5268">
        <f t="shared" si="9"/>
        <v>3817.47</v>
      </c>
      <c r="AN31" s="1394">
        <f t="shared" si="68"/>
        <v>4</v>
      </c>
      <c r="AO31" s="1444">
        <f t="shared" si="34"/>
        <v>15390.17</v>
      </c>
      <c r="AP31" s="5271">
        <v>0</v>
      </c>
      <c r="AQ31" s="5272">
        <v>0</v>
      </c>
      <c r="AR31" s="1394">
        <f t="shared" si="76"/>
        <v>4</v>
      </c>
      <c r="AS31" s="1444">
        <f t="shared" si="36"/>
        <v>15390.17</v>
      </c>
      <c r="AT31" s="5271">
        <v>0</v>
      </c>
      <c r="AU31" s="5272">
        <v>0</v>
      </c>
      <c r="AV31" s="1394">
        <f t="shared" si="77"/>
        <v>4</v>
      </c>
      <c r="AW31" s="1444">
        <f t="shared" si="38"/>
        <v>15390.17</v>
      </c>
      <c r="AX31" s="5271">
        <v>0</v>
      </c>
      <c r="AY31" s="5272">
        <v>0</v>
      </c>
      <c r="AZ31" s="5198">
        <f t="shared" si="78"/>
        <v>0</v>
      </c>
      <c r="BA31" s="5269">
        <f t="shared" si="14"/>
        <v>0</v>
      </c>
      <c r="BB31" s="5199">
        <f t="shared" si="79"/>
        <v>1</v>
      </c>
      <c r="BC31" s="5196">
        <f t="shared" si="16"/>
        <v>3817.47</v>
      </c>
      <c r="BD31" s="1394">
        <f t="shared" si="80"/>
        <v>4</v>
      </c>
      <c r="BE31" s="1444">
        <f t="shared" si="18"/>
        <v>15390.17</v>
      </c>
      <c r="BF31" s="1137"/>
      <c r="BG31" s="1137"/>
      <c r="BH31" s="502"/>
      <c r="BI31" s="502"/>
      <c r="BJ31" s="502"/>
      <c r="BK31" s="4487"/>
      <c r="BL31" s="4487"/>
      <c r="BM31" s="4487"/>
      <c r="BN31" s="4487"/>
      <c r="BO31" s="4487"/>
      <c r="BP31" s="4487"/>
      <c r="BQ31" s="502"/>
      <c r="BR31" s="502"/>
      <c r="BS31" s="502"/>
      <c r="BT31" s="502"/>
      <c r="BU31" s="502"/>
      <c r="BV31" s="502"/>
      <c r="BW31" s="502"/>
      <c r="BX31" s="502"/>
      <c r="BY31" s="502"/>
      <c r="BZ31" s="502"/>
      <c r="CA31" s="502"/>
      <c r="CB31" s="502"/>
    </row>
    <row r="32" spans="2:80" ht="21.95" customHeight="1" thickBot="1" x14ac:dyDescent="0.3">
      <c r="B32" s="7992"/>
      <c r="C32" s="1500" t="s">
        <v>2</v>
      </c>
      <c r="D32" s="5284">
        <f t="shared" ref="D32:E32" si="81">SUM(D27:D31)</f>
        <v>5</v>
      </c>
      <c r="E32" s="5284">
        <f t="shared" si="81"/>
        <v>19557.349999999999</v>
      </c>
      <c r="F32" s="5284">
        <f t="shared" ref="F32:BE32" si="82">SUM(F27:F31)</f>
        <v>5</v>
      </c>
      <c r="G32" s="5284">
        <f t="shared" si="82"/>
        <v>18629</v>
      </c>
      <c r="H32" s="5284">
        <f t="shared" si="82"/>
        <v>10</v>
      </c>
      <c r="I32" s="5284">
        <f t="shared" si="82"/>
        <v>38186.35</v>
      </c>
      <c r="J32" s="5284">
        <f t="shared" si="82"/>
        <v>6</v>
      </c>
      <c r="K32" s="5284">
        <f t="shared" si="82"/>
        <v>23927</v>
      </c>
      <c r="L32" s="5284">
        <f t="shared" si="82"/>
        <v>16</v>
      </c>
      <c r="M32" s="5284">
        <f t="shared" si="82"/>
        <v>62113.35</v>
      </c>
      <c r="N32" s="5284">
        <f t="shared" si="82"/>
        <v>7</v>
      </c>
      <c r="O32" s="5284">
        <f t="shared" si="82"/>
        <v>27971.5</v>
      </c>
      <c r="P32" s="5284">
        <f t="shared" si="82"/>
        <v>23</v>
      </c>
      <c r="Q32" s="5284">
        <f t="shared" si="82"/>
        <v>90084.85</v>
      </c>
      <c r="R32" s="5284">
        <f t="shared" si="82"/>
        <v>7</v>
      </c>
      <c r="S32" s="5284">
        <f t="shared" si="82"/>
        <v>27079.200000000001</v>
      </c>
      <c r="T32" s="5284">
        <f t="shared" si="82"/>
        <v>30</v>
      </c>
      <c r="U32" s="5284">
        <f t="shared" si="82"/>
        <v>117164.05</v>
      </c>
      <c r="V32" s="5284">
        <f t="shared" si="82"/>
        <v>5</v>
      </c>
      <c r="W32" s="5284">
        <f t="shared" si="82"/>
        <v>19425.64</v>
      </c>
      <c r="X32" s="5284">
        <f t="shared" si="82"/>
        <v>19</v>
      </c>
      <c r="Y32" s="5284">
        <f t="shared" si="82"/>
        <v>74476.34</v>
      </c>
      <c r="Z32" s="5284">
        <f t="shared" si="82"/>
        <v>35</v>
      </c>
      <c r="AA32" s="5284">
        <f t="shared" si="82"/>
        <v>136589.69</v>
      </c>
      <c r="AB32" s="5284">
        <f t="shared" si="82"/>
        <v>8</v>
      </c>
      <c r="AC32" s="5284">
        <f t="shared" si="82"/>
        <v>31623.309999999998</v>
      </c>
      <c r="AD32" s="5285">
        <f t="shared" si="82"/>
        <v>43</v>
      </c>
      <c r="AE32" s="5983">
        <f t="shared" si="82"/>
        <v>168213</v>
      </c>
      <c r="AF32" s="5284">
        <f t="shared" si="82"/>
        <v>7</v>
      </c>
      <c r="AG32" s="5284">
        <f t="shared" ref="AG32" si="83">SUM(AG27:AG31)</f>
        <v>26377.599999999999</v>
      </c>
      <c r="AH32" s="5284">
        <f t="shared" si="82"/>
        <v>50</v>
      </c>
      <c r="AI32" s="5284">
        <f t="shared" si="23"/>
        <v>194590.6</v>
      </c>
      <c r="AJ32" s="5284">
        <f t="shared" si="82"/>
        <v>4</v>
      </c>
      <c r="AK32" s="5284">
        <f t="shared" si="82"/>
        <v>39663.06</v>
      </c>
      <c r="AL32" s="5284">
        <f t="shared" si="82"/>
        <v>19</v>
      </c>
      <c r="AM32" s="5284">
        <f t="shared" si="82"/>
        <v>97663.97</v>
      </c>
      <c r="AN32" s="5284">
        <f t="shared" si="82"/>
        <v>54</v>
      </c>
      <c r="AO32" s="5284">
        <f t="shared" si="82"/>
        <v>234253.66000000003</v>
      </c>
      <c r="AP32" s="5284">
        <f t="shared" ref="AP32:AQ32" si="84">SUM(AP27:AP31)</f>
        <v>8</v>
      </c>
      <c r="AQ32" s="5284">
        <f t="shared" si="84"/>
        <v>31484.13</v>
      </c>
      <c r="AR32" s="5284">
        <f t="shared" si="82"/>
        <v>62</v>
      </c>
      <c r="AS32" s="5284">
        <f t="shared" si="82"/>
        <v>265737.78999999998</v>
      </c>
      <c r="AT32" s="5284">
        <f t="shared" si="82"/>
        <v>5</v>
      </c>
      <c r="AU32" s="5284">
        <f t="shared" si="82"/>
        <v>19365.04</v>
      </c>
      <c r="AV32" s="5284">
        <f t="shared" si="82"/>
        <v>67</v>
      </c>
      <c r="AW32" s="5284">
        <f t="shared" si="82"/>
        <v>285102.83</v>
      </c>
      <c r="AX32" s="5284">
        <f t="shared" ref="AX32:AY32" si="85">SUM(AX27:AX31)</f>
        <v>5</v>
      </c>
      <c r="AY32" s="5284">
        <f t="shared" si="85"/>
        <v>19523.439999999999</v>
      </c>
      <c r="AZ32" s="5284">
        <f t="shared" si="82"/>
        <v>18</v>
      </c>
      <c r="BA32" s="5284">
        <f t="shared" si="82"/>
        <v>70372.61</v>
      </c>
      <c r="BB32" s="5284">
        <f t="shared" si="82"/>
        <v>37</v>
      </c>
      <c r="BC32" s="5284">
        <f t="shared" si="82"/>
        <v>168036.58000000002</v>
      </c>
      <c r="BD32" s="5284">
        <f t="shared" si="82"/>
        <v>72</v>
      </c>
      <c r="BE32" s="5284">
        <f t="shared" si="82"/>
        <v>304626.27</v>
      </c>
      <c r="BF32" s="1137"/>
      <c r="BG32" s="1137"/>
      <c r="BH32" s="502"/>
      <c r="BI32" s="502"/>
      <c r="BJ32" s="502"/>
      <c r="BK32" s="4487"/>
      <c r="BL32" s="4487"/>
      <c r="BM32" s="4487"/>
      <c r="BN32" s="4487"/>
      <c r="BO32" s="4487"/>
      <c r="BP32" s="4487"/>
      <c r="BQ32" s="502"/>
      <c r="BR32" s="502"/>
      <c r="BS32" s="502"/>
      <c r="BT32" s="502"/>
      <c r="BU32" s="502"/>
      <c r="BV32" s="502"/>
      <c r="BW32" s="502"/>
      <c r="BX32" s="502"/>
      <c r="BY32" s="502"/>
      <c r="BZ32" s="502"/>
      <c r="CA32" s="502"/>
      <c r="CB32" s="502"/>
    </row>
    <row r="33" spans="2:80" ht="21.95" customHeight="1" thickBot="1" x14ac:dyDescent="0.3">
      <c r="B33" s="8002" t="s">
        <v>1186</v>
      </c>
      <c r="C33" s="1499" t="s">
        <v>976</v>
      </c>
      <c r="D33" s="1384">
        <v>6</v>
      </c>
      <c r="E33" s="1391">
        <v>23334.78</v>
      </c>
      <c r="F33" s="1384">
        <v>4</v>
      </c>
      <c r="G33" s="1391">
        <v>15831</v>
      </c>
      <c r="H33" s="1394">
        <f t="shared" si="0"/>
        <v>10</v>
      </c>
      <c r="I33" s="1395">
        <f t="shared" si="26"/>
        <v>39165.78</v>
      </c>
      <c r="J33" s="1384">
        <v>5</v>
      </c>
      <c r="K33" s="1391">
        <v>19803</v>
      </c>
      <c r="L33" s="5198">
        <f t="shared" si="19"/>
        <v>15</v>
      </c>
      <c r="M33" s="5268">
        <f t="shared" si="27"/>
        <v>58968.78</v>
      </c>
      <c r="N33" s="1384">
        <v>4</v>
      </c>
      <c r="O33" s="1391">
        <v>15864.51</v>
      </c>
      <c r="P33" s="1444">
        <f t="shared" si="55"/>
        <v>19</v>
      </c>
      <c r="Q33" s="1444">
        <f t="shared" si="28"/>
        <v>74833.289999999994</v>
      </c>
      <c r="R33" s="1384">
        <v>6</v>
      </c>
      <c r="S33" s="1391">
        <v>23547.25</v>
      </c>
      <c r="T33" s="1444">
        <f t="shared" si="2"/>
        <v>25</v>
      </c>
      <c r="U33" s="1444">
        <f t="shared" si="29"/>
        <v>98380.540000000008</v>
      </c>
      <c r="V33" s="1384">
        <v>3</v>
      </c>
      <c r="W33" s="1391">
        <v>11744.630000000001</v>
      </c>
      <c r="X33" s="5198">
        <f t="shared" si="3"/>
        <v>13</v>
      </c>
      <c r="Y33" s="5269">
        <f t="shared" si="4"/>
        <v>51156.39</v>
      </c>
      <c r="Z33" s="5199">
        <f t="shared" si="5"/>
        <v>28</v>
      </c>
      <c r="AA33" s="5196">
        <f t="shared" si="30"/>
        <v>110125.17000000001</v>
      </c>
      <c r="AB33" s="1384">
        <v>4</v>
      </c>
      <c r="AC33" s="1391">
        <v>15678.11</v>
      </c>
      <c r="AD33" s="6269">
        <f t="shared" si="6"/>
        <v>32</v>
      </c>
      <c r="AE33" s="6203">
        <f t="shared" si="31"/>
        <v>125803.28</v>
      </c>
      <c r="AF33" s="1384">
        <v>4</v>
      </c>
      <c r="AG33" s="1391">
        <v>15705.72</v>
      </c>
      <c r="AH33" s="1394">
        <f t="shared" ref="AH33:AH35" si="86">AD33+AF33</f>
        <v>36</v>
      </c>
      <c r="AI33" s="1444">
        <f t="shared" si="23"/>
        <v>141509</v>
      </c>
      <c r="AJ33" s="1384">
        <v>3</v>
      </c>
      <c r="AK33" s="1391"/>
      <c r="AL33" s="5198">
        <f t="shared" ref="AL33:AL35" si="87">+AB33+AF33+AJ33</f>
        <v>11</v>
      </c>
      <c r="AM33" s="5268">
        <f t="shared" si="9"/>
        <v>31383.83</v>
      </c>
      <c r="AN33" s="1394">
        <f t="shared" si="68"/>
        <v>39</v>
      </c>
      <c r="AO33" s="1444">
        <f t="shared" si="34"/>
        <v>141509</v>
      </c>
      <c r="AP33" s="1384">
        <v>1</v>
      </c>
      <c r="AQ33" s="1391">
        <v>3917.27</v>
      </c>
      <c r="AR33" s="1394">
        <f t="shared" ref="AR33:AR35" si="88">AN33+AP33</f>
        <v>40</v>
      </c>
      <c r="AS33" s="1444">
        <f t="shared" si="36"/>
        <v>145426.26999999999</v>
      </c>
      <c r="AT33" s="1384">
        <v>4</v>
      </c>
      <c r="AU33" s="1391">
        <v>15560.09</v>
      </c>
      <c r="AV33" s="1394">
        <f t="shared" ref="AV33:AV35" si="89">AR33+AT33</f>
        <v>44</v>
      </c>
      <c r="AW33" s="1444">
        <f t="shared" si="38"/>
        <v>160986.36000000002</v>
      </c>
      <c r="AX33" s="1384">
        <v>7</v>
      </c>
      <c r="AY33" s="1391">
        <v>27401.59</v>
      </c>
      <c r="AZ33" s="5198">
        <f t="shared" ref="AZ33:AZ35" si="90">+AP33+AT33+AX33</f>
        <v>12</v>
      </c>
      <c r="BA33" s="5269">
        <f t="shared" si="14"/>
        <v>46878.95</v>
      </c>
      <c r="BB33" s="5199">
        <f t="shared" ref="BB33:BB35" si="91">AL33+AZ33</f>
        <v>23</v>
      </c>
      <c r="BC33" s="5196">
        <f t="shared" si="16"/>
        <v>78262.78</v>
      </c>
      <c r="BD33" s="1394">
        <f t="shared" ref="BD33:BD35" si="92">AV33+AX33</f>
        <v>51</v>
      </c>
      <c r="BE33" s="1444">
        <f t="shared" si="18"/>
        <v>188387.95</v>
      </c>
      <c r="BF33" s="1137"/>
      <c r="BG33" s="1137"/>
      <c r="BH33" s="502"/>
      <c r="BI33" s="502"/>
      <c r="BJ33" s="502"/>
      <c r="BK33" s="4487"/>
      <c r="BL33" s="4487"/>
      <c r="BM33" s="4487"/>
      <c r="BN33" s="4487"/>
      <c r="BO33" s="4487"/>
      <c r="BP33" s="4487"/>
      <c r="BQ33" s="502"/>
      <c r="BR33" s="502"/>
      <c r="BS33" s="502"/>
      <c r="BT33" s="502"/>
      <c r="BU33" s="502"/>
      <c r="BV33" s="502"/>
      <c r="BW33" s="502"/>
      <c r="BX33" s="502"/>
      <c r="BY33" s="502"/>
      <c r="BZ33" s="502"/>
      <c r="CA33" s="502"/>
      <c r="CB33" s="502"/>
    </row>
    <row r="34" spans="2:80" ht="21.95" customHeight="1" thickBot="1" x14ac:dyDescent="0.3">
      <c r="B34" s="7991"/>
      <c r="C34" s="5270" t="s">
        <v>1184</v>
      </c>
      <c r="D34" s="5271">
        <v>2</v>
      </c>
      <c r="E34" s="5272">
        <v>8173.7</v>
      </c>
      <c r="F34" s="5271">
        <v>1</v>
      </c>
      <c r="G34" s="5272">
        <v>4163</v>
      </c>
      <c r="H34" s="1394">
        <f t="shared" si="0"/>
        <v>3</v>
      </c>
      <c r="I34" s="1395">
        <f t="shared" si="26"/>
        <v>12336.7</v>
      </c>
      <c r="J34" s="5271">
        <v>0</v>
      </c>
      <c r="K34" s="5272">
        <v>0</v>
      </c>
      <c r="L34" s="5198">
        <f t="shared" si="19"/>
        <v>3</v>
      </c>
      <c r="M34" s="5268">
        <f t="shared" si="27"/>
        <v>12336.7</v>
      </c>
      <c r="N34" s="5271">
        <v>1</v>
      </c>
      <c r="O34" s="5272">
        <v>4073.51</v>
      </c>
      <c r="P34" s="1444">
        <f t="shared" si="55"/>
        <v>4</v>
      </c>
      <c r="Q34" s="1444">
        <f t="shared" si="28"/>
        <v>16410.21</v>
      </c>
      <c r="R34" s="5271">
        <v>1</v>
      </c>
      <c r="S34" s="5272">
        <v>4102.3900000000003</v>
      </c>
      <c r="T34" s="1444">
        <f t="shared" si="2"/>
        <v>5</v>
      </c>
      <c r="U34" s="1444">
        <f t="shared" si="29"/>
        <v>20512.599999999999</v>
      </c>
      <c r="V34" s="5271">
        <v>1</v>
      </c>
      <c r="W34" s="5272">
        <v>4138.8</v>
      </c>
      <c r="X34" s="5198">
        <f t="shared" si="3"/>
        <v>3</v>
      </c>
      <c r="Y34" s="5269">
        <f t="shared" si="4"/>
        <v>12314.7</v>
      </c>
      <c r="Z34" s="5199">
        <f t="shared" si="5"/>
        <v>6</v>
      </c>
      <c r="AA34" s="5196">
        <f t="shared" si="30"/>
        <v>24651.4</v>
      </c>
      <c r="AB34" s="5271">
        <v>2</v>
      </c>
      <c r="AC34" s="5272">
        <v>8183.4</v>
      </c>
      <c r="AD34" s="6269">
        <f t="shared" si="6"/>
        <v>8</v>
      </c>
      <c r="AE34" s="6203">
        <f t="shared" si="31"/>
        <v>32834.799999999996</v>
      </c>
      <c r="AF34" s="6261">
        <v>1</v>
      </c>
      <c r="AG34" s="5272">
        <v>4183.8999999999996</v>
      </c>
      <c r="AH34" s="1394">
        <f t="shared" si="86"/>
        <v>9</v>
      </c>
      <c r="AI34" s="1444">
        <f t="shared" si="23"/>
        <v>37018.699999999997</v>
      </c>
      <c r="AJ34" s="5271">
        <v>0</v>
      </c>
      <c r="AK34" s="5272"/>
      <c r="AL34" s="5198">
        <f t="shared" si="87"/>
        <v>3</v>
      </c>
      <c r="AM34" s="5268">
        <f t="shared" si="9"/>
        <v>12367.3</v>
      </c>
      <c r="AN34" s="1394">
        <f t="shared" si="68"/>
        <v>9</v>
      </c>
      <c r="AO34" s="1444">
        <f t="shared" si="34"/>
        <v>37018.699999999997</v>
      </c>
      <c r="AP34" s="5271">
        <v>1</v>
      </c>
      <c r="AQ34" s="5272">
        <v>4158.8999999999996</v>
      </c>
      <c r="AR34" s="1394">
        <f t="shared" si="88"/>
        <v>10</v>
      </c>
      <c r="AS34" s="1444">
        <f t="shared" si="36"/>
        <v>41177.599999999991</v>
      </c>
      <c r="AT34" s="5271">
        <v>1</v>
      </c>
      <c r="AU34" s="5272">
        <v>4176.68</v>
      </c>
      <c r="AV34" s="1394">
        <f t="shared" si="89"/>
        <v>11</v>
      </c>
      <c r="AW34" s="1444">
        <f t="shared" si="38"/>
        <v>45354.279999999992</v>
      </c>
      <c r="AX34" s="5271">
        <v>0</v>
      </c>
      <c r="AY34" s="5272">
        <v>0</v>
      </c>
      <c r="AZ34" s="5198">
        <f t="shared" si="90"/>
        <v>2</v>
      </c>
      <c r="BA34" s="5269">
        <f t="shared" si="14"/>
        <v>8335.58</v>
      </c>
      <c r="BB34" s="5199">
        <f t="shared" si="91"/>
        <v>5</v>
      </c>
      <c r="BC34" s="5196">
        <f t="shared" si="16"/>
        <v>20702.879999999997</v>
      </c>
      <c r="BD34" s="1394">
        <f t="shared" si="92"/>
        <v>11</v>
      </c>
      <c r="BE34" s="1444">
        <f t="shared" si="18"/>
        <v>45354.28</v>
      </c>
      <c r="BF34" s="1137"/>
      <c r="BG34" s="1137"/>
      <c r="BH34" s="502"/>
      <c r="BI34" s="502"/>
      <c r="BJ34" s="502"/>
      <c r="BK34" s="4487"/>
      <c r="BL34" s="4487"/>
      <c r="BM34" s="4487"/>
      <c r="BN34" s="4487"/>
      <c r="BO34" s="4487"/>
      <c r="BP34" s="4487"/>
      <c r="BQ34" s="502"/>
      <c r="BR34" s="502"/>
      <c r="BS34" s="502"/>
      <c r="BT34" s="502"/>
      <c r="BU34" s="502"/>
      <c r="BV34" s="502"/>
      <c r="BW34" s="502"/>
      <c r="BX34" s="502"/>
      <c r="BY34" s="502"/>
      <c r="BZ34" s="502"/>
      <c r="CA34" s="502"/>
      <c r="CB34" s="502"/>
    </row>
    <row r="35" spans="2:80" s="2106" customFormat="1" ht="21.95" customHeight="1" x14ac:dyDescent="0.25">
      <c r="B35" s="8003"/>
      <c r="C35" s="5280" t="s">
        <v>1185</v>
      </c>
      <c r="D35" s="5282">
        <v>0</v>
      </c>
      <c r="E35" s="5283">
        <v>0</v>
      </c>
      <c r="F35" s="5282">
        <v>0</v>
      </c>
      <c r="G35" s="5283">
        <v>0</v>
      </c>
      <c r="H35" s="1394">
        <f t="shared" si="0"/>
        <v>0</v>
      </c>
      <c r="I35" s="1395">
        <f t="shared" si="26"/>
        <v>0</v>
      </c>
      <c r="J35" s="5282">
        <v>0</v>
      </c>
      <c r="K35" s="5283">
        <v>0</v>
      </c>
      <c r="L35" s="5198">
        <f t="shared" si="19"/>
        <v>0</v>
      </c>
      <c r="M35" s="5268">
        <f t="shared" si="27"/>
        <v>0</v>
      </c>
      <c r="N35" s="5282">
        <v>0</v>
      </c>
      <c r="O35" s="5283">
        <v>0</v>
      </c>
      <c r="P35" s="1444">
        <f t="shared" si="55"/>
        <v>0</v>
      </c>
      <c r="Q35" s="1444">
        <f t="shared" si="28"/>
        <v>0</v>
      </c>
      <c r="R35" s="5282"/>
      <c r="S35" s="5283"/>
      <c r="T35" s="1444">
        <f t="shared" si="2"/>
        <v>0</v>
      </c>
      <c r="U35" s="1444">
        <f t="shared" si="29"/>
        <v>0</v>
      </c>
      <c r="V35" s="5282">
        <v>0</v>
      </c>
      <c r="W35" s="5283">
        <v>0</v>
      </c>
      <c r="X35" s="5198">
        <f t="shared" si="3"/>
        <v>0</v>
      </c>
      <c r="Y35" s="5269">
        <f t="shared" si="4"/>
        <v>0</v>
      </c>
      <c r="Z35" s="5199">
        <f t="shared" si="5"/>
        <v>0</v>
      </c>
      <c r="AA35" s="5196">
        <f t="shared" si="30"/>
        <v>0</v>
      </c>
      <c r="AB35" s="5282">
        <v>0</v>
      </c>
      <c r="AC35" s="5283">
        <v>0</v>
      </c>
      <c r="AD35" s="6269">
        <f t="shared" si="6"/>
        <v>0</v>
      </c>
      <c r="AE35" s="6203">
        <f t="shared" si="31"/>
        <v>0</v>
      </c>
      <c r="AF35" s="6285">
        <v>0</v>
      </c>
      <c r="AG35" s="5283">
        <v>0</v>
      </c>
      <c r="AH35" s="1394">
        <f t="shared" si="86"/>
        <v>0</v>
      </c>
      <c r="AI35" s="1444">
        <f t="shared" si="23"/>
        <v>0</v>
      </c>
      <c r="AJ35" s="5282">
        <v>0</v>
      </c>
      <c r="AK35" s="5283"/>
      <c r="AL35" s="5198">
        <f t="shared" si="87"/>
        <v>0</v>
      </c>
      <c r="AM35" s="5268">
        <f t="shared" si="9"/>
        <v>0</v>
      </c>
      <c r="AN35" s="1394">
        <f t="shared" si="68"/>
        <v>0</v>
      </c>
      <c r="AO35" s="1444">
        <f t="shared" si="34"/>
        <v>0</v>
      </c>
      <c r="AP35" s="5282">
        <v>0</v>
      </c>
      <c r="AQ35" s="5283">
        <v>0</v>
      </c>
      <c r="AR35" s="1394">
        <f t="shared" si="88"/>
        <v>0</v>
      </c>
      <c r="AS35" s="1444">
        <f t="shared" si="36"/>
        <v>0</v>
      </c>
      <c r="AT35" s="5282">
        <v>0</v>
      </c>
      <c r="AU35" s="5283">
        <v>0</v>
      </c>
      <c r="AV35" s="1394">
        <f t="shared" si="89"/>
        <v>0</v>
      </c>
      <c r="AW35" s="1444">
        <f t="shared" si="38"/>
        <v>0</v>
      </c>
      <c r="AX35" s="5282">
        <v>0</v>
      </c>
      <c r="AY35" s="5283">
        <v>0</v>
      </c>
      <c r="AZ35" s="5198">
        <f t="shared" si="90"/>
        <v>0</v>
      </c>
      <c r="BA35" s="5269">
        <f t="shared" si="14"/>
        <v>0</v>
      </c>
      <c r="BB35" s="5199">
        <f t="shared" si="91"/>
        <v>0</v>
      </c>
      <c r="BC35" s="5196">
        <f t="shared" si="16"/>
        <v>0</v>
      </c>
      <c r="BD35" s="1394">
        <f t="shared" si="92"/>
        <v>0</v>
      </c>
      <c r="BE35" s="1444">
        <f t="shared" si="18"/>
        <v>0</v>
      </c>
      <c r="BF35" s="1137"/>
      <c r="BG35" s="1137"/>
      <c r="BH35" s="502"/>
      <c r="BI35" s="502"/>
      <c r="BJ35" s="502"/>
      <c r="BK35" s="4487"/>
      <c r="BL35" s="4487"/>
      <c r="BM35" s="4487"/>
      <c r="BN35" s="4487"/>
      <c r="BO35" s="4487"/>
      <c r="BP35" s="4487"/>
      <c r="BQ35" s="502"/>
      <c r="BR35" s="502"/>
      <c r="BS35" s="502"/>
      <c r="BT35" s="502"/>
      <c r="BU35" s="502"/>
      <c r="BV35" s="502"/>
      <c r="BW35" s="502"/>
      <c r="BX35" s="502"/>
      <c r="BY35" s="502"/>
      <c r="BZ35" s="502"/>
      <c r="CA35" s="502"/>
      <c r="CB35" s="502"/>
    </row>
    <row r="36" spans="2:80" ht="21.95" customHeight="1" thickBot="1" x14ac:dyDescent="0.3">
      <c r="B36" s="8004"/>
      <c r="C36" s="5278" t="s">
        <v>2</v>
      </c>
      <c r="D36" s="7195">
        <f t="shared" ref="D36:E36" si="93">SUM(D33:D35)</f>
        <v>8</v>
      </c>
      <c r="E36" s="7195">
        <f t="shared" si="93"/>
        <v>31508.48</v>
      </c>
      <c r="F36" s="7195">
        <f t="shared" ref="F36:BE36" si="94">SUM(F33:F35)</f>
        <v>5</v>
      </c>
      <c r="G36" s="7195">
        <f t="shared" si="94"/>
        <v>19994</v>
      </c>
      <c r="H36" s="7195">
        <f t="shared" si="94"/>
        <v>13</v>
      </c>
      <c r="I36" s="7195">
        <f t="shared" si="94"/>
        <v>51502.479999999996</v>
      </c>
      <c r="J36" s="7195">
        <f t="shared" si="94"/>
        <v>5</v>
      </c>
      <c r="K36" s="7195">
        <f t="shared" si="94"/>
        <v>19803</v>
      </c>
      <c r="L36" s="7195">
        <f t="shared" si="94"/>
        <v>18</v>
      </c>
      <c r="M36" s="7195">
        <f t="shared" si="94"/>
        <v>71305.48</v>
      </c>
      <c r="N36" s="7195">
        <f t="shared" si="94"/>
        <v>5</v>
      </c>
      <c r="O36" s="7195">
        <f t="shared" si="94"/>
        <v>19938.02</v>
      </c>
      <c r="P36" s="7195">
        <f t="shared" si="94"/>
        <v>23</v>
      </c>
      <c r="Q36" s="7195">
        <f t="shared" si="94"/>
        <v>91243.5</v>
      </c>
      <c r="R36" s="7195">
        <f t="shared" si="94"/>
        <v>7</v>
      </c>
      <c r="S36" s="7195">
        <f t="shared" si="94"/>
        <v>27649.64</v>
      </c>
      <c r="T36" s="7195">
        <f t="shared" si="94"/>
        <v>30</v>
      </c>
      <c r="U36" s="7195">
        <f t="shared" si="94"/>
        <v>118893.14000000001</v>
      </c>
      <c r="V36" s="7195">
        <f t="shared" si="94"/>
        <v>4</v>
      </c>
      <c r="W36" s="7195">
        <f t="shared" si="94"/>
        <v>15883.43</v>
      </c>
      <c r="X36" s="7195">
        <f t="shared" si="94"/>
        <v>16</v>
      </c>
      <c r="Y36" s="7195">
        <f t="shared" si="94"/>
        <v>63471.09</v>
      </c>
      <c r="Z36" s="7195">
        <f t="shared" si="94"/>
        <v>34</v>
      </c>
      <c r="AA36" s="7195">
        <f t="shared" si="94"/>
        <v>134776.57</v>
      </c>
      <c r="AB36" s="7195">
        <f t="shared" si="94"/>
        <v>6</v>
      </c>
      <c r="AC36" s="7195">
        <f t="shared" si="94"/>
        <v>23861.510000000002</v>
      </c>
      <c r="AD36" s="6271">
        <f t="shared" si="94"/>
        <v>40</v>
      </c>
      <c r="AE36" s="7267">
        <f t="shared" si="94"/>
        <v>158638.07999999999</v>
      </c>
      <c r="AF36" s="7195">
        <f t="shared" si="94"/>
        <v>5</v>
      </c>
      <c r="AG36" s="7195">
        <f t="shared" ref="AG36" si="95">SUM(AG33:AG35)</f>
        <v>19889.62</v>
      </c>
      <c r="AH36" s="7195">
        <f t="shared" si="94"/>
        <v>45</v>
      </c>
      <c r="AI36" s="7195">
        <f t="shared" si="23"/>
        <v>178527.70000000004</v>
      </c>
      <c r="AJ36" s="7195">
        <f t="shared" si="94"/>
        <v>3</v>
      </c>
      <c r="AK36" s="7195">
        <f t="shared" si="94"/>
        <v>0</v>
      </c>
      <c r="AL36" s="7195">
        <f t="shared" si="94"/>
        <v>14</v>
      </c>
      <c r="AM36" s="7195">
        <f t="shared" si="94"/>
        <v>43751.130000000005</v>
      </c>
      <c r="AN36" s="7195">
        <f t="shared" si="94"/>
        <v>48</v>
      </c>
      <c r="AO36" s="7195">
        <f t="shared" si="94"/>
        <v>178527.7</v>
      </c>
      <c r="AP36" s="7195">
        <f t="shared" ref="AP36:AQ36" si="96">SUM(AP33:AP35)</f>
        <v>2</v>
      </c>
      <c r="AQ36" s="7195">
        <f t="shared" si="96"/>
        <v>8076.17</v>
      </c>
      <c r="AR36" s="7195">
        <f t="shared" si="94"/>
        <v>50</v>
      </c>
      <c r="AS36" s="7195">
        <f t="shared" si="94"/>
        <v>186603.87</v>
      </c>
      <c r="AT36" s="7195">
        <f t="shared" si="94"/>
        <v>5</v>
      </c>
      <c r="AU36" s="7195">
        <f t="shared" si="94"/>
        <v>19736.77</v>
      </c>
      <c r="AV36" s="7195">
        <f t="shared" si="94"/>
        <v>55</v>
      </c>
      <c r="AW36" s="7195">
        <f t="shared" si="94"/>
        <v>206340.64</v>
      </c>
      <c r="AX36" s="7195">
        <f t="shared" ref="AX36:AY36" si="97">SUM(AX33:AX35)</f>
        <v>7</v>
      </c>
      <c r="AY36" s="7195">
        <f t="shared" si="97"/>
        <v>27401.59</v>
      </c>
      <c r="AZ36" s="7195">
        <f t="shared" si="94"/>
        <v>14</v>
      </c>
      <c r="BA36" s="7195">
        <f t="shared" si="94"/>
        <v>55214.53</v>
      </c>
      <c r="BB36" s="7195">
        <f t="shared" si="94"/>
        <v>28</v>
      </c>
      <c r="BC36" s="7195">
        <f t="shared" si="94"/>
        <v>98965.66</v>
      </c>
      <c r="BD36" s="7195">
        <f t="shared" si="94"/>
        <v>62</v>
      </c>
      <c r="BE36" s="7195">
        <f t="shared" si="94"/>
        <v>233742.23</v>
      </c>
      <c r="BF36" s="1137"/>
      <c r="BG36" s="1137"/>
      <c r="BH36" s="502"/>
      <c r="BI36" s="502"/>
      <c r="BJ36" s="502"/>
      <c r="BK36" s="4487"/>
      <c r="BL36" s="4487"/>
      <c r="BM36" s="4487"/>
      <c r="BN36" s="4487"/>
      <c r="BO36" s="4487"/>
      <c r="BP36" s="4487"/>
      <c r="BQ36" s="502"/>
      <c r="BR36" s="502"/>
      <c r="BS36" s="502"/>
      <c r="BT36" s="502"/>
      <c r="BU36" s="502"/>
      <c r="BV36" s="502"/>
      <c r="BW36" s="502"/>
      <c r="BX36" s="502"/>
      <c r="BY36" s="502"/>
      <c r="BZ36" s="502"/>
      <c r="CA36" s="502"/>
      <c r="CB36" s="502"/>
    </row>
    <row r="37" spans="2:80" s="4487" customFormat="1" ht="21.95" customHeight="1" thickBot="1" x14ac:dyDescent="0.3">
      <c r="B37" s="7274" t="s">
        <v>6</v>
      </c>
      <c r="C37" s="7275"/>
      <c r="D37" s="7196">
        <f t="shared" ref="D37:E37" si="98">+D41+D42</f>
        <v>0</v>
      </c>
      <c r="E37" s="7196">
        <f t="shared" si="98"/>
        <v>0</v>
      </c>
      <c r="F37" s="7196">
        <f t="shared" ref="F37:L37" si="99">+F41+F42</f>
        <v>0</v>
      </c>
      <c r="G37" s="7196">
        <f t="shared" si="99"/>
        <v>0</v>
      </c>
      <c r="H37" s="7196">
        <f t="shared" si="99"/>
        <v>0</v>
      </c>
      <c r="I37" s="7196">
        <f t="shared" si="99"/>
        <v>0</v>
      </c>
      <c r="J37" s="7196">
        <f t="shared" si="99"/>
        <v>0</v>
      </c>
      <c r="K37" s="7196">
        <f t="shared" si="99"/>
        <v>0</v>
      </c>
      <c r="L37" s="7196">
        <f t="shared" si="99"/>
        <v>0</v>
      </c>
      <c r="M37" s="5268">
        <f t="shared" si="27"/>
        <v>0</v>
      </c>
      <c r="N37" s="7196">
        <f t="shared" ref="N37:X37" si="100">+N41+N42</f>
        <v>0</v>
      </c>
      <c r="O37" s="7196">
        <f t="shared" si="100"/>
        <v>184.69</v>
      </c>
      <c r="P37" s="7196">
        <f t="shared" si="100"/>
        <v>0</v>
      </c>
      <c r="Q37" s="7196">
        <f t="shared" si="100"/>
        <v>184.69</v>
      </c>
      <c r="R37" s="7196">
        <f t="shared" si="100"/>
        <v>0</v>
      </c>
      <c r="S37" s="7196">
        <f t="shared" si="100"/>
        <v>4020</v>
      </c>
      <c r="T37" s="7196">
        <f t="shared" si="100"/>
        <v>0</v>
      </c>
      <c r="U37" s="7196">
        <f t="shared" si="100"/>
        <v>4204.6899999999996</v>
      </c>
      <c r="V37" s="7196">
        <f t="shared" si="100"/>
        <v>0</v>
      </c>
      <c r="W37" s="7196">
        <f t="shared" si="100"/>
        <v>4027.2</v>
      </c>
      <c r="X37" s="7196">
        <f t="shared" si="100"/>
        <v>0</v>
      </c>
      <c r="Y37" s="5269">
        <f t="shared" si="4"/>
        <v>8231.89</v>
      </c>
      <c r="Z37" s="7196">
        <f>+Z41+Z42</f>
        <v>0</v>
      </c>
      <c r="AA37" s="5196">
        <f t="shared" si="30"/>
        <v>8231.89</v>
      </c>
      <c r="AB37" s="7196">
        <f t="shared" ref="AB37:AL37" si="101">+AB41+AB42</f>
        <v>0</v>
      </c>
      <c r="AC37" s="7196">
        <f t="shared" si="101"/>
        <v>0</v>
      </c>
      <c r="AD37" s="7196">
        <f t="shared" si="101"/>
        <v>0</v>
      </c>
      <c r="AE37" s="7196">
        <f t="shared" si="101"/>
        <v>8231.89</v>
      </c>
      <c r="AF37" s="7196">
        <f t="shared" si="101"/>
        <v>0</v>
      </c>
      <c r="AG37" s="7196">
        <f t="shared" si="101"/>
        <v>0</v>
      </c>
      <c r="AH37" s="7196">
        <f t="shared" si="101"/>
        <v>0</v>
      </c>
      <c r="AI37" s="7196">
        <f t="shared" si="101"/>
        <v>8231.89</v>
      </c>
      <c r="AJ37" s="7196">
        <f t="shared" si="101"/>
        <v>0</v>
      </c>
      <c r="AK37" s="7196">
        <f t="shared" si="101"/>
        <v>0</v>
      </c>
      <c r="AL37" s="7196">
        <f t="shared" si="101"/>
        <v>0</v>
      </c>
      <c r="AM37" s="5268">
        <f t="shared" si="9"/>
        <v>0</v>
      </c>
      <c r="AN37" s="7196">
        <f t="shared" ref="AN37:AZ37" si="102">+AN41+AN42</f>
        <v>0</v>
      </c>
      <c r="AO37" s="7196">
        <f t="shared" si="102"/>
        <v>8231.89</v>
      </c>
      <c r="AP37" s="7196">
        <f t="shared" si="102"/>
        <v>0</v>
      </c>
      <c r="AQ37" s="7196">
        <f t="shared" si="102"/>
        <v>0</v>
      </c>
      <c r="AR37" s="7196">
        <f t="shared" si="102"/>
        <v>0</v>
      </c>
      <c r="AS37" s="7196">
        <f t="shared" si="102"/>
        <v>8231.89</v>
      </c>
      <c r="AT37" s="7196">
        <f t="shared" si="102"/>
        <v>0</v>
      </c>
      <c r="AU37" s="7196">
        <f t="shared" si="102"/>
        <v>3557.53</v>
      </c>
      <c r="AV37" s="7196">
        <f t="shared" si="102"/>
        <v>0</v>
      </c>
      <c r="AW37" s="7196">
        <f t="shared" si="102"/>
        <v>11789.42</v>
      </c>
      <c r="AX37" s="7196">
        <f t="shared" si="102"/>
        <v>0</v>
      </c>
      <c r="AY37" s="7196">
        <f t="shared" si="102"/>
        <v>136.72</v>
      </c>
      <c r="AZ37" s="7196">
        <f t="shared" si="102"/>
        <v>0</v>
      </c>
      <c r="BA37" s="5269">
        <f t="shared" si="14"/>
        <v>3694.25</v>
      </c>
      <c r="BB37" s="7196">
        <f>+BB41+BB42</f>
        <v>0</v>
      </c>
      <c r="BC37" s="5196">
        <f t="shared" si="16"/>
        <v>3694.25</v>
      </c>
      <c r="BD37" s="7196">
        <f>+BD41+BD42</f>
        <v>0</v>
      </c>
      <c r="BE37" s="1444">
        <f t="shared" si="18"/>
        <v>11926.14</v>
      </c>
      <c r="BF37" s="1137"/>
      <c r="BG37" s="1137"/>
      <c r="BH37" s="502"/>
      <c r="BI37" s="502"/>
      <c r="BJ37" s="502"/>
      <c r="BQ37" s="502"/>
      <c r="BR37" s="502"/>
      <c r="BS37" s="502"/>
      <c r="BT37" s="502"/>
      <c r="BU37" s="502"/>
      <c r="BV37" s="502"/>
      <c r="BW37" s="502"/>
      <c r="BX37" s="502"/>
      <c r="BY37" s="502"/>
      <c r="BZ37" s="502"/>
      <c r="CA37" s="502"/>
      <c r="CB37" s="502"/>
    </row>
    <row r="38" spans="2:80" s="4487" customFormat="1" ht="21.95" customHeight="1" thickBot="1" x14ac:dyDescent="0.3">
      <c r="B38" s="7275" t="s">
        <v>2284</v>
      </c>
      <c r="C38" s="7275"/>
      <c r="D38" s="7196"/>
      <c r="E38" s="7196"/>
      <c r="F38" s="7196"/>
      <c r="G38" s="7196">
        <v>0</v>
      </c>
      <c r="H38" s="7278"/>
      <c r="I38" s="7279"/>
      <c r="J38" s="7196"/>
      <c r="K38" s="7196">
        <v>0</v>
      </c>
      <c r="L38" s="7280"/>
      <c r="M38" s="5268">
        <f t="shared" si="27"/>
        <v>0</v>
      </c>
      <c r="N38" s="7196"/>
      <c r="O38" s="7196">
        <v>0</v>
      </c>
      <c r="P38" s="7278"/>
      <c r="Q38" s="7278"/>
      <c r="R38" s="7196"/>
      <c r="S38" s="7196">
        <v>4020</v>
      </c>
      <c r="T38" s="7278">
        <v>0</v>
      </c>
      <c r="U38" s="7278">
        <v>4020</v>
      </c>
      <c r="V38" s="7196"/>
      <c r="W38" s="7196">
        <v>4027.2</v>
      </c>
      <c r="X38" s="7280"/>
      <c r="Y38" s="5269">
        <f t="shared" si="4"/>
        <v>8047.2</v>
      </c>
      <c r="Z38" s="7196"/>
      <c r="AA38" s="5196">
        <f t="shared" si="30"/>
        <v>8047.2</v>
      </c>
      <c r="AB38" s="7196"/>
      <c r="AC38" s="7276">
        <v>0</v>
      </c>
      <c r="AD38" s="7282"/>
      <c r="AE38" s="7196"/>
      <c r="AF38" s="7196"/>
      <c r="AG38" s="7276">
        <v>0</v>
      </c>
      <c r="AH38" s="7278"/>
      <c r="AI38" s="7278"/>
      <c r="AJ38" s="7196"/>
      <c r="AK38" s="7276">
        <v>0</v>
      </c>
      <c r="AL38" s="7280"/>
      <c r="AM38" s="5268">
        <f t="shared" si="9"/>
        <v>0</v>
      </c>
      <c r="AN38" s="7278"/>
      <c r="AO38" s="7278"/>
      <c r="AP38" s="7196"/>
      <c r="AQ38" s="7196"/>
      <c r="AR38" s="7278"/>
      <c r="AS38" s="7278"/>
      <c r="AT38" s="7196"/>
      <c r="AU38" s="7196">
        <v>3481</v>
      </c>
      <c r="AV38" s="7278"/>
      <c r="AW38" s="7278"/>
      <c r="AX38" s="7196"/>
      <c r="AY38" s="7196">
        <v>0</v>
      </c>
      <c r="AZ38" s="7280"/>
      <c r="BA38" s="5269">
        <f t="shared" si="14"/>
        <v>3481</v>
      </c>
      <c r="BB38" s="7196"/>
      <c r="BC38" s="5196">
        <f t="shared" si="16"/>
        <v>3481</v>
      </c>
      <c r="BD38" s="7278"/>
      <c r="BE38" s="1444">
        <f t="shared" si="18"/>
        <v>11528.2</v>
      </c>
      <c r="BF38" s="1137"/>
      <c r="BG38" s="1137"/>
      <c r="BH38" s="502"/>
      <c r="BI38" s="502"/>
      <c r="BJ38" s="502"/>
      <c r="BQ38" s="502"/>
      <c r="BR38" s="502"/>
      <c r="BS38" s="502"/>
      <c r="BT38" s="502"/>
      <c r="BU38" s="502"/>
      <c r="BV38" s="502"/>
      <c r="BW38" s="502"/>
      <c r="BX38" s="502"/>
      <c r="BY38" s="502"/>
      <c r="BZ38" s="502"/>
      <c r="CA38" s="502"/>
      <c r="CB38" s="502"/>
    </row>
    <row r="39" spans="2:80" s="4487" customFormat="1" ht="21.95" customHeight="1" x14ac:dyDescent="0.25">
      <c r="B39" s="7275" t="s">
        <v>2285</v>
      </c>
      <c r="C39" s="7275"/>
      <c r="D39" s="7196"/>
      <c r="E39" s="7196"/>
      <c r="F39" s="7196"/>
      <c r="G39" s="7196">
        <v>0</v>
      </c>
      <c r="H39" s="7278"/>
      <c r="I39" s="7279"/>
      <c r="J39" s="7196"/>
      <c r="K39" s="7196">
        <v>0</v>
      </c>
      <c r="L39" s="7280"/>
      <c r="M39" s="5268">
        <f t="shared" si="27"/>
        <v>0</v>
      </c>
      <c r="N39" s="7196"/>
      <c r="O39" s="7196">
        <v>184.69</v>
      </c>
      <c r="P39" s="7278"/>
      <c r="Q39" s="7278"/>
      <c r="R39" s="7196"/>
      <c r="S39" s="7196">
        <v>0</v>
      </c>
      <c r="T39" s="7278"/>
      <c r="U39" s="7278"/>
      <c r="V39" s="7196"/>
      <c r="W39" s="7196">
        <v>0</v>
      </c>
      <c r="X39" s="7280"/>
      <c r="Y39" s="5269">
        <f t="shared" si="4"/>
        <v>184.69</v>
      </c>
      <c r="Z39" s="7196"/>
      <c r="AA39" s="5196">
        <f t="shared" si="30"/>
        <v>184.69</v>
      </c>
      <c r="AB39" s="7196"/>
      <c r="AC39" s="7276">
        <v>0</v>
      </c>
      <c r="AD39" s="7282"/>
      <c r="AE39" s="7196"/>
      <c r="AF39" s="7196"/>
      <c r="AG39" s="7276">
        <v>0</v>
      </c>
      <c r="AH39" s="7278"/>
      <c r="AI39" s="7278"/>
      <c r="AJ39" s="7196"/>
      <c r="AK39" s="7276">
        <v>0</v>
      </c>
      <c r="AL39" s="7280"/>
      <c r="AM39" s="5268">
        <f t="shared" si="9"/>
        <v>0</v>
      </c>
      <c r="AN39" s="7278"/>
      <c r="AO39" s="7278"/>
      <c r="AP39" s="7196"/>
      <c r="AQ39" s="7196"/>
      <c r="AR39" s="7278"/>
      <c r="AS39" s="7278"/>
      <c r="AT39" s="7196"/>
      <c r="AU39" s="7196">
        <v>76.5300000000002</v>
      </c>
      <c r="AV39" s="7278"/>
      <c r="AW39" s="7278"/>
      <c r="AX39" s="7196"/>
      <c r="AY39" s="7196">
        <v>136.72</v>
      </c>
      <c r="AZ39" s="7280"/>
      <c r="BA39" s="5269">
        <f t="shared" si="14"/>
        <v>213.2500000000002</v>
      </c>
      <c r="BB39" s="7196"/>
      <c r="BC39" s="5196">
        <f t="shared" si="16"/>
        <v>213.2500000000002</v>
      </c>
      <c r="BD39" s="7278"/>
      <c r="BE39" s="1444">
        <f t="shared" si="18"/>
        <v>397.94000000000017</v>
      </c>
      <c r="BF39" s="1137"/>
      <c r="BG39" s="1137"/>
      <c r="BH39" s="502"/>
      <c r="BI39" s="502"/>
      <c r="BJ39" s="502"/>
      <c r="BQ39" s="502"/>
      <c r="BR39" s="502"/>
      <c r="BS39" s="502"/>
      <c r="BT39" s="502"/>
      <c r="BU39" s="502"/>
      <c r="BV39" s="502"/>
      <c r="BW39" s="502"/>
      <c r="BX39" s="502"/>
      <c r="BY39" s="502"/>
      <c r="BZ39" s="502"/>
      <c r="CA39" s="502"/>
      <c r="CB39" s="502"/>
    </row>
    <row r="40" spans="2:80" s="4487" customFormat="1" ht="16.5" thickBot="1" x14ac:dyDescent="0.3">
      <c r="B40" s="7275"/>
      <c r="C40" s="7275"/>
      <c r="D40" s="7196"/>
      <c r="E40" s="7196"/>
      <c r="F40" s="7196"/>
      <c r="G40" s="7196"/>
      <c r="H40" s="7278"/>
      <c r="I40" s="7279"/>
      <c r="J40" s="7196"/>
      <c r="K40" s="7196"/>
      <c r="L40" s="7280"/>
      <c r="M40" s="7281"/>
      <c r="N40" s="7196"/>
      <c r="O40" s="7196"/>
      <c r="P40" s="7278"/>
      <c r="Q40" s="7278"/>
      <c r="R40" s="7196"/>
      <c r="S40" s="7196"/>
      <c r="T40" s="7278"/>
      <c r="U40" s="7278"/>
      <c r="V40" s="7196"/>
      <c r="W40" s="7196"/>
      <c r="X40" s="7280"/>
      <c r="Y40" s="7281"/>
      <c r="Z40" s="7196"/>
      <c r="AA40" s="7196"/>
      <c r="AB40" s="7196"/>
      <c r="AC40" s="7196"/>
      <c r="AD40" s="7282"/>
      <c r="AE40" s="7196"/>
      <c r="AF40" s="7196"/>
      <c r="AG40" s="7196"/>
      <c r="AH40" s="7278"/>
      <c r="AI40" s="7278"/>
      <c r="AJ40" s="7196"/>
      <c r="AK40" s="7196"/>
      <c r="AL40" s="7280"/>
      <c r="AM40" s="7281"/>
      <c r="AN40" s="7278"/>
      <c r="AO40" s="7278"/>
      <c r="AP40" s="7196"/>
      <c r="AQ40" s="7196"/>
      <c r="AR40" s="7278"/>
      <c r="AS40" s="7278"/>
      <c r="AT40" s="7196"/>
      <c r="AU40" s="7196"/>
      <c r="AV40" s="7278"/>
      <c r="AW40" s="7278"/>
      <c r="AX40" s="7196"/>
      <c r="AY40" s="7196"/>
      <c r="AZ40" s="7280"/>
      <c r="BA40" s="7281"/>
      <c r="BB40" s="7196"/>
      <c r="BC40" s="7196"/>
      <c r="BD40" s="7278"/>
      <c r="BE40" s="7278"/>
      <c r="BF40" s="1137"/>
      <c r="BG40" s="1137"/>
      <c r="BH40" s="502"/>
      <c r="BI40" s="502"/>
      <c r="BJ40" s="502"/>
      <c r="BQ40" s="502"/>
      <c r="BR40" s="502"/>
      <c r="BS40" s="502"/>
      <c r="BT40" s="502"/>
      <c r="BU40" s="502"/>
      <c r="BV40" s="502"/>
      <c r="BW40" s="502"/>
      <c r="BX40" s="502"/>
      <c r="BY40" s="502"/>
      <c r="BZ40" s="502"/>
      <c r="CA40" s="502"/>
      <c r="CB40" s="502"/>
    </row>
    <row r="41" spans="2:80" s="4487" customFormat="1" ht="21.95" customHeight="1" thickBot="1" x14ac:dyDescent="0.3">
      <c r="B41" s="7275" t="s">
        <v>661</v>
      </c>
      <c r="C41" s="7275"/>
      <c r="D41" s="7277"/>
      <c r="E41" s="7276">
        <v>0</v>
      </c>
      <c r="F41" s="7277"/>
      <c r="G41" s="7276">
        <v>0</v>
      </c>
      <c r="H41" s="1394">
        <f t="shared" ref="H41:H42" si="103">+D41+F41</f>
        <v>0</v>
      </c>
      <c r="I41" s="1395">
        <f t="shared" ref="I41:I42" si="104">+G41+E41</f>
        <v>0</v>
      </c>
      <c r="J41" s="7277"/>
      <c r="K41" s="7276">
        <v>0</v>
      </c>
      <c r="L41" s="5198">
        <f t="shared" ref="L41:L42" si="105">+D41+F41+J41</f>
        <v>0</v>
      </c>
      <c r="M41" s="5268">
        <f t="shared" ref="M41:M42" si="106">+E41+G41+K41</f>
        <v>0</v>
      </c>
      <c r="N41" s="7277"/>
      <c r="O41" s="7276">
        <v>0</v>
      </c>
      <c r="P41" s="1444">
        <f t="shared" ref="P41:P42" si="107">L41+N41</f>
        <v>0</v>
      </c>
      <c r="Q41" s="1444">
        <f t="shared" ref="Q41:Q42" si="108">+E41+G41+K41+O41</f>
        <v>0</v>
      </c>
      <c r="R41" s="7277"/>
      <c r="S41" s="7276">
        <v>4020</v>
      </c>
      <c r="T41" s="1444">
        <f t="shared" ref="T41:T42" si="109">P41+R41</f>
        <v>0</v>
      </c>
      <c r="U41" s="1444">
        <f t="shared" ref="U41:U42" si="110">+E41+S41+O41+K41+G41</f>
        <v>4020</v>
      </c>
      <c r="V41" s="7277"/>
      <c r="W41" s="7276">
        <v>4027.2</v>
      </c>
      <c r="X41" s="5198">
        <f t="shared" ref="X41:X42" si="111">+N41+R41+V41</f>
        <v>0</v>
      </c>
      <c r="Y41" s="5269">
        <f t="shared" ref="Y41:Y42" si="112">+O41+S41+W41</f>
        <v>8047.2</v>
      </c>
      <c r="Z41" s="5199">
        <f t="shared" ref="Z41:Z42" si="113">L41+X41</f>
        <v>0</v>
      </c>
      <c r="AA41" s="5196">
        <f t="shared" ref="AA41:AA42" si="114">+W41+S41+O41+K41+G41+E41</f>
        <v>8047.2</v>
      </c>
      <c r="AB41" s="7277"/>
      <c r="AC41" s="7276">
        <v>0</v>
      </c>
      <c r="AD41" s="6269">
        <f t="shared" ref="AD41:AD42" si="115">Z41+AB41</f>
        <v>0</v>
      </c>
      <c r="AE41" s="6203">
        <f t="shared" ref="AE41:AE42" si="116">+AC41+W41+S41+O41+K41+G41+E41</f>
        <v>8047.2</v>
      </c>
      <c r="AF41" s="7277"/>
      <c r="AG41" s="7276">
        <v>0</v>
      </c>
      <c r="AH41" s="1394">
        <f t="shared" ref="AH41:AH42" si="117">AD41+AF41</f>
        <v>0</v>
      </c>
      <c r="AI41" s="1444">
        <f t="shared" ref="AI41:AI42" si="118">+AG41+AC41+W41+S41+O41+K41+G41+E41</f>
        <v>8047.2</v>
      </c>
      <c r="AJ41" s="7277"/>
      <c r="AK41" s="7276">
        <v>0</v>
      </c>
      <c r="AL41" s="5198">
        <f t="shared" ref="AL41:AL42" si="119">+AB41+AF41+AJ41</f>
        <v>0</v>
      </c>
      <c r="AM41" s="5268">
        <f t="shared" ref="AM41:AM42" si="120">+AC41+AG41+AK41</f>
        <v>0</v>
      </c>
      <c r="AN41" s="1394">
        <f t="shared" ref="AN41:AN42" si="121">AH41+AJ41</f>
        <v>0</v>
      </c>
      <c r="AO41" s="1444">
        <f t="shared" ref="AO41:AO42" si="122">+AK41+AG41+AC41+W41+S41+O41+K41+G41+E41</f>
        <v>8047.2</v>
      </c>
      <c r="AP41" s="7277"/>
      <c r="AQ41" s="7276">
        <v>0</v>
      </c>
      <c r="AR41" s="1394">
        <f t="shared" ref="AR41:AR42" si="123">AN41+AP41</f>
        <v>0</v>
      </c>
      <c r="AS41" s="1444">
        <f t="shared" ref="AS41:AS42" si="124">+AQ41+AK41+AG41+AC41+W41+S41+O41+K41+G41+E41</f>
        <v>8047.2</v>
      </c>
      <c r="AT41" s="7277"/>
      <c r="AU41" s="7276">
        <v>0</v>
      </c>
      <c r="AV41" s="1394">
        <f t="shared" ref="AV41:AV42" si="125">AR41+AT41</f>
        <v>0</v>
      </c>
      <c r="AW41" s="1444">
        <f t="shared" ref="AW41:AW42" si="126">+AU41+AQ41+AK41+AG41+AC41+W41+S41+O41+K41+G41+E41</f>
        <v>8047.2</v>
      </c>
      <c r="AX41" s="7277"/>
      <c r="AY41" s="7276">
        <v>0</v>
      </c>
      <c r="AZ41" s="5198">
        <f t="shared" ref="AZ41:AZ42" si="127">+AP41+AT41+AX41</f>
        <v>0</v>
      </c>
      <c r="BA41" s="5269">
        <f t="shared" ref="BA41:BA42" si="128">+AQ41+AU41+AY41</f>
        <v>0</v>
      </c>
      <c r="BB41" s="5199">
        <f t="shared" ref="BB41:BB42" si="129">AL41+AZ41</f>
        <v>0</v>
      </c>
      <c r="BC41" s="5196">
        <f t="shared" ref="BC41:BC42" si="130">AM41+BA41</f>
        <v>0</v>
      </c>
      <c r="BD41" s="1394">
        <f t="shared" ref="BD41:BD42" si="131">AV41+AX41</f>
        <v>0</v>
      </c>
      <c r="BE41" s="1444">
        <f t="shared" ref="BE41:BE42" si="132">+BC41+AA41</f>
        <v>8047.2</v>
      </c>
      <c r="BF41" s="1137"/>
      <c r="BG41" s="1137"/>
      <c r="BH41" s="502"/>
      <c r="BI41" s="502"/>
      <c r="BJ41" s="502"/>
      <c r="BQ41" s="502"/>
      <c r="BR41" s="502"/>
      <c r="BS41" s="502"/>
      <c r="BT41" s="502"/>
      <c r="BU41" s="502"/>
      <c r="BV41" s="502"/>
      <c r="BW41" s="502"/>
      <c r="BX41" s="502"/>
      <c r="BY41" s="502"/>
      <c r="BZ41" s="502"/>
      <c r="CA41" s="502"/>
      <c r="CB41" s="502"/>
    </row>
    <row r="42" spans="2:80" s="4487" customFormat="1" ht="21.95" customHeight="1" x14ac:dyDescent="0.25">
      <c r="B42" s="7275" t="s">
        <v>77</v>
      </c>
      <c r="C42" s="7275"/>
      <c r="D42" s="7277">
        <f>+'Direct sales IPT details'!D218</f>
        <v>0</v>
      </c>
      <c r="E42" s="7276">
        <f>+'Direct sales IPT details'!E218</f>
        <v>0</v>
      </c>
      <c r="F42" s="7277">
        <f>+'Direct sales IPT details'!F218</f>
        <v>0</v>
      </c>
      <c r="G42" s="7276">
        <f>+'Direct sales IPT details'!G218</f>
        <v>0</v>
      </c>
      <c r="H42" s="1394">
        <f t="shared" si="103"/>
        <v>0</v>
      </c>
      <c r="I42" s="1395">
        <f t="shared" si="104"/>
        <v>0</v>
      </c>
      <c r="J42" s="7277">
        <f>+'Direct sales IPT details'!J218</f>
        <v>0</v>
      </c>
      <c r="K42" s="7276">
        <f>+'Direct sales IPT details'!K218</f>
        <v>0</v>
      </c>
      <c r="L42" s="5198">
        <f t="shared" si="105"/>
        <v>0</v>
      </c>
      <c r="M42" s="5268">
        <f t="shared" si="106"/>
        <v>0</v>
      </c>
      <c r="N42" s="7277">
        <f>+'Direct sales IPT details'!N218</f>
        <v>0</v>
      </c>
      <c r="O42" s="7276">
        <f>+'Direct sales IPT details'!O218</f>
        <v>184.69</v>
      </c>
      <c r="P42" s="1444">
        <f t="shared" si="107"/>
        <v>0</v>
      </c>
      <c r="Q42" s="1444">
        <f t="shared" si="108"/>
        <v>184.69</v>
      </c>
      <c r="R42" s="7277">
        <f>+'Direct sales IPT details'!R218</f>
        <v>0</v>
      </c>
      <c r="S42" s="7276">
        <f>+'Direct sales IPT details'!S218</f>
        <v>0</v>
      </c>
      <c r="T42" s="1444">
        <f t="shared" si="109"/>
        <v>0</v>
      </c>
      <c r="U42" s="1444">
        <f t="shared" si="110"/>
        <v>184.69</v>
      </c>
      <c r="V42" s="7277">
        <f>+'Direct sales IPT details'!V218</f>
        <v>0</v>
      </c>
      <c r="W42" s="7276">
        <f>+'Direct sales IPT details'!W218</f>
        <v>0</v>
      </c>
      <c r="X42" s="5198">
        <f t="shared" si="111"/>
        <v>0</v>
      </c>
      <c r="Y42" s="5269">
        <f t="shared" si="112"/>
        <v>184.69</v>
      </c>
      <c r="Z42" s="5199">
        <f t="shared" si="113"/>
        <v>0</v>
      </c>
      <c r="AA42" s="5196">
        <f t="shared" si="114"/>
        <v>184.69</v>
      </c>
      <c r="AB42" s="7277">
        <f>+'Direct sales IPT details'!AB218</f>
        <v>0</v>
      </c>
      <c r="AC42" s="7276">
        <f>+'Direct sales IPT details'!AC218</f>
        <v>0</v>
      </c>
      <c r="AD42" s="6269">
        <f t="shared" si="115"/>
        <v>0</v>
      </c>
      <c r="AE42" s="6203">
        <f t="shared" si="116"/>
        <v>184.69</v>
      </c>
      <c r="AF42" s="7277">
        <f>+'Direct sales IPT details'!AF218</f>
        <v>0</v>
      </c>
      <c r="AG42" s="7276">
        <f>+'Direct sales IPT details'!AG218</f>
        <v>0</v>
      </c>
      <c r="AH42" s="1394">
        <f t="shared" si="117"/>
        <v>0</v>
      </c>
      <c r="AI42" s="1444">
        <f t="shared" si="118"/>
        <v>184.69</v>
      </c>
      <c r="AJ42" s="7277">
        <f>+'Direct sales IPT details'!AJ218</f>
        <v>0</v>
      </c>
      <c r="AK42" s="7276">
        <f>+'Direct sales IPT details'!AK218</f>
        <v>0</v>
      </c>
      <c r="AL42" s="5198">
        <f t="shared" si="119"/>
        <v>0</v>
      </c>
      <c r="AM42" s="5268">
        <f t="shared" si="120"/>
        <v>0</v>
      </c>
      <c r="AN42" s="1394">
        <f t="shared" si="121"/>
        <v>0</v>
      </c>
      <c r="AO42" s="1444">
        <f t="shared" si="122"/>
        <v>184.69</v>
      </c>
      <c r="AP42" s="7277">
        <f>+'Direct sales IPT details'!AP218</f>
        <v>0</v>
      </c>
      <c r="AQ42" s="7276">
        <f>+'Direct sales IPT details'!AQ218</f>
        <v>0</v>
      </c>
      <c r="AR42" s="1394">
        <f t="shared" si="123"/>
        <v>0</v>
      </c>
      <c r="AS42" s="1444">
        <f t="shared" si="124"/>
        <v>184.69</v>
      </c>
      <c r="AT42" s="7277">
        <f>+'Direct sales IPT details'!AT218</f>
        <v>0</v>
      </c>
      <c r="AU42" s="7276">
        <f>+'Direct sales IPT details'!AU218</f>
        <v>3557.53</v>
      </c>
      <c r="AV42" s="1394">
        <f t="shared" si="125"/>
        <v>0</v>
      </c>
      <c r="AW42" s="1444">
        <f t="shared" si="126"/>
        <v>3742.2200000000003</v>
      </c>
      <c r="AX42" s="7277">
        <f>+'Direct sales IPT details'!AX218</f>
        <v>0</v>
      </c>
      <c r="AY42" s="7276">
        <f>+'Direct sales IPT details'!AY218</f>
        <v>136.72</v>
      </c>
      <c r="AZ42" s="5198">
        <f t="shared" si="127"/>
        <v>0</v>
      </c>
      <c r="BA42" s="5269">
        <f t="shared" si="128"/>
        <v>3694.25</v>
      </c>
      <c r="BB42" s="5199">
        <f t="shared" si="129"/>
        <v>0</v>
      </c>
      <c r="BC42" s="5196">
        <f t="shared" si="130"/>
        <v>3694.25</v>
      </c>
      <c r="BD42" s="1394">
        <f t="shared" si="131"/>
        <v>0</v>
      </c>
      <c r="BE42" s="1444">
        <f t="shared" si="132"/>
        <v>3878.94</v>
      </c>
      <c r="BF42" s="1137"/>
      <c r="BG42" s="1137"/>
      <c r="BH42" s="502"/>
      <c r="BI42" s="502"/>
      <c r="BJ42" s="502"/>
      <c r="BQ42" s="502"/>
      <c r="BR42" s="502"/>
      <c r="BS42" s="502"/>
      <c r="BT42" s="502"/>
      <c r="BU42" s="502"/>
      <c r="BV42" s="502"/>
      <c r="BW42" s="502"/>
      <c r="BX42" s="502"/>
      <c r="BY42" s="502"/>
      <c r="BZ42" s="502"/>
      <c r="CA42" s="502"/>
      <c r="CB42" s="502"/>
    </row>
    <row r="43" spans="2:80" ht="21.95" customHeight="1" thickBot="1" x14ac:dyDescent="0.3">
      <c r="B43" s="7969" t="s">
        <v>1187</v>
      </c>
      <c r="C43" s="5882" t="s">
        <v>1188</v>
      </c>
      <c r="D43" s="1372"/>
      <c r="E43" s="1373">
        <v>36952.69</v>
      </c>
      <c r="F43" s="1372">
        <v>14</v>
      </c>
      <c r="G43" s="1373">
        <v>55133</v>
      </c>
      <c r="H43" s="4240">
        <f t="shared" si="0"/>
        <v>14</v>
      </c>
      <c r="I43" s="7268">
        <f t="shared" si="26"/>
        <v>92085.69</v>
      </c>
      <c r="J43" s="1372">
        <v>10</v>
      </c>
      <c r="K43" s="1373">
        <v>39886</v>
      </c>
      <c r="L43" s="4241">
        <f t="shared" si="19"/>
        <v>24</v>
      </c>
      <c r="M43" s="7269">
        <f t="shared" si="27"/>
        <v>131971.69</v>
      </c>
      <c r="N43" s="1372">
        <v>13.5</v>
      </c>
      <c r="O43" s="1373">
        <v>50563.76</v>
      </c>
      <c r="P43" s="7270">
        <f t="shared" si="55"/>
        <v>37.5</v>
      </c>
      <c r="Q43" s="7270">
        <f t="shared" si="28"/>
        <v>182535.45</v>
      </c>
      <c r="R43" s="1372">
        <v>10</v>
      </c>
      <c r="S43" s="1373">
        <v>38128.58</v>
      </c>
      <c r="T43" s="7270">
        <f t="shared" si="2"/>
        <v>47.5</v>
      </c>
      <c r="U43" s="7270">
        <f t="shared" si="29"/>
        <v>220664.03</v>
      </c>
      <c r="V43" s="1372">
        <v>12.7</v>
      </c>
      <c r="W43" s="1373">
        <v>49886.91</v>
      </c>
      <c r="X43" s="4241">
        <f t="shared" si="3"/>
        <v>36.200000000000003</v>
      </c>
      <c r="Y43" s="7271">
        <f t="shared" si="4"/>
        <v>138579.25</v>
      </c>
      <c r="Z43" s="4242">
        <f t="shared" si="5"/>
        <v>60.2</v>
      </c>
      <c r="AA43" s="7272">
        <f t="shared" si="30"/>
        <v>270550.94</v>
      </c>
      <c r="AB43" s="1372">
        <v>11</v>
      </c>
      <c r="AC43" s="1373">
        <v>42469.22</v>
      </c>
      <c r="AD43" s="6278">
        <f t="shared" si="6"/>
        <v>71.2</v>
      </c>
      <c r="AE43" s="7273">
        <f t="shared" si="31"/>
        <v>313020.15999999997</v>
      </c>
      <c r="AF43" s="1372">
        <v>12</v>
      </c>
      <c r="AG43" s="1373">
        <v>46868.11</v>
      </c>
      <c r="AH43" s="4240">
        <f t="shared" ref="AH43:AH52" si="133">AD43+AF43</f>
        <v>83.2</v>
      </c>
      <c r="AI43" s="7270">
        <f t="shared" si="23"/>
        <v>359888.27</v>
      </c>
      <c r="AJ43" s="1372">
        <v>13.7</v>
      </c>
      <c r="AK43" s="1373">
        <v>48327.99</v>
      </c>
      <c r="AL43" s="4241">
        <f t="shared" ref="AL43:AL52" si="134">+AB43+AF43+AJ43</f>
        <v>36.700000000000003</v>
      </c>
      <c r="AM43" s="7269">
        <f t="shared" si="9"/>
        <v>137665.32</v>
      </c>
      <c r="AN43" s="4240">
        <f t="shared" si="68"/>
        <v>96.9</v>
      </c>
      <c r="AO43" s="7270">
        <f t="shared" si="34"/>
        <v>408216.26</v>
      </c>
      <c r="AP43" s="1372">
        <v>11.6</v>
      </c>
      <c r="AQ43" s="1373">
        <v>45893.46</v>
      </c>
      <c r="AR43" s="4240">
        <f t="shared" ref="AR43:AR52" si="135">AN43+AP43</f>
        <v>108.5</v>
      </c>
      <c r="AS43" s="7270">
        <f t="shared" si="36"/>
        <v>454109.72000000003</v>
      </c>
      <c r="AT43" s="1372">
        <v>8.9</v>
      </c>
      <c r="AU43" s="1373">
        <v>34608.35</v>
      </c>
      <c r="AV43" s="4240">
        <f t="shared" ref="AV43:AV52" si="136">AR43+AT43</f>
        <v>117.4</v>
      </c>
      <c r="AW43" s="7270">
        <f t="shared" si="38"/>
        <v>488718.07</v>
      </c>
      <c r="AX43" s="1372">
        <v>12.1</v>
      </c>
      <c r="AY43" s="1373">
        <v>46699.24</v>
      </c>
      <c r="AZ43" s="4241">
        <f t="shared" ref="AZ43:AZ52" si="137">+AP43+AT43+AX43</f>
        <v>32.6</v>
      </c>
      <c r="BA43" s="7271">
        <f t="shared" si="14"/>
        <v>127201.04999999999</v>
      </c>
      <c r="BB43" s="4242">
        <f t="shared" ref="BB43:BB52" si="138">AL43+AZ43</f>
        <v>69.300000000000011</v>
      </c>
      <c r="BC43" s="7272">
        <f t="shared" si="16"/>
        <v>264866.37</v>
      </c>
      <c r="BD43" s="4240">
        <f t="shared" ref="BD43:BD52" si="139">AV43+AX43</f>
        <v>129.5</v>
      </c>
      <c r="BE43" s="7270">
        <f t="shared" si="18"/>
        <v>535417.31000000006</v>
      </c>
      <c r="BF43" s="1137"/>
      <c r="BG43" s="1137"/>
      <c r="BH43" s="502"/>
      <c r="BI43" s="502"/>
      <c r="BJ43" s="502"/>
      <c r="BK43" s="4487"/>
      <c r="BL43" s="4487"/>
      <c r="BM43" s="4487"/>
      <c r="BN43" s="4487"/>
      <c r="BO43" s="4487"/>
      <c r="BP43" s="4487"/>
      <c r="BQ43" s="502"/>
      <c r="BR43" s="502"/>
      <c r="BS43" s="502"/>
      <c r="BT43" s="502"/>
      <c r="BU43" s="502"/>
      <c r="BV43" s="502"/>
      <c r="BW43" s="502"/>
      <c r="BX43" s="502"/>
      <c r="BY43" s="502"/>
      <c r="BZ43" s="502"/>
      <c r="CA43" s="502"/>
      <c r="CB43" s="502"/>
    </row>
    <row r="44" spans="2:80" s="4487" customFormat="1" ht="21.95" customHeight="1" thickBot="1" x14ac:dyDescent="0.3">
      <c r="B44" s="7969"/>
      <c r="C44" s="5882" t="s">
        <v>2020</v>
      </c>
      <c r="D44" s="1372"/>
      <c r="E44" s="1373">
        <v>11065.29</v>
      </c>
      <c r="F44" s="1372"/>
      <c r="G44" s="1373"/>
      <c r="H44" s="1394"/>
      <c r="I44" s="1395">
        <f t="shared" si="26"/>
        <v>11065.29</v>
      </c>
      <c r="J44" s="1372"/>
      <c r="K44" s="1373"/>
      <c r="L44" s="5198"/>
      <c r="M44" s="5268">
        <f t="shared" si="27"/>
        <v>11065.29</v>
      </c>
      <c r="N44" s="1372">
        <v>3.8</v>
      </c>
      <c r="O44" s="1373">
        <v>13797.21</v>
      </c>
      <c r="P44" s="1444">
        <f t="shared" ref="P44" si="140">L44+N44</f>
        <v>3.8</v>
      </c>
      <c r="Q44" s="1444">
        <f t="shared" si="28"/>
        <v>24862.5</v>
      </c>
      <c r="R44" s="1372">
        <v>3</v>
      </c>
      <c r="S44" s="1373">
        <v>11960.6</v>
      </c>
      <c r="T44" s="1444">
        <f t="shared" si="2"/>
        <v>6.8</v>
      </c>
      <c r="U44" s="1444">
        <f t="shared" si="29"/>
        <v>36823.1</v>
      </c>
      <c r="V44" s="1372">
        <v>3.3</v>
      </c>
      <c r="W44" s="1373">
        <v>12937.04</v>
      </c>
      <c r="X44" s="5198">
        <f t="shared" si="3"/>
        <v>10.1</v>
      </c>
      <c r="Y44" s="5269">
        <f t="shared" si="4"/>
        <v>38694.85</v>
      </c>
      <c r="Z44" s="5883">
        <f t="shared" si="5"/>
        <v>10.1</v>
      </c>
      <c r="AA44" s="5196">
        <f t="shared" si="30"/>
        <v>49760.14</v>
      </c>
      <c r="AB44" s="1372">
        <v>4.5</v>
      </c>
      <c r="AC44" s="1373">
        <v>17165.080000000002</v>
      </c>
      <c r="AD44" s="6269">
        <f t="shared" si="6"/>
        <v>14.6</v>
      </c>
      <c r="AE44" s="6203">
        <f t="shared" si="31"/>
        <v>66925.22</v>
      </c>
      <c r="AF44" s="1372">
        <v>1</v>
      </c>
      <c r="AG44" s="1373">
        <v>3870.4</v>
      </c>
      <c r="AH44" s="1394"/>
      <c r="AI44" s="1444">
        <f t="shared" si="23"/>
        <v>70795.62</v>
      </c>
      <c r="AJ44" s="1372"/>
      <c r="AK44" s="1373">
        <v>0</v>
      </c>
      <c r="AL44" s="5198"/>
      <c r="AM44" s="5268">
        <f t="shared" si="9"/>
        <v>21035.480000000003</v>
      </c>
      <c r="AN44" s="1394"/>
      <c r="AO44" s="1444">
        <f t="shared" si="34"/>
        <v>70795.62</v>
      </c>
      <c r="AP44" s="1372">
        <v>3.4</v>
      </c>
      <c r="AQ44" s="1373">
        <v>13056.78</v>
      </c>
      <c r="AR44" s="1394"/>
      <c r="AS44" s="1444">
        <f t="shared" si="36"/>
        <v>83852.399999999994</v>
      </c>
      <c r="AT44" s="1372">
        <v>2.1</v>
      </c>
      <c r="AU44" s="1373">
        <v>8159.41</v>
      </c>
      <c r="AV44" s="1394"/>
      <c r="AW44" s="1444">
        <f t="shared" si="38"/>
        <v>92011.810000000027</v>
      </c>
      <c r="AX44" s="1372">
        <v>0</v>
      </c>
      <c r="AY44" s="1373">
        <v>0</v>
      </c>
      <c r="AZ44" s="5198"/>
      <c r="BA44" s="5269">
        <f t="shared" si="14"/>
        <v>21216.190000000002</v>
      </c>
      <c r="BB44" s="5883"/>
      <c r="BC44" s="5196">
        <f t="shared" si="16"/>
        <v>42251.670000000006</v>
      </c>
      <c r="BD44" s="1394"/>
      <c r="BE44" s="1444">
        <f t="shared" si="18"/>
        <v>92011.81</v>
      </c>
      <c r="BF44" s="1137"/>
      <c r="BG44" s="1137"/>
      <c r="BH44" s="502"/>
      <c r="BI44" s="502"/>
      <c r="BJ44" s="502"/>
      <c r="BQ44" s="502"/>
      <c r="BR44" s="502"/>
      <c r="BS44" s="502"/>
      <c r="BT44" s="502"/>
      <c r="BU44" s="502"/>
      <c r="BV44" s="502"/>
      <c r="BW44" s="502"/>
      <c r="BX44" s="502"/>
      <c r="BY44" s="502"/>
      <c r="BZ44" s="502"/>
      <c r="CA44" s="502"/>
      <c r="CB44" s="502"/>
    </row>
    <row r="45" spans="2:80" ht="21.95" customHeight="1" thickBot="1" x14ac:dyDescent="0.3">
      <c r="B45" s="7970"/>
      <c r="C45" s="5270" t="s">
        <v>1189</v>
      </c>
      <c r="D45" s="5271"/>
      <c r="E45" s="5272">
        <v>4016.8</v>
      </c>
      <c r="F45" s="5271">
        <v>4</v>
      </c>
      <c r="G45" s="5272">
        <v>15810</v>
      </c>
      <c r="H45" s="1394">
        <f t="shared" si="0"/>
        <v>4</v>
      </c>
      <c r="I45" s="1395">
        <f t="shared" si="26"/>
        <v>19826.8</v>
      </c>
      <c r="J45" s="5271">
        <v>0</v>
      </c>
      <c r="K45" s="5272">
        <v>0</v>
      </c>
      <c r="L45" s="5198">
        <f t="shared" si="19"/>
        <v>4</v>
      </c>
      <c r="M45" s="5268">
        <f t="shared" si="27"/>
        <v>19826.8</v>
      </c>
      <c r="N45" s="5271">
        <v>1</v>
      </c>
      <c r="O45" s="5272">
        <v>3727.57</v>
      </c>
      <c r="P45" s="1444">
        <f t="shared" si="55"/>
        <v>5</v>
      </c>
      <c r="Q45" s="1444">
        <f t="shared" si="28"/>
        <v>23554.37</v>
      </c>
      <c r="R45" s="5271">
        <v>3</v>
      </c>
      <c r="S45" s="5272">
        <v>11163.08</v>
      </c>
      <c r="T45" s="1444">
        <f t="shared" si="2"/>
        <v>8</v>
      </c>
      <c r="U45" s="1444">
        <f t="shared" si="29"/>
        <v>34717.449999999997</v>
      </c>
      <c r="V45" s="5271">
        <v>3</v>
      </c>
      <c r="W45" s="5272">
        <v>11682.16</v>
      </c>
      <c r="X45" s="5198">
        <f t="shared" si="3"/>
        <v>7</v>
      </c>
      <c r="Y45" s="5269">
        <f t="shared" si="4"/>
        <v>26572.809999999998</v>
      </c>
      <c r="Z45" s="5199">
        <f t="shared" si="5"/>
        <v>11</v>
      </c>
      <c r="AA45" s="5196">
        <f t="shared" si="30"/>
        <v>46399.61</v>
      </c>
      <c r="AB45" s="5271">
        <v>3.5</v>
      </c>
      <c r="AC45" s="5272">
        <v>13042.07</v>
      </c>
      <c r="AD45" s="6269">
        <f t="shared" si="6"/>
        <v>14.5</v>
      </c>
      <c r="AE45" s="6203">
        <f t="shared" si="31"/>
        <v>59441.68</v>
      </c>
      <c r="AF45" s="6261">
        <v>3.1</v>
      </c>
      <c r="AG45" s="5272">
        <v>11346.39</v>
      </c>
      <c r="AH45" s="1394">
        <f t="shared" si="133"/>
        <v>17.600000000000001</v>
      </c>
      <c r="AI45" s="1444">
        <f t="shared" si="23"/>
        <v>70788.069999999992</v>
      </c>
      <c r="AJ45" s="5271">
        <v>1.8</v>
      </c>
      <c r="AK45" s="5272">
        <v>0</v>
      </c>
      <c r="AL45" s="5198">
        <f t="shared" si="134"/>
        <v>8.4</v>
      </c>
      <c r="AM45" s="5268">
        <f t="shared" si="9"/>
        <v>24388.46</v>
      </c>
      <c r="AN45" s="1394">
        <f t="shared" si="68"/>
        <v>19.400000000000002</v>
      </c>
      <c r="AO45" s="1444">
        <f t="shared" si="34"/>
        <v>70788.069999999992</v>
      </c>
      <c r="AP45" s="5271">
        <v>0</v>
      </c>
      <c r="AQ45" s="5272">
        <v>0</v>
      </c>
      <c r="AR45" s="1394">
        <f t="shared" si="135"/>
        <v>19.400000000000002</v>
      </c>
      <c r="AS45" s="1444">
        <f t="shared" si="36"/>
        <v>70788.069999999992</v>
      </c>
      <c r="AT45" s="5271">
        <v>0</v>
      </c>
      <c r="AU45" s="5272">
        <v>0</v>
      </c>
      <c r="AV45" s="1394">
        <f t="shared" si="136"/>
        <v>19.400000000000002</v>
      </c>
      <c r="AW45" s="1444">
        <f t="shared" si="38"/>
        <v>70788.069999999992</v>
      </c>
      <c r="AX45" s="5271">
        <v>1</v>
      </c>
      <c r="AY45" s="5272">
        <v>3808.63</v>
      </c>
      <c r="AZ45" s="5198">
        <f t="shared" si="137"/>
        <v>1</v>
      </c>
      <c r="BA45" s="5269">
        <f t="shared" si="14"/>
        <v>3808.63</v>
      </c>
      <c r="BB45" s="5199">
        <f t="shared" si="138"/>
        <v>9.4</v>
      </c>
      <c r="BC45" s="5196">
        <f t="shared" si="16"/>
        <v>28197.09</v>
      </c>
      <c r="BD45" s="1394">
        <f t="shared" si="139"/>
        <v>20.400000000000002</v>
      </c>
      <c r="BE45" s="1444">
        <f t="shared" si="18"/>
        <v>74596.7</v>
      </c>
      <c r="BF45" s="1137"/>
      <c r="BG45" s="1137"/>
      <c r="BH45" s="502"/>
      <c r="BI45" s="502"/>
      <c r="BJ45" s="502"/>
      <c r="BK45" s="4487"/>
      <c r="BL45" s="4487"/>
      <c r="BM45" s="4487"/>
      <c r="BN45" s="4487"/>
      <c r="BO45" s="4487"/>
      <c r="BP45" s="4487"/>
      <c r="BQ45" s="502"/>
      <c r="BR45" s="502"/>
      <c r="BS45" s="502"/>
      <c r="BT45" s="502"/>
      <c r="BU45" s="502"/>
      <c r="BV45" s="502"/>
      <c r="BW45" s="502"/>
      <c r="BX45" s="502"/>
      <c r="BY45" s="502"/>
      <c r="BZ45" s="502"/>
      <c r="CA45" s="502"/>
      <c r="CB45" s="502"/>
    </row>
    <row r="46" spans="2:80" s="1270" customFormat="1" ht="21.95" customHeight="1" thickBot="1" x14ac:dyDescent="0.3">
      <c r="B46" s="7970"/>
      <c r="C46" s="5270" t="s">
        <v>1190</v>
      </c>
      <c r="D46" s="5271"/>
      <c r="E46" s="5272">
        <v>11688.4</v>
      </c>
      <c r="F46" s="5271">
        <v>0</v>
      </c>
      <c r="G46" s="5272">
        <v>0</v>
      </c>
      <c r="H46" s="1394">
        <f t="shared" si="0"/>
        <v>0</v>
      </c>
      <c r="I46" s="1395">
        <f t="shared" si="26"/>
        <v>11688.4</v>
      </c>
      <c r="J46" s="5271">
        <v>0</v>
      </c>
      <c r="K46" s="5272">
        <v>0</v>
      </c>
      <c r="L46" s="5198">
        <f t="shared" si="19"/>
        <v>0</v>
      </c>
      <c r="M46" s="5268">
        <f t="shared" si="27"/>
        <v>11688.4</v>
      </c>
      <c r="N46" s="5271">
        <v>3</v>
      </c>
      <c r="O46" s="5272">
        <v>10982.12</v>
      </c>
      <c r="P46" s="1444">
        <f t="shared" si="55"/>
        <v>3</v>
      </c>
      <c r="Q46" s="1444">
        <f t="shared" si="28"/>
        <v>22670.52</v>
      </c>
      <c r="R46" s="5271">
        <v>0</v>
      </c>
      <c r="S46" s="5272">
        <v>0</v>
      </c>
      <c r="T46" s="1444">
        <f t="shared" si="2"/>
        <v>3</v>
      </c>
      <c r="U46" s="1444">
        <f t="shared" si="29"/>
        <v>22670.52</v>
      </c>
      <c r="V46" s="5271">
        <v>0</v>
      </c>
      <c r="W46" s="5272">
        <v>0</v>
      </c>
      <c r="X46" s="5198">
        <f t="shared" si="3"/>
        <v>3</v>
      </c>
      <c r="Y46" s="5269">
        <f t="shared" si="4"/>
        <v>10982.12</v>
      </c>
      <c r="Z46" s="5199">
        <f t="shared" si="5"/>
        <v>3</v>
      </c>
      <c r="AA46" s="5196">
        <f t="shared" si="30"/>
        <v>22670.52</v>
      </c>
      <c r="AB46" s="5271">
        <v>0</v>
      </c>
      <c r="AC46" s="5272">
        <v>0</v>
      </c>
      <c r="AD46" s="6269">
        <f t="shared" si="6"/>
        <v>3</v>
      </c>
      <c r="AE46" s="6203">
        <f t="shared" si="31"/>
        <v>22670.52</v>
      </c>
      <c r="AF46" s="6261">
        <v>0.9</v>
      </c>
      <c r="AG46" s="5272">
        <v>3483.25</v>
      </c>
      <c r="AH46" s="1394">
        <f t="shared" si="133"/>
        <v>3.9</v>
      </c>
      <c r="AI46" s="1444">
        <f t="shared" si="23"/>
        <v>26153.77</v>
      </c>
      <c r="AJ46" s="5271">
        <v>0</v>
      </c>
      <c r="AK46" s="5272">
        <v>10057.18</v>
      </c>
      <c r="AL46" s="5198">
        <f t="shared" si="134"/>
        <v>0.9</v>
      </c>
      <c r="AM46" s="5268">
        <f t="shared" si="9"/>
        <v>13540.43</v>
      </c>
      <c r="AN46" s="1394">
        <f t="shared" si="68"/>
        <v>3.9</v>
      </c>
      <c r="AO46" s="1444">
        <f t="shared" si="34"/>
        <v>36210.950000000004</v>
      </c>
      <c r="AP46" s="5271">
        <v>4</v>
      </c>
      <c r="AQ46" s="5272">
        <v>15887.06</v>
      </c>
      <c r="AR46" s="1394">
        <f t="shared" si="135"/>
        <v>7.9</v>
      </c>
      <c r="AS46" s="1444">
        <f t="shared" si="36"/>
        <v>52098.01</v>
      </c>
      <c r="AT46" s="5271">
        <v>3</v>
      </c>
      <c r="AU46" s="5272">
        <v>11959.79</v>
      </c>
      <c r="AV46" s="1394">
        <f t="shared" si="136"/>
        <v>10.9</v>
      </c>
      <c r="AW46" s="1444">
        <f t="shared" si="38"/>
        <v>64057.8</v>
      </c>
      <c r="AX46" s="5271">
        <v>3</v>
      </c>
      <c r="AY46" s="5272">
        <v>11238.87</v>
      </c>
      <c r="AZ46" s="5198">
        <f t="shared" si="137"/>
        <v>10</v>
      </c>
      <c r="BA46" s="5269">
        <f t="shared" si="14"/>
        <v>39085.72</v>
      </c>
      <c r="BB46" s="5199">
        <f t="shared" si="138"/>
        <v>10.9</v>
      </c>
      <c r="BC46" s="5196">
        <f t="shared" si="16"/>
        <v>52626.15</v>
      </c>
      <c r="BD46" s="1394">
        <f t="shared" si="139"/>
        <v>13.9</v>
      </c>
      <c r="BE46" s="1444">
        <f t="shared" si="18"/>
        <v>75296.67</v>
      </c>
      <c r="BF46" s="1137"/>
      <c r="BG46" s="1137"/>
      <c r="BH46" s="502"/>
      <c r="BI46" s="502"/>
      <c r="BJ46" s="502"/>
      <c r="BQ46" s="502"/>
      <c r="BR46" s="502"/>
      <c r="BS46" s="502"/>
      <c r="BT46" s="502"/>
      <c r="BU46" s="502"/>
      <c r="BV46" s="502"/>
      <c r="BW46" s="502"/>
      <c r="BX46" s="502"/>
      <c r="BY46" s="502"/>
      <c r="BZ46" s="502"/>
      <c r="CA46" s="502"/>
      <c r="CB46" s="502"/>
    </row>
    <row r="47" spans="2:80" s="1270" customFormat="1" ht="21.95" customHeight="1" thickBot="1" x14ac:dyDescent="0.3">
      <c r="B47" s="7970"/>
      <c r="C47" s="5280" t="s">
        <v>1235</v>
      </c>
      <c r="D47" s="5271"/>
      <c r="E47" s="5272">
        <v>0</v>
      </c>
      <c r="F47" s="5271"/>
      <c r="G47" s="5272"/>
      <c r="H47" s="1394">
        <f t="shared" si="0"/>
        <v>0</v>
      </c>
      <c r="I47" s="1395">
        <f t="shared" si="26"/>
        <v>0</v>
      </c>
      <c r="J47" s="5271">
        <v>1</v>
      </c>
      <c r="K47" s="5272">
        <v>3956</v>
      </c>
      <c r="L47" s="5198">
        <f t="shared" si="19"/>
        <v>1</v>
      </c>
      <c r="M47" s="5268">
        <f t="shared" si="27"/>
        <v>3956</v>
      </c>
      <c r="N47" s="5271">
        <v>0</v>
      </c>
      <c r="O47" s="5272">
        <v>0</v>
      </c>
      <c r="P47" s="1444">
        <f t="shared" si="55"/>
        <v>1</v>
      </c>
      <c r="Q47" s="1444">
        <f t="shared" si="28"/>
        <v>3956</v>
      </c>
      <c r="R47" s="5271">
        <v>0</v>
      </c>
      <c r="S47" s="5272">
        <v>0</v>
      </c>
      <c r="T47" s="1444">
        <f t="shared" si="2"/>
        <v>1</v>
      </c>
      <c r="U47" s="1444">
        <f t="shared" si="29"/>
        <v>3956</v>
      </c>
      <c r="V47" s="5271">
        <v>0</v>
      </c>
      <c r="W47" s="5272">
        <v>0</v>
      </c>
      <c r="X47" s="5198">
        <f t="shared" si="3"/>
        <v>0</v>
      </c>
      <c r="Y47" s="5269">
        <f t="shared" si="4"/>
        <v>0</v>
      </c>
      <c r="Z47" s="5199">
        <f t="shared" si="5"/>
        <v>1</v>
      </c>
      <c r="AA47" s="5196">
        <f t="shared" si="30"/>
        <v>3956</v>
      </c>
      <c r="AB47" s="5271">
        <v>0</v>
      </c>
      <c r="AC47" s="5272">
        <v>0</v>
      </c>
      <c r="AD47" s="6269">
        <f t="shared" si="6"/>
        <v>1</v>
      </c>
      <c r="AE47" s="6203">
        <f t="shared" si="31"/>
        <v>3956</v>
      </c>
      <c r="AF47" s="6261">
        <v>0</v>
      </c>
      <c r="AG47" s="5272">
        <v>0</v>
      </c>
      <c r="AH47" s="1394">
        <f t="shared" si="133"/>
        <v>1</v>
      </c>
      <c r="AI47" s="1444">
        <f t="shared" si="23"/>
        <v>3956</v>
      </c>
      <c r="AJ47" s="5271">
        <v>0</v>
      </c>
      <c r="AK47" s="5272">
        <v>0</v>
      </c>
      <c r="AL47" s="5198">
        <f t="shared" si="134"/>
        <v>0</v>
      </c>
      <c r="AM47" s="5268">
        <f t="shared" si="9"/>
        <v>0</v>
      </c>
      <c r="AN47" s="1394">
        <f t="shared" ref="AN47:AN64" si="141">AH47+AJ47</f>
        <v>1</v>
      </c>
      <c r="AO47" s="1444">
        <f t="shared" si="34"/>
        <v>3956</v>
      </c>
      <c r="AP47" s="5271">
        <v>0</v>
      </c>
      <c r="AQ47" s="5272">
        <v>0</v>
      </c>
      <c r="AR47" s="1394">
        <f t="shared" si="135"/>
        <v>1</v>
      </c>
      <c r="AS47" s="1444">
        <f t="shared" si="36"/>
        <v>3956</v>
      </c>
      <c r="AT47" s="5271">
        <v>0</v>
      </c>
      <c r="AU47" s="5272">
        <v>0</v>
      </c>
      <c r="AV47" s="1394">
        <f t="shared" si="136"/>
        <v>1</v>
      </c>
      <c r="AW47" s="1444">
        <f t="shared" si="38"/>
        <v>3956</v>
      </c>
      <c r="AX47" s="5271">
        <v>0</v>
      </c>
      <c r="AY47" s="5272">
        <v>0</v>
      </c>
      <c r="AZ47" s="5198">
        <f t="shared" si="137"/>
        <v>0</v>
      </c>
      <c r="BA47" s="5269">
        <f t="shared" si="14"/>
        <v>0</v>
      </c>
      <c r="BB47" s="5199">
        <f t="shared" si="138"/>
        <v>0</v>
      </c>
      <c r="BC47" s="5196">
        <f t="shared" si="16"/>
        <v>0</v>
      </c>
      <c r="BD47" s="1394">
        <f t="shared" si="139"/>
        <v>1</v>
      </c>
      <c r="BE47" s="1444">
        <f t="shared" si="18"/>
        <v>3956</v>
      </c>
      <c r="BF47" s="1137"/>
      <c r="BG47" s="1137"/>
      <c r="BH47" s="502"/>
      <c r="BI47" s="502"/>
      <c r="BJ47" s="502"/>
      <c r="BQ47" s="502"/>
      <c r="BR47" s="502"/>
      <c r="BS47" s="502"/>
      <c r="BT47" s="502"/>
      <c r="BU47" s="502"/>
      <c r="BV47" s="502"/>
      <c r="BW47" s="502"/>
      <c r="BX47" s="502"/>
      <c r="BY47" s="502"/>
      <c r="BZ47" s="502"/>
      <c r="CA47" s="502"/>
      <c r="CB47" s="502"/>
    </row>
    <row r="48" spans="2:80" s="1270" customFormat="1" ht="21.95" customHeight="1" thickBot="1" x14ac:dyDescent="0.3">
      <c r="B48" s="7970"/>
      <c r="C48" s="5280" t="s">
        <v>1191</v>
      </c>
      <c r="D48" s="5271"/>
      <c r="E48" s="5272">
        <v>4471.05</v>
      </c>
      <c r="F48" s="5271">
        <v>4</v>
      </c>
      <c r="G48" s="5272">
        <v>15821</v>
      </c>
      <c r="H48" s="1394">
        <f t="shared" si="0"/>
        <v>4</v>
      </c>
      <c r="I48" s="1395">
        <f t="shared" si="26"/>
        <v>20292.05</v>
      </c>
      <c r="J48" s="5271">
        <v>3.5</v>
      </c>
      <c r="K48" s="5272">
        <v>13254</v>
      </c>
      <c r="L48" s="5198">
        <f t="shared" si="19"/>
        <v>7.5</v>
      </c>
      <c r="M48" s="5268">
        <f t="shared" si="27"/>
        <v>33546.050000000003</v>
      </c>
      <c r="N48" s="5271">
        <v>1</v>
      </c>
      <c r="O48" s="5272">
        <v>3837.17</v>
      </c>
      <c r="P48" s="1444">
        <f t="shared" si="55"/>
        <v>8.5</v>
      </c>
      <c r="Q48" s="1444">
        <f t="shared" si="28"/>
        <v>37383.22</v>
      </c>
      <c r="R48" s="5271">
        <v>1</v>
      </c>
      <c r="S48" s="5272">
        <v>3854.78</v>
      </c>
      <c r="T48" s="1444">
        <f t="shared" si="2"/>
        <v>9.5</v>
      </c>
      <c r="U48" s="1444">
        <f t="shared" si="29"/>
        <v>41238</v>
      </c>
      <c r="V48" s="5271">
        <v>0</v>
      </c>
      <c r="W48" s="5272">
        <v>0</v>
      </c>
      <c r="X48" s="5198">
        <f t="shared" si="3"/>
        <v>2</v>
      </c>
      <c r="Y48" s="5269">
        <f t="shared" si="4"/>
        <v>7691.9500000000007</v>
      </c>
      <c r="Z48" s="5199">
        <f t="shared" si="5"/>
        <v>9.5</v>
      </c>
      <c r="AA48" s="5196">
        <f t="shared" si="30"/>
        <v>41238</v>
      </c>
      <c r="AB48" s="5271">
        <v>0</v>
      </c>
      <c r="AC48" s="5272">
        <v>0</v>
      </c>
      <c r="AD48" s="6269">
        <f t="shared" si="6"/>
        <v>9.5</v>
      </c>
      <c r="AE48" s="6203">
        <f t="shared" si="31"/>
        <v>41238</v>
      </c>
      <c r="AF48" s="6261">
        <v>2</v>
      </c>
      <c r="AG48" s="5272">
        <v>7638.88</v>
      </c>
      <c r="AH48" s="1394">
        <f t="shared" si="133"/>
        <v>11.5</v>
      </c>
      <c r="AI48" s="1444">
        <f t="shared" si="23"/>
        <v>48876.880000000005</v>
      </c>
      <c r="AJ48" s="5271">
        <v>2.5</v>
      </c>
      <c r="AK48" s="5272">
        <v>14219.22</v>
      </c>
      <c r="AL48" s="5198">
        <f t="shared" si="134"/>
        <v>4.5</v>
      </c>
      <c r="AM48" s="5268">
        <f t="shared" si="9"/>
        <v>21858.1</v>
      </c>
      <c r="AN48" s="1394">
        <f t="shared" si="141"/>
        <v>14</v>
      </c>
      <c r="AO48" s="1444">
        <f t="shared" si="34"/>
        <v>63096.1</v>
      </c>
      <c r="AP48" s="5271">
        <v>0</v>
      </c>
      <c r="AQ48" s="5272">
        <v>0</v>
      </c>
      <c r="AR48" s="1394">
        <f t="shared" si="135"/>
        <v>14</v>
      </c>
      <c r="AS48" s="1444">
        <f t="shared" si="36"/>
        <v>63096.1</v>
      </c>
      <c r="AT48" s="5271">
        <v>1.5</v>
      </c>
      <c r="AU48" s="5272">
        <v>5782.3</v>
      </c>
      <c r="AV48" s="1394">
        <f t="shared" si="136"/>
        <v>15.5</v>
      </c>
      <c r="AW48" s="1444">
        <f t="shared" si="38"/>
        <v>68878.399999999994</v>
      </c>
      <c r="AX48" s="5271">
        <v>3</v>
      </c>
      <c r="AY48" s="5272">
        <v>11774.48</v>
      </c>
      <c r="AZ48" s="5198">
        <f t="shared" si="137"/>
        <v>4.5</v>
      </c>
      <c r="BA48" s="5269">
        <f t="shared" si="14"/>
        <v>17556.78</v>
      </c>
      <c r="BB48" s="5199">
        <f t="shared" si="138"/>
        <v>9</v>
      </c>
      <c r="BC48" s="5196">
        <f t="shared" si="16"/>
        <v>39414.879999999997</v>
      </c>
      <c r="BD48" s="1394">
        <f t="shared" si="139"/>
        <v>18.5</v>
      </c>
      <c r="BE48" s="1444">
        <f t="shared" si="18"/>
        <v>80652.88</v>
      </c>
      <c r="BF48" s="1137"/>
      <c r="BG48" s="1137"/>
      <c r="BH48" s="502"/>
      <c r="BI48" s="502"/>
      <c r="BJ48" s="502"/>
      <c r="BQ48" s="502"/>
      <c r="BR48" s="502"/>
      <c r="BS48" s="502"/>
      <c r="BT48" s="502"/>
      <c r="BU48" s="502"/>
      <c r="BV48" s="502"/>
      <c r="BW48" s="502"/>
      <c r="BX48" s="502"/>
      <c r="BY48" s="502"/>
      <c r="BZ48" s="502"/>
      <c r="CA48" s="502"/>
      <c r="CB48" s="502"/>
    </row>
    <row r="49" spans="2:80" s="1270" customFormat="1" ht="21.95" customHeight="1" thickBot="1" x14ac:dyDescent="0.3">
      <c r="B49" s="7970"/>
      <c r="C49" s="5280" t="s">
        <v>1192</v>
      </c>
      <c r="D49" s="5271"/>
      <c r="E49" s="5272">
        <v>14530.81</v>
      </c>
      <c r="F49" s="5271">
        <v>5</v>
      </c>
      <c r="G49" s="5272">
        <v>19520</v>
      </c>
      <c r="H49" s="1394">
        <f t="shared" si="0"/>
        <v>5</v>
      </c>
      <c r="I49" s="1395">
        <f t="shared" si="26"/>
        <v>34050.81</v>
      </c>
      <c r="J49" s="5271">
        <v>3.5</v>
      </c>
      <c r="K49" s="5272">
        <v>13724</v>
      </c>
      <c r="L49" s="5198">
        <f t="shared" si="19"/>
        <v>8.5</v>
      </c>
      <c r="M49" s="5268">
        <f t="shared" si="27"/>
        <v>47774.81</v>
      </c>
      <c r="N49" s="5271">
        <v>4.7</v>
      </c>
      <c r="O49" s="5272">
        <v>18259.91</v>
      </c>
      <c r="P49" s="1444">
        <f t="shared" si="55"/>
        <v>13.2</v>
      </c>
      <c r="Q49" s="1444">
        <f t="shared" si="28"/>
        <v>66034.720000000001</v>
      </c>
      <c r="R49" s="5271">
        <v>4</v>
      </c>
      <c r="S49" s="5272">
        <v>15716.369999999999</v>
      </c>
      <c r="T49" s="1444">
        <f t="shared" si="2"/>
        <v>17.2</v>
      </c>
      <c r="U49" s="1444">
        <f t="shared" si="29"/>
        <v>81751.09</v>
      </c>
      <c r="V49" s="5271">
        <v>5</v>
      </c>
      <c r="W49" s="5272">
        <v>19564.97</v>
      </c>
      <c r="X49" s="5198">
        <f t="shared" si="3"/>
        <v>13.7</v>
      </c>
      <c r="Y49" s="5269">
        <f t="shared" si="4"/>
        <v>53541.25</v>
      </c>
      <c r="Z49" s="5199">
        <f t="shared" si="5"/>
        <v>22.2</v>
      </c>
      <c r="AA49" s="5196">
        <f t="shared" si="30"/>
        <v>101316.06</v>
      </c>
      <c r="AB49" s="5271">
        <v>3</v>
      </c>
      <c r="AC49" s="5272">
        <v>11850.81</v>
      </c>
      <c r="AD49" s="6269">
        <f t="shared" si="6"/>
        <v>25.2</v>
      </c>
      <c r="AE49" s="6203">
        <f t="shared" si="31"/>
        <v>113166.87</v>
      </c>
      <c r="AF49" s="6261">
        <v>4</v>
      </c>
      <c r="AG49" s="5272">
        <v>15487.1</v>
      </c>
      <c r="AH49" s="1394">
        <f t="shared" si="133"/>
        <v>29.2</v>
      </c>
      <c r="AI49" s="1444">
        <f t="shared" si="23"/>
        <v>128653.97</v>
      </c>
      <c r="AJ49" s="5271">
        <v>5</v>
      </c>
      <c r="AK49" s="5272">
        <v>27378.42</v>
      </c>
      <c r="AL49" s="5198">
        <f t="shared" si="134"/>
        <v>12</v>
      </c>
      <c r="AM49" s="5268">
        <f t="shared" si="9"/>
        <v>54716.33</v>
      </c>
      <c r="AN49" s="1394">
        <f t="shared" si="141"/>
        <v>34.200000000000003</v>
      </c>
      <c r="AO49" s="1444">
        <f t="shared" si="34"/>
        <v>156032.38999999998</v>
      </c>
      <c r="AP49" s="5271">
        <v>5</v>
      </c>
      <c r="AQ49" s="5272">
        <v>18888.54</v>
      </c>
      <c r="AR49" s="1394">
        <f t="shared" si="135"/>
        <v>39.200000000000003</v>
      </c>
      <c r="AS49" s="1444">
        <f t="shared" si="36"/>
        <v>174920.93</v>
      </c>
      <c r="AT49" s="5271">
        <v>5.5</v>
      </c>
      <c r="AU49" s="5272">
        <v>21894.34</v>
      </c>
      <c r="AV49" s="1394">
        <f t="shared" si="136"/>
        <v>44.7</v>
      </c>
      <c r="AW49" s="1444">
        <f t="shared" si="38"/>
        <v>196815.27</v>
      </c>
      <c r="AX49" s="5271">
        <v>5</v>
      </c>
      <c r="AY49" s="5272">
        <v>19354.45</v>
      </c>
      <c r="AZ49" s="5198">
        <f t="shared" si="137"/>
        <v>15.5</v>
      </c>
      <c r="BA49" s="5269">
        <f t="shared" si="14"/>
        <v>60137.33</v>
      </c>
      <c r="BB49" s="5199">
        <f t="shared" si="138"/>
        <v>27.5</v>
      </c>
      <c r="BC49" s="5196">
        <f t="shared" si="16"/>
        <v>114853.66</v>
      </c>
      <c r="BD49" s="1394">
        <f t="shared" si="139"/>
        <v>49.7</v>
      </c>
      <c r="BE49" s="1444">
        <f t="shared" si="18"/>
        <v>216169.72</v>
      </c>
      <c r="BF49" s="1137"/>
      <c r="BG49" s="1137"/>
      <c r="BH49" s="502"/>
      <c r="BI49" s="502"/>
      <c r="BJ49" s="502"/>
      <c r="BQ49" s="502"/>
      <c r="BR49" s="502"/>
      <c r="BS49" s="502"/>
      <c r="BT49" s="502"/>
      <c r="BU49" s="502"/>
      <c r="BV49" s="502"/>
      <c r="BW49" s="502"/>
      <c r="BX49" s="502"/>
      <c r="BY49" s="502"/>
      <c r="BZ49" s="502"/>
      <c r="CA49" s="502"/>
      <c r="CB49" s="502"/>
    </row>
    <row r="50" spans="2:80" s="1270" customFormat="1" ht="21.95" customHeight="1" thickBot="1" x14ac:dyDescent="0.3">
      <c r="B50" s="7970"/>
      <c r="C50" s="5280" t="s">
        <v>1193</v>
      </c>
      <c r="D50" s="5271"/>
      <c r="E50" s="5272">
        <v>0</v>
      </c>
      <c r="F50" s="5271"/>
      <c r="G50" s="5272"/>
      <c r="H50" s="1394">
        <f t="shared" si="0"/>
        <v>0</v>
      </c>
      <c r="I50" s="1395">
        <f t="shared" si="26"/>
        <v>0</v>
      </c>
      <c r="J50" s="5271"/>
      <c r="K50" s="5272"/>
      <c r="L50" s="5198">
        <f t="shared" si="19"/>
        <v>0</v>
      </c>
      <c r="M50" s="5268">
        <f t="shared" si="27"/>
        <v>0</v>
      </c>
      <c r="N50" s="5271">
        <v>1</v>
      </c>
      <c r="O50" s="5272">
        <v>3982.2</v>
      </c>
      <c r="P50" s="1444">
        <f t="shared" si="55"/>
        <v>1</v>
      </c>
      <c r="Q50" s="1444">
        <f t="shared" si="28"/>
        <v>3982.2</v>
      </c>
      <c r="R50" s="5271">
        <v>2</v>
      </c>
      <c r="S50" s="5272">
        <v>7945.68</v>
      </c>
      <c r="T50" s="1444">
        <f t="shared" si="2"/>
        <v>3</v>
      </c>
      <c r="U50" s="1444">
        <f t="shared" si="29"/>
        <v>11927.880000000001</v>
      </c>
      <c r="V50" s="5271">
        <v>0</v>
      </c>
      <c r="W50" s="5272">
        <v>0</v>
      </c>
      <c r="X50" s="5198">
        <f t="shared" si="3"/>
        <v>3</v>
      </c>
      <c r="Y50" s="5269">
        <f t="shared" si="4"/>
        <v>11927.880000000001</v>
      </c>
      <c r="Z50" s="5199">
        <f t="shared" si="5"/>
        <v>3</v>
      </c>
      <c r="AA50" s="5196">
        <f t="shared" si="30"/>
        <v>11927.880000000001</v>
      </c>
      <c r="AB50" s="5271">
        <v>0</v>
      </c>
      <c r="AC50" s="5272">
        <v>0</v>
      </c>
      <c r="AD50" s="6269">
        <f t="shared" si="6"/>
        <v>3</v>
      </c>
      <c r="AE50" s="6203">
        <f t="shared" si="31"/>
        <v>11927.880000000001</v>
      </c>
      <c r="AF50" s="6261">
        <v>0</v>
      </c>
      <c r="AG50" s="5272">
        <v>0</v>
      </c>
      <c r="AH50" s="1394">
        <f t="shared" si="133"/>
        <v>3</v>
      </c>
      <c r="AI50" s="1444">
        <f t="shared" si="23"/>
        <v>11927.880000000001</v>
      </c>
      <c r="AJ50" s="5271"/>
      <c r="AK50" s="5272">
        <v>0</v>
      </c>
      <c r="AL50" s="5198">
        <f t="shared" si="134"/>
        <v>0</v>
      </c>
      <c r="AM50" s="5268">
        <f t="shared" si="9"/>
        <v>0</v>
      </c>
      <c r="AN50" s="1394">
        <f t="shared" si="141"/>
        <v>3</v>
      </c>
      <c r="AO50" s="1444">
        <f t="shared" si="34"/>
        <v>11927.880000000001</v>
      </c>
      <c r="AP50" s="5271">
        <v>0</v>
      </c>
      <c r="AQ50" s="5272">
        <v>68.400000000000006</v>
      </c>
      <c r="AR50" s="1394">
        <f t="shared" si="135"/>
        <v>3</v>
      </c>
      <c r="AS50" s="1444">
        <f t="shared" si="36"/>
        <v>11996.279999999999</v>
      </c>
      <c r="AT50" s="5271">
        <v>0</v>
      </c>
      <c r="AU50" s="5272">
        <v>0</v>
      </c>
      <c r="AV50" s="1394">
        <f t="shared" si="136"/>
        <v>3</v>
      </c>
      <c r="AW50" s="1444">
        <f t="shared" si="38"/>
        <v>11996.279999999999</v>
      </c>
      <c r="AX50" s="5271">
        <v>0</v>
      </c>
      <c r="AY50" s="5272">
        <v>0</v>
      </c>
      <c r="AZ50" s="5198">
        <f t="shared" si="137"/>
        <v>0</v>
      </c>
      <c r="BA50" s="5269">
        <f t="shared" si="14"/>
        <v>68.400000000000006</v>
      </c>
      <c r="BB50" s="5199">
        <f t="shared" si="138"/>
        <v>0</v>
      </c>
      <c r="BC50" s="5196">
        <f t="shared" si="16"/>
        <v>68.400000000000006</v>
      </c>
      <c r="BD50" s="1394">
        <f t="shared" si="139"/>
        <v>3</v>
      </c>
      <c r="BE50" s="1444">
        <f t="shared" si="18"/>
        <v>11996.28</v>
      </c>
      <c r="BF50" s="1137"/>
      <c r="BG50" s="1137"/>
      <c r="BH50" s="502"/>
      <c r="BI50" s="502"/>
      <c r="BJ50" s="502"/>
      <c r="BQ50" s="502"/>
      <c r="BR50" s="502"/>
      <c r="BS50" s="502"/>
      <c r="BT50" s="502"/>
      <c r="BU50" s="502"/>
      <c r="BV50" s="502"/>
      <c r="BW50" s="502"/>
      <c r="BX50" s="502"/>
      <c r="BY50" s="502"/>
      <c r="BZ50" s="502"/>
      <c r="CA50" s="502"/>
      <c r="CB50" s="502"/>
    </row>
    <row r="51" spans="2:80" s="1270" customFormat="1" ht="21.95" customHeight="1" thickBot="1" x14ac:dyDescent="0.3">
      <c r="B51" s="7970"/>
      <c r="C51" s="5280" t="s">
        <v>1194</v>
      </c>
      <c r="D51" s="5271"/>
      <c r="E51" s="5272">
        <v>0</v>
      </c>
      <c r="F51" s="5271">
        <v>0</v>
      </c>
      <c r="G51" s="5272">
        <v>0</v>
      </c>
      <c r="H51" s="1394">
        <f t="shared" si="0"/>
        <v>0</v>
      </c>
      <c r="I51" s="1395">
        <f t="shared" si="26"/>
        <v>0</v>
      </c>
      <c r="J51" s="5271">
        <v>0</v>
      </c>
      <c r="K51" s="5272">
        <v>0</v>
      </c>
      <c r="L51" s="5198">
        <f t="shared" si="19"/>
        <v>0</v>
      </c>
      <c r="M51" s="5268">
        <f t="shared" si="27"/>
        <v>0</v>
      </c>
      <c r="N51" s="5271">
        <v>0</v>
      </c>
      <c r="O51" s="5272">
        <v>0</v>
      </c>
      <c r="P51" s="1444">
        <f t="shared" si="55"/>
        <v>0</v>
      </c>
      <c r="Q51" s="1444">
        <f t="shared" si="28"/>
        <v>0</v>
      </c>
      <c r="R51" s="5271">
        <v>0</v>
      </c>
      <c r="S51" s="5272">
        <v>0</v>
      </c>
      <c r="T51" s="1444">
        <f t="shared" si="2"/>
        <v>0</v>
      </c>
      <c r="U51" s="1444">
        <f t="shared" si="29"/>
        <v>0</v>
      </c>
      <c r="V51" s="5271">
        <v>0</v>
      </c>
      <c r="W51" s="5272">
        <v>0</v>
      </c>
      <c r="X51" s="5198">
        <f t="shared" si="3"/>
        <v>0</v>
      </c>
      <c r="Y51" s="5269">
        <f t="shared" si="4"/>
        <v>0</v>
      </c>
      <c r="Z51" s="5199">
        <f t="shared" si="5"/>
        <v>0</v>
      </c>
      <c r="AA51" s="5196">
        <f t="shared" si="30"/>
        <v>0</v>
      </c>
      <c r="AB51" s="5271">
        <v>0</v>
      </c>
      <c r="AC51" s="5272">
        <v>0</v>
      </c>
      <c r="AD51" s="6269">
        <f t="shared" si="6"/>
        <v>0</v>
      </c>
      <c r="AE51" s="6203">
        <f t="shared" si="31"/>
        <v>0</v>
      </c>
      <c r="AF51" s="6261">
        <v>0</v>
      </c>
      <c r="AG51" s="5272">
        <v>0</v>
      </c>
      <c r="AH51" s="1394">
        <f t="shared" si="133"/>
        <v>0</v>
      </c>
      <c r="AI51" s="1444">
        <f t="shared" si="23"/>
        <v>0</v>
      </c>
      <c r="AJ51" s="5271">
        <v>1</v>
      </c>
      <c r="AK51" s="5272">
        <v>0</v>
      </c>
      <c r="AL51" s="5198">
        <f t="shared" si="134"/>
        <v>1</v>
      </c>
      <c r="AM51" s="5268">
        <f t="shared" si="9"/>
        <v>0</v>
      </c>
      <c r="AN51" s="1394">
        <f t="shared" si="141"/>
        <v>1</v>
      </c>
      <c r="AO51" s="1444">
        <f t="shared" si="34"/>
        <v>0</v>
      </c>
      <c r="AP51" s="5271">
        <v>0</v>
      </c>
      <c r="AQ51" s="5272">
        <v>0</v>
      </c>
      <c r="AR51" s="1394">
        <f t="shared" si="135"/>
        <v>1</v>
      </c>
      <c r="AS51" s="1444">
        <f t="shared" si="36"/>
        <v>0</v>
      </c>
      <c r="AT51" s="5271">
        <v>0</v>
      </c>
      <c r="AU51" s="5272">
        <v>0</v>
      </c>
      <c r="AV51" s="1394">
        <f t="shared" si="136"/>
        <v>1</v>
      </c>
      <c r="AW51" s="1444">
        <f t="shared" si="38"/>
        <v>0</v>
      </c>
      <c r="AX51" s="5271">
        <v>0</v>
      </c>
      <c r="AY51" s="5272">
        <v>0</v>
      </c>
      <c r="AZ51" s="5198">
        <f t="shared" si="137"/>
        <v>0</v>
      </c>
      <c r="BA51" s="5269">
        <f t="shared" si="14"/>
        <v>0</v>
      </c>
      <c r="BB51" s="5199">
        <f t="shared" si="138"/>
        <v>1</v>
      </c>
      <c r="BC51" s="5196">
        <f t="shared" si="16"/>
        <v>0</v>
      </c>
      <c r="BD51" s="1394">
        <f t="shared" si="139"/>
        <v>1</v>
      </c>
      <c r="BE51" s="1444">
        <f t="shared" si="18"/>
        <v>0</v>
      </c>
      <c r="BF51" s="1137"/>
      <c r="BG51" s="1137"/>
      <c r="BH51" s="502"/>
      <c r="BI51" s="502"/>
      <c r="BJ51" s="502"/>
      <c r="BQ51" s="502"/>
      <c r="BR51" s="502"/>
      <c r="BS51" s="502"/>
      <c r="BT51" s="502"/>
      <c r="BU51" s="502"/>
      <c r="BV51" s="502"/>
      <c r="BW51" s="502"/>
      <c r="BX51" s="502"/>
      <c r="BY51" s="502"/>
      <c r="BZ51" s="502"/>
      <c r="CA51" s="502"/>
      <c r="CB51" s="502"/>
    </row>
    <row r="52" spans="2:80" s="1270" customFormat="1" ht="21.95" customHeight="1" x14ac:dyDescent="0.25">
      <c r="B52" s="7970"/>
      <c r="C52" s="5280" t="s">
        <v>1309</v>
      </c>
      <c r="D52" s="5271"/>
      <c r="E52" s="5272">
        <v>3750.8</v>
      </c>
      <c r="F52" s="5271">
        <v>0</v>
      </c>
      <c r="G52" s="5272">
        <v>0</v>
      </c>
      <c r="H52" s="1394">
        <f t="shared" si="0"/>
        <v>0</v>
      </c>
      <c r="I52" s="1395">
        <f t="shared" si="26"/>
        <v>3750.8</v>
      </c>
      <c r="J52" s="5271">
        <v>0</v>
      </c>
      <c r="K52" s="5272">
        <v>0</v>
      </c>
      <c r="L52" s="5198">
        <f t="shared" si="19"/>
        <v>0</v>
      </c>
      <c r="M52" s="5268">
        <f t="shared" si="27"/>
        <v>3750.8</v>
      </c>
      <c r="N52" s="5271">
        <v>0</v>
      </c>
      <c r="O52" s="5272">
        <v>0</v>
      </c>
      <c r="P52" s="1444">
        <f t="shared" si="55"/>
        <v>0</v>
      </c>
      <c r="Q52" s="1444">
        <f t="shared" si="28"/>
        <v>3750.8</v>
      </c>
      <c r="R52" s="5271">
        <v>0</v>
      </c>
      <c r="S52" s="5272">
        <v>0</v>
      </c>
      <c r="T52" s="1444">
        <f t="shared" si="2"/>
        <v>0</v>
      </c>
      <c r="U52" s="1444">
        <f t="shared" si="29"/>
        <v>3750.8</v>
      </c>
      <c r="V52" s="5271">
        <v>2</v>
      </c>
      <c r="W52" s="5272">
        <v>7822</v>
      </c>
      <c r="X52" s="5198">
        <f t="shared" si="3"/>
        <v>2</v>
      </c>
      <c r="Y52" s="5269">
        <f t="shared" si="4"/>
        <v>7822</v>
      </c>
      <c r="Z52" s="5199">
        <f t="shared" si="5"/>
        <v>2</v>
      </c>
      <c r="AA52" s="5196">
        <f t="shared" si="30"/>
        <v>11572.8</v>
      </c>
      <c r="AB52" s="5271">
        <v>2</v>
      </c>
      <c r="AC52" s="5272">
        <v>7805.44</v>
      </c>
      <c r="AD52" s="6269">
        <f t="shared" si="6"/>
        <v>4</v>
      </c>
      <c r="AE52" s="6203">
        <f t="shared" si="31"/>
        <v>19378.239999999998</v>
      </c>
      <c r="AF52" s="6261">
        <v>2</v>
      </c>
      <c r="AG52" s="5272">
        <v>7726.35</v>
      </c>
      <c r="AH52" s="1394">
        <f t="shared" si="133"/>
        <v>6</v>
      </c>
      <c r="AI52" s="1444">
        <f t="shared" si="23"/>
        <v>27104.59</v>
      </c>
      <c r="AJ52" s="5271">
        <v>0</v>
      </c>
      <c r="AK52" s="5272">
        <v>0</v>
      </c>
      <c r="AL52" s="5198">
        <f t="shared" si="134"/>
        <v>4</v>
      </c>
      <c r="AM52" s="5268">
        <f t="shared" si="9"/>
        <v>15531.79</v>
      </c>
      <c r="AN52" s="1394">
        <f t="shared" si="141"/>
        <v>6</v>
      </c>
      <c r="AO52" s="1444">
        <f t="shared" si="34"/>
        <v>27104.59</v>
      </c>
      <c r="AP52" s="5271">
        <v>0</v>
      </c>
      <c r="AQ52" s="5272">
        <v>68</v>
      </c>
      <c r="AR52" s="1394">
        <f t="shared" si="135"/>
        <v>6</v>
      </c>
      <c r="AS52" s="1444">
        <f t="shared" si="36"/>
        <v>27172.59</v>
      </c>
      <c r="AT52" s="5271">
        <v>1.5</v>
      </c>
      <c r="AU52" s="5272">
        <v>5710.8</v>
      </c>
      <c r="AV52" s="1394">
        <f t="shared" si="136"/>
        <v>7.5</v>
      </c>
      <c r="AW52" s="1444">
        <f t="shared" si="38"/>
        <v>32883.39</v>
      </c>
      <c r="AX52" s="5271">
        <v>2.5</v>
      </c>
      <c r="AY52" s="5272">
        <v>9839.98</v>
      </c>
      <c r="AZ52" s="5198">
        <f t="shared" si="137"/>
        <v>4</v>
      </c>
      <c r="BA52" s="5269">
        <f t="shared" si="14"/>
        <v>15618.779999999999</v>
      </c>
      <c r="BB52" s="5199">
        <f t="shared" si="138"/>
        <v>8</v>
      </c>
      <c r="BC52" s="5196">
        <f t="shared" si="16"/>
        <v>31150.57</v>
      </c>
      <c r="BD52" s="1394">
        <f t="shared" si="139"/>
        <v>10</v>
      </c>
      <c r="BE52" s="1444">
        <f t="shared" si="18"/>
        <v>42723.369999999995</v>
      </c>
      <c r="BF52" s="1137"/>
      <c r="BG52" s="1137"/>
      <c r="BH52" s="502"/>
      <c r="BI52" s="502"/>
      <c r="BJ52" s="502"/>
      <c r="BQ52" s="502"/>
      <c r="BR52" s="502"/>
      <c r="BS52" s="502"/>
      <c r="BT52" s="502"/>
      <c r="BU52" s="502"/>
      <c r="BV52" s="502"/>
      <c r="BW52" s="502"/>
      <c r="BX52" s="502"/>
      <c r="BY52" s="502"/>
      <c r="BZ52" s="502"/>
      <c r="CA52" s="502"/>
      <c r="CB52" s="502"/>
    </row>
    <row r="53" spans="2:80" s="1270" customFormat="1" ht="21.95" customHeight="1" thickBot="1" x14ac:dyDescent="0.3">
      <c r="B53" s="7970"/>
      <c r="C53" s="5288" t="s">
        <v>2</v>
      </c>
      <c r="D53" s="5289">
        <f t="shared" ref="D53:E53" si="142">SUM(D43:D52)</f>
        <v>0</v>
      </c>
      <c r="E53" s="5289">
        <f t="shared" si="142"/>
        <v>86475.840000000011</v>
      </c>
      <c r="F53" s="5289">
        <f t="shared" ref="F53:BE53" si="143">SUM(F43:F52)</f>
        <v>27</v>
      </c>
      <c r="G53" s="5289">
        <f t="shared" si="143"/>
        <v>106284</v>
      </c>
      <c r="H53" s="5289">
        <f t="shared" si="143"/>
        <v>27</v>
      </c>
      <c r="I53" s="5289">
        <f t="shared" si="143"/>
        <v>192759.84</v>
      </c>
      <c r="J53" s="5289">
        <f t="shared" si="143"/>
        <v>18</v>
      </c>
      <c r="K53" s="5289">
        <f t="shared" si="143"/>
        <v>70820</v>
      </c>
      <c r="L53" s="5289">
        <f t="shared" si="143"/>
        <v>45</v>
      </c>
      <c r="M53" s="5289">
        <f t="shared" si="143"/>
        <v>263579.83999999997</v>
      </c>
      <c r="N53" s="5289">
        <f t="shared" si="143"/>
        <v>28</v>
      </c>
      <c r="O53" s="5289">
        <f t="shared" si="143"/>
        <v>105149.94</v>
      </c>
      <c r="P53" s="5289">
        <f t="shared" si="143"/>
        <v>73</v>
      </c>
      <c r="Q53" s="5289">
        <f t="shared" si="143"/>
        <v>368729.78</v>
      </c>
      <c r="R53" s="5289">
        <f t="shared" si="143"/>
        <v>23</v>
      </c>
      <c r="S53" s="5289">
        <f t="shared" si="143"/>
        <v>88769.09</v>
      </c>
      <c r="T53" s="5289">
        <f t="shared" si="143"/>
        <v>96</v>
      </c>
      <c r="U53" s="5289">
        <f t="shared" si="143"/>
        <v>457498.87000000005</v>
      </c>
      <c r="V53" s="5289">
        <f t="shared" si="143"/>
        <v>26</v>
      </c>
      <c r="W53" s="5289">
        <f t="shared" si="143"/>
        <v>101893.08</v>
      </c>
      <c r="X53" s="5289">
        <f t="shared" si="143"/>
        <v>77</v>
      </c>
      <c r="Y53" s="5289">
        <f t="shared" si="143"/>
        <v>295812.11</v>
      </c>
      <c r="Z53" s="5289">
        <f t="shared" si="143"/>
        <v>122</v>
      </c>
      <c r="AA53" s="5289">
        <f t="shared" si="143"/>
        <v>559391.95000000007</v>
      </c>
      <c r="AB53" s="5289">
        <f t="shared" si="143"/>
        <v>24</v>
      </c>
      <c r="AC53" s="5289">
        <f t="shared" si="143"/>
        <v>92332.62</v>
      </c>
      <c r="AD53" s="5291">
        <f t="shared" si="143"/>
        <v>146</v>
      </c>
      <c r="AE53" s="5987">
        <f t="shared" si="143"/>
        <v>651724.56999999995</v>
      </c>
      <c r="AF53" s="6259">
        <f t="shared" si="143"/>
        <v>25</v>
      </c>
      <c r="AG53" s="5289">
        <f t="shared" ref="AG53" si="144">SUM(AG43:AG52)</f>
        <v>96420.48000000001</v>
      </c>
      <c r="AH53" s="5289">
        <f t="shared" si="143"/>
        <v>155.4</v>
      </c>
      <c r="AI53" s="5289">
        <f t="shared" si="23"/>
        <v>748145.04999999993</v>
      </c>
      <c r="AJ53" s="5289">
        <f t="shared" si="143"/>
        <v>24</v>
      </c>
      <c r="AK53" s="5289">
        <f t="shared" si="143"/>
        <v>99982.81</v>
      </c>
      <c r="AL53" s="5289">
        <f t="shared" si="143"/>
        <v>67.5</v>
      </c>
      <c r="AM53" s="5289">
        <f t="shared" si="143"/>
        <v>288735.90999999997</v>
      </c>
      <c r="AN53" s="5289">
        <f t="shared" si="143"/>
        <v>179.40000000000003</v>
      </c>
      <c r="AO53" s="5289">
        <f t="shared" si="143"/>
        <v>848127.85999999987</v>
      </c>
      <c r="AP53" s="5289">
        <f t="shared" ref="AP53:AQ53" si="145">SUM(AP43:AP52)</f>
        <v>24</v>
      </c>
      <c r="AQ53" s="5289">
        <f t="shared" si="145"/>
        <v>93862.239999999991</v>
      </c>
      <c r="AR53" s="5289">
        <f t="shared" si="143"/>
        <v>200</v>
      </c>
      <c r="AS53" s="5289">
        <f t="shared" si="143"/>
        <v>941990.1</v>
      </c>
      <c r="AT53" s="5289">
        <f t="shared" si="143"/>
        <v>22.5</v>
      </c>
      <c r="AU53" s="5289">
        <f t="shared" si="143"/>
        <v>88114.99</v>
      </c>
      <c r="AV53" s="5289">
        <f t="shared" si="143"/>
        <v>220.40000000000003</v>
      </c>
      <c r="AW53" s="5289">
        <f t="shared" si="143"/>
        <v>1030105.0900000001</v>
      </c>
      <c r="AX53" s="5289">
        <f t="shared" ref="AX53:AY53" si="146">SUM(AX43:AX52)</f>
        <v>26.6</v>
      </c>
      <c r="AY53" s="5289">
        <f t="shared" si="146"/>
        <v>102715.65</v>
      </c>
      <c r="AZ53" s="5289">
        <f t="shared" si="143"/>
        <v>67.599999999999994</v>
      </c>
      <c r="BA53" s="5289">
        <f t="shared" si="143"/>
        <v>284692.88</v>
      </c>
      <c r="BB53" s="5289">
        <f t="shared" si="143"/>
        <v>135.10000000000002</v>
      </c>
      <c r="BC53" s="5289">
        <f t="shared" si="143"/>
        <v>573428.79</v>
      </c>
      <c r="BD53" s="5289">
        <f t="shared" si="143"/>
        <v>247</v>
      </c>
      <c r="BE53" s="5289">
        <f t="shared" si="143"/>
        <v>1132820.7400000002</v>
      </c>
      <c r="BF53" s="1137"/>
      <c r="BG53" s="1137"/>
      <c r="BH53" s="502"/>
      <c r="BI53" s="502"/>
      <c r="BJ53" s="502"/>
      <c r="BQ53" s="502"/>
      <c r="BR53" s="502"/>
      <c r="BS53" s="502"/>
      <c r="BT53" s="502"/>
      <c r="BU53" s="502"/>
      <c r="BV53" s="502"/>
      <c r="BW53" s="502"/>
      <c r="BX53" s="502"/>
      <c r="BY53" s="502"/>
      <c r="BZ53" s="502"/>
      <c r="CA53" s="502"/>
      <c r="CB53" s="502"/>
    </row>
    <row r="54" spans="2:80" s="1270" customFormat="1" ht="21.95" customHeight="1" thickBot="1" x14ac:dyDescent="0.3">
      <c r="B54" s="7970"/>
      <c r="C54" s="5280" t="s">
        <v>1195</v>
      </c>
      <c r="D54" s="5271">
        <v>14</v>
      </c>
      <c r="E54" s="5272">
        <v>53905.440000000002</v>
      </c>
      <c r="F54" s="5271">
        <v>15</v>
      </c>
      <c r="G54" s="5272">
        <v>58396</v>
      </c>
      <c r="H54" s="1394">
        <f t="shared" si="0"/>
        <v>29</v>
      </c>
      <c r="I54" s="1395">
        <f t="shared" si="26"/>
        <v>112301.44</v>
      </c>
      <c r="J54" s="5271">
        <v>12</v>
      </c>
      <c r="K54" s="5272">
        <v>46825</v>
      </c>
      <c r="L54" s="5198">
        <f t="shared" si="19"/>
        <v>41</v>
      </c>
      <c r="M54" s="5268">
        <f t="shared" si="27"/>
        <v>159126.44</v>
      </c>
      <c r="N54" s="5271">
        <v>18</v>
      </c>
      <c r="O54" s="5272">
        <v>66738.19</v>
      </c>
      <c r="P54" s="1444">
        <f t="shared" si="55"/>
        <v>59</v>
      </c>
      <c r="Q54" s="1444">
        <f t="shared" si="28"/>
        <v>225864.63</v>
      </c>
      <c r="R54" s="5271">
        <v>11</v>
      </c>
      <c r="S54" s="5272">
        <v>42077</v>
      </c>
      <c r="T54" s="1444">
        <f t="shared" si="2"/>
        <v>70</v>
      </c>
      <c r="U54" s="1444">
        <f t="shared" si="29"/>
        <v>267941.63</v>
      </c>
      <c r="V54" s="5271">
        <v>26</v>
      </c>
      <c r="W54" s="5272">
        <v>101893.08</v>
      </c>
      <c r="X54" s="5198">
        <f t="shared" si="3"/>
        <v>55</v>
      </c>
      <c r="Y54" s="5269">
        <f t="shared" si="4"/>
        <v>210708.27000000002</v>
      </c>
      <c r="Z54" s="5199">
        <f t="shared" si="5"/>
        <v>96</v>
      </c>
      <c r="AA54" s="5196">
        <f t="shared" si="30"/>
        <v>369834.71</v>
      </c>
      <c r="AB54" s="5271">
        <v>18</v>
      </c>
      <c r="AC54" s="5272">
        <v>68402.7</v>
      </c>
      <c r="AD54" s="6269">
        <f t="shared" si="6"/>
        <v>114</v>
      </c>
      <c r="AE54" s="6203">
        <f t="shared" si="31"/>
        <v>438237.41</v>
      </c>
      <c r="AF54" s="6261">
        <v>20</v>
      </c>
      <c r="AG54" s="5272">
        <v>76185.75</v>
      </c>
      <c r="AH54" s="1394">
        <f t="shared" ref="AH54:AH70" si="147">AD54+AF54</f>
        <v>134</v>
      </c>
      <c r="AI54" s="1444">
        <f t="shared" si="23"/>
        <v>514423.16000000003</v>
      </c>
      <c r="AJ54" s="5271">
        <v>15</v>
      </c>
      <c r="AK54" s="5272">
        <v>68445.600000000006</v>
      </c>
      <c r="AL54" s="5198">
        <f t="shared" ref="AL54:AL70" si="148">+AB54+AF54+AJ54</f>
        <v>53</v>
      </c>
      <c r="AM54" s="5268">
        <f t="shared" si="9"/>
        <v>213034.05000000002</v>
      </c>
      <c r="AN54" s="1394">
        <f t="shared" si="141"/>
        <v>149</v>
      </c>
      <c r="AO54" s="1444">
        <f t="shared" si="34"/>
        <v>582868.76</v>
      </c>
      <c r="AP54" s="5271">
        <v>16</v>
      </c>
      <c r="AQ54" s="5272">
        <v>61962.21</v>
      </c>
      <c r="AR54" s="1394">
        <f t="shared" ref="AR54:AR70" si="149">AN54+AP54</f>
        <v>165</v>
      </c>
      <c r="AS54" s="1444">
        <f t="shared" si="36"/>
        <v>644830.97</v>
      </c>
      <c r="AT54" s="5271">
        <v>17.399999999999999</v>
      </c>
      <c r="AU54" s="5272">
        <v>68170.53</v>
      </c>
      <c r="AV54" s="1394">
        <f t="shared" ref="AV54:AV70" si="150">AR54+AT54</f>
        <v>182.4</v>
      </c>
      <c r="AW54" s="1444">
        <f t="shared" si="38"/>
        <v>713001.5</v>
      </c>
      <c r="AX54" s="5271">
        <v>16</v>
      </c>
      <c r="AY54" s="5272">
        <v>61714.36</v>
      </c>
      <c r="AZ54" s="5198">
        <f t="shared" ref="AZ54:AZ70" si="151">+AP54+AT54+AX54</f>
        <v>49.4</v>
      </c>
      <c r="BA54" s="5269">
        <f t="shared" si="14"/>
        <v>191847.09999999998</v>
      </c>
      <c r="BB54" s="5199">
        <f t="shared" ref="BB54:BB70" si="152">AL54+AZ54</f>
        <v>102.4</v>
      </c>
      <c r="BC54" s="5196">
        <f t="shared" si="16"/>
        <v>404881.15</v>
      </c>
      <c r="BD54" s="1394">
        <f t="shared" ref="BD54:BD70" si="153">AV54+AX54</f>
        <v>198.4</v>
      </c>
      <c r="BE54" s="1444">
        <f t="shared" si="18"/>
        <v>774715.8600000001</v>
      </c>
      <c r="BF54" s="1137"/>
      <c r="BG54" s="1137"/>
      <c r="BH54" s="502"/>
      <c r="BI54" s="502"/>
      <c r="BJ54" s="502"/>
      <c r="BQ54" s="502"/>
      <c r="BR54" s="502"/>
      <c r="BS54" s="502"/>
      <c r="BT54" s="502"/>
      <c r="BU54" s="502"/>
      <c r="BV54" s="502"/>
      <c r="BW54" s="502"/>
      <c r="BX54" s="502"/>
      <c r="BY54" s="502"/>
      <c r="BZ54" s="502"/>
      <c r="CA54" s="502"/>
      <c r="CB54" s="502"/>
    </row>
    <row r="55" spans="2:80" s="1270" customFormat="1" ht="21.95" customHeight="1" thickBot="1" x14ac:dyDescent="0.3">
      <c r="B55" s="7970"/>
      <c r="C55" s="5280" t="s">
        <v>1196</v>
      </c>
      <c r="D55" s="5271">
        <v>8</v>
      </c>
      <c r="E55" s="5272">
        <v>32570.400000000001</v>
      </c>
      <c r="F55" s="5271">
        <v>12</v>
      </c>
      <c r="G55" s="5272">
        <v>47888</v>
      </c>
      <c r="H55" s="1394">
        <f t="shared" si="0"/>
        <v>20</v>
      </c>
      <c r="I55" s="1395">
        <f t="shared" si="26"/>
        <v>80458.399999999994</v>
      </c>
      <c r="J55" s="5271">
        <v>6</v>
      </c>
      <c r="K55" s="5272">
        <v>23996</v>
      </c>
      <c r="L55" s="5198">
        <f t="shared" si="19"/>
        <v>26</v>
      </c>
      <c r="M55" s="5268">
        <f t="shared" si="27"/>
        <v>104454.39999999999</v>
      </c>
      <c r="N55" s="5271">
        <v>10</v>
      </c>
      <c r="O55" s="5272">
        <v>38411.75</v>
      </c>
      <c r="P55" s="1444">
        <f t="shared" si="55"/>
        <v>36</v>
      </c>
      <c r="Q55" s="1444">
        <f t="shared" si="28"/>
        <v>142866.15</v>
      </c>
      <c r="R55" s="5271">
        <v>12</v>
      </c>
      <c r="S55" s="5272">
        <v>46692</v>
      </c>
      <c r="T55" s="1444">
        <f t="shared" si="2"/>
        <v>48</v>
      </c>
      <c r="U55" s="1444">
        <f t="shared" si="29"/>
        <v>189558.15</v>
      </c>
      <c r="V55" s="5271">
        <v>11</v>
      </c>
      <c r="W55" s="5272">
        <v>41994.29</v>
      </c>
      <c r="X55" s="5198">
        <f t="shared" si="3"/>
        <v>33</v>
      </c>
      <c r="Y55" s="5269">
        <f t="shared" si="4"/>
        <v>127098.04000000001</v>
      </c>
      <c r="Z55" s="5199">
        <f t="shared" si="5"/>
        <v>59</v>
      </c>
      <c r="AA55" s="5196">
        <f t="shared" si="30"/>
        <v>231552.44</v>
      </c>
      <c r="AB55" s="5271">
        <v>6</v>
      </c>
      <c r="AC55" s="5272">
        <v>23929.919999999998</v>
      </c>
      <c r="AD55" s="6269">
        <f t="shared" si="6"/>
        <v>65</v>
      </c>
      <c r="AE55" s="6203">
        <f t="shared" si="31"/>
        <v>255482.36</v>
      </c>
      <c r="AF55" s="6261">
        <v>5</v>
      </c>
      <c r="AG55" s="5272">
        <v>20234.73</v>
      </c>
      <c r="AH55" s="1394">
        <f t="shared" si="147"/>
        <v>70</v>
      </c>
      <c r="AI55" s="1444">
        <f t="shared" si="23"/>
        <v>275717.09000000003</v>
      </c>
      <c r="AJ55" s="5271">
        <v>10</v>
      </c>
      <c r="AK55" s="5272">
        <v>31537.21</v>
      </c>
      <c r="AL55" s="5198">
        <f t="shared" si="148"/>
        <v>21</v>
      </c>
      <c r="AM55" s="5268">
        <f t="shared" si="9"/>
        <v>75701.859999999986</v>
      </c>
      <c r="AN55" s="1394">
        <f t="shared" si="141"/>
        <v>80</v>
      </c>
      <c r="AO55" s="1444">
        <f t="shared" si="34"/>
        <v>307254.30000000005</v>
      </c>
      <c r="AP55" s="5271">
        <v>8</v>
      </c>
      <c r="AQ55" s="5272">
        <v>31900.03</v>
      </c>
      <c r="AR55" s="1394">
        <f t="shared" si="149"/>
        <v>88</v>
      </c>
      <c r="AS55" s="1444">
        <f t="shared" si="36"/>
        <v>339154.33</v>
      </c>
      <c r="AT55" s="5271">
        <v>5</v>
      </c>
      <c r="AU55" s="5272">
        <v>19944.46</v>
      </c>
      <c r="AV55" s="1394">
        <f t="shared" si="150"/>
        <v>93</v>
      </c>
      <c r="AW55" s="1444">
        <f t="shared" si="38"/>
        <v>359098.79000000004</v>
      </c>
      <c r="AX55" s="5271">
        <v>10.6</v>
      </c>
      <c r="AY55" s="5272">
        <v>41001.29</v>
      </c>
      <c r="AZ55" s="5198">
        <f t="shared" si="151"/>
        <v>23.6</v>
      </c>
      <c r="BA55" s="5269">
        <f t="shared" si="14"/>
        <v>92845.78</v>
      </c>
      <c r="BB55" s="5199">
        <f t="shared" si="152"/>
        <v>44.6</v>
      </c>
      <c r="BC55" s="5196">
        <f t="shared" si="16"/>
        <v>168547.63999999998</v>
      </c>
      <c r="BD55" s="1394">
        <f t="shared" si="153"/>
        <v>103.6</v>
      </c>
      <c r="BE55" s="1444">
        <f t="shared" si="18"/>
        <v>400100.07999999996</v>
      </c>
      <c r="BF55" s="1137"/>
      <c r="BG55" s="1137"/>
      <c r="BH55" s="502"/>
      <c r="BI55" s="502"/>
      <c r="BJ55" s="502"/>
      <c r="BQ55" s="502"/>
      <c r="BR55" s="502"/>
      <c r="BS55" s="502"/>
      <c r="BT55" s="502"/>
      <c r="BU55" s="502"/>
      <c r="BV55" s="502"/>
      <c r="BW55" s="502"/>
      <c r="BX55" s="502"/>
      <c r="BY55" s="502"/>
      <c r="BZ55" s="502"/>
      <c r="CA55" s="502"/>
      <c r="CB55" s="502"/>
    </row>
    <row r="56" spans="2:80" s="1270" customFormat="1" ht="21.95" customHeight="1" thickBot="1" x14ac:dyDescent="0.3">
      <c r="B56" s="7982"/>
      <c r="C56" s="1498" t="s">
        <v>1197</v>
      </c>
      <c r="D56" s="5275">
        <v>0</v>
      </c>
      <c r="E56" s="5276">
        <v>0</v>
      </c>
      <c r="F56" s="5275">
        <v>0</v>
      </c>
      <c r="G56" s="5276">
        <v>0</v>
      </c>
      <c r="H56" s="1394">
        <f t="shared" si="0"/>
        <v>0</v>
      </c>
      <c r="I56" s="1395">
        <f t="shared" si="26"/>
        <v>0</v>
      </c>
      <c r="J56" s="5275"/>
      <c r="K56" s="5276"/>
      <c r="L56" s="5198">
        <f t="shared" si="19"/>
        <v>0</v>
      </c>
      <c r="M56" s="5268">
        <f t="shared" si="27"/>
        <v>0</v>
      </c>
      <c r="N56" s="5275">
        <v>0</v>
      </c>
      <c r="O56" s="5276">
        <v>0</v>
      </c>
      <c r="P56" s="1444">
        <f t="shared" si="55"/>
        <v>0</v>
      </c>
      <c r="Q56" s="1444">
        <f t="shared" si="28"/>
        <v>0</v>
      </c>
      <c r="R56" s="5275">
        <v>0</v>
      </c>
      <c r="S56" s="5276">
        <v>0</v>
      </c>
      <c r="T56" s="1444">
        <f t="shared" si="2"/>
        <v>0</v>
      </c>
      <c r="U56" s="1444">
        <f t="shared" si="29"/>
        <v>0</v>
      </c>
      <c r="V56" s="5275">
        <v>0</v>
      </c>
      <c r="W56" s="5276">
        <v>0</v>
      </c>
      <c r="X56" s="5198">
        <f t="shared" si="3"/>
        <v>0</v>
      </c>
      <c r="Y56" s="5269">
        <f t="shared" si="4"/>
        <v>0</v>
      </c>
      <c r="Z56" s="5199">
        <f t="shared" si="5"/>
        <v>0</v>
      </c>
      <c r="AA56" s="5196">
        <f t="shared" si="30"/>
        <v>0</v>
      </c>
      <c r="AB56" s="5275">
        <v>0</v>
      </c>
      <c r="AC56" s="5276">
        <v>0</v>
      </c>
      <c r="AD56" s="6269">
        <f t="shared" si="6"/>
        <v>0</v>
      </c>
      <c r="AE56" s="6203">
        <f t="shared" si="31"/>
        <v>0</v>
      </c>
      <c r="AF56" s="5275">
        <v>0</v>
      </c>
      <c r="AG56" s="5276">
        <v>0</v>
      </c>
      <c r="AH56" s="1394">
        <f t="shared" si="147"/>
        <v>0</v>
      </c>
      <c r="AI56" s="1444">
        <f t="shared" si="23"/>
        <v>0</v>
      </c>
      <c r="AJ56" s="5275">
        <v>0</v>
      </c>
      <c r="AK56" s="5276">
        <v>0</v>
      </c>
      <c r="AL56" s="5198">
        <f t="shared" si="148"/>
        <v>0</v>
      </c>
      <c r="AM56" s="5268">
        <f t="shared" si="9"/>
        <v>0</v>
      </c>
      <c r="AN56" s="1394">
        <f t="shared" si="141"/>
        <v>0</v>
      </c>
      <c r="AO56" s="1444">
        <f t="shared" si="34"/>
        <v>0</v>
      </c>
      <c r="AP56" s="5275">
        <v>0</v>
      </c>
      <c r="AQ56" s="5276">
        <v>0</v>
      </c>
      <c r="AR56" s="1394">
        <f t="shared" si="149"/>
        <v>0</v>
      </c>
      <c r="AS56" s="1444">
        <f t="shared" si="36"/>
        <v>0</v>
      </c>
      <c r="AT56" s="5275">
        <v>0</v>
      </c>
      <c r="AU56" s="5276">
        <v>0</v>
      </c>
      <c r="AV56" s="1394">
        <f t="shared" si="150"/>
        <v>0</v>
      </c>
      <c r="AW56" s="1444">
        <f t="shared" si="38"/>
        <v>0</v>
      </c>
      <c r="AX56" s="5275">
        <v>0</v>
      </c>
      <c r="AY56" s="5276">
        <v>0</v>
      </c>
      <c r="AZ56" s="5198">
        <f t="shared" si="151"/>
        <v>0</v>
      </c>
      <c r="BA56" s="5269">
        <f t="shared" si="14"/>
        <v>0</v>
      </c>
      <c r="BB56" s="5199">
        <f t="shared" si="152"/>
        <v>0</v>
      </c>
      <c r="BC56" s="5196">
        <f t="shared" si="16"/>
        <v>0</v>
      </c>
      <c r="BD56" s="1394">
        <f t="shared" si="153"/>
        <v>0</v>
      </c>
      <c r="BE56" s="1444">
        <f t="shared" si="18"/>
        <v>0</v>
      </c>
      <c r="BF56" s="1137"/>
      <c r="BG56" s="1137"/>
      <c r="BH56" s="502"/>
      <c r="BI56" s="502"/>
      <c r="BJ56" s="502"/>
      <c r="BQ56" s="502"/>
      <c r="BR56" s="502"/>
      <c r="BS56" s="502"/>
      <c r="BT56" s="502"/>
      <c r="BU56" s="502"/>
      <c r="BV56" s="502"/>
      <c r="BW56" s="502"/>
      <c r="BX56" s="502"/>
      <c r="BY56" s="502"/>
      <c r="BZ56" s="502"/>
      <c r="CA56" s="502"/>
      <c r="CB56" s="502"/>
    </row>
    <row r="57" spans="2:80" s="1270" customFormat="1" ht="21.95" customHeight="1" thickBot="1" x14ac:dyDescent="0.3">
      <c r="B57" s="6932" t="s">
        <v>2260</v>
      </c>
      <c r="C57" s="4235" t="s">
        <v>979</v>
      </c>
      <c r="D57" s="2249">
        <v>1</v>
      </c>
      <c r="E57" s="2248">
        <v>4060</v>
      </c>
      <c r="F57" s="2249">
        <v>1</v>
      </c>
      <c r="G57" s="2248">
        <v>2902</v>
      </c>
      <c r="H57" s="1394">
        <f t="shared" si="0"/>
        <v>2</v>
      </c>
      <c r="I57" s="1395">
        <f t="shared" si="26"/>
        <v>6962</v>
      </c>
      <c r="J57" s="2249">
        <v>2</v>
      </c>
      <c r="K57" s="2248">
        <v>7189</v>
      </c>
      <c r="L57" s="5293">
        <f t="shared" si="19"/>
        <v>4</v>
      </c>
      <c r="M57" s="5268">
        <f t="shared" si="27"/>
        <v>14151</v>
      </c>
      <c r="N57" s="2249">
        <v>1</v>
      </c>
      <c r="O57" s="2248">
        <v>3551.31</v>
      </c>
      <c r="P57" s="1444">
        <f t="shared" si="55"/>
        <v>5</v>
      </c>
      <c r="Q57" s="1444">
        <f t="shared" si="28"/>
        <v>17702.310000000001</v>
      </c>
      <c r="R57" s="2249">
        <v>1</v>
      </c>
      <c r="S57" s="2248">
        <v>4030.6</v>
      </c>
      <c r="T57" s="1444">
        <f t="shared" si="2"/>
        <v>6</v>
      </c>
      <c r="U57" s="1444">
        <f t="shared" si="29"/>
        <v>21732.91</v>
      </c>
      <c r="V57" s="2249">
        <v>2</v>
      </c>
      <c r="W57" s="2248">
        <v>7324.35</v>
      </c>
      <c r="X57" s="5293">
        <f t="shared" si="3"/>
        <v>4</v>
      </c>
      <c r="Y57" s="5269">
        <f t="shared" si="4"/>
        <v>14906.26</v>
      </c>
      <c r="Z57" s="5294">
        <f t="shared" si="5"/>
        <v>8</v>
      </c>
      <c r="AA57" s="5196">
        <f t="shared" si="30"/>
        <v>29057.260000000002</v>
      </c>
      <c r="AB57" s="2249">
        <v>1</v>
      </c>
      <c r="AC57" s="2248">
        <v>3520</v>
      </c>
      <c r="AD57" s="6275">
        <f t="shared" si="6"/>
        <v>9</v>
      </c>
      <c r="AE57" s="6203">
        <f t="shared" si="31"/>
        <v>32577.260000000002</v>
      </c>
      <c r="AF57" s="2249">
        <v>1</v>
      </c>
      <c r="AG57" s="2248">
        <v>3850.27</v>
      </c>
      <c r="AH57" s="2250">
        <f t="shared" si="147"/>
        <v>10</v>
      </c>
      <c r="AI57" s="1444">
        <f t="shared" si="23"/>
        <v>36427.53</v>
      </c>
      <c r="AJ57" s="2249">
        <v>1</v>
      </c>
      <c r="AK57" s="2248">
        <v>8101.2</v>
      </c>
      <c r="AL57" s="5293">
        <f t="shared" si="148"/>
        <v>3</v>
      </c>
      <c r="AM57" s="5268">
        <f t="shared" si="9"/>
        <v>15471.470000000001</v>
      </c>
      <c r="AN57" s="2250">
        <f t="shared" si="141"/>
        <v>11</v>
      </c>
      <c r="AO57" s="1444">
        <f t="shared" si="34"/>
        <v>44528.729999999996</v>
      </c>
      <c r="AP57" s="2249">
        <v>1</v>
      </c>
      <c r="AQ57" s="2248">
        <v>3899.6</v>
      </c>
      <c r="AR57" s="2250">
        <f t="shared" si="149"/>
        <v>12</v>
      </c>
      <c r="AS57" s="1444">
        <f t="shared" si="36"/>
        <v>48428.329999999994</v>
      </c>
      <c r="AT57" s="2249">
        <v>2</v>
      </c>
      <c r="AU57" s="2248">
        <v>8090.87</v>
      </c>
      <c r="AV57" s="2250">
        <f t="shared" si="150"/>
        <v>14</v>
      </c>
      <c r="AW57" s="1444">
        <f t="shared" si="38"/>
        <v>56519.199999999997</v>
      </c>
      <c r="AX57" s="2249">
        <v>0</v>
      </c>
      <c r="AY57" s="2248">
        <v>0</v>
      </c>
      <c r="AZ57" s="5293">
        <f t="shared" si="151"/>
        <v>3</v>
      </c>
      <c r="BA57" s="5269">
        <f t="shared" si="14"/>
        <v>11990.47</v>
      </c>
      <c r="BB57" s="5295">
        <f t="shared" si="152"/>
        <v>6</v>
      </c>
      <c r="BC57" s="5196">
        <f t="shared" si="16"/>
        <v>27461.940000000002</v>
      </c>
      <c r="BD57" s="1394">
        <f t="shared" si="153"/>
        <v>14</v>
      </c>
      <c r="BE57" s="1444">
        <f t="shared" si="18"/>
        <v>56519.200000000004</v>
      </c>
      <c r="BF57" s="1137"/>
      <c r="BG57" s="1137"/>
      <c r="BH57" s="502"/>
      <c r="BI57" s="502"/>
      <c r="BJ57" s="502"/>
      <c r="BQ57" s="502"/>
      <c r="BR57" s="502"/>
      <c r="BS57" s="502"/>
      <c r="BT57" s="502"/>
      <c r="BU57" s="502"/>
      <c r="BV57" s="502"/>
      <c r="BW57" s="502"/>
      <c r="BX57" s="502"/>
      <c r="BY57" s="502"/>
      <c r="BZ57" s="502"/>
      <c r="CA57" s="502"/>
      <c r="CB57" s="502"/>
    </row>
    <row r="58" spans="2:80" s="1270" customFormat="1" ht="21.95" customHeight="1" thickBot="1" x14ac:dyDescent="0.3">
      <c r="B58" s="7998" t="s">
        <v>1761</v>
      </c>
      <c r="C58" s="4248" t="s">
        <v>1198</v>
      </c>
      <c r="D58" s="4243">
        <v>4.4000000000000004</v>
      </c>
      <c r="E58" s="4244">
        <v>17226.830000000002</v>
      </c>
      <c r="F58" s="4243">
        <v>12</v>
      </c>
      <c r="G58" s="4244">
        <v>45506</v>
      </c>
      <c r="H58" s="1394">
        <f t="shared" si="0"/>
        <v>16.399999999999999</v>
      </c>
      <c r="I58" s="1395">
        <f t="shared" si="26"/>
        <v>62732.83</v>
      </c>
      <c r="J58" s="4243">
        <v>13</v>
      </c>
      <c r="K58" s="4244">
        <v>48829</v>
      </c>
      <c r="L58" s="4246">
        <f t="shared" si="19"/>
        <v>29.4</v>
      </c>
      <c r="M58" s="5268">
        <f t="shared" si="27"/>
        <v>111561.83</v>
      </c>
      <c r="N58" s="4243">
        <v>11</v>
      </c>
      <c r="O58" s="4244">
        <v>41938</v>
      </c>
      <c r="P58" s="1444">
        <f t="shared" si="55"/>
        <v>40.4</v>
      </c>
      <c r="Q58" s="1444">
        <f t="shared" si="28"/>
        <v>153499.83000000002</v>
      </c>
      <c r="R58" s="4243">
        <v>10</v>
      </c>
      <c r="S58" s="4244">
        <v>38260.080000000002</v>
      </c>
      <c r="T58" s="1444">
        <f t="shared" si="2"/>
        <v>50.4</v>
      </c>
      <c r="U58" s="1444">
        <f t="shared" si="29"/>
        <v>191759.91</v>
      </c>
      <c r="V58" s="4243">
        <v>10</v>
      </c>
      <c r="W58" s="4244">
        <v>39261.86</v>
      </c>
      <c r="X58" s="4246">
        <f t="shared" si="3"/>
        <v>31</v>
      </c>
      <c r="Y58" s="5269">
        <f t="shared" si="4"/>
        <v>119459.94</v>
      </c>
      <c r="Z58" s="4495">
        <f t="shared" si="5"/>
        <v>60.4</v>
      </c>
      <c r="AA58" s="5196">
        <f t="shared" si="30"/>
        <v>231021.77000000002</v>
      </c>
      <c r="AB58" s="4243">
        <v>6</v>
      </c>
      <c r="AC58" s="4244">
        <v>22604</v>
      </c>
      <c r="AD58" s="6276">
        <f t="shared" si="6"/>
        <v>66.400000000000006</v>
      </c>
      <c r="AE58" s="6203">
        <f t="shared" si="31"/>
        <v>253625.77000000002</v>
      </c>
      <c r="AF58" s="6287">
        <v>10</v>
      </c>
      <c r="AG58" s="4244">
        <v>38771.83</v>
      </c>
      <c r="AH58" s="4245">
        <f t="shared" si="147"/>
        <v>76.400000000000006</v>
      </c>
      <c r="AI58" s="1444">
        <f t="shared" si="23"/>
        <v>292397.60000000003</v>
      </c>
      <c r="AJ58" s="4243">
        <v>8</v>
      </c>
      <c r="AK58" s="4244">
        <v>35304.04</v>
      </c>
      <c r="AL58" s="4246">
        <f t="shared" si="148"/>
        <v>24</v>
      </c>
      <c r="AM58" s="5268">
        <f t="shared" si="9"/>
        <v>96679.87</v>
      </c>
      <c r="AN58" s="4245">
        <f t="shared" si="141"/>
        <v>84.4</v>
      </c>
      <c r="AO58" s="1444">
        <f t="shared" si="34"/>
        <v>327701.64</v>
      </c>
      <c r="AP58" s="4243">
        <v>10</v>
      </c>
      <c r="AQ58" s="4244">
        <v>39805.569999999992</v>
      </c>
      <c r="AR58" s="4245">
        <f t="shared" si="149"/>
        <v>94.4</v>
      </c>
      <c r="AS58" s="1444">
        <f t="shared" si="36"/>
        <v>367507.21</v>
      </c>
      <c r="AT58" s="4243">
        <v>5.5</v>
      </c>
      <c r="AU58" s="4244">
        <v>20408.048947368421</v>
      </c>
      <c r="AV58" s="4245">
        <f t="shared" si="150"/>
        <v>99.9</v>
      </c>
      <c r="AW58" s="1444">
        <f t="shared" si="38"/>
        <v>387915.25894736842</v>
      </c>
      <c r="AX58" s="4243">
        <v>8.4</v>
      </c>
      <c r="AY58" s="4244">
        <v>33604.82</v>
      </c>
      <c r="AZ58" s="4246">
        <f t="shared" si="151"/>
        <v>23.9</v>
      </c>
      <c r="BA58" s="5269">
        <f t="shared" si="14"/>
        <v>93818.438947368413</v>
      </c>
      <c r="BB58" s="4247">
        <f t="shared" si="152"/>
        <v>47.9</v>
      </c>
      <c r="BC58" s="5196">
        <f t="shared" si="16"/>
        <v>190498.30894736841</v>
      </c>
      <c r="BD58" s="1394">
        <f t="shared" si="153"/>
        <v>108.30000000000001</v>
      </c>
      <c r="BE58" s="1444">
        <f t="shared" si="18"/>
        <v>421520.07894736843</v>
      </c>
      <c r="BF58" s="1137"/>
      <c r="BG58" s="1137"/>
      <c r="BH58" s="502"/>
      <c r="BI58" s="502"/>
      <c r="BJ58" s="502"/>
      <c r="BQ58" s="502"/>
      <c r="BR58" s="502"/>
      <c r="BS58" s="502"/>
      <c r="BT58" s="502"/>
      <c r="BU58" s="502"/>
      <c r="BV58" s="502"/>
      <c r="BW58" s="502"/>
      <c r="BX58" s="502"/>
      <c r="BY58" s="502"/>
      <c r="BZ58" s="502"/>
      <c r="CA58" s="502"/>
      <c r="CB58" s="502"/>
    </row>
    <row r="59" spans="2:80" s="1270" customFormat="1" ht="21.95" customHeight="1" thickBot="1" x14ac:dyDescent="0.3">
      <c r="B59" s="7999"/>
      <c r="C59" s="7650" t="s">
        <v>2348</v>
      </c>
      <c r="D59" s="7651">
        <v>2.6</v>
      </c>
      <c r="E59" s="7652">
        <v>9753.33</v>
      </c>
      <c r="F59" s="7651"/>
      <c r="G59" s="7652"/>
      <c r="H59" s="1394"/>
      <c r="I59" s="1395"/>
      <c r="J59" s="7651"/>
      <c r="K59" s="7652"/>
      <c r="L59" s="7653"/>
      <c r="M59" s="5268"/>
      <c r="N59" s="7651"/>
      <c r="O59" s="7652"/>
      <c r="P59" s="1444"/>
      <c r="Q59" s="1444"/>
      <c r="R59" s="7651"/>
      <c r="S59" s="7652"/>
      <c r="T59" s="1444"/>
      <c r="U59" s="1444"/>
      <c r="V59" s="7651"/>
      <c r="W59" s="7652"/>
      <c r="X59" s="4246"/>
      <c r="Y59" s="7654"/>
      <c r="Z59" s="4495"/>
      <c r="AA59" s="7655"/>
      <c r="AB59" s="7651"/>
      <c r="AC59" s="7652"/>
      <c r="AD59" s="7656"/>
      <c r="AE59" s="7657"/>
      <c r="AF59" s="7658"/>
      <c r="AG59" s="7652"/>
      <c r="AH59" s="4245"/>
      <c r="AI59" s="1444"/>
      <c r="AJ59" s="7651"/>
      <c r="AK59" s="7652"/>
      <c r="AL59" s="4246"/>
      <c r="AM59" s="5268"/>
      <c r="AN59" s="4245"/>
      <c r="AO59" s="1444"/>
      <c r="AP59" s="7651"/>
      <c r="AQ59" s="7652"/>
      <c r="AR59" s="4245"/>
      <c r="AS59" s="1444"/>
      <c r="AT59" s="7651"/>
      <c r="AU59" s="7652"/>
      <c r="AV59" s="4245"/>
      <c r="AW59" s="1444"/>
      <c r="AX59" s="7651"/>
      <c r="AY59" s="7652"/>
      <c r="AZ59" s="4246"/>
      <c r="BA59" s="7654"/>
      <c r="BB59" s="4247"/>
      <c r="BC59" s="7655"/>
      <c r="BD59" s="1394"/>
      <c r="BE59" s="1444"/>
      <c r="BF59" s="1137"/>
      <c r="BG59" s="1137"/>
      <c r="BH59" s="502"/>
      <c r="BI59" s="502"/>
      <c r="BJ59" s="502"/>
      <c r="BQ59" s="502"/>
      <c r="BR59" s="502"/>
      <c r="BS59" s="502"/>
      <c r="BT59" s="502"/>
      <c r="BU59" s="502"/>
      <c r="BV59" s="502"/>
      <c r="BW59" s="502"/>
      <c r="BX59" s="502"/>
      <c r="BY59" s="502"/>
      <c r="BZ59" s="502"/>
      <c r="CA59" s="502"/>
      <c r="CB59" s="502"/>
    </row>
    <row r="60" spans="2:80" s="1270" customFormat="1" ht="21.95" customHeight="1" thickBot="1" x14ac:dyDescent="0.3">
      <c r="B60" s="8000"/>
      <c r="C60" s="5296" t="s">
        <v>1760</v>
      </c>
      <c r="D60" s="5297">
        <v>0</v>
      </c>
      <c r="E60" s="5298">
        <v>0</v>
      </c>
      <c r="F60" s="5297">
        <v>0</v>
      </c>
      <c r="G60" s="5298">
        <v>0</v>
      </c>
      <c r="H60" s="1394">
        <f t="shared" si="0"/>
        <v>0</v>
      </c>
      <c r="I60" s="1395">
        <f t="shared" si="26"/>
        <v>0</v>
      </c>
      <c r="J60" s="5297">
        <v>0</v>
      </c>
      <c r="K60" s="5298">
        <v>0</v>
      </c>
      <c r="L60" s="5299">
        <f t="shared" si="19"/>
        <v>0</v>
      </c>
      <c r="M60" s="5268">
        <f t="shared" si="27"/>
        <v>0</v>
      </c>
      <c r="N60" s="5297">
        <v>0</v>
      </c>
      <c r="O60" s="5298">
        <v>0</v>
      </c>
      <c r="P60" s="1444">
        <f t="shared" si="55"/>
        <v>0</v>
      </c>
      <c r="Q60" s="1444">
        <f t="shared" si="28"/>
        <v>0</v>
      </c>
      <c r="R60" s="5297">
        <v>0</v>
      </c>
      <c r="S60" s="5298">
        <v>0</v>
      </c>
      <c r="T60" s="1444">
        <f t="shared" si="2"/>
        <v>0</v>
      </c>
      <c r="U60" s="1444">
        <f t="shared" si="29"/>
        <v>0</v>
      </c>
      <c r="V60" s="5297">
        <v>0</v>
      </c>
      <c r="W60" s="5298">
        <v>0</v>
      </c>
      <c r="X60" s="4246">
        <f t="shared" si="3"/>
        <v>0</v>
      </c>
      <c r="Y60" s="5269">
        <f t="shared" si="4"/>
        <v>0</v>
      </c>
      <c r="Z60" s="4495">
        <f t="shared" si="5"/>
        <v>0</v>
      </c>
      <c r="AA60" s="5196">
        <f t="shared" si="30"/>
        <v>0</v>
      </c>
      <c r="AB60" s="5297">
        <v>0</v>
      </c>
      <c r="AC60" s="5298">
        <v>0</v>
      </c>
      <c r="AD60" s="6277">
        <f t="shared" si="6"/>
        <v>0</v>
      </c>
      <c r="AE60" s="6203">
        <f t="shared" si="31"/>
        <v>0</v>
      </c>
      <c r="AF60" s="6288">
        <v>0</v>
      </c>
      <c r="AG60" s="5298">
        <v>0</v>
      </c>
      <c r="AH60" s="4245">
        <f t="shared" si="147"/>
        <v>0</v>
      </c>
      <c r="AI60" s="1444">
        <f t="shared" si="23"/>
        <v>0</v>
      </c>
      <c r="AJ60" s="5297">
        <v>0</v>
      </c>
      <c r="AK60" s="5298">
        <v>0</v>
      </c>
      <c r="AL60" s="4246">
        <f t="shared" si="148"/>
        <v>0</v>
      </c>
      <c r="AM60" s="5268">
        <f t="shared" si="9"/>
        <v>0</v>
      </c>
      <c r="AN60" s="4245">
        <f t="shared" si="141"/>
        <v>0</v>
      </c>
      <c r="AO60" s="1444">
        <f t="shared" si="34"/>
        <v>0</v>
      </c>
      <c r="AP60" s="5297">
        <v>0</v>
      </c>
      <c r="AQ60" s="5298">
        <v>0</v>
      </c>
      <c r="AR60" s="4245">
        <f t="shared" si="149"/>
        <v>0</v>
      </c>
      <c r="AS60" s="1444">
        <f t="shared" si="36"/>
        <v>0</v>
      </c>
      <c r="AT60" s="5297">
        <v>0</v>
      </c>
      <c r="AU60" s="5298">
        <v>0</v>
      </c>
      <c r="AV60" s="4245">
        <f t="shared" si="150"/>
        <v>0</v>
      </c>
      <c r="AW60" s="1444">
        <f t="shared" si="38"/>
        <v>0</v>
      </c>
      <c r="AX60" s="5297">
        <v>0</v>
      </c>
      <c r="AY60" s="5298">
        <v>0</v>
      </c>
      <c r="AZ60" s="4246">
        <f t="shared" si="151"/>
        <v>0</v>
      </c>
      <c r="BA60" s="5269">
        <f t="shared" si="14"/>
        <v>0</v>
      </c>
      <c r="BB60" s="4247">
        <f t="shared" si="152"/>
        <v>0</v>
      </c>
      <c r="BC60" s="5196">
        <f t="shared" si="16"/>
        <v>0</v>
      </c>
      <c r="BD60" s="1394">
        <f t="shared" si="153"/>
        <v>0</v>
      </c>
      <c r="BE60" s="1444">
        <f t="shared" si="18"/>
        <v>0</v>
      </c>
      <c r="BF60" s="1137"/>
      <c r="BG60" s="1137"/>
      <c r="BH60" s="502"/>
      <c r="BI60" s="502"/>
      <c r="BJ60" s="502"/>
      <c r="BQ60" s="502"/>
      <c r="BR60" s="502"/>
      <c r="BS60" s="502"/>
      <c r="BT60" s="502"/>
      <c r="BU60" s="502"/>
      <c r="BV60" s="502"/>
      <c r="BW60" s="502"/>
      <c r="BX60" s="502"/>
      <c r="BY60" s="502"/>
      <c r="BZ60" s="502"/>
      <c r="CA60" s="502"/>
      <c r="CB60" s="502"/>
    </row>
    <row r="61" spans="2:80" s="1270" customFormat="1" ht="21.95" customHeight="1" thickBot="1" x14ac:dyDescent="0.3">
      <c r="B61" s="7969" t="s">
        <v>1199</v>
      </c>
      <c r="C61" s="4236" t="s">
        <v>1188</v>
      </c>
      <c r="D61" s="4237">
        <v>5</v>
      </c>
      <c r="E61" s="4238">
        <v>19130.7</v>
      </c>
      <c r="F61" s="4237">
        <v>5.6</v>
      </c>
      <c r="G61" s="4238">
        <v>20685</v>
      </c>
      <c r="H61" s="1394">
        <f t="shared" si="0"/>
        <v>10.6</v>
      </c>
      <c r="I61" s="1395">
        <f t="shared" si="26"/>
        <v>39815.699999999997</v>
      </c>
      <c r="J61" s="4237">
        <v>6.8</v>
      </c>
      <c r="K61" s="4238">
        <v>24848</v>
      </c>
      <c r="L61" s="4239">
        <f t="shared" si="19"/>
        <v>17.399999999999999</v>
      </c>
      <c r="M61" s="5268">
        <f t="shared" si="27"/>
        <v>64663.7</v>
      </c>
      <c r="N61" s="4237">
        <v>6.4</v>
      </c>
      <c r="O61" s="4238">
        <v>24200.09</v>
      </c>
      <c r="P61" s="1444">
        <f t="shared" si="55"/>
        <v>23.799999999999997</v>
      </c>
      <c r="Q61" s="1444">
        <f t="shared" si="28"/>
        <v>88863.79</v>
      </c>
      <c r="R61" s="4237">
        <v>6</v>
      </c>
      <c r="S61" s="4238">
        <v>23022</v>
      </c>
      <c r="T61" s="1444">
        <f t="shared" si="2"/>
        <v>29.799999999999997</v>
      </c>
      <c r="U61" s="1444">
        <f t="shared" si="29"/>
        <v>111885.79</v>
      </c>
      <c r="V61" s="4237">
        <v>7</v>
      </c>
      <c r="W61" s="4238">
        <v>26804.1</v>
      </c>
      <c r="X61" s="4241">
        <f t="shared" si="3"/>
        <v>19.399999999999999</v>
      </c>
      <c r="Y61" s="5269">
        <f t="shared" si="4"/>
        <v>74026.19</v>
      </c>
      <c r="Z61" s="4242">
        <f t="shared" si="5"/>
        <v>36.799999999999997</v>
      </c>
      <c r="AA61" s="5196">
        <f t="shared" si="30"/>
        <v>138689.89000000001</v>
      </c>
      <c r="AB61" s="4237">
        <v>5.4</v>
      </c>
      <c r="AC61" s="4238">
        <v>20614.89</v>
      </c>
      <c r="AD61" s="6278">
        <f t="shared" si="6"/>
        <v>42.199999999999996</v>
      </c>
      <c r="AE61" s="6203">
        <f t="shared" si="31"/>
        <v>159304.78</v>
      </c>
      <c r="AF61" s="1372">
        <v>5.5</v>
      </c>
      <c r="AG61" s="4238">
        <v>20561.810000000001</v>
      </c>
      <c r="AH61" s="4240">
        <f t="shared" si="147"/>
        <v>47.699999999999996</v>
      </c>
      <c r="AI61" s="1444">
        <f t="shared" si="23"/>
        <v>179866.59</v>
      </c>
      <c r="AJ61" s="4237">
        <v>4.9000000000000004</v>
      </c>
      <c r="AK61" s="4238">
        <v>18806.89</v>
      </c>
      <c r="AL61" s="4241">
        <f t="shared" si="148"/>
        <v>15.8</v>
      </c>
      <c r="AM61" s="5268">
        <f t="shared" si="9"/>
        <v>59983.59</v>
      </c>
      <c r="AN61" s="4240">
        <f t="shared" si="141"/>
        <v>52.599999999999994</v>
      </c>
      <c r="AO61" s="1444">
        <f t="shared" si="34"/>
        <v>198673.48</v>
      </c>
      <c r="AP61" s="4237">
        <v>5.5</v>
      </c>
      <c r="AQ61" s="4238">
        <v>21318.38</v>
      </c>
      <c r="AR61" s="4240">
        <f t="shared" si="149"/>
        <v>58.099999999999994</v>
      </c>
      <c r="AS61" s="1444">
        <f t="shared" si="36"/>
        <v>219991.86000000002</v>
      </c>
      <c r="AT61" s="4237">
        <v>7.2</v>
      </c>
      <c r="AU61" s="4238">
        <v>27361.57</v>
      </c>
      <c r="AV61" s="4240">
        <f t="shared" si="150"/>
        <v>65.3</v>
      </c>
      <c r="AW61" s="1444">
        <f t="shared" si="38"/>
        <v>247353.43</v>
      </c>
      <c r="AX61" s="4237">
        <v>5.5</v>
      </c>
      <c r="AY61" s="4238">
        <v>21284.87</v>
      </c>
      <c r="AZ61" s="4241">
        <f t="shared" si="151"/>
        <v>18.2</v>
      </c>
      <c r="BA61" s="5269">
        <f t="shared" si="14"/>
        <v>69964.819999999992</v>
      </c>
      <c r="BB61" s="4242">
        <f t="shared" si="152"/>
        <v>34</v>
      </c>
      <c r="BC61" s="5196">
        <f t="shared" si="16"/>
        <v>129948.40999999999</v>
      </c>
      <c r="BD61" s="1394">
        <f t="shared" si="153"/>
        <v>70.8</v>
      </c>
      <c r="BE61" s="1444">
        <f t="shared" si="18"/>
        <v>268638.3</v>
      </c>
      <c r="BF61" s="1137"/>
      <c r="BG61" s="1137"/>
      <c r="BH61" s="502"/>
      <c r="BI61" s="502"/>
      <c r="BJ61" s="502"/>
      <c r="BQ61" s="502"/>
      <c r="BR61" s="502"/>
      <c r="BS61" s="502"/>
      <c r="BT61" s="502"/>
      <c r="BU61" s="502"/>
      <c r="BV61" s="502"/>
      <c r="BW61" s="502"/>
      <c r="BX61" s="502"/>
      <c r="BY61" s="502"/>
      <c r="BZ61" s="502"/>
      <c r="CA61" s="502"/>
      <c r="CB61" s="502"/>
    </row>
    <row r="62" spans="2:80" s="1270" customFormat="1" ht="21.95" customHeight="1" thickBot="1" x14ac:dyDescent="0.3">
      <c r="B62" s="7969"/>
      <c r="C62" s="4236" t="s">
        <v>2020</v>
      </c>
      <c r="D62" s="4237">
        <v>2</v>
      </c>
      <c r="E62" s="4238">
        <v>7290.33</v>
      </c>
      <c r="F62" s="4237"/>
      <c r="G62" s="4238"/>
      <c r="H62" s="1394"/>
      <c r="I62" s="1395">
        <f t="shared" si="26"/>
        <v>7290.33</v>
      </c>
      <c r="J62" s="4237"/>
      <c r="K62" s="4238"/>
      <c r="L62" s="4239"/>
      <c r="M62" s="5268">
        <f t="shared" si="27"/>
        <v>7290.33</v>
      </c>
      <c r="N62" s="4237">
        <v>1</v>
      </c>
      <c r="O62" s="4238">
        <v>3959.9</v>
      </c>
      <c r="P62" s="1444">
        <f t="shared" ref="P62" si="154">L62+N62</f>
        <v>1</v>
      </c>
      <c r="Q62" s="1444">
        <f t="shared" si="28"/>
        <v>11250.23</v>
      </c>
      <c r="R62" s="4237">
        <v>2</v>
      </c>
      <c r="S62" s="4238">
        <v>7316</v>
      </c>
      <c r="T62" s="1444">
        <f t="shared" si="2"/>
        <v>3</v>
      </c>
      <c r="U62" s="1444">
        <f t="shared" si="29"/>
        <v>18566.23</v>
      </c>
      <c r="V62" s="4237">
        <v>0</v>
      </c>
      <c r="W62" s="4238">
        <v>0</v>
      </c>
      <c r="X62" s="4241">
        <f t="shared" si="3"/>
        <v>3</v>
      </c>
      <c r="Y62" s="5269">
        <f t="shared" si="4"/>
        <v>11275.9</v>
      </c>
      <c r="Z62" s="4242">
        <f t="shared" ref="Z62:Z70" si="155">L62+X62</f>
        <v>3</v>
      </c>
      <c r="AA62" s="5196">
        <f t="shared" si="30"/>
        <v>18566.23</v>
      </c>
      <c r="AB62" s="4237">
        <v>0</v>
      </c>
      <c r="AC62" s="4238">
        <v>0</v>
      </c>
      <c r="AD62" s="6278">
        <f t="shared" si="6"/>
        <v>3</v>
      </c>
      <c r="AE62" s="6203">
        <f t="shared" si="31"/>
        <v>18566.23</v>
      </c>
      <c r="AF62" s="1372">
        <v>0</v>
      </c>
      <c r="AG62" s="4238">
        <v>0</v>
      </c>
      <c r="AH62" s="4240"/>
      <c r="AI62" s="1444">
        <f t="shared" si="23"/>
        <v>18566.23</v>
      </c>
      <c r="AJ62" s="4237"/>
      <c r="AK62" s="4238">
        <v>0</v>
      </c>
      <c r="AL62" s="4241"/>
      <c r="AM62" s="5268">
        <f t="shared" si="9"/>
        <v>0</v>
      </c>
      <c r="AN62" s="4240"/>
      <c r="AO62" s="1444">
        <f t="shared" si="34"/>
        <v>18566.23</v>
      </c>
      <c r="AP62" s="4237">
        <v>0</v>
      </c>
      <c r="AQ62" s="4238">
        <v>0</v>
      </c>
      <c r="AR62" s="4240"/>
      <c r="AS62" s="1444">
        <f t="shared" si="36"/>
        <v>18566.23</v>
      </c>
      <c r="AT62" s="4237">
        <v>0</v>
      </c>
      <c r="AU62" s="4238">
        <v>0</v>
      </c>
      <c r="AV62" s="4240"/>
      <c r="AW62" s="1444">
        <f t="shared" si="38"/>
        <v>18566.23</v>
      </c>
      <c r="AX62" s="4237">
        <v>0</v>
      </c>
      <c r="AY62" s="4238">
        <v>0</v>
      </c>
      <c r="AZ62" s="4241"/>
      <c r="BA62" s="5269">
        <f t="shared" si="14"/>
        <v>0</v>
      </c>
      <c r="BB62" s="4242"/>
      <c r="BC62" s="5196">
        <f t="shared" si="16"/>
        <v>0</v>
      </c>
      <c r="BD62" s="1394"/>
      <c r="BE62" s="1444">
        <f t="shared" si="18"/>
        <v>18566.23</v>
      </c>
      <c r="BF62" s="1137"/>
      <c r="BG62" s="1137"/>
      <c r="BH62" s="502"/>
      <c r="BI62" s="502"/>
      <c r="BJ62" s="502"/>
      <c r="BQ62" s="502"/>
      <c r="BR62" s="502"/>
      <c r="BS62" s="502"/>
      <c r="BT62" s="502"/>
      <c r="BU62" s="502"/>
      <c r="BV62" s="502"/>
      <c r="BW62" s="502"/>
      <c r="BX62" s="502"/>
      <c r="BY62" s="502"/>
      <c r="BZ62" s="502"/>
      <c r="CA62" s="502"/>
      <c r="CB62" s="502"/>
    </row>
    <row r="63" spans="2:80" s="1270" customFormat="1" ht="21.95" customHeight="1" thickBot="1" x14ac:dyDescent="0.3">
      <c r="B63" s="7970"/>
      <c r="C63" s="5300" t="s">
        <v>1189</v>
      </c>
      <c r="D63" s="5192">
        <v>0</v>
      </c>
      <c r="E63" s="5194">
        <v>0</v>
      </c>
      <c r="F63" s="5192">
        <v>1.4</v>
      </c>
      <c r="G63" s="5194">
        <v>5659</v>
      </c>
      <c r="H63" s="1394">
        <f t="shared" si="0"/>
        <v>1.4</v>
      </c>
      <c r="I63" s="1395">
        <f t="shared" si="26"/>
        <v>5659</v>
      </c>
      <c r="J63" s="5192">
        <v>1.2</v>
      </c>
      <c r="K63" s="5194">
        <v>4510</v>
      </c>
      <c r="L63" s="5195">
        <f t="shared" si="19"/>
        <v>2.5999999999999996</v>
      </c>
      <c r="M63" s="5268">
        <f t="shared" si="27"/>
        <v>10169</v>
      </c>
      <c r="N63" s="5192">
        <v>1</v>
      </c>
      <c r="O63" s="5194">
        <v>3313.04</v>
      </c>
      <c r="P63" s="1444">
        <f t="shared" si="55"/>
        <v>3.5999999999999996</v>
      </c>
      <c r="Q63" s="1444">
        <f t="shared" si="28"/>
        <v>13482.04</v>
      </c>
      <c r="R63" s="5192">
        <v>1</v>
      </c>
      <c r="S63" s="5194">
        <v>3787</v>
      </c>
      <c r="T63" s="1444">
        <f t="shared" si="2"/>
        <v>4.5999999999999996</v>
      </c>
      <c r="U63" s="1444">
        <f t="shared" si="29"/>
        <v>17269.04</v>
      </c>
      <c r="V63" s="5192">
        <v>1</v>
      </c>
      <c r="W63" s="5194">
        <v>3992.12</v>
      </c>
      <c r="X63" s="5198">
        <f t="shared" si="3"/>
        <v>3</v>
      </c>
      <c r="Y63" s="5269">
        <f t="shared" si="4"/>
        <v>11092.16</v>
      </c>
      <c r="Z63" s="4242">
        <f t="shared" si="155"/>
        <v>5.6</v>
      </c>
      <c r="AA63" s="5196">
        <f t="shared" si="30"/>
        <v>21261.16</v>
      </c>
      <c r="AB63" s="5192">
        <v>0</v>
      </c>
      <c r="AC63" s="5194">
        <v>0</v>
      </c>
      <c r="AD63" s="6269">
        <f t="shared" si="6"/>
        <v>5.6</v>
      </c>
      <c r="AE63" s="6203">
        <f t="shared" si="31"/>
        <v>21261.16</v>
      </c>
      <c r="AF63" s="6261">
        <v>0.5</v>
      </c>
      <c r="AG63" s="5194">
        <v>2095.94</v>
      </c>
      <c r="AH63" s="1394">
        <f t="shared" si="147"/>
        <v>6.1</v>
      </c>
      <c r="AI63" s="1444">
        <f t="shared" si="23"/>
        <v>23357.1</v>
      </c>
      <c r="AJ63" s="5192">
        <v>2</v>
      </c>
      <c r="AK63" s="5194">
        <v>0</v>
      </c>
      <c r="AL63" s="5198">
        <f t="shared" si="148"/>
        <v>2.5</v>
      </c>
      <c r="AM63" s="5268">
        <f t="shared" si="9"/>
        <v>2095.94</v>
      </c>
      <c r="AN63" s="1394">
        <f t="shared" si="141"/>
        <v>8.1</v>
      </c>
      <c r="AO63" s="1444">
        <f t="shared" si="34"/>
        <v>23357.1</v>
      </c>
      <c r="AP63" s="5192">
        <v>0</v>
      </c>
      <c r="AQ63" s="5194">
        <v>0</v>
      </c>
      <c r="AR63" s="1394">
        <f t="shared" si="149"/>
        <v>8.1</v>
      </c>
      <c r="AS63" s="1444">
        <f t="shared" si="36"/>
        <v>23357.1</v>
      </c>
      <c r="AT63" s="5192">
        <v>0</v>
      </c>
      <c r="AU63" s="5194">
        <v>0</v>
      </c>
      <c r="AV63" s="1394">
        <f t="shared" si="150"/>
        <v>8.1</v>
      </c>
      <c r="AW63" s="1444">
        <f t="shared" si="38"/>
        <v>23357.1</v>
      </c>
      <c r="AX63" s="5192">
        <v>1</v>
      </c>
      <c r="AY63" s="5194">
        <v>3909.97</v>
      </c>
      <c r="AZ63" s="5198">
        <f t="shared" si="151"/>
        <v>1</v>
      </c>
      <c r="BA63" s="5269">
        <f t="shared" si="14"/>
        <v>3909.97</v>
      </c>
      <c r="BB63" s="5199">
        <f t="shared" si="152"/>
        <v>3.5</v>
      </c>
      <c r="BC63" s="5196">
        <f t="shared" si="16"/>
        <v>6005.91</v>
      </c>
      <c r="BD63" s="1394">
        <f t="shared" si="153"/>
        <v>9.1</v>
      </c>
      <c r="BE63" s="1444">
        <f t="shared" si="18"/>
        <v>27267.07</v>
      </c>
      <c r="BF63" s="1137"/>
      <c r="BG63" s="1137"/>
      <c r="BH63" s="502"/>
      <c r="BI63" s="502"/>
      <c r="BJ63" s="502"/>
      <c r="BQ63" s="502"/>
      <c r="BR63" s="502"/>
      <c r="BS63" s="502"/>
      <c r="BT63" s="502"/>
      <c r="BU63" s="502"/>
      <c r="BV63" s="502"/>
      <c r="BW63" s="502"/>
      <c r="BX63" s="502"/>
      <c r="BY63" s="502"/>
      <c r="BZ63" s="502"/>
      <c r="CA63" s="502"/>
      <c r="CB63" s="502"/>
    </row>
    <row r="64" spans="2:80" s="1270" customFormat="1" ht="21.95" customHeight="1" thickBot="1" x14ac:dyDescent="0.3">
      <c r="B64" s="7970"/>
      <c r="C64" s="5300" t="s">
        <v>1190</v>
      </c>
      <c r="D64" s="5192">
        <v>1</v>
      </c>
      <c r="E64" s="5194">
        <v>3849.69</v>
      </c>
      <c r="F64" s="5192">
        <v>0</v>
      </c>
      <c r="G64" s="5194">
        <v>0</v>
      </c>
      <c r="H64" s="1394">
        <f t="shared" si="0"/>
        <v>1</v>
      </c>
      <c r="I64" s="1395">
        <f t="shared" si="26"/>
        <v>3849.69</v>
      </c>
      <c r="J64" s="5192">
        <v>1</v>
      </c>
      <c r="K64" s="5194">
        <v>3625</v>
      </c>
      <c r="L64" s="5195">
        <f t="shared" si="19"/>
        <v>2</v>
      </c>
      <c r="M64" s="5268">
        <f t="shared" si="27"/>
        <v>7474.6900000000005</v>
      </c>
      <c r="N64" s="5192">
        <v>1</v>
      </c>
      <c r="O64" s="5194">
        <v>3739.07</v>
      </c>
      <c r="P64" s="1444">
        <f t="shared" si="55"/>
        <v>3</v>
      </c>
      <c r="Q64" s="1444">
        <f t="shared" si="28"/>
        <v>11213.76</v>
      </c>
      <c r="R64" s="5192">
        <v>0</v>
      </c>
      <c r="S64" s="5194">
        <v>0</v>
      </c>
      <c r="T64" s="1444">
        <f t="shared" si="2"/>
        <v>3</v>
      </c>
      <c r="U64" s="1444">
        <f t="shared" si="29"/>
        <v>11213.76</v>
      </c>
      <c r="V64" s="5192"/>
      <c r="W64" s="5194">
        <v>67.2</v>
      </c>
      <c r="X64" s="5198">
        <f t="shared" si="3"/>
        <v>1</v>
      </c>
      <c r="Y64" s="5269">
        <f t="shared" si="4"/>
        <v>3806.27</v>
      </c>
      <c r="Z64" s="4242">
        <f t="shared" si="155"/>
        <v>3</v>
      </c>
      <c r="AA64" s="5196">
        <f t="shared" si="30"/>
        <v>11280.960000000001</v>
      </c>
      <c r="AB64" s="5192">
        <v>2</v>
      </c>
      <c r="AC64" s="5194">
        <v>7686.42</v>
      </c>
      <c r="AD64" s="6269">
        <f t="shared" si="6"/>
        <v>5</v>
      </c>
      <c r="AE64" s="6203">
        <f t="shared" si="31"/>
        <v>18967.38</v>
      </c>
      <c r="AF64" s="6261">
        <v>2</v>
      </c>
      <c r="AG64" s="5194">
        <v>7748.16</v>
      </c>
      <c r="AH64" s="1394">
        <f t="shared" si="147"/>
        <v>7</v>
      </c>
      <c r="AI64" s="1444">
        <f t="shared" si="23"/>
        <v>26715.54</v>
      </c>
      <c r="AJ64" s="5192">
        <v>0</v>
      </c>
      <c r="AK64" s="5194">
        <v>3998.8</v>
      </c>
      <c r="AL64" s="5198">
        <f t="shared" si="148"/>
        <v>4</v>
      </c>
      <c r="AM64" s="5268">
        <f t="shared" si="9"/>
        <v>19433.38</v>
      </c>
      <c r="AN64" s="1394">
        <f t="shared" si="141"/>
        <v>7</v>
      </c>
      <c r="AO64" s="1444">
        <f t="shared" si="34"/>
        <v>30714.339999999997</v>
      </c>
      <c r="AP64" s="5192">
        <v>2</v>
      </c>
      <c r="AQ64" s="5194">
        <v>7915.72</v>
      </c>
      <c r="AR64" s="1394">
        <f t="shared" si="149"/>
        <v>9</v>
      </c>
      <c r="AS64" s="1444">
        <f t="shared" si="36"/>
        <v>38630.06</v>
      </c>
      <c r="AT64" s="5192">
        <v>1.5</v>
      </c>
      <c r="AU64" s="5194">
        <v>5500.59</v>
      </c>
      <c r="AV64" s="1394">
        <f t="shared" si="150"/>
        <v>10.5</v>
      </c>
      <c r="AW64" s="1444">
        <f t="shared" si="38"/>
        <v>44130.65</v>
      </c>
      <c r="AX64" s="5192">
        <v>1</v>
      </c>
      <c r="AY64" s="5194">
        <v>3797.69</v>
      </c>
      <c r="AZ64" s="5198">
        <f t="shared" si="151"/>
        <v>4.5</v>
      </c>
      <c r="BA64" s="5269">
        <f t="shared" si="14"/>
        <v>17214</v>
      </c>
      <c r="BB64" s="5199">
        <f t="shared" si="152"/>
        <v>8.5</v>
      </c>
      <c r="BC64" s="5196">
        <f t="shared" si="16"/>
        <v>36647.380000000005</v>
      </c>
      <c r="BD64" s="1394">
        <f t="shared" si="153"/>
        <v>11.5</v>
      </c>
      <c r="BE64" s="1444">
        <f t="shared" si="18"/>
        <v>47928.340000000004</v>
      </c>
      <c r="BF64" s="1137"/>
      <c r="BG64" s="1137"/>
      <c r="BH64" s="502"/>
      <c r="BI64" s="502"/>
      <c r="BJ64" s="502"/>
      <c r="BQ64" s="502"/>
      <c r="BR64" s="502"/>
      <c r="BS64" s="502"/>
      <c r="BT64" s="502"/>
      <c r="BU64" s="502"/>
      <c r="BV64" s="502"/>
      <c r="BW64" s="502"/>
      <c r="BX64" s="502"/>
      <c r="BY64" s="502"/>
      <c r="BZ64" s="502"/>
      <c r="CA64" s="502"/>
      <c r="CB64" s="502"/>
    </row>
    <row r="65" spans="2:80" s="1270" customFormat="1" ht="21.95" customHeight="1" thickBot="1" x14ac:dyDescent="0.3">
      <c r="B65" s="7970"/>
      <c r="C65" s="5300" t="s">
        <v>1235</v>
      </c>
      <c r="D65" s="5192">
        <v>0</v>
      </c>
      <c r="E65" s="5194">
        <v>0</v>
      </c>
      <c r="F65" s="5192"/>
      <c r="G65" s="5194"/>
      <c r="H65" s="1394">
        <f t="shared" si="0"/>
        <v>0</v>
      </c>
      <c r="I65" s="1395">
        <f t="shared" si="26"/>
        <v>0</v>
      </c>
      <c r="J65" s="5192"/>
      <c r="K65" s="5194"/>
      <c r="L65" s="5195">
        <f t="shared" si="19"/>
        <v>0</v>
      </c>
      <c r="M65" s="5268">
        <f t="shared" si="27"/>
        <v>0</v>
      </c>
      <c r="N65" s="5192">
        <v>0</v>
      </c>
      <c r="O65" s="5194">
        <v>0</v>
      </c>
      <c r="P65" s="1444">
        <f t="shared" si="55"/>
        <v>0</v>
      </c>
      <c r="Q65" s="1444">
        <f t="shared" si="28"/>
        <v>0</v>
      </c>
      <c r="R65" s="5192">
        <v>0</v>
      </c>
      <c r="S65" s="5194">
        <v>0</v>
      </c>
      <c r="T65" s="1444">
        <f t="shared" si="2"/>
        <v>0</v>
      </c>
      <c r="U65" s="1444">
        <f t="shared" si="29"/>
        <v>0</v>
      </c>
      <c r="V65" s="5192">
        <v>0</v>
      </c>
      <c r="W65" s="5194">
        <v>0</v>
      </c>
      <c r="X65" s="5198">
        <f t="shared" si="3"/>
        <v>0</v>
      </c>
      <c r="Y65" s="5269">
        <f t="shared" si="4"/>
        <v>0</v>
      </c>
      <c r="Z65" s="4242">
        <f t="shared" si="155"/>
        <v>0</v>
      </c>
      <c r="AA65" s="5196">
        <f t="shared" si="30"/>
        <v>0</v>
      </c>
      <c r="AB65" s="5192">
        <v>0</v>
      </c>
      <c r="AC65" s="5194">
        <v>0</v>
      </c>
      <c r="AD65" s="6269">
        <f t="shared" si="6"/>
        <v>0</v>
      </c>
      <c r="AE65" s="6203">
        <f t="shared" si="31"/>
        <v>0</v>
      </c>
      <c r="AF65" s="6261">
        <v>0</v>
      </c>
      <c r="AG65" s="5194">
        <v>0</v>
      </c>
      <c r="AH65" s="1394">
        <f t="shared" si="147"/>
        <v>0</v>
      </c>
      <c r="AI65" s="1444">
        <f t="shared" si="23"/>
        <v>0</v>
      </c>
      <c r="AJ65" s="5192">
        <v>0</v>
      </c>
      <c r="AK65" s="5194">
        <v>0</v>
      </c>
      <c r="AL65" s="5198">
        <f t="shared" si="148"/>
        <v>0</v>
      </c>
      <c r="AM65" s="5268">
        <f t="shared" si="9"/>
        <v>0</v>
      </c>
      <c r="AN65" s="1394">
        <f t="shared" ref="AN65:AN76" si="156">AH65+AJ65</f>
        <v>0</v>
      </c>
      <c r="AO65" s="1444">
        <f t="shared" si="34"/>
        <v>0</v>
      </c>
      <c r="AP65" s="5192">
        <v>0</v>
      </c>
      <c r="AQ65" s="5194">
        <v>0</v>
      </c>
      <c r="AR65" s="1394">
        <f t="shared" si="149"/>
        <v>0</v>
      </c>
      <c r="AS65" s="1444">
        <f t="shared" si="36"/>
        <v>0</v>
      </c>
      <c r="AT65" s="5192">
        <v>0</v>
      </c>
      <c r="AU65" s="5194">
        <v>0</v>
      </c>
      <c r="AV65" s="1394">
        <f t="shared" si="150"/>
        <v>0</v>
      </c>
      <c r="AW65" s="1444">
        <f t="shared" si="38"/>
        <v>0</v>
      </c>
      <c r="AX65" s="5192">
        <v>0</v>
      </c>
      <c r="AY65" s="5194">
        <v>0</v>
      </c>
      <c r="AZ65" s="5198">
        <f t="shared" si="151"/>
        <v>0</v>
      </c>
      <c r="BA65" s="5269">
        <f t="shared" si="14"/>
        <v>0</v>
      </c>
      <c r="BB65" s="5199">
        <f t="shared" si="152"/>
        <v>0</v>
      </c>
      <c r="BC65" s="5196">
        <f t="shared" si="16"/>
        <v>0</v>
      </c>
      <c r="BD65" s="1394">
        <f t="shared" si="153"/>
        <v>0</v>
      </c>
      <c r="BE65" s="1444">
        <f t="shared" si="18"/>
        <v>0</v>
      </c>
      <c r="BF65" s="1137"/>
      <c r="BG65" s="1137"/>
      <c r="BH65" s="502"/>
      <c r="BI65" s="502"/>
      <c r="BJ65" s="502"/>
      <c r="BQ65" s="502"/>
      <c r="BR65" s="502"/>
      <c r="BS65" s="502"/>
      <c r="BT65" s="502"/>
      <c r="BU65" s="502"/>
      <c r="BV65" s="502"/>
      <c r="BW65" s="502"/>
      <c r="BX65" s="502"/>
      <c r="BY65" s="502"/>
      <c r="BZ65" s="502"/>
      <c r="CA65" s="502"/>
      <c r="CB65" s="502"/>
    </row>
    <row r="66" spans="2:80" s="1270" customFormat="1" ht="21.95" customHeight="1" thickBot="1" x14ac:dyDescent="0.3">
      <c r="B66" s="7970"/>
      <c r="C66" s="5300" t="s">
        <v>1191</v>
      </c>
      <c r="D66" s="5192">
        <v>0</v>
      </c>
      <c r="E66" s="5194">
        <v>0</v>
      </c>
      <c r="F66" s="5192">
        <v>2</v>
      </c>
      <c r="G66" s="5194">
        <v>7436</v>
      </c>
      <c r="H66" s="1394">
        <f t="shared" si="0"/>
        <v>2</v>
      </c>
      <c r="I66" s="1395">
        <f t="shared" si="26"/>
        <v>7436</v>
      </c>
      <c r="J66" s="5192">
        <v>1.5</v>
      </c>
      <c r="K66" s="5194">
        <v>5747</v>
      </c>
      <c r="L66" s="5195">
        <f t="shared" si="19"/>
        <v>3.5</v>
      </c>
      <c r="M66" s="5268">
        <f t="shared" si="27"/>
        <v>13183</v>
      </c>
      <c r="N66" s="5192">
        <v>0.5</v>
      </c>
      <c r="O66" s="5194">
        <v>1959.58</v>
      </c>
      <c r="P66" s="1444">
        <f t="shared" si="55"/>
        <v>4</v>
      </c>
      <c r="Q66" s="1444">
        <f t="shared" si="28"/>
        <v>15142.58</v>
      </c>
      <c r="R66" s="5192">
        <v>1</v>
      </c>
      <c r="S66" s="5194">
        <v>3837</v>
      </c>
      <c r="T66" s="1444">
        <f t="shared" si="2"/>
        <v>5</v>
      </c>
      <c r="U66" s="1444">
        <f t="shared" si="29"/>
        <v>18979.580000000002</v>
      </c>
      <c r="V66" s="5192">
        <v>1</v>
      </c>
      <c r="W66" s="5194">
        <v>3646.95</v>
      </c>
      <c r="X66" s="5198">
        <f t="shared" si="3"/>
        <v>2.5</v>
      </c>
      <c r="Y66" s="5269">
        <f t="shared" si="4"/>
        <v>9443.5299999999988</v>
      </c>
      <c r="Z66" s="4242">
        <f t="shared" si="155"/>
        <v>6</v>
      </c>
      <c r="AA66" s="5196">
        <f t="shared" si="30"/>
        <v>22626.53</v>
      </c>
      <c r="AB66" s="5192">
        <v>1.5</v>
      </c>
      <c r="AC66" s="5194">
        <v>5647.02</v>
      </c>
      <c r="AD66" s="6269">
        <f t="shared" si="6"/>
        <v>7.5</v>
      </c>
      <c r="AE66" s="6203">
        <f t="shared" si="31"/>
        <v>28273.550000000003</v>
      </c>
      <c r="AF66" s="6261">
        <v>1</v>
      </c>
      <c r="AG66" s="5194">
        <v>3919.79</v>
      </c>
      <c r="AH66" s="1394">
        <f t="shared" si="147"/>
        <v>8.5</v>
      </c>
      <c r="AI66" s="1444">
        <f t="shared" si="23"/>
        <v>32193.340000000004</v>
      </c>
      <c r="AJ66" s="5192">
        <v>1</v>
      </c>
      <c r="AK66" s="5194">
        <v>7977.24</v>
      </c>
      <c r="AL66" s="5198">
        <f t="shared" si="148"/>
        <v>3.5</v>
      </c>
      <c r="AM66" s="5268">
        <f t="shared" si="9"/>
        <v>17544.050000000003</v>
      </c>
      <c r="AN66" s="1394">
        <f t="shared" si="156"/>
        <v>9.5</v>
      </c>
      <c r="AO66" s="1444">
        <f t="shared" si="34"/>
        <v>40170.58</v>
      </c>
      <c r="AP66" s="5192">
        <v>1</v>
      </c>
      <c r="AQ66" s="5194">
        <v>3951.48</v>
      </c>
      <c r="AR66" s="1394">
        <f t="shared" si="149"/>
        <v>10.5</v>
      </c>
      <c r="AS66" s="1444">
        <f t="shared" si="36"/>
        <v>44122.06</v>
      </c>
      <c r="AT66" s="5192">
        <v>1</v>
      </c>
      <c r="AU66" s="5194">
        <v>3747.44</v>
      </c>
      <c r="AV66" s="1394">
        <f t="shared" si="150"/>
        <v>11.5</v>
      </c>
      <c r="AW66" s="1444">
        <f t="shared" si="38"/>
        <v>47869.5</v>
      </c>
      <c r="AX66" s="5192">
        <v>2</v>
      </c>
      <c r="AY66" s="5194">
        <v>7697.98</v>
      </c>
      <c r="AZ66" s="5198">
        <f t="shared" si="151"/>
        <v>4</v>
      </c>
      <c r="BA66" s="5269">
        <f t="shared" si="14"/>
        <v>15396.9</v>
      </c>
      <c r="BB66" s="5199">
        <f t="shared" si="152"/>
        <v>7.5</v>
      </c>
      <c r="BC66" s="5196">
        <f t="shared" si="16"/>
        <v>32940.950000000004</v>
      </c>
      <c r="BD66" s="1394">
        <f t="shared" si="153"/>
        <v>13.5</v>
      </c>
      <c r="BE66" s="1444">
        <f t="shared" si="18"/>
        <v>55567.48</v>
      </c>
      <c r="BF66" s="1137"/>
      <c r="BG66" s="1137"/>
      <c r="BH66" s="502"/>
      <c r="BI66" s="502"/>
      <c r="BJ66" s="502"/>
      <c r="BQ66" s="502"/>
      <c r="BR66" s="502"/>
      <c r="BS66" s="502"/>
      <c r="BT66" s="502"/>
      <c r="BU66" s="502"/>
      <c r="BV66" s="502"/>
      <c r="BW66" s="502"/>
      <c r="BX66" s="502"/>
      <c r="BY66" s="502"/>
      <c r="BZ66" s="502"/>
      <c r="CA66" s="502"/>
      <c r="CB66" s="502"/>
    </row>
    <row r="67" spans="2:80" s="1270" customFormat="1" ht="21.95" customHeight="1" thickBot="1" x14ac:dyDescent="0.3">
      <c r="B67" s="7970"/>
      <c r="C67" s="5301" t="s">
        <v>1192</v>
      </c>
      <c r="D67" s="5192">
        <v>2</v>
      </c>
      <c r="E67" s="5194">
        <v>6522.9</v>
      </c>
      <c r="F67" s="5192">
        <v>4</v>
      </c>
      <c r="G67" s="5194">
        <v>15561</v>
      </c>
      <c r="H67" s="1394">
        <f t="shared" si="0"/>
        <v>6</v>
      </c>
      <c r="I67" s="1395">
        <f t="shared" si="26"/>
        <v>22083.9</v>
      </c>
      <c r="J67" s="5192">
        <v>3.5</v>
      </c>
      <c r="K67" s="5194">
        <v>13444</v>
      </c>
      <c r="L67" s="5195">
        <f t="shared" si="19"/>
        <v>9.5</v>
      </c>
      <c r="M67" s="5268">
        <f t="shared" si="27"/>
        <v>35527.9</v>
      </c>
      <c r="N67" s="5192">
        <v>2.7</v>
      </c>
      <c r="O67" s="5194">
        <v>10099.59</v>
      </c>
      <c r="P67" s="1444">
        <f t="shared" si="55"/>
        <v>12.2</v>
      </c>
      <c r="Q67" s="1444">
        <f t="shared" si="28"/>
        <v>45627.490000000005</v>
      </c>
      <c r="R67" s="5192">
        <v>3</v>
      </c>
      <c r="S67" s="5194">
        <v>11501</v>
      </c>
      <c r="T67" s="1444">
        <f t="shared" si="2"/>
        <v>15.2</v>
      </c>
      <c r="U67" s="1444">
        <f t="shared" si="29"/>
        <v>57128.490000000005</v>
      </c>
      <c r="V67" s="5192">
        <v>3</v>
      </c>
      <c r="W67" s="5194">
        <v>11708.05</v>
      </c>
      <c r="X67" s="5198">
        <f t="shared" si="3"/>
        <v>8.6999999999999993</v>
      </c>
      <c r="Y67" s="5269">
        <f t="shared" si="4"/>
        <v>33308.639999999999</v>
      </c>
      <c r="Z67" s="4242">
        <f t="shared" si="155"/>
        <v>18.2</v>
      </c>
      <c r="AA67" s="5196">
        <f t="shared" si="30"/>
        <v>68836.539999999994</v>
      </c>
      <c r="AB67" s="5192">
        <v>3</v>
      </c>
      <c r="AC67" s="5194">
        <v>11400.75</v>
      </c>
      <c r="AD67" s="6269">
        <f t="shared" si="6"/>
        <v>21.2</v>
      </c>
      <c r="AE67" s="6203">
        <f t="shared" si="31"/>
        <v>80237.289999999994</v>
      </c>
      <c r="AF67" s="6261">
        <v>3</v>
      </c>
      <c r="AG67" s="5194">
        <v>11799.42</v>
      </c>
      <c r="AH67" s="1394">
        <f t="shared" si="147"/>
        <v>24.2</v>
      </c>
      <c r="AI67" s="1444">
        <f t="shared" si="23"/>
        <v>92036.709999999992</v>
      </c>
      <c r="AJ67" s="5192">
        <v>2.5</v>
      </c>
      <c r="AK67" s="5194">
        <v>11473.88</v>
      </c>
      <c r="AL67" s="5198">
        <f t="shared" si="148"/>
        <v>8.5</v>
      </c>
      <c r="AM67" s="5268">
        <f t="shared" si="9"/>
        <v>34674.049999999996</v>
      </c>
      <c r="AN67" s="1394">
        <f t="shared" si="156"/>
        <v>26.7</v>
      </c>
      <c r="AO67" s="1444">
        <f t="shared" si="34"/>
        <v>103510.59</v>
      </c>
      <c r="AP67" s="5192">
        <v>2.5</v>
      </c>
      <c r="AQ67" s="5194">
        <v>9850.5499999999993</v>
      </c>
      <c r="AR67" s="1394">
        <f t="shared" si="149"/>
        <v>29.2</v>
      </c>
      <c r="AS67" s="1444">
        <f t="shared" si="36"/>
        <v>113361.13999999998</v>
      </c>
      <c r="AT67" s="5192">
        <v>2</v>
      </c>
      <c r="AU67" s="5194">
        <v>7800.49</v>
      </c>
      <c r="AV67" s="1394">
        <f t="shared" si="150"/>
        <v>31.2</v>
      </c>
      <c r="AW67" s="1444">
        <f t="shared" si="38"/>
        <v>121161.62999999999</v>
      </c>
      <c r="AX67" s="5192">
        <v>2</v>
      </c>
      <c r="AY67" s="5194">
        <v>7712.18</v>
      </c>
      <c r="AZ67" s="5198">
        <f t="shared" si="151"/>
        <v>6.5</v>
      </c>
      <c r="BA67" s="5269">
        <f t="shared" si="14"/>
        <v>25363.22</v>
      </c>
      <c r="BB67" s="5199">
        <f t="shared" si="152"/>
        <v>15</v>
      </c>
      <c r="BC67" s="5196">
        <f t="shared" si="16"/>
        <v>60037.27</v>
      </c>
      <c r="BD67" s="1394">
        <f t="shared" si="153"/>
        <v>33.200000000000003</v>
      </c>
      <c r="BE67" s="1444">
        <f t="shared" si="18"/>
        <v>128873.81</v>
      </c>
      <c r="BF67" s="1137"/>
      <c r="BG67" s="1137"/>
      <c r="BH67" s="502"/>
      <c r="BI67" s="502"/>
      <c r="BJ67" s="502"/>
      <c r="BQ67" s="502"/>
      <c r="BR67" s="502"/>
      <c r="BS67" s="502"/>
      <c r="BT67" s="502"/>
      <c r="BU67" s="502"/>
      <c r="BV67" s="502"/>
      <c r="BW67" s="502"/>
      <c r="BX67" s="502"/>
      <c r="BY67" s="502"/>
      <c r="BZ67" s="502"/>
      <c r="CA67" s="502"/>
      <c r="CB67" s="502"/>
    </row>
    <row r="68" spans="2:80" s="1270" customFormat="1" ht="21.95" customHeight="1" thickBot="1" x14ac:dyDescent="0.3">
      <c r="B68" s="7970"/>
      <c r="C68" s="5301" t="s">
        <v>1193</v>
      </c>
      <c r="D68" s="5192">
        <v>0</v>
      </c>
      <c r="E68" s="5194">
        <v>0</v>
      </c>
      <c r="F68" s="5192"/>
      <c r="G68" s="5194"/>
      <c r="H68" s="1394">
        <f t="shared" si="0"/>
        <v>0</v>
      </c>
      <c r="I68" s="1395">
        <f t="shared" si="26"/>
        <v>0</v>
      </c>
      <c r="J68" s="5192"/>
      <c r="K68" s="5194"/>
      <c r="L68" s="5195">
        <f t="shared" si="19"/>
        <v>0</v>
      </c>
      <c r="M68" s="5268">
        <f t="shared" si="27"/>
        <v>0</v>
      </c>
      <c r="N68" s="5192">
        <v>0.4</v>
      </c>
      <c r="O68" s="5194">
        <v>1487.75</v>
      </c>
      <c r="P68" s="1444">
        <f t="shared" si="55"/>
        <v>0.4</v>
      </c>
      <c r="Q68" s="1444">
        <f t="shared" si="28"/>
        <v>1487.75</v>
      </c>
      <c r="R68" s="5192">
        <v>1</v>
      </c>
      <c r="S68" s="5194">
        <v>3983</v>
      </c>
      <c r="T68" s="1444">
        <f t="shared" si="2"/>
        <v>1.4</v>
      </c>
      <c r="U68" s="1444">
        <f t="shared" si="29"/>
        <v>5470.75</v>
      </c>
      <c r="V68" s="5192">
        <v>0</v>
      </c>
      <c r="W68" s="5194">
        <v>0</v>
      </c>
      <c r="X68" s="5198">
        <f t="shared" si="3"/>
        <v>1.4</v>
      </c>
      <c r="Y68" s="5269">
        <f t="shared" si="4"/>
        <v>5470.75</v>
      </c>
      <c r="Z68" s="4242">
        <f t="shared" si="155"/>
        <v>1.4</v>
      </c>
      <c r="AA68" s="5196">
        <f t="shared" si="30"/>
        <v>5470.75</v>
      </c>
      <c r="AB68" s="5192">
        <v>0</v>
      </c>
      <c r="AC68" s="5194">
        <v>0</v>
      </c>
      <c r="AD68" s="6269">
        <f t="shared" si="6"/>
        <v>1.4</v>
      </c>
      <c r="AE68" s="6203">
        <f t="shared" si="31"/>
        <v>5470.75</v>
      </c>
      <c r="AF68" s="6261">
        <v>0</v>
      </c>
      <c r="AG68" s="5194">
        <v>0</v>
      </c>
      <c r="AH68" s="1394">
        <f t="shared" si="147"/>
        <v>1.4</v>
      </c>
      <c r="AI68" s="1444">
        <f t="shared" si="23"/>
        <v>5470.75</v>
      </c>
      <c r="AJ68" s="5192">
        <v>0</v>
      </c>
      <c r="AK68" s="5194">
        <v>0</v>
      </c>
      <c r="AL68" s="5198">
        <f t="shared" si="148"/>
        <v>0</v>
      </c>
      <c r="AM68" s="5268">
        <f t="shared" si="9"/>
        <v>0</v>
      </c>
      <c r="AN68" s="1394">
        <f t="shared" si="156"/>
        <v>1.4</v>
      </c>
      <c r="AO68" s="1444">
        <f t="shared" si="34"/>
        <v>5470.75</v>
      </c>
      <c r="AP68" s="5192">
        <v>0</v>
      </c>
      <c r="AQ68" s="5194">
        <v>0</v>
      </c>
      <c r="AR68" s="1394">
        <f t="shared" si="149"/>
        <v>1.4</v>
      </c>
      <c r="AS68" s="1444">
        <f t="shared" si="36"/>
        <v>5470.75</v>
      </c>
      <c r="AT68" s="5192">
        <v>0</v>
      </c>
      <c r="AU68" s="5194">
        <v>0</v>
      </c>
      <c r="AV68" s="1394">
        <f t="shared" si="150"/>
        <v>1.4</v>
      </c>
      <c r="AW68" s="1444">
        <f t="shared" si="38"/>
        <v>5470.75</v>
      </c>
      <c r="AX68" s="5192">
        <v>0</v>
      </c>
      <c r="AY68" s="5194">
        <v>0</v>
      </c>
      <c r="AZ68" s="5198">
        <f t="shared" si="151"/>
        <v>0</v>
      </c>
      <c r="BA68" s="5269">
        <f t="shared" si="14"/>
        <v>0</v>
      </c>
      <c r="BB68" s="5199">
        <f t="shared" si="152"/>
        <v>0</v>
      </c>
      <c r="BC68" s="5196">
        <f t="shared" si="16"/>
        <v>0</v>
      </c>
      <c r="BD68" s="1394">
        <f t="shared" si="153"/>
        <v>1.4</v>
      </c>
      <c r="BE68" s="1444">
        <f t="shared" si="18"/>
        <v>5470.75</v>
      </c>
      <c r="BF68" s="1137"/>
      <c r="BG68" s="1137"/>
      <c r="BH68" s="502"/>
      <c r="BI68" s="502"/>
      <c r="BJ68" s="502"/>
      <c r="BQ68" s="502"/>
      <c r="BR68" s="502"/>
      <c r="BS68" s="502"/>
      <c r="BT68" s="502"/>
      <c r="BU68" s="502"/>
      <c r="BV68" s="502"/>
      <c r="BW68" s="502"/>
      <c r="BX68" s="502"/>
      <c r="BY68" s="502"/>
      <c r="BZ68" s="502"/>
      <c r="CA68" s="502"/>
      <c r="CB68" s="502"/>
    </row>
    <row r="69" spans="2:80" s="1270" customFormat="1" ht="21.95" customHeight="1" thickBot="1" x14ac:dyDescent="0.3">
      <c r="B69" s="7970"/>
      <c r="C69" s="5301" t="s">
        <v>1309</v>
      </c>
      <c r="D69" s="5192">
        <v>2</v>
      </c>
      <c r="E69" s="5194">
        <v>7234.73</v>
      </c>
      <c r="F69" s="5192">
        <v>0</v>
      </c>
      <c r="G69" s="5194">
        <v>0</v>
      </c>
      <c r="H69" s="1394">
        <f t="shared" si="0"/>
        <v>2</v>
      </c>
      <c r="I69" s="1395">
        <f t="shared" si="26"/>
        <v>7234.73</v>
      </c>
      <c r="J69" s="5192">
        <v>1</v>
      </c>
      <c r="K69" s="5194">
        <v>3871</v>
      </c>
      <c r="L69" s="5195">
        <f t="shared" si="19"/>
        <v>3</v>
      </c>
      <c r="M69" s="5268">
        <f t="shared" si="27"/>
        <v>11105.73</v>
      </c>
      <c r="N69" s="5192">
        <v>0</v>
      </c>
      <c r="O69" s="5194">
        <v>0</v>
      </c>
      <c r="P69" s="1444">
        <f t="shared" si="55"/>
        <v>3</v>
      </c>
      <c r="Q69" s="1444">
        <f t="shared" si="28"/>
        <v>11105.73</v>
      </c>
      <c r="R69" s="5192">
        <v>0</v>
      </c>
      <c r="S69" s="5194">
        <v>0</v>
      </c>
      <c r="T69" s="1444">
        <f t="shared" si="2"/>
        <v>3</v>
      </c>
      <c r="U69" s="1444">
        <f t="shared" si="29"/>
        <v>11105.73</v>
      </c>
      <c r="V69" s="5192">
        <v>1</v>
      </c>
      <c r="W69" s="5194">
        <v>4044.42</v>
      </c>
      <c r="X69" s="5198">
        <f t="shared" si="3"/>
        <v>1</v>
      </c>
      <c r="Y69" s="5269">
        <f t="shared" si="4"/>
        <v>4044.42</v>
      </c>
      <c r="Z69" s="4242">
        <f t="shared" si="155"/>
        <v>4</v>
      </c>
      <c r="AA69" s="5196">
        <f t="shared" si="30"/>
        <v>15150.15</v>
      </c>
      <c r="AB69" s="5192">
        <v>2</v>
      </c>
      <c r="AC69" s="5194">
        <v>7694.52</v>
      </c>
      <c r="AD69" s="6269">
        <f t="shared" si="6"/>
        <v>6</v>
      </c>
      <c r="AE69" s="6203">
        <f t="shared" si="31"/>
        <v>22844.67</v>
      </c>
      <c r="AF69" s="6261">
        <v>1</v>
      </c>
      <c r="AG69" s="5194">
        <v>3950.91</v>
      </c>
      <c r="AH69" s="1394">
        <f t="shared" si="147"/>
        <v>7</v>
      </c>
      <c r="AI69" s="1444">
        <f t="shared" si="23"/>
        <v>26795.579999999998</v>
      </c>
      <c r="AJ69" s="5192">
        <v>0.5</v>
      </c>
      <c r="AK69" s="5194">
        <v>3822.69</v>
      </c>
      <c r="AL69" s="5198">
        <f t="shared" si="148"/>
        <v>3.5</v>
      </c>
      <c r="AM69" s="5268">
        <f t="shared" si="9"/>
        <v>15468.12</v>
      </c>
      <c r="AN69" s="1394">
        <f t="shared" si="156"/>
        <v>7.5</v>
      </c>
      <c r="AO69" s="1444">
        <f t="shared" si="34"/>
        <v>30618.27</v>
      </c>
      <c r="AP69" s="5192">
        <v>0</v>
      </c>
      <c r="AQ69" s="5194">
        <v>0</v>
      </c>
      <c r="AR69" s="1394">
        <f t="shared" si="149"/>
        <v>7.5</v>
      </c>
      <c r="AS69" s="1444">
        <f t="shared" si="36"/>
        <v>30618.27</v>
      </c>
      <c r="AT69" s="5192">
        <v>1.3</v>
      </c>
      <c r="AU69" s="5194">
        <v>5051.8900000000003</v>
      </c>
      <c r="AV69" s="1394">
        <f t="shared" si="150"/>
        <v>8.8000000000000007</v>
      </c>
      <c r="AW69" s="1444">
        <f t="shared" si="38"/>
        <v>35670.160000000003</v>
      </c>
      <c r="AX69" s="5192">
        <v>1.5</v>
      </c>
      <c r="AY69" s="5194">
        <v>5722.04</v>
      </c>
      <c r="AZ69" s="5198">
        <f t="shared" si="151"/>
        <v>2.8</v>
      </c>
      <c r="BA69" s="5269">
        <f t="shared" si="14"/>
        <v>10773.93</v>
      </c>
      <c r="BB69" s="5199">
        <f t="shared" si="152"/>
        <v>6.3</v>
      </c>
      <c r="BC69" s="5196">
        <f t="shared" si="16"/>
        <v>26242.050000000003</v>
      </c>
      <c r="BD69" s="1394">
        <f t="shared" si="153"/>
        <v>10.3</v>
      </c>
      <c r="BE69" s="1444">
        <f t="shared" si="18"/>
        <v>41392.200000000004</v>
      </c>
      <c r="BF69" s="1137"/>
      <c r="BG69" s="1137"/>
      <c r="BH69" s="502"/>
      <c r="BI69" s="502"/>
      <c r="BJ69" s="502"/>
      <c r="BQ69" s="502"/>
      <c r="BR69" s="502"/>
      <c r="BS69" s="502"/>
      <c r="BT69" s="502"/>
      <c r="BU69" s="502"/>
      <c r="BV69" s="502"/>
      <c r="BW69" s="502"/>
      <c r="BX69" s="502"/>
      <c r="BY69" s="502"/>
      <c r="BZ69" s="502"/>
      <c r="CA69" s="502"/>
      <c r="CB69" s="502"/>
    </row>
    <row r="70" spans="2:80" s="1270" customFormat="1" ht="21.95" customHeight="1" x14ac:dyDescent="0.25">
      <c r="B70" s="7970"/>
      <c r="C70" s="5301" t="s">
        <v>1194</v>
      </c>
      <c r="D70" s="5192">
        <v>0</v>
      </c>
      <c r="E70" s="5194">
        <v>0</v>
      </c>
      <c r="F70" s="5192">
        <v>0</v>
      </c>
      <c r="G70" s="5194">
        <v>0</v>
      </c>
      <c r="H70" s="1394">
        <f t="shared" si="0"/>
        <v>0</v>
      </c>
      <c r="I70" s="1395">
        <f t="shared" si="26"/>
        <v>0</v>
      </c>
      <c r="J70" s="5192">
        <v>0</v>
      </c>
      <c r="K70" s="5194">
        <v>0</v>
      </c>
      <c r="L70" s="5195">
        <f t="shared" si="19"/>
        <v>0</v>
      </c>
      <c r="M70" s="5268">
        <f t="shared" si="27"/>
        <v>0</v>
      </c>
      <c r="N70" s="5192">
        <v>0</v>
      </c>
      <c r="O70" s="5194">
        <v>0</v>
      </c>
      <c r="P70" s="1444">
        <f t="shared" si="55"/>
        <v>0</v>
      </c>
      <c r="Q70" s="1444">
        <f t="shared" si="28"/>
        <v>0</v>
      </c>
      <c r="R70" s="5192">
        <v>0</v>
      </c>
      <c r="S70" s="5194">
        <v>0</v>
      </c>
      <c r="T70" s="1444">
        <f t="shared" si="2"/>
        <v>0</v>
      </c>
      <c r="U70" s="1444">
        <f t="shared" si="29"/>
        <v>0</v>
      </c>
      <c r="V70" s="5192">
        <v>0</v>
      </c>
      <c r="W70" s="5194">
        <v>0</v>
      </c>
      <c r="X70" s="5198">
        <f t="shared" si="3"/>
        <v>0</v>
      </c>
      <c r="Y70" s="5269">
        <f t="shared" si="4"/>
        <v>0</v>
      </c>
      <c r="Z70" s="4242">
        <f t="shared" si="155"/>
        <v>0</v>
      </c>
      <c r="AA70" s="5196">
        <f t="shared" si="30"/>
        <v>0</v>
      </c>
      <c r="AB70" s="5192">
        <v>0</v>
      </c>
      <c r="AC70" s="5194">
        <v>0</v>
      </c>
      <c r="AD70" s="6269">
        <f t="shared" si="6"/>
        <v>0</v>
      </c>
      <c r="AE70" s="6203">
        <f t="shared" si="31"/>
        <v>0</v>
      </c>
      <c r="AF70" s="6261">
        <v>0</v>
      </c>
      <c r="AG70" s="5194">
        <v>0</v>
      </c>
      <c r="AH70" s="1394">
        <f t="shared" si="147"/>
        <v>0</v>
      </c>
      <c r="AI70" s="1444">
        <f t="shared" si="23"/>
        <v>0</v>
      </c>
      <c r="AJ70" s="5192">
        <v>0</v>
      </c>
      <c r="AK70" s="5194">
        <v>0</v>
      </c>
      <c r="AL70" s="5198">
        <f t="shared" si="148"/>
        <v>0</v>
      </c>
      <c r="AM70" s="5268">
        <f t="shared" si="9"/>
        <v>0</v>
      </c>
      <c r="AN70" s="1394">
        <f t="shared" si="156"/>
        <v>0</v>
      </c>
      <c r="AO70" s="1444">
        <f t="shared" si="34"/>
        <v>0</v>
      </c>
      <c r="AP70" s="5192">
        <v>0</v>
      </c>
      <c r="AQ70" s="5194">
        <v>0</v>
      </c>
      <c r="AR70" s="1394">
        <f t="shared" si="149"/>
        <v>0</v>
      </c>
      <c r="AS70" s="1444">
        <f t="shared" si="36"/>
        <v>0</v>
      </c>
      <c r="AT70" s="5192">
        <v>0</v>
      </c>
      <c r="AU70" s="5194">
        <v>0</v>
      </c>
      <c r="AV70" s="1394">
        <f t="shared" si="150"/>
        <v>0</v>
      </c>
      <c r="AW70" s="1444">
        <f t="shared" si="38"/>
        <v>0</v>
      </c>
      <c r="AX70" s="5192">
        <v>0</v>
      </c>
      <c r="AY70" s="5194">
        <v>0</v>
      </c>
      <c r="AZ70" s="5198">
        <f t="shared" si="151"/>
        <v>0</v>
      </c>
      <c r="BA70" s="5269">
        <f t="shared" si="14"/>
        <v>0</v>
      </c>
      <c r="BB70" s="5199">
        <f t="shared" si="152"/>
        <v>0</v>
      </c>
      <c r="BC70" s="5196">
        <f t="shared" si="16"/>
        <v>0</v>
      </c>
      <c r="BD70" s="1394">
        <f t="shared" si="153"/>
        <v>0</v>
      </c>
      <c r="BE70" s="1444">
        <f t="shared" si="18"/>
        <v>0</v>
      </c>
      <c r="BF70" s="1137"/>
      <c r="BG70" s="1137"/>
      <c r="BH70" s="502"/>
      <c r="BI70" s="502"/>
      <c r="BJ70" s="502"/>
      <c r="BQ70" s="502"/>
      <c r="BR70" s="502"/>
      <c r="BS70" s="502"/>
      <c r="BT70" s="502"/>
      <c r="BU70" s="502"/>
      <c r="BV70" s="502"/>
      <c r="BW70" s="502"/>
      <c r="BX70" s="502"/>
      <c r="BY70" s="502"/>
      <c r="BZ70" s="502"/>
      <c r="CA70" s="502"/>
      <c r="CB70" s="502"/>
    </row>
    <row r="71" spans="2:80" s="1270" customFormat="1" ht="21.95" customHeight="1" thickBot="1" x14ac:dyDescent="0.3">
      <c r="B71" s="7970"/>
      <c r="C71" s="5302" t="s">
        <v>2</v>
      </c>
      <c r="D71" s="5292">
        <f t="shared" ref="D71:E71" si="157">SUM(D61:D70)</f>
        <v>12</v>
      </c>
      <c r="E71" s="5292">
        <f t="shared" si="157"/>
        <v>44028.349999999991</v>
      </c>
      <c r="F71" s="5292">
        <f t="shared" ref="F71:BE71" si="158">SUM(F61:F70)</f>
        <v>13</v>
      </c>
      <c r="G71" s="5292">
        <f t="shared" si="158"/>
        <v>49341</v>
      </c>
      <c r="H71" s="5292">
        <f t="shared" si="158"/>
        <v>23</v>
      </c>
      <c r="I71" s="5292">
        <f t="shared" si="158"/>
        <v>93369.349999999991</v>
      </c>
      <c r="J71" s="5292">
        <f t="shared" si="158"/>
        <v>15</v>
      </c>
      <c r="K71" s="5292">
        <f t="shared" si="158"/>
        <v>56045</v>
      </c>
      <c r="L71" s="5292">
        <f t="shared" si="158"/>
        <v>38</v>
      </c>
      <c r="M71" s="5292">
        <f t="shared" si="158"/>
        <v>149414.35</v>
      </c>
      <c r="N71" s="5292">
        <f t="shared" si="158"/>
        <v>13.000000000000002</v>
      </c>
      <c r="O71" s="5292">
        <f t="shared" si="158"/>
        <v>48759.020000000004</v>
      </c>
      <c r="P71" s="5292">
        <f t="shared" si="158"/>
        <v>50.999999999999993</v>
      </c>
      <c r="Q71" s="5292">
        <f t="shared" si="158"/>
        <v>198173.37000000002</v>
      </c>
      <c r="R71" s="5292">
        <f t="shared" si="158"/>
        <v>14</v>
      </c>
      <c r="S71" s="5292">
        <f t="shared" si="158"/>
        <v>53446</v>
      </c>
      <c r="T71" s="5292">
        <f t="shared" si="158"/>
        <v>65</v>
      </c>
      <c r="U71" s="5292">
        <f t="shared" si="158"/>
        <v>251619.37000000002</v>
      </c>
      <c r="V71" s="5292">
        <f t="shared" si="158"/>
        <v>13</v>
      </c>
      <c r="W71" s="5292">
        <f t="shared" si="158"/>
        <v>50262.84</v>
      </c>
      <c r="X71" s="5292">
        <f t="shared" si="158"/>
        <v>39.999999999999993</v>
      </c>
      <c r="Y71" s="5292">
        <f t="shared" si="158"/>
        <v>152467.86000000002</v>
      </c>
      <c r="Z71" s="5292">
        <f t="shared" si="158"/>
        <v>78</v>
      </c>
      <c r="AA71" s="5292">
        <f t="shared" si="158"/>
        <v>301882.21000000002</v>
      </c>
      <c r="AB71" s="5292">
        <f t="shared" si="158"/>
        <v>13.9</v>
      </c>
      <c r="AC71" s="5292">
        <f t="shared" si="158"/>
        <v>53043.600000000006</v>
      </c>
      <c r="AD71" s="6279">
        <f t="shared" si="158"/>
        <v>91.9</v>
      </c>
      <c r="AE71" s="5987">
        <f t="shared" si="158"/>
        <v>354925.81</v>
      </c>
      <c r="AF71" s="6259">
        <f t="shared" si="158"/>
        <v>13</v>
      </c>
      <c r="AG71" s="5292">
        <f t="shared" ref="AG71" si="159">SUM(AG61:AG70)</f>
        <v>50076.03</v>
      </c>
      <c r="AH71" s="5292">
        <f t="shared" si="158"/>
        <v>101.9</v>
      </c>
      <c r="AI71" s="5292">
        <f t="shared" si="23"/>
        <v>405001.83999999997</v>
      </c>
      <c r="AJ71" s="5292">
        <f t="shared" si="158"/>
        <v>10.9</v>
      </c>
      <c r="AK71" s="5292">
        <f t="shared" si="158"/>
        <v>46079.5</v>
      </c>
      <c r="AL71" s="5292">
        <f t="shared" si="158"/>
        <v>37.799999999999997</v>
      </c>
      <c r="AM71" s="5292">
        <f t="shared" si="158"/>
        <v>149199.13</v>
      </c>
      <c r="AN71" s="5292">
        <f t="shared" si="158"/>
        <v>112.8</v>
      </c>
      <c r="AO71" s="5292">
        <f t="shared" si="158"/>
        <v>451081.34000000008</v>
      </c>
      <c r="AP71" s="5292">
        <f t="shared" ref="AP71:AQ71" si="160">SUM(AP61:AP70)</f>
        <v>11</v>
      </c>
      <c r="AQ71" s="5292">
        <f t="shared" si="160"/>
        <v>43036.130000000005</v>
      </c>
      <c r="AR71" s="5292">
        <f t="shared" si="158"/>
        <v>123.8</v>
      </c>
      <c r="AS71" s="5292">
        <f t="shared" si="158"/>
        <v>494117.47</v>
      </c>
      <c r="AT71" s="5292">
        <f t="shared" si="158"/>
        <v>13</v>
      </c>
      <c r="AU71" s="5292">
        <f t="shared" si="158"/>
        <v>49461.98</v>
      </c>
      <c r="AV71" s="5292">
        <f t="shared" si="158"/>
        <v>136.80000000000001</v>
      </c>
      <c r="AW71" s="5292">
        <f t="shared" si="158"/>
        <v>543579.44999999995</v>
      </c>
      <c r="AX71" s="5292">
        <f t="shared" ref="AX71:AY71" si="161">SUM(AX61:AX70)</f>
        <v>13</v>
      </c>
      <c r="AY71" s="5292">
        <f t="shared" si="161"/>
        <v>50124.729999999996</v>
      </c>
      <c r="AZ71" s="5292">
        <f t="shared" si="158"/>
        <v>37</v>
      </c>
      <c r="BA71" s="5292">
        <f t="shared" si="158"/>
        <v>142622.83999999997</v>
      </c>
      <c r="BB71" s="5292">
        <f t="shared" si="158"/>
        <v>74.8</v>
      </c>
      <c r="BC71" s="5292">
        <f t="shared" si="158"/>
        <v>291821.96999999997</v>
      </c>
      <c r="BD71" s="5292">
        <f t="shared" si="158"/>
        <v>149.80000000000001</v>
      </c>
      <c r="BE71" s="5292">
        <f t="shared" si="158"/>
        <v>593704.17999999993</v>
      </c>
      <c r="BF71" s="1137"/>
      <c r="BG71" s="1137"/>
      <c r="BH71" s="502"/>
      <c r="BI71" s="502"/>
      <c r="BJ71" s="502"/>
      <c r="BQ71" s="502"/>
      <c r="BR71" s="502"/>
      <c r="BS71" s="502"/>
      <c r="BT71" s="502"/>
      <c r="BU71" s="502"/>
      <c r="BV71" s="502"/>
      <c r="BW71" s="502"/>
      <c r="BX71" s="502"/>
      <c r="BY71" s="502"/>
      <c r="BZ71" s="502"/>
      <c r="CA71" s="502"/>
      <c r="CB71" s="502"/>
    </row>
    <row r="72" spans="2:80" s="1270" customFormat="1" ht="21.95" customHeight="1" thickBot="1" x14ac:dyDescent="0.3">
      <c r="B72" s="7970"/>
      <c r="C72" s="5301" t="s">
        <v>1195</v>
      </c>
      <c r="D72" s="5192">
        <v>9</v>
      </c>
      <c r="E72" s="5193">
        <v>40361.949999999997</v>
      </c>
      <c r="F72" s="5192">
        <v>13</v>
      </c>
      <c r="G72" s="5194">
        <v>49341</v>
      </c>
      <c r="H72" s="1394">
        <f t="shared" si="0"/>
        <v>22</v>
      </c>
      <c r="I72" s="1395">
        <f t="shared" si="26"/>
        <v>89702.95</v>
      </c>
      <c r="J72" s="5192">
        <v>15</v>
      </c>
      <c r="K72" s="5194">
        <v>56046</v>
      </c>
      <c r="L72" s="5195">
        <f t="shared" si="19"/>
        <v>37</v>
      </c>
      <c r="M72" s="5268">
        <f t="shared" si="27"/>
        <v>145748.95000000001</v>
      </c>
      <c r="N72" s="5192">
        <v>12</v>
      </c>
      <c r="O72" s="5194">
        <v>45011.32</v>
      </c>
      <c r="P72" s="1444">
        <f t="shared" si="55"/>
        <v>49</v>
      </c>
      <c r="Q72" s="1444">
        <f t="shared" si="28"/>
        <v>190760.27000000002</v>
      </c>
      <c r="R72" s="5192">
        <v>13</v>
      </c>
      <c r="S72" s="5194">
        <v>49463</v>
      </c>
      <c r="T72" s="1444">
        <f t="shared" si="2"/>
        <v>62</v>
      </c>
      <c r="U72" s="1444">
        <f t="shared" si="29"/>
        <v>240223.27</v>
      </c>
      <c r="V72" s="5192">
        <v>13</v>
      </c>
      <c r="W72" s="5194">
        <v>50262.84</v>
      </c>
      <c r="X72" s="5198">
        <f t="shared" si="3"/>
        <v>38</v>
      </c>
      <c r="Y72" s="5269">
        <f t="shared" si="4"/>
        <v>144737.16</v>
      </c>
      <c r="Z72" s="5199">
        <f t="shared" si="5"/>
        <v>75</v>
      </c>
      <c r="AA72" s="5196">
        <f t="shared" si="30"/>
        <v>290486.11</v>
      </c>
      <c r="AB72" s="5192">
        <v>13</v>
      </c>
      <c r="AC72" s="5194">
        <v>49019.6</v>
      </c>
      <c r="AD72" s="6269">
        <f t="shared" si="6"/>
        <v>88</v>
      </c>
      <c r="AE72" s="6203">
        <f t="shared" si="31"/>
        <v>339505.71</v>
      </c>
      <c r="AF72" s="6261">
        <v>12</v>
      </c>
      <c r="AG72" s="5194">
        <v>46055.03</v>
      </c>
      <c r="AH72" s="1394">
        <f t="shared" ref="AH72:AH76" si="162">AD72+AF72</f>
        <v>100</v>
      </c>
      <c r="AI72" s="1444">
        <f t="shared" si="23"/>
        <v>385560.74000000005</v>
      </c>
      <c r="AJ72" s="5192">
        <v>7</v>
      </c>
      <c r="AK72" s="5194">
        <v>42080.7</v>
      </c>
      <c r="AL72" s="5198">
        <f t="shared" ref="AL72:AL76" si="163">+AB72+AF72+AJ72</f>
        <v>32</v>
      </c>
      <c r="AM72" s="5268">
        <f t="shared" si="9"/>
        <v>137155.33000000002</v>
      </c>
      <c r="AN72" s="1394">
        <f t="shared" si="156"/>
        <v>107</v>
      </c>
      <c r="AO72" s="1444">
        <f t="shared" si="34"/>
        <v>427641.44</v>
      </c>
      <c r="AP72" s="5192">
        <v>10</v>
      </c>
      <c r="AQ72" s="5194">
        <v>39069.93</v>
      </c>
      <c r="AR72" s="1394">
        <f t="shared" ref="AR72:AR76" si="164">AN72+AP72</f>
        <v>117</v>
      </c>
      <c r="AS72" s="1444">
        <f t="shared" si="36"/>
        <v>466711.37</v>
      </c>
      <c r="AT72" s="5192">
        <v>12</v>
      </c>
      <c r="AU72" s="5194">
        <v>45560.98</v>
      </c>
      <c r="AV72" s="1394">
        <f t="shared" ref="AV72:AV76" si="165">AR72+AT72</f>
        <v>129</v>
      </c>
      <c r="AW72" s="1444">
        <f t="shared" si="38"/>
        <v>512272.35000000003</v>
      </c>
      <c r="AX72" s="5192">
        <v>11</v>
      </c>
      <c r="AY72" s="5194">
        <v>42140.93</v>
      </c>
      <c r="AZ72" s="5198">
        <f t="shared" ref="AZ72:AZ76" si="166">+AP72+AT72+AX72</f>
        <v>33</v>
      </c>
      <c r="BA72" s="5269">
        <f t="shared" si="14"/>
        <v>126771.84</v>
      </c>
      <c r="BB72" s="5199">
        <f t="shared" ref="BB72:BB76" si="167">AL72+AZ72</f>
        <v>65</v>
      </c>
      <c r="BC72" s="5196">
        <f t="shared" si="16"/>
        <v>263927.17000000004</v>
      </c>
      <c r="BD72" s="1394">
        <f t="shared" ref="BD72:BD76" si="168">AV72+AX72</f>
        <v>140</v>
      </c>
      <c r="BE72" s="1444">
        <f t="shared" si="18"/>
        <v>554413.28</v>
      </c>
      <c r="BF72" s="1137"/>
      <c r="BG72" s="1137"/>
      <c r="BH72" s="502"/>
      <c r="BI72" s="502"/>
      <c r="BJ72" s="502"/>
      <c r="BQ72" s="502"/>
      <c r="BR72" s="502"/>
      <c r="BS72" s="502"/>
      <c r="BT72" s="502"/>
      <c r="BU72" s="502"/>
      <c r="BV72" s="502"/>
      <c r="BW72" s="502"/>
      <c r="BX72" s="502"/>
      <c r="BY72" s="502"/>
      <c r="BZ72" s="502"/>
      <c r="CA72" s="502"/>
      <c r="CB72" s="502"/>
    </row>
    <row r="73" spans="2:80" s="1270" customFormat="1" ht="21.95" customHeight="1" thickBot="1" x14ac:dyDescent="0.3">
      <c r="B73" s="7970"/>
      <c r="C73" s="5301" t="s">
        <v>1196</v>
      </c>
      <c r="D73" s="5192">
        <v>1</v>
      </c>
      <c r="E73" s="5193">
        <v>3666.4</v>
      </c>
      <c r="F73" s="5192">
        <v>0</v>
      </c>
      <c r="G73" s="5194">
        <v>0</v>
      </c>
      <c r="H73" s="1394">
        <f t="shared" si="0"/>
        <v>1</v>
      </c>
      <c r="I73" s="1395">
        <f t="shared" si="26"/>
        <v>3666.4</v>
      </c>
      <c r="J73" s="5192">
        <v>0</v>
      </c>
      <c r="K73" s="5194">
        <v>0</v>
      </c>
      <c r="L73" s="5195">
        <f t="shared" si="19"/>
        <v>1</v>
      </c>
      <c r="M73" s="5268">
        <f t="shared" si="27"/>
        <v>3666.4</v>
      </c>
      <c r="N73" s="5192">
        <v>1</v>
      </c>
      <c r="O73" s="5194">
        <v>3747.7</v>
      </c>
      <c r="P73" s="1444">
        <f t="shared" si="55"/>
        <v>2</v>
      </c>
      <c r="Q73" s="1444">
        <f t="shared" si="28"/>
        <v>7414.1</v>
      </c>
      <c r="R73" s="5192">
        <v>1</v>
      </c>
      <c r="S73" s="5194">
        <v>3983</v>
      </c>
      <c r="T73" s="1444">
        <f t="shared" si="2"/>
        <v>3</v>
      </c>
      <c r="U73" s="1444">
        <f t="shared" si="29"/>
        <v>11397.099999999999</v>
      </c>
      <c r="V73" s="5192">
        <v>0</v>
      </c>
      <c r="W73" s="5194">
        <v>0</v>
      </c>
      <c r="X73" s="5198">
        <f t="shared" si="3"/>
        <v>2</v>
      </c>
      <c r="Y73" s="5269">
        <f t="shared" si="4"/>
        <v>7730.7</v>
      </c>
      <c r="Z73" s="5199">
        <f t="shared" si="5"/>
        <v>3</v>
      </c>
      <c r="AA73" s="5196">
        <f t="shared" si="30"/>
        <v>11397.1</v>
      </c>
      <c r="AB73" s="5192">
        <v>1</v>
      </c>
      <c r="AC73" s="5194">
        <v>4024</v>
      </c>
      <c r="AD73" s="6269">
        <f t="shared" si="6"/>
        <v>4</v>
      </c>
      <c r="AE73" s="6203">
        <f t="shared" si="31"/>
        <v>15421.1</v>
      </c>
      <c r="AF73" s="6261">
        <v>1</v>
      </c>
      <c r="AG73" s="5194">
        <v>4021</v>
      </c>
      <c r="AH73" s="1394">
        <f t="shared" si="162"/>
        <v>5</v>
      </c>
      <c r="AI73" s="1444">
        <f t="shared" si="23"/>
        <v>19442.100000000002</v>
      </c>
      <c r="AJ73" s="5192">
        <v>5</v>
      </c>
      <c r="AK73" s="5194">
        <v>3998.8</v>
      </c>
      <c r="AL73" s="5198">
        <f t="shared" si="163"/>
        <v>7</v>
      </c>
      <c r="AM73" s="5268">
        <f t="shared" si="9"/>
        <v>12043.8</v>
      </c>
      <c r="AN73" s="1394">
        <f t="shared" si="156"/>
        <v>10</v>
      </c>
      <c r="AO73" s="1444">
        <f t="shared" si="34"/>
        <v>23440.9</v>
      </c>
      <c r="AP73" s="5192">
        <v>1</v>
      </c>
      <c r="AQ73" s="5194">
        <v>3966.2</v>
      </c>
      <c r="AR73" s="1394">
        <f t="shared" si="164"/>
        <v>11</v>
      </c>
      <c r="AS73" s="1444">
        <f t="shared" si="36"/>
        <v>27407.100000000002</v>
      </c>
      <c r="AT73" s="5192">
        <v>1</v>
      </c>
      <c r="AU73" s="5194">
        <v>3901</v>
      </c>
      <c r="AV73" s="1394">
        <f t="shared" si="165"/>
        <v>12</v>
      </c>
      <c r="AW73" s="1444">
        <f t="shared" si="38"/>
        <v>31308.100000000002</v>
      </c>
      <c r="AX73" s="5192">
        <v>2</v>
      </c>
      <c r="AY73" s="5194">
        <v>7984</v>
      </c>
      <c r="AZ73" s="5198">
        <f t="shared" si="166"/>
        <v>4</v>
      </c>
      <c r="BA73" s="5269">
        <f t="shared" si="14"/>
        <v>15851.2</v>
      </c>
      <c r="BB73" s="5199">
        <f t="shared" si="167"/>
        <v>11</v>
      </c>
      <c r="BC73" s="5196">
        <f t="shared" si="16"/>
        <v>27895</v>
      </c>
      <c r="BD73" s="1394">
        <f t="shared" si="168"/>
        <v>14</v>
      </c>
      <c r="BE73" s="1444">
        <f t="shared" si="18"/>
        <v>39292.1</v>
      </c>
      <c r="BF73" s="1137"/>
      <c r="BG73" s="1137"/>
      <c r="BH73" s="502"/>
      <c r="BI73" s="502"/>
      <c r="BJ73" s="502"/>
      <c r="BQ73" s="502"/>
      <c r="BR73" s="502"/>
      <c r="BS73" s="502"/>
      <c r="BT73" s="502"/>
      <c r="BU73" s="502"/>
      <c r="BV73" s="502"/>
      <c r="BW73" s="502"/>
      <c r="BX73" s="502"/>
      <c r="BY73" s="502"/>
      <c r="BZ73" s="502"/>
      <c r="CA73" s="502"/>
      <c r="CB73" s="502"/>
    </row>
    <row r="74" spans="2:80" s="1270" customFormat="1" ht="21.95" customHeight="1" thickBot="1" x14ac:dyDescent="0.3">
      <c r="B74" s="7971"/>
      <c r="C74" s="5301" t="s">
        <v>1197</v>
      </c>
      <c r="D74" s="5192">
        <v>0</v>
      </c>
      <c r="E74" s="5193">
        <v>0</v>
      </c>
      <c r="F74" s="5192">
        <v>0</v>
      </c>
      <c r="G74" s="5194">
        <v>0</v>
      </c>
      <c r="H74" s="1394">
        <f t="shared" si="0"/>
        <v>0</v>
      </c>
      <c r="I74" s="1395">
        <f t="shared" si="26"/>
        <v>0</v>
      </c>
      <c r="J74" s="5192"/>
      <c r="K74" s="5194"/>
      <c r="L74" s="5195">
        <f t="shared" si="19"/>
        <v>0</v>
      </c>
      <c r="M74" s="5268">
        <f t="shared" si="27"/>
        <v>0</v>
      </c>
      <c r="N74" s="5192"/>
      <c r="O74" s="5194"/>
      <c r="P74" s="1444">
        <f t="shared" si="55"/>
        <v>0</v>
      </c>
      <c r="Q74" s="1444">
        <f t="shared" si="28"/>
        <v>0</v>
      </c>
      <c r="R74" s="5192">
        <v>0</v>
      </c>
      <c r="S74" s="5194">
        <v>0</v>
      </c>
      <c r="T74" s="1444">
        <f t="shared" si="2"/>
        <v>0</v>
      </c>
      <c r="U74" s="1444">
        <f t="shared" si="29"/>
        <v>0</v>
      </c>
      <c r="V74" s="5192">
        <v>0</v>
      </c>
      <c r="W74" s="5194">
        <v>0</v>
      </c>
      <c r="X74" s="5198">
        <f t="shared" si="3"/>
        <v>0</v>
      </c>
      <c r="Y74" s="5269">
        <f t="shared" si="4"/>
        <v>0</v>
      </c>
      <c r="Z74" s="5199">
        <f t="shared" si="5"/>
        <v>0</v>
      </c>
      <c r="AA74" s="5196">
        <f t="shared" si="30"/>
        <v>0</v>
      </c>
      <c r="AB74" s="5192">
        <v>0</v>
      </c>
      <c r="AC74" s="5194">
        <v>0</v>
      </c>
      <c r="AD74" s="6269">
        <f t="shared" si="6"/>
        <v>0</v>
      </c>
      <c r="AE74" s="6203">
        <f t="shared" si="31"/>
        <v>0</v>
      </c>
      <c r="AF74" s="6261">
        <v>0</v>
      </c>
      <c r="AG74" s="5194">
        <v>0</v>
      </c>
      <c r="AH74" s="1394">
        <f t="shared" si="162"/>
        <v>0</v>
      </c>
      <c r="AI74" s="1444">
        <f t="shared" si="23"/>
        <v>0</v>
      </c>
      <c r="AJ74" s="5192">
        <v>0</v>
      </c>
      <c r="AK74" s="5194">
        <v>0</v>
      </c>
      <c r="AL74" s="5198">
        <f t="shared" si="163"/>
        <v>0</v>
      </c>
      <c r="AM74" s="5268">
        <f t="shared" si="9"/>
        <v>0</v>
      </c>
      <c r="AN74" s="1394">
        <f t="shared" si="156"/>
        <v>0</v>
      </c>
      <c r="AO74" s="1444">
        <f t="shared" si="34"/>
        <v>0</v>
      </c>
      <c r="AP74" s="5192">
        <v>0</v>
      </c>
      <c r="AQ74" s="5194">
        <v>0</v>
      </c>
      <c r="AR74" s="1394">
        <f t="shared" si="164"/>
        <v>0</v>
      </c>
      <c r="AS74" s="1444">
        <f t="shared" si="36"/>
        <v>0</v>
      </c>
      <c r="AT74" s="5192">
        <v>0</v>
      </c>
      <c r="AU74" s="5194">
        <v>0</v>
      </c>
      <c r="AV74" s="1394">
        <f t="shared" si="165"/>
        <v>0</v>
      </c>
      <c r="AW74" s="1444">
        <f t="shared" si="38"/>
        <v>0</v>
      </c>
      <c r="AX74" s="5192">
        <v>0</v>
      </c>
      <c r="AY74" s="5194">
        <v>0</v>
      </c>
      <c r="AZ74" s="5198">
        <f t="shared" si="166"/>
        <v>0</v>
      </c>
      <c r="BA74" s="5269">
        <f t="shared" si="14"/>
        <v>0</v>
      </c>
      <c r="BB74" s="5199">
        <f t="shared" si="167"/>
        <v>0</v>
      </c>
      <c r="BC74" s="5196">
        <f t="shared" si="16"/>
        <v>0</v>
      </c>
      <c r="BD74" s="1394">
        <f t="shared" si="168"/>
        <v>0</v>
      </c>
      <c r="BE74" s="1444">
        <f t="shared" si="18"/>
        <v>0</v>
      </c>
      <c r="BF74" s="1137"/>
      <c r="BG74" s="1137"/>
      <c r="BH74" s="502"/>
      <c r="BI74" s="502"/>
      <c r="BJ74" s="502"/>
      <c r="BQ74" s="502"/>
      <c r="BR74" s="502"/>
      <c r="BS74" s="502"/>
      <c r="BT74" s="502"/>
      <c r="BU74" s="502"/>
      <c r="BV74" s="502"/>
      <c r="BW74" s="502"/>
      <c r="BX74" s="502"/>
      <c r="BY74" s="502"/>
      <c r="BZ74" s="502"/>
      <c r="CA74" s="502"/>
      <c r="CB74" s="502"/>
    </row>
    <row r="75" spans="2:80" s="1270" customFormat="1" ht="21.95" customHeight="1" thickBot="1" x14ac:dyDescent="0.3">
      <c r="B75" s="6933" t="s">
        <v>2260</v>
      </c>
      <c r="C75" s="5187" t="s">
        <v>979</v>
      </c>
      <c r="D75" s="5188">
        <v>1</v>
      </c>
      <c r="E75" s="5191">
        <v>3842.55</v>
      </c>
      <c r="F75" s="5188">
        <v>1</v>
      </c>
      <c r="G75" s="5191">
        <v>4038</v>
      </c>
      <c r="H75" s="1394">
        <f t="shared" si="0"/>
        <v>2</v>
      </c>
      <c r="I75" s="1395">
        <f t="shared" si="26"/>
        <v>7880.55</v>
      </c>
      <c r="J75" s="5188">
        <v>1</v>
      </c>
      <c r="K75" s="5191">
        <v>4028</v>
      </c>
      <c r="L75" s="5190">
        <f t="shared" si="19"/>
        <v>3</v>
      </c>
      <c r="M75" s="5268">
        <f t="shared" si="27"/>
        <v>11908.55</v>
      </c>
      <c r="N75" s="5188">
        <v>1</v>
      </c>
      <c r="O75" s="5191">
        <v>4022.73</v>
      </c>
      <c r="P75" s="1444">
        <f t="shared" si="55"/>
        <v>4</v>
      </c>
      <c r="Q75" s="1444">
        <f t="shared" si="28"/>
        <v>15931.279999999999</v>
      </c>
      <c r="R75" s="5188">
        <v>2</v>
      </c>
      <c r="S75" s="5191">
        <v>7987.9</v>
      </c>
      <c r="T75" s="1444">
        <f t="shared" si="2"/>
        <v>6</v>
      </c>
      <c r="U75" s="1444">
        <f t="shared" si="29"/>
        <v>23919.18</v>
      </c>
      <c r="V75" s="5188">
        <v>1</v>
      </c>
      <c r="W75" s="5191">
        <v>4000.69</v>
      </c>
      <c r="X75" s="5290">
        <f t="shared" si="3"/>
        <v>4</v>
      </c>
      <c r="Y75" s="5269">
        <f t="shared" si="4"/>
        <v>16011.32</v>
      </c>
      <c r="Z75" s="5303">
        <f t="shared" si="5"/>
        <v>7</v>
      </c>
      <c r="AA75" s="5196">
        <f t="shared" si="30"/>
        <v>27919.87</v>
      </c>
      <c r="AB75" s="5188">
        <v>1</v>
      </c>
      <c r="AC75" s="5191">
        <v>2628.27</v>
      </c>
      <c r="AD75" s="6275">
        <f t="shared" si="6"/>
        <v>8</v>
      </c>
      <c r="AE75" s="6203">
        <f t="shared" si="31"/>
        <v>30548.14</v>
      </c>
      <c r="AF75" s="6289">
        <v>2</v>
      </c>
      <c r="AG75" s="5191">
        <v>7426.31</v>
      </c>
      <c r="AH75" s="2250">
        <f t="shared" si="162"/>
        <v>10</v>
      </c>
      <c r="AI75" s="1444">
        <f t="shared" si="23"/>
        <v>37974.449999999997</v>
      </c>
      <c r="AJ75" s="5188">
        <v>1</v>
      </c>
      <c r="AK75" s="5191">
        <v>8023.4</v>
      </c>
      <c r="AL75" s="5290">
        <f t="shared" si="163"/>
        <v>4</v>
      </c>
      <c r="AM75" s="5268">
        <f t="shared" si="9"/>
        <v>18077.98</v>
      </c>
      <c r="AN75" s="2250">
        <f t="shared" si="156"/>
        <v>11</v>
      </c>
      <c r="AO75" s="1444">
        <f t="shared" si="34"/>
        <v>45997.850000000006</v>
      </c>
      <c r="AP75" s="5188">
        <v>1</v>
      </c>
      <c r="AQ75" s="5191">
        <v>3692.97</v>
      </c>
      <c r="AR75" s="2250">
        <f t="shared" si="164"/>
        <v>12</v>
      </c>
      <c r="AS75" s="1444">
        <f t="shared" si="36"/>
        <v>49690.820000000007</v>
      </c>
      <c r="AT75" s="5188">
        <v>2</v>
      </c>
      <c r="AU75" s="5191">
        <v>7330.38</v>
      </c>
      <c r="AV75" s="2250">
        <f t="shared" si="165"/>
        <v>14</v>
      </c>
      <c r="AW75" s="1444">
        <f t="shared" si="38"/>
        <v>57021.200000000012</v>
      </c>
      <c r="AX75" s="5188">
        <v>1</v>
      </c>
      <c r="AY75" s="5191">
        <v>4055.3</v>
      </c>
      <c r="AZ75" s="5290">
        <f t="shared" si="166"/>
        <v>4</v>
      </c>
      <c r="BA75" s="5269">
        <f t="shared" si="14"/>
        <v>15078.650000000001</v>
      </c>
      <c r="BB75" s="5199">
        <f t="shared" si="167"/>
        <v>8</v>
      </c>
      <c r="BC75" s="5196">
        <f t="shared" si="16"/>
        <v>33156.630000000005</v>
      </c>
      <c r="BD75" s="1394">
        <f t="shared" si="168"/>
        <v>15</v>
      </c>
      <c r="BE75" s="1444">
        <f t="shared" si="18"/>
        <v>61076.5</v>
      </c>
      <c r="BF75" s="1137"/>
      <c r="BG75" s="1137"/>
      <c r="BH75" s="502"/>
      <c r="BI75" s="502"/>
      <c r="BJ75" s="502"/>
      <c r="BQ75" s="502"/>
      <c r="BR75" s="502"/>
      <c r="BS75" s="502"/>
      <c r="BT75" s="502"/>
      <c r="BU75" s="502"/>
      <c r="BV75" s="502"/>
      <c r="BW75" s="502"/>
      <c r="BX75" s="502"/>
      <c r="BY75" s="502"/>
      <c r="BZ75" s="502"/>
      <c r="CA75" s="502"/>
      <c r="CB75" s="502"/>
    </row>
    <row r="76" spans="2:80" s="7293" customFormat="1" ht="21.95" customHeight="1" thickBot="1" x14ac:dyDescent="0.3">
      <c r="B76" s="7995" t="s">
        <v>2041</v>
      </c>
      <c r="C76" s="5300" t="s">
        <v>1200</v>
      </c>
      <c r="D76" s="7283">
        <v>0</v>
      </c>
      <c r="E76" s="5292">
        <v>0</v>
      </c>
      <c r="F76" s="7283">
        <v>0</v>
      </c>
      <c r="G76" s="5292">
        <v>0</v>
      </c>
      <c r="H76" s="7284">
        <f t="shared" si="0"/>
        <v>0</v>
      </c>
      <c r="I76" s="7285">
        <f t="shared" ref="I76:I77" si="169">+G76+E76</f>
        <v>0</v>
      </c>
      <c r="J76" s="7283">
        <v>0</v>
      </c>
      <c r="K76" s="5292">
        <v>0</v>
      </c>
      <c r="L76" s="5292">
        <f t="shared" si="19"/>
        <v>0</v>
      </c>
      <c r="M76" s="5277">
        <f t="shared" ref="M76:M77" si="170">+E76+G76+K76</f>
        <v>0</v>
      </c>
      <c r="N76" s="7283"/>
      <c r="O76" s="5292"/>
      <c r="P76" s="7286">
        <f t="shared" si="55"/>
        <v>0</v>
      </c>
      <c r="Q76" s="7286">
        <f t="shared" ref="Q76:Q77" si="171">+E76+G76+K76+O76</f>
        <v>0</v>
      </c>
      <c r="R76" s="7283"/>
      <c r="S76" s="5292"/>
      <c r="T76" s="7286">
        <f t="shared" ref="T76:T91" si="172">P76+R76</f>
        <v>0</v>
      </c>
      <c r="U76" s="7286">
        <f t="shared" ref="U76:U77" si="173">+E76+S76+O76+K76+G76</f>
        <v>0</v>
      </c>
      <c r="V76" s="7283"/>
      <c r="W76" s="5292"/>
      <c r="X76" s="7287">
        <f t="shared" ref="X76:X77" si="174">+N76+R76+V76</f>
        <v>0</v>
      </c>
      <c r="Y76" s="7288">
        <f t="shared" ref="Y76:Y77" si="175">+O76+S76+W76</f>
        <v>0</v>
      </c>
      <c r="Z76" s="7283">
        <f t="shared" ref="Z76:Z77" si="176">L76+X76</f>
        <v>0</v>
      </c>
      <c r="AA76" s="5193">
        <f t="shared" ref="AA76:AA77" si="177">+W76+S76+O76+K76+G76+E76</f>
        <v>0</v>
      </c>
      <c r="AB76" s="7283">
        <v>0</v>
      </c>
      <c r="AC76" s="5292">
        <v>0</v>
      </c>
      <c r="AD76" s="7289">
        <f t="shared" ref="AD76:AD78" si="178">Z76+AB76</f>
        <v>0</v>
      </c>
      <c r="AE76" s="5987">
        <f t="shared" ref="AE76:AE77" si="179">+AC76+W76+S76+O76+K76+G76+E76</f>
        <v>0</v>
      </c>
      <c r="AF76" s="7290">
        <v>0</v>
      </c>
      <c r="AG76" s="5292">
        <v>0</v>
      </c>
      <c r="AH76" s="7291">
        <f t="shared" si="162"/>
        <v>0</v>
      </c>
      <c r="AI76" s="7286">
        <f t="shared" ref="AI76:AI77" si="180">+AG76+AC76+W76+S76+O76+K76+G76+E76</f>
        <v>0</v>
      </c>
      <c r="AJ76" s="7283">
        <v>0</v>
      </c>
      <c r="AK76" s="5292">
        <v>0</v>
      </c>
      <c r="AL76" s="7287">
        <f t="shared" si="163"/>
        <v>0</v>
      </c>
      <c r="AM76" s="5277">
        <f t="shared" ref="AM76:AM77" si="181">+AC76+AG76+AK76</f>
        <v>0</v>
      </c>
      <c r="AN76" s="7291">
        <f t="shared" si="156"/>
        <v>0</v>
      </c>
      <c r="AO76" s="7286">
        <f t="shared" ref="AO76:AO77" si="182">+AK76+AG76+AC76+W76+S76+O76+K76+G76+E76</f>
        <v>0</v>
      </c>
      <c r="AP76" s="7283">
        <v>0</v>
      </c>
      <c r="AQ76" s="5292">
        <v>0</v>
      </c>
      <c r="AR76" s="7291">
        <f t="shared" si="164"/>
        <v>0</v>
      </c>
      <c r="AS76" s="7286">
        <f t="shared" ref="AS76:AS77" si="183">+AQ76+AK76+AG76+AC76+W76+S76+O76+K76+G76+E76</f>
        <v>0</v>
      </c>
      <c r="AT76" s="7283">
        <v>0</v>
      </c>
      <c r="AU76" s="5292">
        <v>0</v>
      </c>
      <c r="AV76" s="7291">
        <f t="shared" si="165"/>
        <v>0</v>
      </c>
      <c r="AW76" s="7286">
        <f t="shared" ref="AW76:AW77" si="184">+AU76+AQ76+AK76+AG76+AC76+W76+S76+O76+K76+G76+E76</f>
        <v>0</v>
      </c>
      <c r="AX76" s="7283">
        <v>0</v>
      </c>
      <c r="AY76" s="5292">
        <v>0</v>
      </c>
      <c r="AZ76" s="7287">
        <f t="shared" si="166"/>
        <v>0</v>
      </c>
      <c r="BA76" s="7288">
        <f t="shared" ref="BA76:BA77" si="185">+AQ76+AU76+AY76</f>
        <v>0</v>
      </c>
      <c r="BB76" s="7292">
        <f t="shared" si="167"/>
        <v>0</v>
      </c>
      <c r="BC76" s="5193">
        <f t="shared" ref="BC76:BC77" si="186">AM76+BA76</f>
        <v>0</v>
      </c>
      <c r="BD76" s="7284">
        <f t="shared" si="168"/>
        <v>0</v>
      </c>
      <c r="BE76" s="7286">
        <f t="shared" ref="BE76:BE77" si="187">+BC76+AA76</f>
        <v>0</v>
      </c>
      <c r="BF76" s="7266"/>
      <c r="BG76" s="7266"/>
      <c r="BH76" s="6260"/>
      <c r="BI76" s="6260"/>
      <c r="BJ76" s="6260"/>
      <c r="BQ76" s="6260"/>
      <c r="BR76" s="6260"/>
      <c r="BS76" s="6260"/>
      <c r="BT76" s="6260"/>
      <c r="BU76" s="6260"/>
      <c r="BV76" s="6260"/>
      <c r="BW76" s="6260"/>
      <c r="BX76" s="6260"/>
      <c r="BY76" s="6260"/>
      <c r="BZ76" s="6260"/>
      <c r="CA76" s="6260"/>
      <c r="CB76" s="6260"/>
    </row>
    <row r="77" spans="2:80" s="7293" customFormat="1" ht="21.95" customHeight="1" x14ac:dyDescent="0.25">
      <c r="B77" s="7996"/>
      <c r="C77" s="7294" t="s">
        <v>1782</v>
      </c>
      <c r="D77" s="7283">
        <v>0</v>
      </c>
      <c r="E77" s="5292">
        <v>432</v>
      </c>
      <c r="F77" s="7283"/>
      <c r="G77" s="5292">
        <v>758.36</v>
      </c>
      <c r="H77" s="7284">
        <f>+D77+F77</f>
        <v>0</v>
      </c>
      <c r="I77" s="7285">
        <f t="shared" si="169"/>
        <v>1190.3600000000001</v>
      </c>
      <c r="J77" s="7283"/>
      <c r="K77" s="5292">
        <v>683.15</v>
      </c>
      <c r="L77" s="5292">
        <f>+D77+F77+J77</f>
        <v>0</v>
      </c>
      <c r="M77" s="5277">
        <f t="shared" si="170"/>
        <v>1873.5100000000002</v>
      </c>
      <c r="N77" s="7283"/>
      <c r="O77" s="5292">
        <v>252.12</v>
      </c>
      <c r="P77" s="7286"/>
      <c r="Q77" s="7286">
        <f t="shared" si="171"/>
        <v>2125.63</v>
      </c>
      <c r="R77" s="7283"/>
      <c r="S77" s="5292">
        <v>497.27</v>
      </c>
      <c r="T77" s="7286">
        <f>P77+R77</f>
        <v>0</v>
      </c>
      <c r="U77" s="7286">
        <f t="shared" si="173"/>
        <v>2622.9</v>
      </c>
      <c r="V77" s="7283"/>
      <c r="W77" s="5292">
        <v>782.26</v>
      </c>
      <c r="X77" s="7295">
        <f t="shared" si="174"/>
        <v>0</v>
      </c>
      <c r="Y77" s="7288">
        <f t="shared" si="175"/>
        <v>1531.65</v>
      </c>
      <c r="Z77" s="7292">
        <f t="shared" si="176"/>
        <v>0</v>
      </c>
      <c r="AA77" s="5193">
        <f t="shared" si="177"/>
        <v>3405.1600000000003</v>
      </c>
      <c r="AB77" s="7283">
        <v>0</v>
      </c>
      <c r="AC77" s="5292">
        <v>647.98</v>
      </c>
      <c r="AD77" s="7288">
        <f t="shared" si="178"/>
        <v>0</v>
      </c>
      <c r="AE77" s="5987">
        <f t="shared" si="179"/>
        <v>4053.1400000000003</v>
      </c>
      <c r="AF77" s="7290">
        <v>0</v>
      </c>
      <c r="AG77" s="5292">
        <v>900.12</v>
      </c>
      <c r="AH77" s="5193"/>
      <c r="AI77" s="7286">
        <f t="shared" si="180"/>
        <v>4953.2599999999993</v>
      </c>
      <c r="AJ77" s="7283">
        <v>0</v>
      </c>
      <c r="AK77" s="5292">
        <v>490.04</v>
      </c>
      <c r="AL77" s="7296">
        <f>+AB77+AF77+AJ77</f>
        <v>0</v>
      </c>
      <c r="AM77" s="5277">
        <f t="shared" si="181"/>
        <v>2038.1399999999999</v>
      </c>
      <c r="AN77" s="5193"/>
      <c r="AO77" s="7286">
        <f t="shared" si="182"/>
        <v>5443.2999999999993</v>
      </c>
      <c r="AP77" s="7283">
        <v>0</v>
      </c>
      <c r="AQ77" s="5292">
        <v>408</v>
      </c>
      <c r="AR77" s="5193">
        <f>AN77+AP77</f>
        <v>0</v>
      </c>
      <c r="AS77" s="7286">
        <f t="shared" si="183"/>
        <v>5851.2999999999993</v>
      </c>
      <c r="AT77" s="7283">
        <v>0</v>
      </c>
      <c r="AU77" s="5292">
        <v>1681.78</v>
      </c>
      <c r="AV77" s="5193">
        <f>AR77+AT77</f>
        <v>0</v>
      </c>
      <c r="AW77" s="7286">
        <f t="shared" si="184"/>
        <v>7533.08</v>
      </c>
      <c r="AX77" s="7283">
        <v>0</v>
      </c>
      <c r="AY77" s="5292">
        <v>2093</v>
      </c>
      <c r="AZ77" s="5193">
        <f t="shared" ref="AZ77" si="188">AV77+AX77</f>
        <v>0</v>
      </c>
      <c r="BA77" s="7288">
        <f t="shared" si="185"/>
        <v>4182.78</v>
      </c>
      <c r="BB77" s="5193">
        <f t="shared" ref="BB77" si="189">AX77+AZ77</f>
        <v>0</v>
      </c>
      <c r="BC77" s="5193">
        <f t="shared" si="186"/>
        <v>6220.92</v>
      </c>
      <c r="BD77" s="7284">
        <f>AV77+AX77</f>
        <v>0</v>
      </c>
      <c r="BE77" s="7286">
        <f t="shared" si="187"/>
        <v>9626.08</v>
      </c>
      <c r="BF77" s="7266"/>
      <c r="BG77" s="7266"/>
      <c r="BH77" s="6260"/>
      <c r="BI77" s="6260"/>
      <c r="BJ77" s="6260"/>
      <c r="BQ77" s="6260"/>
      <c r="BR77" s="6260"/>
      <c r="BS77" s="6260"/>
      <c r="BT77" s="6260"/>
      <c r="BU77" s="6260"/>
      <c r="BV77" s="6260"/>
      <c r="BW77" s="6260"/>
      <c r="BX77" s="6260"/>
      <c r="BY77" s="6260"/>
      <c r="BZ77" s="6260"/>
      <c r="CA77" s="6260"/>
      <c r="CB77" s="6260"/>
    </row>
    <row r="78" spans="2:80" s="1268" customFormat="1" ht="21.95" customHeight="1" x14ac:dyDescent="0.25">
      <c r="B78" s="5991"/>
      <c r="C78" s="4487"/>
      <c r="D78" s="4487"/>
      <c r="E78" s="25"/>
      <c r="F78" s="4487"/>
      <c r="G78" s="4487"/>
      <c r="H78" s="4487"/>
      <c r="I78" s="4487"/>
      <c r="J78" s="4487"/>
      <c r="K78" s="4487"/>
      <c r="L78" s="4487"/>
      <c r="M78" s="4487"/>
      <c r="N78" s="4487"/>
      <c r="O78" s="4487"/>
      <c r="P78" s="4487"/>
      <c r="Q78" s="4487"/>
      <c r="R78" s="4487"/>
      <c r="S78" s="4487"/>
      <c r="T78" s="4487"/>
      <c r="U78" s="4487"/>
      <c r="V78" s="4487"/>
      <c r="W78" s="4487"/>
      <c r="X78" s="4487"/>
      <c r="Y78" s="4487"/>
      <c r="Z78" s="4487"/>
      <c r="AA78" s="4487"/>
      <c r="AB78" s="4487"/>
      <c r="AC78" s="4487"/>
      <c r="AD78" s="4487">
        <f t="shared" si="178"/>
        <v>0</v>
      </c>
      <c r="AE78" s="6267">
        <f t="shared" ref="AE78" si="190">AA78+AC78</f>
        <v>0</v>
      </c>
      <c r="AF78" s="4487"/>
      <c r="AG78" s="4487"/>
      <c r="AH78" s="4487"/>
      <c r="AI78" s="4487"/>
      <c r="AJ78" s="4487"/>
      <c r="AK78" s="4487"/>
      <c r="AL78" s="4487"/>
      <c r="AM78" s="4487"/>
      <c r="AN78" s="4487"/>
      <c r="AO78" s="4487"/>
      <c r="AP78" s="4487"/>
      <c r="AQ78" s="4487"/>
      <c r="AR78" s="4487"/>
      <c r="AS78" s="4487"/>
      <c r="AT78" s="4487"/>
      <c r="AU78" s="4487"/>
      <c r="AV78" s="4487"/>
      <c r="AW78" s="4487"/>
      <c r="AX78" s="4487"/>
      <c r="AY78" s="4487"/>
      <c r="AZ78" s="4487"/>
      <c r="BA78" s="4487"/>
      <c r="BB78" s="4487"/>
      <c r="BC78" s="4487"/>
      <c r="BD78" s="4487"/>
      <c r="BE78" s="4487"/>
      <c r="BF78" s="1137"/>
      <c r="BG78" s="1137"/>
      <c r="BH78" s="502"/>
      <c r="BI78" s="502"/>
      <c r="BJ78" s="502"/>
      <c r="BQ78" s="502"/>
      <c r="BR78" s="502"/>
      <c r="BS78" s="502"/>
      <c r="BT78" s="502"/>
      <c r="BU78" s="502"/>
      <c r="BV78" s="502"/>
      <c r="BW78" s="502"/>
      <c r="BX78" s="502"/>
      <c r="BY78" s="502"/>
      <c r="BZ78" s="502"/>
      <c r="CA78" s="502"/>
      <c r="CB78" s="502"/>
    </row>
    <row r="79" spans="2:80" s="1268" customFormat="1" ht="21.95" customHeight="1" thickBot="1" x14ac:dyDescent="0.3">
      <c r="B79" s="7997"/>
      <c r="C79" s="5187" t="s">
        <v>1304</v>
      </c>
      <c r="D79" s="4487"/>
      <c r="E79" s="4487"/>
      <c r="F79" s="4487"/>
      <c r="G79" s="4487"/>
      <c r="H79" s="4487"/>
      <c r="I79" s="4487"/>
      <c r="J79" s="4487"/>
      <c r="K79" s="4487"/>
      <c r="L79" s="4487"/>
      <c r="M79" s="4487"/>
      <c r="N79" s="4487"/>
      <c r="O79" s="4487"/>
      <c r="P79" s="4487"/>
      <c r="Q79" s="4487"/>
      <c r="R79" s="4487"/>
      <c r="S79" s="4487"/>
      <c r="T79" s="4487"/>
      <c r="U79" s="4487"/>
      <c r="V79" s="4487"/>
      <c r="W79" s="4487"/>
      <c r="X79" s="4487"/>
      <c r="Y79" s="4487"/>
      <c r="Z79" s="4487"/>
      <c r="AA79" s="4487"/>
      <c r="AB79" s="4487"/>
      <c r="AC79" s="4487"/>
      <c r="AD79" s="4487"/>
      <c r="AE79" s="6267"/>
      <c r="AF79" s="4487"/>
      <c r="AG79" s="4487"/>
      <c r="AH79" s="4487"/>
      <c r="AI79" s="4487"/>
      <c r="AJ79" s="4487"/>
      <c r="AK79" s="4487"/>
      <c r="AL79" s="4487"/>
      <c r="AM79" s="4487"/>
      <c r="AN79" s="4487"/>
      <c r="AO79" s="4487"/>
      <c r="AP79" s="4487"/>
      <c r="AQ79" s="4487"/>
      <c r="AR79" s="4487"/>
      <c r="AS79" s="4487"/>
      <c r="AT79" s="4487"/>
      <c r="AU79" s="4487"/>
      <c r="AV79" s="4487"/>
      <c r="AW79" s="4487"/>
      <c r="AX79" s="4487"/>
      <c r="AY79" s="4487"/>
      <c r="AZ79" s="4487"/>
      <c r="BA79" s="4487"/>
      <c r="BB79" s="4487"/>
      <c r="BC79" s="4487"/>
      <c r="BD79" s="4487"/>
      <c r="BE79" s="4487"/>
      <c r="BF79" s="1137"/>
      <c r="BG79" s="1137"/>
      <c r="BH79" s="4487"/>
      <c r="BI79" s="502"/>
      <c r="BJ79" s="502"/>
      <c r="BQ79" s="502"/>
      <c r="BR79" s="502"/>
      <c r="BS79" s="502"/>
      <c r="BT79" s="502"/>
      <c r="BU79" s="502"/>
      <c r="BV79" s="502"/>
      <c r="BW79" s="502"/>
      <c r="BX79" s="502"/>
      <c r="BY79" s="502"/>
      <c r="BZ79" s="502"/>
      <c r="CA79" s="502"/>
      <c r="CB79" s="502"/>
    </row>
    <row r="80" spans="2:80" s="1268" customFormat="1" ht="21.95" customHeight="1" thickBot="1" x14ac:dyDescent="0.3">
      <c r="B80" s="7997"/>
      <c r="C80" s="5992" t="s">
        <v>1861</v>
      </c>
      <c r="D80" s="5193"/>
      <c r="E80" s="5193">
        <f>'Direct sales IPT details'!E199</f>
        <v>13558</v>
      </c>
      <c r="F80" s="5192"/>
      <c r="G80" s="5193">
        <f>'Direct sales IPT details'!G199</f>
        <v>2078.5</v>
      </c>
      <c r="H80" s="1394">
        <f t="shared" ref="H80:H91" si="191">+D80+F80</f>
        <v>0</v>
      </c>
      <c r="I80" s="5989">
        <f t="shared" ref="I80:I83" si="192">+G80+E80</f>
        <v>15636.5</v>
      </c>
      <c r="J80" s="6261"/>
      <c r="K80" s="5193">
        <f>'Direct sales IPT details'!K199</f>
        <v>0</v>
      </c>
      <c r="L80" s="5195"/>
      <c r="M80" s="5268">
        <f t="shared" ref="M80:M83" si="193">+E80+G80+K80</f>
        <v>15636.5</v>
      </c>
      <c r="N80" s="5192"/>
      <c r="O80" s="5193">
        <f>'Direct sales IPT details'!O199</f>
        <v>0</v>
      </c>
      <c r="P80" s="5193">
        <f>'Direct sales IPT details'!P199</f>
        <v>0</v>
      </c>
      <c r="Q80" s="5989">
        <f t="shared" ref="Q80:Q83" si="194">+E80+G80+K80+O80</f>
        <v>15636.5</v>
      </c>
      <c r="R80" s="5192"/>
      <c r="S80" s="5193">
        <f>'Direct sales IPT details'!S199</f>
        <v>0</v>
      </c>
      <c r="T80" s="1444">
        <f t="shared" si="172"/>
        <v>0</v>
      </c>
      <c r="U80" s="5989">
        <f t="shared" ref="U80:U83" si="195">+E80+S80+O80+K80+G80</f>
        <v>15636.5</v>
      </c>
      <c r="V80" s="5192"/>
      <c r="W80" s="5193">
        <f>'Direct sales IPT details'!W199</f>
        <v>0</v>
      </c>
      <c r="X80" s="5988"/>
      <c r="Y80" s="5269">
        <f t="shared" ref="Y80:Y83" si="196">+O80+S80+W80</f>
        <v>0</v>
      </c>
      <c r="Z80" s="5985"/>
      <c r="AA80" s="5196">
        <f t="shared" ref="AA80:AA83" si="197">+W80+S80+O80+K80+G80+E80</f>
        <v>15636.5</v>
      </c>
      <c r="AB80" s="5194"/>
      <c r="AC80" s="5193">
        <f>'Direct sales IPT details'!AC199</f>
        <v>4508.43</v>
      </c>
      <c r="AD80" s="6277"/>
      <c r="AE80" s="6203">
        <f t="shared" ref="AE80:AE83" si="198">+AC80+W80+S80+O80+K80+G80+E80</f>
        <v>20144.93</v>
      </c>
      <c r="AF80" s="6263">
        <v>7</v>
      </c>
      <c r="AG80" s="5193">
        <f>'Direct sales IPT details'!AG199</f>
        <v>15128.48</v>
      </c>
      <c r="AH80" s="5193">
        <f>'Direct sales IPT details'!AH199</f>
        <v>0</v>
      </c>
      <c r="AI80" s="5989">
        <f t="shared" ref="AI80:AI95" si="199">+AG80+AC80+W80+S80+O80+K80+G80+E80</f>
        <v>35273.410000000003</v>
      </c>
      <c r="AJ80" s="5193">
        <f>'Direct sales IPT details'!AJ199</f>
        <v>0</v>
      </c>
      <c r="AK80" s="5193">
        <f>'Direct sales IPT details'!AK199</f>
        <v>10865.68</v>
      </c>
      <c r="AL80" s="5194">
        <f>'Direct sales IPT details'!AL199</f>
        <v>0</v>
      </c>
      <c r="AM80" s="5268">
        <f t="shared" ref="AM80:AM83" si="200">+AC80+AG80+AK80</f>
        <v>30502.59</v>
      </c>
      <c r="AN80" s="5194">
        <f>'Direct sales IPT details'!AN199</f>
        <v>0</v>
      </c>
      <c r="AO80" s="5989">
        <f t="shared" ref="AO80:AO83" si="201">+AK80+AG80+AC80+W80+S80+O80+K80+G80+E80</f>
        <v>46139.09</v>
      </c>
      <c r="AP80" s="5193">
        <v>6</v>
      </c>
      <c r="AQ80" s="5193">
        <f>'Direct sales IPT details'!AQ199</f>
        <v>13342.22</v>
      </c>
      <c r="AR80" s="5193">
        <f>'Direct sales IPT details'!AR199</f>
        <v>0</v>
      </c>
      <c r="AS80" s="5989">
        <f t="shared" ref="AS80:AS83" si="202">+AQ80+AK80+AG80+AC80+W80+S80+O80+K80+G80+E80</f>
        <v>59481.310000000005</v>
      </c>
      <c r="AT80" s="5193">
        <v>6</v>
      </c>
      <c r="AU80" s="5193">
        <f>'Direct sales IPT details'!AU199</f>
        <v>13546.23</v>
      </c>
      <c r="AV80" s="5193">
        <f>'Direct sales IPT details'!AV199</f>
        <v>0</v>
      </c>
      <c r="AW80" s="5989">
        <f t="shared" ref="AW80:AW83" si="203">+AU80+AQ80+AK80+AG80+AC80+W80+S80+O80+K80+G80+E80</f>
        <v>73027.540000000008</v>
      </c>
      <c r="AX80" s="5193"/>
      <c r="AY80" s="5193">
        <v>12646.78</v>
      </c>
      <c r="AZ80" s="5195">
        <f>'Direct sales IPT details'!AZ199</f>
        <v>0</v>
      </c>
      <c r="BA80" s="5269">
        <f t="shared" ref="BA80:BA83" si="204">+AQ80+AU80+AY80</f>
        <v>39535.229999999996</v>
      </c>
      <c r="BB80" s="5196">
        <f>'Direct sales IPT details'!BB199</f>
        <v>0</v>
      </c>
      <c r="BC80" s="5196">
        <f t="shared" ref="BC80:BC83" si="205">AM80+BA80</f>
        <v>70037.819999999992</v>
      </c>
      <c r="BD80" s="5197">
        <f>'Direct sales IPT details'!BD199</f>
        <v>0</v>
      </c>
      <c r="BE80" s="5989">
        <f t="shared" ref="BE80:BE83" si="206">+BC80+AA80</f>
        <v>85674.319999999992</v>
      </c>
      <c r="BF80" s="1137"/>
      <c r="BG80" s="1137"/>
      <c r="BH80" s="502"/>
      <c r="BI80" s="502"/>
      <c r="BJ80" s="502"/>
      <c r="BQ80" s="502"/>
      <c r="BR80" s="502"/>
      <c r="BS80" s="502"/>
      <c r="BT80" s="502"/>
      <c r="BU80" s="502"/>
      <c r="BV80" s="502"/>
      <c r="BW80" s="502"/>
      <c r="BX80" s="502"/>
      <c r="BY80" s="502"/>
      <c r="BZ80" s="502"/>
      <c r="CA80" s="502"/>
      <c r="CB80" s="502"/>
    </row>
    <row r="81" spans="2:80" s="1268" customFormat="1" ht="21.95" customHeight="1" thickBot="1" x14ac:dyDescent="0.3">
      <c r="B81" s="7997"/>
      <c r="C81" s="5992" t="s">
        <v>1540</v>
      </c>
      <c r="D81" s="5193"/>
      <c r="E81" s="5193">
        <f>'Direct sales IPT details'!E200</f>
        <v>0</v>
      </c>
      <c r="F81" s="5192"/>
      <c r="G81" s="5193">
        <f>'Direct sales IPT details'!G200</f>
        <v>0</v>
      </c>
      <c r="H81" s="1394">
        <f t="shared" si="191"/>
        <v>0</v>
      </c>
      <c r="I81" s="5989">
        <f t="shared" si="192"/>
        <v>0</v>
      </c>
      <c r="J81" s="6261"/>
      <c r="K81" s="5193">
        <f>'Direct sales IPT details'!K200</f>
        <v>0</v>
      </c>
      <c r="L81" s="5195"/>
      <c r="M81" s="5268">
        <f t="shared" si="193"/>
        <v>0</v>
      </c>
      <c r="N81" s="5192"/>
      <c r="O81" s="5193">
        <f>'Direct sales IPT details'!O200</f>
        <v>0</v>
      </c>
      <c r="P81" s="5193">
        <f>'Direct sales IPT details'!P200</f>
        <v>0</v>
      </c>
      <c r="Q81" s="5989">
        <f t="shared" si="194"/>
        <v>0</v>
      </c>
      <c r="R81" s="5192"/>
      <c r="S81" s="5193">
        <f>'Direct sales IPT details'!S200</f>
        <v>0</v>
      </c>
      <c r="T81" s="1444">
        <f t="shared" si="172"/>
        <v>0</v>
      </c>
      <c r="U81" s="5989">
        <f t="shared" si="195"/>
        <v>0</v>
      </c>
      <c r="V81" s="5192"/>
      <c r="W81" s="5193">
        <f>'Direct sales IPT details'!W200</f>
        <v>4878.29</v>
      </c>
      <c r="X81" s="5988"/>
      <c r="Y81" s="5269">
        <f t="shared" si="196"/>
        <v>4878.29</v>
      </c>
      <c r="Z81" s="5985"/>
      <c r="AA81" s="5196">
        <f t="shared" si="197"/>
        <v>4878.29</v>
      </c>
      <c r="AB81" s="5194"/>
      <c r="AC81" s="5193">
        <f>'Direct sales IPT details'!AC200</f>
        <v>0</v>
      </c>
      <c r="AD81" s="6277"/>
      <c r="AE81" s="6203">
        <f t="shared" si="198"/>
        <v>4878.29</v>
      </c>
      <c r="AF81" s="6263">
        <f>'Direct sales IPT details'!AF200</f>
        <v>0</v>
      </c>
      <c r="AG81" s="5193">
        <f>'Direct sales IPT details'!AG200</f>
        <v>0</v>
      </c>
      <c r="AH81" s="5193">
        <f>'Direct sales IPT details'!AH200</f>
        <v>0</v>
      </c>
      <c r="AI81" s="5989">
        <f t="shared" si="199"/>
        <v>4878.29</v>
      </c>
      <c r="AJ81" s="5193">
        <f>'Direct sales IPT details'!AJ200</f>
        <v>0</v>
      </c>
      <c r="AK81" s="5193">
        <f>'Direct sales IPT details'!AK200</f>
        <v>9344.0400000000009</v>
      </c>
      <c r="AL81" s="5194">
        <f>'Direct sales IPT details'!AL200</f>
        <v>0</v>
      </c>
      <c r="AM81" s="5268">
        <f t="shared" si="200"/>
        <v>9344.0400000000009</v>
      </c>
      <c r="AN81" s="5194">
        <f>'Direct sales IPT details'!AN200</f>
        <v>0</v>
      </c>
      <c r="AO81" s="5989">
        <f t="shared" si="201"/>
        <v>14222.330000000002</v>
      </c>
      <c r="AP81" s="5193">
        <v>0</v>
      </c>
      <c r="AQ81" s="5193">
        <f>'Direct sales IPT details'!AQ200</f>
        <v>0</v>
      </c>
      <c r="AR81" s="5193">
        <f>'Direct sales IPT details'!AR200</f>
        <v>0</v>
      </c>
      <c r="AS81" s="5989">
        <f t="shared" si="202"/>
        <v>14222.330000000002</v>
      </c>
      <c r="AT81" s="5193">
        <v>0</v>
      </c>
      <c r="AU81" s="5193">
        <f>'Direct sales IPT details'!AU200</f>
        <v>0</v>
      </c>
      <c r="AV81" s="5193">
        <f>'Direct sales IPT details'!AV200</f>
        <v>0</v>
      </c>
      <c r="AW81" s="5989">
        <f t="shared" si="203"/>
        <v>14222.330000000002</v>
      </c>
      <c r="AX81" s="5193"/>
      <c r="AY81" s="5193">
        <f>'Direct sales IPT details'!AY200</f>
        <v>0</v>
      </c>
      <c r="AZ81" s="5195">
        <f>'Direct sales IPT details'!AZ200</f>
        <v>0</v>
      </c>
      <c r="BA81" s="5269">
        <f t="shared" si="204"/>
        <v>0</v>
      </c>
      <c r="BB81" s="5196">
        <f>'Direct sales IPT details'!BB200</f>
        <v>0</v>
      </c>
      <c r="BC81" s="5196">
        <f t="shared" si="205"/>
        <v>9344.0400000000009</v>
      </c>
      <c r="BD81" s="5197">
        <f>'Direct sales IPT details'!BD200</f>
        <v>0</v>
      </c>
      <c r="BE81" s="5989">
        <f t="shared" si="206"/>
        <v>14222.330000000002</v>
      </c>
      <c r="BF81" s="1137"/>
      <c r="BG81" s="1137"/>
      <c r="BH81" s="502"/>
      <c r="BI81" s="502"/>
      <c r="BJ81" s="502"/>
      <c r="BQ81" s="502"/>
      <c r="BR81" s="502"/>
      <c r="BS81" s="502"/>
      <c r="BT81" s="502"/>
      <c r="BU81" s="502"/>
      <c r="BV81" s="502"/>
      <c r="BW81" s="502"/>
      <c r="BX81" s="502"/>
      <c r="BY81" s="502"/>
      <c r="BZ81" s="502"/>
      <c r="CA81" s="502"/>
      <c r="CB81" s="502"/>
    </row>
    <row r="82" spans="2:80" s="1268" customFormat="1" ht="21.95" customHeight="1" thickBot="1" x14ac:dyDescent="0.3">
      <c r="B82" s="7997"/>
      <c r="C82" s="5992" t="s">
        <v>2066</v>
      </c>
      <c r="D82" s="6118"/>
      <c r="E82" s="6118">
        <f>'Direct sales IPT details'!E201</f>
        <v>0</v>
      </c>
      <c r="F82" s="6117"/>
      <c r="G82" s="6118">
        <v>0</v>
      </c>
      <c r="H82" s="1394"/>
      <c r="I82" s="5989">
        <f t="shared" si="192"/>
        <v>0</v>
      </c>
      <c r="J82" s="6261"/>
      <c r="K82" s="6118">
        <v>0</v>
      </c>
      <c r="L82" s="5195"/>
      <c r="M82" s="5268">
        <f t="shared" si="193"/>
        <v>0</v>
      </c>
      <c r="N82" s="6117"/>
      <c r="O82" s="6118">
        <v>0</v>
      </c>
      <c r="P82" s="6118"/>
      <c r="Q82" s="5989">
        <f t="shared" si="194"/>
        <v>0</v>
      </c>
      <c r="R82" s="6117"/>
      <c r="S82" s="6118">
        <v>0</v>
      </c>
      <c r="T82" s="1444">
        <f t="shared" ref="T82" si="207">P82+R82</f>
        <v>0</v>
      </c>
      <c r="U82" s="5989">
        <f t="shared" si="195"/>
        <v>0</v>
      </c>
      <c r="V82" s="6117"/>
      <c r="W82" s="6118">
        <f>'Direct sales IPT details'!W201</f>
        <v>2391.88</v>
      </c>
      <c r="X82" s="5988"/>
      <c r="Y82" s="5269">
        <f t="shared" si="196"/>
        <v>2391.88</v>
      </c>
      <c r="Z82" s="5985"/>
      <c r="AA82" s="5196">
        <f t="shared" si="197"/>
        <v>2391.88</v>
      </c>
      <c r="AB82" s="6119"/>
      <c r="AC82" s="6118">
        <f>'Direct sales IPT details'!AC201</f>
        <v>0</v>
      </c>
      <c r="AD82" s="6277"/>
      <c r="AE82" s="6203">
        <f t="shared" si="198"/>
        <v>2391.88</v>
      </c>
      <c r="AF82" s="6263"/>
      <c r="AG82" s="6118">
        <f>'Direct sales IPT details'!AG201</f>
        <v>0</v>
      </c>
      <c r="AH82" s="6118"/>
      <c r="AI82" s="5989">
        <f t="shared" si="199"/>
        <v>2391.88</v>
      </c>
      <c r="AJ82" s="6118"/>
      <c r="AK82" s="6118">
        <f>'Direct sales IPT details'!AK201</f>
        <v>0</v>
      </c>
      <c r="AL82" s="6119"/>
      <c r="AM82" s="5268">
        <f t="shared" si="200"/>
        <v>0</v>
      </c>
      <c r="AN82" s="6119"/>
      <c r="AO82" s="5989">
        <f t="shared" si="201"/>
        <v>2391.88</v>
      </c>
      <c r="AP82" s="6118">
        <v>0</v>
      </c>
      <c r="AQ82" s="6118">
        <f>'Direct sales IPT details'!AQ201</f>
        <v>0</v>
      </c>
      <c r="AR82" s="6118"/>
      <c r="AS82" s="5989">
        <f t="shared" si="202"/>
        <v>2391.88</v>
      </c>
      <c r="AT82" s="6118">
        <v>0</v>
      </c>
      <c r="AU82" s="6118">
        <f>'Direct sales IPT details'!AU201</f>
        <v>0</v>
      </c>
      <c r="AV82" s="6118"/>
      <c r="AW82" s="5989">
        <f t="shared" si="203"/>
        <v>2391.88</v>
      </c>
      <c r="AX82" s="6118"/>
      <c r="AY82" s="6118">
        <f>'Direct sales IPT details'!AY201</f>
        <v>0</v>
      </c>
      <c r="AZ82" s="5990"/>
      <c r="BA82" s="5269">
        <f t="shared" si="204"/>
        <v>0</v>
      </c>
      <c r="BB82" s="5986"/>
      <c r="BC82" s="5196">
        <f t="shared" si="205"/>
        <v>0</v>
      </c>
      <c r="BD82" s="5989"/>
      <c r="BE82" s="5989">
        <f t="shared" si="206"/>
        <v>2391.88</v>
      </c>
      <c r="BF82" s="1137"/>
      <c r="BG82" s="1137"/>
      <c r="BH82" s="502"/>
      <c r="BI82" s="502"/>
      <c r="BJ82" s="502"/>
      <c r="BQ82" s="502"/>
      <c r="BR82" s="502"/>
      <c r="BS82" s="502"/>
      <c r="BT82" s="502"/>
      <c r="BU82" s="502"/>
      <c r="BV82" s="502"/>
      <c r="BW82" s="502"/>
      <c r="BX82" s="502"/>
      <c r="BY82" s="502"/>
      <c r="BZ82" s="502"/>
      <c r="CA82" s="502"/>
      <c r="CB82" s="502"/>
    </row>
    <row r="83" spans="2:80" s="1268" customFormat="1" ht="21.95" customHeight="1" x14ac:dyDescent="0.25">
      <c r="B83" s="7997"/>
      <c r="C83" s="5992" t="s">
        <v>2040</v>
      </c>
      <c r="D83" s="5193"/>
      <c r="E83" s="5193">
        <f>'Direct sales IPT details'!E202</f>
        <v>0</v>
      </c>
      <c r="F83" s="5192"/>
      <c r="G83" s="5193">
        <f>'Direct sales IPT details'!G201</f>
        <v>0</v>
      </c>
      <c r="H83" s="1394">
        <f t="shared" si="191"/>
        <v>0</v>
      </c>
      <c r="I83" s="5989">
        <f t="shared" si="192"/>
        <v>0</v>
      </c>
      <c r="J83" s="6261"/>
      <c r="K83" s="5193">
        <f>'Direct sales IPT details'!K201</f>
        <v>0</v>
      </c>
      <c r="L83" s="5195"/>
      <c r="M83" s="5268">
        <f t="shared" si="193"/>
        <v>0</v>
      </c>
      <c r="N83" s="5192"/>
      <c r="O83" s="5193">
        <f>'Direct sales IPT details'!O201</f>
        <v>0</v>
      </c>
      <c r="P83" s="5193">
        <f>'Direct sales IPT details'!P201</f>
        <v>0</v>
      </c>
      <c r="Q83" s="5989">
        <f t="shared" si="194"/>
        <v>0</v>
      </c>
      <c r="R83" s="5192"/>
      <c r="S83" s="5193">
        <f>'Direct sales IPT details'!S202</f>
        <v>2542.38</v>
      </c>
      <c r="T83" s="1444">
        <f t="shared" si="172"/>
        <v>0</v>
      </c>
      <c r="U83" s="5989">
        <f t="shared" si="195"/>
        <v>2542.38</v>
      </c>
      <c r="V83" s="5192"/>
      <c r="W83" s="5193">
        <f>'Direct sales IPT details'!W202</f>
        <v>2589.14</v>
      </c>
      <c r="X83" s="5988"/>
      <c r="Y83" s="5269">
        <f t="shared" si="196"/>
        <v>5131.5200000000004</v>
      </c>
      <c r="Z83" s="5985"/>
      <c r="AA83" s="5196">
        <f t="shared" si="197"/>
        <v>5131.5200000000004</v>
      </c>
      <c r="AB83" s="5194"/>
      <c r="AC83" s="5193">
        <f>'Direct sales IPT details'!AC202</f>
        <v>0</v>
      </c>
      <c r="AD83" s="6277"/>
      <c r="AE83" s="6203">
        <f t="shared" si="198"/>
        <v>5131.5200000000004</v>
      </c>
      <c r="AF83" s="6263">
        <v>1</v>
      </c>
      <c r="AG83" s="5193">
        <f>'Direct sales IPT details'!AG202</f>
        <v>2314.94</v>
      </c>
      <c r="AH83" s="5193">
        <f>'Direct sales IPT details'!AH201</f>
        <v>0</v>
      </c>
      <c r="AI83" s="5989">
        <f t="shared" si="199"/>
        <v>7446.46</v>
      </c>
      <c r="AJ83" s="5193">
        <f>'Direct sales IPT details'!AJ201</f>
        <v>0</v>
      </c>
      <c r="AK83" s="5193">
        <f>'Direct sales IPT details'!AK202</f>
        <v>2034.8</v>
      </c>
      <c r="AL83" s="5194">
        <f>'Direct sales IPT details'!AL201</f>
        <v>0</v>
      </c>
      <c r="AM83" s="5268">
        <f t="shared" si="200"/>
        <v>4349.74</v>
      </c>
      <c r="AN83" s="5194">
        <f>'Direct sales IPT details'!AN201</f>
        <v>0</v>
      </c>
      <c r="AO83" s="5989">
        <f t="shared" si="201"/>
        <v>9481.2599999999984</v>
      </c>
      <c r="AP83" s="5193">
        <v>0</v>
      </c>
      <c r="AQ83" s="5193">
        <f>'Direct sales IPT details'!AQ202</f>
        <v>0</v>
      </c>
      <c r="AR83" s="5193">
        <f>'Direct sales IPT details'!AR201</f>
        <v>0</v>
      </c>
      <c r="AS83" s="5989">
        <f t="shared" si="202"/>
        <v>9481.2599999999984</v>
      </c>
      <c r="AT83" s="5193">
        <v>1</v>
      </c>
      <c r="AU83" s="5193">
        <f>'Direct sales IPT details'!AU202</f>
        <v>2140.31</v>
      </c>
      <c r="AV83" s="5193">
        <f>'Direct sales IPT details'!AV201</f>
        <v>0</v>
      </c>
      <c r="AW83" s="5989">
        <f t="shared" si="203"/>
        <v>11621.57</v>
      </c>
      <c r="AX83" s="5193"/>
      <c r="AY83" s="5193">
        <f>'Direct sales IPT details'!AY202</f>
        <v>0</v>
      </c>
      <c r="AZ83" s="5195">
        <f>'Direct sales IPT details'!AZ201</f>
        <v>0</v>
      </c>
      <c r="BA83" s="5269">
        <f t="shared" si="204"/>
        <v>2140.31</v>
      </c>
      <c r="BB83" s="5196">
        <f>'Direct sales IPT details'!BB201</f>
        <v>0</v>
      </c>
      <c r="BC83" s="5196">
        <f t="shared" si="205"/>
        <v>6490.0499999999993</v>
      </c>
      <c r="BD83" s="5197">
        <f>'Direct sales IPT details'!BD201</f>
        <v>0</v>
      </c>
      <c r="BE83" s="5989">
        <f t="shared" si="206"/>
        <v>11621.57</v>
      </c>
      <c r="BF83" s="1137"/>
      <c r="BG83" s="1137"/>
      <c r="BH83" s="502"/>
      <c r="BI83" s="502"/>
      <c r="BJ83" s="502"/>
      <c r="BQ83" s="502"/>
      <c r="BR83" s="502"/>
      <c r="BS83" s="502"/>
      <c r="BT83" s="502"/>
      <c r="BU83" s="502"/>
      <c r="BV83" s="502"/>
      <c r="BW83" s="502"/>
      <c r="BX83" s="502"/>
      <c r="BY83" s="502"/>
      <c r="BZ83" s="502"/>
      <c r="CA83" s="502"/>
      <c r="CB83" s="502"/>
    </row>
    <row r="84" spans="2:80" s="1268" customFormat="1" ht="21.95" customHeight="1" x14ac:dyDescent="0.25">
      <c r="B84" s="7997"/>
      <c r="C84" s="6244" t="s">
        <v>1305</v>
      </c>
      <c r="D84" s="6245">
        <f t="shared" ref="D84:E84" si="208">SUM(D80:D83)</f>
        <v>0</v>
      </c>
      <c r="E84" s="6245">
        <f t="shared" si="208"/>
        <v>13558</v>
      </c>
      <c r="F84" s="6245">
        <f t="shared" ref="F84:BE84" si="209">SUM(F80:F83)</f>
        <v>0</v>
      </c>
      <c r="G84" s="6245">
        <f t="shared" si="209"/>
        <v>2078.5</v>
      </c>
      <c r="H84" s="6245">
        <f t="shared" si="209"/>
        <v>0</v>
      </c>
      <c r="I84" s="6245">
        <f t="shared" si="209"/>
        <v>15636.5</v>
      </c>
      <c r="J84" s="6245">
        <f t="shared" si="209"/>
        <v>0</v>
      </c>
      <c r="K84" s="6245">
        <f t="shared" si="209"/>
        <v>0</v>
      </c>
      <c r="L84" s="6245">
        <f t="shared" si="209"/>
        <v>0</v>
      </c>
      <c r="M84" s="6245">
        <f t="shared" si="209"/>
        <v>15636.5</v>
      </c>
      <c r="N84" s="6245">
        <f t="shared" si="209"/>
        <v>0</v>
      </c>
      <c r="O84" s="6245">
        <f t="shared" si="209"/>
        <v>0</v>
      </c>
      <c r="P84" s="6245">
        <f t="shared" si="209"/>
        <v>0</v>
      </c>
      <c r="Q84" s="6245">
        <f t="shared" si="209"/>
        <v>15636.5</v>
      </c>
      <c r="R84" s="6245">
        <f t="shared" si="209"/>
        <v>0</v>
      </c>
      <c r="S84" s="6245">
        <f t="shared" si="209"/>
        <v>2542.38</v>
      </c>
      <c r="T84" s="6245">
        <f t="shared" si="209"/>
        <v>0</v>
      </c>
      <c r="U84" s="6245">
        <f t="shared" si="209"/>
        <v>18178.88</v>
      </c>
      <c r="V84" s="6245">
        <f t="shared" si="209"/>
        <v>0</v>
      </c>
      <c r="W84" s="6245">
        <f t="shared" si="209"/>
        <v>9859.31</v>
      </c>
      <c r="X84" s="6245">
        <f t="shared" si="209"/>
        <v>0</v>
      </c>
      <c r="Y84" s="6245">
        <f t="shared" si="209"/>
        <v>12401.69</v>
      </c>
      <c r="Z84" s="6245">
        <f t="shared" si="209"/>
        <v>0</v>
      </c>
      <c r="AA84" s="6245">
        <f t="shared" si="209"/>
        <v>28038.190000000002</v>
      </c>
      <c r="AB84" s="6245">
        <f t="shared" si="209"/>
        <v>0</v>
      </c>
      <c r="AC84" s="6245">
        <f t="shared" si="209"/>
        <v>4508.43</v>
      </c>
      <c r="AD84" s="6280">
        <f t="shared" si="209"/>
        <v>0</v>
      </c>
      <c r="AE84" s="6251">
        <f t="shared" si="209"/>
        <v>32546.620000000003</v>
      </c>
      <c r="AF84" s="6290">
        <f t="shared" si="209"/>
        <v>8</v>
      </c>
      <c r="AG84" s="6245">
        <f t="shared" ref="AG84" si="210">SUM(AG80:AG83)</f>
        <v>17443.419999999998</v>
      </c>
      <c r="AH84" s="6245">
        <f t="shared" si="209"/>
        <v>0</v>
      </c>
      <c r="AI84" s="6245">
        <f t="shared" si="199"/>
        <v>49990.039999999994</v>
      </c>
      <c r="AJ84" s="6245">
        <f t="shared" si="209"/>
        <v>0</v>
      </c>
      <c r="AK84" s="6245">
        <f t="shared" si="209"/>
        <v>22244.52</v>
      </c>
      <c r="AL84" s="6245">
        <f t="shared" si="209"/>
        <v>0</v>
      </c>
      <c r="AM84" s="6245">
        <f t="shared" si="209"/>
        <v>44196.37</v>
      </c>
      <c r="AN84" s="6245">
        <f t="shared" si="209"/>
        <v>0</v>
      </c>
      <c r="AO84" s="6245">
        <f t="shared" si="209"/>
        <v>72234.559999999998</v>
      </c>
      <c r="AP84" s="6245">
        <f t="shared" ref="AP84:AQ84" si="211">SUM(AP80:AP83)</f>
        <v>6</v>
      </c>
      <c r="AQ84" s="6245">
        <f t="shared" si="211"/>
        <v>13342.22</v>
      </c>
      <c r="AR84" s="6245">
        <f t="shared" si="209"/>
        <v>0</v>
      </c>
      <c r="AS84" s="6245">
        <f t="shared" si="209"/>
        <v>85576.780000000013</v>
      </c>
      <c r="AT84" s="6245">
        <f t="shared" si="209"/>
        <v>7</v>
      </c>
      <c r="AU84" s="6245">
        <f t="shared" si="209"/>
        <v>15686.539999999999</v>
      </c>
      <c r="AV84" s="6245">
        <f t="shared" si="209"/>
        <v>0</v>
      </c>
      <c r="AW84" s="6245">
        <f t="shared" si="209"/>
        <v>101263.32</v>
      </c>
      <c r="AX84" s="6245">
        <f t="shared" ref="AX84:AY84" si="212">SUM(AX80:AX83)</f>
        <v>0</v>
      </c>
      <c r="AY84" s="6245">
        <f t="shared" si="212"/>
        <v>12646.78</v>
      </c>
      <c r="AZ84" s="6245">
        <f t="shared" si="209"/>
        <v>0</v>
      </c>
      <c r="BA84" s="6245">
        <f t="shared" si="209"/>
        <v>41675.539999999994</v>
      </c>
      <c r="BB84" s="6245">
        <f t="shared" si="209"/>
        <v>0</v>
      </c>
      <c r="BC84" s="6245">
        <f t="shared" si="209"/>
        <v>85871.909999999989</v>
      </c>
      <c r="BD84" s="6245">
        <f t="shared" si="209"/>
        <v>0</v>
      </c>
      <c r="BE84" s="6245">
        <f t="shared" si="209"/>
        <v>113910.1</v>
      </c>
      <c r="BF84" s="1137"/>
      <c r="BG84" s="1137"/>
      <c r="BH84" s="25"/>
      <c r="BI84" s="502"/>
      <c r="BJ84" s="502"/>
      <c r="BQ84" s="502"/>
      <c r="BR84" s="502"/>
      <c r="BS84" s="502"/>
      <c r="BT84" s="502"/>
      <c r="BU84" s="502"/>
      <c r="BV84" s="502"/>
      <c r="BW84" s="502"/>
      <c r="BX84" s="502"/>
      <c r="BY84" s="502"/>
      <c r="BZ84" s="502"/>
      <c r="CA84" s="502"/>
      <c r="CB84" s="502"/>
    </row>
    <row r="85" spans="2:80" ht="15.75" customHeight="1" x14ac:dyDescent="0.25">
      <c r="B85" s="7997"/>
      <c r="C85" s="6105"/>
      <c r="D85" s="4487"/>
      <c r="E85" s="6105"/>
      <c r="F85" s="6105"/>
      <c r="G85" s="6105"/>
      <c r="H85" s="6105"/>
      <c r="I85" s="6105"/>
      <c r="J85" s="6248"/>
      <c r="K85" s="6248"/>
      <c r="L85" s="6105"/>
      <c r="M85" s="6105"/>
      <c r="N85" s="6105"/>
      <c r="O85" s="6105"/>
      <c r="P85" s="6105"/>
      <c r="Q85" s="6105"/>
      <c r="R85" s="6105"/>
      <c r="S85" s="6105"/>
      <c r="T85" s="6105"/>
      <c r="U85" s="6105"/>
      <c r="V85" s="6105"/>
      <c r="W85" s="6105"/>
      <c r="X85" s="6105"/>
      <c r="Y85" s="6105"/>
      <c r="Z85" s="6105"/>
      <c r="AA85" s="6105"/>
      <c r="AB85" s="6105"/>
      <c r="AC85" s="6105"/>
      <c r="AD85" s="6281"/>
      <c r="AG85" s="6105"/>
      <c r="AK85" s="6105"/>
      <c r="AP85" s="4487"/>
      <c r="AQ85" s="6105"/>
      <c r="AT85" s="4487"/>
      <c r="AU85" s="6105"/>
      <c r="AX85" s="4487"/>
      <c r="AY85" s="6105"/>
      <c r="BF85" s="1137"/>
      <c r="BG85" s="1137"/>
      <c r="BH85" s="502"/>
      <c r="BI85" s="502"/>
      <c r="BJ85" s="502"/>
      <c r="BK85" s="4487"/>
      <c r="BL85" s="4487"/>
      <c r="BM85" s="4487"/>
      <c r="BN85" s="4487"/>
      <c r="BO85" s="4487"/>
      <c r="BP85" s="4487"/>
      <c r="BQ85" s="502"/>
      <c r="BR85" s="502"/>
      <c r="BS85" s="502"/>
      <c r="BT85" s="502"/>
      <c r="BU85" s="502"/>
      <c r="BV85" s="502"/>
      <c r="BW85" s="502"/>
      <c r="BX85" s="502"/>
      <c r="BY85" s="502"/>
      <c r="BZ85" s="502"/>
      <c r="CA85" s="502"/>
      <c r="CB85" s="502"/>
    </row>
    <row r="86" spans="2:80" s="4233" customFormat="1" ht="16.5" thickBot="1" x14ac:dyDescent="0.3">
      <c r="B86" s="7997"/>
      <c r="C86" s="6254" t="s">
        <v>1862</v>
      </c>
      <c r="D86" s="6255">
        <f t="shared" ref="D86:E86" si="213">+SUM(D87:D88)</f>
        <v>0</v>
      </c>
      <c r="E86" s="6255">
        <f t="shared" si="213"/>
        <v>7173</v>
      </c>
      <c r="F86" s="6255">
        <f t="shared" ref="F86:BE86" si="214">+SUM(F87:F88)</f>
        <v>0</v>
      </c>
      <c r="G86" s="6255">
        <f t="shared" si="214"/>
        <v>10196</v>
      </c>
      <c r="H86" s="6255">
        <f t="shared" si="214"/>
        <v>0</v>
      </c>
      <c r="I86" s="6255">
        <f t="shared" si="214"/>
        <v>17369</v>
      </c>
      <c r="J86" s="6255">
        <f t="shared" si="214"/>
        <v>0</v>
      </c>
      <c r="K86" s="6255">
        <f t="shared" si="214"/>
        <v>0</v>
      </c>
      <c r="L86" s="6255">
        <f t="shared" si="214"/>
        <v>0</v>
      </c>
      <c r="M86" s="6255">
        <f t="shared" si="214"/>
        <v>17369</v>
      </c>
      <c r="N86" s="6255">
        <f t="shared" si="214"/>
        <v>0</v>
      </c>
      <c r="O86" s="6255">
        <f t="shared" si="214"/>
        <v>3764</v>
      </c>
      <c r="P86" s="6255">
        <f t="shared" si="214"/>
        <v>0</v>
      </c>
      <c r="Q86" s="6255">
        <f t="shared" si="214"/>
        <v>21133</v>
      </c>
      <c r="R86" s="6255">
        <f t="shared" si="214"/>
        <v>0</v>
      </c>
      <c r="S86" s="6255">
        <f t="shared" si="214"/>
        <v>0</v>
      </c>
      <c r="T86" s="6255">
        <f t="shared" si="214"/>
        <v>0</v>
      </c>
      <c r="U86" s="6255">
        <f t="shared" si="214"/>
        <v>21133</v>
      </c>
      <c r="V86" s="6255">
        <f t="shared" si="214"/>
        <v>0</v>
      </c>
      <c r="W86" s="6255">
        <f t="shared" si="214"/>
        <v>0</v>
      </c>
      <c r="X86" s="6255">
        <f t="shared" si="214"/>
        <v>0</v>
      </c>
      <c r="Y86" s="6255">
        <f t="shared" si="214"/>
        <v>3764</v>
      </c>
      <c r="Z86" s="6255">
        <f t="shared" si="214"/>
        <v>0</v>
      </c>
      <c r="AA86" s="6255">
        <f t="shared" si="214"/>
        <v>21133</v>
      </c>
      <c r="AB86" s="6255">
        <f t="shared" si="214"/>
        <v>0</v>
      </c>
      <c r="AC86" s="6255">
        <f t="shared" si="214"/>
        <v>3476.11</v>
      </c>
      <c r="AD86" s="6255">
        <f t="shared" si="214"/>
        <v>0</v>
      </c>
      <c r="AE86" s="6255">
        <f t="shared" si="214"/>
        <v>24609.11</v>
      </c>
      <c r="AF86" s="6257">
        <f t="shared" si="214"/>
        <v>1</v>
      </c>
      <c r="AG86" s="6255">
        <f t="shared" si="214"/>
        <v>3090.62</v>
      </c>
      <c r="AH86" s="6255">
        <f t="shared" si="214"/>
        <v>0</v>
      </c>
      <c r="AI86" s="6255">
        <f t="shared" si="214"/>
        <v>27699.73</v>
      </c>
      <c r="AJ86" s="6255">
        <f t="shared" si="214"/>
        <v>0</v>
      </c>
      <c r="AK86" s="6255">
        <f t="shared" ref="AK86" si="215">+SUM(AK87:AK88)</f>
        <v>3105.11</v>
      </c>
      <c r="AL86" s="6255">
        <f t="shared" si="214"/>
        <v>0</v>
      </c>
      <c r="AM86" s="6255">
        <f t="shared" si="214"/>
        <v>9671.84</v>
      </c>
      <c r="AN86" s="6255">
        <f t="shared" si="214"/>
        <v>0</v>
      </c>
      <c r="AO86" s="6255">
        <f t="shared" si="214"/>
        <v>30804.84</v>
      </c>
      <c r="AP86" s="6255">
        <f t="shared" ref="AP86" si="216">+SUM(AP87:AP88)</f>
        <v>2</v>
      </c>
      <c r="AQ86" s="6255">
        <f t="shared" ref="AQ86" si="217">+SUM(AQ87:AQ88)</f>
        <v>6210.87</v>
      </c>
      <c r="AR86" s="6255">
        <f t="shared" si="214"/>
        <v>0</v>
      </c>
      <c r="AS86" s="6255">
        <f t="shared" si="214"/>
        <v>37015.71</v>
      </c>
      <c r="AT86" s="6255">
        <f t="shared" ref="AT86:AU86" si="218">+SUM(AT87:AT88)</f>
        <v>0</v>
      </c>
      <c r="AU86" s="6255">
        <f t="shared" si="218"/>
        <v>0</v>
      </c>
      <c r="AV86" s="6255">
        <f t="shared" si="214"/>
        <v>0</v>
      </c>
      <c r="AW86" s="6255">
        <f t="shared" si="214"/>
        <v>37015.71</v>
      </c>
      <c r="AX86" s="6255">
        <f t="shared" ref="AX86:AY86" si="219">+SUM(AX87:AX88)</f>
        <v>0</v>
      </c>
      <c r="AY86" s="6255">
        <f t="shared" si="219"/>
        <v>3277.84</v>
      </c>
      <c r="AZ86" s="6255">
        <f t="shared" si="214"/>
        <v>0</v>
      </c>
      <c r="BA86" s="6255">
        <f t="shared" si="214"/>
        <v>9488.7099999999991</v>
      </c>
      <c r="BB86" s="6255">
        <f t="shared" si="214"/>
        <v>0</v>
      </c>
      <c r="BC86" s="6255">
        <f t="shared" si="214"/>
        <v>19160.55</v>
      </c>
      <c r="BD86" s="6255">
        <f t="shared" si="214"/>
        <v>0</v>
      </c>
      <c r="BE86" s="6255">
        <f t="shared" si="214"/>
        <v>40293.550000000003</v>
      </c>
      <c r="BF86" s="1137"/>
      <c r="BG86" s="1137"/>
      <c r="BH86" s="4487"/>
      <c r="BI86" s="502"/>
      <c r="BJ86" s="502"/>
      <c r="BK86" s="4487"/>
      <c r="BL86" s="4487"/>
      <c r="BM86" s="4487"/>
      <c r="BN86" s="4487"/>
      <c r="BO86" s="4487"/>
      <c r="BP86" s="4487"/>
      <c r="BQ86" s="502"/>
      <c r="BR86" s="502"/>
      <c r="BS86" s="502"/>
      <c r="BT86" s="502"/>
      <c r="BU86" s="502"/>
      <c r="BV86" s="502"/>
      <c r="BW86" s="502"/>
      <c r="BX86" s="502"/>
      <c r="BY86" s="502"/>
      <c r="BZ86" s="502"/>
      <c r="CA86" s="502"/>
      <c r="CB86" s="502"/>
    </row>
    <row r="87" spans="2:80" ht="18.75" x14ac:dyDescent="0.25">
      <c r="B87" s="7997"/>
      <c r="C87" s="6249" t="s">
        <v>1750</v>
      </c>
      <c r="D87" s="5194"/>
      <c r="E87" s="6118"/>
      <c r="F87" s="5983"/>
      <c r="G87" s="6118">
        <v>10196</v>
      </c>
      <c r="H87" s="6201">
        <f t="shared" si="191"/>
        <v>0</v>
      </c>
      <c r="I87" s="5989">
        <f t="shared" ref="I87:I88" si="220">+G87+E87</f>
        <v>10196</v>
      </c>
      <c r="J87" s="5983"/>
      <c r="K87" s="6118">
        <v>0</v>
      </c>
      <c r="L87" s="5984"/>
      <c r="M87" s="5268">
        <f t="shared" ref="M87:M88" si="221">+E87+G87+K87</f>
        <v>10196</v>
      </c>
      <c r="N87" s="5983"/>
      <c r="O87" s="6118">
        <v>3764</v>
      </c>
      <c r="P87" s="5989">
        <f t="shared" ref="P87" si="222">L87+N87</f>
        <v>0</v>
      </c>
      <c r="Q87" s="5989">
        <f t="shared" ref="Q87:Q88" si="223">+E87+G87+K87+O87</f>
        <v>13960</v>
      </c>
      <c r="R87" s="5983"/>
      <c r="S87" s="6118">
        <v>0</v>
      </c>
      <c r="T87" s="5989">
        <f t="shared" si="172"/>
        <v>0</v>
      </c>
      <c r="U87" s="5989">
        <f t="shared" ref="U87:U88" si="224">+E87+S87+O87+K87+G87</f>
        <v>13960</v>
      </c>
      <c r="V87" s="5983"/>
      <c r="W87" s="6118">
        <v>0</v>
      </c>
      <c r="X87" s="5990"/>
      <c r="Y87" s="5269">
        <f t="shared" ref="Y87:Y88" si="225">+O87+S87+W87</f>
        <v>3764</v>
      </c>
      <c r="Z87" s="6252"/>
      <c r="AA87" s="5196">
        <f t="shared" ref="AA87:AA88" si="226">+W87+S87+O87+K87+G87+E87</f>
        <v>13960</v>
      </c>
      <c r="AB87" s="5983"/>
      <c r="AC87" s="6118">
        <v>0</v>
      </c>
      <c r="AD87" s="6274"/>
      <c r="AE87" s="6203">
        <f t="shared" ref="AE87:AE88" si="227">+AC87+W87+S87+O87+K87+G87+E87</f>
        <v>13960</v>
      </c>
      <c r="AF87" s="6247"/>
      <c r="AG87" s="6118"/>
      <c r="AH87" s="5200">
        <f t="shared" ref="AH87" si="228">AD87+AF87</f>
        <v>0</v>
      </c>
      <c r="AI87" s="5989">
        <f t="shared" si="199"/>
        <v>13960</v>
      </c>
      <c r="AJ87" s="5194"/>
      <c r="AK87" s="6118"/>
      <c r="AL87" s="5190">
        <f t="shared" ref="AL87:AM88" si="229">+AB87+AF87+AJ87</f>
        <v>0</v>
      </c>
      <c r="AM87" s="5268">
        <f t="shared" si="229"/>
        <v>0</v>
      </c>
      <c r="AN87" s="5189">
        <f t="shared" ref="AN87" si="230">AH87+AJ87</f>
        <v>0</v>
      </c>
      <c r="AO87" s="5989">
        <f t="shared" ref="AO87:AO95" si="231">+AK87+AG87+AC87+W87+S87+O87+K87+G87+E87</f>
        <v>13960</v>
      </c>
      <c r="AP87" s="5194">
        <v>0</v>
      </c>
      <c r="AQ87" s="6118">
        <v>0</v>
      </c>
      <c r="AR87" s="5197">
        <f t="shared" ref="AR87" si="232">AN87+AP87</f>
        <v>0</v>
      </c>
      <c r="AS87" s="5989">
        <f t="shared" ref="AS87:AS88" si="233">+AQ87+AK87+AG87+AC87+W87+S87+O87+K87+G87+E87</f>
        <v>13960</v>
      </c>
      <c r="AT87" s="5194"/>
      <c r="AU87" s="6118"/>
      <c r="AV87" s="5197">
        <f t="shared" ref="AV87" si="234">AR87+AT87</f>
        <v>0</v>
      </c>
      <c r="AW87" s="5989">
        <f t="shared" ref="AW87:AW88" si="235">+AU87+AQ87+AK87+AG87+AC87+W87+S87+O87+K87+G87+E87</f>
        <v>13960</v>
      </c>
      <c r="AX87" s="5194"/>
      <c r="AY87" s="6118"/>
      <c r="AZ87" s="5195">
        <f t="shared" ref="AZ87:BA88" si="236">+AP87+AT87+AX87</f>
        <v>0</v>
      </c>
      <c r="BA87" s="5269">
        <f t="shared" si="236"/>
        <v>0</v>
      </c>
      <c r="BB87" s="5199">
        <f t="shared" ref="BB87:BC88" si="237">AL87+AZ87</f>
        <v>0</v>
      </c>
      <c r="BC87" s="5196">
        <f t="shared" si="237"/>
        <v>0</v>
      </c>
      <c r="BD87" s="1394">
        <f t="shared" ref="BD87" si="238">AV87+AX87</f>
        <v>0</v>
      </c>
      <c r="BE87" s="5989">
        <f t="shared" ref="BE87:BE88" si="239">+BC87+AA87</f>
        <v>13960</v>
      </c>
      <c r="BF87" s="1137"/>
      <c r="BG87" s="1137"/>
      <c r="BH87" s="4487"/>
      <c r="BI87" s="502"/>
      <c r="BJ87" s="502"/>
      <c r="BK87" s="4487"/>
      <c r="BL87" s="4487"/>
      <c r="BM87" s="4487"/>
      <c r="BN87" s="4487"/>
      <c r="BO87" s="4487"/>
      <c r="BP87" s="4487"/>
      <c r="BQ87" s="502"/>
      <c r="BR87" s="502"/>
      <c r="BS87" s="502"/>
      <c r="BT87" s="502"/>
      <c r="BU87" s="502"/>
      <c r="BV87" s="502"/>
      <c r="BW87" s="502"/>
      <c r="BX87" s="502"/>
      <c r="BY87" s="502"/>
      <c r="BZ87" s="502"/>
      <c r="CA87" s="502"/>
      <c r="CB87" s="502"/>
    </row>
    <row r="88" spans="2:80" s="4487" customFormat="1" ht="18.75" x14ac:dyDescent="0.25">
      <c r="B88" s="7997"/>
      <c r="C88" s="6249" t="s">
        <v>2081</v>
      </c>
      <c r="D88" s="6119"/>
      <c r="E88" s="6118">
        <v>7173</v>
      </c>
      <c r="F88" s="5983"/>
      <c r="G88" s="6118">
        <v>0</v>
      </c>
      <c r="H88" s="6201"/>
      <c r="I88" s="5989">
        <f t="shared" si="220"/>
        <v>7173</v>
      </c>
      <c r="J88" s="5983"/>
      <c r="K88" s="6118">
        <v>0</v>
      </c>
      <c r="L88" s="5984"/>
      <c r="M88" s="5268">
        <f t="shared" si="221"/>
        <v>7173</v>
      </c>
      <c r="N88" s="5983"/>
      <c r="O88" s="6118">
        <v>0</v>
      </c>
      <c r="P88" s="5989"/>
      <c r="Q88" s="5989">
        <f t="shared" si="223"/>
        <v>7173</v>
      </c>
      <c r="R88" s="5983"/>
      <c r="S88" s="6118">
        <v>0</v>
      </c>
      <c r="T88" s="5989"/>
      <c r="U88" s="5989">
        <f t="shared" si="224"/>
        <v>7173</v>
      </c>
      <c r="V88" s="5983"/>
      <c r="W88" s="6118">
        <v>0</v>
      </c>
      <c r="X88" s="5990"/>
      <c r="Y88" s="5269">
        <f t="shared" si="225"/>
        <v>0</v>
      </c>
      <c r="Z88" s="6252"/>
      <c r="AA88" s="5196">
        <f t="shared" si="226"/>
        <v>7173</v>
      </c>
      <c r="AB88" s="5983"/>
      <c r="AC88" s="6118">
        <v>3476.11</v>
      </c>
      <c r="AD88" s="6274"/>
      <c r="AE88" s="6203">
        <f t="shared" si="227"/>
        <v>10649.11</v>
      </c>
      <c r="AF88" s="6247">
        <v>1</v>
      </c>
      <c r="AG88" s="6118">
        <v>3090.62</v>
      </c>
      <c r="AH88" s="6201"/>
      <c r="AI88" s="5989">
        <f t="shared" si="199"/>
        <v>13739.73</v>
      </c>
      <c r="AJ88" s="6119"/>
      <c r="AK88" s="6118">
        <v>3105.11</v>
      </c>
      <c r="AL88" s="5984"/>
      <c r="AM88" s="5268">
        <f t="shared" si="229"/>
        <v>9671.84</v>
      </c>
      <c r="AN88" s="6202"/>
      <c r="AO88" s="5989">
        <f t="shared" si="231"/>
        <v>16844.84</v>
      </c>
      <c r="AP88" s="6119">
        <v>2</v>
      </c>
      <c r="AQ88" s="6118">
        <v>6210.87</v>
      </c>
      <c r="AR88" s="5989"/>
      <c r="AS88" s="5989">
        <f t="shared" si="233"/>
        <v>23055.71</v>
      </c>
      <c r="AT88" s="6119"/>
      <c r="AU88" s="6118"/>
      <c r="AV88" s="5989"/>
      <c r="AW88" s="5989">
        <f t="shared" si="235"/>
        <v>23055.71</v>
      </c>
      <c r="AX88" s="6119"/>
      <c r="AY88" s="6118">
        <v>3277.84</v>
      </c>
      <c r="AZ88" s="5990"/>
      <c r="BA88" s="5269">
        <f t="shared" si="236"/>
        <v>9488.7099999999991</v>
      </c>
      <c r="BB88" s="5985"/>
      <c r="BC88" s="5196">
        <f t="shared" si="237"/>
        <v>19160.55</v>
      </c>
      <c r="BD88" s="4240"/>
      <c r="BE88" s="5989">
        <f t="shared" si="239"/>
        <v>26333.55</v>
      </c>
      <c r="BF88" s="1137"/>
      <c r="BG88" s="1137"/>
      <c r="BI88" s="502"/>
      <c r="BJ88" s="502"/>
      <c r="BQ88" s="502"/>
      <c r="BR88" s="502"/>
      <c r="BS88" s="502"/>
      <c r="BT88" s="502"/>
      <c r="BU88" s="502"/>
      <c r="BV88" s="502"/>
      <c r="BW88" s="502"/>
      <c r="BX88" s="502"/>
      <c r="BY88" s="502"/>
      <c r="BZ88" s="502"/>
      <c r="CA88" s="502"/>
      <c r="CB88" s="502"/>
    </row>
    <row r="89" spans="2:80" s="4487" customFormat="1" ht="15.75" x14ac:dyDescent="0.25">
      <c r="B89" s="7997"/>
      <c r="C89" s="6254" t="s">
        <v>1863</v>
      </c>
      <c r="D89" s="6255">
        <f t="shared" ref="D89" si="240">+D90+D91+D92</f>
        <v>0</v>
      </c>
      <c r="E89" s="6255">
        <f>+E90+E91+E92</f>
        <v>0</v>
      </c>
      <c r="F89" s="6255">
        <f t="shared" ref="F89:AJ89" si="241">+F90+F91+F92</f>
        <v>0</v>
      </c>
      <c r="G89" s="6255">
        <f t="shared" si="241"/>
        <v>0</v>
      </c>
      <c r="H89" s="6255">
        <f t="shared" si="241"/>
        <v>0</v>
      </c>
      <c r="I89" s="6255">
        <f t="shared" si="241"/>
        <v>0</v>
      </c>
      <c r="J89" s="6255">
        <f t="shared" si="241"/>
        <v>0</v>
      </c>
      <c r="K89" s="6255">
        <f t="shared" si="241"/>
        <v>0</v>
      </c>
      <c r="L89" s="6255">
        <f t="shared" si="241"/>
        <v>0</v>
      </c>
      <c r="M89" s="6255">
        <f t="shared" si="241"/>
        <v>0</v>
      </c>
      <c r="N89" s="6255">
        <f t="shared" si="241"/>
        <v>0</v>
      </c>
      <c r="O89" s="6255">
        <f t="shared" si="241"/>
        <v>2771.29</v>
      </c>
      <c r="P89" s="6255">
        <f t="shared" si="241"/>
        <v>0</v>
      </c>
      <c r="Q89" s="6255">
        <f t="shared" si="241"/>
        <v>2771.29</v>
      </c>
      <c r="R89" s="6255">
        <f t="shared" si="241"/>
        <v>0</v>
      </c>
      <c r="S89" s="6255">
        <f t="shared" si="241"/>
        <v>0</v>
      </c>
      <c r="T89" s="6255">
        <f t="shared" si="241"/>
        <v>0</v>
      </c>
      <c r="U89" s="6255">
        <f t="shared" si="241"/>
        <v>2771.29</v>
      </c>
      <c r="V89" s="6255">
        <f t="shared" si="241"/>
        <v>0</v>
      </c>
      <c r="W89" s="6255">
        <f t="shared" si="241"/>
        <v>3223</v>
      </c>
      <c r="X89" s="6255">
        <f t="shared" si="241"/>
        <v>0</v>
      </c>
      <c r="Y89" s="6255">
        <f t="shared" si="241"/>
        <v>5994.29</v>
      </c>
      <c r="Z89" s="6255">
        <f t="shared" si="241"/>
        <v>0</v>
      </c>
      <c r="AA89" s="6255">
        <f t="shared" si="241"/>
        <v>5994.29</v>
      </c>
      <c r="AB89" s="6255">
        <f t="shared" si="241"/>
        <v>0</v>
      </c>
      <c r="AC89" s="6255">
        <f t="shared" si="241"/>
        <v>0</v>
      </c>
      <c r="AD89" s="6282">
        <f t="shared" si="241"/>
        <v>0</v>
      </c>
      <c r="AE89" s="6255">
        <f t="shared" si="241"/>
        <v>5994.29</v>
      </c>
      <c r="AF89" s="6257">
        <f t="shared" si="241"/>
        <v>0</v>
      </c>
      <c r="AG89" s="6255">
        <f t="shared" si="241"/>
        <v>2863.49</v>
      </c>
      <c r="AH89" s="6255">
        <f t="shared" si="241"/>
        <v>0</v>
      </c>
      <c r="AI89" s="6255">
        <f t="shared" si="241"/>
        <v>8857.7799999999988</v>
      </c>
      <c r="AJ89" s="6255">
        <f t="shared" si="241"/>
        <v>0</v>
      </c>
      <c r="AK89" s="6255">
        <f>+AK90+AK91+AK92</f>
        <v>3698.75</v>
      </c>
      <c r="AL89" s="6255">
        <f t="shared" ref="AL89:BE89" si="242">+AL90+AL91+AL92</f>
        <v>0</v>
      </c>
      <c r="AM89" s="6255">
        <f t="shared" si="242"/>
        <v>6562.24</v>
      </c>
      <c r="AN89" s="6255">
        <f t="shared" si="242"/>
        <v>0</v>
      </c>
      <c r="AO89" s="6255">
        <f t="shared" si="242"/>
        <v>12556.53</v>
      </c>
      <c r="AP89" s="6255">
        <f t="shared" si="242"/>
        <v>1</v>
      </c>
      <c r="AQ89" s="6255">
        <f>+AQ90+AQ91+AQ92</f>
        <v>2673.7</v>
      </c>
      <c r="AR89" s="6255">
        <f t="shared" si="242"/>
        <v>0</v>
      </c>
      <c r="AS89" s="6255">
        <f t="shared" si="242"/>
        <v>15230.23</v>
      </c>
      <c r="AT89" s="6255">
        <f t="shared" ref="AT89" si="243">+AT90+AT91+AT92</f>
        <v>0</v>
      </c>
      <c r="AU89" s="6255">
        <f>+AU90+AU91+AU92</f>
        <v>0</v>
      </c>
      <c r="AV89" s="6255">
        <f t="shared" si="242"/>
        <v>0</v>
      </c>
      <c r="AW89" s="6255">
        <f t="shared" si="242"/>
        <v>15230.229999999998</v>
      </c>
      <c r="AX89" s="6255">
        <f t="shared" si="242"/>
        <v>0</v>
      </c>
      <c r="AY89" s="6255">
        <f>+AY90+AY91+AY92</f>
        <v>0</v>
      </c>
      <c r="AZ89" s="6255">
        <f t="shared" si="242"/>
        <v>0</v>
      </c>
      <c r="BA89" s="6255">
        <f t="shared" si="242"/>
        <v>2673.7</v>
      </c>
      <c r="BB89" s="6255">
        <f t="shared" si="242"/>
        <v>0</v>
      </c>
      <c r="BC89" s="6255">
        <f t="shared" si="242"/>
        <v>9235.9399999999987</v>
      </c>
      <c r="BD89" s="6255">
        <f t="shared" si="242"/>
        <v>0</v>
      </c>
      <c r="BE89" s="6255">
        <f t="shared" si="242"/>
        <v>15230.23</v>
      </c>
      <c r="BF89" s="1137"/>
      <c r="BG89" s="1137"/>
      <c r="BI89" s="502"/>
      <c r="BJ89" s="502"/>
      <c r="BQ89" s="502"/>
      <c r="BR89" s="502"/>
      <c r="BS89" s="502"/>
      <c r="BT89" s="502"/>
      <c r="BU89" s="502"/>
      <c r="BV89" s="502"/>
      <c r="BW89" s="502"/>
      <c r="BX89" s="502"/>
      <c r="BY89" s="502"/>
      <c r="BZ89" s="502"/>
      <c r="CA89" s="502"/>
      <c r="CB89" s="502"/>
    </row>
    <row r="90" spans="2:80" s="4487" customFormat="1" ht="15.75" hidden="1" x14ac:dyDescent="0.25">
      <c r="B90" s="7997"/>
      <c r="C90" s="6250" t="s">
        <v>1861</v>
      </c>
      <c r="D90" s="5194">
        <f>'Direct sales IPT details'!D204</f>
        <v>0</v>
      </c>
      <c r="E90" s="6119">
        <f>'Direct sales IPT details'!E204</f>
        <v>0</v>
      </c>
      <c r="F90" s="5983"/>
      <c r="G90" s="6119">
        <f>'Direct sales IPT details'!G204</f>
        <v>0</v>
      </c>
      <c r="H90" s="6201">
        <f t="shared" si="191"/>
        <v>0</v>
      </c>
      <c r="I90" s="5989">
        <f t="shared" ref="I90:I91" si="244">+G90+E90</f>
        <v>0</v>
      </c>
      <c r="J90" s="5983"/>
      <c r="K90" s="6119">
        <f>'Direct sales IPT details'!K204</f>
        <v>0</v>
      </c>
      <c r="L90" s="5984"/>
      <c r="M90" s="5268">
        <f t="shared" ref="M90:M91" si="245">+E90+G90+K90</f>
        <v>0</v>
      </c>
      <c r="N90" s="5983"/>
      <c r="O90" s="6119">
        <f>'Direct sales IPT details'!O204</f>
        <v>0</v>
      </c>
      <c r="P90" s="5989">
        <f>'Direct sales IPT details'!P204</f>
        <v>0</v>
      </c>
      <c r="Q90" s="5989">
        <f t="shared" ref="Q90:Q91" si="246">+E90+G90+K90+O90</f>
        <v>0</v>
      </c>
      <c r="R90" s="5983"/>
      <c r="S90" s="6119">
        <f>'Direct sales IPT details'!S204</f>
        <v>0</v>
      </c>
      <c r="T90" s="5989">
        <f t="shared" si="172"/>
        <v>0</v>
      </c>
      <c r="U90" s="5989">
        <f t="shared" ref="U90:U91" si="247">+E90+S90+O90+K90+G90</f>
        <v>0</v>
      </c>
      <c r="V90" s="5983"/>
      <c r="W90" s="6119">
        <f>'Direct sales IPT details'!W204</f>
        <v>0</v>
      </c>
      <c r="X90" s="5990"/>
      <c r="Y90" s="5269">
        <f t="shared" ref="Y90:Y91" si="248">+O90+S90+W90</f>
        <v>0</v>
      </c>
      <c r="Z90" s="6252"/>
      <c r="AA90" s="5196">
        <f t="shared" ref="AA90:AA91" si="249">+W90+S90+O90+K90+G90+E90</f>
        <v>0</v>
      </c>
      <c r="AB90" s="5983"/>
      <c r="AC90" s="6119">
        <f>'Direct sales IPT details'!AC204</f>
        <v>0</v>
      </c>
      <c r="AD90" s="6274"/>
      <c r="AE90" s="6203">
        <f t="shared" ref="AE90:AE91" si="250">+AC90+W90+S90+O90+K90+G90+E90</f>
        <v>0</v>
      </c>
      <c r="AF90" s="6247">
        <f>'Direct sales IPT details'!AF204</f>
        <v>0</v>
      </c>
      <c r="AG90" s="6119">
        <f>'Direct sales IPT details'!AG204</f>
        <v>0</v>
      </c>
      <c r="AH90" s="5200">
        <f>'Direct sales IPT details'!AH204</f>
        <v>0</v>
      </c>
      <c r="AI90" s="5989">
        <f t="shared" si="199"/>
        <v>0</v>
      </c>
      <c r="AJ90" s="5194">
        <f>'Direct sales IPT details'!AJ204</f>
        <v>0</v>
      </c>
      <c r="AK90" s="6119">
        <f>'Direct sales IPT details'!AK204</f>
        <v>0</v>
      </c>
      <c r="AL90" s="5190">
        <f>'Direct sales IPT details'!AL204</f>
        <v>0</v>
      </c>
      <c r="AM90" s="5268">
        <f t="shared" ref="AM90:AM91" si="251">+AC90+AG90+AK90</f>
        <v>0</v>
      </c>
      <c r="AN90" s="5189">
        <f>'Direct sales IPT details'!AN204</f>
        <v>0</v>
      </c>
      <c r="AO90" s="5989">
        <f t="shared" si="231"/>
        <v>0</v>
      </c>
      <c r="AP90" s="5194">
        <f>'Direct sales IPT details'!AP204</f>
        <v>0</v>
      </c>
      <c r="AQ90" s="6119">
        <f>'Direct sales IPT details'!AQ204</f>
        <v>0</v>
      </c>
      <c r="AR90" s="5197">
        <f>'Direct sales IPT details'!AR204</f>
        <v>0</v>
      </c>
      <c r="AS90" s="5989">
        <f t="shared" ref="AS90:AS91" si="252">+AQ90+AK90+AG90+AC90+W90+S90+O90+K90+G90+E90</f>
        <v>0</v>
      </c>
      <c r="AT90" s="5194">
        <f>'Direct sales IPT details'!AT204</f>
        <v>0</v>
      </c>
      <c r="AU90" s="6119">
        <f>'Direct sales IPT details'!AU204</f>
        <v>0</v>
      </c>
      <c r="AV90" s="5197">
        <f>'Direct sales IPT details'!AV204</f>
        <v>0</v>
      </c>
      <c r="AW90" s="5197">
        <f>'Direct sales IPT details'!AW204</f>
        <v>0</v>
      </c>
      <c r="AX90" s="5194">
        <f>'Direct sales IPT details'!AX204</f>
        <v>0</v>
      </c>
      <c r="AY90" s="6119">
        <f>'Direct sales IPT details'!AY204</f>
        <v>0</v>
      </c>
      <c r="AZ90" s="5195">
        <f>'Direct sales IPT details'!AZ204</f>
        <v>0</v>
      </c>
      <c r="BA90" s="5269">
        <f t="shared" ref="BA90:BA91" si="253">+AQ90+AU90+AY90</f>
        <v>0</v>
      </c>
      <c r="BB90" s="5199">
        <f>'Direct sales IPT details'!BB204</f>
        <v>0</v>
      </c>
      <c r="BC90" s="5196">
        <f t="shared" ref="BC90:BC91" si="254">AM90+BA90</f>
        <v>0</v>
      </c>
      <c r="BD90" s="5189">
        <f>'Direct sales IPT details'!BD204</f>
        <v>0</v>
      </c>
      <c r="BE90" s="5989">
        <f t="shared" ref="BE90:BE91" si="255">+BC90+AA90</f>
        <v>0</v>
      </c>
      <c r="BF90" s="1137"/>
      <c r="BG90" s="1137"/>
      <c r="BI90" s="502"/>
      <c r="BJ90" s="502"/>
      <c r="BQ90" s="502"/>
      <c r="BR90" s="502"/>
      <c r="BS90" s="502"/>
      <c r="BT90" s="502"/>
      <c r="BU90" s="502"/>
      <c r="BV90" s="502"/>
      <c r="BW90" s="502"/>
      <c r="BX90" s="502"/>
      <c r="BY90" s="502"/>
      <c r="BZ90" s="502"/>
      <c r="CA90" s="502"/>
      <c r="CB90" s="502"/>
    </row>
    <row r="91" spans="2:80" s="4487" customFormat="1" ht="15.75" x14ac:dyDescent="0.25">
      <c r="B91" s="7997"/>
      <c r="C91" s="6250" t="s">
        <v>1540</v>
      </c>
      <c r="D91" s="5194">
        <f>'Direct sales IPT details'!D205</f>
        <v>0</v>
      </c>
      <c r="E91" s="6119">
        <f>'Direct sales IPT details'!E205</f>
        <v>0</v>
      </c>
      <c r="F91" s="5983"/>
      <c r="G91" s="6119">
        <f>'Direct sales IPT details'!G205</f>
        <v>0</v>
      </c>
      <c r="H91" s="6201">
        <f t="shared" si="191"/>
        <v>0</v>
      </c>
      <c r="I91" s="5989">
        <f t="shared" si="244"/>
        <v>0</v>
      </c>
      <c r="J91" s="5983"/>
      <c r="K91" s="6119">
        <f>'Direct sales IPT details'!K205</f>
        <v>0</v>
      </c>
      <c r="L91" s="5984"/>
      <c r="M91" s="5268">
        <f t="shared" si="245"/>
        <v>0</v>
      </c>
      <c r="N91" s="5983"/>
      <c r="O91" s="6119">
        <f>'Direct sales IPT details'!O205</f>
        <v>2771.29</v>
      </c>
      <c r="P91" s="5989">
        <f>'Direct sales IPT details'!P205</f>
        <v>0</v>
      </c>
      <c r="Q91" s="5989">
        <f t="shared" si="246"/>
        <v>2771.29</v>
      </c>
      <c r="R91" s="5983"/>
      <c r="S91" s="6119">
        <f>'Direct sales IPT details'!S205</f>
        <v>0</v>
      </c>
      <c r="T91" s="5989">
        <f t="shared" si="172"/>
        <v>0</v>
      </c>
      <c r="U91" s="5989">
        <f t="shared" si="247"/>
        <v>2771.29</v>
      </c>
      <c r="V91" s="5983"/>
      <c r="W91" s="6119">
        <f>'Direct sales IPT details'!W205</f>
        <v>3223</v>
      </c>
      <c r="X91" s="5990"/>
      <c r="Y91" s="5269">
        <f t="shared" si="248"/>
        <v>5994.29</v>
      </c>
      <c r="Z91" s="6252"/>
      <c r="AA91" s="5196">
        <f t="shared" si="249"/>
        <v>5994.29</v>
      </c>
      <c r="AB91" s="5983"/>
      <c r="AC91" s="6119">
        <f>'Direct sales IPT details'!AC205</f>
        <v>0</v>
      </c>
      <c r="AD91" s="6274"/>
      <c r="AE91" s="6203">
        <f t="shared" si="250"/>
        <v>5994.29</v>
      </c>
      <c r="AF91" s="6247">
        <f>'Direct sales IPT details'!AF205</f>
        <v>0</v>
      </c>
      <c r="AG91" s="6119">
        <f>'Direct sales IPT details'!AG205</f>
        <v>2863.49</v>
      </c>
      <c r="AH91" s="5200">
        <f>'Direct sales IPT details'!AH205</f>
        <v>0</v>
      </c>
      <c r="AI91" s="5989">
        <f t="shared" si="199"/>
        <v>8857.7799999999988</v>
      </c>
      <c r="AJ91" s="5194">
        <f>'Direct sales IPT details'!AJ205</f>
        <v>0</v>
      </c>
      <c r="AK91" s="6119">
        <f>'Direct sales IPT details'!AK205</f>
        <v>262.06</v>
      </c>
      <c r="AL91" s="5190">
        <f>'Direct sales IPT details'!AL205</f>
        <v>0</v>
      </c>
      <c r="AM91" s="5268">
        <f t="shared" si="251"/>
        <v>3125.5499999999997</v>
      </c>
      <c r="AN91" s="5189">
        <f>'Direct sales IPT details'!AN205</f>
        <v>0</v>
      </c>
      <c r="AO91" s="5989">
        <f t="shared" si="231"/>
        <v>9119.84</v>
      </c>
      <c r="AP91" s="5194">
        <f>'Direct sales IPT details'!AP205</f>
        <v>0</v>
      </c>
      <c r="AQ91" s="6119">
        <f>'Direct sales IPT details'!AQ205</f>
        <v>0</v>
      </c>
      <c r="AR91" s="5197">
        <f>'Direct sales IPT details'!AR205</f>
        <v>0</v>
      </c>
      <c r="AS91" s="5989">
        <f t="shared" si="252"/>
        <v>9119.84</v>
      </c>
      <c r="AT91" s="5194">
        <f>'Direct sales IPT details'!AT205</f>
        <v>0</v>
      </c>
      <c r="AU91" s="6119">
        <f>'Direct sales IPT details'!AU205</f>
        <v>0</v>
      </c>
      <c r="AV91" s="5197">
        <f>'Direct sales IPT details'!AV205</f>
        <v>0</v>
      </c>
      <c r="AW91" s="5197">
        <f>'Direct sales IPT details'!AW205</f>
        <v>9119.8399999999983</v>
      </c>
      <c r="AX91" s="5194">
        <f>'Direct sales IPT details'!AX205</f>
        <v>0</v>
      </c>
      <c r="AY91" s="6119">
        <f>'Direct sales IPT details'!AY205</f>
        <v>0</v>
      </c>
      <c r="AZ91" s="5195">
        <f>'Direct sales IPT details'!AZ205</f>
        <v>0</v>
      </c>
      <c r="BA91" s="5269">
        <f t="shared" si="253"/>
        <v>0</v>
      </c>
      <c r="BB91" s="5199">
        <f>'Direct sales IPT details'!BB205</f>
        <v>0</v>
      </c>
      <c r="BC91" s="5196">
        <f t="shared" si="254"/>
        <v>3125.5499999999997</v>
      </c>
      <c r="BD91" s="5189">
        <f>'Direct sales IPT details'!BD205</f>
        <v>0</v>
      </c>
      <c r="BE91" s="5989">
        <f t="shared" si="255"/>
        <v>9119.84</v>
      </c>
      <c r="BF91" s="1137"/>
      <c r="BG91" s="1137"/>
      <c r="BI91" s="502"/>
      <c r="BJ91" s="502"/>
      <c r="BQ91" s="502"/>
      <c r="BR91" s="502"/>
      <c r="BS91" s="502"/>
      <c r="BT91" s="502"/>
      <c r="BU91" s="502"/>
      <c r="BV91" s="502"/>
      <c r="BW91" s="502"/>
      <c r="BX91" s="502"/>
      <c r="BY91" s="502"/>
      <c r="BZ91" s="502"/>
      <c r="CA91" s="502"/>
      <c r="CB91" s="502"/>
    </row>
    <row r="92" spans="2:80" s="139" customFormat="1" ht="15.75" x14ac:dyDescent="0.25">
      <c r="B92" s="7997"/>
      <c r="C92" s="6262" t="s">
        <v>1071</v>
      </c>
      <c r="D92" s="5194"/>
      <c r="E92" s="6119">
        <f>'Direct sales IPT details'!E206</f>
        <v>0</v>
      </c>
      <c r="F92" s="5983"/>
      <c r="G92" s="6119">
        <f>'Direct sales IPT details'!G206</f>
        <v>0</v>
      </c>
      <c r="H92" s="6201">
        <f t="shared" ref="H92" si="256">+D92+F92</f>
        <v>0</v>
      </c>
      <c r="I92" s="5989">
        <f t="shared" ref="I92" si="257">+G92+E92</f>
        <v>0</v>
      </c>
      <c r="J92" s="5983"/>
      <c r="K92" s="6119">
        <f>'Direct sales IPT details'!K206</f>
        <v>0</v>
      </c>
      <c r="L92" s="5984"/>
      <c r="M92" s="5268">
        <f t="shared" ref="M92" si="258">+E92+G92+K92</f>
        <v>0</v>
      </c>
      <c r="N92" s="5983"/>
      <c r="O92" s="6119">
        <f>'Direct sales IPT details'!O206</f>
        <v>0</v>
      </c>
      <c r="P92" s="5989">
        <f>'Direct sales IPT details'!P206</f>
        <v>0</v>
      </c>
      <c r="Q92" s="5989">
        <f t="shared" ref="Q92" si="259">+E92+G92+K92+O92</f>
        <v>0</v>
      </c>
      <c r="R92" s="5983"/>
      <c r="S92" s="6119">
        <f>'Direct sales IPT details'!S206</f>
        <v>0</v>
      </c>
      <c r="T92" s="5989">
        <f t="shared" ref="T92" si="260">P92+R92</f>
        <v>0</v>
      </c>
      <c r="U92" s="5989">
        <f t="shared" ref="U92" si="261">+E92+S92+O92+K92+G92</f>
        <v>0</v>
      </c>
      <c r="V92" s="5983"/>
      <c r="W92" s="6119">
        <f>'Direct sales IPT details'!W206</f>
        <v>0</v>
      </c>
      <c r="X92" s="5990"/>
      <c r="Y92" s="5269">
        <f t="shared" ref="Y92" si="262">+O92+S92+W92</f>
        <v>0</v>
      </c>
      <c r="Z92" s="6252"/>
      <c r="AA92" s="5196">
        <f t="shared" ref="AA92" si="263">+W92+S92+O92+K92+G92+E92</f>
        <v>0</v>
      </c>
      <c r="AB92" s="5983"/>
      <c r="AC92" s="6119">
        <f>'Direct sales IPT details'!AC206</f>
        <v>0</v>
      </c>
      <c r="AD92" s="6274"/>
      <c r="AE92" s="6203">
        <f t="shared" ref="AE92" si="264">+AC92+W92+S92+O92+K92+G92+E92</f>
        <v>0</v>
      </c>
      <c r="AF92" s="6247">
        <f>'Direct sales IPT details'!AF206</f>
        <v>0</v>
      </c>
      <c r="AG92" s="6119">
        <f>'Direct sales IPT details'!AG206</f>
        <v>0</v>
      </c>
      <c r="AH92" s="5200">
        <f>'Direct sales IPT details'!AH206</f>
        <v>0</v>
      </c>
      <c r="AI92" s="5989">
        <f t="shared" ref="AI92" si="265">+AG92+AC92+W92+S92+O92+K92+G92+E92</f>
        <v>0</v>
      </c>
      <c r="AJ92" s="5194">
        <f>'Direct sales IPT details'!AJ206</f>
        <v>0</v>
      </c>
      <c r="AK92" s="6119">
        <f>'Direct sales IPT details'!AK206</f>
        <v>3436.69</v>
      </c>
      <c r="AL92" s="5190">
        <f>'Direct sales IPT details'!AL206</f>
        <v>0</v>
      </c>
      <c r="AM92" s="5268">
        <f t="shared" ref="AM92" si="266">+AC92+AG92+AK92</f>
        <v>3436.69</v>
      </c>
      <c r="AN92" s="5189">
        <f>'Direct sales IPT details'!AN206</f>
        <v>0</v>
      </c>
      <c r="AO92" s="5989">
        <f t="shared" ref="AO92" si="267">+AK92+AG92+AC92+W92+S92+O92+K92+G92+E92</f>
        <v>3436.69</v>
      </c>
      <c r="AP92" s="5194">
        <v>1</v>
      </c>
      <c r="AQ92" s="6119">
        <f>'Direct sales IPT details'!AQ206</f>
        <v>2673.7</v>
      </c>
      <c r="AR92" s="5197">
        <f>'Direct sales IPT details'!AR206</f>
        <v>0</v>
      </c>
      <c r="AS92" s="5989">
        <f t="shared" ref="AS92" si="268">+AQ92+AK92+AG92+AC92+W92+S92+O92+K92+G92+E92</f>
        <v>6110.3899999999994</v>
      </c>
      <c r="AT92" s="5194"/>
      <c r="AU92" s="6119">
        <f>'Direct sales IPT details'!AU206</f>
        <v>0</v>
      </c>
      <c r="AV92" s="5197">
        <f>'Direct sales IPT details'!AV206</f>
        <v>0</v>
      </c>
      <c r="AW92" s="5197">
        <f>'Direct sales IPT details'!AW206</f>
        <v>6110.3899999999994</v>
      </c>
      <c r="AX92" s="5194"/>
      <c r="AY92" s="6119">
        <f>'Direct sales IPT details'!AY206</f>
        <v>0</v>
      </c>
      <c r="AZ92" s="5195">
        <f>'Direct sales IPT details'!AZ206</f>
        <v>0</v>
      </c>
      <c r="BA92" s="5269">
        <f t="shared" ref="BA92" si="269">+AQ92+AU92+AY92</f>
        <v>2673.7</v>
      </c>
      <c r="BB92" s="5199">
        <f>'Direct sales IPT details'!BB206</f>
        <v>0</v>
      </c>
      <c r="BC92" s="5196">
        <f t="shared" ref="BC92" si="270">AM92+BA92</f>
        <v>6110.3899999999994</v>
      </c>
      <c r="BD92" s="5189">
        <f>'Direct sales IPT details'!BD206</f>
        <v>0</v>
      </c>
      <c r="BE92" s="5989">
        <f t="shared" ref="BE92" si="271">+BC92+AA92</f>
        <v>6110.3899999999994</v>
      </c>
      <c r="BF92" s="1137"/>
      <c r="BG92" s="1137"/>
      <c r="BH92" s="4487"/>
      <c r="BI92" s="502"/>
      <c r="BJ92" s="502" t="s">
        <v>2350</v>
      </c>
      <c r="BK92" s="4487"/>
      <c r="BL92" s="4487"/>
      <c r="BQ92" s="6260"/>
      <c r="BR92" s="6260"/>
      <c r="BS92" s="6260"/>
      <c r="BT92" s="6260"/>
      <c r="BU92" s="6260"/>
      <c r="BV92" s="6260"/>
      <c r="BW92" s="6260"/>
      <c r="BX92" s="6260"/>
      <c r="BY92" s="6260"/>
      <c r="BZ92" s="6260"/>
      <c r="CA92" s="6260"/>
      <c r="CB92" s="6260"/>
    </row>
    <row r="93" spans="2:80" s="4487" customFormat="1" ht="15.75" x14ac:dyDescent="0.25">
      <c r="B93" s="7997"/>
      <c r="C93" s="6254" t="s">
        <v>2169</v>
      </c>
      <c r="D93" s="6255"/>
      <c r="E93" s="6255">
        <v>0</v>
      </c>
      <c r="F93" s="6255"/>
      <c r="G93" s="6255">
        <v>1388.63</v>
      </c>
      <c r="H93" s="6255"/>
      <c r="I93" s="6256">
        <f t="shared" ref="I93" si="272">+G93+E93</f>
        <v>1388.63</v>
      </c>
      <c r="J93" s="6255"/>
      <c r="K93" s="6255">
        <v>0</v>
      </c>
      <c r="L93" s="6255"/>
      <c r="M93" s="6264">
        <f t="shared" ref="M93" si="273">+E93+G93+K93</f>
        <v>1388.63</v>
      </c>
      <c r="N93" s="6255"/>
      <c r="O93" s="6255">
        <v>1462.73</v>
      </c>
      <c r="P93" s="6255"/>
      <c r="Q93" s="6256">
        <f t="shared" ref="Q93" si="274">+E93+G93+K93+O93</f>
        <v>2851.36</v>
      </c>
      <c r="R93" s="6255"/>
      <c r="S93" s="6255">
        <v>0</v>
      </c>
      <c r="T93" s="6255"/>
      <c r="U93" s="6256">
        <f t="shared" ref="U93" si="275">+E93+S93+O93+K93+G93</f>
        <v>2851.36</v>
      </c>
      <c r="V93" s="6255"/>
      <c r="W93" s="6255">
        <v>0</v>
      </c>
      <c r="X93" s="6255"/>
      <c r="Y93" s="6265">
        <f t="shared" ref="Y93" si="276">+O93+S93+W93</f>
        <v>1462.73</v>
      </c>
      <c r="Z93" s="6255"/>
      <c r="AA93" s="6266">
        <f t="shared" ref="AA93" si="277">+W93+S93+O93+K93+G93+E93</f>
        <v>2851.36</v>
      </c>
      <c r="AB93" s="6255"/>
      <c r="AC93" s="6255">
        <v>0</v>
      </c>
      <c r="AD93" s="6282"/>
      <c r="AE93" s="6255">
        <f t="shared" ref="AE93" si="278">+AC93+W93+S93+O93+K93+G93+E93</f>
        <v>2851.36</v>
      </c>
      <c r="AF93" s="6257"/>
      <c r="AG93" s="6255">
        <v>0</v>
      </c>
      <c r="AH93" s="6255"/>
      <c r="AI93" s="6256">
        <f t="shared" si="199"/>
        <v>2851.36</v>
      </c>
      <c r="AJ93" s="6255"/>
      <c r="AK93" s="6255">
        <v>0</v>
      </c>
      <c r="AL93" s="6255"/>
      <c r="AM93" s="6264">
        <f t="shared" ref="AM93" si="279">+AC93+AG93+AK93</f>
        <v>0</v>
      </c>
      <c r="AN93" s="6255"/>
      <c r="AO93" s="6256">
        <f t="shared" si="231"/>
        <v>2851.36</v>
      </c>
      <c r="AP93" s="6255"/>
      <c r="AQ93" s="6255">
        <v>0</v>
      </c>
      <c r="AR93" s="6255"/>
      <c r="AS93" s="6256">
        <f t="shared" ref="AS93" si="280">+AQ93+AK93+AG93+AC93+W93+S93+O93+K93+G93+E93</f>
        <v>2851.36</v>
      </c>
      <c r="AT93" s="6255"/>
      <c r="AU93" s="6255">
        <v>0</v>
      </c>
      <c r="AV93" s="6255"/>
      <c r="AW93" s="6256">
        <f t="shared" ref="AW93" si="281">+AU93+AQ93+AK93+AG93+AC93+W93+S93+O93+K93+G93+E93</f>
        <v>2851.36</v>
      </c>
      <c r="AX93" s="6255"/>
      <c r="AY93" s="6255">
        <v>0</v>
      </c>
      <c r="AZ93" s="6255"/>
      <c r="BA93" s="6265">
        <f t="shared" ref="BA93" si="282">+AQ93+AU93+AY93</f>
        <v>0</v>
      </c>
      <c r="BB93" s="6255"/>
      <c r="BC93" s="6266">
        <f t="shared" ref="BC93" si="283">AM93+BA93</f>
        <v>0</v>
      </c>
      <c r="BD93" s="6255"/>
      <c r="BE93" s="6256">
        <f t="shared" ref="BE93" si="284">+BC93+AA93</f>
        <v>2851.36</v>
      </c>
      <c r="BF93" s="1137"/>
      <c r="BG93" s="1137"/>
      <c r="BI93" s="502"/>
      <c r="BJ93" s="502"/>
      <c r="BQ93" s="502"/>
      <c r="BR93" s="502"/>
      <c r="BS93" s="502"/>
      <c r="BT93" s="502"/>
      <c r="BU93" s="502"/>
      <c r="BV93" s="502"/>
      <c r="BW93" s="502"/>
      <c r="BX93" s="502"/>
      <c r="BY93" s="502"/>
      <c r="BZ93" s="502"/>
      <c r="CA93" s="502"/>
      <c r="CB93" s="502"/>
    </row>
    <row r="94" spans="2:80" s="139" customFormat="1" ht="15.75" x14ac:dyDescent="0.25">
      <c r="B94" s="7997"/>
      <c r="C94" s="6258"/>
      <c r="D94" s="5987"/>
      <c r="E94" s="5987"/>
      <c r="F94" s="5987"/>
      <c r="G94" s="5987"/>
      <c r="H94" s="5987"/>
      <c r="I94" s="5987"/>
      <c r="J94" s="5987"/>
      <c r="K94" s="5987"/>
      <c r="L94" s="5987"/>
      <c r="M94" s="5987"/>
      <c r="N94" s="5987"/>
      <c r="O94" s="5987"/>
      <c r="P94" s="5987"/>
      <c r="Q94" s="5987"/>
      <c r="R94" s="5987"/>
      <c r="S94" s="5987"/>
      <c r="T94" s="5987"/>
      <c r="U94" s="5987"/>
      <c r="V94" s="5987"/>
      <c r="W94" s="5987"/>
      <c r="X94" s="5987"/>
      <c r="Y94" s="5987"/>
      <c r="Z94" s="5987"/>
      <c r="AA94" s="5987"/>
      <c r="AB94" s="5987"/>
      <c r="AC94" s="5987"/>
      <c r="AD94" s="6279"/>
      <c r="AE94" s="5987"/>
      <c r="AF94" s="6259"/>
      <c r="AG94" s="5987"/>
      <c r="AH94" s="5987"/>
      <c r="AI94" s="5987"/>
      <c r="AJ94" s="5987"/>
      <c r="AK94" s="5987"/>
      <c r="AL94" s="5987"/>
      <c r="AM94" s="5987"/>
      <c r="AN94" s="5987"/>
      <c r="AO94" s="5987"/>
      <c r="AP94" s="5987"/>
      <c r="AQ94" s="5987"/>
      <c r="AR94" s="5987"/>
      <c r="AS94" s="5987"/>
      <c r="AT94" s="5987"/>
      <c r="AU94" s="5987"/>
      <c r="AV94" s="5987"/>
      <c r="AW94" s="5987"/>
      <c r="AX94" s="5987"/>
      <c r="AY94" s="5987"/>
      <c r="AZ94" s="5987"/>
      <c r="BA94" s="5987"/>
      <c r="BB94" s="5987"/>
      <c r="BC94" s="5987"/>
      <c r="BD94" s="5987"/>
      <c r="BE94" s="5987"/>
      <c r="BF94" s="1137"/>
      <c r="BG94" s="1137"/>
      <c r="BH94" s="4487"/>
      <c r="BI94" s="502"/>
      <c r="BJ94" s="502"/>
      <c r="BK94" s="4487"/>
      <c r="BL94" s="4487"/>
      <c r="BQ94" s="6260"/>
      <c r="BR94" s="6260"/>
      <c r="BS94" s="6260"/>
      <c r="BT94" s="6260"/>
      <c r="BU94" s="6260"/>
      <c r="BV94" s="6260"/>
      <c r="BW94" s="6260"/>
      <c r="BX94" s="6260"/>
      <c r="BY94" s="6260"/>
      <c r="BZ94" s="6260"/>
      <c r="CA94" s="6260"/>
      <c r="CB94" s="6260"/>
    </row>
    <row r="95" spans="2:80" s="4487" customFormat="1" ht="18.75" x14ac:dyDescent="0.25">
      <c r="B95" s="7997"/>
      <c r="C95" s="6253" t="s">
        <v>143</v>
      </c>
      <c r="D95" s="6251">
        <f t="shared" ref="D95:E95" si="285">+D86+D89+D93</f>
        <v>0</v>
      </c>
      <c r="E95" s="6251">
        <f t="shared" si="285"/>
        <v>7173</v>
      </c>
      <c r="F95" s="6251">
        <f t="shared" ref="F95:BE95" si="286">+F86+F89+F93</f>
        <v>0</v>
      </c>
      <c r="G95" s="6251">
        <f t="shared" si="286"/>
        <v>11584.630000000001</v>
      </c>
      <c r="H95" s="6251">
        <f t="shared" si="286"/>
        <v>0</v>
      </c>
      <c r="I95" s="6251">
        <f t="shared" si="286"/>
        <v>18757.63</v>
      </c>
      <c r="J95" s="6251">
        <f t="shared" si="286"/>
        <v>0</v>
      </c>
      <c r="K95" s="6251">
        <f t="shared" si="286"/>
        <v>0</v>
      </c>
      <c r="L95" s="6251">
        <f t="shared" si="286"/>
        <v>0</v>
      </c>
      <c r="M95" s="6251">
        <f t="shared" si="286"/>
        <v>18757.63</v>
      </c>
      <c r="N95" s="6251">
        <f t="shared" si="286"/>
        <v>0</v>
      </c>
      <c r="O95" s="6251">
        <f t="shared" si="286"/>
        <v>7998.02</v>
      </c>
      <c r="P95" s="6251">
        <f t="shared" si="286"/>
        <v>0</v>
      </c>
      <c r="Q95" s="6251">
        <f t="shared" si="286"/>
        <v>26755.65</v>
      </c>
      <c r="R95" s="6251">
        <f t="shared" si="286"/>
        <v>0</v>
      </c>
      <c r="S95" s="6251">
        <f t="shared" si="286"/>
        <v>0</v>
      </c>
      <c r="T95" s="6251">
        <f t="shared" si="286"/>
        <v>0</v>
      </c>
      <c r="U95" s="6251">
        <f t="shared" si="286"/>
        <v>26755.65</v>
      </c>
      <c r="V95" s="6251">
        <f t="shared" si="286"/>
        <v>0</v>
      </c>
      <c r="W95" s="6251">
        <f t="shared" si="286"/>
        <v>3223</v>
      </c>
      <c r="X95" s="6251">
        <f t="shared" si="286"/>
        <v>0</v>
      </c>
      <c r="Y95" s="6251">
        <f t="shared" si="286"/>
        <v>11221.02</v>
      </c>
      <c r="Z95" s="6251">
        <f t="shared" si="286"/>
        <v>0</v>
      </c>
      <c r="AA95" s="6251">
        <f t="shared" si="286"/>
        <v>29978.65</v>
      </c>
      <c r="AB95" s="6251">
        <f t="shared" si="286"/>
        <v>0</v>
      </c>
      <c r="AC95" s="6251">
        <f t="shared" si="286"/>
        <v>3476.11</v>
      </c>
      <c r="AD95" s="6280">
        <f t="shared" si="286"/>
        <v>0</v>
      </c>
      <c r="AE95" s="6251">
        <f t="shared" si="286"/>
        <v>33454.76</v>
      </c>
      <c r="AF95" s="6290">
        <f t="shared" si="286"/>
        <v>1</v>
      </c>
      <c r="AG95" s="6251">
        <f t="shared" ref="AG95" si="287">+AG86+AG89+AG93</f>
        <v>5954.11</v>
      </c>
      <c r="AH95" s="6251">
        <f t="shared" si="286"/>
        <v>0</v>
      </c>
      <c r="AI95" s="6251">
        <f t="shared" si="199"/>
        <v>39408.869999999995</v>
      </c>
      <c r="AJ95" s="6251">
        <f t="shared" si="286"/>
        <v>0</v>
      </c>
      <c r="AK95" s="6251">
        <f t="shared" si="286"/>
        <v>6803.8600000000006</v>
      </c>
      <c r="AL95" s="6251">
        <f t="shared" si="286"/>
        <v>0</v>
      </c>
      <c r="AM95" s="6251">
        <f t="shared" si="286"/>
        <v>16234.08</v>
      </c>
      <c r="AN95" s="6251">
        <f t="shared" si="286"/>
        <v>0</v>
      </c>
      <c r="AO95" s="6251">
        <f t="shared" si="231"/>
        <v>46212.73</v>
      </c>
      <c r="AP95" s="6251">
        <f t="shared" ref="AP95:AQ95" si="288">+AP86+AP89+AP93</f>
        <v>3</v>
      </c>
      <c r="AQ95" s="6251">
        <f t="shared" si="288"/>
        <v>8884.57</v>
      </c>
      <c r="AR95" s="6251">
        <f t="shared" si="286"/>
        <v>0</v>
      </c>
      <c r="AS95" s="6251">
        <f t="shared" si="286"/>
        <v>55097.3</v>
      </c>
      <c r="AT95" s="6251">
        <f t="shared" si="286"/>
        <v>0</v>
      </c>
      <c r="AU95" s="6251">
        <f t="shared" si="286"/>
        <v>0</v>
      </c>
      <c r="AV95" s="6251">
        <f t="shared" si="286"/>
        <v>0</v>
      </c>
      <c r="AW95" s="6251">
        <f>+AW86+AW89+AW93</f>
        <v>55097.299999999996</v>
      </c>
      <c r="AX95" s="6251">
        <f t="shared" ref="AX95:AY95" si="289">+AX86+AX89+AX93</f>
        <v>0</v>
      </c>
      <c r="AY95" s="6251">
        <f t="shared" si="289"/>
        <v>3277.84</v>
      </c>
      <c r="AZ95" s="6251">
        <f t="shared" si="286"/>
        <v>0</v>
      </c>
      <c r="BA95" s="6251">
        <f t="shared" si="286"/>
        <v>12162.41</v>
      </c>
      <c r="BB95" s="6251">
        <f t="shared" si="286"/>
        <v>0</v>
      </c>
      <c r="BC95" s="6251">
        <f t="shared" si="286"/>
        <v>28396.489999999998</v>
      </c>
      <c r="BD95" s="6251">
        <f t="shared" si="286"/>
        <v>0</v>
      </c>
      <c r="BE95" s="6251">
        <f t="shared" si="286"/>
        <v>58375.14</v>
      </c>
      <c r="BF95" s="1137"/>
      <c r="BG95" s="1137"/>
      <c r="BH95" s="25"/>
      <c r="BI95" s="502"/>
      <c r="BJ95" s="502"/>
      <c r="BQ95" s="502"/>
      <c r="BR95" s="502"/>
      <c r="BS95" s="502"/>
      <c r="BT95" s="502"/>
      <c r="BU95" s="502"/>
      <c r="BV95" s="502"/>
      <c r="BW95" s="502"/>
      <c r="BX95" s="502"/>
      <c r="BY95" s="502"/>
      <c r="BZ95" s="502"/>
      <c r="CA95" s="502"/>
      <c r="CB95" s="502"/>
    </row>
    <row r="96" spans="2:80" x14ac:dyDescent="0.25">
      <c r="D96" s="4487"/>
      <c r="E96" s="4487"/>
      <c r="F96" s="4487"/>
      <c r="G96" s="4487"/>
      <c r="H96" s="4487"/>
      <c r="I96" s="4487"/>
      <c r="J96" s="4487"/>
      <c r="K96" s="4487"/>
      <c r="L96" s="4487"/>
      <c r="M96" s="4487"/>
      <c r="N96" s="4487"/>
      <c r="O96" s="4487"/>
      <c r="P96" s="4487"/>
      <c r="Q96" s="4487"/>
      <c r="R96" s="4487"/>
      <c r="S96" s="4487"/>
      <c r="AA96" s="4487"/>
      <c r="AB96" s="4487"/>
      <c r="AC96" s="4487"/>
      <c r="AD96" s="4487"/>
      <c r="AE96" s="4487"/>
      <c r="AF96" s="4487"/>
      <c r="AG96" s="4487"/>
      <c r="AH96" s="4487"/>
      <c r="AI96" s="4487"/>
      <c r="AJ96" s="4487"/>
      <c r="AK96" s="4487"/>
      <c r="AL96" s="4487"/>
      <c r="AM96" s="4487"/>
      <c r="AN96" s="4487"/>
      <c r="AO96" s="4487"/>
      <c r="AP96" s="4487"/>
      <c r="AQ96" s="4487"/>
      <c r="AR96" s="4487"/>
      <c r="AS96" s="4487"/>
      <c r="AT96" s="4487"/>
      <c r="AU96" s="4487"/>
      <c r="AV96" s="4487"/>
      <c r="AW96" s="4487"/>
      <c r="AX96" s="4487"/>
      <c r="AY96" s="4487"/>
      <c r="AZ96" s="4487"/>
      <c r="BA96" s="4487"/>
      <c r="BB96" s="4487"/>
      <c r="BC96" s="4487"/>
      <c r="BD96" s="4487"/>
      <c r="BE96" s="4487"/>
      <c r="BF96" s="1137"/>
      <c r="BG96" s="1137"/>
      <c r="BH96" s="4487"/>
      <c r="BI96" s="4487"/>
      <c r="BJ96" s="4487"/>
      <c r="BK96" s="4487"/>
      <c r="BL96" s="4487"/>
    </row>
    <row r="97" spans="2:60" ht="23.25" x14ac:dyDescent="0.35">
      <c r="B97" s="5201" t="s">
        <v>1866</v>
      </c>
      <c r="D97" s="4487"/>
      <c r="E97" s="4487"/>
      <c r="F97" s="4487"/>
      <c r="G97" s="4487"/>
      <c r="H97" s="4487"/>
      <c r="I97" s="4487"/>
      <c r="J97" s="4487"/>
      <c r="K97" s="4487"/>
      <c r="L97" s="4487"/>
      <c r="M97" s="4487"/>
      <c r="N97" s="4487"/>
      <c r="O97" s="4487"/>
      <c r="P97" s="4487"/>
      <c r="Q97" s="4487"/>
      <c r="R97" s="4487"/>
      <c r="S97" s="4487"/>
      <c r="AA97" s="4487"/>
      <c r="AB97" s="4487"/>
      <c r="AC97" s="4487"/>
      <c r="AD97" s="4487"/>
      <c r="AE97" s="4487"/>
      <c r="AF97" s="4487"/>
      <c r="AG97" s="4487"/>
      <c r="AH97" s="4487"/>
      <c r="AI97" s="4487"/>
      <c r="AJ97" s="4487"/>
      <c r="AK97" s="4487"/>
      <c r="AL97" s="4487"/>
      <c r="AM97" s="4487"/>
      <c r="AN97" s="4487"/>
      <c r="AO97" s="4487"/>
      <c r="AP97" s="4487"/>
      <c r="AQ97" s="4487"/>
      <c r="AR97" s="4487"/>
      <c r="AS97" s="4487"/>
      <c r="AT97" s="4487"/>
      <c r="AU97" s="4487"/>
      <c r="AV97" s="4487"/>
      <c r="AW97" s="4487"/>
      <c r="AX97" s="4487"/>
      <c r="AY97" s="4487"/>
      <c r="AZ97" s="4487"/>
      <c r="BA97" s="4487"/>
      <c r="BB97" s="4487"/>
      <c r="BC97" s="4487"/>
      <c r="BD97" s="4487"/>
      <c r="BE97" s="4487"/>
      <c r="BF97" s="1137"/>
      <c r="BG97" s="1137"/>
      <c r="BH97" s="4487"/>
    </row>
    <row r="98" spans="2:60" x14ac:dyDescent="0.25">
      <c r="D98" s="4487"/>
      <c r="E98" s="4487"/>
      <c r="F98" s="4487"/>
      <c r="G98" s="4487"/>
      <c r="H98" s="4487"/>
      <c r="I98" s="4487"/>
      <c r="J98" s="4487"/>
      <c r="K98" s="4487"/>
      <c r="L98" s="4487"/>
      <c r="M98" s="4487"/>
      <c r="N98" s="4487"/>
      <c r="O98" s="4487"/>
      <c r="P98" s="4487"/>
      <c r="Q98" s="4487"/>
      <c r="R98" s="4487"/>
      <c r="S98" s="4487"/>
      <c r="T98" s="4487"/>
      <c r="U98" s="4487"/>
      <c r="V98" s="4487"/>
      <c r="W98" s="4487"/>
      <c r="X98" s="4487"/>
      <c r="Y98" s="4487"/>
      <c r="Z98" s="4487"/>
      <c r="AA98" s="4487"/>
      <c r="AB98" s="4487"/>
      <c r="AC98" s="4487"/>
      <c r="AD98" s="4487"/>
      <c r="AE98" s="4487"/>
      <c r="AF98" s="4487"/>
      <c r="AG98" s="4487"/>
      <c r="AH98" s="4487"/>
      <c r="AI98" s="4487"/>
      <c r="AJ98" s="4487"/>
      <c r="AK98" s="4487"/>
      <c r="AL98" s="4487"/>
      <c r="AM98" s="4487"/>
      <c r="AN98" s="4487"/>
      <c r="AO98" s="4487"/>
      <c r="AP98" s="4487"/>
      <c r="AQ98" s="25"/>
      <c r="AR98" s="4487"/>
      <c r="AS98" s="4487"/>
      <c r="AT98" s="4487"/>
      <c r="AU98" s="4487"/>
      <c r="AV98" s="4487"/>
      <c r="AW98" s="4487"/>
      <c r="AX98" s="4487"/>
      <c r="AY98" s="4487"/>
      <c r="AZ98" s="4487"/>
      <c r="BA98" s="4487"/>
      <c r="BB98" s="4487"/>
      <c r="BC98" s="4487"/>
      <c r="BD98" s="4487"/>
      <c r="BE98" s="4487"/>
      <c r="BF98" s="1137"/>
      <c r="BG98" s="1137"/>
      <c r="BH98" s="4487"/>
    </row>
    <row r="99" spans="2:60" x14ac:dyDescent="0.25">
      <c r="D99" s="4487"/>
      <c r="E99" s="4487"/>
      <c r="F99" s="4487"/>
      <c r="G99" s="4487"/>
      <c r="H99" s="4487"/>
      <c r="I99" s="4487"/>
      <c r="J99" s="4487"/>
      <c r="K99" s="4487"/>
      <c r="L99" s="4487"/>
      <c r="M99" s="4487"/>
      <c r="N99" s="4487"/>
      <c r="O99" s="4487"/>
      <c r="P99" s="4487"/>
      <c r="Q99" s="4487"/>
      <c r="R99" s="4487"/>
      <c r="S99" s="4487"/>
      <c r="T99" s="4487"/>
      <c r="U99" s="4487"/>
      <c r="V99" s="4487"/>
      <c r="W99" s="4487"/>
      <c r="X99" s="4487"/>
      <c r="Y99" s="4487"/>
      <c r="Z99" s="4487"/>
      <c r="AA99" s="4487"/>
      <c r="AB99" s="4487"/>
      <c r="AC99" s="4487"/>
      <c r="AD99" s="4487"/>
      <c r="AE99" s="4487"/>
      <c r="AF99" s="4487"/>
      <c r="AG99" s="4487"/>
      <c r="AH99" s="4487"/>
      <c r="AI99" s="4487"/>
      <c r="AJ99" s="4487"/>
      <c r="AK99" s="4487"/>
      <c r="AL99" s="4487"/>
      <c r="AM99" s="4487"/>
      <c r="AN99" s="4487"/>
      <c r="AO99" s="4487"/>
      <c r="AP99" s="4487"/>
      <c r="AQ99" s="25"/>
      <c r="AR99" s="4487"/>
      <c r="AS99" s="4487"/>
      <c r="AT99" s="4487"/>
      <c r="AU99" s="4487"/>
      <c r="AV99" s="4487"/>
      <c r="AW99" s="4487"/>
      <c r="AX99" s="4487"/>
      <c r="AY99" s="25"/>
      <c r="AZ99" s="4487"/>
      <c r="BA99" s="4487"/>
      <c r="BB99" s="4487"/>
      <c r="BC99" s="4487"/>
      <c r="BD99" s="4487"/>
      <c r="BE99" s="4487"/>
      <c r="BF99" s="1137"/>
      <c r="BG99" s="1137"/>
      <c r="BH99" s="4487"/>
    </row>
    <row r="100" spans="2:60" x14ac:dyDescent="0.25">
      <c r="E100" s="4487"/>
      <c r="F100" s="4487"/>
      <c r="G100" s="4487"/>
      <c r="H100" s="4487"/>
      <c r="I100" s="4487"/>
      <c r="J100" s="4487"/>
      <c r="K100" s="4487"/>
      <c r="L100" s="4487"/>
      <c r="M100" s="4487"/>
      <c r="N100" s="4487"/>
      <c r="O100" s="4487"/>
      <c r="P100" s="4487"/>
      <c r="Q100" s="4487"/>
      <c r="R100" s="4487"/>
      <c r="S100" s="4487"/>
      <c r="T100" s="4487"/>
      <c r="U100" s="4487"/>
      <c r="V100" s="4487"/>
      <c r="W100" s="4487"/>
      <c r="X100" s="4487"/>
      <c r="Y100" s="4487"/>
      <c r="Z100" s="4487"/>
      <c r="AA100" s="4487"/>
      <c r="AB100" s="4487"/>
      <c r="AC100" s="4487"/>
      <c r="AD100" s="4487"/>
      <c r="AE100" s="4487"/>
      <c r="AF100" s="4487"/>
      <c r="AG100" s="4487"/>
      <c r="AH100" s="4487"/>
      <c r="AI100" s="4487"/>
      <c r="AJ100" s="4487"/>
      <c r="AK100" s="4487"/>
      <c r="AL100" s="4487"/>
      <c r="AM100" s="4487"/>
      <c r="AN100" s="4487"/>
      <c r="AO100" s="4487"/>
      <c r="AP100" s="4487"/>
      <c r="AQ100" s="4487"/>
      <c r="AR100" s="4487"/>
      <c r="AS100" s="4487"/>
      <c r="AT100" s="4487"/>
      <c r="AU100" s="4487"/>
      <c r="AV100" s="4487"/>
      <c r="AW100" s="4487"/>
      <c r="AX100" s="4487"/>
      <c r="AY100" s="4487"/>
      <c r="AZ100" s="4487"/>
      <c r="BA100" s="4487"/>
      <c r="BB100" s="4487"/>
      <c r="BC100" s="4487"/>
      <c r="BD100" s="4487"/>
      <c r="BE100" s="4487"/>
      <c r="BF100" s="1137"/>
      <c r="BG100" s="1137"/>
      <c r="BH100" s="4487"/>
    </row>
    <row r="101" spans="2:60" x14ac:dyDescent="0.25">
      <c r="E101" s="4487"/>
      <c r="F101" s="4487"/>
      <c r="G101" s="4487"/>
      <c r="H101" s="4487"/>
      <c r="I101" s="4487"/>
      <c r="J101" s="4487"/>
      <c r="K101" s="4487"/>
      <c r="L101" s="4487"/>
      <c r="M101" s="4487"/>
      <c r="N101" s="4487"/>
      <c r="O101" s="4487"/>
      <c r="P101" s="4487"/>
      <c r="Q101" s="4487"/>
      <c r="R101" s="4487"/>
      <c r="S101" s="4487"/>
      <c r="T101" s="4487"/>
      <c r="U101" s="4487"/>
      <c r="V101" s="4487"/>
      <c r="W101" s="4487"/>
      <c r="X101" s="4487"/>
      <c r="Y101" s="4487"/>
      <c r="Z101" s="4487"/>
      <c r="AA101" s="4487"/>
      <c r="AB101" s="4487"/>
      <c r="AC101" s="4487"/>
      <c r="AD101" s="4487"/>
      <c r="AE101" s="4487"/>
      <c r="AF101" s="4487"/>
      <c r="AG101" s="4487"/>
      <c r="AH101" s="4487"/>
      <c r="AI101" s="4487"/>
      <c r="AJ101" s="4487"/>
      <c r="AK101" s="4487"/>
      <c r="AL101" s="4487"/>
      <c r="AM101" s="4487"/>
      <c r="AN101" s="4487"/>
      <c r="AO101" s="4487"/>
      <c r="AP101" s="4487"/>
      <c r="AQ101" s="25"/>
      <c r="AR101" s="4487"/>
      <c r="AS101" s="4487"/>
      <c r="AT101" s="4487"/>
      <c r="AU101" s="4487"/>
      <c r="AV101" s="4487"/>
      <c r="AW101" s="4487"/>
      <c r="AX101" s="4487"/>
      <c r="AY101" s="4487"/>
      <c r="AZ101" s="4487"/>
      <c r="BA101" s="4487"/>
      <c r="BB101" s="4487"/>
      <c r="BC101" s="4487"/>
      <c r="BD101" s="4487"/>
      <c r="BE101" s="4487"/>
      <c r="BF101" s="1137"/>
      <c r="BG101" s="1137"/>
      <c r="BH101" s="4487"/>
    </row>
    <row r="102" spans="2:60" x14ac:dyDescent="0.25">
      <c r="E102" s="4487"/>
      <c r="F102" s="4487"/>
      <c r="G102" s="4487"/>
      <c r="H102" s="4487"/>
      <c r="I102" s="4487"/>
      <c r="J102" s="4487"/>
      <c r="K102" s="4487"/>
      <c r="L102" s="4487"/>
      <c r="M102" s="4487"/>
      <c r="N102" s="4487"/>
      <c r="O102" s="4487"/>
      <c r="P102" s="4487"/>
      <c r="Q102" s="4487"/>
      <c r="R102" s="4487"/>
      <c r="S102" s="4487"/>
      <c r="T102" s="4487"/>
      <c r="U102" s="4487"/>
      <c r="V102" s="4487"/>
      <c r="W102" s="4487"/>
      <c r="X102" s="4487"/>
      <c r="Y102" s="4487"/>
      <c r="Z102" s="4487"/>
      <c r="AA102" s="4487"/>
      <c r="AB102" s="4487"/>
      <c r="AC102" s="4487"/>
      <c r="AD102" s="4487"/>
      <c r="AE102" s="4487"/>
      <c r="AF102" s="4487"/>
      <c r="AG102" s="4487"/>
      <c r="AH102" s="4487"/>
      <c r="AI102" s="4487"/>
      <c r="AJ102" s="4487"/>
      <c r="AK102" s="4487"/>
      <c r="AL102" s="4487"/>
      <c r="AM102" s="4487"/>
      <c r="AN102" s="4487"/>
      <c r="AO102" s="4487"/>
      <c r="AP102" s="4487"/>
      <c r="AQ102" s="4487"/>
      <c r="AR102" s="4487"/>
      <c r="AS102" s="4487"/>
      <c r="AT102" s="4487"/>
      <c r="AU102" s="4487"/>
      <c r="AV102" s="4487"/>
      <c r="AW102" s="4487"/>
      <c r="AX102" s="4487"/>
      <c r="AY102" s="4487"/>
      <c r="AZ102" s="4487"/>
      <c r="BA102" s="4487"/>
      <c r="BB102" s="4487"/>
      <c r="BC102" s="4487"/>
      <c r="BD102" s="4487"/>
      <c r="BE102" s="4487"/>
      <c r="BF102" s="1137"/>
      <c r="BG102" s="1137"/>
      <c r="BH102" s="4487"/>
    </row>
    <row r="103" spans="2:60" x14ac:dyDescent="0.25">
      <c r="E103" s="4487"/>
      <c r="F103" s="4487"/>
      <c r="G103" s="4487"/>
      <c r="H103" s="4487"/>
      <c r="I103" s="4487"/>
      <c r="J103" s="4487"/>
      <c r="K103" s="4487"/>
      <c r="L103" s="4487"/>
      <c r="M103" s="4487"/>
      <c r="N103" s="4487"/>
      <c r="O103" s="4487"/>
      <c r="P103" s="4487"/>
      <c r="Q103" s="4487"/>
      <c r="R103" s="4487"/>
      <c r="S103" s="4487"/>
      <c r="T103" s="4487"/>
      <c r="U103" s="4487"/>
      <c r="V103" s="4487"/>
      <c r="W103" s="4487"/>
      <c r="X103" s="4487"/>
      <c r="Y103" s="4487"/>
      <c r="Z103" s="4487"/>
      <c r="AA103" s="4487"/>
      <c r="AB103" s="4487"/>
      <c r="AC103" s="4487"/>
      <c r="AD103" s="4487"/>
      <c r="AE103" s="4487"/>
      <c r="AF103" s="4487"/>
      <c r="AG103" s="4487"/>
      <c r="AH103" s="4487"/>
      <c r="AI103" s="4487"/>
      <c r="AJ103" s="4487"/>
      <c r="AK103" s="4487"/>
      <c r="AL103" s="4487"/>
      <c r="AM103" s="4487"/>
      <c r="AN103" s="4487"/>
      <c r="AO103" s="4487"/>
      <c r="AP103" s="4487"/>
      <c r="AQ103" s="4487"/>
      <c r="AR103" s="4487"/>
      <c r="AS103" s="4487"/>
      <c r="AT103" s="4487"/>
      <c r="AU103" s="4487"/>
      <c r="AV103" s="4487"/>
      <c r="AW103" s="4487"/>
      <c r="AX103" s="4487"/>
      <c r="AY103" s="4487"/>
      <c r="AZ103" s="4487"/>
      <c r="BA103" s="4487"/>
      <c r="BB103" s="4487"/>
      <c r="BC103" s="4487"/>
      <c r="BD103" s="4487"/>
      <c r="BE103" s="4487"/>
      <c r="BF103" s="1137"/>
      <c r="BG103" s="1137"/>
      <c r="BH103" s="4487"/>
    </row>
    <row r="104" spans="2:60" x14ac:dyDescent="0.25">
      <c r="E104" s="4487"/>
      <c r="F104" s="4487"/>
      <c r="G104" s="4487"/>
      <c r="H104" s="4487"/>
      <c r="I104" s="4487"/>
      <c r="J104" s="4487"/>
      <c r="K104" s="4487"/>
      <c r="L104" s="4487"/>
      <c r="M104" s="4487"/>
      <c r="N104" s="4487"/>
      <c r="O104" s="4487"/>
      <c r="P104" s="4487"/>
      <c r="Q104" s="4487"/>
      <c r="R104" s="4487"/>
      <c r="S104" s="4487"/>
      <c r="T104" s="4487"/>
      <c r="U104" s="4487"/>
      <c r="V104" s="4487"/>
      <c r="W104" s="4487"/>
      <c r="X104" s="4487"/>
      <c r="Y104" s="4487"/>
      <c r="Z104" s="4487"/>
      <c r="AA104" s="4487"/>
      <c r="AB104" s="4487"/>
      <c r="AC104" s="4487"/>
      <c r="AD104" s="4487"/>
      <c r="AE104" s="4487"/>
      <c r="AF104" s="4487"/>
      <c r="AG104" s="4487"/>
      <c r="AH104" s="4487"/>
      <c r="AI104" s="4487"/>
      <c r="AJ104" s="4487"/>
      <c r="AK104" s="4487"/>
      <c r="AL104" s="4487"/>
      <c r="AM104" s="4487"/>
      <c r="AN104" s="4487"/>
      <c r="AO104" s="4487"/>
      <c r="AP104" s="4487"/>
      <c r="AQ104" s="4487"/>
      <c r="AR104" s="4487"/>
      <c r="AS104" s="4487"/>
      <c r="AT104" s="4487"/>
      <c r="AU104" s="4487"/>
      <c r="AV104" s="4487"/>
      <c r="AW104" s="4487"/>
      <c r="AX104" s="4487"/>
      <c r="AY104" s="4487"/>
      <c r="AZ104" s="4487"/>
      <c r="BA104" s="4487"/>
      <c r="BB104" s="4487"/>
      <c r="BC104" s="4487"/>
      <c r="BD104" s="4487"/>
      <c r="BE104" s="4487"/>
      <c r="BF104" s="1137"/>
      <c r="BG104" s="1137"/>
      <c r="BH104" s="4487"/>
    </row>
    <row r="105" spans="2:60" x14ac:dyDescent="0.25">
      <c r="E105" s="4487"/>
      <c r="F105" s="4487"/>
      <c r="G105" s="4487"/>
      <c r="H105" s="4487"/>
      <c r="I105" s="4487"/>
      <c r="J105" s="4487"/>
      <c r="K105" s="4487"/>
      <c r="L105" s="4487"/>
      <c r="M105" s="4487"/>
      <c r="N105" s="4487"/>
      <c r="O105" s="4487"/>
      <c r="P105" s="4487"/>
      <c r="Q105" s="4487"/>
      <c r="R105" s="4487"/>
      <c r="S105" s="4487"/>
      <c r="T105" s="4487"/>
      <c r="U105" s="4487"/>
      <c r="V105" s="4487"/>
      <c r="W105" s="4487"/>
      <c r="X105" s="4487"/>
      <c r="Y105" s="4487"/>
      <c r="Z105" s="4487"/>
      <c r="AA105" s="4487"/>
      <c r="AB105" s="4487"/>
      <c r="AC105" s="4487"/>
      <c r="AD105" s="4487"/>
      <c r="AE105" s="4487"/>
      <c r="AF105" s="4487"/>
      <c r="AG105" s="4487"/>
      <c r="AH105" s="4487"/>
      <c r="AI105" s="4487"/>
      <c r="AJ105" s="4487"/>
      <c r="AK105" s="4487"/>
      <c r="AL105" s="4487"/>
      <c r="AM105" s="4487"/>
      <c r="AN105" s="4487"/>
      <c r="AO105" s="4487"/>
      <c r="AP105" s="4487"/>
      <c r="AQ105" s="4487"/>
      <c r="AR105" s="4487"/>
      <c r="AS105" s="4487"/>
      <c r="AT105" s="4487"/>
      <c r="AU105" s="4487"/>
      <c r="AV105" s="4487"/>
      <c r="AW105" s="4487"/>
      <c r="AX105" s="4487"/>
      <c r="AY105" s="4487"/>
      <c r="AZ105" s="4487"/>
      <c r="BA105" s="4487"/>
      <c r="BB105" s="4487"/>
      <c r="BC105" s="4487"/>
      <c r="BD105" s="4487"/>
      <c r="BE105" s="4487"/>
      <c r="BF105" s="1137"/>
      <c r="BG105" s="1137"/>
      <c r="BH105" s="4487"/>
    </row>
    <row r="106" spans="2:60" x14ac:dyDescent="0.25">
      <c r="E106" s="4487"/>
      <c r="F106" s="4487"/>
      <c r="G106" s="4487"/>
      <c r="H106" s="4487"/>
      <c r="I106" s="4487"/>
      <c r="J106" s="4487"/>
      <c r="K106" s="4487"/>
      <c r="L106" s="4487"/>
      <c r="M106" s="4487"/>
      <c r="N106" s="4487"/>
      <c r="O106" s="4487"/>
      <c r="P106" s="4487"/>
      <c r="Q106" s="4487"/>
      <c r="R106" s="4487"/>
      <c r="S106" s="4487"/>
      <c r="T106" s="4487"/>
      <c r="U106" s="4487"/>
      <c r="V106" s="4487"/>
      <c r="W106" s="4487"/>
      <c r="X106" s="4487"/>
      <c r="Y106" s="4487"/>
      <c r="Z106" s="4487"/>
      <c r="AA106" s="4487"/>
      <c r="AB106" s="4487"/>
      <c r="AC106" s="4487"/>
      <c r="AD106" s="4487"/>
      <c r="AE106" s="4487"/>
      <c r="AF106" s="4487"/>
      <c r="AG106" s="4487"/>
      <c r="AH106" s="4487"/>
      <c r="AI106" s="4487"/>
      <c r="AJ106" s="4487"/>
      <c r="AK106" s="4487"/>
      <c r="AL106" s="4487"/>
      <c r="AM106" s="4487"/>
      <c r="AN106" s="4487"/>
      <c r="AO106" s="4487"/>
      <c r="AP106" s="4487"/>
      <c r="AQ106" s="4487"/>
      <c r="AR106" s="4487"/>
      <c r="AS106" s="4487"/>
      <c r="AT106" s="4487"/>
      <c r="AU106" s="4487"/>
      <c r="AV106" s="4487"/>
      <c r="AW106" s="4487"/>
      <c r="AX106" s="4487"/>
      <c r="AY106" s="4487"/>
      <c r="AZ106" s="4487"/>
      <c r="BA106" s="4487"/>
      <c r="BB106" s="4487"/>
      <c r="BC106" s="4487"/>
      <c r="BD106" s="4487"/>
      <c r="BE106" s="4487"/>
      <c r="BF106" s="1137"/>
      <c r="BG106" s="1137"/>
      <c r="BH106" s="4487"/>
    </row>
    <row r="107" spans="2:60" x14ac:dyDescent="0.25">
      <c r="E107" s="4487"/>
      <c r="F107" s="4487"/>
      <c r="G107" s="4487"/>
      <c r="H107" s="4487"/>
      <c r="I107" s="4487"/>
      <c r="J107" s="4487"/>
      <c r="K107" s="4487"/>
      <c r="L107" s="4487"/>
      <c r="M107" s="4487"/>
      <c r="N107" s="4487"/>
      <c r="O107" s="4487"/>
      <c r="P107" s="4487"/>
      <c r="Q107" s="4487"/>
      <c r="R107" s="4487"/>
      <c r="S107" s="4487"/>
      <c r="T107" s="4487"/>
      <c r="U107" s="4487"/>
      <c r="V107" s="4487"/>
      <c r="W107" s="4487"/>
      <c r="X107" s="4487"/>
      <c r="Y107" s="4487"/>
      <c r="Z107" s="4487"/>
      <c r="AA107" s="4487"/>
      <c r="AB107" s="4487"/>
      <c r="AC107" s="4487"/>
      <c r="AD107" s="4487"/>
      <c r="AE107" s="4487"/>
      <c r="AF107" s="4487"/>
      <c r="AG107" s="4487"/>
      <c r="AH107" s="4487"/>
      <c r="AI107" s="4487"/>
      <c r="AJ107" s="4487"/>
      <c r="AK107" s="4487"/>
      <c r="AL107" s="4487"/>
      <c r="AM107" s="4487"/>
      <c r="AN107" s="4487"/>
      <c r="AO107" s="4487"/>
      <c r="AP107" s="4487"/>
      <c r="AQ107" s="4487"/>
      <c r="AR107" s="4487"/>
      <c r="AS107" s="4487"/>
      <c r="AT107" s="4487"/>
      <c r="AU107" s="4487"/>
      <c r="AV107" s="4487"/>
      <c r="AW107" s="4487"/>
      <c r="AX107" s="4487"/>
      <c r="AY107" s="4487"/>
      <c r="AZ107" s="4487"/>
      <c r="BA107" s="4487"/>
      <c r="BB107" s="4487"/>
      <c r="BC107" s="4487"/>
      <c r="BD107" s="4487"/>
      <c r="BE107" s="4487"/>
      <c r="BF107" s="1137"/>
      <c r="BG107" s="1137"/>
      <c r="BH107" s="4487"/>
    </row>
    <row r="108" spans="2:60" x14ac:dyDescent="0.25">
      <c r="E108" s="4487"/>
      <c r="F108" s="4487"/>
      <c r="G108" s="4487"/>
      <c r="H108" s="4487"/>
      <c r="I108" s="4487"/>
      <c r="J108" s="4487"/>
      <c r="K108" s="4487"/>
      <c r="L108" s="4487"/>
      <c r="M108" s="4487"/>
      <c r="N108" s="4487"/>
      <c r="O108" s="4487"/>
      <c r="P108" s="4487"/>
      <c r="Q108" s="4487"/>
      <c r="R108" s="4487"/>
      <c r="S108" s="4487"/>
      <c r="T108" s="4487"/>
      <c r="U108" s="4487"/>
      <c r="V108" s="4487"/>
      <c r="W108" s="4487"/>
      <c r="X108" s="4487"/>
      <c r="Y108" s="4487"/>
      <c r="Z108" s="4487"/>
      <c r="AA108" s="4487"/>
      <c r="AB108" s="4487"/>
      <c r="AC108" s="4487"/>
      <c r="AD108" s="4487"/>
      <c r="AE108" s="4487"/>
      <c r="AF108" s="4487"/>
      <c r="AG108" s="4487"/>
      <c r="AH108" s="4487"/>
      <c r="AI108" s="4487"/>
      <c r="AJ108" s="4487"/>
      <c r="AK108" s="4487"/>
      <c r="AL108" s="4487"/>
      <c r="AM108" s="4487"/>
      <c r="AN108" s="4487"/>
      <c r="AO108" s="4487"/>
      <c r="AP108" s="4487"/>
      <c r="AQ108" s="4487"/>
      <c r="AR108" s="4487"/>
      <c r="AS108" s="4487"/>
      <c r="AT108" s="4487"/>
      <c r="AU108" s="4487"/>
      <c r="AV108" s="4487"/>
      <c r="AW108" s="4487"/>
      <c r="AX108" s="4487"/>
      <c r="AY108" s="4487"/>
      <c r="AZ108" s="4487"/>
      <c r="BA108" s="4487"/>
      <c r="BB108" s="4487"/>
      <c r="BC108" s="4487"/>
      <c r="BD108" s="4487"/>
      <c r="BE108" s="4487"/>
      <c r="BF108" s="1137"/>
      <c r="BG108" s="1137"/>
      <c r="BH108" s="4487"/>
    </row>
    <row r="109" spans="2:60" x14ac:dyDescent="0.25">
      <c r="E109" s="4487"/>
      <c r="F109" s="4487"/>
      <c r="G109" s="4487"/>
      <c r="H109" s="4487"/>
      <c r="I109" s="4487"/>
      <c r="J109" s="4487"/>
      <c r="K109" s="4487"/>
      <c r="L109" s="4487"/>
      <c r="M109" s="4487"/>
      <c r="N109" s="4487"/>
      <c r="O109" s="4487"/>
      <c r="P109" s="4487"/>
      <c r="Q109" s="4487"/>
      <c r="R109" s="4487"/>
      <c r="S109" s="4487"/>
      <c r="T109" s="4487"/>
      <c r="U109" s="4487"/>
      <c r="V109" s="4487"/>
      <c r="W109" s="4487"/>
      <c r="X109" s="4487"/>
      <c r="Y109" s="4487"/>
      <c r="Z109" s="4487"/>
      <c r="AA109" s="4487"/>
      <c r="AB109" s="4487"/>
      <c r="AC109" s="4487"/>
      <c r="AD109" s="4487"/>
      <c r="AE109" s="4487"/>
      <c r="AF109" s="4487"/>
      <c r="AG109" s="4487"/>
      <c r="AH109" s="4487"/>
      <c r="AI109" s="4487"/>
      <c r="AJ109" s="4487"/>
      <c r="AK109" s="4487"/>
      <c r="AL109" s="4487"/>
      <c r="AM109" s="4487"/>
      <c r="AN109" s="4487"/>
      <c r="AO109" s="4487"/>
      <c r="AP109" s="4487"/>
      <c r="AQ109" s="4487"/>
      <c r="AR109" s="4487"/>
      <c r="AS109" s="4487"/>
      <c r="AT109" s="4487"/>
      <c r="AU109" s="4487"/>
      <c r="AV109" s="4487"/>
      <c r="AW109" s="4487"/>
      <c r="AX109" s="4487"/>
      <c r="AY109" s="4487"/>
      <c r="AZ109" s="4487"/>
      <c r="BA109" s="4487"/>
      <c r="BB109" s="4487"/>
      <c r="BC109" s="4487"/>
      <c r="BD109" s="4487"/>
      <c r="BE109" s="4487"/>
      <c r="BF109" s="1137"/>
      <c r="BG109" s="1137"/>
      <c r="BH109" s="4487"/>
    </row>
    <row r="110" spans="2:60" x14ac:dyDescent="0.25">
      <c r="E110" s="4487"/>
      <c r="F110" s="4487"/>
      <c r="G110" s="4487"/>
      <c r="H110" s="4487"/>
      <c r="I110" s="4487"/>
      <c r="J110" s="4487"/>
      <c r="K110" s="4487"/>
      <c r="L110" s="4487"/>
      <c r="M110" s="4487"/>
      <c r="N110" s="4487"/>
      <c r="O110" s="4487"/>
      <c r="P110" s="4487"/>
      <c r="Q110" s="4487"/>
      <c r="R110" s="4487"/>
      <c r="S110" s="4487"/>
      <c r="T110" s="4487"/>
      <c r="U110" s="4487"/>
      <c r="V110" s="4487"/>
      <c r="W110" s="4487"/>
      <c r="X110" s="4487"/>
      <c r="Y110" s="4487"/>
      <c r="Z110" s="4487"/>
      <c r="AA110" s="4487"/>
      <c r="AB110" s="4487"/>
      <c r="AC110" s="4487"/>
      <c r="AD110" s="4487"/>
      <c r="AE110" s="4487"/>
      <c r="AF110" s="4487"/>
      <c r="AG110" s="4487"/>
      <c r="AH110" s="4487"/>
      <c r="AI110" s="4487"/>
      <c r="AJ110" s="4487"/>
      <c r="AK110" s="4487"/>
      <c r="AL110" s="4487"/>
      <c r="AM110" s="4487"/>
      <c r="AN110" s="4487"/>
      <c r="AO110" s="4487"/>
      <c r="AP110" s="4487"/>
      <c r="AQ110" s="4487"/>
      <c r="AR110" s="4487"/>
      <c r="AS110" s="4487"/>
      <c r="AT110" s="4487"/>
      <c r="AU110" s="4487"/>
      <c r="AV110" s="4487"/>
      <c r="AW110" s="4487"/>
      <c r="AX110" s="4487"/>
      <c r="AY110" s="4487"/>
      <c r="AZ110" s="4487"/>
      <c r="BA110" s="4487"/>
      <c r="BB110" s="4487"/>
      <c r="BC110" s="4487"/>
      <c r="BD110" s="4487"/>
      <c r="BE110" s="4487"/>
      <c r="BF110" s="1137"/>
      <c r="BG110" s="1137"/>
      <c r="BH110" s="4487"/>
    </row>
    <row r="111" spans="2:60" x14ac:dyDescent="0.25">
      <c r="E111" s="4487"/>
      <c r="F111" s="4487"/>
      <c r="G111" s="4487"/>
      <c r="H111" s="4487"/>
      <c r="I111" s="4487"/>
      <c r="J111" s="4487"/>
      <c r="K111" s="4487"/>
      <c r="L111" s="4487"/>
      <c r="M111" s="4487"/>
      <c r="N111" s="4487"/>
      <c r="O111" s="4487"/>
      <c r="P111" s="4487"/>
      <c r="Q111" s="4487"/>
      <c r="R111" s="4487"/>
      <c r="S111" s="4487"/>
      <c r="T111" s="4487"/>
      <c r="U111" s="4487"/>
      <c r="V111" s="4487"/>
      <c r="W111" s="4487"/>
      <c r="X111" s="4487"/>
      <c r="Y111" s="4487"/>
      <c r="Z111" s="4487"/>
      <c r="AA111" s="4487"/>
      <c r="AB111" s="4487"/>
      <c r="AC111" s="4487"/>
      <c r="AD111" s="4487"/>
      <c r="AE111" s="4487"/>
      <c r="AF111" s="4487"/>
      <c r="AG111" s="4487"/>
      <c r="AH111" s="4487"/>
      <c r="AI111" s="4487"/>
      <c r="AJ111" s="4487"/>
      <c r="AK111" s="4487"/>
      <c r="AL111" s="4487"/>
      <c r="AM111" s="4487"/>
      <c r="AN111" s="4487"/>
      <c r="AO111" s="4487"/>
      <c r="AP111" s="4487"/>
      <c r="AQ111" s="4487"/>
      <c r="AR111" s="4487"/>
      <c r="AS111" s="4487"/>
      <c r="AT111" s="4487"/>
      <c r="AU111" s="4487"/>
      <c r="AV111" s="4487"/>
      <c r="AW111" s="4487"/>
      <c r="AX111" s="4487"/>
      <c r="AY111" s="4487"/>
      <c r="AZ111" s="4487"/>
      <c r="BA111" s="4487"/>
      <c r="BB111" s="4487"/>
      <c r="BC111" s="4487"/>
      <c r="BD111" s="4487"/>
      <c r="BE111" s="4487"/>
      <c r="BF111" s="1137"/>
      <c r="BG111" s="1137"/>
      <c r="BH111" s="4487"/>
    </row>
    <row r="112" spans="2:60" x14ac:dyDescent="0.25">
      <c r="E112" s="4487"/>
      <c r="F112" s="4487"/>
      <c r="G112" s="4487"/>
      <c r="H112" s="4487"/>
      <c r="I112" s="4487"/>
      <c r="J112" s="4487"/>
      <c r="K112" s="4487"/>
      <c r="L112" s="4487"/>
      <c r="M112" s="4487"/>
      <c r="N112" s="4487"/>
      <c r="O112" s="4487"/>
      <c r="P112" s="4487"/>
      <c r="Q112" s="4487"/>
      <c r="R112" s="4487"/>
      <c r="S112" s="4487"/>
      <c r="T112" s="4487"/>
      <c r="U112" s="4487"/>
      <c r="V112" s="4487"/>
      <c r="W112" s="4487"/>
      <c r="X112" s="4487"/>
      <c r="Y112" s="4487"/>
      <c r="Z112" s="4487"/>
      <c r="AA112" s="4487"/>
      <c r="AB112" s="4487"/>
      <c r="AC112" s="4487"/>
      <c r="AD112" s="4487"/>
      <c r="AE112" s="4487"/>
      <c r="AF112" s="4487"/>
      <c r="AG112" s="4487"/>
      <c r="AH112" s="4487"/>
      <c r="AI112" s="4487"/>
      <c r="AJ112" s="4487"/>
      <c r="AK112" s="4487"/>
      <c r="AL112" s="4487"/>
      <c r="AM112" s="4487"/>
      <c r="AN112" s="4487"/>
      <c r="AO112" s="4487"/>
      <c r="AP112" s="4487"/>
      <c r="AQ112" s="4487"/>
      <c r="AR112" s="4487"/>
      <c r="AS112" s="4487"/>
      <c r="AT112" s="4487"/>
      <c r="AU112" s="4487"/>
      <c r="AV112" s="4487"/>
      <c r="AW112" s="4487"/>
      <c r="AX112" s="4487"/>
      <c r="AY112" s="4487"/>
      <c r="AZ112" s="4487"/>
      <c r="BA112" s="4487"/>
      <c r="BB112" s="4487"/>
      <c r="BC112" s="4487"/>
      <c r="BD112" s="4487"/>
      <c r="BE112" s="4487"/>
      <c r="BF112" s="1137"/>
      <c r="BG112" s="1137"/>
      <c r="BH112" s="4487"/>
    </row>
    <row r="113" spans="5:60" x14ac:dyDescent="0.25">
      <c r="E113" s="4487"/>
      <c r="F113" s="4487"/>
      <c r="G113" s="4487"/>
      <c r="H113" s="4487"/>
      <c r="I113" s="4487"/>
      <c r="J113" s="4487"/>
      <c r="K113" s="4487"/>
      <c r="L113" s="4487"/>
      <c r="M113" s="4487"/>
      <c r="N113" s="4487"/>
      <c r="O113" s="4487"/>
      <c r="P113" s="4487"/>
      <c r="Q113" s="4487"/>
      <c r="R113" s="4487"/>
      <c r="S113" s="4487"/>
      <c r="T113" s="4487"/>
      <c r="U113" s="4487"/>
      <c r="V113" s="4487"/>
      <c r="W113" s="4487"/>
      <c r="X113" s="4487"/>
      <c r="Y113" s="4487"/>
      <c r="Z113" s="4487"/>
      <c r="AA113" s="4487"/>
      <c r="AB113" s="4487"/>
      <c r="AC113" s="4487"/>
      <c r="AD113" s="4487"/>
      <c r="AE113" s="4487"/>
      <c r="AF113" s="4487"/>
      <c r="AG113" s="4487"/>
      <c r="AH113" s="4487"/>
      <c r="AI113" s="4487"/>
      <c r="AJ113" s="4487"/>
      <c r="AK113" s="4487"/>
      <c r="AL113" s="4487"/>
      <c r="AM113" s="4487"/>
      <c r="AN113" s="4487"/>
      <c r="AO113" s="4487"/>
      <c r="AP113" s="4487"/>
      <c r="AQ113" s="4487"/>
      <c r="AR113" s="4487"/>
      <c r="AS113" s="4487"/>
      <c r="AT113" s="4487"/>
      <c r="AU113" s="4487"/>
      <c r="AV113" s="4487"/>
      <c r="AW113" s="4487"/>
      <c r="AX113" s="4487"/>
      <c r="AY113" s="4487"/>
      <c r="AZ113" s="4487"/>
      <c r="BA113" s="4487"/>
      <c r="BB113" s="4487"/>
      <c r="BC113" s="4487"/>
      <c r="BD113" s="4487"/>
      <c r="BE113" s="4487"/>
      <c r="BF113" s="1137"/>
      <c r="BG113" s="1137"/>
      <c r="BH113" s="4487"/>
    </row>
    <row r="114" spans="5:60" x14ac:dyDescent="0.25">
      <c r="E114" s="4487"/>
      <c r="F114" s="4487"/>
      <c r="G114" s="4487"/>
      <c r="H114" s="4487"/>
      <c r="I114" s="4487"/>
      <c r="J114" s="4487"/>
      <c r="K114" s="4487"/>
      <c r="L114" s="4487"/>
      <c r="M114" s="4487"/>
      <c r="N114" s="4487"/>
      <c r="O114" s="4487"/>
      <c r="P114" s="4487"/>
      <c r="Q114" s="4487"/>
      <c r="R114" s="4487"/>
      <c r="S114" s="4487"/>
      <c r="T114" s="4487"/>
      <c r="U114" s="4487"/>
      <c r="V114" s="4487"/>
      <c r="W114" s="4487"/>
      <c r="X114" s="4487"/>
      <c r="Y114" s="4487"/>
      <c r="Z114" s="4487"/>
      <c r="AA114" s="4487"/>
      <c r="AB114" s="4487"/>
      <c r="AC114" s="4487"/>
      <c r="AD114" s="4487"/>
      <c r="AE114" s="4487"/>
      <c r="AF114" s="4487"/>
      <c r="AG114" s="4487"/>
      <c r="AH114" s="4487"/>
      <c r="AI114" s="4487"/>
      <c r="AJ114" s="4487"/>
      <c r="AK114" s="4487"/>
      <c r="AL114" s="4487"/>
      <c r="AM114" s="4487"/>
      <c r="AN114" s="4487"/>
      <c r="AO114" s="4487"/>
      <c r="AP114" s="4487"/>
      <c r="AQ114" s="4487"/>
      <c r="AR114" s="4487"/>
      <c r="AS114" s="4487"/>
      <c r="AT114" s="4487"/>
      <c r="AU114" s="4487"/>
      <c r="AV114" s="4487"/>
      <c r="AW114" s="4487"/>
      <c r="AX114" s="4487"/>
      <c r="AY114" s="4487"/>
      <c r="AZ114" s="4487"/>
      <c r="BA114" s="4487"/>
      <c r="BB114" s="4487"/>
      <c r="BC114" s="4487"/>
      <c r="BD114" s="4487"/>
      <c r="BE114" s="4487"/>
      <c r="BF114" s="1137"/>
      <c r="BG114" s="1137"/>
      <c r="BH114" s="4487"/>
    </row>
    <row r="115" spans="5:60" x14ac:dyDescent="0.25">
      <c r="E115" s="4487"/>
      <c r="F115" s="4487"/>
      <c r="G115" s="4487"/>
      <c r="H115" s="4487"/>
      <c r="I115" s="4487"/>
      <c r="J115" s="4487"/>
      <c r="K115" s="4487"/>
      <c r="L115" s="4487"/>
      <c r="M115" s="4487"/>
      <c r="N115" s="4487"/>
      <c r="O115" s="4487"/>
      <c r="P115" s="4487"/>
      <c r="Q115" s="4487"/>
      <c r="R115" s="4487"/>
      <c r="S115" s="4487"/>
      <c r="T115" s="4487"/>
      <c r="U115" s="4487"/>
      <c r="V115" s="4487"/>
      <c r="W115" s="4487"/>
      <c r="X115" s="4487"/>
      <c r="Y115" s="4487"/>
      <c r="Z115" s="4487"/>
      <c r="AA115" s="4487"/>
      <c r="AB115" s="4487"/>
      <c r="AC115" s="4487"/>
      <c r="AD115" s="4487"/>
      <c r="AE115" s="4487"/>
      <c r="AF115" s="4487"/>
      <c r="AG115" s="4487"/>
      <c r="AH115" s="4487"/>
      <c r="AI115" s="4487"/>
      <c r="AJ115" s="4487"/>
      <c r="AK115" s="4487"/>
      <c r="AL115" s="4487"/>
      <c r="AM115" s="4487"/>
      <c r="AN115" s="4487"/>
      <c r="AO115" s="4487"/>
      <c r="AP115" s="4487"/>
      <c r="AQ115" s="4487"/>
      <c r="AR115" s="4487"/>
      <c r="AS115" s="4487"/>
      <c r="AT115" s="4487"/>
      <c r="AU115" s="4487"/>
      <c r="AV115" s="4487"/>
      <c r="AW115" s="4487"/>
      <c r="AX115" s="4487"/>
      <c r="AY115" s="4487"/>
      <c r="AZ115" s="4487"/>
      <c r="BA115" s="4487"/>
      <c r="BB115" s="4487"/>
      <c r="BC115" s="4487"/>
      <c r="BD115" s="4487"/>
      <c r="BE115" s="4487"/>
      <c r="BF115" s="1137"/>
      <c r="BG115" s="1137"/>
      <c r="BH115" s="4487"/>
    </row>
    <row r="116" spans="5:60" x14ac:dyDescent="0.25">
      <c r="E116" s="4487"/>
      <c r="F116" s="4487"/>
      <c r="G116" s="4487"/>
      <c r="H116" s="4487"/>
      <c r="I116" s="4487"/>
      <c r="J116" s="4487"/>
      <c r="K116" s="4487"/>
      <c r="L116" s="4487"/>
      <c r="M116" s="4487"/>
      <c r="N116" s="4487"/>
      <c r="O116" s="4487"/>
      <c r="P116" s="4487"/>
      <c r="Q116" s="4487"/>
      <c r="R116" s="4487"/>
      <c r="S116" s="4487"/>
      <c r="T116" s="4487"/>
      <c r="U116" s="4487"/>
      <c r="V116" s="4487"/>
      <c r="W116" s="4487"/>
      <c r="X116" s="4487"/>
      <c r="Y116" s="4487"/>
      <c r="Z116" s="4487"/>
      <c r="AA116" s="4487"/>
      <c r="AB116" s="4487"/>
      <c r="AC116" s="4487"/>
      <c r="AD116" s="4487"/>
      <c r="AE116" s="4487"/>
      <c r="AF116" s="4487"/>
      <c r="AG116" s="4487"/>
      <c r="AH116" s="4487"/>
      <c r="AI116" s="4487"/>
      <c r="AJ116" s="4487"/>
      <c r="AK116" s="4487"/>
      <c r="AL116" s="4487"/>
      <c r="AM116" s="4487"/>
      <c r="AN116" s="4487"/>
      <c r="AO116" s="4487"/>
      <c r="AP116" s="4487"/>
      <c r="AQ116" s="4487"/>
      <c r="AR116" s="4487"/>
      <c r="AS116" s="4487"/>
      <c r="AT116" s="4487"/>
      <c r="AU116" s="4487"/>
      <c r="AV116" s="4487"/>
      <c r="AW116" s="4487"/>
      <c r="AX116" s="4487"/>
      <c r="AY116" s="4487"/>
      <c r="AZ116" s="4487"/>
      <c r="BA116" s="4487"/>
      <c r="BB116" s="4487"/>
      <c r="BC116" s="4487"/>
      <c r="BD116" s="4487"/>
      <c r="BE116" s="4487"/>
      <c r="BF116" s="1137"/>
      <c r="BG116" s="1137"/>
      <c r="BH116" s="4487"/>
    </row>
    <row r="117" spans="5:60" x14ac:dyDescent="0.25">
      <c r="E117" s="4487"/>
      <c r="F117" s="4487"/>
      <c r="G117" s="4487"/>
      <c r="H117" s="4487"/>
      <c r="I117" s="4487"/>
      <c r="J117" s="4487"/>
      <c r="K117" s="4487"/>
      <c r="L117" s="4487"/>
      <c r="M117" s="4487"/>
      <c r="N117" s="4487"/>
      <c r="O117" s="4487"/>
      <c r="P117" s="4487"/>
      <c r="Q117" s="4487"/>
      <c r="R117" s="4487"/>
      <c r="S117" s="4487"/>
      <c r="T117" s="4487"/>
      <c r="U117" s="4487"/>
      <c r="V117" s="4487"/>
      <c r="W117" s="4487"/>
      <c r="X117" s="4487"/>
      <c r="Y117" s="4487"/>
      <c r="Z117" s="4487"/>
      <c r="AA117" s="4487"/>
      <c r="AB117" s="4487"/>
      <c r="AC117" s="4487"/>
      <c r="AD117" s="4487"/>
      <c r="AE117" s="4487"/>
      <c r="AF117" s="4487"/>
      <c r="AG117" s="4487"/>
      <c r="AH117" s="4487"/>
      <c r="AI117" s="4487"/>
      <c r="AJ117" s="4487"/>
      <c r="AK117" s="4487"/>
      <c r="AL117" s="4487"/>
      <c r="AM117" s="4487"/>
      <c r="AN117" s="4487"/>
      <c r="AO117" s="4487"/>
      <c r="AP117" s="4487"/>
      <c r="AQ117" s="4487"/>
      <c r="AR117" s="4487"/>
      <c r="AS117" s="4487"/>
      <c r="AT117" s="4487"/>
      <c r="AU117" s="4487"/>
      <c r="AV117" s="4487"/>
      <c r="AW117" s="4487"/>
      <c r="AX117" s="4487"/>
      <c r="AY117" s="4487"/>
      <c r="AZ117" s="4487"/>
      <c r="BA117" s="4487"/>
      <c r="BB117" s="4487"/>
      <c r="BC117" s="4487"/>
      <c r="BD117" s="4487"/>
      <c r="BE117" s="4487"/>
      <c r="BF117" s="1137"/>
      <c r="BG117" s="1137"/>
      <c r="BH117" s="4487"/>
    </row>
    <row r="118" spans="5:60" x14ac:dyDescent="0.25">
      <c r="E118" s="4487"/>
      <c r="F118" s="4487"/>
      <c r="G118" s="4487"/>
      <c r="H118" s="4487"/>
      <c r="I118" s="4487"/>
      <c r="J118" s="4487"/>
      <c r="K118" s="4487"/>
      <c r="L118" s="4487"/>
      <c r="M118" s="4487"/>
      <c r="N118" s="4487"/>
      <c r="O118" s="4487"/>
      <c r="P118" s="4487"/>
      <c r="Q118" s="4487"/>
      <c r="R118" s="4487"/>
      <c r="S118" s="4487"/>
      <c r="T118" s="4487"/>
      <c r="U118" s="4487"/>
      <c r="V118" s="4487"/>
      <c r="W118" s="4487"/>
      <c r="X118" s="4487"/>
      <c r="Y118" s="4487"/>
      <c r="Z118" s="4487"/>
      <c r="AA118" s="4487"/>
      <c r="AB118" s="4487"/>
      <c r="AC118" s="4487"/>
      <c r="AD118" s="4487"/>
      <c r="AE118" s="4487"/>
      <c r="AF118" s="4487"/>
      <c r="AG118" s="4487"/>
      <c r="AH118" s="4487"/>
      <c r="AI118" s="4487"/>
      <c r="AJ118" s="4487"/>
      <c r="AK118" s="4487"/>
      <c r="AL118" s="4487"/>
      <c r="AM118" s="4487"/>
      <c r="AN118" s="4487"/>
      <c r="AO118" s="4487"/>
      <c r="AP118" s="4487"/>
      <c r="AQ118" s="4487"/>
      <c r="AR118" s="4487"/>
      <c r="AS118" s="4487"/>
      <c r="AT118" s="4487"/>
      <c r="AU118" s="4487"/>
      <c r="AV118" s="4487"/>
      <c r="AW118" s="4487"/>
      <c r="AX118" s="4487"/>
      <c r="AY118" s="4487"/>
      <c r="AZ118" s="4487"/>
      <c r="BA118" s="4487"/>
      <c r="BB118" s="4487"/>
      <c r="BC118" s="4487"/>
      <c r="BD118" s="4487"/>
      <c r="BE118" s="4487"/>
      <c r="BF118" s="1137"/>
      <c r="BG118" s="1137"/>
      <c r="BH118" s="4487"/>
    </row>
    <row r="119" spans="5:60" x14ac:dyDescent="0.25">
      <c r="E119" s="4487"/>
      <c r="F119" s="4487"/>
      <c r="G119" s="4487"/>
      <c r="H119" s="4487"/>
      <c r="I119" s="4487"/>
      <c r="J119" s="4487"/>
      <c r="K119" s="4487"/>
      <c r="L119" s="4487"/>
      <c r="M119" s="4487"/>
      <c r="N119" s="4487"/>
      <c r="O119" s="4487"/>
      <c r="P119" s="4487"/>
      <c r="Q119" s="4487"/>
      <c r="R119" s="4487"/>
      <c r="S119" s="4487"/>
      <c r="T119" s="4487"/>
      <c r="U119" s="4487"/>
      <c r="V119" s="4487"/>
      <c r="W119" s="4487"/>
      <c r="X119" s="4487"/>
      <c r="Y119" s="4487"/>
      <c r="Z119" s="4487"/>
      <c r="AA119" s="4487"/>
      <c r="AB119" s="4487"/>
      <c r="AC119" s="4487"/>
      <c r="AD119" s="4487"/>
      <c r="AE119" s="4487"/>
      <c r="AF119" s="4487"/>
      <c r="AG119" s="4487"/>
      <c r="AH119" s="4487"/>
      <c r="AI119" s="4487"/>
      <c r="AJ119" s="4487"/>
      <c r="AK119" s="4487"/>
      <c r="AL119" s="4487"/>
      <c r="AM119" s="4487"/>
      <c r="AN119" s="4487"/>
      <c r="AO119" s="4487"/>
      <c r="AP119" s="4487"/>
      <c r="AQ119" s="4487"/>
      <c r="AR119" s="4487"/>
      <c r="AS119" s="4487"/>
      <c r="AT119" s="4487"/>
      <c r="AU119" s="4487"/>
      <c r="AV119" s="4487"/>
      <c r="AW119" s="4487"/>
      <c r="AX119" s="4487"/>
      <c r="AY119" s="4487"/>
      <c r="AZ119" s="4487"/>
      <c r="BA119" s="4487"/>
      <c r="BB119" s="4487"/>
      <c r="BC119" s="4487"/>
      <c r="BD119" s="4487"/>
      <c r="BE119" s="4487"/>
      <c r="BF119" s="1137"/>
      <c r="BG119" s="1137"/>
      <c r="BH119" s="4487"/>
    </row>
    <row r="120" spans="5:60" x14ac:dyDescent="0.25">
      <c r="E120" s="4487"/>
      <c r="F120" s="4487"/>
      <c r="G120" s="4487"/>
      <c r="H120" s="4487"/>
      <c r="I120" s="4487"/>
      <c r="J120" s="4487"/>
      <c r="K120" s="4487"/>
      <c r="L120" s="4487"/>
      <c r="M120" s="4487"/>
      <c r="N120" s="4487"/>
      <c r="O120" s="4487"/>
      <c r="P120" s="4487"/>
      <c r="Q120" s="4487"/>
      <c r="R120" s="4487"/>
      <c r="S120" s="4487"/>
      <c r="T120" s="4487"/>
      <c r="U120" s="4487"/>
      <c r="V120" s="4487"/>
      <c r="W120" s="4487"/>
      <c r="X120" s="4487"/>
      <c r="Y120" s="4487"/>
      <c r="Z120" s="4487"/>
      <c r="AA120" s="4487"/>
      <c r="AB120" s="4487"/>
      <c r="AC120" s="4487"/>
      <c r="AD120" s="4487"/>
      <c r="AE120" s="4487"/>
      <c r="AF120" s="4487"/>
      <c r="AG120" s="4487"/>
      <c r="AH120" s="4487"/>
      <c r="AI120" s="4487"/>
      <c r="AJ120" s="4487"/>
      <c r="AK120" s="4487"/>
      <c r="AL120" s="4487"/>
      <c r="AM120" s="4487"/>
      <c r="AN120" s="4487"/>
      <c r="AO120" s="4487"/>
      <c r="AP120" s="4487"/>
      <c r="AQ120" s="4487"/>
      <c r="AR120" s="4487"/>
      <c r="AS120" s="4487"/>
      <c r="AT120" s="4487"/>
      <c r="AU120" s="4487"/>
      <c r="AV120" s="4487"/>
      <c r="AW120" s="4487"/>
      <c r="AX120" s="4487"/>
      <c r="AY120" s="4487"/>
      <c r="AZ120" s="4487"/>
      <c r="BA120" s="4487"/>
      <c r="BB120" s="4487"/>
      <c r="BC120" s="4487"/>
      <c r="BD120" s="4487"/>
      <c r="BE120" s="4487"/>
      <c r="BF120" s="1137"/>
      <c r="BG120" s="1137"/>
      <c r="BH120" s="4487"/>
    </row>
    <row r="121" spans="5:60" x14ac:dyDescent="0.25">
      <c r="E121" s="4487"/>
      <c r="F121" s="4487"/>
      <c r="G121" s="4487"/>
      <c r="H121" s="4487"/>
      <c r="I121" s="4487"/>
      <c r="J121" s="4487"/>
      <c r="K121" s="4487"/>
      <c r="L121" s="4487"/>
      <c r="M121" s="4487"/>
      <c r="N121" s="4487"/>
      <c r="O121" s="4487"/>
      <c r="P121" s="4487"/>
      <c r="Q121" s="4487"/>
      <c r="R121" s="4487"/>
      <c r="S121" s="4487"/>
      <c r="T121" s="4487"/>
      <c r="U121" s="4487"/>
      <c r="V121" s="4487"/>
      <c r="W121" s="4487"/>
      <c r="X121" s="4487"/>
      <c r="Y121" s="4487"/>
      <c r="Z121" s="4487"/>
      <c r="AA121" s="4487"/>
      <c r="AB121" s="4487"/>
      <c r="AC121" s="4487"/>
      <c r="AD121" s="4487"/>
      <c r="AE121" s="4487"/>
      <c r="AF121" s="4487"/>
      <c r="AG121" s="4487"/>
      <c r="AH121" s="4487"/>
      <c r="AI121" s="4487"/>
      <c r="AJ121" s="4487"/>
      <c r="AK121" s="4487"/>
      <c r="AL121" s="4487"/>
      <c r="AM121" s="4487"/>
      <c r="AN121" s="4487"/>
      <c r="AO121" s="4487"/>
      <c r="AP121" s="4487"/>
      <c r="AQ121" s="4487"/>
      <c r="AR121" s="4487"/>
      <c r="AS121" s="4487"/>
      <c r="AT121" s="4487"/>
      <c r="AU121" s="4487"/>
      <c r="AV121" s="4487"/>
      <c r="AW121" s="4487"/>
      <c r="AX121" s="4487"/>
      <c r="AY121" s="4487"/>
      <c r="AZ121" s="4487"/>
      <c r="BA121" s="4487"/>
      <c r="BB121" s="4487"/>
      <c r="BC121" s="4487"/>
      <c r="BD121" s="4487"/>
      <c r="BE121" s="4487"/>
      <c r="BF121" s="1137"/>
      <c r="BG121" s="1137"/>
      <c r="BH121" s="4487"/>
    </row>
    <row r="122" spans="5:60" x14ac:dyDescent="0.25">
      <c r="AA122" s="4487"/>
      <c r="AB122" s="4487"/>
      <c r="AC122" s="4487"/>
      <c r="AD122" s="4487"/>
      <c r="AE122" s="4487"/>
      <c r="AF122" s="4487"/>
      <c r="AG122" s="4487"/>
      <c r="AH122" s="4487"/>
      <c r="AI122" s="4487"/>
      <c r="AJ122" s="4487"/>
      <c r="AK122" s="4487"/>
      <c r="AL122" s="4487"/>
      <c r="AM122" s="4487"/>
      <c r="AN122" s="4487"/>
      <c r="AO122" s="4487"/>
      <c r="AP122" s="4487"/>
      <c r="AQ122" s="4487"/>
      <c r="AR122" s="4487"/>
      <c r="AS122" s="4487"/>
      <c r="AT122" s="4487"/>
      <c r="AU122" s="4487"/>
      <c r="AV122" s="4487"/>
      <c r="AW122" s="4487"/>
      <c r="AX122" s="4487"/>
      <c r="AY122" s="4487"/>
      <c r="AZ122" s="4487"/>
      <c r="BA122" s="4487"/>
      <c r="BB122" s="4487"/>
      <c r="BC122" s="4487"/>
      <c r="BD122" s="4487"/>
      <c r="BE122" s="4487"/>
      <c r="BF122" s="1137"/>
      <c r="BG122" s="1137"/>
      <c r="BH122" s="4487"/>
    </row>
    <row r="123" spans="5:60" x14ac:dyDescent="0.25">
      <c r="AA123" s="4487"/>
      <c r="AB123" s="4487"/>
      <c r="AC123" s="4487"/>
      <c r="AD123" s="4487"/>
      <c r="AE123" s="4487"/>
      <c r="AF123" s="4487"/>
      <c r="AG123" s="4487"/>
      <c r="AH123" s="4487"/>
      <c r="AI123" s="4487"/>
      <c r="AJ123" s="4487"/>
      <c r="AK123" s="4487"/>
      <c r="AL123" s="4487"/>
      <c r="AM123" s="4487"/>
      <c r="AN123" s="4487"/>
      <c r="AO123" s="4487"/>
      <c r="AP123" s="4487"/>
      <c r="AQ123" s="4487"/>
      <c r="AR123" s="4487"/>
      <c r="AS123" s="4487"/>
      <c r="AT123" s="4487"/>
      <c r="AU123" s="4487"/>
      <c r="AV123" s="4487"/>
      <c r="AW123" s="4487"/>
      <c r="AX123" s="4487"/>
      <c r="AY123" s="4487"/>
      <c r="AZ123" s="4487"/>
      <c r="BA123" s="4487"/>
      <c r="BB123" s="4487"/>
      <c r="BC123" s="4487"/>
      <c r="BD123" s="4487"/>
      <c r="BE123" s="4487"/>
      <c r="BF123" s="1137"/>
      <c r="BG123" s="1137"/>
      <c r="BH123" s="4487"/>
    </row>
    <row r="124" spans="5:60" x14ac:dyDescent="0.25">
      <c r="AA124" s="4487"/>
      <c r="AB124" s="4487"/>
      <c r="AC124" s="4487"/>
      <c r="AD124" s="4487"/>
      <c r="AE124" s="4487"/>
      <c r="AF124" s="4487"/>
      <c r="AG124" s="4487"/>
      <c r="AH124" s="4487"/>
      <c r="AI124" s="4487"/>
      <c r="AJ124" s="4487"/>
      <c r="AK124" s="4487"/>
      <c r="AL124" s="4487"/>
      <c r="AM124" s="4487"/>
      <c r="AN124" s="4487"/>
      <c r="AO124" s="4487"/>
      <c r="AP124" s="4487"/>
      <c r="AQ124" s="4487"/>
      <c r="AR124" s="4487"/>
      <c r="AS124" s="4487"/>
      <c r="AT124" s="4487"/>
      <c r="AU124" s="4487"/>
      <c r="AV124" s="4487"/>
      <c r="AW124" s="4487"/>
      <c r="AX124" s="4487"/>
      <c r="AY124" s="4487"/>
      <c r="AZ124" s="4487"/>
      <c r="BA124" s="4487"/>
      <c r="BB124" s="4487"/>
      <c r="BC124" s="4487"/>
      <c r="BD124" s="4487"/>
      <c r="BE124" s="4487"/>
      <c r="BF124" s="1137"/>
      <c r="BG124" s="1137"/>
      <c r="BH124" s="4487"/>
    </row>
    <row r="125" spans="5:60" x14ac:dyDescent="0.25">
      <c r="AA125" s="4487"/>
      <c r="AB125" s="4487"/>
      <c r="AC125" s="4487"/>
      <c r="AD125" s="4487"/>
      <c r="AE125" s="4487"/>
      <c r="AF125" s="4487"/>
      <c r="AG125" s="4487"/>
      <c r="AH125" s="4487"/>
      <c r="AI125" s="4487"/>
      <c r="AJ125" s="4487"/>
      <c r="AK125" s="4487"/>
      <c r="AL125" s="4487"/>
      <c r="AM125" s="4487"/>
      <c r="AN125" s="4487"/>
      <c r="AO125" s="4487"/>
      <c r="AP125" s="4487"/>
      <c r="AQ125" s="4487"/>
      <c r="AR125" s="4487"/>
      <c r="AS125" s="4487"/>
      <c r="AT125" s="4487"/>
      <c r="AU125" s="4487"/>
      <c r="AV125" s="4487"/>
      <c r="AW125" s="4487"/>
      <c r="AX125" s="4487"/>
      <c r="AY125" s="4487"/>
      <c r="AZ125" s="4487"/>
      <c r="BA125" s="4487"/>
      <c r="BB125" s="4487"/>
      <c r="BC125" s="4487"/>
      <c r="BD125" s="4487"/>
      <c r="BE125" s="4487"/>
      <c r="BF125" s="1137"/>
      <c r="BG125" s="1137"/>
      <c r="BH125" s="4487"/>
    </row>
    <row r="126" spans="5:60" x14ac:dyDescent="0.25">
      <c r="AA126" s="4487"/>
      <c r="AB126" s="4487"/>
      <c r="AC126" s="4487"/>
      <c r="AD126" s="4487"/>
      <c r="AE126" s="4487"/>
      <c r="AF126" s="4487"/>
      <c r="AG126" s="4487"/>
      <c r="AH126" s="4487"/>
      <c r="AI126" s="4487"/>
      <c r="AJ126" s="4487"/>
      <c r="AK126" s="4487"/>
      <c r="AL126" s="4487"/>
      <c r="AM126" s="4487"/>
      <c r="AN126" s="4487"/>
      <c r="AO126" s="4487"/>
      <c r="AP126" s="4487"/>
      <c r="AQ126" s="4487"/>
      <c r="AR126" s="4487"/>
      <c r="AS126" s="4487"/>
      <c r="AT126" s="4487"/>
      <c r="AU126" s="4487"/>
      <c r="AV126" s="4487"/>
      <c r="AW126" s="4487"/>
      <c r="AX126" s="4487"/>
      <c r="AY126" s="4487"/>
      <c r="AZ126" s="4487"/>
      <c r="BA126" s="4487"/>
      <c r="BB126" s="4487"/>
      <c r="BC126" s="4487"/>
      <c r="BD126" s="4487"/>
      <c r="BE126" s="4487"/>
      <c r="BF126" s="1137"/>
      <c r="BG126" s="1137"/>
      <c r="BH126" s="4487"/>
    </row>
    <row r="127" spans="5:60" x14ac:dyDescent="0.25">
      <c r="AA127" s="4487"/>
      <c r="AB127" s="4487"/>
      <c r="AC127" s="4487"/>
      <c r="AD127" s="4487"/>
      <c r="AE127" s="4487"/>
      <c r="AF127" s="4487"/>
      <c r="AG127" s="4487"/>
      <c r="AH127" s="4487"/>
      <c r="AI127" s="4487"/>
      <c r="AJ127" s="4487"/>
      <c r="AK127" s="4487"/>
      <c r="AL127" s="4487"/>
      <c r="AM127" s="4487"/>
      <c r="AN127" s="4487"/>
      <c r="AO127" s="4487"/>
      <c r="AP127" s="4487"/>
      <c r="AQ127" s="4487"/>
      <c r="AR127" s="4487"/>
      <c r="AS127" s="4487"/>
      <c r="AT127" s="4487"/>
      <c r="AU127" s="4487"/>
      <c r="AV127" s="4487"/>
      <c r="AW127" s="4487"/>
      <c r="AX127" s="4487"/>
      <c r="AY127" s="4487"/>
      <c r="AZ127" s="4487"/>
      <c r="BA127" s="4487"/>
      <c r="BB127" s="4487"/>
      <c r="BC127" s="4487"/>
      <c r="BD127" s="4487"/>
      <c r="BE127" s="4487"/>
      <c r="BF127" s="1137"/>
      <c r="BG127" s="1137"/>
      <c r="BH127" s="4487"/>
    </row>
    <row r="128" spans="5:60" x14ac:dyDescent="0.25">
      <c r="AA128" s="4487"/>
      <c r="AB128" s="4487"/>
      <c r="AC128" s="4487"/>
      <c r="AD128" s="4487"/>
      <c r="AE128" s="4487"/>
      <c r="AF128" s="4487"/>
      <c r="AG128" s="4487"/>
      <c r="AH128" s="4487"/>
      <c r="AI128" s="4487"/>
      <c r="AJ128" s="4487"/>
      <c r="AK128" s="4487"/>
      <c r="AL128" s="4487"/>
      <c r="AM128" s="4487"/>
      <c r="AN128" s="4487"/>
      <c r="AO128" s="4487"/>
      <c r="AP128" s="4487"/>
      <c r="AQ128" s="4487"/>
      <c r="AR128" s="4487"/>
      <c r="AS128" s="4487"/>
      <c r="AT128" s="4487"/>
      <c r="AU128" s="4487"/>
      <c r="AV128" s="4487"/>
      <c r="AW128" s="4487"/>
      <c r="AX128" s="4487"/>
      <c r="AY128" s="4487"/>
      <c r="AZ128" s="4487"/>
      <c r="BA128" s="4487"/>
      <c r="BB128" s="4487"/>
      <c r="BC128" s="4487"/>
      <c r="BD128" s="4487"/>
      <c r="BE128" s="4487"/>
      <c r="BF128" s="1137"/>
      <c r="BG128" s="1137"/>
      <c r="BH128" s="4487"/>
    </row>
    <row r="129" spans="10:60" x14ac:dyDescent="0.25">
      <c r="AA129" s="4487"/>
      <c r="AB129" s="4487"/>
      <c r="AC129" s="4487"/>
      <c r="AD129" s="4487"/>
      <c r="AE129" s="4487"/>
      <c r="AF129" s="4487"/>
      <c r="AG129" s="4487"/>
      <c r="AH129" s="4487"/>
      <c r="AI129" s="4487"/>
      <c r="AJ129" s="4487"/>
      <c r="AK129" s="4487"/>
      <c r="AL129" s="4487"/>
      <c r="AM129" s="4487"/>
      <c r="AN129" s="4487"/>
      <c r="AO129" s="4487"/>
      <c r="AP129" s="4487"/>
      <c r="AQ129" s="4487"/>
      <c r="AR129" s="4487"/>
      <c r="AS129" s="4487"/>
      <c r="AT129" s="4487"/>
      <c r="AU129" s="4487"/>
      <c r="AV129" s="4487"/>
      <c r="AW129" s="4487"/>
      <c r="AX129" s="4487"/>
      <c r="AY129" s="4487"/>
      <c r="AZ129" s="4487"/>
      <c r="BA129" s="4487"/>
      <c r="BB129" s="4487"/>
      <c r="BC129" s="4487"/>
      <c r="BD129" s="4487"/>
      <c r="BE129" s="4487"/>
      <c r="BF129" s="1137"/>
      <c r="BG129" s="1137"/>
      <c r="BH129" s="4487"/>
    </row>
    <row r="130" spans="10:60" x14ac:dyDescent="0.25">
      <c r="AA130" s="4487"/>
      <c r="AB130" s="4487"/>
      <c r="AC130" s="4487"/>
      <c r="AD130" s="4487"/>
      <c r="AE130" s="4487"/>
      <c r="AF130" s="4487"/>
      <c r="AG130" s="4487"/>
      <c r="AH130" s="4487"/>
      <c r="AI130" s="4487"/>
      <c r="AJ130" s="4487"/>
      <c r="AK130" s="4487"/>
      <c r="AL130" s="4487"/>
      <c r="AM130" s="4487"/>
      <c r="AN130" s="4487"/>
      <c r="AO130" s="4487"/>
      <c r="AP130" s="4487"/>
      <c r="AQ130" s="4487"/>
      <c r="AR130" s="4487"/>
      <c r="AS130" s="4487"/>
      <c r="AT130" s="4487"/>
      <c r="AU130" s="4487"/>
      <c r="AV130" s="4487"/>
      <c r="AW130" s="4487"/>
      <c r="AX130" s="4487"/>
      <c r="AY130" s="4487"/>
      <c r="AZ130" s="4487"/>
      <c r="BA130" s="4487"/>
      <c r="BB130" s="4487"/>
      <c r="BC130" s="4487"/>
      <c r="BD130" s="4487"/>
      <c r="BE130" s="4487"/>
      <c r="BF130" s="1137"/>
      <c r="BG130" s="1137"/>
      <c r="BH130" s="4487"/>
    </row>
    <row r="131" spans="10:60" x14ac:dyDescent="0.25">
      <c r="AA131" s="4487"/>
      <c r="AB131" s="4487"/>
      <c r="AC131" s="4487"/>
      <c r="AD131" s="4487"/>
      <c r="AE131" s="4487"/>
      <c r="AF131" s="4487"/>
      <c r="AG131" s="4487"/>
      <c r="AH131" s="4487"/>
      <c r="AI131" s="4487"/>
      <c r="AJ131" s="4487"/>
      <c r="AK131" s="4487"/>
      <c r="AL131" s="4487"/>
      <c r="AM131" s="4487"/>
      <c r="AN131" s="4487"/>
      <c r="AO131" s="4487"/>
      <c r="AP131" s="4487"/>
      <c r="AQ131" s="4487"/>
      <c r="AR131" s="4487"/>
      <c r="AS131" s="4487"/>
      <c r="AT131" s="4487"/>
      <c r="AU131" s="4487"/>
      <c r="AV131" s="4487"/>
      <c r="AW131" s="4487"/>
      <c r="AX131" s="4487"/>
      <c r="AY131" s="4487"/>
      <c r="AZ131" s="4487"/>
      <c r="BA131" s="4487"/>
      <c r="BB131" s="4487"/>
      <c r="BC131" s="4487"/>
      <c r="BD131" s="4487"/>
      <c r="BE131" s="4487"/>
      <c r="BF131" s="1137"/>
      <c r="BG131" s="1137"/>
      <c r="BH131" s="4487"/>
    </row>
    <row r="132" spans="10:60" x14ac:dyDescent="0.25">
      <c r="AA132" s="4487"/>
      <c r="AB132" s="4487"/>
      <c r="AC132" s="4487"/>
      <c r="AD132" s="4487"/>
      <c r="AE132" s="4487"/>
      <c r="AF132" s="4487"/>
      <c r="AG132" s="4487"/>
      <c r="AH132" s="4487"/>
      <c r="AI132" s="4487"/>
      <c r="AJ132" s="4487"/>
      <c r="AK132" s="4487"/>
      <c r="AL132" s="4487"/>
      <c r="AM132" s="4487"/>
      <c r="AN132" s="4487"/>
      <c r="AO132" s="4487"/>
      <c r="AP132" s="4487"/>
      <c r="AQ132" s="4487"/>
      <c r="AR132" s="4487"/>
      <c r="AS132" s="4487"/>
      <c r="AT132" s="4487"/>
      <c r="AU132" s="4487"/>
      <c r="AV132" s="4487"/>
      <c r="AW132" s="4487"/>
      <c r="AX132" s="4487"/>
      <c r="AY132" s="4487"/>
      <c r="AZ132" s="4487"/>
      <c r="BA132" s="4487"/>
      <c r="BB132" s="4487"/>
      <c r="BC132" s="4487"/>
      <c r="BD132" s="4487"/>
      <c r="BE132" s="4487"/>
      <c r="BF132" s="1137"/>
      <c r="BG132" s="1137"/>
      <c r="BH132" s="4487"/>
    </row>
    <row r="133" spans="10:60" x14ac:dyDescent="0.25">
      <c r="AA133" s="4487"/>
      <c r="AB133" s="4487"/>
      <c r="AC133" s="4487"/>
      <c r="AD133" s="4487"/>
      <c r="AE133" s="4487"/>
      <c r="AF133" s="4487"/>
      <c r="AG133" s="4487"/>
      <c r="AH133" s="4487"/>
      <c r="AI133" s="4487"/>
      <c r="AJ133" s="4487"/>
      <c r="AK133" s="4487"/>
      <c r="AL133" s="4487"/>
      <c r="AM133" s="4487"/>
      <c r="AN133" s="4487"/>
      <c r="AO133" s="4487"/>
      <c r="AP133" s="4487"/>
      <c r="AQ133" s="4487"/>
      <c r="AR133" s="4487"/>
      <c r="AS133" s="4487"/>
      <c r="AT133" s="4487"/>
      <c r="AU133" s="4487"/>
      <c r="AV133" s="4487"/>
      <c r="AW133" s="4487"/>
      <c r="AX133" s="4487"/>
      <c r="AY133" s="4487"/>
      <c r="AZ133" s="4487"/>
      <c r="BA133" s="4487"/>
      <c r="BB133" s="4487"/>
      <c r="BC133" s="4487"/>
      <c r="BD133" s="4487"/>
      <c r="BE133" s="4487"/>
      <c r="BF133" s="1137"/>
      <c r="BG133" s="1137"/>
      <c r="BH133" s="4487"/>
    </row>
    <row r="134" spans="10:60" x14ac:dyDescent="0.25">
      <c r="AA134" s="4487"/>
      <c r="AB134" s="4487"/>
      <c r="AC134" s="4487"/>
      <c r="AD134" s="4487"/>
      <c r="AE134" s="4487"/>
      <c r="AF134" s="4487"/>
      <c r="AG134" s="4487"/>
      <c r="AH134" s="4487"/>
      <c r="AI134" s="4487"/>
      <c r="AJ134" s="4487"/>
      <c r="AK134" s="4487"/>
      <c r="AL134" s="4487"/>
      <c r="AM134" s="4487"/>
      <c r="AN134" s="4487"/>
      <c r="AO134" s="4487"/>
      <c r="AP134" s="4487"/>
      <c r="AQ134" s="4487"/>
      <c r="AR134" s="4487"/>
      <c r="AS134" s="4487"/>
      <c r="AT134" s="4487"/>
      <c r="AU134" s="4487"/>
      <c r="AV134" s="4487"/>
      <c r="AW134" s="4487"/>
      <c r="AX134" s="4487"/>
      <c r="AY134" s="4487"/>
      <c r="AZ134" s="4487"/>
      <c r="BA134" s="4487"/>
      <c r="BB134" s="4487"/>
      <c r="BC134" s="4487"/>
      <c r="BD134" s="4487"/>
      <c r="BE134" s="4487"/>
      <c r="BF134" s="1137"/>
      <c r="BG134" s="1137"/>
      <c r="BH134" s="4487"/>
    </row>
    <row r="135" spans="10:60" x14ac:dyDescent="0.25">
      <c r="AA135" s="4487"/>
      <c r="AB135" s="4487"/>
      <c r="AC135" s="4487"/>
      <c r="AD135" s="4487"/>
      <c r="AE135" s="4487"/>
      <c r="AF135" s="4487"/>
      <c r="AG135" s="4487"/>
      <c r="AH135" s="4487"/>
      <c r="AI135" s="4487"/>
      <c r="AJ135" s="4487"/>
      <c r="AK135" s="4487"/>
      <c r="AL135" s="4487"/>
      <c r="AM135" s="4487"/>
      <c r="AN135" s="4487"/>
      <c r="AO135" s="4487"/>
      <c r="AP135" s="4487"/>
      <c r="AQ135" s="4487"/>
      <c r="AR135" s="4487"/>
      <c r="AS135" s="4487"/>
      <c r="AT135" s="4487"/>
      <c r="AU135" s="4487"/>
      <c r="AV135" s="4487"/>
      <c r="AW135" s="4487"/>
      <c r="AX135" s="4487"/>
      <c r="AY135" s="4487"/>
      <c r="AZ135" s="4487"/>
      <c r="BA135" s="4487"/>
      <c r="BB135" s="4487"/>
      <c r="BC135" s="4487"/>
      <c r="BD135" s="4487"/>
      <c r="BE135" s="4487"/>
      <c r="BF135" s="1137"/>
      <c r="BG135" s="1137"/>
      <c r="BH135" s="4487"/>
    </row>
    <row r="136" spans="10:60" x14ac:dyDescent="0.25">
      <c r="J136"/>
      <c r="K136"/>
      <c r="AA136" s="4487"/>
      <c r="AB136" s="4487"/>
      <c r="AC136" s="4487"/>
      <c r="AD136" s="4487"/>
      <c r="AE136" s="4487"/>
      <c r="AF136" s="4487"/>
      <c r="AG136" s="4487"/>
      <c r="AH136" s="4487"/>
      <c r="AI136" s="4487"/>
      <c r="AJ136" s="4487"/>
      <c r="AK136" s="4487"/>
      <c r="AL136" s="4487"/>
      <c r="AM136" s="4487"/>
      <c r="AN136" s="4487"/>
      <c r="AO136" s="4487"/>
      <c r="AP136" s="4487"/>
      <c r="AQ136" s="4487"/>
      <c r="AR136" s="4487"/>
      <c r="AS136" s="4487"/>
      <c r="AT136" s="4487"/>
      <c r="AU136" s="4487"/>
      <c r="AV136" s="4487"/>
      <c r="AW136" s="4487"/>
      <c r="AX136" s="4487"/>
      <c r="AY136" s="4487"/>
      <c r="AZ136" s="4487"/>
      <c r="BA136" s="4487"/>
      <c r="BB136" s="4487"/>
      <c r="BC136" s="4487"/>
      <c r="BD136" s="4487"/>
      <c r="BE136" s="4487"/>
      <c r="BF136" s="1137"/>
      <c r="BG136" s="1137"/>
      <c r="BH136" s="4487"/>
    </row>
    <row r="137" spans="10:60" x14ac:dyDescent="0.25">
      <c r="J137"/>
      <c r="K137"/>
      <c r="AA137" s="4487"/>
      <c r="AB137" s="4487"/>
      <c r="AC137" s="4487"/>
      <c r="AD137" s="4487"/>
      <c r="AE137" s="4487"/>
      <c r="AF137" s="4487"/>
      <c r="AG137" s="4487"/>
      <c r="AH137" s="4487"/>
      <c r="AI137" s="4487"/>
      <c r="AJ137" s="4487"/>
      <c r="AK137" s="4487"/>
      <c r="AL137" s="4487"/>
      <c r="AM137" s="4487"/>
      <c r="AN137" s="4487"/>
      <c r="AO137" s="4487"/>
      <c r="AP137" s="4487"/>
      <c r="AQ137" s="4487"/>
      <c r="AR137" s="4487"/>
      <c r="AS137" s="4487"/>
      <c r="AT137" s="4487"/>
      <c r="AU137" s="4487"/>
      <c r="AV137" s="4487"/>
      <c r="AW137" s="4487"/>
      <c r="AX137" s="4487"/>
      <c r="AY137" s="4487"/>
      <c r="AZ137" s="4487"/>
      <c r="BA137" s="4487"/>
      <c r="BB137" s="4487"/>
      <c r="BC137" s="4487"/>
      <c r="BD137" s="4487"/>
      <c r="BE137" s="4487"/>
      <c r="BF137" s="1137"/>
      <c r="BG137" s="1137"/>
      <c r="BH137" s="4487"/>
    </row>
    <row r="138" spans="10:60" x14ac:dyDescent="0.25">
      <c r="J138"/>
      <c r="K138"/>
      <c r="AA138" s="4487"/>
      <c r="AB138" s="4487"/>
      <c r="AC138" s="4487"/>
      <c r="AD138" s="4487"/>
      <c r="AE138" s="4487"/>
      <c r="AF138" s="4487"/>
      <c r="AG138" s="4487"/>
      <c r="AH138" s="4487"/>
      <c r="AI138" s="4487"/>
      <c r="AJ138" s="4487"/>
      <c r="AK138" s="4487"/>
      <c r="AL138" s="4487"/>
      <c r="AM138" s="4487"/>
      <c r="AN138" s="4487"/>
      <c r="AO138" s="4487"/>
      <c r="AP138" s="4487"/>
      <c r="AQ138" s="4487"/>
      <c r="AR138" s="4487"/>
      <c r="AS138" s="4487"/>
      <c r="AT138" s="4487"/>
      <c r="AU138" s="4487"/>
      <c r="AV138" s="4487"/>
      <c r="AW138" s="4487"/>
      <c r="AX138" s="4487"/>
      <c r="AY138" s="4487"/>
      <c r="AZ138" s="4487"/>
      <c r="BA138" s="4487"/>
      <c r="BB138" s="4487"/>
      <c r="BC138" s="4487"/>
      <c r="BD138" s="4487"/>
      <c r="BE138" s="4487"/>
      <c r="BF138" s="1137"/>
      <c r="BG138" s="1137"/>
      <c r="BH138" s="4487"/>
    </row>
    <row r="139" spans="10:60" x14ac:dyDescent="0.25">
      <c r="J139"/>
      <c r="K139"/>
      <c r="AA139" s="4487"/>
      <c r="AB139" s="4487"/>
      <c r="AC139" s="4487"/>
      <c r="AD139" s="4487"/>
      <c r="AE139" s="4487"/>
      <c r="AF139" s="4487"/>
      <c r="AG139" s="4487"/>
      <c r="AH139" s="4487"/>
      <c r="AI139" s="4487"/>
      <c r="AJ139" s="4487"/>
      <c r="AK139" s="4487"/>
      <c r="AL139" s="4487"/>
      <c r="AM139" s="4487"/>
      <c r="AN139" s="4487"/>
      <c r="AO139" s="4487"/>
      <c r="AP139" s="4487"/>
      <c r="AQ139" s="4487"/>
      <c r="AR139" s="4487"/>
      <c r="AS139" s="4487"/>
      <c r="AT139" s="4487"/>
      <c r="AU139" s="4487"/>
      <c r="AV139" s="4487"/>
      <c r="AW139" s="4487"/>
      <c r="AX139" s="4487"/>
      <c r="AY139" s="4487"/>
      <c r="AZ139" s="4487"/>
      <c r="BA139" s="4487"/>
      <c r="BB139" s="4487"/>
      <c r="BC139" s="4487"/>
      <c r="BD139" s="4487"/>
      <c r="BE139" s="4487"/>
      <c r="BF139" s="1137"/>
      <c r="BG139" s="1137"/>
      <c r="BH139" s="4487"/>
    </row>
    <row r="140" spans="10:60" x14ac:dyDescent="0.25">
      <c r="J140"/>
      <c r="K140"/>
      <c r="AA140" s="4487"/>
      <c r="AB140" s="4487"/>
      <c r="AC140" s="4487"/>
      <c r="AD140" s="4487"/>
      <c r="AE140" s="4487"/>
      <c r="AF140" s="4487"/>
      <c r="AG140" s="4487"/>
      <c r="AH140" s="4487"/>
      <c r="AI140" s="4487"/>
      <c r="AJ140" s="4487"/>
      <c r="AK140" s="4487"/>
      <c r="AL140" s="4487"/>
      <c r="AM140" s="4487"/>
      <c r="AN140" s="4487"/>
      <c r="AO140" s="4487"/>
      <c r="AP140" s="4487"/>
      <c r="AQ140" s="4487"/>
      <c r="AR140" s="4487"/>
      <c r="AS140" s="4487"/>
      <c r="AT140" s="4487"/>
      <c r="AU140" s="4487"/>
      <c r="AV140" s="4487"/>
      <c r="AW140" s="4487"/>
      <c r="AX140" s="4487"/>
      <c r="AY140" s="4487"/>
      <c r="AZ140" s="4487"/>
      <c r="BA140" s="4487"/>
      <c r="BB140" s="4487"/>
      <c r="BC140" s="4487"/>
      <c r="BD140" s="4487"/>
      <c r="BE140" s="4487"/>
      <c r="BF140" s="1137"/>
      <c r="BG140" s="1137"/>
      <c r="BH140" s="4487"/>
    </row>
    <row r="141" spans="10:60" x14ac:dyDescent="0.25">
      <c r="J141"/>
      <c r="K141"/>
      <c r="AA141" s="4487"/>
      <c r="AB141" s="4487"/>
      <c r="AC141" s="4487"/>
      <c r="AD141" s="4487"/>
      <c r="AE141" s="4487"/>
      <c r="AF141" s="4487"/>
      <c r="AG141" s="4487"/>
      <c r="AH141" s="4487"/>
      <c r="AI141" s="4487"/>
      <c r="AJ141" s="4487"/>
      <c r="AK141" s="4487"/>
      <c r="AL141" s="4487"/>
      <c r="AM141" s="4487"/>
      <c r="AN141" s="4487"/>
      <c r="AO141" s="4487"/>
      <c r="AP141" s="4487"/>
      <c r="AQ141" s="4487"/>
      <c r="AR141" s="4487"/>
      <c r="AS141" s="4487"/>
      <c r="AT141" s="4487"/>
      <c r="AU141" s="4487"/>
      <c r="AV141" s="4487"/>
      <c r="AW141" s="4487"/>
      <c r="AX141" s="4487"/>
      <c r="AY141" s="4487"/>
      <c r="AZ141" s="4487"/>
      <c r="BA141" s="4487"/>
      <c r="BB141" s="4487"/>
      <c r="BC141" s="4487"/>
      <c r="BD141" s="4487"/>
      <c r="BE141" s="4487"/>
      <c r="BF141" s="1137"/>
      <c r="BG141" s="1137"/>
      <c r="BH141" s="4487"/>
    </row>
    <row r="142" spans="10:60" x14ac:dyDescent="0.25">
      <c r="J142"/>
      <c r="K142"/>
      <c r="AA142" s="4487"/>
      <c r="AB142" s="4487"/>
      <c r="AC142" s="4487"/>
      <c r="AD142" s="4487"/>
      <c r="AE142" s="4487"/>
      <c r="AF142" s="4487"/>
      <c r="AG142" s="4487"/>
      <c r="AH142" s="4487"/>
      <c r="AI142" s="4487"/>
      <c r="AJ142" s="4487"/>
      <c r="AK142" s="4487"/>
      <c r="AL142" s="4487"/>
      <c r="AM142" s="4487"/>
      <c r="AN142" s="4487"/>
      <c r="AO142" s="4487"/>
      <c r="AP142" s="4487"/>
      <c r="AQ142" s="4487"/>
      <c r="AR142" s="4487"/>
      <c r="AS142" s="4487"/>
      <c r="AT142" s="4487"/>
      <c r="AU142" s="4487"/>
      <c r="AV142" s="4487"/>
      <c r="AW142" s="4487"/>
      <c r="AX142" s="4487"/>
      <c r="AY142" s="4487"/>
      <c r="AZ142" s="4487"/>
      <c r="BA142" s="4487"/>
      <c r="BB142" s="4487"/>
      <c r="BC142" s="4487"/>
      <c r="BD142" s="4487"/>
      <c r="BE142" s="4487"/>
      <c r="BF142" s="1137"/>
      <c r="BG142" s="1137"/>
      <c r="BH142" s="4487"/>
    </row>
    <row r="143" spans="10:60" x14ac:dyDescent="0.25">
      <c r="J143"/>
      <c r="K143"/>
      <c r="AA143" s="4487"/>
      <c r="AB143" s="4487"/>
      <c r="AC143" s="4487"/>
      <c r="AD143" s="4487"/>
      <c r="AE143" s="4487"/>
      <c r="AF143" s="4487"/>
      <c r="AG143" s="4487"/>
      <c r="AH143" s="4487"/>
      <c r="AI143" s="4487"/>
      <c r="AJ143" s="4487"/>
      <c r="AK143" s="4487"/>
      <c r="AL143" s="4487"/>
      <c r="AM143" s="4487"/>
      <c r="AN143" s="4487"/>
      <c r="AO143" s="4487"/>
      <c r="AP143" s="4487"/>
      <c r="AQ143" s="4487"/>
      <c r="AR143" s="4487"/>
      <c r="AS143" s="4487"/>
      <c r="AT143" s="4487"/>
      <c r="AU143" s="4487"/>
      <c r="AV143" s="4487"/>
      <c r="AW143" s="4487"/>
      <c r="AX143" s="4487"/>
      <c r="AY143" s="4487"/>
      <c r="AZ143" s="4487"/>
      <c r="BA143" s="4487"/>
      <c r="BB143" s="4487"/>
      <c r="BC143" s="4487"/>
      <c r="BD143" s="4487"/>
      <c r="BE143" s="4487"/>
      <c r="BF143" s="1137"/>
      <c r="BG143" s="1137"/>
      <c r="BH143" s="4487"/>
    </row>
    <row r="144" spans="10:60" x14ac:dyDescent="0.25">
      <c r="J144"/>
      <c r="K144"/>
      <c r="AA144" s="4487"/>
      <c r="AB144" s="4487"/>
      <c r="AC144" s="4487"/>
      <c r="AD144" s="4487"/>
      <c r="AE144" s="4487"/>
      <c r="AF144" s="4487"/>
      <c r="AG144" s="4487"/>
      <c r="AH144" s="4487"/>
      <c r="AI144" s="4487"/>
      <c r="AJ144" s="4487"/>
      <c r="AK144" s="4487"/>
      <c r="AL144" s="4487"/>
      <c r="AM144" s="4487"/>
      <c r="AN144" s="4487"/>
      <c r="AO144" s="4487"/>
      <c r="AP144" s="4487"/>
      <c r="AQ144" s="4487"/>
      <c r="AR144" s="4487"/>
      <c r="AS144" s="4487"/>
      <c r="AT144" s="4487"/>
      <c r="AU144" s="4487"/>
      <c r="AV144" s="4487"/>
      <c r="AW144" s="4487"/>
      <c r="AX144" s="4487"/>
      <c r="AY144" s="4487"/>
      <c r="AZ144" s="4487"/>
      <c r="BA144" s="4487"/>
      <c r="BB144" s="4487"/>
      <c r="BC144" s="4487"/>
      <c r="BD144" s="4487"/>
      <c r="BE144" s="4487"/>
      <c r="BF144" s="1137"/>
      <c r="BG144" s="1137"/>
      <c r="BH144" s="4487"/>
    </row>
    <row r="145" spans="10:60" x14ac:dyDescent="0.25">
      <c r="J145"/>
      <c r="K145"/>
      <c r="AA145" s="4487"/>
      <c r="AB145" s="4487"/>
      <c r="AC145" s="4487"/>
      <c r="AD145" s="4487"/>
      <c r="AE145" s="4487"/>
      <c r="AF145" s="4487"/>
      <c r="AG145" s="4487"/>
      <c r="AH145" s="4487"/>
      <c r="AI145" s="4487"/>
      <c r="AJ145" s="4487"/>
      <c r="AK145" s="4487"/>
      <c r="AL145" s="4487"/>
      <c r="AM145" s="4487"/>
      <c r="AN145" s="4487"/>
      <c r="AO145" s="4487"/>
      <c r="AP145" s="4487"/>
      <c r="AQ145" s="4487"/>
      <c r="AR145" s="4487"/>
      <c r="AS145" s="4487"/>
      <c r="AT145" s="4487"/>
      <c r="AU145" s="4487"/>
      <c r="AV145" s="4487"/>
      <c r="AW145" s="4487"/>
      <c r="AX145" s="4487"/>
      <c r="AY145" s="4487"/>
      <c r="AZ145" s="4487"/>
      <c r="BA145" s="4487"/>
      <c r="BB145" s="4487"/>
      <c r="BC145" s="4487"/>
      <c r="BD145" s="4487"/>
      <c r="BE145" s="4487"/>
      <c r="BF145" s="1137"/>
      <c r="BG145" s="1137"/>
      <c r="BH145" s="4487"/>
    </row>
    <row r="146" spans="10:60" x14ac:dyDescent="0.25">
      <c r="J146"/>
      <c r="K146"/>
      <c r="AA146" s="4487"/>
      <c r="AB146" s="4487"/>
      <c r="AC146" s="4487"/>
      <c r="AD146" s="4487"/>
      <c r="AE146" s="4487"/>
      <c r="AF146" s="4487"/>
      <c r="AG146" s="4487"/>
      <c r="AH146" s="4487"/>
      <c r="AI146" s="4487"/>
      <c r="AJ146" s="4487"/>
      <c r="AK146" s="4487"/>
      <c r="AL146" s="4487"/>
      <c r="AM146" s="4487"/>
      <c r="AN146" s="4487"/>
      <c r="AO146" s="4487"/>
      <c r="AP146" s="4487"/>
      <c r="AQ146" s="4487"/>
      <c r="AR146" s="4487"/>
      <c r="AS146" s="4487"/>
      <c r="AT146" s="4487"/>
      <c r="AU146" s="4487"/>
      <c r="AV146" s="4487"/>
      <c r="AW146" s="4487"/>
      <c r="AX146" s="4487"/>
      <c r="AY146" s="4487"/>
      <c r="AZ146" s="4487"/>
      <c r="BA146" s="4487"/>
      <c r="BB146" s="4487"/>
      <c r="BC146" s="4487"/>
      <c r="BD146" s="4487"/>
      <c r="BE146" s="4487"/>
      <c r="BF146" s="1137"/>
      <c r="BG146" s="1137"/>
      <c r="BH146" s="4487"/>
    </row>
    <row r="147" spans="10:60" x14ac:dyDescent="0.25">
      <c r="J147"/>
      <c r="K147"/>
      <c r="AA147" s="4487"/>
      <c r="AB147" s="4487"/>
      <c r="AC147" s="4487"/>
      <c r="AD147" s="4487"/>
      <c r="AE147" s="4487"/>
      <c r="AF147" s="4487"/>
      <c r="AG147" s="4487"/>
      <c r="AH147" s="4487"/>
      <c r="AI147" s="4487"/>
      <c r="AJ147" s="4487"/>
      <c r="AK147" s="4487"/>
      <c r="AL147" s="4487"/>
      <c r="AM147" s="4487"/>
      <c r="AN147" s="4487"/>
      <c r="AO147" s="4487"/>
      <c r="AP147" s="4487"/>
      <c r="AQ147" s="4487"/>
      <c r="AR147" s="4487"/>
      <c r="AS147" s="4487"/>
      <c r="AT147" s="4487"/>
      <c r="AU147" s="4487"/>
      <c r="AV147" s="4487"/>
      <c r="AW147" s="4487"/>
      <c r="AX147" s="4487"/>
      <c r="AY147" s="4487"/>
      <c r="AZ147" s="4487"/>
      <c r="BA147" s="4487"/>
      <c r="BB147" s="4487"/>
      <c r="BC147" s="4487"/>
      <c r="BD147" s="4487"/>
      <c r="BE147" s="4487"/>
      <c r="BF147" s="1137"/>
      <c r="BG147" s="1137"/>
      <c r="BH147" s="4487"/>
    </row>
    <row r="148" spans="10:60" x14ac:dyDescent="0.25">
      <c r="J148"/>
      <c r="K148"/>
      <c r="AA148" s="4487"/>
      <c r="AB148" s="4487"/>
      <c r="AC148" s="4487"/>
      <c r="AD148" s="4487"/>
      <c r="AE148" s="4487"/>
      <c r="AF148" s="4487"/>
      <c r="AG148" s="4487"/>
      <c r="AH148" s="4487"/>
      <c r="AI148" s="4487"/>
      <c r="AJ148" s="4487"/>
      <c r="AK148" s="4487"/>
      <c r="AL148" s="4487"/>
      <c r="AM148" s="4487"/>
      <c r="AN148" s="4487"/>
      <c r="AO148" s="4487"/>
      <c r="AP148" s="4487"/>
      <c r="AQ148" s="4487"/>
      <c r="AR148" s="4487"/>
      <c r="AS148" s="4487"/>
      <c r="AT148" s="4487"/>
      <c r="AU148" s="4487"/>
      <c r="AV148" s="4487"/>
      <c r="AW148" s="4487"/>
      <c r="AX148" s="4487"/>
      <c r="AY148" s="4487"/>
      <c r="AZ148" s="4487"/>
      <c r="BA148" s="4487"/>
      <c r="BB148" s="4487"/>
      <c r="BC148" s="4487"/>
      <c r="BD148" s="4487"/>
      <c r="BE148" s="4487"/>
      <c r="BF148" s="1137"/>
      <c r="BG148" s="1137"/>
      <c r="BH148" s="4487"/>
    </row>
    <row r="149" spans="10:60" x14ac:dyDescent="0.25">
      <c r="J149"/>
      <c r="K149"/>
      <c r="AA149" s="4487"/>
      <c r="AB149" s="4487"/>
      <c r="AC149" s="4487"/>
      <c r="AD149" s="4487"/>
      <c r="AE149" s="4487"/>
      <c r="AF149" s="4487"/>
      <c r="AG149" s="4487"/>
      <c r="AH149" s="4487"/>
      <c r="AI149" s="4487"/>
      <c r="AJ149" s="4487"/>
      <c r="AK149" s="4487"/>
      <c r="AL149" s="4487"/>
      <c r="AM149" s="4487"/>
      <c r="AN149" s="4487"/>
      <c r="AO149" s="4487"/>
      <c r="AP149" s="4487"/>
      <c r="AQ149" s="4487"/>
      <c r="AR149" s="4487"/>
      <c r="AS149" s="4487"/>
      <c r="AT149" s="4487"/>
      <c r="AU149" s="4487"/>
      <c r="AV149" s="4487"/>
      <c r="AW149" s="4487"/>
      <c r="AX149" s="4487"/>
      <c r="AY149" s="4487"/>
      <c r="AZ149" s="4487"/>
      <c r="BA149" s="4487"/>
      <c r="BB149" s="4487"/>
      <c r="BC149" s="4487"/>
      <c r="BD149" s="4487"/>
      <c r="BE149" s="4487"/>
      <c r="BF149" s="1137"/>
      <c r="BG149" s="1137"/>
      <c r="BH149" s="4487"/>
    </row>
    <row r="150" spans="10:60" x14ac:dyDescent="0.25">
      <c r="J150"/>
      <c r="K150"/>
      <c r="AA150" s="4487"/>
      <c r="AB150" s="4487"/>
      <c r="AC150" s="4487"/>
      <c r="AD150" s="4487"/>
      <c r="AE150" s="4487"/>
      <c r="AF150" s="4487"/>
      <c r="AG150" s="4487"/>
      <c r="AH150" s="4487"/>
      <c r="AI150" s="4487"/>
      <c r="AJ150" s="4487"/>
      <c r="AK150" s="4487"/>
      <c r="AL150" s="4487"/>
      <c r="AM150" s="4487"/>
      <c r="AN150" s="4487"/>
      <c r="AO150" s="4487"/>
      <c r="AP150" s="4487"/>
      <c r="AQ150" s="4487"/>
      <c r="AR150" s="4487"/>
      <c r="AS150" s="4487"/>
      <c r="AT150" s="4487"/>
      <c r="AU150" s="4487"/>
      <c r="AV150" s="4487"/>
      <c r="AW150" s="4487"/>
      <c r="AX150" s="4487"/>
      <c r="AY150" s="4487"/>
      <c r="AZ150" s="4487"/>
      <c r="BA150" s="4487"/>
      <c r="BB150" s="4487"/>
      <c r="BC150" s="4487"/>
      <c r="BD150" s="4487"/>
      <c r="BE150" s="4487"/>
      <c r="BF150" s="1137"/>
      <c r="BG150" s="1137"/>
      <c r="BH150" s="4487"/>
    </row>
    <row r="151" spans="10:60" x14ac:dyDescent="0.25">
      <c r="J151"/>
      <c r="K151"/>
      <c r="AA151" s="4487"/>
      <c r="AB151" s="4487"/>
      <c r="AC151" s="4487"/>
      <c r="AD151" s="4487"/>
      <c r="AE151" s="4487"/>
      <c r="AF151" s="4487"/>
      <c r="AG151" s="4487"/>
      <c r="AH151" s="4487"/>
      <c r="AI151" s="4487"/>
      <c r="AJ151" s="4487"/>
      <c r="AK151" s="4487"/>
      <c r="AL151" s="4487"/>
      <c r="AM151" s="4487"/>
      <c r="AN151" s="4487"/>
      <c r="AO151" s="4487"/>
      <c r="AP151" s="4487"/>
      <c r="AQ151" s="4487"/>
      <c r="AR151" s="4487"/>
      <c r="AS151" s="4487"/>
      <c r="AT151" s="4487"/>
      <c r="AU151" s="4487"/>
      <c r="AV151" s="4487"/>
      <c r="AW151" s="4487"/>
      <c r="AX151" s="4487"/>
      <c r="AY151" s="4487"/>
      <c r="AZ151" s="4487"/>
      <c r="BA151" s="4487"/>
      <c r="BB151" s="4487"/>
      <c r="BC151" s="4487"/>
      <c r="BD151" s="4487"/>
      <c r="BE151" s="4487"/>
      <c r="BF151" s="4487"/>
      <c r="BG151" s="4487"/>
      <c r="BH151" s="4487"/>
    </row>
    <row r="152" spans="10:60" x14ac:dyDescent="0.25">
      <c r="J152"/>
      <c r="K152"/>
      <c r="AA152" s="4487"/>
      <c r="AB152" s="4487"/>
      <c r="AC152" s="4487"/>
      <c r="AD152" s="4487"/>
      <c r="AE152" s="4487"/>
      <c r="AF152" s="4487"/>
      <c r="AG152" s="4487"/>
      <c r="AH152" s="4487"/>
      <c r="AI152" s="4487"/>
      <c r="AJ152" s="4487"/>
      <c r="AK152" s="4487"/>
      <c r="AL152" s="4487"/>
      <c r="AM152" s="4487"/>
      <c r="AN152" s="4487"/>
      <c r="AO152" s="4487"/>
      <c r="AP152" s="4487"/>
      <c r="AQ152" s="4487"/>
      <c r="AR152" s="4487"/>
      <c r="AS152" s="4487"/>
      <c r="AT152" s="4487"/>
      <c r="AU152" s="4487"/>
      <c r="AV152" s="4487"/>
      <c r="AW152" s="4487"/>
      <c r="AX152" s="4487"/>
      <c r="AY152" s="4487"/>
      <c r="AZ152" s="4487"/>
      <c r="BA152" s="4487"/>
      <c r="BB152" s="4487"/>
      <c r="BC152" s="4487"/>
      <c r="BD152" s="4487"/>
      <c r="BE152" s="4487"/>
      <c r="BF152" s="4487"/>
      <c r="BG152" s="4487"/>
      <c r="BH152" s="4487"/>
    </row>
    <row r="153" spans="10:60" x14ac:dyDescent="0.25">
      <c r="J153"/>
      <c r="K153"/>
      <c r="AA153" s="4487"/>
      <c r="AB153" s="4487"/>
      <c r="AC153" s="4487"/>
      <c r="AD153" s="4487"/>
      <c r="AE153" s="4487"/>
      <c r="AF153" s="4487"/>
      <c r="AG153" s="4487"/>
      <c r="AH153" s="4487"/>
      <c r="AI153" s="4487"/>
      <c r="AJ153" s="4487"/>
      <c r="AK153" s="4487"/>
      <c r="AL153" s="4487"/>
      <c r="AM153" s="4487"/>
      <c r="AN153" s="4487"/>
      <c r="AO153" s="4487"/>
      <c r="AP153" s="4487"/>
      <c r="AQ153" s="4487"/>
      <c r="AR153" s="4487"/>
      <c r="AS153" s="4487"/>
      <c r="AT153" s="4487"/>
      <c r="AU153" s="4487"/>
      <c r="AV153" s="4487"/>
      <c r="AW153" s="4487"/>
      <c r="AX153" s="4487"/>
      <c r="AY153" s="4487"/>
      <c r="AZ153" s="4487"/>
      <c r="BA153" s="4487"/>
      <c r="BB153" s="4487"/>
      <c r="BC153" s="4487"/>
      <c r="BD153" s="4487"/>
      <c r="BE153" s="4487"/>
      <c r="BF153" s="4487"/>
      <c r="BG153" s="4487"/>
      <c r="BH153" s="4487"/>
    </row>
    <row r="154" spans="10:60" x14ac:dyDescent="0.25">
      <c r="J154"/>
      <c r="K154"/>
      <c r="AA154" s="4487"/>
      <c r="AB154" s="4487"/>
      <c r="AC154" s="4487"/>
      <c r="AD154" s="4487"/>
      <c r="AE154" s="4487"/>
      <c r="AF154" s="4487"/>
      <c r="AG154" s="4487"/>
      <c r="AH154" s="4487"/>
      <c r="AI154" s="4487"/>
      <c r="AJ154" s="4487"/>
      <c r="AK154" s="4487"/>
      <c r="AL154" s="4487"/>
      <c r="AM154" s="4487"/>
      <c r="AN154" s="4487"/>
      <c r="AO154" s="4487"/>
      <c r="AP154" s="4487"/>
      <c r="AQ154" s="4487"/>
      <c r="AR154" s="4487"/>
      <c r="AS154" s="4487"/>
      <c r="AT154" s="4487"/>
      <c r="AU154" s="4487"/>
      <c r="AV154" s="4487"/>
      <c r="AW154" s="4487"/>
      <c r="AX154" s="4487"/>
      <c r="AY154" s="4487"/>
      <c r="AZ154" s="4487"/>
      <c r="BA154" s="4487"/>
      <c r="BB154" s="4487"/>
      <c r="BC154" s="4487"/>
      <c r="BD154" s="4487"/>
      <c r="BE154" s="4487"/>
      <c r="BF154" s="4487"/>
      <c r="BG154" s="4487"/>
      <c r="BH154" s="4487"/>
    </row>
    <row r="155" spans="10:60" x14ac:dyDescent="0.25">
      <c r="J155"/>
      <c r="K155"/>
      <c r="AA155" s="4487"/>
      <c r="AB155" s="4487"/>
      <c r="AC155" s="4487"/>
      <c r="AD155" s="4487"/>
      <c r="AE155" s="4487"/>
      <c r="AF155" s="4487"/>
      <c r="AG155" s="4487"/>
      <c r="AH155" s="4487"/>
      <c r="AI155" s="4487"/>
      <c r="AJ155" s="4487"/>
      <c r="AK155" s="4487"/>
      <c r="AL155" s="4487"/>
      <c r="AM155" s="4487"/>
      <c r="AN155" s="4487"/>
      <c r="AO155" s="4487"/>
      <c r="AP155" s="4487"/>
      <c r="AQ155" s="4487"/>
      <c r="AR155" s="4487"/>
      <c r="AS155" s="4487"/>
      <c r="AT155" s="4487"/>
      <c r="AU155" s="4487"/>
      <c r="AV155" s="4487"/>
      <c r="AW155" s="4487"/>
      <c r="AX155" s="4487"/>
      <c r="AY155" s="4487"/>
      <c r="AZ155" s="4487"/>
      <c r="BA155" s="4487"/>
      <c r="BB155" s="4487"/>
      <c r="BC155" s="4487"/>
      <c r="BD155" s="4487"/>
      <c r="BE155" s="4487"/>
      <c r="BF155" s="4487"/>
      <c r="BG155" s="4487"/>
      <c r="BH155" s="4487"/>
    </row>
    <row r="156" spans="10:60" x14ac:dyDescent="0.25">
      <c r="J156"/>
      <c r="K156"/>
      <c r="AA156" s="4487"/>
      <c r="AB156" s="4487"/>
      <c r="AC156" s="4487"/>
      <c r="AD156" s="4487"/>
      <c r="AE156" s="4487"/>
      <c r="AF156" s="4487"/>
      <c r="AG156" s="4487"/>
      <c r="AH156" s="4487"/>
      <c r="AI156" s="4487"/>
      <c r="AJ156" s="4487"/>
      <c r="AK156" s="4487"/>
      <c r="AL156" s="4487"/>
      <c r="AM156" s="4487"/>
      <c r="AN156" s="4487"/>
      <c r="AO156" s="4487"/>
      <c r="AP156" s="4487"/>
      <c r="AQ156" s="4487"/>
      <c r="AR156" s="4487"/>
      <c r="AS156" s="4487"/>
      <c r="AT156" s="4487"/>
      <c r="AU156" s="4487"/>
      <c r="AV156" s="4487"/>
      <c r="AW156" s="4487"/>
      <c r="AX156" s="4487"/>
      <c r="AY156" s="4487"/>
      <c r="AZ156" s="4487"/>
      <c r="BA156" s="4487"/>
      <c r="BB156" s="4487"/>
      <c r="BC156" s="4487"/>
      <c r="BD156" s="4487"/>
      <c r="BE156" s="4487"/>
      <c r="BF156" s="4487"/>
      <c r="BG156" s="4487"/>
      <c r="BH156" s="4487"/>
    </row>
    <row r="157" spans="10:60" x14ac:dyDescent="0.25">
      <c r="J157"/>
      <c r="K157"/>
      <c r="AA157" s="4487"/>
      <c r="AB157" s="4487"/>
      <c r="AC157" s="4487"/>
      <c r="AD157" s="4487"/>
      <c r="AE157" s="4487"/>
      <c r="AF157" s="4487"/>
      <c r="AG157" s="4487"/>
      <c r="AH157" s="4487"/>
      <c r="AI157" s="4487"/>
      <c r="AJ157" s="4487"/>
      <c r="AK157" s="4487"/>
      <c r="AL157" s="4487"/>
      <c r="AM157" s="4487"/>
      <c r="AN157" s="4487"/>
      <c r="AO157" s="4487"/>
      <c r="AP157" s="4487"/>
      <c r="AQ157" s="4487"/>
      <c r="AR157" s="4487"/>
      <c r="AS157" s="4487"/>
      <c r="AT157" s="4487"/>
      <c r="AU157" s="4487"/>
      <c r="AV157" s="4487"/>
      <c r="AW157" s="4487"/>
      <c r="AX157" s="4487"/>
      <c r="AY157" s="4487"/>
      <c r="AZ157" s="4487"/>
      <c r="BA157" s="4487"/>
      <c r="BB157" s="4487"/>
      <c r="BC157" s="4487"/>
      <c r="BD157" s="4487"/>
      <c r="BE157" s="4487"/>
      <c r="BF157" s="4487"/>
      <c r="BG157" s="4487"/>
      <c r="BH157" s="4487"/>
    </row>
    <row r="158" spans="10:60" x14ac:dyDescent="0.25">
      <c r="J158"/>
      <c r="K158"/>
      <c r="AA158" s="4487"/>
      <c r="AB158" s="4487"/>
      <c r="AC158" s="4487"/>
      <c r="AD158" s="4487"/>
      <c r="AE158" s="4487"/>
      <c r="AF158" s="4487"/>
      <c r="AG158" s="4487"/>
      <c r="AH158" s="4487"/>
      <c r="AI158" s="4487"/>
      <c r="AJ158" s="4487"/>
      <c r="AK158" s="4487"/>
      <c r="AL158" s="4487"/>
      <c r="AM158" s="4487"/>
      <c r="AN158" s="4487"/>
      <c r="AO158" s="4487"/>
      <c r="AP158" s="4487"/>
      <c r="AQ158" s="4487"/>
      <c r="AR158" s="4487"/>
      <c r="AS158" s="4487"/>
      <c r="AT158" s="4487"/>
      <c r="AU158" s="4487"/>
      <c r="AV158" s="4487"/>
      <c r="AW158" s="4487"/>
      <c r="AX158" s="4487"/>
      <c r="AY158" s="4487"/>
      <c r="AZ158" s="4487"/>
      <c r="BA158" s="4487"/>
      <c r="BB158" s="4487"/>
      <c r="BC158" s="4487"/>
      <c r="BD158" s="4487"/>
      <c r="BE158" s="4487"/>
      <c r="BF158" s="4487"/>
      <c r="BG158" s="4487"/>
      <c r="BH158" s="4487"/>
    </row>
    <row r="159" spans="10:60" x14ac:dyDescent="0.25">
      <c r="J159"/>
      <c r="K159"/>
      <c r="AA159" s="4487"/>
      <c r="AB159" s="4487"/>
      <c r="AC159" s="4487"/>
      <c r="AD159" s="4487"/>
      <c r="AE159" s="4487"/>
      <c r="AF159" s="4487"/>
      <c r="AG159" s="4487"/>
      <c r="AH159" s="4487"/>
      <c r="AI159" s="4487"/>
      <c r="AJ159" s="4487"/>
      <c r="AK159" s="4487"/>
      <c r="AL159" s="4487"/>
      <c r="AM159" s="4487"/>
      <c r="AN159" s="4487"/>
      <c r="AO159" s="4487"/>
      <c r="AP159" s="4487"/>
      <c r="AQ159" s="4487"/>
      <c r="AR159" s="4487"/>
      <c r="AS159" s="4487"/>
      <c r="AT159" s="4487"/>
      <c r="AU159" s="4487"/>
      <c r="AV159" s="4487"/>
      <c r="AW159" s="4487"/>
      <c r="AX159" s="4487"/>
      <c r="AY159" s="4487"/>
      <c r="AZ159" s="4487"/>
      <c r="BA159" s="4487"/>
      <c r="BB159" s="4487"/>
      <c r="BC159" s="4487"/>
      <c r="BD159" s="4487"/>
      <c r="BE159" s="4487"/>
      <c r="BF159" s="4487"/>
      <c r="BG159" s="4487"/>
      <c r="BH159" s="4487"/>
    </row>
    <row r="160" spans="10:60" x14ac:dyDescent="0.25">
      <c r="J160"/>
      <c r="K160"/>
      <c r="AA160" s="4487"/>
      <c r="AB160" s="4487"/>
      <c r="AC160" s="4487"/>
      <c r="AD160" s="4487"/>
      <c r="AE160" s="4487"/>
      <c r="AF160" s="4487"/>
      <c r="AG160" s="4487"/>
      <c r="AH160" s="4487"/>
      <c r="AI160" s="4487"/>
      <c r="AJ160" s="4487"/>
      <c r="AK160" s="4487"/>
      <c r="AL160" s="4487"/>
      <c r="AM160" s="4487"/>
      <c r="AN160" s="4487"/>
      <c r="AO160" s="4487"/>
      <c r="AP160" s="4487"/>
      <c r="AQ160" s="4487"/>
      <c r="AR160" s="4487"/>
      <c r="AS160" s="4487"/>
      <c r="AT160" s="4487"/>
      <c r="AU160" s="4487"/>
      <c r="AV160" s="4487"/>
      <c r="AW160" s="4487"/>
      <c r="AX160" s="4487"/>
      <c r="AY160" s="4487"/>
      <c r="AZ160" s="4487"/>
      <c r="BA160" s="4487"/>
      <c r="BB160" s="4487"/>
      <c r="BC160" s="4487"/>
      <c r="BD160" s="4487"/>
      <c r="BE160" s="4487"/>
      <c r="BF160" s="4487"/>
      <c r="BG160" s="4487"/>
      <c r="BH160" s="4487"/>
    </row>
    <row r="161" spans="10:60" x14ac:dyDescent="0.25">
      <c r="J161"/>
      <c r="K161"/>
      <c r="AA161" s="4487"/>
      <c r="AB161" s="4487"/>
      <c r="AC161" s="4487"/>
      <c r="AD161" s="4487"/>
      <c r="AE161" s="4487"/>
      <c r="AF161" s="4487"/>
      <c r="AG161" s="4487"/>
      <c r="AH161" s="4487"/>
      <c r="AI161" s="4487"/>
      <c r="AJ161" s="4487"/>
      <c r="AK161" s="4487"/>
      <c r="AL161" s="4487"/>
      <c r="AM161" s="4487"/>
      <c r="AN161" s="4487"/>
      <c r="AO161" s="4487"/>
      <c r="AP161" s="4487"/>
      <c r="AQ161" s="4487"/>
      <c r="AR161" s="4487"/>
      <c r="AS161" s="4487"/>
      <c r="AT161" s="4487"/>
      <c r="AU161" s="4487"/>
      <c r="AV161" s="4487"/>
      <c r="AW161" s="4487"/>
      <c r="AX161" s="4487"/>
      <c r="AY161" s="4487"/>
      <c r="AZ161" s="4487"/>
      <c r="BA161" s="4487"/>
      <c r="BB161" s="4487"/>
      <c r="BC161" s="4487"/>
      <c r="BD161" s="4487"/>
      <c r="BE161" s="4487"/>
      <c r="BF161" s="4487"/>
      <c r="BG161" s="4487"/>
      <c r="BH161" s="4487"/>
    </row>
    <row r="162" spans="10:60" x14ac:dyDescent="0.25">
      <c r="J162"/>
      <c r="K162"/>
      <c r="AA162" s="4487"/>
      <c r="AB162" s="4487"/>
      <c r="AC162" s="4487"/>
      <c r="AD162" s="4487"/>
      <c r="AE162" s="4487"/>
      <c r="AF162" s="4487"/>
      <c r="AG162" s="4487"/>
      <c r="AH162" s="4487"/>
      <c r="AI162" s="4487"/>
      <c r="AJ162" s="4487"/>
      <c r="AK162" s="4487"/>
      <c r="AL162" s="4487"/>
      <c r="AM162" s="4487"/>
      <c r="AN162" s="4487"/>
      <c r="AO162" s="4487"/>
      <c r="AP162" s="4487"/>
      <c r="AQ162" s="4487"/>
      <c r="AR162" s="4487"/>
      <c r="AS162" s="4487"/>
      <c r="AT162" s="4487"/>
      <c r="AU162" s="4487"/>
      <c r="AV162" s="4487"/>
      <c r="AW162" s="4487"/>
      <c r="AX162" s="4487"/>
      <c r="AY162" s="4487"/>
      <c r="AZ162" s="4487"/>
      <c r="BA162" s="4487"/>
      <c r="BB162" s="4487"/>
      <c r="BC162" s="4487"/>
      <c r="BD162" s="4487"/>
      <c r="BE162" s="4487"/>
      <c r="BF162" s="4487"/>
      <c r="BG162" s="4487"/>
      <c r="BH162" s="4487"/>
    </row>
    <row r="163" spans="10:60" x14ac:dyDescent="0.25">
      <c r="J163"/>
      <c r="K163"/>
      <c r="AA163" s="4487"/>
      <c r="AB163" s="4487"/>
      <c r="AC163" s="4487"/>
      <c r="AD163" s="4487"/>
      <c r="AE163" s="4487"/>
      <c r="AF163" s="4487"/>
      <c r="AG163" s="4487"/>
      <c r="AH163" s="4487"/>
      <c r="AI163" s="4487"/>
      <c r="AJ163" s="4487"/>
      <c r="AK163" s="4487"/>
      <c r="AL163" s="4487"/>
      <c r="AM163" s="4487"/>
      <c r="AN163" s="4487"/>
      <c r="AO163" s="4487"/>
      <c r="AP163" s="4487"/>
      <c r="AQ163" s="4487"/>
      <c r="AR163" s="4487"/>
      <c r="AS163" s="4487"/>
      <c r="AT163" s="4487"/>
      <c r="AU163" s="4487"/>
      <c r="AV163" s="4487"/>
      <c r="AW163" s="4487"/>
      <c r="AX163" s="4487"/>
      <c r="AY163" s="4487"/>
      <c r="AZ163" s="4487"/>
      <c r="BA163" s="4487"/>
      <c r="BB163" s="4487"/>
      <c r="BC163" s="4487"/>
      <c r="BD163" s="4487"/>
      <c r="BE163" s="4487"/>
      <c r="BF163" s="4487"/>
      <c r="BG163" s="4487"/>
      <c r="BH163" s="4487"/>
    </row>
    <row r="164" spans="10:60" x14ac:dyDescent="0.25">
      <c r="J164"/>
      <c r="K164"/>
      <c r="AA164" s="4487"/>
      <c r="AB164" s="4487"/>
      <c r="AC164" s="4487"/>
      <c r="AD164" s="4487"/>
      <c r="AE164" s="4487"/>
      <c r="AF164" s="4487"/>
      <c r="AG164" s="4487"/>
      <c r="AH164" s="4487"/>
      <c r="AI164" s="4487"/>
      <c r="AJ164" s="4487"/>
      <c r="AK164" s="4487"/>
      <c r="AL164" s="4487"/>
      <c r="AM164" s="4487"/>
      <c r="AN164" s="4487"/>
      <c r="AO164" s="4487"/>
      <c r="AP164" s="4487"/>
      <c r="AQ164" s="4487"/>
      <c r="AR164" s="4487"/>
      <c r="AS164" s="4487"/>
      <c r="AT164" s="4487"/>
      <c r="AU164" s="4487"/>
      <c r="AV164" s="4487"/>
      <c r="AW164" s="4487"/>
      <c r="AX164" s="4487"/>
      <c r="AY164" s="4487"/>
      <c r="AZ164" s="4487"/>
      <c r="BA164" s="4487"/>
      <c r="BB164" s="4487"/>
      <c r="BC164" s="4487"/>
      <c r="BD164" s="4487"/>
      <c r="BE164" s="4487"/>
      <c r="BF164" s="4487"/>
      <c r="BG164" s="4487"/>
      <c r="BH164" s="4487"/>
    </row>
    <row r="165" spans="10:60" x14ac:dyDescent="0.25">
      <c r="J165"/>
      <c r="K165"/>
      <c r="AA165" s="4487"/>
      <c r="AB165" s="4487"/>
      <c r="AC165" s="4487"/>
      <c r="AD165" s="4487"/>
      <c r="AE165" s="4487"/>
      <c r="AF165" s="4487"/>
      <c r="AG165" s="4487"/>
      <c r="AH165" s="4487"/>
      <c r="AI165" s="4487"/>
      <c r="AJ165" s="4487"/>
      <c r="AK165" s="4487"/>
      <c r="AL165" s="4487"/>
      <c r="AM165" s="4487"/>
      <c r="AN165" s="4487"/>
      <c r="AO165" s="4487"/>
      <c r="AP165" s="4487"/>
      <c r="AQ165" s="4487"/>
      <c r="AR165" s="4487"/>
      <c r="AS165" s="4487"/>
      <c r="AT165" s="4487"/>
      <c r="AU165" s="4487"/>
      <c r="AV165" s="4487"/>
      <c r="AW165" s="4487"/>
      <c r="AX165" s="4487"/>
      <c r="AY165" s="4487"/>
      <c r="AZ165" s="4487"/>
      <c r="BA165" s="4487"/>
      <c r="BB165" s="4487"/>
      <c r="BC165" s="4487"/>
      <c r="BD165" s="4487"/>
      <c r="BE165" s="4487"/>
      <c r="BF165" s="4487"/>
      <c r="BG165" s="4487"/>
      <c r="BH165" s="4487"/>
    </row>
    <row r="166" spans="10:60" x14ac:dyDescent="0.25">
      <c r="J166"/>
      <c r="K166"/>
      <c r="AA166" s="4487"/>
      <c r="AB166" s="4487"/>
      <c r="AC166" s="4487"/>
      <c r="AD166" s="4487"/>
      <c r="AE166" s="4487"/>
      <c r="AF166" s="4487"/>
      <c r="AG166" s="4487"/>
      <c r="AH166" s="4487"/>
      <c r="AI166" s="4487"/>
      <c r="AJ166" s="4487"/>
      <c r="AK166" s="4487"/>
      <c r="AL166" s="4487"/>
      <c r="AM166" s="4487"/>
      <c r="AN166" s="4487"/>
      <c r="AO166" s="4487"/>
      <c r="AP166" s="4487"/>
      <c r="AQ166" s="4487"/>
      <c r="AR166" s="4487"/>
      <c r="AS166" s="4487"/>
      <c r="AT166" s="4487"/>
      <c r="AU166" s="4487"/>
      <c r="AV166" s="4487"/>
      <c r="AW166" s="4487"/>
      <c r="AX166" s="4487"/>
      <c r="AY166" s="4487"/>
      <c r="AZ166" s="4487"/>
      <c r="BA166" s="4487"/>
      <c r="BB166" s="4487"/>
      <c r="BC166" s="4487"/>
      <c r="BD166" s="4487"/>
      <c r="BE166" s="4487"/>
      <c r="BF166" s="4487"/>
      <c r="BG166" s="4487"/>
      <c r="BH166" s="4487"/>
    </row>
    <row r="167" spans="10:60" x14ac:dyDescent="0.25">
      <c r="J167"/>
      <c r="K167"/>
      <c r="AA167" s="4487"/>
      <c r="AB167" s="4487"/>
      <c r="AC167" s="4487"/>
      <c r="AD167" s="4487"/>
      <c r="AE167" s="4487"/>
      <c r="AF167" s="4487"/>
      <c r="AG167" s="4487"/>
      <c r="AH167" s="4487"/>
      <c r="AI167" s="4487"/>
      <c r="AJ167" s="4487"/>
      <c r="AK167" s="4487"/>
      <c r="AL167" s="4487"/>
      <c r="AM167" s="4487"/>
      <c r="AN167" s="4487"/>
      <c r="AO167" s="4487"/>
      <c r="AP167" s="4487"/>
      <c r="AQ167" s="4487"/>
      <c r="AR167" s="4487"/>
      <c r="AS167" s="4487"/>
      <c r="AT167" s="4487"/>
      <c r="AU167" s="4487"/>
      <c r="AV167" s="4487"/>
      <c r="AW167" s="4487"/>
      <c r="AX167" s="4487"/>
      <c r="AY167" s="4487"/>
      <c r="AZ167" s="4487"/>
      <c r="BA167" s="4487"/>
      <c r="BB167" s="4487"/>
      <c r="BC167" s="4487"/>
      <c r="BD167" s="4487"/>
      <c r="BE167" s="4487"/>
      <c r="BF167" s="4487"/>
      <c r="BG167" s="4487"/>
      <c r="BH167" s="4487"/>
    </row>
    <row r="168" spans="10:60" x14ac:dyDescent="0.25">
      <c r="J168"/>
      <c r="K168"/>
      <c r="AA168" s="4487"/>
      <c r="AB168" s="4487"/>
      <c r="AC168" s="4487"/>
      <c r="AD168" s="4487"/>
      <c r="AE168" s="4487"/>
      <c r="AF168" s="4487"/>
      <c r="AG168" s="4487"/>
      <c r="AH168" s="4487"/>
      <c r="AI168" s="4487"/>
      <c r="AJ168" s="4487"/>
      <c r="AK168" s="4487"/>
      <c r="AL168" s="4487"/>
      <c r="AM168" s="4487"/>
      <c r="AN168" s="4487"/>
      <c r="AO168" s="4487"/>
      <c r="AP168" s="4487"/>
      <c r="AQ168" s="4487"/>
      <c r="AR168" s="4487"/>
      <c r="AS168" s="4487"/>
      <c r="AT168" s="4487"/>
      <c r="AU168" s="4487"/>
      <c r="AV168" s="4487"/>
      <c r="AW168" s="4487"/>
      <c r="AX168" s="4487"/>
      <c r="AY168" s="4487"/>
      <c r="AZ168" s="4487"/>
      <c r="BA168" s="4487"/>
      <c r="BB168" s="4487"/>
      <c r="BC168" s="4487"/>
      <c r="BD168" s="4487"/>
      <c r="BE168" s="4487"/>
      <c r="BF168" s="4487"/>
      <c r="BG168" s="4487"/>
      <c r="BH168" s="4487"/>
    </row>
    <row r="169" spans="10:60" x14ac:dyDescent="0.25">
      <c r="J169"/>
      <c r="K169"/>
      <c r="AA169" s="4487"/>
      <c r="AB169" s="4487"/>
      <c r="AC169" s="4487"/>
      <c r="AD169" s="4487"/>
      <c r="AE169" s="4487"/>
      <c r="AF169" s="4487"/>
      <c r="AG169" s="4487"/>
      <c r="AH169" s="4487"/>
      <c r="AI169" s="4487"/>
      <c r="AJ169" s="4487"/>
      <c r="AK169" s="4487"/>
      <c r="AL169" s="4487"/>
      <c r="AM169" s="4487"/>
      <c r="AN169" s="4487"/>
      <c r="AO169" s="4487"/>
      <c r="AP169" s="4487"/>
      <c r="AQ169" s="4487"/>
      <c r="AR169" s="4487"/>
      <c r="AS169" s="4487"/>
      <c r="AT169" s="4487"/>
      <c r="AU169" s="4487"/>
      <c r="AV169" s="4487"/>
      <c r="AW169" s="4487"/>
      <c r="AX169" s="4487"/>
      <c r="AY169" s="4487"/>
      <c r="AZ169" s="4487"/>
      <c r="BA169" s="4487"/>
      <c r="BB169" s="4487"/>
      <c r="BC169" s="4487"/>
      <c r="BD169" s="4487"/>
      <c r="BE169" s="4487"/>
      <c r="BF169" s="4487"/>
      <c r="BG169" s="4487"/>
      <c r="BH169" s="4487"/>
    </row>
    <row r="170" spans="10:60" x14ac:dyDescent="0.25">
      <c r="J170"/>
      <c r="K170"/>
      <c r="AA170" s="4487"/>
      <c r="AB170" s="4487"/>
      <c r="AC170" s="4487"/>
      <c r="AD170" s="4487"/>
      <c r="AE170" s="4487"/>
      <c r="AF170" s="4487"/>
      <c r="AG170" s="4487"/>
      <c r="AH170" s="4487"/>
      <c r="AI170" s="4487"/>
      <c r="AJ170" s="4487"/>
      <c r="AK170" s="4487"/>
      <c r="AL170" s="4487"/>
      <c r="AM170" s="4487"/>
      <c r="AN170" s="4487"/>
      <c r="AO170" s="4487"/>
      <c r="AP170" s="4487"/>
      <c r="AQ170" s="4487"/>
      <c r="AR170" s="4487"/>
      <c r="AS170" s="4487"/>
      <c r="AT170" s="4487"/>
      <c r="AU170" s="4487"/>
      <c r="AV170" s="4487"/>
      <c r="AW170" s="4487"/>
      <c r="AX170" s="4487"/>
      <c r="AY170" s="4487"/>
      <c r="AZ170" s="4487"/>
      <c r="BA170" s="4487"/>
      <c r="BB170" s="4487"/>
      <c r="BC170" s="4487"/>
      <c r="BD170" s="4487"/>
      <c r="BE170" s="4487"/>
      <c r="BF170" s="4487"/>
      <c r="BG170" s="4487"/>
      <c r="BH170" s="4487"/>
    </row>
    <row r="171" spans="10:60" x14ac:dyDescent="0.25">
      <c r="J171"/>
      <c r="K171"/>
      <c r="AA171" s="4487"/>
      <c r="AB171" s="4487"/>
      <c r="AC171" s="4487"/>
      <c r="AD171" s="4487"/>
      <c r="AE171" s="4487"/>
      <c r="AF171" s="4487"/>
      <c r="AG171" s="4487"/>
      <c r="AH171" s="4487"/>
      <c r="AI171" s="4487"/>
      <c r="AJ171" s="4487"/>
      <c r="AK171" s="4487"/>
      <c r="AL171" s="4487"/>
      <c r="AM171" s="4487"/>
      <c r="AN171" s="4487"/>
      <c r="AO171" s="4487"/>
      <c r="AP171" s="4487"/>
      <c r="AQ171" s="4487"/>
      <c r="AR171" s="4487"/>
      <c r="AS171" s="4487"/>
      <c r="AT171" s="4487"/>
      <c r="AU171" s="4487"/>
      <c r="AV171" s="4487"/>
      <c r="AW171" s="4487"/>
      <c r="AX171" s="4487"/>
      <c r="AY171" s="4487"/>
      <c r="AZ171" s="4487"/>
      <c r="BA171" s="4487"/>
      <c r="BB171" s="4487"/>
      <c r="BC171" s="4487"/>
      <c r="BD171" s="4487"/>
      <c r="BE171" s="4487"/>
      <c r="BF171" s="4487"/>
      <c r="BG171" s="4487"/>
      <c r="BH171" s="4487"/>
    </row>
    <row r="172" spans="10:60" x14ac:dyDescent="0.25">
      <c r="J172"/>
      <c r="K172"/>
      <c r="AA172" s="4487"/>
      <c r="AB172" s="4487"/>
      <c r="AC172" s="4487"/>
      <c r="AD172" s="4487"/>
      <c r="AE172" s="4487"/>
      <c r="AF172" s="4487"/>
      <c r="AG172" s="4487"/>
      <c r="AH172" s="4487"/>
      <c r="AI172" s="4487"/>
      <c r="AJ172" s="4487"/>
      <c r="AK172" s="4487"/>
      <c r="AL172" s="4487"/>
      <c r="AM172" s="4487"/>
      <c r="AN172" s="4487"/>
      <c r="AO172" s="4487"/>
      <c r="AP172" s="4487"/>
      <c r="AQ172" s="4487"/>
      <c r="AR172" s="4487"/>
      <c r="AS172" s="4487"/>
      <c r="AT172" s="4487"/>
      <c r="AU172" s="4487"/>
      <c r="AV172" s="4487"/>
      <c r="AW172" s="4487"/>
      <c r="AX172" s="4487"/>
      <c r="AY172" s="4487"/>
      <c r="AZ172" s="4487"/>
      <c r="BA172" s="4487"/>
      <c r="BB172" s="4487"/>
      <c r="BC172" s="4487"/>
      <c r="BD172" s="4487"/>
      <c r="BE172" s="4487"/>
      <c r="BF172" s="4487"/>
      <c r="BG172" s="4487"/>
      <c r="BH172" s="4487"/>
    </row>
    <row r="173" spans="10:60" x14ac:dyDescent="0.25">
      <c r="J173"/>
      <c r="K173"/>
      <c r="AA173" s="4487"/>
      <c r="AB173" s="4487"/>
      <c r="AC173" s="4487"/>
      <c r="AD173" s="4487"/>
      <c r="AE173" s="4487"/>
      <c r="AF173" s="4487"/>
      <c r="AG173" s="4487"/>
      <c r="AH173" s="4487"/>
      <c r="AI173" s="4487"/>
      <c r="AJ173" s="4487"/>
      <c r="AK173" s="4487"/>
      <c r="AL173" s="4487"/>
      <c r="AM173" s="4487"/>
      <c r="AN173" s="4487"/>
      <c r="AO173" s="4487"/>
      <c r="AP173" s="4487"/>
      <c r="AQ173" s="4487"/>
      <c r="AR173" s="4487"/>
      <c r="AS173" s="4487"/>
      <c r="AT173" s="4487"/>
      <c r="AU173" s="4487"/>
      <c r="AV173" s="4487"/>
      <c r="AW173" s="4487"/>
      <c r="AX173" s="4487"/>
      <c r="AY173" s="4487"/>
      <c r="AZ173" s="4487"/>
      <c r="BA173" s="4487"/>
      <c r="BB173" s="4487"/>
      <c r="BC173" s="4487"/>
      <c r="BD173" s="4487"/>
      <c r="BE173" s="4487"/>
      <c r="BF173" s="4487"/>
      <c r="BG173" s="4487"/>
      <c r="BH173" s="4487"/>
    </row>
    <row r="174" spans="10:60" x14ac:dyDescent="0.25">
      <c r="J174"/>
      <c r="K174"/>
      <c r="AA174" s="4487"/>
      <c r="AB174" s="4487"/>
      <c r="AC174" s="4487"/>
      <c r="AD174" s="4487"/>
      <c r="AE174" s="4487"/>
      <c r="AF174" s="4487"/>
      <c r="AG174" s="4487"/>
      <c r="AH174" s="4487"/>
      <c r="AI174" s="4487"/>
      <c r="AJ174" s="4487"/>
      <c r="AK174" s="4487"/>
      <c r="AL174" s="4487"/>
      <c r="AM174" s="4487"/>
      <c r="AN174" s="4487"/>
      <c r="AO174" s="4487"/>
      <c r="AP174" s="4487"/>
      <c r="AQ174" s="4487"/>
      <c r="AR174" s="4487"/>
      <c r="AS174" s="4487"/>
      <c r="AT174" s="4487"/>
      <c r="AU174" s="4487"/>
      <c r="AV174" s="4487"/>
      <c r="AW174" s="4487"/>
      <c r="AX174" s="4487"/>
      <c r="AY174" s="4487"/>
      <c r="AZ174" s="4487"/>
      <c r="BA174" s="4487"/>
      <c r="BB174" s="4487"/>
      <c r="BC174" s="4487"/>
      <c r="BD174" s="4487"/>
      <c r="BE174" s="4487"/>
      <c r="BF174" s="4487"/>
      <c r="BG174" s="4487"/>
      <c r="BH174" s="4487"/>
    </row>
    <row r="175" spans="10:60" x14ac:dyDescent="0.25">
      <c r="J175"/>
      <c r="K175"/>
      <c r="AA175" s="4487"/>
      <c r="AB175" s="4487"/>
      <c r="AC175" s="4487"/>
      <c r="AD175" s="4487"/>
      <c r="AE175" s="4487"/>
      <c r="AF175" s="4487"/>
      <c r="AG175" s="4487"/>
      <c r="AH175" s="4487"/>
      <c r="AI175" s="4487"/>
      <c r="AJ175" s="4487"/>
      <c r="AK175" s="4487"/>
      <c r="AL175" s="4487"/>
      <c r="AM175" s="4487"/>
      <c r="AN175" s="4487"/>
      <c r="AO175" s="4487"/>
      <c r="AP175" s="4487"/>
      <c r="AQ175" s="4487"/>
      <c r="AR175" s="4487"/>
      <c r="AS175" s="4487"/>
      <c r="AT175" s="4487"/>
      <c r="AU175" s="4487"/>
      <c r="AV175" s="4487"/>
      <c r="AW175" s="4487"/>
      <c r="AX175" s="4487"/>
      <c r="AY175" s="4487"/>
      <c r="AZ175" s="4487"/>
      <c r="BA175" s="4487"/>
      <c r="BB175" s="4487"/>
      <c r="BC175" s="4487"/>
      <c r="BD175" s="4487"/>
      <c r="BE175" s="4487"/>
      <c r="BF175" s="4487"/>
      <c r="BG175" s="4487"/>
      <c r="BH175" s="4487"/>
    </row>
    <row r="176" spans="10:60" x14ac:dyDescent="0.25">
      <c r="J176"/>
      <c r="K176"/>
      <c r="AA176" s="4487"/>
      <c r="AB176" s="4487"/>
      <c r="AC176" s="4487"/>
      <c r="AD176" s="4487"/>
      <c r="AE176" s="4487"/>
      <c r="AF176" s="4487"/>
      <c r="AG176" s="4487"/>
      <c r="AH176" s="4487"/>
      <c r="AI176" s="4487"/>
      <c r="AJ176" s="4487"/>
      <c r="AK176" s="4487"/>
      <c r="AL176" s="4487"/>
      <c r="AM176" s="4487"/>
      <c r="AN176" s="4487"/>
      <c r="AO176" s="4487"/>
      <c r="AP176" s="4487"/>
      <c r="AQ176" s="4487"/>
      <c r="AR176" s="4487"/>
      <c r="AS176" s="4487"/>
      <c r="AT176" s="4487"/>
      <c r="AU176" s="4487"/>
      <c r="AV176" s="4487"/>
      <c r="AW176" s="4487"/>
      <c r="AX176" s="4487"/>
      <c r="AY176" s="4487"/>
      <c r="AZ176" s="4487"/>
      <c r="BA176" s="4487"/>
      <c r="BB176" s="4487"/>
      <c r="BC176" s="4487"/>
      <c r="BD176" s="4487"/>
      <c r="BE176" s="4487"/>
      <c r="BF176" s="4487"/>
      <c r="BG176" s="4487"/>
      <c r="BH176" s="4487"/>
    </row>
    <row r="177" spans="10:60" x14ac:dyDescent="0.25">
      <c r="J177"/>
      <c r="K177"/>
      <c r="AA177" s="4487"/>
      <c r="AB177" s="4487"/>
      <c r="AC177" s="4487"/>
      <c r="AD177" s="4487"/>
      <c r="AE177" s="4487"/>
      <c r="AF177" s="4487"/>
      <c r="AG177" s="4487"/>
      <c r="AH177" s="4487"/>
      <c r="AI177" s="4487"/>
      <c r="AJ177" s="4487"/>
      <c r="AK177" s="4487"/>
      <c r="AL177" s="4487"/>
      <c r="AM177" s="4487"/>
      <c r="AN177" s="4487"/>
      <c r="AO177" s="4487"/>
      <c r="AP177" s="4487"/>
      <c r="AQ177" s="4487"/>
      <c r="AR177" s="4487"/>
      <c r="AS177" s="4487"/>
      <c r="AT177" s="4487"/>
      <c r="AU177" s="4487"/>
      <c r="AV177" s="4487"/>
      <c r="AW177" s="4487"/>
      <c r="AX177" s="4487"/>
      <c r="AY177" s="4487"/>
      <c r="AZ177" s="4487"/>
      <c r="BA177" s="4487"/>
      <c r="BB177" s="4487"/>
      <c r="BC177" s="4487"/>
      <c r="BD177" s="4487"/>
      <c r="BE177" s="4487"/>
      <c r="BF177" s="4487"/>
      <c r="BG177" s="4487"/>
      <c r="BH177" s="4487"/>
    </row>
    <row r="178" spans="10:60" x14ac:dyDescent="0.25">
      <c r="J178"/>
      <c r="K178"/>
      <c r="AA178" s="4487"/>
      <c r="AB178" s="4487"/>
      <c r="AC178" s="4487"/>
      <c r="AD178" s="4487"/>
      <c r="AE178" s="4487"/>
      <c r="AF178" s="4487"/>
      <c r="AG178" s="4487"/>
      <c r="AH178" s="4487"/>
      <c r="AI178" s="4487"/>
      <c r="AJ178" s="4487"/>
      <c r="AK178" s="4487"/>
      <c r="AL178" s="4487"/>
      <c r="AM178" s="4487"/>
      <c r="AN178" s="4487"/>
      <c r="AO178" s="4487"/>
      <c r="AP178" s="4487"/>
      <c r="AQ178" s="4487"/>
      <c r="AR178" s="4487"/>
      <c r="AS178" s="4487"/>
      <c r="AT178" s="4487"/>
      <c r="AU178" s="4487"/>
      <c r="AV178" s="4487"/>
      <c r="AW178" s="4487"/>
      <c r="AX178" s="4487"/>
      <c r="AY178" s="4487"/>
      <c r="AZ178" s="4487"/>
      <c r="BA178" s="4487"/>
      <c r="BB178" s="4487"/>
      <c r="BC178" s="4487"/>
      <c r="BD178" s="4487"/>
      <c r="BE178" s="4487"/>
      <c r="BF178" s="4487"/>
      <c r="BG178" s="4487"/>
      <c r="BH178" s="4487"/>
    </row>
    <row r="179" spans="10:60" x14ac:dyDescent="0.25">
      <c r="J179"/>
      <c r="K179"/>
      <c r="AA179" s="4487"/>
      <c r="AB179" s="4487"/>
      <c r="AC179" s="4487"/>
      <c r="AD179" s="4487"/>
      <c r="AE179" s="4487"/>
      <c r="AF179" s="4487"/>
      <c r="AG179" s="4487"/>
      <c r="AH179" s="4487"/>
      <c r="AI179" s="4487"/>
      <c r="AJ179" s="4487"/>
      <c r="AK179" s="4487"/>
      <c r="AL179" s="4487"/>
      <c r="AM179" s="4487"/>
      <c r="AN179" s="4487"/>
      <c r="AO179" s="4487"/>
      <c r="AP179" s="4487"/>
      <c r="AQ179" s="4487"/>
      <c r="AR179" s="4487"/>
      <c r="AS179" s="4487"/>
      <c r="AT179" s="4487"/>
      <c r="AU179" s="4487"/>
      <c r="AV179" s="4487"/>
      <c r="AW179" s="4487"/>
      <c r="AX179" s="4487"/>
      <c r="AY179" s="4487"/>
      <c r="AZ179" s="4487"/>
      <c r="BA179" s="4487"/>
      <c r="BB179" s="4487"/>
      <c r="BC179" s="4487"/>
      <c r="BD179" s="4487"/>
      <c r="BE179" s="4487"/>
      <c r="BF179" s="4487"/>
      <c r="BG179" s="4487"/>
      <c r="BH179" s="4487"/>
    </row>
    <row r="180" spans="10:60" x14ac:dyDescent="0.25">
      <c r="J180"/>
      <c r="K180"/>
      <c r="AA180" s="4487"/>
      <c r="AB180" s="4487"/>
      <c r="AC180" s="4487"/>
      <c r="AD180" s="4487"/>
      <c r="AE180" s="4487"/>
      <c r="AF180" s="4487"/>
      <c r="AG180" s="4487"/>
      <c r="AH180" s="4487"/>
      <c r="AI180" s="4487"/>
      <c r="AJ180" s="4487"/>
      <c r="AK180" s="4487"/>
      <c r="AL180" s="4487"/>
      <c r="AM180" s="4487"/>
      <c r="AN180" s="4487"/>
      <c r="AO180" s="4487"/>
      <c r="AP180" s="4487"/>
      <c r="AQ180" s="4487"/>
      <c r="AR180" s="4487"/>
      <c r="AS180" s="4487"/>
      <c r="AT180" s="4487"/>
      <c r="AU180" s="4487"/>
      <c r="AV180" s="4487"/>
      <c r="AW180" s="4487"/>
      <c r="AX180" s="4487"/>
      <c r="AY180" s="4487"/>
      <c r="AZ180" s="4487"/>
      <c r="BA180" s="4487"/>
      <c r="BB180" s="4487"/>
      <c r="BC180" s="4487"/>
      <c r="BD180" s="4487"/>
      <c r="BE180" s="4487"/>
      <c r="BF180" s="4487"/>
      <c r="BG180" s="4487"/>
      <c r="BH180" s="4487"/>
    </row>
    <row r="181" spans="10:60" x14ac:dyDescent="0.25">
      <c r="J181"/>
      <c r="K181"/>
      <c r="AA181" s="4487"/>
      <c r="AB181" s="4487"/>
      <c r="AC181" s="4487"/>
      <c r="AD181" s="4487"/>
      <c r="AE181" s="4487"/>
      <c r="AF181" s="4487"/>
      <c r="AG181" s="4487"/>
      <c r="AH181" s="4487"/>
      <c r="AI181" s="4487"/>
      <c r="AJ181" s="4487"/>
      <c r="AK181" s="4487"/>
      <c r="AL181" s="4487"/>
      <c r="AM181" s="4487"/>
      <c r="AN181" s="4487"/>
      <c r="AO181" s="4487"/>
      <c r="AP181" s="4487"/>
      <c r="AQ181" s="4487"/>
      <c r="AR181" s="4487"/>
      <c r="AS181" s="4487"/>
      <c r="AT181" s="4487"/>
      <c r="AU181" s="4487"/>
      <c r="AV181" s="4487"/>
      <c r="AW181" s="4487"/>
      <c r="AX181" s="4487"/>
      <c r="AY181" s="4487"/>
      <c r="AZ181" s="4487"/>
      <c r="BA181" s="4487"/>
      <c r="BB181" s="4487"/>
      <c r="BC181" s="4487"/>
      <c r="BD181" s="4487"/>
      <c r="BE181" s="4487"/>
      <c r="BF181" s="4487"/>
      <c r="BG181" s="4487"/>
      <c r="BH181" s="4487"/>
    </row>
    <row r="182" spans="10:60" x14ac:dyDescent="0.25">
      <c r="J182"/>
      <c r="K182"/>
      <c r="AA182" s="4487"/>
      <c r="AB182" s="4487"/>
      <c r="AC182" s="4487"/>
      <c r="AD182" s="4487"/>
      <c r="AE182" s="4487"/>
      <c r="AF182" s="4487"/>
      <c r="AG182" s="4487"/>
      <c r="AH182" s="4487"/>
      <c r="AI182" s="4487"/>
      <c r="AJ182" s="4487"/>
      <c r="AK182" s="4487"/>
      <c r="AL182" s="4487"/>
      <c r="AM182" s="4487"/>
      <c r="AN182" s="4487"/>
      <c r="AO182" s="4487"/>
      <c r="AP182" s="4487"/>
      <c r="AQ182" s="4487"/>
      <c r="AR182" s="4487"/>
      <c r="AS182" s="4487"/>
      <c r="AT182" s="4487"/>
      <c r="AU182" s="4487"/>
      <c r="AV182" s="4487"/>
      <c r="AW182" s="4487"/>
      <c r="AX182" s="4487"/>
      <c r="AY182" s="4487"/>
      <c r="AZ182" s="4487"/>
      <c r="BA182" s="4487"/>
      <c r="BB182" s="4487"/>
      <c r="BC182" s="4487"/>
      <c r="BD182" s="4487"/>
      <c r="BE182" s="4487"/>
      <c r="BF182" s="4487"/>
      <c r="BG182" s="4487"/>
      <c r="BH182" s="4487"/>
    </row>
    <row r="183" spans="10:60" x14ac:dyDescent="0.25">
      <c r="J183"/>
      <c r="K183"/>
      <c r="AA183" s="4487"/>
      <c r="AB183" s="4487"/>
      <c r="AC183" s="4487"/>
      <c r="AD183" s="4487"/>
      <c r="AE183" s="4487"/>
      <c r="AF183" s="4487"/>
      <c r="AG183" s="4487"/>
      <c r="AH183" s="4487"/>
      <c r="AI183" s="4487"/>
      <c r="AJ183" s="4487"/>
      <c r="AK183" s="4487"/>
      <c r="AL183" s="4487"/>
      <c r="AM183" s="4487"/>
      <c r="AN183" s="4487"/>
      <c r="AO183" s="4487"/>
      <c r="AP183" s="4487"/>
      <c r="AQ183" s="4487"/>
      <c r="AR183" s="4487"/>
      <c r="AS183" s="4487"/>
      <c r="AT183" s="4487"/>
      <c r="AU183" s="4487"/>
      <c r="AV183" s="4487"/>
      <c r="AW183" s="4487"/>
      <c r="AX183" s="4487"/>
      <c r="AY183" s="4487"/>
      <c r="AZ183" s="4487"/>
      <c r="BA183" s="4487"/>
      <c r="BB183" s="4487"/>
      <c r="BC183" s="4487"/>
      <c r="BD183" s="4487"/>
      <c r="BE183" s="4487"/>
      <c r="BF183" s="4487"/>
      <c r="BG183" s="4487"/>
      <c r="BH183" s="4487"/>
    </row>
    <row r="184" spans="10:60" x14ac:dyDescent="0.25">
      <c r="J184"/>
      <c r="K184"/>
      <c r="AA184" s="4487"/>
      <c r="AB184" s="4487"/>
      <c r="AC184" s="4487"/>
      <c r="AD184" s="4487"/>
      <c r="AE184" s="4487"/>
      <c r="AF184" s="4487"/>
      <c r="AG184" s="4487"/>
      <c r="AH184" s="4487"/>
      <c r="AI184" s="4487"/>
      <c r="AJ184" s="4487"/>
      <c r="AK184" s="4487"/>
      <c r="AL184" s="4487"/>
      <c r="AM184" s="4487"/>
      <c r="AN184" s="4487"/>
      <c r="AO184" s="4487"/>
      <c r="AP184" s="4487"/>
      <c r="AQ184" s="4487"/>
      <c r="AR184" s="4487"/>
      <c r="AS184" s="4487"/>
      <c r="AT184" s="4487"/>
      <c r="AU184" s="4487"/>
      <c r="AV184" s="4487"/>
      <c r="AW184" s="4487"/>
      <c r="AX184" s="4487"/>
      <c r="AY184" s="4487"/>
      <c r="AZ184" s="4487"/>
      <c r="BA184" s="4487"/>
      <c r="BB184" s="4487"/>
      <c r="BC184" s="4487"/>
      <c r="BD184" s="4487"/>
      <c r="BE184" s="4487"/>
      <c r="BF184" s="4487"/>
      <c r="BG184" s="4487"/>
      <c r="BH184" s="4487"/>
    </row>
    <row r="185" spans="10:60" x14ac:dyDescent="0.25">
      <c r="J185"/>
      <c r="K185"/>
      <c r="AA185" s="4487"/>
      <c r="AB185" s="4487"/>
      <c r="AC185" s="4487"/>
      <c r="AD185" s="4487"/>
      <c r="AE185" s="4487"/>
      <c r="AF185" s="4487"/>
      <c r="AG185" s="4487"/>
      <c r="AH185" s="4487"/>
      <c r="AI185" s="4487"/>
      <c r="AJ185" s="4487"/>
      <c r="AK185" s="4487"/>
      <c r="AL185" s="4487"/>
      <c r="AM185" s="4487"/>
      <c r="AN185" s="4487"/>
      <c r="AO185" s="4487"/>
      <c r="AP185" s="4487"/>
      <c r="AQ185" s="4487"/>
      <c r="AR185" s="4487"/>
      <c r="AS185" s="4487"/>
      <c r="AT185" s="4487"/>
      <c r="AU185" s="4487"/>
      <c r="AV185" s="4487"/>
      <c r="AW185" s="4487"/>
      <c r="AX185" s="4487"/>
      <c r="AY185" s="4487"/>
      <c r="AZ185" s="4487"/>
      <c r="BA185" s="4487"/>
      <c r="BB185" s="4487"/>
      <c r="BC185" s="4487"/>
      <c r="BD185" s="4487"/>
      <c r="BE185" s="4487"/>
      <c r="BF185" s="4487"/>
      <c r="BG185" s="4487"/>
      <c r="BH185" s="4487"/>
    </row>
    <row r="186" spans="10:60" x14ac:dyDescent="0.25">
      <c r="J186"/>
      <c r="K186"/>
      <c r="AA186" s="4487"/>
      <c r="AB186" s="4487"/>
      <c r="AC186" s="4487"/>
      <c r="AD186" s="4487"/>
      <c r="AE186" s="4487"/>
      <c r="AF186" s="4487"/>
      <c r="AG186" s="4487"/>
      <c r="AH186" s="4487"/>
      <c r="AI186" s="4487"/>
      <c r="AJ186" s="4487"/>
      <c r="AK186" s="4487"/>
      <c r="AL186" s="4487"/>
      <c r="AM186" s="4487"/>
      <c r="AN186" s="4487"/>
      <c r="AO186" s="4487"/>
      <c r="AP186" s="4487"/>
      <c r="AQ186" s="4487"/>
      <c r="AR186" s="4487"/>
      <c r="AS186" s="4487"/>
      <c r="AT186" s="4487"/>
      <c r="AU186" s="4487"/>
      <c r="AV186" s="4487"/>
      <c r="AW186" s="4487"/>
      <c r="AX186" s="4487"/>
      <c r="AY186" s="4487"/>
      <c r="AZ186" s="4487"/>
      <c r="BA186" s="4487"/>
      <c r="BB186" s="4487"/>
      <c r="BC186" s="4487"/>
      <c r="BD186" s="4487"/>
      <c r="BE186" s="4487"/>
      <c r="BF186" s="4487"/>
      <c r="BG186" s="4487"/>
      <c r="BH186" s="4487"/>
    </row>
    <row r="187" spans="10:60" x14ac:dyDescent="0.25">
      <c r="J187"/>
      <c r="K187"/>
      <c r="AA187" s="4487"/>
      <c r="AB187" s="4487"/>
      <c r="AC187" s="4487"/>
      <c r="AD187" s="4487"/>
      <c r="AE187" s="4487"/>
      <c r="AF187" s="4487"/>
      <c r="AG187" s="4487"/>
      <c r="AH187" s="4487"/>
      <c r="AI187" s="4487"/>
      <c r="AJ187" s="4487"/>
      <c r="AK187" s="4487"/>
      <c r="AL187" s="4487"/>
      <c r="AM187" s="4487"/>
      <c r="AN187" s="4487"/>
      <c r="AO187" s="4487"/>
      <c r="AP187" s="4487"/>
      <c r="AQ187" s="4487"/>
      <c r="AR187" s="4487"/>
      <c r="AS187" s="4487"/>
      <c r="AT187" s="4487"/>
      <c r="AU187" s="4487"/>
      <c r="AV187" s="4487"/>
      <c r="AW187" s="4487"/>
      <c r="AX187" s="4487"/>
      <c r="AY187" s="4487"/>
      <c r="AZ187" s="4487"/>
      <c r="BA187" s="4487"/>
      <c r="BB187" s="4487"/>
      <c r="BC187" s="4487"/>
      <c r="BD187" s="4487"/>
      <c r="BE187" s="4487"/>
      <c r="BF187" s="4487"/>
      <c r="BG187" s="4487"/>
      <c r="BH187" s="4487"/>
    </row>
    <row r="188" spans="10:60" x14ac:dyDescent="0.25">
      <c r="J188"/>
      <c r="K188"/>
      <c r="AA188" s="4487"/>
      <c r="AB188" s="4487"/>
      <c r="AC188" s="4487"/>
      <c r="AD188" s="4487"/>
      <c r="AE188" s="4487"/>
      <c r="AF188" s="4487"/>
      <c r="AG188" s="4487"/>
      <c r="AH188" s="4487"/>
      <c r="AI188" s="4487"/>
      <c r="AJ188" s="4487"/>
      <c r="AK188" s="4487"/>
      <c r="AL188" s="4487"/>
      <c r="AM188" s="4487"/>
      <c r="AN188" s="4487"/>
      <c r="AO188" s="4487"/>
      <c r="AP188" s="4487"/>
      <c r="AQ188" s="4487"/>
      <c r="AR188" s="4487"/>
      <c r="AS188" s="4487"/>
      <c r="AT188" s="4487"/>
      <c r="AU188" s="4487"/>
      <c r="AV188" s="4487"/>
      <c r="AW188" s="4487"/>
      <c r="AX188" s="4487"/>
      <c r="AY188" s="4487"/>
      <c r="AZ188" s="4487"/>
      <c r="BA188" s="4487"/>
      <c r="BB188" s="4487"/>
      <c r="BC188" s="4487"/>
      <c r="BD188" s="4487"/>
      <c r="BE188" s="4487"/>
      <c r="BF188" s="4487"/>
      <c r="BG188" s="4487"/>
      <c r="BH188" s="4487"/>
    </row>
    <row r="189" spans="10:60" x14ac:dyDescent="0.25">
      <c r="J189"/>
      <c r="K189"/>
      <c r="AA189" s="4487"/>
      <c r="AB189" s="4487"/>
      <c r="AC189" s="4487"/>
      <c r="AD189" s="4487"/>
      <c r="AE189" s="4487"/>
      <c r="AF189" s="4487"/>
      <c r="AG189" s="4487"/>
      <c r="AH189" s="4487"/>
      <c r="AI189" s="4487"/>
      <c r="AJ189" s="4487"/>
      <c r="AK189" s="4487"/>
      <c r="AL189" s="4487"/>
      <c r="AM189" s="4487"/>
      <c r="AN189" s="4487"/>
      <c r="AO189" s="4487"/>
      <c r="AP189" s="4487"/>
      <c r="AQ189" s="4487"/>
      <c r="AR189" s="4487"/>
      <c r="AS189" s="4487"/>
      <c r="AT189" s="4487"/>
      <c r="AU189" s="4487"/>
      <c r="AV189" s="4487"/>
      <c r="AW189" s="4487"/>
      <c r="AX189" s="4487"/>
      <c r="AY189" s="4487"/>
      <c r="AZ189" s="4487"/>
      <c r="BA189" s="4487"/>
      <c r="BB189" s="4487"/>
      <c r="BC189" s="4487"/>
      <c r="BD189" s="4487"/>
      <c r="BE189" s="4487"/>
      <c r="BF189" s="4487"/>
      <c r="BG189" s="4487"/>
      <c r="BH189" s="4487"/>
    </row>
    <row r="190" spans="10:60" x14ac:dyDescent="0.25">
      <c r="J190"/>
      <c r="K190"/>
      <c r="AA190" s="4487"/>
      <c r="AB190" s="4487"/>
      <c r="AC190" s="4487"/>
      <c r="AD190" s="4487"/>
      <c r="AE190" s="4487"/>
      <c r="AF190" s="4487"/>
      <c r="AG190" s="4487"/>
      <c r="AH190" s="4487"/>
      <c r="AI190" s="4487"/>
      <c r="AJ190" s="4487"/>
      <c r="AK190" s="4487"/>
      <c r="AL190" s="4487"/>
      <c r="AM190" s="4487"/>
      <c r="AN190" s="4487"/>
      <c r="AO190" s="4487"/>
      <c r="AP190" s="4487"/>
      <c r="AQ190" s="4487"/>
      <c r="AR190" s="4487"/>
      <c r="AS190" s="4487"/>
      <c r="AT190" s="4487"/>
      <c r="AU190" s="4487"/>
      <c r="AV190" s="4487"/>
      <c r="AW190" s="4487"/>
      <c r="AX190" s="4487"/>
      <c r="AY190" s="4487"/>
      <c r="AZ190" s="4487"/>
      <c r="BA190" s="4487"/>
      <c r="BB190" s="4487"/>
      <c r="BC190" s="4487"/>
      <c r="BD190" s="4487"/>
      <c r="BE190" s="4487"/>
      <c r="BF190" s="4487"/>
      <c r="BG190" s="4487"/>
      <c r="BH190" s="4487"/>
    </row>
    <row r="191" spans="10:60" x14ac:dyDescent="0.25">
      <c r="J191"/>
      <c r="K191"/>
      <c r="AA191" s="4487"/>
      <c r="AB191" s="4487"/>
      <c r="AC191" s="4487"/>
      <c r="AD191" s="4487"/>
      <c r="AE191" s="4487"/>
      <c r="AF191" s="4487"/>
      <c r="AG191" s="4487"/>
      <c r="AH191" s="4487"/>
      <c r="AI191" s="4487"/>
      <c r="AJ191" s="4487"/>
      <c r="AK191" s="4487"/>
      <c r="AL191" s="4487"/>
      <c r="AM191" s="4487"/>
      <c r="AN191" s="4487"/>
      <c r="AO191" s="4487"/>
      <c r="AP191" s="4487"/>
      <c r="AQ191" s="4487"/>
      <c r="AR191" s="4487"/>
      <c r="AS191" s="4487"/>
      <c r="AT191" s="4487"/>
      <c r="AU191" s="4487"/>
      <c r="AV191" s="4487"/>
      <c r="AW191" s="4487"/>
      <c r="AX191" s="4487"/>
      <c r="AY191" s="4487"/>
      <c r="AZ191" s="4487"/>
      <c r="BA191" s="4487"/>
      <c r="BB191" s="4487"/>
      <c r="BC191" s="4487"/>
      <c r="BD191" s="4487"/>
      <c r="BE191" s="4487"/>
      <c r="BF191" s="4487"/>
      <c r="BG191" s="4487"/>
      <c r="BH191" s="4487"/>
    </row>
    <row r="192" spans="10:60" x14ac:dyDescent="0.25">
      <c r="J192"/>
      <c r="K192"/>
      <c r="AA192" s="4487"/>
      <c r="AB192" s="4487"/>
      <c r="AC192" s="4487"/>
      <c r="AD192" s="4487"/>
      <c r="AE192" s="4487"/>
      <c r="AF192" s="4487"/>
      <c r="AG192" s="4487"/>
      <c r="AH192" s="4487"/>
      <c r="AI192" s="4487"/>
      <c r="AJ192" s="4487"/>
      <c r="AK192" s="4487"/>
      <c r="AL192" s="4487"/>
      <c r="AM192" s="4487"/>
      <c r="AN192" s="4487"/>
      <c r="AO192" s="4487"/>
      <c r="AP192" s="4487"/>
      <c r="AQ192" s="4487"/>
      <c r="AR192" s="4487"/>
      <c r="AS192" s="4487"/>
      <c r="AT192" s="4487"/>
      <c r="AU192" s="4487"/>
      <c r="AV192" s="4487"/>
      <c r="AW192" s="4487"/>
      <c r="AX192" s="4487"/>
      <c r="AY192" s="4487"/>
      <c r="AZ192" s="4487"/>
      <c r="BA192" s="4487"/>
      <c r="BB192" s="4487"/>
      <c r="BC192" s="4487"/>
      <c r="BD192" s="4487"/>
      <c r="BE192" s="4487"/>
      <c r="BF192" s="4487"/>
      <c r="BG192" s="4487"/>
      <c r="BH192" s="4487"/>
    </row>
    <row r="193" spans="10:60" x14ac:dyDescent="0.25">
      <c r="J193"/>
      <c r="K193"/>
      <c r="AA193" s="4487"/>
      <c r="AB193" s="4487"/>
      <c r="AC193" s="4487"/>
      <c r="AD193" s="4487"/>
      <c r="AE193" s="4487"/>
      <c r="AF193" s="4487"/>
      <c r="AG193" s="4487"/>
      <c r="AH193" s="4487"/>
      <c r="AI193" s="4487"/>
      <c r="AJ193" s="4487"/>
      <c r="AK193" s="4487"/>
      <c r="AL193" s="4487"/>
      <c r="AM193" s="4487"/>
      <c r="AN193" s="4487"/>
      <c r="AO193" s="4487"/>
      <c r="AP193" s="4487"/>
      <c r="AQ193" s="4487"/>
      <c r="AR193" s="4487"/>
      <c r="AS193" s="4487"/>
      <c r="AT193" s="4487"/>
      <c r="AU193" s="4487"/>
      <c r="AV193" s="4487"/>
      <c r="AW193" s="4487"/>
      <c r="AX193" s="4487"/>
      <c r="AY193" s="4487"/>
      <c r="AZ193" s="4487"/>
      <c r="BA193" s="4487"/>
      <c r="BB193" s="4487"/>
      <c r="BC193" s="4487"/>
      <c r="BD193" s="4487"/>
      <c r="BE193" s="4487"/>
      <c r="BF193" s="4487"/>
      <c r="BG193" s="4487"/>
      <c r="BH193" s="4487"/>
    </row>
    <row r="194" spans="10:60" x14ac:dyDescent="0.25">
      <c r="J194"/>
      <c r="K194"/>
      <c r="AA194" s="4487"/>
      <c r="AB194" s="4487"/>
      <c r="AC194" s="4487"/>
      <c r="AD194" s="4487"/>
      <c r="AE194" s="4487"/>
      <c r="AF194" s="4487"/>
      <c r="AG194" s="4487"/>
      <c r="AH194" s="4487"/>
      <c r="AI194" s="4487"/>
      <c r="AJ194" s="4487"/>
      <c r="AK194" s="4487"/>
      <c r="AL194" s="4487"/>
      <c r="AM194" s="4487"/>
      <c r="AN194" s="4487"/>
      <c r="AO194" s="4487"/>
      <c r="AP194" s="4487"/>
      <c r="AQ194" s="4487"/>
      <c r="AR194" s="4487"/>
      <c r="AS194" s="4487"/>
      <c r="AT194" s="4487"/>
      <c r="AU194" s="4487"/>
      <c r="AV194" s="4487"/>
      <c r="AW194" s="4487"/>
      <c r="AX194" s="4487"/>
      <c r="AY194" s="4487"/>
      <c r="AZ194" s="4487"/>
      <c r="BA194" s="4487"/>
      <c r="BB194" s="4487"/>
      <c r="BC194" s="4487"/>
      <c r="BD194" s="4487"/>
      <c r="BE194" s="4487"/>
      <c r="BF194" s="4487"/>
      <c r="BG194" s="4487"/>
      <c r="BH194" s="4487"/>
    </row>
    <row r="195" spans="10:60" x14ac:dyDescent="0.25">
      <c r="J195"/>
      <c r="K195"/>
      <c r="AA195" s="4487"/>
      <c r="AB195" s="4487"/>
      <c r="AC195" s="4487"/>
      <c r="AD195" s="4487"/>
      <c r="AE195" s="4487"/>
      <c r="AF195" s="4487"/>
      <c r="AG195" s="4487"/>
      <c r="AH195" s="4487"/>
      <c r="AI195" s="4487"/>
      <c r="AJ195" s="4487"/>
      <c r="AK195" s="4487"/>
      <c r="AL195" s="4487"/>
      <c r="AM195" s="4487"/>
      <c r="AN195" s="4487"/>
      <c r="AO195" s="4487"/>
      <c r="AP195" s="4487"/>
      <c r="AQ195" s="4487"/>
      <c r="AR195" s="4487"/>
      <c r="AS195" s="4487"/>
      <c r="AT195" s="4487"/>
      <c r="AU195" s="4487"/>
      <c r="AV195" s="4487"/>
      <c r="AW195" s="4487"/>
      <c r="AX195" s="4487"/>
      <c r="AY195" s="4487"/>
      <c r="AZ195" s="4487"/>
      <c r="BA195" s="4487"/>
      <c r="BB195" s="4487"/>
      <c r="BC195" s="4487"/>
      <c r="BD195" s="4487"/>
      <c r="BE195" s="4487"/>
      <c r="BF195" s="4487"/>
      <c r="BG195" s="4487"/>
      <c r="BH195" s="4487"/>
    </row>
    <row r="196" spans="10:60" x14ac:dyDescent="0.25">
      <c r="J196"/>
      <c r="K196"/>
      <c r="AA196" s="4487"/>
      <c r="AB196" s="4487"/>
      <c r="AC196" s="4487"/>
      <c r="AD196" s="4487"/>
      <c r="AE196" s="4487"/>
      <c r="AF196" s="4487"/>
      <c r="AG196" s="4487"/>
      <c r="AH196" s="4487"/>
      <c r="AI196" s="4487"/>
      <c r="AJ196" s="4487"/>
      <c r="AK196" s="4487"/>
      <c r="AL196" s="4487"/>
      <c r="AM196" s="4487"/>
      <c r="AN196" s="4487"/>
      <c r="AO196" s="4487"/>
      <c r="AP196" s="4487"/>
      <c r="AQ196" s="4487"/>
      <c r="AR196" s="4487"/>
      <c r="AS196" s="4487"/>
      <c r="AT196" s="4487"/>
      <c r="AU196" s="4487"/>
      <c r="AV196" s="4487"/>
      <c r="AW196" s="4487"/>
      <c r="AX196" s="4487"/>
      <c r="AY196" s="4487"/>
      <c r="AZ196" s="4487"/>
      <c r="BA196" s="4487"/>
      <c r="BB196" s="4487"/>
      <c r="BC196" s="4487"/>
      <c r="BD196" s="4487"/>
      <c r="BE196" s="4487"/>
      <c r="BF196" s="4487"/>
      <c r="BG196" s="4487"/>
      <c r="BH196" s="4487"/>
    </row>
    <row r="197" spans="10:60" x14ac:dyDescent="0.25">
      <c r="J197"/>
      <c r="K197"/>
      <c r="AA197" s="4487"/>
      <c r="AB197" s="4487"/>
      <c r="AC197" s="4487"/>
      <c r="AD197" s="4487"/>
      <c r="AE197" s="4487"/>
      <c r="AF197" s="4487"/>
      <c r="AG197" s="4487"/>
      <c r="AH197" s="4487"/>
      <c r="AI197" s="4487"/>
      <c r="AJ197" s="4487"/>
      <c r="AK197" s="4487"/>
      <c r="AL197" s="4487"/>
      <c r="AM197" s="4487"/>
      <c r="AN197" s="4487"/>
      <c r="AO197" s="4487"/>
      <c r="AP197" s="4487"/>
      <c r="AQ197" s="4487"/>
      <c r="AR197" s="4487"/>
      <c r="AS197" s="4487"/>
      <c r="AT197" s="4487"/>
      <c r="AU197" s="4487"/>
      <c r="AV197" s="4487"/>
      <c r="AW197" s="4487"/>
      <c r="AX197" s="4487"/>
      <c r="AY197" s="4487"/>
      <c r="AZ197" s="4487"/>
      <c r="BA197" s="4487"/>
      <c r="BB197" s="4487"/>
      <c r="BC197" s="4487"/>
      <c r="BD197" s="4487"/>
      <c r="BE197" s="4487"/>
      <c r="BF197" s="4487"/>
      <c r="BG197" s="4487"/>
      <c r="BH197" s="4487"/>
    </row>
    <row r="198" spans="10:60" x14ac:dyDescent="0.25">
      <c r="J198"/>
      <c r="K198"/>
      <c r="AA198" s="4487"/>
      <c r="AB198" s="4487"/>
      <c r="AC198" s="4487"/>
      <c r="AD198" s="4487"/>
      <c r="AE198" s="4487"/>
      <c r="AF198" s="4487"/>
      <c r="AG198" s="4487"/>
      <c r="AH198" s="4487"/>
      <c r="AI198" s="4487"/>
      <c r="AJ198" s="4487"/>
      <c r="AK198" s="4487"/>
      <c r="AL198" s="4487"/>
      <c r="AM198" s="4487"/>
      <c r="AN198" s="4487"/>
      <c r="AO198" s="4487"/>
      <c r="AP198" s="4487"/>
      <c r="AQ198" s="4487"/>
      <c r="AR198" s="4487"/>
      <c r="AS198" s="4487"/>
      <c r="AT198" s="4487"/>
      <c r="AU198" s="4487"/>
      <c r="AV198" s="4487"/>
      <c r="AW198" s="4487"/>
      <c r="AX198" s="4487"/>
      <c r="AY198" s="4487"/>
      <c r="AZ198" s="4487"/>
      <c r="BA198" s="4487"/>
      <c r="BB198" s="4487"/>
      <c r="BC198" s="4487"/>
      <c r="BD198" s="4487"/>
      <c r="BE198" s="4487"/>
      <c r="BF198" s="4487"/>
      <c r="BG198" s="4487"/>
      <c r="BH198" s="4487"/>
    </row>
    <row r="199" spans="10:60" x14ac:dyDescent="0.25">
      <c r="J199"/>
      <c r="K199"/>
      <c r="AA199" s="4487"/>
      <c r="AB199" s="4487"/>
      <c r="AC199" s="4487"/>
      <c r="AD199" s="4487"/>
      <c r="AE199" s="4487"/>
      <c r="AF199" s="4487"/>
      <c r="AG199" s="4487"/>
      <c r="AH199" s="4487"/>
      <c r="AI199" s="4487"/>
      <c r="AJ199" s="4487"/>
      <c r="AK199" s="4487"/>
      <c r="AL199" s="4487"/>
      <c r="AM199" s="4487"/>
      <c r="AN199" s="4487"/>
      <c r="AO199" s="4487"/>
      <c r="AP199" s="4487"/>
      <c r="AQ199" s="4487"/>
      <c r="AR199" s="4487"/>
      <c r="AS199" s="4487"/>
      <c r="AT199" s="4487"/>
      <c r="AU199" s="4487"/>
      <c r="AV199" s="4487"/>
      <c r="AW199" s="4487"/>
      <c r="AX199" s="4487"/>
      <c r="AY199" s="4487"/>
      <c r="AZ199" s="4487"/>
      <c r="BA199" s="4487"/>
      <c r="BB199" s="4487"/>
      <c r="BC199" s="4487"/>
      <c r="BD199" s="4487"/>
      <c r="BE199" s="4487"/>
      <c r="BF199" s="4487"/>
      <c r="BG199" s="4487"/>
      <c r="BH199" s="4487"/>
    </row>
    <row r="200" spans="10:60" x14ac:dyDescent="0.25">
      <c r="J200"/>
      <c r="K200"/>
      <c r="AA200" s="4487"/>
      <c r="AB200" s="4487"/>
      <c r="AC200" s="4487"/>
      <c r="AD200" s="4487"/>
      <c r="AE200" s="4487"/>
      <c r="AF200" s="4487"/>
      <c r="AG200" s="4487"/>
      <c r="AH200" s="4487"/>
      <c r="AI200" s="4487"/>
      <c r="AJ200" s="4487"/>
      <c r="AK200" s="4487"/>
      <c r="AL200" s="4487"/>
      <c r="AM200" s="4487"/>
      <c r="AN200" s="4487"/>
      <c r="AO200" s="4487"/>
      <c r="AP200" s="4487"/>
      <c r="AQ200" s="4487"/>
      <c r="AR200" s="4487"/>
      <c r="AS200" s="4487"/>
      <c r="AT200" s="4487"/>
      <c r="AU200" s="4487"/>
      <c r="AV200" s="4487"/>
      <c r="AW200" s="4487"/>
      <c r="AX200" s="4487"/>
      <c r="AY200" s="4487"/>
      <c r="AZ200" s="4487"/>
      <c r="BA200" s="4487"/>
      <c r="BB200" s="4487"/>
      <c r="BC200" s="4487"/>
      <c r="BD200" s="4487"/>
      <c r="BE200" s="4487"/>
      <c r="BF200" s="4487"/>
      <c r="BG200" s="4487"/>
      <c r="BH200" s="4487"/>
    </row>
    <row r="201" spans="10:60" x14ac:dyDescent="0.25">
      <c r="J201"/>
      <c r="K201"/>
      <c r="AA201" s="4487"/>
      <c r="AB201" s="4487"/>
      <c r="AC201" s="4487"/>
      <c r="AD201" s="4487"/>
      <c r="AE201" s="4487"/>
      <c r="AF201" s="4487"/>
      <c r="AG201" s="4487"/>
      <c r="AH201" s="4487"/>
      <c r="AI201" s="4487"/>
      <c r="AJ201" s="4487"/>
      <c r="AK201" s="4487"/>
      <c r="AL201" s="4487"/>
      <c r="AM201" s="4487"/>
      <c r="AN201" s="4487"/>
      <c r="AO201" s="4487"/>
      <c r="AP201" s="4487"/>
      <c r="AQ201" s="4487"/>
      <c r="AR201" s="4487"/>
      <c r="AS201" s="4487"/>
      <c r="AT201" s="4487"/>
      <c r="AU201" s="4487"/>
      <c r="AV201" s="4487"/>
      <c r="AW201" s="4487"/>
      <c r="AX201" s="4487"/>
      <c r="AY201" s="4487"/>
      <c r="AZ201" s="4487"/>
      <c r="BA201" s="4487"/>
      <c r="BB201" s="4487"/>
      <c r="BC201" s="4487"/>
      <c r="BD201" s="4487"/>
      <c r="BE201" s="4487"/>
      <c r="BF201" s="4487"/>
      <c r="BG201" s="4487"/>
      <c r="BH201" s="4487"/>
    </row>
    <row r="202" spans="10:60" x14ac:dyDescent="0.25">
      <c r="J202"/>
      <c r="K202"/>
      <c r="AA202" s="4487"/>
      <c r="AB202" s="4487"/>
      <c r="AC202" s="4487"/>
      <c r="AD202" s="4487"/>
      <c r="AE202" s="4487"/>
      <c r="AF202" s="4487"/>
      <c r="AG202" s="4487"/>
      <c r="AH202" s="4487"/>
      <c r="AI202" s="4487"/>
      <c r="AJ202" s="4487"/>
      <c r="AK202" s="4487"/>
      <c r="AL202" s="4487"/>
      <c r="AM202" s="4487"/>
      <c r="AN202" s="4487"/>
      <c r="AO202" s="4487"/>
      <c r="AP202" s="4487"/>
      <c r="AQ202" s="4487"/>
      <c r="AR202" s="4487"/>
      <c r="AS202" s="4487"/>
      <c r="AT202" s="4487"/>
      <c r="AU202" s="4487"/>
      <c r="AV202" s="4487"/>
      <c r="AW202" s="4487"/>
      <c r="AX202" s="4487"/>
      <c r="AY202" s="4487"/>
      <c r="AZ202" s="4487"/>
      <c r="BA202" s="4487"/>
      <c r="BB202" s="4487"/>
      <c r="BC202" s="4487"/>
      <c r="BD202" s="4487"/>
      <c r="BE202" s="4487"/>
      <c r="BF202" s="4487"/>
      <c r="BG202" s="4487"/>
      <c r="BH202" s="4487"/>
    </row>
    <row r="203" spans="10:60" x14ac:dyDescent="0.25">
      <c r="J203"/>
      <c r="K203"/>
      <c r="AA203" s="4487"/>
      <c r="AB203" s="4487"/>
      <c r="AC203" s="4487"/>
      <c r="AD203" s="4487"/>
      <c r="AE203" s="4487"/>
      <c r="AF203" s="4487"/>
      <c r="AG203" s="4487"/>
      <c r="AH203" s="4487"/>
      <c r="AI203" s="4487"/>
      <c r="AJ203" s="4487"/>
      <c r="AK203" s="4487"/>
      <c r="AL203" s="4487"/>
      <c r="AM203" s="4487"/>
      <c r="AN203" s="4487"/>
      <c r="AO203" s="4487"/>
      <c r="AP203" s="4487"/>
      <c r="AQ203" s="4487"/>
      <c r="AR203" s="4487"/>
      <c r="AS203" s="4487"/>
      <c r="AT203" s="4487"/>
      <c r="AU203" s="4487"/>
      <c r="AV203" s="4487"/>
      <c r="AW203" s="4487"/>
      <c r="AX203" s="4487"/>
      <c r="AY203" s="4487"/>
      <c r="AZ203" s="4487"/>
      <c r="BA203" s="4487"/>
      <c r="BB203" s="4487"/>
      <c r="BC203" s="4487"/>
      <c r="BD203" s="4487"/>
      <c r="BE203" s="4487"/>
      <c r="BF203" s="4487"/>
      <c r="BG203" s="4487"/>
      <c r="BH203" s="4487"/>
    </row>
    <row r="204" spans="10:60" x14ac:dyDescent="0.25">
      <c r="J204"/>
      <c r="K204"/>
      <c r="AA204" s="4487"/>
      <c r="AB204" s="4487"/>
      <c r="AC204" s="4487"/>
      <c r="AD204" s="4487"/>
      <c r="AE204" s="4487"/>
      <c r="AF204" s="4487"/>
      <c r="AG204" s="4487"/>
      <c r="AH204" s="4487"/>
      <c r="AI204" s="4487"/>
      <c r="AJ204" s="4487"/>
      <c r="AK204" s="4487"/>
      <c r="AL204" s="4487"/>
      <c r="AM204" s="4487"/>
      <c r="AN204" s="4487"/>
      <c r="AO204" s="4487"/>
      <c r="AP204" s="4487"/>
      <c r="AQ204" s="4487"/>
      <c r="AR204" s="4487"/>
      <c r="AS204" s="4487"/>
      <c r="AT204" s="4487"/>
      <c r="AU204" s="4487"/>
      <c r="AV204" s="4487"/>
      <c r="AW204" s="4487"/>
      <c r="AX204" s="4487"/>
      <c r="AY204" s="4487"/>
      <c r="AZ204" s="4487"/>
      <c r="BA204" s="4487"/>
      <c r="BB204" s="4487"/>
      <c r="BC204" s="4487"/>
      <c r="BD204" s="4487"/>
      <c r="BE204" s="4487"/>
      <c r="BF204" s="4487"/>
      <c r="BG204" s="4487"/>
      <c r="BH204" s="4487"/>
    </row>
    <row r="205" spans="10:60" x14ac:dyDescent="0.25">
      <c r="J205"/>
      <c r="K205"/>
      <c r="AA205" s="4487"/>
      <c r="AB205" s="4487"/>
      <c r="AC205" s="4487"/>
      <c r="AD205" s="4487"/>
      <c r="AE205" s="4487"/>
      <c r="AF205" s="4487"/>
      <c r="AG205" s="4487"/>
      <c r="AH205" s="4487"/>
      <c r="AI205" s="4487"/>
      <c r="AJ205" s="4487"/>
      <c r="AK205" s="4487"/>
      <c r="AL205" s="4487"/>
      <c r="AM205" s="4487"/>
      <c r="AN205" s="4487"/>
      <c r="AO205" s="4487"/>
      <c r="AP205" s="4487"/>
      <c r="AQ205" s="4487"/>
      <c r="AR205" s="4487"/>
      <c r="AS205" s="4487"/>
      <c r="AT205" s="4487"/>
      <c r="AU205" s="4487"/>
      <c r="AV205" s="4487"/>
      <c r="AW205" s="4487"/>
      <c r="AX205" s="4487"/>
      <c r="AY205" s="4487"/>
      <c r="AZ205" s="4487"/>
      <c r="BA205" s="4487"/>
      <c r="BB205" s="4487"/>
      <c r="BC205" s="4487"/>
      <c r="BD205" s="4487"/>
      <c r="BE205" s="4487"/>
      <c r="BF205" s="4487"/>
      <c r="BG205" s="4487"/>
      <c r="BH205" s="4487"/>
    </row>
    <row r="206" spans="10:60" x14ac:dyDescent="0.25">
      <c r="J206"/>
      <c r="K206"/>
      <c r="AA206" s="4487"/>
      <c r="AB206" s="4487"/>
      <c r="AC206" s="4487"/>
      <c r="AD206" s="4487"/>
      <c r="AE206" s="4487"/>
      <c r="AF206" s="4487"/>
      <c r="AG206" s="4487"/>
      <c r="AH206" s="4487"/>
      <c r="AI206" s="4487"/>
      <c r="AJ206" s="4487"/>
      <c r="AK206" s="4487"/>
      <c r="AL206" s="4487"/>
      <c r="AM206" s="4487"/>
      <c r="AN206" s="4487"/>
      <c r="AO206" s="4487"/>
      <c r="AP206" s="4487"/>
      <c r="AQ206" s="4487"/>
      <c r="AR206" s="4487"/>
      <c r="AS206" s="4487"/>
      <c r="AT206" s="4487"/>
      <c r="AU206" s="4487"/>
      <c r="AV206" s="4487"/>
      <c r="AW206" s="4487"/>
      <c r="AX206" s="4487"/>
      <c r="AY206" s="4487"/>
      <c r="AZ206" s="4487"/>
      <c r="BA206" s="4487"/>
      <c r="BB206" s="4487"/>
      <c r="BC206" s="4487"/>
      <c r="BD206" s="4487"/>
      <c r="BE206" s="4487"/>
      <c r="BF206" s="4487"/>
      <c r="BG206" s="4487"/>
      <c r="BH206" s="4487"/>
    </row>
    <row r="207" spans="10:60" x14ac:dyDescent="0.25">
      <c r="J207"/>
      <c r="K207"/>
      <c r="AA207" s="4487"/>
      <c r="AB207" s="4487"/>
      <c r="AC207" s="4487"/>
      <c r="AD207" s="4487"/>
      <c r="AE207" s="4487"/>
      <c r="AF207" s="4487"/>
      <c r="AG207" s="4487"/>
      <c r="AH207" s="4487"/>
      <c r="AI207" s="4487"/>
      <c r="AJ207" s="4487"/>
      <c r="AK207" s="4487"/>
      <c r="AL207" s="4487"/>
      <c r="AM207" s="4487"/>
      <c r="AN207" s="4487"/>
      <c r="AO207" s="4487"/>
      <c r="AP207" s="4487"/>
      <c r="AQ207" s="4487"/>
      <c r="AR207" s="4487"/>
      <c r="AS207" s="4487"/>
      <c r="AT207" s="4487"/>
      <c r="AU207" s="4487"/>
      <c r="AV207" s="4487"/>
      <c r="AW207" s="4487"/>
      <c r="AX207" s="4487"/>
      <c r="AY207" s="4487"/>
      <c r="AZ207" s="4487"/>
      <c r="BA207" s="4487"/>
      <c r="BB207" s="4487"/>
      <c r="BC207" s="4487"/>
      <c r="BD207" s="4487"/>
      <c r="BE207" s="4487"/>
      <c r="BF207" s="4487"/>
      <c r="BG207" s="4487"/>
      <c r="BH207" s="4487"/>
    </row>
    <row r="208" spans="10:60" x14ac:dyDescent="0.25">
      <c r="J208"/>
      <c r="K208"/>
      <c r="AA208" s="4487"/>
      <c r="AB208" s="4487"/>
      <c r="AC208" s="4487"/>
      <c r="AD208" s="4487"/>
      <c r="AE208" s="4487"/>
      <c r="AF208" s="4487"/>
      <c r="AG208" s="4487"/>
      <c r="AH208" s="4487"/>
      <c r="AI208" s="4487"/>
      <c r="AJ208" s="4487"/>
      <c r="AK208" s="4487"/>
      <c r="AL208" s="4487"/>
      <c r="AM208" s="4487"/>
      <c r="AN208" s="4487"/>
      <c r="AO208" s="4487"/>
      <c r="AP208" s="4487"/>
      <c r="AQ208" s="4487"/>
      <c r="AR208" s="4487"/>
      <c r="AS208" s="4487"/>
      <c r="AT208" s="4487"/>
      <c r="AU208" s="4487"/>
      <c r="AV208" s="4487"/>
      <c r="AW208" s="4487"/>
      <c r="AX208" s="4487"/>
      <c r="AY208" s="4487"/>
      <c r="AZ208" s="4487"/>
      <c r="BA208" s="4487"/>
      <c r="BB208" s="4487"/>
      <c r="BC208" s="4487"/>
      <c r="BD208" s="4487"/>
      <c r="BE208" s="4487"/>
      <c r="BF208" s="4487"/>
      <c r="BG208" s="4487"/>
      <c r="BH208" s="4487"/>
    </row>
    <row r="209" spans="10:60" x14ac:dyDescent="0.25">
      <c r="J209"/>
      <c r="K209"/>
      <c r="AA209" s="4487"/>
      <c r="AB209" s="4487"/>
      <c r="AC209" s="4487"/>
      <c r="AD209" s="4487"/>
      <c r="AE209" s="4487"/>
      <c r="AF209" s="4487"/>
      <c r="AG209" s="4487"/>
      <c r="AH209" s="4487"/>
      <c r="AI209" s="4487"/>
      <c r="AJ209" s="4487"/>
      <c r="AK209" s="4487"/>
      <c r="AL209" s="4487"/>
      <c r="AM209" s="4487"/>
      <c r="AN209" s="4487"/>
      <c r="AO209" s="4487"/>
      <c r="AP209" s="4487"/>
      <c r="AQ209" s="4487"/>
      <c r="AR209" s="4487"/>
      <c r="AS209" s="4487"/>
      <c r="AT209" s="4487"/>
      <c r="AU209" s="4487"/>
      <c r="AV209" s="4487"/>
      <c r="AW209" s="4487"/>
      <c r="AX209" s="4487"/>
      <c r="AY209" s="4487"/>
      <c r="AZ209" s="4487"/>
      <c r="BA209" s="4487"/>
      <c r="BB209" s="4487"/>
      <c r="BC209" s="4487"/>
      <c r="BD209" s="4487"/>
      <c r="BE209" s="4487"/>
      <c r="BF209" s="4487"/>
      <c r="BG209" s="4487"/>
      <c r="BH209" s="4487"/>
    </row>
    <row r="210" spans="10:60" x14ac:dyDescent="0.25">
      <c r="J210"/>
      <c r="K210"/>
      <c r="AA210" s="4487"/>
      <c r="AB210" s="4487"/>
      <c r="AC210" s="4487"/>
      <c r="AD210" s="4487"/>
      <c r="AE210" s="4487"/>
      <c r="AF210" s="4487"/>
      <c r="AG210" s="4487"/>
      <c r="AH210" s="4487"/>
      <c r="AI210" s="4487"/>
      <c r="AJ210" s="4487"/>
      <c r="AK210" s="4487"/>
      <c r="AL210" s="4487"/>
      <c r="AM210" s="4487"/>
      <c r="AN210" s="4487"/>
      <c r="AO210" s="4487"/>
      <c r="AP210" s="4487"/>
      <c r="AQ210" s="4487"/>
      <c r="AR210" s="4487"/>
      <c r="AS210" s="4487"/>
      <c r="AT210" s="4487"/>
      <c r="AU210" s="4487"/>
      <c r="AV210" s="4487"/>
      <c r="AW210" s="4487"/>
      <c r="AX210" s="4487"/>
      <c r="AY210" s="4487"/>
      <c r="AZ210" s="4487"/>
      <c r="BA210" s="4487"/>
      <c r="BB210" s="4487"/>
      <c r="BC210" s="4487"/>
      <c r="BD210" s="4487"/>
      <c r="BE210" s="4487"/>
      <c r="BF210" s="4487"/>
      <c r="BG210" s="4487"/>
      <c r="BH210" s="4487"/>
    </row>
    <row r="211" spans="10:60" x14ac:dyDescent="0.25">
      <c r="J211"/>
      <c r="K211"/>
      <c r="AA211" s="4487"/>
      <c r="AB211" s="4487"/>
      <c r="AC211" s="4487"/>
      <c r="AD211" s="4487"/>
      <c r="AE211" s="4487"/>
      <c r="AF211" s="4487"/>
      <c r="AG211" s="4487"/>
      <c r="AH211" s="4487"/>
      <c r="AI211" s="4487"/>
      <c r="AJ211" s="4487"/>
      <c r="AK211" s="4487"/>
      <c r="AL211" s="4487"/>
      <c r="AM211" s="4487"/>
      <c r="AN211" s="4487"/>
      <c r="AO211" s="4487"/>
      <c r="AP211" s="4487"/>
      <c r="AQ211" s="4487"/>
      <c r="AR211" s="4487"/>
      <c r="AS211" s="4487"/>
      <c r="AT211" s="4487"/>
      <c r="AU211" s="4487"/>
      <c r="AV211" s="4487"/>
      <c r="AW211" s="4487"/>
      <c r="AX211" s="4487"/>
      <c r="AY211" s="4487"/>
      <c r="AZ211" s="4487"/>
      <c r="BA211" s="4487"/>
      <c r="BB211" s="4487"/>
      <c r="BC211" s="4487"/>
      <c r="BD211" s="4487"/>
      <c r="BE211" s="4487"/>
      <c r="BF211" s="4487"/>
      <c r="BG211" s="4487"/>
      <c r="BH211" s="4487"/>
    </row>
    <row r="212" spans="10:60" x14ac:dyDescent="0.25">
      <c r="J212"/>
      <c r="K212"/>
      <c r="AA212" s="4487"/>
      <c r="AB212" s="4487"/>
      <c r="AC212" s="4487"/>
      <c r="AD212" s="4487"/>
      <c r="AE212" s="4487"/>
      <c r="AF212" s="4487"/>
      <c r="AG212" s="4487"/>
      <c r="AH212" s="4487"/>
      <c r="AI212" s="4487"/>
      <c r="AJ212" s="4487"/>
      <c r="AK212" s="4487"/>
      <c r="AL212" s="4487"/>
      <c r="AM212" s="4487"/>
      <c r="AN212" s="4487"/>
      <c r="AO212" s="4487"/>
      <c r="AP212" s="4487"/>
      <c r="AQ212" s="4487"/>
      <c r="AR212" s="4487"/>
      <c r="AS212" s="4487"/>
      <c r="AT212" s="4487"/>
      <c r="AU212" s="4487"/>
      <c r="AV212" s="4487"/>
      <c r="AW212" s="4487"/>
      <c r="AX212" s="4487"/>
      <c r="AY212" s="4487"/>
      <c r="AZ212" s="4487"/>
      <c r="BA212" s="4487"/>
      <c r="BB212" s="4487"/>
      <c r="BC212" s="4487"/>
      <c r="BD212" s="4487"/>
      <c r="BE212" s="4487"/>
      <c r="BF212" s="4487"/>
      <c r="BG212" s="4487"/>
      <c r="BH212" s="4487"/>
    </row>
    <row r="213" spans="10:60" x14ac:dyDescent="0.25">
      <c r="J213"/>
      <c r="K213"/>
      <c r="AA213" s="4487"/>
      <c r="AB213" s="4487"/>
      <c r="AC213" s="4487"/>
      <c r="AD213" s="4487"/>
      <c r="AE213" s="4487"/>
      <c r="AF213" s="4487"/>
      <c r="AG213" s="4487"/>
      <c r="AH213" s="4487"/>
      <c r="AI213" s="4487"/>
      <c r="AJ213" s="4487"/>
      <c r="AK213" s="4487"/>
      <c r="AL213" s="4487"/>
      <c r="AM213" s="4487"/>
      <c r="AN213" s="4487"/>
      <c r="AO213" s="4487"/>
      <c r="AP213" s="4487"/>
      <c r="AQ213" s="4487"/>
      <c r="AR213" s="4487"/>
      <c r="AS213" s="4487"/>
      <c r="AT213" s="4487"/>
      <c r="AU213" s="4487"/>
      <c r="AV213" s="4487"/>
      <c r="AW213" s="4487"/>
      <c r="AX213" s="4487"/>
      <c r="AY213" s="4487"/>
      <c r="AZ213" s="4487"/>
      <c r="BA213" s="4487"/>
      <c r="BB213" s="4487"/>
      <c r="BC213" s="4487"/>
      <c r="BD213" s="4487"/>
      <c r="BE213" s="4487"/>
      <c r="BF213" s="4487"/>
      <c r="BG213" s="4487"/>
      <c r="BH213" s="4487"/>
    </row>
    <row r="214" spans="10:60" x14ac:dyDescent="0.25">
      <c r="J214"/>
      <c r="K214"/>
      <c r="AA214" s="4487"/>
      <c r="AB214" s="4487"/>
      <c r="AC214" s="4487"/>
      <c r="AD214" s="4487"/>
      <c r="AE214" s="4487"/>
      <c r="AF214" s="4487"/>
      <c r="AG214" s="4487"/>
      <c r="AH214" s="4487"/>
      <c r="AI214" s="4487"/>
      <c r="AJ214" s="4487"/>
      <c r="AK214" s="4487"/>
      <c r="AL214" s="4487"/>
      <c r="AM214" s="4487"/>
      <c r="AN214" s="4487"/>
      <c r="AO214" s="4487"/>
      <c r="AP214" s="4487"/>
      <c r="AQ214" s="4487"/>
      <c r="AR214" s="4487"/>
      <c r="AS214" s="4487"/>
      <c r="AT214" s="4487"/>
      <c r="AU214" s="4487"/>
      <c r="AV214" s="4487"/>
      <c r="AW214" s="4487"/>
      <c r="AX214" s="4487"/>
      <c r="AY214" s="4487"/>
      <c r="AZ214" s="4487"/>
      <c r="BA214" s="4487"/>
      <c r="BB214" s="4487"/>
      <c r="BC214" s="4487"/>
      <c r="BD214" s="4487"/>
      <c r="BE214" s="4487"/>
      <c r="BF214" s="4487"/>
      <c r="BG214" s="4487"/>
      <c r="BH214" s="4487"/>
    </row>
    <row r="215" spans="10:60" x14ac:dyDescent="0.25">
      <c r="J215"/>
      <c r="K215"/>
      <c r="AA215" s="4487"/>
      <c r="AB215" s="4487"/>
      <c r="AC215" s="4487"/>
      <c r="AD215" s="4487"/>
      <c r="AE215" s="4487"/>
      <c r="AF215" s="4487"/>
      <c r="AG215" s="4487"/>
      <c r="AH215" s="4487"/>
      <c r="AI215" s="4487"/>
      <c r="AJ215" s="4487"/>
      <c r="AK215" s="4487"/>
      <c r="AL215" s="4487"/>
      <c r="AM215" s="4487"/>
      <c r="AN215" s="4487"/>
      <c r="AO215" s="4487"/>
      <c r="AP215" s="4487"/>
      <c r="AQ215" s="4487"/>
      <c r="AR215" s="4487"/>
      <c r="AS215" s="4487"/>
      <c r="AT215" s="4487"/>
      <c r="AU215" s="4487"/>
      <c r="AV215" s="4487"/>
      <c r="AW215" s="4487"/>
      <c r="AX215" s="4487"/>
      <c r="AY215" s="4487"/>
      <c r="AZ215" s="4487"/>
      <c r="BA215" s="4487"/>
      <c r="BB215" s="4487"/>
      <c r="BC215" s="4487"/>
      <c r="BD215" s="4487"/>
      <c r="BE215" s="4487"/>
      <c r="BF215" s="4487"/>
      <c r="BG215" s="4487"/>
      <c r="BH215" s="4487"/>
    </row>
    <row r="216" spans="10:60" x14ac:dyDescent="0.25">
      <c r="J216"/>
      <c r="K216"/>
      <c r="AA216" s="4487"/>
      <c r="AB216" s="4487"/>
      <c r="AC216" s="4487"/>
      <c r="AD216" s="4487"/>
      <c r="AE216" s="4487"/>
      <c r="AF216" s="4487"/>
      <c r="AG216" s="4487"/>
      <c r="AH216" s="4487"/>
      <c r="AI216" s="4487"/>
      <c r="AJ216" s="4487"/>
      <c r="AK216" s="4487"/>
      <c r="AL216" s="4487"/>
      <c r="AM216" s="4487"/>
      <c r="AN216" s="4487"/>
      <c r="AO216" s="4487"/>
      <c r="AP216" s="4487"/>
      <c r="AQ216" s="4487"/>
      <c r="AR216" s="4487"/>
      <c r="AS216" s="4487"/>
      <c r="AT216" s="4487"/>
      <c r="AU216" s="4487"/>
      <c r="AV216" s="4487"/>
      <c r="AW216" s="4487"/>
      <c r="AX216" s="4487"/>
      <c r="AY216" s="4487"/>
      <c r="AZ216" s="4487"/>
      <c r="BA216" s="4487"/>
      <c r="BB216" s="4487"/>
      <c r="BC216" s="4487"/>
      <c r="BD216" s="4487"/>
      <c r="BE216" s="4487"/>
      <c r="BF216" s="4487"/>
      <c r="BG216" s="4487"/>
      <c r="BH216" s="4487"/>
    </row>
    <row r="217" spans="10:60" x14ac:dyDescent="0.25">
      <c r="J217"/>
      <c r="K217"/>
      <c r="AA217" s="4487"/>
      <c r="AB217" s="4487"/>
      <c r="AC217" s="4487"/>
      <c r="AD217" s="4487"/>
      <c r="AE217" s="4487"/>
      <c r="AF217" s="4487"/>
      <c r="AG217" s="4487"/>
      <c r="AH217" s="4487"/>
      <c r="AI217" s="4487"/>
      <c r="AJ217" s="4487"/>
      <c r="AK217" s="4487"/>
      <c r="AL217" s="4487"/>
      <c r="AM217" s="4487"/>
      <c r="AN217" s="4487"/>
      <c r="AO217" s="4487"/>
      <c r="AP217" s="4487"/>
      <c r="AQ217" s="4487"/>
      <c r="AR217" s="4487"/>
      <c r="AS217" s="4487"/>
      <c r="AT217" s="4487"/>
      <c r="AU217" s="4487"/>
      <c r="AV217" s="4487"/>
      <c r="AW217" s="4487"/>
      <c r="AX217" s="4487"/>
      <c r="AY217" s="4487"/>
      <c r="AZ217" s="4487"/>
      <c r="BA217" s="4487"/>
      <c r="BB217" s="4487"/>
      <c r="BC217" s="4487"/>
      <c r="BD217" s="4487"/>
      <c r="BE217" s="4487"/>
      <c r="BF217" s="4487"/>
      <c r="BG217" s="4487"/>
      <c r="BH217" s="4487"/>
    </row>
    <row r="218" spans="10:60" x14ac:dyDescent="0.25">
      <c r="J218"/>
      <c r="K218"/>
      <c r="AA218" s="4487"/>
      <c r="AB218" s="4487"/>
      <c r="AC218" s="4487"/>
      <c r="AD218" s="4487"/>
      <c r="AE218" s="4487"/>
      <c r="AF218" s="4487"/>
      <c r="AG218" s="4487"/>
      <c r="AH218" s="4487"/>
      <c r="AI218" s="4487"/>
      <c r="AJ218" s="4487"/>
      <c r="AK218" s="4487"/>
      <c r="AL218" s="4487"/>
      <c r="AM218" s="4487"/>
      <c r="AN218" s="4487"/>
      <c r="AO218" s="4487"/>
      <c r="AP218" s="4487"/>
      <c r="AQ218" s="4487"/>
      <c r="AR218" s="4487"/>
      <c r="AS218" s="4487"/>
      <c r="AT218" s="4487"/>
      <c r="AU218" s="4487"/>
      <c r="AV218" s="4487"/>
      <c r="AW218" s="4487"/>
      <c r="AX218" s="4487"/>
      <c r="AY218" s="4487"/>
      <c r="AZ218" s="4487"/>
      <c r="BA218" s="4487"/>
      <c r="BB218" s="4487"/>
      <c r="BC218" s="4487"/>
      <c r="BD218" s="4487"/>
      <c r="BE218" s="4487"/>
      <c r="BF218" s="4487"/>
      <c r="BG218" s="4487"/>
      <c r="BH218" s="4487"/>
    </row>
    <row r="219" spans="10:60" x14ac:dyDescent="0.25">
      <c r="J219"/>
      <c r="K219"/>
      <c r="AA219" s="4487"/>
      <c r="AB219" s="4487"/>
      <c r="AC219" s="4487"/>
      <c r="AD219" s="4487"/>
      <c r="AE219" s="4487"/>
      <c r="AF219" s="4487"/>
      <c r="AG219" s="4487"/>
      <c r="AH219" s="4487"/>
      <c r="AI219" s="4487"/>
      <c r="AJ219" s="4487"/>
      <c r="AK219" s="4487"/>
      <c r="AL219" s="4487"/>
      <c r="AM219" s="4487"/>
      <c r="AN219" s="4487"/>
      <c r="AO219" s="4487"/>
      <c r="AP219" s="4487"/>
      <c r="AQ219" s="4487"/>
      <c r="AR219" s="4487"/>
      <c r="AS219" s="4487"/>
      <c r="AT219" s="4487"/>
      <c r="AU219" s="4487"/>
      <c r="AV219" s="4487"/>
      <c r="AW219" s="4487"/>
      <c r="AX219" s="4487"/>
      <c r="AY219" s="4487"/>
      <c r="AZ219" s="4487"/>
      <c r="BA219" s="4487"/>
      <c r="BB219" s="4487"/>
      <c r="BC219" s="4487"/>
      <c r="BD219" s="4487"/>
      <c r="BE219" s="4487"/>
      <c r="BF219" s="4487"/>
      <c r="BG219" s="4487"/>
      <c r="BH219" s="4487"/>
    </row>
    <row r="220" spans="10:60" x14ac:dyDescent="0.25">
      <c r="J220"/>
      <c r="K220"/>
      <c r="AA220" s="4487"/>
      <c r="AB220" s="4487"/>
      <c r="AC220" s="4487"/>
      <c r="AD220" s="4487"/>
      <c r="AE220" s="4487"/>
      <c r="AF220" s="4487"/>
      <c r="AG220" s="4487"/>
      <c r="AH220" s="4487"/>
      <c r="AI220" s="4487"/>
      <c r="AJ220" s="4487"/>
      <c r="AK220" s="4487"/>
      <c r="AL220" s="4487"/>
      <c r="AM220" s="4487"/>
      <c r="AN220" s="4487"/>
      <c r="AO220" s="4487"/>
      <c r="AP220" s="4487"/>
      <c r="AQ220" s="4487"/>
      <c r="AR220" s="4487"/>
      <c r="AS220" s="4487"/>
      <c r="AT220" s="4487"/>
      <c r="AU220" s="4487"/>
      <c r="AV220" s="4487"/>
      <c r="AW220" s="4487"/>
      <c r="AX220" s="4487"/>
      <c r="AY220" s="4487"/>
      <c r="AZ220" s="4487"/>
      <c r="BA220" s="4487"/>
      <c r="BB220" s="4487"/>
      <c r="BC220" s="4487"/>
      <c r="BD220" s="4487"/>
      <c r="BE220" s="4487"/>
      <c r="BF220" s="4487"/>
      <c r="BG220" s="4487"/>
      <c r="BH220" s="4487"/>
    </row>
    <row r="221" spans="10:60" x14ac:dyDescent="0.25">
      <c r="J221"/>
      <c r="K221"/>
      <c r="AA221" s="4487"/>
      <c r="AB221" s="4487"/>
      <c r="AC221" s="4487"/>
      <c r="AD221" s="4487"/>
      <c r="AE221" s="4487"/>
      <c r="AF221" s="4487"/>
      <c r="AG221" s="4487"/>
      <c r="AH221" s="4487"/>
      <c r="AI221" s="4487"/>
      <c r="AJ221" s="4487"/>
      <c r="AK221" s="4487"/>
      <c r="AL221" s="4487"/>
      <c r="AM221" s="4487"/>
      <c r="AN221" s="4487"/>
      <c r="AO221" s="4487"/>
      <c r="AP221" s="4487"/>
      <c r="AQ221" s="4487"/>
      <c r="AR221" s="4487"/>
      <c r="AS221" s="4487"/>
      <c r="AT221" s="4487"/>
      <c r="AU221" s="4487"/>
      <c r="AV221" s="4487"/>
      <c r="AW221" s="4487"/>
      <c r="AX221" s="4487"/>
      <c r="AY221" s="4487"/>
      <c r="AZ221" s="4487"/>
      <c r="BA221" s="4487"/>
      <c r="BB221" s="4487"/>
      <c r="BC221" s="4487"/>
      <c r="BD221" s="4487"/>
      <c r="BE221" s="4487"/>
      <c r="BF221" s="4487"/>
      <c r="BG221" s="4487"/>
      <c r="BH221" s="4487"/>
    </row>
    <row r="222" spans="10:60" x14ac:dyDescent="0.25">
      <c r="J222"/>
      <c r="K222"/>
      <c r="AA222" s="4487"/>
      <c r="AB222" s="4487"/>
      <c r="AC222" s="4487"/>
      <c r="AD222" s="4487"/>
      <c r="AE222" s="4487"/>
      <c r="AF222" s="4487"/>
      <c r="AG222" s="4487"/>
      <c r="AH222" s="4487"/>
      <c r="AI222" s="4487"/>
      <c r="AJ222" s="4487"/>
      <c r="AK222" s="4487"/>
      <c r="AL222" s="4487"/>
      <c r="AM222" s="4487"/>
      <c r="AN222" s="4487"/>
      <c r="AO222" s="4487"/>
      <c r="AP222" s="4487"/>
      <c r="AQ222" s="4487"/>
      <c r="AR222" s="4487"/>
      <c r="AS222" s="4487"/>
      <c r="AT222" s="4487"/>
      <c r="AU222" s="4487"/>
      <c r="AV222" s="4487"/>
      <c r="AW222" s="4487"/>
      <c r="AX222" s="4487"/>
      <c r="AY222" s="4487"/>
      <c r="AZ222" s="4487"/>
      <c r="BA222" s="4487"/>
      <c r="BB222" s="4487"/>
      <c r="BC222" s="4487"/>
      <c r="BD222" s="4487"/>
      <c r="BE222" s="4487"/>
      <c r="BF222" s="4487"/>
      <c r="BG222" s="4487"/>
      <c r="BH222" s="4487"/>
    </row>
    <row r="223" spans="10:60" x14ac:dyDescent="0.25">
      <c r="J223"/>
      <c r="K223"/>
      <c r="AA223" s="4487"/>
      <c r="AB223" s="4487"/>
      <c r="AC223" s="4487"/>
      <c r="AD223" s="4487"/>
      <c r="AE223" s="4487"/>
      <c r="AF223" s="4487"/>
      <c r="AG223" s="4487"/>
      <c r="AH223" s="4487"/>
      <c r="AI223" s="4487"/>
      <c r="AJ223" s="4487"/>
      <c r="AK223" s="4487"/>
      <c r="AL223" s="4487"/>
      <c r="AM223" s="4487"/>
      <c r="AN223" s="4487"/>
      <c r="AO223" s="4487"/>
      <c r="AP223" s="4487"/>
      <c r="AQ223" s="4487"/>
      <c r="AR223" s="4487"/>
      <c r="AS223" s="4487"/>
      <c r="AT223" s="4487"/>
      <c r="AU223" s="4487"/>
      <c r="AV223" s="4487"/>
      <c r="AW223" s="4487"/>
      <c r="AX223" s="4487"/>
      <c r="AY223" s="4487"/>
      <c r="AZ223" s="4487"/>
      <c r="BA223" s="4487"/>
      <c r="BB223" s="4487"/>
      <c r="BC223" s="4487"/>
      <c r="BD223" s="4487"/>
      <c r="BE223" s="4487"/>
      <c r="BF223" s="4487"/>
      <c r="BG223" s="4487"/>
      <c r="BH223" s="4487"/>
    </row>
    <row r="224" spans="10:60" x14ac:dyDescent="0.25">
      <c r="J224"/>
      <c r="K224"/>
      <c r="AA224" s="4487"/>
      <c r="AB224" s="4487"/>
      <c r="AC224" s="4487"/>
      <c r="AD224" s="4487"/>
      <c r="AE224" s="4487"/>
      <c r="AF224" s="4487"/>
      <c r="AG224" s="4487"/>
      <c r="AH224" s="4487"/>
      <c r="AI224" s="4487"/>
      <c r="AJ224" s="4487"/>
      <c r="AK224" s="4487"/>
      <c r="AL224" s="4487"/>
      <c r="AM224" s="4487"/>
      <c r="AN224" s="4487"/>
      <c r="AO224" s="4487"/>
      <c r="AP224" s="4487"/>
      <c r="AQ224" s="4487"/>
      <c r="AR224" s="4487"/>
      <c r="AS224" s="4487"/>
      <c r="AT224" s="4487"/>
      <c r="AU224" s="4487"/>
      <c r="AV224" s="4487"/>
      <c r="AW224" s="4487"/>
      <c r="AX224" s="4487"/>
      <c r="AY224" s="4487"/>
      <c r="AZ224" s="4487"/>
      <c r="BA224" s="4487"/>
      <c r="BB224" s="4487"/>
      <c r="BC224" s="4487"/>
      <c r="BD224" s="4487"/>
      <c r="BE224" s="4487"/>
      <c r="BF224" s="4487"/>
      <c r="BG224" s="4487"/>
      <c r="BH224" s="4487"/>
    </row>
    <row r="225" spans="10:60" x14ac:dyDescent="0.25">
      <c r="J225"/>
      <c r="K225"/>
      <c r="AA225" s="4487"/>
      <c r="AB225" s="4487"/>
      <c r="AC225" s="4487"/>
      <c r="AD225" s="4487"/>
      <c r="AE225" s="4487"/>
      <c r="AF225" s="4487"/>
      <c r="AG225" s="4487"/>
      <c r="AH225" s="4487"/>
      <c r="AI225" s="4487"/>
      <c r="AJ225" s="4487"/>
      <c r="AK225" s="4487"/>
      <c r="AL225" s="4487"/>
      <c r="AM225" s="4487"/>
      <c r="AN225" s="4487"/>
      <c r="AO225" s="4487"/>
      <c r="AP225" s="4487"/>
      <c r="AQ225" s="4487"/>
      <c r="AR225" s="4487"/>
      <c r="AS225" s="4487"/>
      <c r="AT225" s="4487"/>
      <c r="AU225" s="4487"/>
      <c r="AV225" s="4487"/>
      <c r="AW225" s="4487"/>
      <c r="AX225" s="4487"/>
      <c r="AY225" s="4487"/>
      <c r="AZ225" s="4487"/>
      <c r="BA225" s="4487"/>
      <c r="BB225" s="4487"/>
      <c r="BC225" s="4487"/>
      <c r="BD225" s="4487"/>
      <c r="BE225" s="4487"/>
      <c r="BF225" s="4487"/>
      <c r="BG225" s="4487"/>
      <c r="BH225" s="4487"/>
    </row>
    <row r="226" spans="10:60" x14ac:dyDescent="0.25">
      <c r="J226"/>
      <c r="K226"/>
      <c r="AA226" s="4487"/>
      <c r="AB226" s="4487"/>
      <c r="AC226" s="4487"/>
      <c r="AD226" s="4487"/>
      <c r="AE226" s="4487"/>
      <c r="AF226" s="4487"/>
      <c r="AG226" s="4487"/>
      <c r="AH226" s="4487"/>
      <c r="AI226" s="4487"/>
      <c r="AJ226" s="4487"/>
      <c r="AK226" s="4487"/>
      <c r="AL226" s="4487"/>
      <c r="AM226" s="4487"/>
      <c r="AN226" s="4487"/>
      <c r="AO226" s="4487"/>
      <c r="AP226" s="4487"/>
      <c r="AQ226" s="4487"/>
      <c r="AR226" s="4487"/>
      <c r="AS226" s="4487"/>
      <c r="AT226" s="4487"/>
      <c r="AU226" s="4487"/>
      <c r="AV226" s="4487"/>
      <c r="AW226" s="4487"/>
      <c r="AX226" s="4487"/>
      <c r="AY226" s="4487"/>
      <c r="AZ226" s="4487"/>
      <c r="BA226" s="4487"/>
      <c r="BB226" s="4487"/>
      <c r="BC226" s="4487"/>
      <c r="BD226" s="4487"/>
      <c r="BE226" s="4487"/>
      <c r="BF226" s="4487"/>
      <c r="BG226" s="4487"/>
      <c r="BH226" s="4487"/>
    </row>
    <row r="227" spans="10:60" x14ac:dyDescent="0.25">
      <c r="J227"/>
      <c r="K227"/>
      <c r="AA227" s="4487"/>
      <c r="AB227" s="4487"/>
      <c r="AC227" s="4487"/>
      <c r="AD227" s="4487"/>
      <c r="AE227" s="4487"/>
      <c r="AF227" s="4487"/>
      <c r="AG227" s="4487"/>
      <c r="AH227" s="4487"/>
      <c r="AI227" s="4487"/>
      <c r="AJ227" s="4487"/>
      <c r="AK227" s="4487"/>
      <c r="AL227" s="4487"/>
      <c r="AM227" s="4487"/>
      <c r="AN227" s="4487"/>
      <c r="AO227" s="4487"/>
      <c r="AP227" s="4487"/>
      <c r="AQ227" s="4487"/>
      <c r="AR227" s="4487"/>
      <c r="AS227" s="4487"/>
      <c r="AT227" s="4487"/>
      <c r="AU227" s="4487"/>
      <c r="AV227" s="4487"/>
      <c r="AW227" s="4487"/>
      <c r="AX227" s="4487"/>
      <c r="AY227" s="4487"/>
      <c r="AZ227" s="4487"/>
      <c r="BA227" s="4487"/>
      <c r="BB227" s="4487"/>
      <c r="BC227" s="4487"/>
      <c r="BD227" s="4487"/>
      <c r="BE227" s="4487"/>
      <c r="BF227" s="4487"/>
      <c r="BG227" s="4487"/>
      <c r="BH227" s="4487"/>
    </row>
    <row r="228" spans="10:60" x14ac:dyDescent="0.25">
      <c r="J228"/>
      <c r="K228"/>
      <c r="AA228" s="4487"/>
      <c r="AB228" s="4487"/>
      <c r="AC228" s="4487"/>
      <c r="AD228" s="4487"/>
      <c r="AE228" s="4487"/>
      <c r="AF228" s="4487"/>
      <c r="AG228" s="4487"/>
      <c r="AH228" s="4487"/>
      <c r="AI228" s="4487"/>
      <c r="AJ228" s="4487"/>
      <c r="AK228" s="4487"/>
      <c r="AL228" s="4487"/>
      <c r="AM228" s="4487"/>
      <c r="AN228" s="4487"/>
      <c r="AO228" s="4487"/>
      <c r="AP228" s="4487"/>
      <c r="AQ228" s="4487"/>
      <c r="AR228" s="4487"/>
      <c r="AS228" s="4487"/>
      <c r="AT228" s="4487"/>
      <c r="AU228" s="4487"/>
      <c r="AV228" s="4487"/>
      <c r="AW228" s="4487"/>
      <c r="AX228" s="4487"/>
      <c r="AY228" s="4487"/>
      <c r="AZ228" s="4487"/>
      <c r="BA228" s="4487"/>
      <c r="BB228" s="4487"/>
      <c r="BC228" s="4487"/>
      <c r="BD228" s="4487"/>
      <c r="BE228" s="4487"/>
      <c r="BF228" s="4487"/>
      <c r="BG228" s="4487"/>
      <c r="BH228" s="4487"/>
    </row>
    <row r="229" spans="10:60" x14ac:dyDescent="0.25">
      <c r="J229"/>
      <c r="K229"/>
      <c r="AA229" s="4487"/>
      <c r="AB229" s="4487"/>
      <c r="AC229" s="4487"/>
      <c r="AD229" s="4487"/>
      <c r="AE229" s="4487"/>
      <c r="AF229" s="4487"/>
      <c r="AG229" s="4487"/>
      <c r="AH229" s="4487"/>
      <c r="AI229" s="4487"/>
      <c r="AJ229" s="4487"/>
      <c r="AK229" s="4487"/>
      <c r="AL229" s="4487"/>
      <c r="AM229" s="4487"/>
      <c r="AN229" s="4487"/>
      <c r="AO229" s="4487"/>
      <c r="AP229" s="4487"/>
      <c r="AQ229" s="4487"/>
      <c r="AR229" s="4487"/>
      <c r="AS229" s="4487"/>
      <c r="AT229" s="4487"/>
      <c r="AU229" s="4487"/>
      <c r="AV229" s="4487"/>
      <c r="AW229" s="4487"/>
      <c r="AX229" s="4487"/>
      <c r="AY229" s="4487"/>
      <c r="AZ229" s="4487"/>
      <c r="BA229" s="4487"/>
      <c r="BB229" s="4487"/>
      <c r="BC229" s="4487"/>
      <c r="BD229" s="4487"/>
      <c r="BE229" s="4487"/>
      <c r="BF229" s="4487"/>
      <c r="BG229" s="4487"/>
      <c r="BH229" s="4487"/>
    </row>
    <row r="230" spans="10:60" x14ac:dyDescent="0.25">
      <c r="J230"/>
      <c r="K230"/>
      <c r="AA230" s="4487"/>
      <c r="AB230" s="4487"/>
      <c r="AC230" s="4487"/>
      <c r="AD230" s="4487"/>
      <c r="AE230" s="4487"/>
      <c r="AF230" s="4487"/>
      <c r="AG230" s="4487"/>
      <c r="AH230" s="4487"/>
      <c r="AI230" s="4487"/>
      <c r="AJ230" s="4487"/>
      <c r="AK230" s="4487"/>
      <c r="AL230" s="4487"/>
      <c r="AM230" s="4487"/>
      <c r="AN230" s="4487"/>
      <c r="AO230" s="4487"/>
      <c r="AP230" s="4487"/>
      <c r="AQ230" s="4487"/>
      <c r="AR230" s="4487"/>
      <c r="AS230" s="4487"/>
      <c r="AT230" s="4487"/>
      <c r="AU230" s="4487"/>
      <c r="AV230" s="4487"/>
      <c r="AW230" s="4487"/>
      <c r="AX230" s="4487"/>
      <c r="AY230" s="4487"/>
      <c r="AZ230" s="4487"/>
      <c r="BA230" s="4487"/>
      <c r="BB230" s="4487"/>
      <c r="BC230" s="4487"/>
      <c r="BD230" s="4487"/>
      <c r="BE230" s="4487"/>
      <c r="BF230" s="4487"/>
      <c r="BG230" s="4487"/>
      <c r="BH230" s="4487"/>
    </row>
    <row r="231" spans="10:60" x14ac:dyDescent="0.25">
      <c r="J231"/>
      <c r="K231"/>
      <c r="AA231" s="4487"/>
      <c r="AB231" s="4487"/>
      <c r="AC231" s="4487"/>
      <c r="AD231" s="4487"/>
      <c r="AE231" s="4487"/>
      <c r="AF231" s="4487"/>
      <c r="AG231" s="4487"/>
      <c r="AH231" s="4487"/>
      <c r="AI231" s="4487"/>
      <c r="AJ231" s="4487"/>
      <c r="AK231" s="4487"/>
      <c r="AL231" s="4487"/>
      <c r="AM231" s="4487"/>
      <c r="AN231" s="4487"/>
      <c r="AO231" s="4487"/>
      <c r="AP231" s="4487"/>
      <c r="AQ231" s="4487"/>
      <c r="AR231" s="4487"/>
      <c r="AS231" s="4487"/>
      <c r="AT231" s="4487"/>
      <c r="AU231" s="4487"/>
      <c r="AV231" s="4487"/>
      <c r="AW231" s="4487"/>
      <c r="AX231" s="4487"/>
      <c r="AY231" s="4487"/>
      <c r="AZ231" s="4487"/>
      <c r="BA231" s="4487"/>
      <c r="BB231" s="4487"/>
      <c r="BC231" s="4487"/>
      <c r="BD231" s="4487"/>
      <c r="BE231" s="4487"/>
      <c r="BF231" s="4487"/>
      <c r="BG231" s="4487"/>
      <c r="BH231" s="4487"/>
    </row>
    <row r="232" spans="10:60" x14ac:dyDescent="0.25">
      <c r="J232"/>
      <c r="K232"/>
      <c r="AA232" s="4487"/>
      <c r="AB232" s="4487"/>
      <c r="AC232" s="4487"/>
      <c r="AD232" s="4487"/>
      <c r="AE232" s="4487"/>
      <c r="AF232" s="4487"/>
      <c r="AG232" s="4487"/>
      <c r="AH232" s="4487"/>
      <c r="AI232" s="4487"/>
      <c r="AJ232" s="4487"/>
      <c r="AK232" s="4487"/>
      <c r="AL232" s="4487"/>
      <c r="AM232" s="4487"/>
      <c r="AN232" s="4487"/>
      <c r="AO232" s="4487"/>
      <c r="AP232" s="4487"/>
      <c r="AQ232" s="4487"/>
      <c r="AR232" s="4487"/>
      <c r="AS232" s="4487"/>
      <c r="AT232" s="4487"/>
      <c r="AU232" s="4487"/>
      <c r="AV232" s="4487"/>
      <c r="AW232" s="4487"/>
      <c r="AX232" s="4487"/>
      <c r="AY232" s="4487"/>
      <c r="AZ232" s="4487"/>
      <c r="BA232" s="4487"/>
      <c r="BB232" s="4487"/>
      <c r="BC232" s="4487"/>
      <c r="BD232" s="4487"/>
      <c r="BE232" s="4487"/>
      <c r="BF232" s="4487"/>
      <c r="BG232" s="4487"/>
      <c r="BH232" s="4487"/>
    </row>
    <row r="233" spans="10:60" x14ac:dyDescent="0.25">
      <c r="J233"/>
      <c r="K233"/>
      <c r="AA233" s="4487"/>
      <c r="AB233" s="4487"/>
      <c r="AC233" s="4487"/>
      <c r="AD233" s="4487"/>
      <c r="AE233" s="4487"/>
      <c r="AF233" s="4487"/>
      <c r="AG233" s="4487"/>
      <c r="AH233" s="4487"/>
      <c r="AI233" s="4487"/>
      <c r="AJ233" s="4487"/>
      <c r="AK233" s="4487"/>
      <c r="AL233" s="4487"/>
      <c r="AM233" s="4487"/>
      <c r="AN233" s="4487"/>
      <c r="AO233" s="4487"/>
      <c r="AP233" s="4487"/>
      <c r="AQ233" s="4487"/>
      <c r="AR233" s="4487"/>
      <c r="AS233" s="4487"/>
      <c r="AT233" s="4487"/>
      <c r="AU233" s="4487"/>
      <c r="AV233" s="4487"/>
      <c r="AW233" s="4487"/>
      <c r="AX233" s="4487"/>
      <c r="AY233" s="4487"/>
      <c r="AZ233" s="4487"/>
      <c r="BA233" s="4487"/>
      <c r="BB233" s="4487"/>
      <c r="BC233" s="4487"/>
      <c r="BD233" s="4487"/>
      <c r="BE233" s="4487"/>
      <c r="BF233" s="4487"/>
      <c r="BG233" s="4487"/>
      <c r="BH233" s="4487"/>
    </row>
    <row r="234" spans="10:60" x14ac:dyDescent="0.25">
      <c r="J234"/>
      <c r="K234"/>
      <c r="AA234" s="4487"/>
      <c r="AB234" s="4487"/>
      <c r="AC234" s="4487"/>
      <c r="AD234" s="4487"/>
      <c r="AE234" s="4487"/>
      <c r="AF234" s="4487"/>
      <c r="AG234" s="4487"/>
      <c r="AH234" s="4487"/>
      <c r="AI234" s="4487"/>
      <c r="AJ234" s="4487"/>
      <c r="AK234" s="4487"/>
      <c r="AL234" s="4487"/>
      <c r="AM234" s="4487"/>
      <c r="AN234" s="4487"/>
      <c r="AO234" s="4487"/>
      <c r="AP234" s="4487"/>
      <c r="AQ234" s="4487"/>
      <c r="AR234" s="4487"/>
      <c r="AS234" s="4487"/>
      <c r="AT234" s="4487"/>
      <c r="AU234" s="4487"/>
      <c r="AV234" s="4487"/>
      <c r="AW234" s="4487"/>
      <c r="AX234" s="4487"/>
      <c r="AY234" s="4487"/>
      <c r="AZ234" s="4487"/>
      <c r="BA234" s="4487"/>
      <c r="BB234" s="4487"/>
      <c r="BC234" s="4487"/>
      <c r="BD234" s="4487"/>
      <c r="BE234" s="4487"/>
      <c r="BF234" s="4487"/>
      <c r="BG234" s="4487"/>
      <c r="BH234" s="4487"/>
    </row>
    <row r="235" spans="10:60" x14ac:dyDescent="0.25">
      <c r="J235"/>
      <c r="K235"/>
      <c r="AA235" s="4487"/>
      <c r="AB235" s="4487"/>
      <c r="AC235" s="4487"/>
      <c r="AD235" s="4487"/>
      <c r="AE235" s="4487"/>
      <c r="AF235" s="4487"/>
      <c r="AG235" s="4487"/>
      <c r="AH235" s="4487"/>
      <c r="AI235" s="4487"/>
      <c r="AJ235" s="4487"/>
      <c r="AK235" s="4487"/>
      <c r="AL235" s="4487"/>
      <c r="AM235" s="4487"/>
      <c r="AN235" s="4487"/>
      <c r="AO235" s="4487"/>
      <c r="AP235" s="4487"/>
      <c r="AQ235" s="4487"/>
      <c r="AR235" s="4487"/>
      <c r="AS235" s="4487"/>
      <c r="AT235" s="4487"/>
      <c r="AU235" s="4487"/>
      <c r="AV235" s="4487"/>
      <c r="AW235" s="4487"/>
      <c r="AX235" s="4487"/>
      <c r="AY235" s="4487"/>
      <c r="AZ235" s="4487"/>
      <c r="BA235" s="4487"/>
      <c r="BB235" s="4487"/>
      <c r="BC235" s="4487"/>
      <c r="BD235" s="4487"/>
      <c r="BE235" s="4487"/>
      <c r="BF235" s="4487"/>
      <c r="BG235" s="4487"/>
      <c r="BH235" s="4487"/>
    </row>
    <row r="236" spans="10:60" x14ac:dyDescent="0.25">
      <c r="J236"/>
      <c r="K236"/>
      <c r="AA236" s="4487"/>
      <c r="AB236" s="4487"/>
      <c r="AC236" s="4487"/>
      <c r="AD236" s="4487"/>
      <c r="AE236" s="4487"/>
      <c r="AF236" s="4487"/>
      <c r="AG236" s="4487"/>
      <c r="AH236" s="4487"/>
      <c r="AI236" s="4487"/>
      <c r="AJ236" s="4487"/>
      <c r="AK236" s="4487"/>
      <c r="AL236" s="4487"/>
      <c r="AM236" s="4487"/>
      <c r="AN236" s="4487"/>
      <c r="AO236" s="4487"/>
      <c r="AP236" s="4487"/>
      <c r="AQ236" s="4487"/>
      <c r="AR236" s="4487"/>
      <c r="AS236" s="4487"/>
      <c r="AT236" s="4487"/>
      <c r="AU236" s="4487"/>
      <c r="AV236" s="4487"/>
      <c r="AW236" s="4487"/>
      <c r="AX236" s="4487"/>
      <c r="AY236" s="4487"/>
      <c r="AZ236" s="4487"/>
      <c r="BA236" s="4487"/>
      <c r="BB236" s="4487"/>
      <c r="BC236" s="4487"/>
      <c r="BD236" s="4487"/>
      <c r="BE236" s="4487"/>
      <c r="BF236" s="4487"/>
      <c r="BG236" s="4487"/>
      <c r="BH236" s="4487"/>
    </row>
    <row r="237" spans="10:60" x14ac:dyDescent="0.25">
      <c r="J237"/>
      <c r="K237"/>
      <c r="AA237" s="4487"/>
      <c r="AB237" s="4487"/>
      <c r="AC237" s="4487"/>
      <c r="AD237" s="4487"/>
      <c r="AE237" s="4487"/>
      <c r="AF237" s="4487"/>
      <c r="AG237" s="4487"/>
      <c r="AH237" s="4487"/>
      <c r="AI237" s="4487"/>
      <c r="AJ237" s="4487"/>
      <c r="AK237" s="4487"/>
      <c r="AL237" s="4487"/>
      <c r="AM237" s="4487"/>
      <c r="AN237" s="4487"/>
      <c r="AO237" s="4487"/>
      <c r="AP237" s="4487"/>
      <c r="AQ237" s="4487"/>
      <c r="AR237" s="4487"/>
      <c r="AS237" s="4487"/>
      <c r="AT237" s="4487"/>
      <c r="AU237" s="4487"/>
      <c r="AV237" s="4487"/>
      <c r="AW237" s="4487"/>
      <c r="AX237" s="4487"/>
      <c r="AY237" s="4487"/>
      <c r="AZ237" s="4487"/>
      <c r="BA237" s="4487"/>
      <c r="BB237" s="4487"/>
      <c r="BC237" s="4487"/>
      <c r="BD237" s="4487"/>
      <c r="BE237" s="4487"/>
      <c r="BF237" s="4487"/>
      <c r="BG237" s="4487"/>
      <c r="BH237" s="4487"/>
    </row>
    <row r="238" spans="10:60" x14ac:dyDescent="0.25">
      <c r="J238"/>
      <c r="K238"/>
      <c r="AA238" s="4487"/>
      <c r="AB238" s="4487"/>
      <c r="AC238" s="4487"/>
      <c r="AD238" s="4487"/>
      <c r="AE238" s="4487"/>
      <c r="AF238" s="4487"/>
      <c r="AG238" s="4487"/>
      <c r="AH238" s="4487"/>
      <c r="AI238" s="4487"/>
      <c r="AJ238" s="4487"/>
      <c r="AK238" s="4487"/>
      <c r="AL238" s="4487"/>
      <c r="AM238" s="4487"/>
      <c r="AN238" s="4487"/>
      <c r="AO238" s="4487"/>
      <c r="AP238" s="4487"/>
      <c r="AQ238" s="4487"/>
      <c r="AR238" s="4487"/>
      <c r="AS238" s="4487"/>
      <c r="AT238" s="4487"/>
      <c r="AU238" s="4487"/>
      <c r="AV238" s="4487"/>
      <c r="AW238" s="4487"/>
      <c r="AX238" s="4487"/>
      <c r="AY238" s="4487"/>
      <c r="AZ238" s="4487"/>
      <c r="BA238" s="4487"/>
      <c r="BB238" s="4487"/>
      <c r="BC238" s="4487"/>
      <c r="BD238" s="4487"/>
      <c r="BE238" s="4487"/>
      <c r="BF238" s="4487"/>
      <c r="BG238" s="4487"/>
      <c r="BH238" s="4487"/>
    </row>
    <row r="239" spans="10:60" x14ac:dyDescent="0.25">
      <c r="J239"/>
      <c r="K239"/>
      <c r="AA239" s="4487"/>
      <c r="AB239" s="4487"/>
      <c r="AC239" s="4487"/>
      <c r="AD239" s="4487"/>
      <c r="AE239" s="4487"/>
      <c r="AF239" s="4487"/>
      <c r="AG239" s="4487"/>
      <c r="AH239" s="4487"/>
      <c r="AI239" s="4487"/>
      <c r="AJ239" s="4487"/>
      <c r="AK239" s="4487"/>
      <c r="AL239" s="4487"/>
      <c r="AM239" s="4487"/>
      <c r="AN239" s="4487"/>
      <c r="AO239" s="4487"/>
      <c r="AP239" s="4487"/>
      <c r="AQ239" s="4487"/>
      <c r="AR239" s="4487"/>
      <c r="AS239" s="4487"/>
      <c r="AT239" s="4487"/>
      <c r="AU239" s="4487"/>
      <c r="AV239" s="4487"/>
      <c r="AW239" s="4487"/>
      <c r="AX239" s="4487"/>
      <c r="AY239" s="4487"/>
      <c r="AZ239" s="4487"/>
      <c r="BA239" s="4487"/>
      <c r="BB239" s="4487"/>
      <c r="BC239" s="4487"/>
      <c r="BD239" s="4487"/>
      <c r="BE239" s="4487"/>
      <c r="BF239" s="4487"/>
      <c r="BG239" s="4487"/>
      <c r="BH239" s="4487"/>
    </row>
    <row r="240" spans="10:60" x14ac:dyDescent="0.25">
      <c r="J240"/>
      <c r="K240"/>
      <c r="AA240" s="4487"/>
      <c r="AB240" s="4487"/>
      <c r="AC240" s="4487"/>
      <c r="AD240" s="4487"/>
      <c r="AE240" s="4487"/>
      <c r="AF240" s="4487"/>
      <c r="AG240" s="4487"/>
      <c r="AH240" s="4487"/>
      <c r="AI240" s="4487"/>
      <c r="AJ240" s="4487"/>
      <c r="AK240" s="4487"/>
      <c r="AL240" s="4487"/>
      <c r="AM240" s="4487"/>
      <c r="AN240" s="4487"/>
      <c r="AO240" s="4487"/>
      <c r="AP240" s="4487"/>
      <c r="AQ240" s="4487"/>
      <c r="AR240" s="4487"/>
      <c r="AS240" s="4487"/>
      <c r="AT240" s="4487"/>
      <c r="AU240" s="4487"/>
      <c r="AV240" s="4487"/>
      <c r="AW240" s="4487"/>
      <c r="AX240" s="4487"/>
      <c r="AY240" s="4487"/>
      <c r="AZ240" s="4487"/>
      <c r="BA240" s="4487"/>
      <c r="BB240" s="4487"/>
      <c r="BC240" s="4487"/>
      <c r="BD240" s="4487"/>
      <c r="BE240" s="4487"/>
      <c r="BF240" s="4487"/>
      <c r="BG240" s="4487"/>
      <c r="BH240" s="4487"/>
    </row>
    <row r="241" spans="10:60" x14ac:dyDescent="0.25">
      <c r="J241"/>
      <c r="K241"/>
      <c r="AA241" s="4487"/>
      <c r="AB241" s="4487"/>
      <c r="AC241" s="4487"/>
      <c r="AD241" s="4487"/>
      <c r="AE241" s="4487"/>
      <c r="AF241" s="4487"/>
      <c r="AG241" s="4487"/>
      <c r="AH241" s="4487"/>
      <c r="AI241" s="4487"/>
      <c r="AJ241" s="4487"/>
      <c r="AK241" s="4487"/>
      <c r="AL241" s="4487"/>
      <c r="AM241" s="4487"/>
      <c r="AN241" s="4487"/>
      <c r="AO241" s="4487"/>
      <c r="AP241" s="4487"/>
      <c r="AQ241" s="4487"/>
      <c r="AR241" s="4487"/>
      <c r="AS241" s="4487"/>
      <c r="AT241" s="4487"/>
      <c r="AU241" s="4487"/>
      <c r="AV241" s="4487"/>
      <c r="AW241" s="4487"/>
      <c r="AX241" s="4487"/>
      <c r="AY241" s="4487"/>
      <c r="AZ241" s="4487"/>
      <c r="BA241" s="4487"/>
      <c r="BB241" s="4487"/>
      <c r="BC241" s="4487"/>
      <c r="BD241" s="4487"/>
      <c r="BE241" s="4487"/>
      <c r="BF241" s="4487"/>
      <c r="BG241" s="4487"/>
      <c r="BH241" s="4487"/>
    </row>
    <row r="242" spans="10:60" x14ac:dyDescent="0.25">
      <c r="J242"/>
      <c r="K242"/>
      <c r="AA242" s="4487"/>
      <c r="AB242" s="4487"/>
      <c r="AC242" s="4487"/>
      <c r="AD242" s="4487"/>
      <c r="AE242" s="4487"/>
      <c r="AF242" s="4487"/>
      <c r="AG242" s="4487"/>
      <c r="AH242" s="4487"/>
      <c r="AI242" s="4487"/>
      <c r="AJ242" s="4487"/>
      <c r="AK242" s="4487"/>
      <c r="AL242" s="4487"/>
      <c r="AM242" s="4487"/>
      <c r="AN242" s="4487"/>
      <c r="AO242" s="4487"/>
      <c r="AP242" s="4487"/>
      <c r="AQ242" s="4487"/>
      <c r="AR242" s="4487"/>
      <c r="AS242" s="4487"/>
      <c r="AT242" s="4487"/>
      <c r="AU242" s="4487"/>
      <c r="AV242" s="4487"/>
      <c r="AW242" s="4487"/>
      <c r="AX242" s="4487"/>
      <c r="AY242" s="4487"/>
      <c r="AZ242" s="4487"/>
      <c r="BA242" s="4487"/>
      <c r="BB242" s="4487"/>
      <c r="BC242" s="4487"/>
      <c r="BD242" s="4487"/>
      <c r="BE242" s="4487"/>
      <c r="BF242" s="4487"/>
      <c r="BG242" s="4487"/>
      <c r="BH242" s="4487"/>
    </row>
    <row r="243" spans="10:60" x14ac:dyDescent="0.25">
      <c r="J243"/>
      <c r="K243"/>
      <c r="AA243" s="4487"/>
      <c r="AB243" s="4487"/>
      <c r="AC243" s="4487"/>
      <c r="AD243" s="4487"/>
      <c r="AE243" s="4487"/>
      <c r="AF243" s="4487"/>
      <c r="AG243" s="4487"/>
      <c r="AH243" s="4487"/>
      <c r="AI243" s="4487"/>
      <c r="AJ243" s="4487"/>
      <c r="AK243" s="4487"/>
      <c r="AL243" s="4487"/>
      <c r="AM243" s="4487"/>
      <c r="AN243" s="4487"/>
      <c r="AO243" s="4487"/>
      <c r="AP243" s="4487"/>
      <c r="AQ243" s="4487"/>
      <c r="AR243" s="4487"/>
      <c r="AS243" s="4487"/>
      <c r="AT243" s="4487"/>
      <c r="AU243" s="4487"/>
      <c r="AV243" s="4487"/>
      <c r="AW243" s="4487"/>
      <c r="AX243" s="4487"/>
      <c r="AY243" s="4487"/>
      <c r="AZ243" s="4487"/>
      <c r="BA243" s="4487"/>
      <c r="BB243" s="4487"/>
      <c r="BC243" s="4487"/>
      <c r="BD243" s="4487"/>
      <c r="BE243" s="4487"/>
      <c r="BF243" s="4487"/>
      <c r="BG243" s="4487"/>
      <c r="BH243" s="4487"/>
    </row>
    <row r="244" spans="10:60" x14ac:dyDescent="0.25">
      <c r="J244"/>
      <c r="K244"/>
      <c r="AA244" s="4487"/>
      <c r="AB244" s="4487"/>
      <c r="AC244" s="4487"/>
      <c r="AD244" s="4487"/>
      <c r="AE244" s="4487"/>
      <c r="AF244" s="4487"/>
      <c r="AG244" s="4487"/>
      <c r="AH244" s="4487"/>
      <c r="AI244" s="4487"/>
      <c r="AJ244" s="4487"/>
      <c r="AK244" s="4487"/>
      <c r="AL244" s="4487"/>
      <c r="AM244" s="4487"/>
      <c r="AN244" s="4487"/>
      <c r="AO244" s="4487"/>
      <c r="AP244" s="4487"/>
      <c r="AQ244" s="4487"/>
      <c r="AR244" s="4487"/>
      <c r="AS244" s="4487"/>
      <c r="AT244" s="4487"/>
      <c r="AU244" s="4487"/>
      <c r="AV244" s="4487"/>
      <c r="AW244" s="4487"/>
      <c r="AX244" s="4487"/>
      <c r="AY244" s="4487"/>
      <c r="AZ244" s="4487"/>
      <c r="BA244" s="4487"/>
      <c r="BB244" s="4487"/>
      <c r="BC244" s="4487"/>
      <c r="BD244" s="4487"/>
      <c r="BE244" s="4487"/>
      <c r="BF244" s="4487"/>
      <c r="BG244" s="4487"/>
      <c r="BH244" s="4487"/>
    </row>
    <row r="245" spans="10:60" x14ac:dyDescent="0.25">
      <c r="J245"/>
      <c r="K245"/>
      <c r="AA245" s="4487"/>
      <c r="AB245" s="4487"/>
      <c r="AC245" s="4487"/>
      <c r="AD245" s="4487"/>
      <c r="AE245" s="4487"/>
      <c r="AF245" s="4487"/>
      <c r="AG245" s="4487"/>
      <c r="AH245" s="4487"/>
      <c r="AI245" s="4487"/>
      <c r="AJ245" s="4487"/>
      <c r="AK245" s="4487"/>
      <c r="AL245" s="4487"/>
      <c r="AM245" s="4487"/>
      <c r="AN245" s="4487"/>
      <c r="AO245" s="4487"/>
      <c r="AP245" s="4487"/>
      <c r="AQ245" s="4487"/>
      <c r="AR245" s="4487"/>
      <c r="AS245" s="4487"/>
      <c r="AT245" s="4487"/>
      <c r="AU245" s="4487"/>
      <c r="AV245" s="4487"/>
      <c r="AW245" s="4487"/>
      <c r="AX245" s="4487"/>
      <c r="AY245" s="4487"/>
      <c r="AZ245" s="4487"/>
      <c r="BA245" s="4487"/>
      <c r="BB245" s="4487"/>
      <c r="BC245" s="4487"/>
      <c r="BD245" s="4487"/>
      <c r="BE245" s="4487"/>
      <c r="BF245" s="4487"/>
      <c r="BG245" s="4487"/>
      <c r="BH245" s="4487"/>
    </row>
    <row r="246" spans="10:60" x14ac:dyDescent="0.25">
      <c r="J246"/>
      <c r="K246"/>
      <c r="AA246" s="4487"/>
      <c r="AB246" s="4487"/>
      <c r="AC246" s="4487"/>
      <c r="AD246" s="4487"/>
      <c r="AE246" s="4487"/>
      <c r="AF246" s="4487"/>
      <c r="AG246" s="4487"/>
      <c r="AH246" s="4487"/>
      <c r="AI246" s="4487"/>
      <c r="AJ246" s="4487"/>
      <c r="AK246" s="4487"/>
      <c r="AL246" s="4487"/>
      <c r="AM246" s="4487"/>
      <c r="AN246" s="4487"/>
      <c r="AO246" s="4487"/>
      <c r="AP246" s="4487"/>
      <c r="AQ246" s="4487"/>
      <c r="AR246" s="4487"/>
      <c r="AS246" s="4487"/>
      <c r="AT246" s="4487"/>
      <c r="AU246" s="4487"/>
      <c r="AV246" s="4487"/>
      <c r="AW246" s="4487"/>
      <c r="AX246" s="4487"/>
      <c r="AY246" s="4487"/>
      <c r="AZ246" s="4487"/>
      <c r="BA246" s="4487"/>
      <c r="BB246" s="4487"/>
      <c r="BC246" s="4487"/>
      <c r="BD246" s="4487"/>
      <c r="BE246" s="4487"/>
      <c r="BF246" s="4487"/>
      <c r="BG246" s="4487"/>
      <c r="BH246" s="4487"/>
    </row>
    <row r="247" spans="10:60" x14ac:dyDescent="0.25">
      <c r="J247"/>
      <c r="K247"/>
      <c r="AA247" s="4487"/>
      <c r="AB247" s="4487"/>
      <c r="AC247" s="4487"/>
      <c r="AD247" s="4487"/>
      <c r="AE247" s="4487"/>
      <c r="AF247" s="4487"/>
      <c r="AG247" s="4487"/>
      <c r="AH247" s="4487"/>
      <c r="AI247" s="4487"/>
      <c r="AJ247" s="4487"/>
      <c r="AK247" s="4487"/>
      <c r="AL247" s="4487"/>
      <c r="AM247" s="4487"/>
      <c r="AN247" s="4487"/>
      <c r="AO247" s="4487"/>
      <c r="AP247" s="4487"/>
      <c r="AQ247" s="4487"/>
      <c r="AR247" s="4487"/>
      <c r="AS247" s="4487"/>
      <c r="AT247" s="4487"/>
      <c r="AU247" s="4487"/>
      <c r="AV247" s="4487"/>
      <c r="AW247" s="4487"/>
      <c r="AX247" s="4487"/>
      <c r="AY247" s="4487"/>
      <c r="AZ247" s="4487"/>
      <c r="BA247" s="4487"/>
      <c r="BB247" s="4487"/>
      <c r="BC247" s="4487"/>
      <c r="BD247" s="4487"/>
      <c r="BE247" s="4487"/>
      <c r="BF247" s="4487"/>
      <c r="BG247" s="4487"/>
      <c r="BH247" s="4487"/>
    </row>
    <row r="248" spans="10:60" x14ac:dyDescent="0.25">
      <c r="J248"/>
      <c r="K248"/>
      <c r="AA248" s="4487"/>
      <c r="AB248" s="4487"/>
      <c r="AC248" s="4487"/>
      <c r="AD248" s="4487"/>
      <c r="AE248" s="4487"/>
      <c r="AF248" s="4487"/>
      <c r="AG248" s="4487"/>
      <c r="AH248" s="4487"/>
      <c r="AI248" s="4487"/>
      <c r="AJ248" s="4487"/>
      <c r="AK248" s="4487"/>
      <c r="AL248" s="4487"/>
      <c r="AM248" s="4487"/>
      <c r="AN248" s="4487"/>
      <c r="AO248" s="4487"/>
      <c r="AP248" s="4487"/>
      <c r="AQ248" s="4487"/>
      <c r="AR248" s="4487"/>
      <c r="AS248" s="4487"/>
      <c r="AT248" s="4487"/>
      <c r="AU248" s="4487"/>
      <c r="AV248" s="4487"/>
      <c r="AW248" s="4487"/>
      <c r="AX248" s="4487"/>
      <c r="AY248" s="4487"/>
      <c r="AZ248" s="4487"/>
      <c r="BA248" s="4487"/>
      <c r="BB248" s="4487"/>
      <c r="BC248" s="4487"/>
      <c r="BD248" s="4487"/>
      <c r="BE248" s="4487"/>
      <c r="BF248" s="4487"/>
      <c r="BG248" s="4487"/>
      <c r="BH248" s="4487"/>
    </row>
    <row r="249" spans="10:60" x14ac:dyDescent="0.25">
      <c r="J249"/>
      <c r="K249"/>
      <c r="AA249" s="4487"/>
      <c r="AB249" s="4487"/>
      <c r="AC249" s="4487"/>
      <c r="AD249" s="4487"/>
      <c r="AE249" s="4487"/>
      <c r="AF249" s="4487"/>
      <c r="AG249" s="4487"/>
      <c r="AH249" s="4487"/>
      <c r="AI249" s="4487"/>
      <c r="AJ249" s="4487"/>
      <c r="AK249" s="4487"/>
      <c r="AL249" s="4487"/>
      <c r="AM249" s="4487"/>
      <c r="AN249" s="4487"/>
      <c r="AO249" s="4487"/>
      <c r="AP249" s="4487"/>
      <c r="AQ249" s="4487"/>
      <c r="AR249" s="4487"/>
      <c r="AS249" s="4487"/>
      <c r="AT249" s="4487"/>
      <c r="AU249" s="4487"/>
      <c r="AV249" s="4487"/>
      <c r="AW249" s="4487"/>
      <c r="AX249" s="4487"/>
      <c r="AY249" s="4487"/>
      <c r="AZ249" s="4487"/>
      <c r="BA249" s="4487"/>
      <c r="BB249" s="4487"/>
      <c r="BC249" s="4487"/>
      <c r="BD249" s="4487"/>
      <c r="BE249" s="4487"/>
      <c r="BF249" s="4487"/>
      <c r="BG249" s="4487"/>
      <c r="BH249" s="4487"/>
    </row>
    <row r="250" spans="10:60" x14ac:dyDescent="0.25">
      <c r="J250"/>
      <c r="K250"/>
      <c r="AA250" s="4487"/>
      <c r="AB250" s="4487"/>
      <c r="AC250" s="4487"/>
      <c r="AD250" s="4487"/>
      <c r="AE250" s="4487"/>
      <c r="AF250" s="4487"/>
      <c r="AG250" s="4487"/>
      <c r="AH250" s="4487"/>
      <c r="AI250" s="4487"/>
      <c r="AJ250" s="4487"/>
      <c r="AK250" s="4487"/>
      <c r="AL250" s="4487"/>
      <c r="AM250" s="4487"/>
      <c r="AN250" s="4487"/>
      <c r="AO250" s="4487"/>
      <c r="AP250" s="4487"/>
      <c r="AQ250" s="4487"/>
      <c r="AR250" s="4487"/>
      <c r="AS250" s="4487"/>
      <c r="AT250" s="4487"/>
      <c r="AU250" s="4487"/>
      <c r="AV250" s="4487"/>
      <c r="AW250" s="4487"/>
      <c r="AX250" s="4487"/>
      <c r="AY250" s="4487"/>
      <c r="AZ250" s="4487"/>
      <c r="BA250" s="4487"/>
      <c r="BB250" s="4487"/>
      <c r="BC250" s="4487"/>
      <c r="BD250" s="4487"/>
      <c r="BE250" s="4487"/>
      <c r="BF250" s="4487"/>
      <c r="BG250" s="4487"/>
      <c r="BH250" s="4487"/>
    </row>
    <row r="251" spans="10:60" x14ac:dyDescent="0.25">
      <c r="J251"/>
      <c r="K251"/>
      <c r="AA251" s="4487"/>
      <c r="AB251" s="4487"/>
      <c r="AC251" s="4487"/>
      <c r="AD251" s="4487"/>
      <c r="AE251" s="4487"/>
      <c r="AF251" s="4487"/>
      <c r="AG251" s="4487"/>
      <c r="AH251" s="4487"/>
      <c r="AI251" s="4487"/>
      <c r="AJ251" s="4487"/>
      <c r="AK251" s="4487"/>
      <c r="AL251" s="4487"/>
      <c r="AM251" s="4487"/>
      <c r="AN251" s="4487"/>
      <c r="AO251" s="4487"/>
      <c r="AP251" s="4487"/>
      <c r="AQ251" s="4487"/>
      <c r="AR251" s="4487"/>
      <c r="AS251" s="4487"/>
      <c r="AT251" s="4487"/>
      <c r="AU251" s="4487"/>
      <c r="AV251" s="4487"/>
      <c r="AW251" s="4487"/>
      <c r="AX251" s="4487"/>
      <c r="AY251" s="4487"/>
      <c r="AZ251" s="4487"/>
      <c r="BA251" s="4487"/>
      <c r="BB251" s="4487"/>
      <c r="BC251" s="4487"/>
      <c r="BD251" s="4487"/>
      <c r="BE251" s="4487"/>
      <c r="BF251" s="4487"/>
      <c r="BG251" s="4487"/>
      <c r="BH251" s="4487"/>
    </row>
    <row r="252" spans="10:60" x14ac:dyDescent="0.25">
      <c r="J252"/>
      <c r="K252"/>
      <c r="AA252" s="4487"/>
      <c r="AB252" s="4487"/>
      <c r="AC252" s="4487"/>
      <c r="AD252" s="4487"/>
      <c r="AE252" s="4487"/>
      <c r="AF252" s="4487"/>
      <c r="AG252" s="4487"/>
      <c r="AH252" s="4487"/>
      <c r="AI252" s="4487"/>
      <c r="AJ252" s="4487"/>
      <c r="AK252" s="4487"/>
      <c r="AL252" s="4487"/>
      <c r="AM252" s="4487"/>
      <c r="AN252" s="4487"/>
      <c r="AO252" s="4487"/>
      <c r="AP252" s="4487"/>
      <c r="AQ252" s="4487"/>
      <c r="AR252" s="4487"/>
      <c r="AS252" s="4487"/>
      <c r="AT252" s="4487"/>
      <c r="AU252" s="4487"/>
      <c r="AV252" s="4487"/>
      <c r="AW252" s="4487"/>
      <c r="AX252" s="4487"/>
      <c r="AY252" s="4487"/>
      <c r="AZ252" s="4487"/>
      <c r="BA252" s="4487"/>
      <c r="BB252" s="4487"/>
      <c r="BC252" s="4487"/>
      <c r="BD252" s="4487"/>
      <c r="BE252" s="4487"/>
      <c r="BF252" s="4487"/>
      <c r="BG252" s="4487"/>
      <c r="BH252" s="4487"/>
    </row>
    <row r="253" spans="10:60" x14ac:dyDescent="0.25">
      <c r="J253"/>
      <c r="K253"/>
      <c r="AA253" s="4487"/>
      <c r="AB253" s="4487"/>
      <c r="AC253" s="4487"/>
      <c r="AD253" s="4487"/>
      <c r="AE253" s="4487"/>
      <c r="AF253" s="4487"/>
      <c r="AG253" s="4487"/>
      <c r="AH253" s="4487"/>
      <c r="AI253" s="4487"/>
      <c r="AJ253" s="4487"/>
      <c r="AK253" s="4487"/>
      <c r="AL253" s="4487"/>
      <c r="AM253" s="4487"/>
      <c r="AN253" s="4487"/>
      <c r="AO253" s="4487"/>
      <c r="AP253" s="4487"/>
      <c r="AQ253" s="4487"/>
      <c r="AR253" s="4487"/>
      <c r="AS253" s="4487"/>
      <c r="AT253" s="4487"/>
      <c r="AU253" s="4487"/>
      <c r="AV253" s="4487"/>
      <c r="AW253" s="4487"/>
      <c r="AX253" s="4487"/>
      <c r="AY253" s="4487"/>
      <c r="AZ253" s="4487"/>
      <c r="BA253" s="4487"/>
      <c r="BB253" s="4487"/>
      <c r="BC253" s="4487"/>
      <c r="BD253" s="4487"/>
      <c r="BE253" s="4487"/>
      <c r="BF253" s="4487"/>
      <c r="BG253" s="4487"/>
      <c r="BH253" s="4487"/>
    </row>
    <row r="254" spans="10:60" x14ac:dyDescent="0.25">
      <c r="J254"/>
      <c r="K254"/>
      <c r="AA254" s="4487"/>
      <c r="AB254" s="4487"/>
      <c r="AC254" s="4487"/>
      <c r="AD254" s="4487"/>
      <c r="AE254" s="4487"/>
      <c r="AF254" s="4487"/>
      <c r="AG254" s="4487"/>
      <c r="AH254" s="4487"/>
      <c r="AI254" s="4487"/>
      <c r="AJ254" s="4487"/>
      <c r="AK254" s="4487"/>
      <c r="AL254" s="4487"/>
      <c r="AM254" s="4487"/>
      <c r="AN254" s="4487"/>
      <c r="AO254" s="4487"/>
      <c r="AP254" s="4487"/>
      <c r="AQ254" s="4487"/>
      <c r="AR254" s="4487"/>
      <c r="AS254" s="4487"/>
      <c r="AT254" s="4487"/>
      <c r="AU254" s="4487"/>
      <c r="AV254" s="4487"/>
      <c r="AW254" s="4487"/>
      <c r="AX254" s="4487"/>
      <c r="AY254" s="4487"/>
      <c r="AZ254" s="4487"/>
      <c r="BA254" s="4487"/>
      <c r="BB254" s="4487"/>
      <c r="BC254" s="4487"/>
      <c r="BD254" s="4487"/>
      <c r="BE254" s="4487"/>
      <c r="BF254" s="4487"/>
      <c r="BG254" s="4487"/>
      <c r="BH254" s="4487"/>
    </row>
    <row r="255" spans="10:60" x14ac:dyDescent="0.25">
      <c r="J255"/>
      <c r="K255"/>
      <c r="AA255" s="4487"/>
      <c r="AB255" s="4487"/>
      <c r="AC255" s="4487"/>
      <c r="AD255" s="4487"/>
      <c r="AE255" s="4487"/>
      <c r="AF255" s="4487"/>
      <c r="AG255" s="4487"/>
      <c r="AH255" s="4487"/>
      <c r="AI255" s="4487"/>
      <c r="AJ255" s="4487"/>
      <c r="AK255" s="4487"/>
      <c r="AL255" s="4487"/>
      <c r="AM255" s="4487"/>
      <c r="AN255" s="4487"/>
      <c r="AO255" s="4487"/>
      <c r="AP255" s="4487"/>
      <c r="AQ255" s="4487"/>
      <c r="AR255" s="4487"/>
      <c r="AS255" s="4487"/>
      <c r="AT255" s="4487"/>
      <c r="AU255" s="4487"/>
      <c r="AV255" s="4487"/>
      <c r="AW255" s="4487"/>
      <c r="AX255" s="4487"/>
      <c r="AY255" s="4487"/>
      <c r="AZ255" s="4487"/>
      <c r="BA255" s="4487"/>
      <c r="BB255" s="4487"/>
      <c r="BC255" s="4487"/>
      <c r="BD255" s="4487"/>
      <c r="BE255" s="4487"/>
      <c r="BF255" s="4487"/>
      <c r="BG255" s="4487"/>
      <c r="BH255" s="4487"/>
    </row>
    <row r="256" spans="10:60" x14ac:dyDescent="0.25">
      <c r="J256"/>
      <c r="K256"/>
      <c r="AA256" s="4487"/>
      <c r="AB256" s="4487"/>
      <c r="AC256" s="4487"/>
      <c r="AD256" s="4487"/>
      <c r="AE256" s="4487"/>
      <c r="AF256" s="4487"/>
      <c r="AG256" s="4487"/>
      <c r="AH256" s="4487"/>
      <c r="AI256" s="4487"/>
      <c r="AJ256" s="4487"/>
      <c r="AK256" s="4487"/>
      <c r="AL256" s="4487"/>
      <c r="AM256" s="4487"/>
      <c r="AN256" s="4487"/>
      <c r="AO256" s="4487"/>
      <c r="AP256" s="4487"/>
      <c r="AQ256" s="4487"/>
      <c r="AR256" s="4487"/>
      <c r="AS256" s="4487"/>
      <c r="AT256" s="4487"/>
      <c r="AU256" s="4487"/>
      <c r="AV256" s="4487"/>
      <c r="AW256" s="4487"/>
      <c r="AX256" s="4487"/>
      <c r="AY256" s="4487"/>
      <c r="AZ256" s="4487"/>
      <c r="BA256" s="4487"/>
      <c r="BB256" s="4487"/>
      <c r="BC256" s="4487"/>
      <c r="BD256" s="4487"/>
      <c r="BE256" s="4487"/>
      <c r="BF256" s="4487"/>
      <c r="BG256" s="4487"/>
      <c r="BH256" s="4487"/>
    </row>
    <row r="257" spans="10:60" x14ac:dyDescent="0.25">
      <c r="J257"/>
      <c r="K257"/>
      <c r="AA257" s="4487"/>
      <c r="AB257" s="4487"/>
      <c r="AC257" s="4487"/>
      <c r="AD257" s="4487"/>
      <c r="AE257" s="4487"/>
      <c r="AF257" s="4487"/>
      <c r="AG257" s="4487"/>
      <c r="AH257" s="4487"/>
      <c r="AI257" s="4487"/>
      <c r="AJ257" s="4487"/>
      <c r="AK257" s="4487"/>
      <c r="AL257" s="4487"/>
      <c r="AM257" s="4487"/>
      <c r="AN257" s="4487"/>
      <c r="AO257" s="4487"/>
      <c r="AP257" s="4487"/>
      <c r="AQ257" s="4487"/>
      <c r="AR257" s="4487"/>
      <c r="AS257" s="4487"/>
      <c r="AT257" s="4487"/>
      <c r="AU257" s="4487"/>
      <c r="AV257" s="4487"/>
      <c r="AW257" s="4487"/>
      <c r="AX257" s="4487"/>
      <c r="AY257" s="4487"/>
      <c r="AZ257" s="4487"/>
      <c r="BA257" s="4487"/>
      <c r="BB257" s="4487"/>
      <c r="BC257" s="4487"/>
      <c r="BD257" s="4487"/>
      <c r="BE257" s="4487"/>
      <c r="BF257" s="4487"/>
      <c r="BG257" s="4487"/>
      <c r="BH257" s="4487"/>
    </row>
    <row r="258" spans="10:60" x14ac:dyDescent="0.25">
      <c r="J258"/>
      <c r="K258"/>
      <c r="AA258" s="4487"/>
      <c r="AB258" s="4487"/>
      <c r="AC258" s="4487"/>
      <c r="AD258" s="4487"/>
      <c r="AE258" s="4487"/>
      <c r="AF258" s="4487"/>
      <c r="AG258" s="4487"/>
      <c r="AH258" s="4487"/>
      <c r="AI258" s="4487"/>
      <c r="AJ258" s="4487"/>
      <c r="AK258" s="4487"/>
      <c r="AL258" s="4487"/>
      <c r="AM258" s="4487"/>
      <c r="AN258" s="4487"/>
      <c r="AO258" s="4487"/>
      <c r="AP258" s="4487"/>
      <c r="AQ258" s="4487"/>
      <c r="AR258" s="4487"/>
      <c r="AS258" s="4487"/>
      <c r="AT258" s="4487"/>
      <c r="AU258" s="4487"/>
      <c r="AV258" s="4487"/>
      <c r="AW258" s="4487"/>
      <c r="AX258" s="4487"/>
      <c r="AY258" s="4487"/>
      <c r="AZ258" s="4487"/>
      <c r="BA258" s="4487"/>
      <c r="BB258" s="4487"/>
      <c r="BC258" s="4487"/>
      <c r="BD258" s="4487"/>
      <c r="BE258" s="4487"/>
      <c r="BF258" s="4487"/>
      <c r="BG258" s="4487"/>
      <c r="BH258" s="4487"/>
    </row>
    <row r="259" spans="10:60" x14ac:dyDescent="0.25">
      <c r="J259"/>
      <c r="K259"/>
      <c r="AA259" s="4487"/>
      <c r="AB259" s="4487"/>
      <c r="AC259" s="4487"/>
      <c r="AD259" s="4487"/>
      <c r="AE259" s="4487"/>
      <c r="AF259" s="4487"/>
      <c r="AG259" s="4487"/>
      <c r="AH259" s="4487"/>
      <c r="AI259" s="4487"/>
      <c r="AJ259" s="4487"/>
      <c r="AK259" s="4487"/>
      <c r="AL259" s="4487"/>
      <c r="AM259" s="4487"/>
      <c r="AN259" s="4487"/>
      <c r="AO259" s="4487"/>
      <c r="AP259" s="4487"/>
      <c r="AQ259" s="4487"/>
      <c r="AR259" s="4487"/>
      <c r="AS259" s="4487"/>
      <c r="AT259" s="4487"/>
      <c r="AU259" s="4487"/>
      <c r="AV259" s="4487"/>
      <c r="AW259" s="4487"/>
      <c r="AX259" s="4487"/>
      <c r="AY259" s="4487"/>
      <c r="AZ259" s="4487"/>
      <c r="BA259" s="4487"/>
      <c r="BB259" s="4487"/>
      <c r="BC259" s="4487"/>
      <c r="BD259" s="4487"/>
      <c r="BE259" s="4487"/>
      <c r="BF259" s="4487"/>
      <c r="BG259" s="4487"/>
      <c r="BH259" s="4487"/>
    </row>
    <row r="260" spans="10:60" x14ac:dyDescent="0.25">
      <c r="J260"/>
      <c r="K260"/>
      <c r="AA260" s="4487"/>
      <c r="AB260" s="4487"/>
      <c r="AC260" s="4487"/>
      <c r="AD260" s="4487"/>
      <c r="AE260" s="4487"/>
      <c r="AF260" s="4487"/>
      <c r="AG260" s="4487"/>
      <c r="AH260" s="4487"/>
      <c r="AI260" s="4487"/>
      <c r="AJ260" s="4487"/>
      <c r="AK260" s="4487"/>
      <c r="AL260" s="4487"/>
      <c r="AM260" s="4487"/>
      <c r="AN260" s="4487"/>
      <c r="AO260" s="4487"/>
      <c r="AP260" s="4487"/>
      <c r="AQ260" s="4487"/>
      <c r="AR260" s="4487"/>
      <c r="AS260" s="4487"/>
      <c r="AT260" s="4487"/>
      <c r="AU260" s="4487"/>
      <c r="AV260" s="4487"/>
      <c r="AW260" s="4487"/>
      <c r="AX260" s="4487"/>
      <c r="AY260" s="4487"/>
      <c r="AZ260" s="4487"/>
      <c r="BA260" s="4487"/>
      <c r="BB260" s="4487"/>
      <c r="BC260" s="4487"/>
      <c r="BD260" s="4487"/>
      <c r="BE260" s="4487"/>
      <c r="BF260" s="4487"/>
      <c r="BG260" s="4487"/>
      <c r="BH260" s="4487"/>
    </row>
    <row r="261" spans="10:60" x14ac:dyDescent="0.25">
      <c r="J261"/>
      <c r="K261"/>
      <c r="AA261" s="4487"/>
      <c r="AB261" s="4487"/>
      <c r="AC261" s="4487"/>
      <c r="AD261" s="4487"/>
      <c r="AE261" s="4487"/>
      <c r="AF261" s="4487"/>
      <c r="AG261" s="4487"/>
      <c r="AH261" s="4487"/>
      <c r="AI261" s="4487"/>
      <c r="AJ261" s="4487"/>
      <c r="AK261" s="4487"/>
      <c r="AL261" s="4487"/>
      <c r="AM261" s="4487"/>
      <c r="AN261" s="4487"/>
      <c r="AO261" s="4487"/>
      <c r="AP261" s="4487"/>
      <c r="AQ261" s="4487"/>
      <c r="AR261" s="4487"/>
      <c r="AS261" s="4487"/>
      <c r="AT261" s="4487"/>
      <c r="AU261" s="4487"/>
      <c r="AV261" s="4487"/>
      <c r="AW261" s="4487"/>
      <c r="AX261" s="4487"/>
      <c r="AY261" s="4487"/>
      <c r="AZ261" s="4487"/>
      <c r="BA261" s="4487"/>
      <c r="BB261" s="4487"/>
      <c r="BC261" s="4487"/>
      <c r="BD261" s="4487"/>
      <c r="BE261" s="4487"/>
      <c r="BF261" s="4487"/>
      <c r="BG261" s="4487"/>
      <c r="BH261" s="4487"/>
    </row>
    <row r="262" spans="10:60" x14ac:dyDescent="0.25">
      <c r="J262"/>
      <c r="K262"/>
      <c r="AA262" s="4487"/>
      <c r="AB262" s="4487"/>
      <c r="AC262" s="4487"/>
      <c r="AD262" s="4487"/>
      <c r="AE262" s="4487"/>
      <c r="AF262" s="4487"/>
      <c r="AG262" s="4487"/>
      <c r="AH262" s="4487"/>
      <c r="AI262" s="4487"/>
      <c r="AJ262" s="4487"/>
      <c r="AK262" s="4487"/>
      <c r="AL262" s="4487"/>
      <c r="AM262" s="4487"/>
      <c r="AN262" s="4487"/>
      <c r="AO262" s="4487"/>
      <c r="AP262" s="4487"/>
      <c r="AQ262" s="4487"/>
      <c r="AR262" s="4487"/>
      <c r="AS262" s="4487"/>
      <c r="AT262" s="4487"/>
      <c r="AU262" s="4487"/>
      <c r="AV262" s="4487"/>
      <c r="AW262" s="4487"/>
      <c r="AX262" s="4487"/>
      <c r="AY262" s="4487"/>
      <c r="AZ262" s="4487"/>
      <c r="BA262" s="4487"/>
      <c r="BB262" s="4487"/>
      <c r="BC262" s="4487"/>
      <c r="BD262" s="4487"/>
      <c r="BE262" s="4487"/>
      <c r="BF262" s="4487"/>
      <c r="BG262" s="4487"/>
      <c r="BH262" s="4487"/>
    </row>
    <row r="263" spans="10:60" x14ac:dyDescent="0.25">
      <c r="J263"/>
      <c r="K263"/>
      <c r="AA263" s="4487"/>
      <c r="AB263" s="4487"/>
      <c r="AC263" s="4487"/>
      <c r="AD263" s="4487"/>
      <c r="AE263" s="4487"/>
      <c r="AF263" s="4487"/>
      <c r="AG263" s="4487"/>
      <c r="AH263" s="4487"/>
      <c r="AI263" s="4487"/>
      <c r="AJ263" s="4487"/>
      <c r="AK263" s="4487"/>
      <c r="AL263" s="4487"/>
      <c r="AM263" s="4487"/>
      <c r="AN263" s="4487"/>
      <c r="AO263" s="4487"/>
      <c r="AP263" s="4487"/>
      <c r="AQ263" s="4487"/>
      <c r="AR263" s="4487"/>
      <c r="AS263" s="4487"/>
      <c r="AT263" s="4487"/>
      <c r="AU263" s="4487"/>
      <c r="AV263" s="4487"/>
      <c r="AW263" s="4487"/>
      <c r="AX263" s="4487"/>
      <c r="AY263" s="4487"/>
      <c r="AZ263" s="4487"/>
      <c r="BA263" s="4487"/>
      <c r="BB263" s="4487"/>
      <c r="BC263" s="4487"/>
      <c r="BD263" s="4487"/>
      <c r="BE263" s="4487"/>
      <c r="BF263" s="4487"/>
      <c r="BG263" s="4487"/>
      <c r="BH263" s="4487"/>
    </row>
    <row r="264" spans="10:60" x14ac:dyDescent="0.25">
      <c r="J264"/>
      <c r="K264"/>
      <c r="AA264" s="4487"/>
      <c r="AB264" s="4487"/>
      <c r="AC264" s="4487"/>
      <c r="AD264" s="4487"/>
      <c r="AE264" s="4487"/>
      <c r="AF264" s="4487"/>
      <c r="AG264" s="4487"/>
      <c r="AH264" s="4487"/>
      <c r="AI264" s="4487"/>
      <c r="AJ264" s="4487"/>
      <c r="AK264" s="4487"/>
      <c r="AL264" s="4487"/>
      <c r="AM264" s="4487"/>
      <c r="AN264" s="4487"/>
      <c r="AO264" s="4487"/>
      <c r="AP264" s="4487"/>
      <c r="AQ264" s="4487"/>
      <c r="AR264" s="4487"/>
      <c r="AS264" s="4487"/>
      <c r="AT264" s="4487"/>
      <c r="AU264" s="4487"/>
      <c r="AV264" s="4487"/>
      <c r="AW264" s="4487"/>
      <c r="AX264" s="4487"/>
      <c r="AY264" s="4487"/>
      <c r="AZ264" s="4487"/>
      <c r="BA264" s="4487"/>
      <c r="BB264" s="4487"/>
      <c r="BC264" s="4487"/>
      <c r="BD264" s="4487"/>
      <c r="BE264" s="4487"/>
      <c r="BF264" s="4487"/>
      <c r="BG264" s="4487"/>
      <c r="BH264" s="4487"/>
    </row>
    <row r="265" spans="10:60" x14ac:dyDescent="0.25">
      <c r="J265"/>
      <c r="K265"/>
      <c r="AA265" s="4487"/>
      <c r="AB265" s="4487"/>
      <c r="AC265" s="4487"/>
      <c r="AD265" s="4487"/>
      <c r="AE265" s="4487"/>
      <c r="AF265" s="4487"/>
      <c r="AG265" s="4487"/>
      <c r="AH265" s="4487"/>
      <c r="AI265" s="4487"/>
      <c r="AJ265" s="4487"/>
      <c r="AK265" s="4487"/>
      <c r="AL265" s="4487"/>
      <c r="AM265" s="4487"/>
      <c r="AN265" s="4487"/>
      <c r="AO265" s="4487"/>
      <c r="AP265" s="4487"/>
      <c r="AQ265" s="4487"/>
      <c r="AR265" s="4487"/>
      <c r="AS265" s="4487"/>
      <c r="AT265" s="4487"/>
      <c r="AU265" s="4487"/>
      <c r="AV265" s="4487"/>
      <c r="AW265" s="4487"/>
      <c r="AX265" s="4487"/>
      <c r="AY265" s="4487"/>
      <c r="AZ265" s="4487"/>
      <c r="BA265" s="4487"/>
      <c r="BB265" s="4487"/>
      <c r="BC265" s="4487"/>
      <c r="BD265" s="4487"/>
      <c r="BE265" s="4487"/>
      <c r="BF265" s="4487"/>
      <c r="BG265" s="4487"/>
      <c r="BH265" s="4487"/>
    </row>
    <row r="266" spans="10:60" x14ac:dyDescent="0.25">
      <c r="J266"/>
      <c r="K266"/>
      <c r="AA266" s="4487"/>
      <c r="AB266" s="4487"/>
      <c r="AC266" s="4487"/>
      <c r="AD266" s="4487"/>
      <c r="AE266" s="4487"/>
      <c r="AF266" s="4487"/>
      <c r="AG266" s="4487"/>
      <c r="AH266" s="4487"/>
      <c r="AI266" s="4487"/>
      <c r="AJ266" s="4487"/>
      <c r="AK266" s="4487"/>
      <c r="AL266" s="4487"/>
      <c r="AM266" s="4487"/>
      <c r="AN266" s="4487"/>
      <c r="AO266" s="4487"/>
      <c r="AP266" s="4487"/>
      <c r="AQ266" s="4487"/>
      <c r="AR266" s="4487"/>
      <c r="AS266" s="4487"/>
      <c r="AT266" s="4487"/>
      <c r="AU266" s="4487"/>
      <c r="AV266" s="4487"/>
      <c r="AW266" s="4487"/>
      <c r="AX266" s="4487"/>
      <c r="AY266" s="4487"/>
      <c r="AZ266" s="4487"/>
      <c r="BA266" s="4487"/>
      <c r="BB266" s="4487"/>
      <c r="BC266" s="4487"/>
      <c r="BD266" s="4487"/>
      <c r="BE266" s="4487"/>
      <c r="BF266" s="4487"/>
      <c r="BG266" s="4487"/>
      <c r="BH266" s="4487"/>
    </row>
    <row r="267" spans="10:60" x14ac:dyDescent="0.25">
      <c r="J267"/>
      <c r="K267"/>
      <c r="AA267" s="4487"/>
      <c r="AB267" s="4487"/>
      <c r="AC267" s="4487"/>
      <c r="AD267" s="4487"/>
      <c r="AE267" s="4487"/>
      <c r="AF267" s="4487"/>
      <c r="AG267" s="4487"/>
      <c r="AH267" s="4487"/>
      <c r="AI267" s="4487"/>
      <c r="AJ267" s="4487"/>
      <c r="AK267" s="4487"/>
      <c r="AL267" s="4487"/>
      <c r="AM267" s="4487"/>
      <c r="AN267" s="4487"/>
      <c r="AO267" s="4487"/>
      <c r="AP267" s="4487"/>
      <c r="AQ267" s="4487"/>
      <c r="AR267" s="4487"/>
      <c r="AS267" s="4487"/>
      <c r="AT267" s="4487"/>
      <c r="AU267" s="4487"/>
      <c r="AV267" s="4487"/>
      <c r="AW267" s="4487"/>
      <c r="AX267" s="4487"/>
      <c r="AY267" s="4487"/>
      <c r="AZ267" s="4487"/>
      <c r="BA267" s="4487"/>
      <c r="BB267" s="4487"/>
      <c r="BC267" s="4487"/>
      <c r="BD267" s="4487"/>
      <c r="BE267" s="4487"/>
      <c r="BF267" s="4487"/>
      <c r="BG267" s="4487"/>
      <c r="BH267" s="4487"/>
    </row>
    <row r="268" spans="10:60" x14ac:dyDescent="0.25">
      <c r="J268"/>
      <c r="K268"/>
      <c r="AA268" s="4487"/>
      <c r="AB268" s="4487"/>
      <c r="AC268" s="4487"/>
      <c r="AD268" s="4487"/>
      <c r="AE268" s="4487"/>
      <c r="AF268" s="4487"/>
      <c r="AG268" s="4487"/>
      <c r="AH268" s="4487"/>
      <c r="AI268" s="4487"/>
      <c r="AJ268" s="4487"/>
      <c r="AK268" s="4487"/>
      <c r="AL268" s="4487"/>
      <c r="AM268" s="4487"/>
      <c r="AN268" s="4487"/>
      <c r="AO268" s="4487"/>
      <c r="AP268" s="4487"/>
      <c r="AQ268" s="4487"/>
      <c r="AR268" s="4487"/>
      <c r="AS268" s="4487"/>
      <c r="AT268" s="4487"/>
      <c r="AU268" s="4487"/>
      <c r="AV268" s="4487"/>
      <c r="AW268" s="4487"/>
      <c r="AX268" s="4487"/>
      <c r="AY268" s="4487"/>
      <c r="AZ268" s="4487"/>
      <c r="BA268" s="4487"/>
      <c r="BB268" s="4487"/>
      <c r="BC268" s="4487"/>
      <c r="BD268" s="4487"/>
      <c r="BE268" s="4487"/>
      <c r="BF268" s="4487"/>
      <c r="BG268" s="4487"/>
      <c r="BH268" s="4487"/>
    </row>
    <row r="269" spans="10:60" x14ac:dyDescent="0.25">
      <c r="J269"/>
      <c r="K269"/>
      <c r="AA269" s="4487"/>
      <c r="AB269" s="4487"/>
      <c r="AC269" s="4487"/>
      <c r="AD269" s="4487"/>
      <c r="AE269" s="4487"/>
      <c r="AF269" s="4487"/>
      <c r="AG269" s="4487"/>
      <c r="AH269" s="4487"/>
      <c r="AI269" s="4487"/>
      <c r="AJ269" s="4487"/>
      <c r="AK269" s="4487"/>
      <c r="AL269" s="4487"/>
      <c r="AM269" s="4487"/>
      <c r="AN269" s="4487"/>
      <c r="AO269" s="4487"/>
      <c r="AP269" s="4487"/>
      <c r="AQ269" s="4487"/>
      <c r="AR269" s="4487"/>
      <c r="AS269" s="4487"/>
      <c r="AT269" s="4487"/>
      <c r="AU269" s="4487"/>
      <c r="AV269" s="4487"/>
      <c r="AW269" s="4487"/>
      <c r="AX269" s="4487"/>
      <c r="AY269" s="4487"/>
      <c r="AZ269" s="4487"/>
      <c r="BA269" s="4487"/>
      <c r="BB269" s="4487"/>
      <c r="BC269" s="4487"/>
      <c r="BD269" s="4487"/>
      <c r="BE269" s="4487"/>
      <c r="BF269" s="4487"/>
      <c r="BG269" s="4487"/>
      <c r="BH269" s="4487"/>
    </row>
    <row r="270" spans="10:60" x14ac:dyDescent="0.25">
      <c r="J270"/>
      <c r="K270"/>
      <c r="AA270" s="4487"/>
      <c r="AB270" s="4487"/>
      <c r="AC270" s="4487"/>
      <c r="AD270" s="4487"/>
      <c r="AE270" s="4487"/>
      <c r="AF270" s="4487"/>
      <c r="AG270" s="4487"/>
      <c r="AH270" s="4487"/>
      <c r="AI270" s="4487"/>
      <c r="AJ270" s="4487"/>
      <c r="AK270" s="4487"/>
      <c r="AL270" s="4487"/>
      <c r="AM270" s="4487"/>
      <c r="AN270" s="4487"/>
      <c r="AO270" s="4487"/>
      <c r="AP270" s="4487"/>
      <c r="AQ270" s="4487"/>
      <c r="AR270" s="4487"/>
      <c r="AS270" s="4487"/>
      <c r="AT270" s="4487"/>
      <c r="AU270" s="4487"/>
      <c r="AV270" s="4487"/>
      <c r="AW270" s="4487"/>
      <c r="AX270" s="4487"/>
      <c r="AY270" s="4487"/>
      <c r="AZ270" s="4487"/>
      <c r="BA270" s="4487"/>
      <c r="BB270" s="4487"/>
      <c r="BC270" s="4487"/>
      <c r="BD270" s="4487"/>
      <c r="BE270" s="4487"/>
      <c r="BF270" s="4487"/>
      <c r="BG270" s="4487"/>
      <c r="BH270" s="4487"/>
    </row>
    <row r="271" spans="10:60" x14ac:dyDescent="0.25">
      <c r="J271"/>
      <c r="K271"/>
      <c r="AA271" s="4487"/>
      <c r="AB271" s="4487"/>
      <c r="AC271" s="4487"/>
      <c r="AD271" s="4487"/>
      <c r="AE271" s="4487"/>
      <c r="AF271" s="4487"/>
      <c r="AG271" s="4487"/>
      <c r="AH271" s="4487"/>
      <c r="AI271" s="4487"/>
      <c r="AJ271" s="4487"/>
      <c r="AK271" s="4487"/>
      <c r="AL271" s="4487"/>
      <c r="AM271" s="4487"/>
      <c r="AN271" s="4487"/>
      <c r="AO271" s="4487"/>
      <c r="AP271" s="4487"/>
      <c r="AQ271" s="4487"/>
      <c r="AR271" s="4487"/>
      <c r="AS271" s="4487"/>
      <c r="AT271" s="4487"/>
      <c r="AU271" s="4487"/>
      <c r="AV271" s="4487"/>
      <c r="AW271" s="4487"/>
      <c r="AX271" s="4487"/>
      <c r="AY271" s="4487"/>
      <c r="AZ271" s="4487"/>
      <c r="BA271" s="4487"/>
      <c r="BB271" s="4487"/>
      <c r="BC271" s="4487"/>
      <c r="BD271" s="4487"/>
      <c r="BE271" s="4487"/>
      <c r="BF271" s="4487"/>
      <c r="BG271" s="4487"/>
      <c r="BH271" s="4487"/>
    </row>
    <row r="272" spans="10:60" x14ac:dyDescent="0.25">
      <c r="J272"/>
      <c r="K272"/>
      <c r="AA272" s="4487"/>
      <c r="AB272" s="4487"/>
      <c r="AC272" s="4487"/>
      <c r="AD272" s="4487"/>
      <c r="AE272" s="4487"/>
      <c r="AF272" s="4487"/>
      <c r="AG272" s="4487"/>
      <c r="AH272" s="4487"/>
      <c r="AI272" s="4487"/>
      <c r="AJ272" s="4487"/>
      <c r="AK272" s="4487"/>
      <c r="AL272" s="4487"/>
      <c r="AM272" s="4487"/>
      <c r="AN272" s="4487"/>
      <c r="AO272" s="4487"/>
      <c r="AP272" s="4487"/>
      <c r="AQ272" s="4487"/>
      <c r="AR272" s="4487"/>
      <c r="AS272" s="4487"/>
      <c r="AT272" s="4487"/>
      <c r="AU272" s="4487"/>
      <c r="AV272" s="4487"/>
      <c r="AW272" s="4487"/>
      <c r="AX272" s="4487"/>
      <c r="AY272" s="4487"/>
      <c r="AZ272" s="4487"/>
      <c r="BA272" s="4487"/>
      <c r="BB272" s="4487"/>
      <c r="BC272" s="4487"/>
      <c r="BD272" s="4487"/>
      <c r="BE272" s="4487"/>
      <c r="BF272" s="4487"/>
      <c r="BG272" s="4487"/>
      <c r="BH272" s="4487"/>
    </row>
    <row r="273" spans="10:60" x14ac:dyDescent="0.25">
      <c r="J273"/>
      <c r="K273"/>
      <c r="AA273" s="4487"/>
      <c r="AB273" s="4487"/>
      <c r="AC273" s="4487"/>
      <c r="AD273" s="4487"/>
      <c r="AE273" s="4487"/>
      <c r="AF273" s="4487"/>
      <c r="AG273" s="4487"/>
      <c r="AH273" s="4487"/>
      <c r="AI273" s="4487"/>
      <c r="AJ273" s="4487"/>
      <c r="AK273" s="4487"/>
      <c r="AL273" s="4487"/>
      <c r="AM273" s="4487"/>
      <c r="AN273" s="4487"/>
      <c r="AO273" s="4487"/>
      <c r="AP273" s="4487"/>
      <c r="AQ273" s="4487"/>
      <c r="AR273" s="4487"/>
      <c r="AS273" s="4487"/>
      <c r="AT273" s="4487"/>
      <c r="AU273" s="4487"/>
      <c r="AV273" s="4487"/>
      <c r="AW273" s="4487"/>
      <c r="AX273" s="4487"/>
      <c r="AY273" s="4487"/>
      <c r="AZ273" s="4487"/>
      <c r="BA273" s="4487"/>
      <c r="BB273" s="4487"/>
      <c r="BC273" s="4487"/>
      <c r="BD273" s="4487"/>
      <c r="BE273" s="4487"/>
      <c r="BF273" s="4487"/>
      <c r="BG273" s="4487"/>
      <c r="BH273" s="4487"/>
    </row>
    <row r="274" spans="10:60" x14ac:dyDescent="0.25">
      <c r="J274"/>
      <c r="K274"/>
      <c r="AA274" s="4487"/>
      <c r="AB274" s="4487"/>
      <c r="AC274" s="4487"/>
      <c r="AD274" s="4487"/>
      <c r="AE274" s="4487"/>
      <c r="AF274" s="4487"/>
      <c r="AG274" s="4487"/>
      <c r="AH274" s="4487"/>
      <c r="AI274" s="4487"/>
      <c r="AJ274" s="4487"/>
      <c r="AK274" s="4487"/>
      <c r="AL274" s="4487"/>
      <c r="AM274" s="4487"/>
      <c r="AN274" s="4487"/>
      <c r="AO274" s="4487"/>
      <c r="AP274" s="4487"/>
      <c r="AQ274" s="4487"/>
      <c r="AR274" s="4487"/>
      <c r="AS274" s="4487"/>
      <c r="AT274" s="4487"/>
      <c r="AU274" s="4487"/>
      <c r="AV274" s="4487"/>
      <c r="AW274" s="4487"/>
      <c r="AX274" s="4487"/>
      <c r="AY274" s="4487"/>
      <c r="AZ274" s="4487"/>
      <c r="BA274" s="4487"/>
      <c r="BB274" s="4487"/>
      <c r="BC274" s="4487"/>
      <c r="BD274" s="4487"/>
      <c r="BE274" s="4487"/>
      <c r="BF274" s="4487"/>
      <c r="BG274" s="4487"/>
      <c r="BH274" s="4487"/>
    </row>
    <row r="275" spans="10:60" x14ac:dyDescent="0.25">
      <c r="J275"/>
      <c r="K275"/>
      <c r="AA275" s="4487"/>
      <c r="AB275" s="4487"/>
      <c r="AC275" s="4487"/>
      <c r="AD275" s="4487"/>
      <c r="AE275" s="4487"/>
      <c r="AF275" s="4487"/>
      <c r="AG275" s="4487"/>
      <c r="AH275" s="4487"/>
      <c r="AI275" s="4487"/>
      <c r="AJ275" s="4487"/>
      <c r="AK275" s="4487"/>
      <c r="AL275" s="4487"/>
      <c r="AM275" s="4487"/>
      <c r="AN275" s="4487"/>
      <c r="AO275" s="4487"/>
      <c r="AP275" s="4487"/>
      <c r="AQ275" s="4487"/>
      <c r="AR275" s="4487"/>
      <c r="AS275" s="4487"/>
      <c r="AT275" s="4487"/>
      <c r="AU275" s="4487"/>
      <c r="AV275" s="4487"/>
      <c r="AW275" s="4487"/>
      <c r="AX275" s="4487"/>
      <c r="AY275" s="4487"/>
      <c r="AZ275" s="4487"/>
      <c r="BA275" s="4487"/>
      <c r="BB275" s="4487"/>
      <c r="BC275" s="4487"/>
      <c r="BD275" s="4487"/>
      <c r="BE275" s="4487"/>
      <c r="BF275" s="4487"/>
      <c r="BG275" s="4487"/>
      <c r="BH275" s="4487"/>
    </row>
    <row r="276" spans="10:60" x14ac:dyDescent="0.25">
      <c r="J276"/>
      <c r="K276"/>
      <c r="AA276" s="4487"/>
      <c r="AB276" s="4487"/>
      <c r="AC276" s="4487"/>
      <c r="AD276" s="4487"/>
      <c r="AE276" s="4487"/>
      <c r="AF276" s="4487"/>
      <c r="AG276" s="4487"/>
      <c r="AH276" s="4487"/>
      <c r="AI276" s="4487"/>
      <c r="AJ276" s="4487"/>
      <c r="AK276" s="4487"/>
      <c r="AL276" s="4487"/>
      <c r="AM276" s="4487"/>
      <c r="AN276" s="4487"/>
      <c r="AO276" s="4487"/>
      <c r="AP276" s="4487"/>
      <c r="AQ276" s="4487"/>
      <c r="AR276" s="4487"/>
      <c r="AS276" s="4487"/>
      <c r="AT276" s="4487"/>
      <c r="AU276" s="4487"/>
      <c r="AV276" s="4487"/>
      <c r="AW276" s="4487"/>
      <c r="AX276" s="4487"/>
      <c r="AY276" s="4487"/>
      <c r="AZ276" s="4487"/>
      <c r="BA276" s="4487"/>
      <c r="BB276" s="4487"/>
      <c r="BC276" s="4487"/>
      <c r="BD276" s="4487"/>
      <c r="BE276" s="4487"/>
      <c r="BF276" s="4487"/>
      <c r="BG276" s="4487"/>
      <c r="BH276" s="4487"/>
    </row>
    <row r="277" spans="10:60" x14ac:dyDescent="0.25">
      <c r="J277"/>
      <c r="K277"/>
      <c r="AA277" s="4487"/>
      <c r="AB277" s="4487"/>
      <c r="AC277" s="4487"/>
      <c r="AD277" s="4487"/>
      <c r="AE277" s="4487"/>
      <c r="AF277" s="4487"/>
      <c r="AG277" s="4487"/>
      <c r="AH277" s="4487"/>
      <c r="AI277" s="4487"/>
      <c r="AJ277" s="4487"/>
      <c r="AK277" s="4487"/>
      <c r="AL277" s="4487"/>
      <c r="AM277" s="4487"/>
      <c r="AN277" s="4487"/>
      <c r="AO277" s="4487"/>
      <c r="AP277" s="4487"/>
      <c r="AQ277" s="4487"/>
      <c r="AR277" s="4487"/>
      <c r="AS277" s="4487"/>
      <c r="AT277" s="4487"/>
      <c r="AU277" s="4487"/>
      <c r="AV277" s="4487"/>
      <c r="AW277" s="4487"/>
      <c r="AX277" s="4487"/>
      <c r="AY277" s="4487"/>
      <c r="AZ277" s="4487"/>
      <c r="BA277" s="4487"/>
      <c r="BB277" s="4487"/>
      <c r="BC277" s="4487"/>
      <c r="BD277" s="4487"/>
      <c r="BE277" s="4487"/>
      <c r="BF277" s="4487"/>
      <c r="BG277" s="4487"/>
      <c r="BH277" s="4487"/>
    </row>
    <row r="278" spans="10:60" x14ac:dyDescent="0.25">
      <c r="J278"/>
      <c r="K278"/>
      <c r="AA278" s="4487"/>
      <c r="AB278" s="4487"/>
      <c r="AC278" s="4487"/>
      <c r="AD278" s="4487"/>
      <c r="AE278" s="4487"/>
      <c r="AF278" s="4487"/>
      <c r="AG278" s="4487"/>
      <c r="AH278" s="4487"/>
      <c r="AI278" s="4487"/>
      <c r="AJ278" s="4487"/>
      <c r="AK278" s="4487"/>
      <c r="AL278" s="4487"/>
      <c r="AM278" s="4487"/>
      <c r="AN278" s="4487"/>
      <c r="AO278" s="4487"/>
      <c r="AP278" s="4487"/>
      <c r="AQ278" s="4487"/>
      <c r="AR278" s="4487"/>
      <c r="AS278" s="4487"/>
      <c r="AT278" s="4487"/>
      <c r="AU278" s="4487"/>
      <c r="AV278" s="4487"/>
      <c r="AW278" s="4487"/>
      <c r="AX278" s="4487"/>
      <c r="AY278" s="4487"/>
      <c r="AZ278" s="4487"/>
      <c r="BA278" s="4487"/>
      <c r="BB278" s="4487"/>
      <c r="BC278" s="4487"/>
      <c r="BD278" s="4487"/>
      <c r="BE278" s="4487"/>
      <c r="BF278" s="4487"/>
      <c r="BG278" s="4487"/>
      <c r="BH278" s="4487"/>
    </row>
    <row r="279" spans="10:60" x14ac:dyDescent="0.25">
      <c r="J279"/>
      <c r="K279"/>
      <c r="AA279" s="4487"/>
      <c r="AB279" s="4487"/>
      <c r="AC279" s="4487"/>
      <c r="AD279" s="4487"/>
      <c r="AE279" s="4487"/>
      <c r="AF279" s="4487"/>
      <c r="AG279" s="4487"/>
      <c r="AH279" s="4487"/>
      <c r="AI279" s="4487"/>
      <c r="AJ279" s="4487"/>
      <c r="AK279" s="4487"/>
      <c r="AL279" s="4487"/>
      <c r="AM279" s="4487"/>
      <c r="AN279" s="4487"/>
      <c r="AO279" s="4487"/>
      <c r="AP279" s="4487"/>
      <c r="AQ279" s="4487"/>
      <c r="AR279" s="4487"/>
      <c r="AS279" s="4487"/>
      <c r="AT279" s="4487"/>
      <c r="AU279" s="4487"/>
      <c r="AV279" s="4487"/>
      <c r="AW279" s="4487"/>
      <c r="AX279" s="4487"/>
      <c r="AY279" s="4487"/>
      <c r="AZ279" s="4487"/>
      <c r="BA279" s="4487"/>
      <c r="BB279" s="4487"/>
      <c r="BC279" s="4487"/>
      <c r="BD279" s="4487"/>
      <c r="BE279" s="4487"/>
      <c r="BF279" s="4487"/>
      <c r="BG279" s="4487"/>
      <c r="BH279" s="4487"/>
    </row>
    <row r="280" spans="10:60" x14ac:dyDescent="0.25">
      <c r="J280"/>
      <c r="K280"/>
      <c r="AA280" s="4487"/>
      <c r="AB280" s="4487"/>
      <c r="AC280" s="4487"/>
      <c r="AD280" s="4487"/>
      <c r="AE280" s="4487"/>
      <c r="AF280" s="4487"/>
      <c r="AG280" s="4487"/>
      <c r="AH280" s="4487"/>
      <c r="AI280" s="4487"/>
      <c r="AJ280" s="4487"/>
      <c r="AK280" s="4487"/>
      <c r="AL280" s="4487"/>
      <c r="AM280" s="4487"/>
      <c r="AN280" s="4487"/>
      <c r="AO280" s="4487"/>
      <c r="AP280" s="4487"/>
      <c r="AQ280" s="4487"/>
      <c r="AR280" s="4487"/>
      <c r="AS280" s="4487"/>
      <c r="AT280" s="4487"/>
      <c r="AU280" s="4487"/>
      <c r="AV280" s="4487"/>
      <c r="AW280" s="4487"/>
      <c r="AX280" s="4487"/>
      <c r="AY280" s="4487"/>
      <c r="AZ280" s="4487"/>
      <c r="BA280" s="4487"/>
      <c r="BB280" s="4487"/>
      <c r="BC280" s="4487"/>
      <c r="BD280" s="4487"/>
      <c r="BE280" s="4487"/>
      <c r="BF280" s="4487"/>
      <c r="BG280" s="4487"/>
      <c r="BH280" s="4487"/>
    </row>
    <row r="281" spans="10:60" x14ac:dyDescent="0.25">
      <c r="J281"/>
      <c r="K281"/>
      <c r="AA281" s="4487"/>
      <c r="AB281" s="4487"/>
      <c r="AC281" s="4487"/>
      <c r="AD281" s="4487"/>
      <c r="AE281" s="4487"/>
      <c r="AF281" s="4487"/>
      <c r="AG281" s="4487"/>
      <c r="AH281" s="4487"/>
      <c r="AI281" s="4487"/>
      <c r="AJ281" s="4487"/>
      <c r="AK281" s="4487"/>
      <c r="AL281" s="4487"/>
      <c r="AM281" s="4487"/>
      <c r="AN281" s="4487"/>
      <c r="AO281" s="4487"/>
      <c r="AP281" s="4487"/>
      <c r="AQ281" s="4487"/>
      <c r="AR281" s="4487"/>
      <c r="AS281" s="4487"/>
      <c r="AT281" s="4487"/>
      <c r="AU281" s="4487"/>
      <c r="AV281" s="4487"/>
      <c r="AW281" s="4487"/>
      <c r="AX281" s="4487"/>
      <c r="AY281" s="4487"/>
      <c r="AZ281" s="4487"/>
      <c r="BA281" s="4487"/>
      <c r="BB281" s="4487"/>
      <c r="BC281" s="4487"/>
      <c r="BD281" s="4487"/>
      <c r="BE281" s="4487"/>
      <c r="BF281" s="4487"/>
      <c r="BG281" s="4487"/>
      <c r="BH281" s="4487"/>
    </row>
    <row r="282" spans="10:60" x14ac:dyDescent="0.25">
      <c r="J282"/>
      <c r="K282"/>
      <c r="AA282" s="4487"/>
      <c r="AB282" s="4487"/>
      <c r="AC282" s="4487"/>
      <c r="AD282" s="4487"/>
      <c r="AE282" s="4487"/>
      <c r="AF282" s="4487"/>
      <c r="AG282" s="4487"/>
      <c r="AH282" s="4487"/>
      <c r="AI282" s="4487"/>
      <c r="AJ282" s="4487"/>
      <c r="AK282" s="4487"/>
      <c r="AL282" s="4487"/>
      <c r="AM282" s="4487"/>
      <c r="AN282" s="4487"/>
      <c r="AO282" s="4487"/>
      <c r="AP282" s="4487"/>
      <c r="AQ282" s="4487"/>
      <c r="AR282" s="4487"/>
      <c r="AS282" s="4487"/>
      <c r="AT282" s="4487"/>
      <c r="AU282" s="4487"/>
      <c r="AV282" s="4487"/>
      <c r="AW282" s="4487"/>
      <c r="AX282" s="4487"/>
      <c r="AY282" s="4487"/>
      <c r="AZ282" s="4487"/>
      <c r="BA282" s="4487"/>
      <c r="BB282" s="4487"/>
      <c r="BC282" s="4487"/>
      <c r="BD282" s="4487"/>
      <c r="BE282" s="4487"/>
      <c r="BF282" s="4487"/>
      <c r="BG282" s="4487"/>
      <c r="BH282" s="4487"/>
    </row>
    <row r="283" spans="10:60" x14ac:dyDescent="0.25">
      <c r="J283"/>
      <c r="K283"/>
      <c r="AA283" s="4487"/>
      <c r="AB283" s="4487"/>
      <c r="AC283" s="4487"/>
      <c r="AD283" s="4487"/>
      <c r="AE283" s="4487"/>
      <c r="AF283" s="4487"/>
      <c r="AG283" s="4487"/>
      <c r="AH283" s="4487"/>
      <c r="AI283" s="4487"/>
      <c r="AJ283" s="4487"/>
      <c r="AK283" s="4487"/>
      <c r="AL283" s="4487"/>
      <c r="AM283" s="4487"/>
      <c r="AN283" s="4487"/>
      <c r="AO283" s="4487"/>
      <c r="AP283" s="4487"/>
      <c r="AQ283" s="4487"/>
      <c r="AR283" s="4487"/>
      <c r="AS283" s="4487"/>
      <c r="AT283" s="4487"/>
      <c r="AU283" s="4487"/>
      <c r="AV283" s="4487"/>
      <c r="AW283" s="4487"/>
      <c r="AX283" s="4487"/>
      <c r="AY283" s="4487"/>
      <c r="AZ283" s="4487"/>
      <c r="BA283" s="4487"/>
      <c r="BB283" s="4487"/>
      <c r="BC283" s="4487"/>
      <c r="BD283" s="4487"/>
      <c r="BE283" s="4487"/>
      <c r="BF283" s="4487"/>
      <c r="BG283" s="4487"/>
      <c r="BH283" s="4487"/>
    </row>
    <row r="284" spans="10:60" x14ac:dyDescent="0.25">
      <c r="J284"/>
      <c r="K284"/>
      <c r="AA284" s="4487"/>
      <c r="AB284" s="4487"/>
      <c r="AC284" s="4487"/>
      <c r="AD284" s="4487"/>
      <c r="AE284" s="4487"/>
      <c r="AF284" s="4487"/>
      <c r="AG284" s="4487"/>
      <c r="AH284" s="4487"/>
      <c r="AI284" s="4487"/>
      <c r="AJ284" s="4487"/>
      <c r="AK284" s="4487"/>
      <c r="AL284" s="4487"/>
      <c r="AM284" s="4487"/>
      <c r="AN284" s="4487"/>
      <c r="AO284" s="4487"/>
      <c r="AP284" s="4487"/>
      <c r="AQ284" s="4487"/>
      <c r="AR284" s="4487"/>
      <c r="AS284" s="4487"/>
      <c r="AT284" s="4487"/>
      <c r="AU284" s="4487"/>
      <c r="AV284" s="4487"/>
      <c r="AW284" s="4487"/>
      <c r="AX284" s="4487"/>
      <c r="AY284" s="4487"/>
      <c r="AZ284" s="4487"/>
      <c r="BA284" s="4487"/>
      <c r="BB284" s="4487"/>
      <c r="BC284" s="4487"/>
      <c r="BD284" s="4487"/>
      <c r="BE284" s="4487"/>
      <c r="BF284" s="4487"/>
      <c r="BG284" s="4487"/>
      <c r="BH284" s="4487"/>
    </row>
    <row r="285" spans="10:60" x14ac:dyDescent="0.25">
      <c r="J285"/>
      <c r="K285"/>
      <c r="AA285" s="4487"/>
      <c r="AB285" s="4487"/>
      <c r="AC285" s="4487"/>
      <c r="AD285" s="4487"/>
      <c r="AE285" s="4487"/>
      <c r="AF285" s="4487"/>
      <c r="AG285" s="4487"/>
      <c r="AH285" s="4487"/>
      <c r="AI285" s="4487"/>
      <c r="AJ285" s="4487"/>
      <c r="AK285" s="4487"/>
      <c r="AL285" s="4487"/>
      <c r="AM285" s="4487"/>
      <c r="AN285" s="4487"/>
      <c r="AO285" s="4487"/>
      <c r="AP285" s="4487"/>
      <c r="AQ285" s="4487"/>
      <c r="AR285" s="4487"/>
      <c r="AS285" s="4487"/>
      <c r="AT285" s="4487"/>
      <c r="AU285" s="4487"/>
      <c r="AV285" s="4487"/>
      <c r="AW285" s="4487"/>
      <c r="AX285" s="4487"/>
      <c r="AY285" s="4487"/>
      <c r="AZ285" s="4487"/>
      <c r="BA285" s="4487"/>
      <c r="BB285" s="4487"/>
      <c r="BC285" s="4487"/>
      <c r="BD285" s="4487"/>
      <c r="BE285" s="4487"/>
      <c r="BF285" s="4487"/>
      <c r="BG285" s="4487"/>
      <c r="BH285" s="4487"/>
    </row>
    <row r="286" spans="10:60" x14ac:dyDescent="0.25">
      <c r="J286"/>
      <c r="K286"/>
      <c r="AA286" s="4487"/>
      <c r="AB286" s="4487"/>
      <c r="AC286" s="4487"/>
      <c r="AD286" s="4487"/>
      <c r="AE286" s="4487"/>
      <c r="AF286" s="4487"/>
      <c r="AG286" s="4487"/>
      <c r="AH286" s="4487"/>
      <c r="AI286" s="4487"/>
      <c r="AJ286" s="4487"/>
      <c r="AK286" s="4487"/>
      <c r="AL286" s="4487"/>
      <c r="AM286" s="4487"/>
      <c r="AN286" s="4487"/>
      <c r="AO286" s="4487"/>
      <c r="AP286" s="4487"/>
      <c r="AQ286" s="4487"/>
      <c r="AR286" s="4487"/>
      <c r="AS286" s="4487"/>
      <c r="AT286" s="4487"/>
      <c r="AU286" s="4487"/>
      <c r="AV286" s="4487"/>
      <c r="AW286" s="4487"/>
      <c r="AX286" s="4487"/>
      <c r="AY286" s="4487"/>
      <c r="AZ286" s="4487"/>
      <c r="BA286" s="4487"/>
      <c r="BB286" s="4487"/>
      <c r="BC286" s="4487"/>
      <c r="BD286" s="4487"/>
      <c r="BE286" s="4487"/>
      <c r="BF286" s="4487"/>
      <c r="BG286" s="4487"/>
      <c r="BH286" s="4487"/>
    </row>
    <row r="287" spans="10:60" x14ac:dyDescent="0.25">
      <c r="J287"/>
      <c r="K287"/>
      <c r="AA287" s="4487"/>
      <c r="AB287" s="4487"/>
      <c r="AC287" s="4487"/>
      <c r="AD287" s="4487"/>
      <c r="AE287" s="4487"/>
      <c r="AF287" s="4487"/>
      <c r="AG287" s="4487"/>
      <c r="AH287" s="4487"/>
      <c r="AI287" s="4487"/>
      <c r="AJ287" s="4487"/>
      <c r="AK287" s="4487"/>
      <c r="AL287" s="4487"/>
      <c r="AM287" s="4487"/>
      <c r="AN287" s="4487"/>
      <c r="AO287" s="4487"/>
      <c r="AP287" s="4487"/>
      <c r="AQ287" s="4487"/>
      <c r="AR287" s="4487"/>
      <c r="AS287" s="4487"/>
      <c r="AT287" s="4487"/>
      <c r="AU287" s="4487"/>
      <c r="AV287" s="4487"/>
      <c r="AW287" s="4487"/>
      <c r="AX287" s="4487"/>
      <c r="AY287" s="4487"/>
      <c r="AZ287" s="4487"/>
      <c r="BA287" s="4487"/>
      <c r="BB287" s="4487"/>
      <c r="BC287" s="4487"/>
      <c r="BD287" s="4487"/>
      <c r="BE287" s="4487"/>
      <c r="BF287" s="4487"/>
      <c r="BG287" s="4487"/>
      <c r="BH287" s="4487"/>
    </row>
    <row r="288" spans="10:60" x14ac:dyDescent="0.25">
      <c r="J288"/>
      <c r="K288"/>
      <c r="AA288" s="4487"/>
      <c r="AB288" s="4487"/>
      <c r="AC288" s="4487"/>
      <c r="AD288" s="4487"/>
      <c r="AE288" s="4487"/>
      <c r="AF288" s="4487"/>
      <c r="AG288" s="4487"/>
      <c r="AH288" s="4487"/>
      <c r="AI288" s="4487"/>
      <c r="AJ288" s="4487"/>
      <c r="AK288" s="4487"/>
      <c r="AL288" s="4487"/>
      <c r="AM288" s="4487"/>
      <c r="AN288" s="4487"/>
      <c r="AO288" s="4487"/>
      <c r="AP288" s="4487"/>
      <c r="AQ288" s="4487"/>
      <c r="AR288" s="4487"/>
      <c r="AS288" s="4487"/>
      <c r="AT288" s="4487"/>
      <c r="AU288" s="4487"/>
      <c r="AV288" s="4487"/>
      <c r="AW288" s="4487"/>
      <c r="AX288" s="4487"/>
      <c r="AY288" s="4487"/>
      <c r="AZ288" s="4487"/>
      <c r="BA288" s="4487"/>
      <c r="BB288" s="4487"/>
      <c r="BC288" s="4487"/>
      <c r="BD288" s="4487"/>
      <c r="BE288" s="4487"/>
      <c r="BF288" s="4487"/>
      <c r="BG288" s="4487"/>
      <c r="BH288" s="4487"/>
    </row>
    <row r="289" spans="10:60" x14ac:dyDescent="0.25">
      <c r="J289"/>
      <c r="K289"/>
      <c r="AA289" s="4487"/>
      <c r="AB289" s="4487"/>
      <c r="AC289" s="4487"/>
      <c r="AD289" s="4487"/>
      <c r="AE289" s="4487"/>
      <c r="AF289" s="4487"/>
      <c r="AG289" s="4487"/>
      <c r="AH289" s="4487"/>
      <c r="AI289" s="4487"/>
      <c r="AJ289" s="4487"/>
      <c r="AK289" s="4487"/>
      <c r="AL289" s="4487"/>
      <c r="AM289" s="4487"/>
      <c r="AN289" s="4487"/>
      <c r="AO289" s="4487"/>
      <c r="AP289" s="4487"/>
      <c r="AQ289" s="4487"/>
      <c r="AR289" s="4487"/>
      <c r="AS289" s="4487"/>
      <c r="AT289" s="4487"/>
      <c r="AU289" s="4487"/>
      <c r="AV289" s="4487"/>
      <c r="AW289" s="4487"/>
      <c r="AX289" s="4487"/>
      <c r="AY289" s="4487"/>
      <c r="AZ289" s="4487"/>
      <c r="BA289" s="4487"/>
      <c r="BB289" s="4487"/>
      <c r="BC289" s="4487"/>
      <c r="BD289" s="4487"/>
      <c r="BE289" s="4487"/>
      <c r="BF289" s="4487"/>
      <c r="BG289" s="4487"/>
      <c r="BH289" s="4487"/>
    </row>
    <row r="290" spans="10:60" x14ac:dyDescent="0.25">
      <c r="J290"/>
      <c r="K290"/>
      <c r="AA290" s="4487"/>
      <c r="AB290" s="4487"/>
      <c r="AC290" s="4487"/>
      <c r="AD290" s="4487"/>
      <c r="AE290" s="4487"/>
      <c r="AF290" s="4487"/>
      <c r="AG290" s="4487"/>
      <c r="AH290" s="4487"/>
      <c r="AI290" s="4487"/>
      <c r="AJ290" s="4487"/>
      <c r="AK290" s="4487"/>
      <c r="AL290" s="4487"/>
      <c r="AM290" s="4487"/>
      <c r="AN290" s="4487"/>
      <c r="AO290" s="4487"/>
      <c r="AP290" s="4487"/>
      <c r="AQ290" s="4487"/>
      <c r="AR290" s="4487"/>
      <c r="AS290" s="4487"/>
      <c r="AT290" s="4487"/>
      <c r="AU290" s="4487"/>
      <c r="AV290" s="4487"/>
      <c r="AW290" s="4487"/>
      <c r="AX290" s="4487"/>
      <c r="AY290" s="4487"/>
      <c r="AZ290" s="4487"/>
      <c r="BA290" s="4487"/>
      <c r="BB290" s="4487"/>
      <c r="BC290" s="4487"/>
      <c r="BD290" s="4487"/>
      <c r="BE290" s="4487"/>
      <c r="BF290" s="4487"/>
      <c r="BG290" s="4487"/>
      <c r="BH290" s="4487"/>
    </row>
    <row r="291" spans="10:60" x14ac:dyDescent="0.25">
      <c r="J291"/>
      <c r="K291"/>
      <c r="AA291" s="4487"/>
      <c r="AB291" s="4487"/>
      <c r="AC291" s="4487"/>
      <c r="AD291" s="4487"/>
      <c r="AE291" s="4487"/>
      <c r="AF291" s="4487"/>
      <c r="AG291" s="4487"/>
      <c r="AH291" s="4487"/>
      <c r="AI291" s="4487"/>
      <c r="AJ291" s="4487"/>
      <c r="AK291" s="4487"/>
      <c r="AL291" s="4487"/>
      <c r="AM291" s="4487"/>
      <c r="AN291" s="4487"/>
      <c r="AO291" s="4487"/>
      <c r="AP291" s="4487"/>
      <c r="AQ291" s="4487"/>
      <c r="AR291" s="4487"/>
      <c r="AS291" s="4487"/>
      <c r="AT291" s="4487"/>
      <c r="AU291" s="4487"/>
      <c r="AV291" s="4487"/>
      <c r="AW291" s="4487"/>
      <c r="AX291" s="4487"/>
      <c r="AY291" s="4487"/>
      <c r="AZ291" s="4487"/>
      <c r="BA291" s="4487"/>
      <c r="BB291" s="4487"/>
      <c r="BC291" s="4487"/>
      <c r="BD291" s="4487"/>
      <c r="BE291" s="4487"/>
      <c r="BF291" s="4487"/>
      <c r="BG291" s="4487"/>
      <c r="BH291" s="4487"/>
    </row>
    <row r="292" spans="10:60" x14ac:dyDescent="0.25">
      <c r="J292"/>
      <c r="K292"/>
      <c r="AA292" s="4487"/>
      <c r="AB292" s="4487"/>
      <c r="AC292" s="4487"/>
      <c r="AD292" s="4487"/>
      <c r="AE292" s="4487"/>
      <c r="AF292" s="4487"/>
      <c r="AG292" s="4487"/>
      <c r="AH292" s="4487"/>
      <c r="AI292" s="4487"/>
      <c r="AJ292" s="4487"/>
      <c r="AK292" s="4487"/>
      <c r="AL292" s="4487"/>
      <c r="AM292" s="4487"/>
      <c r="AN292" s="4487"/>
      <c r="AO292" s="4487"/>
      <c r="AP292" s="4487"/>
      <c r="AQ292" s="4487"/>
      <c r="AR292" s="4487"/>
      <c r="AS292" s="4487"/>
      <c r="AT292" s="4487"/>
      <c r="AU292" s="4487"/>
      <c r="AV292" s="4487"/>
      <c r="AW292" s="4487"/>
      <c r="AX292" s="4487"/>
      <c r="AY292" s="4487"/>
      <c r="AZ292" s="4487"/>
      <c r="BA292" s="4487"/>
      <c r="BB292" s="4487"/>
      <c r="BC292" s="4487"/>
      <c r="BD292" s="4487"/>
      <c r="BE292" s="4487"/>
      <c r="BF292" s="4487"/>
      <c r="BG292" s="4487"/>
      <c r="BH292" s="4487"/>
    </row>
    <row r="293" spans="10:60" x14ac:dyDescent="0.25">
      <c r="J293"/>
      <c r="K293"/>
      <c r="AA293" s="4487"/>
      <c r="AB293" s="4487"/>
      <c r="AC293" s="4487"/>
      <c r="AD293" s="4487"/>
      <c r="AE293" s="4487"/>
      <c r="AF293" s="4487"/>
      <c r="AG293" s="4487"/>
      <c r="AH293" s="4487"/>
      <c r="AI293" s="4487"/>
      <c r="AJ293" s="4487"/>
      <c r="AK293" s="4487"/>
      <c r="AL293" s="4487"/>
      <c r="AM293" s="4487"/>
      <c r="AN293" s="4487"/>
      <c r="AO293" s="4487"/>
      <c r="AP293" s="4487"/>
      <c r="AQ293" s="4487"/>
      <c r="AR293" s="4487"/>
      <c r="AS293" s="4487"/>
      <c r="AT293" s="4487"/>
      <c r="AU293" s="4487"/>
      <c r="AV293" s="4487"/>
      <c r="AW293" s="4487"/>
      <c r="AX293" s="4487"/>
      <c r="AY293" s="4487"/>
      <c r="AZ293" s="4487"/>
      <c r="BA293" s="4487"/>
      <c r="BB293" s="4487"/>
      <c r="BC293" s="4487"/>
      <c r="BD293" s="4487"/>
      <c r="BE293" s="4487"/>
      <c r="BF293" s="4487"/>
      <c r="BG293" s="4487"/>
      <c r="BH293" s="4487"/>
    </row>
    <row r="294" spans="10:60" x14ac:dyDescent="0.25">
      <c r="J294"/>
      <c r="K294"/>
      <c r="AA294" s="4487"/>
      <c r="AB294" s="4487"/>
      <c r="AC294" s="4487"/>
      <c r="AD294" s="4487"/>
      <c r="AE294" s="4487"/>
      <c r="AF294" s="4487"/>
      <c r="AG294" s="4487"/>
      <c r="AH294" s="4487"/>
      <c r="AI294" s="4487"/>
      <c r="AJ294" s="4487"/>
      <c r="AK294" s="4487"/>
      <c r="AL294" s="4487"/>
      <c r="AM294" s="4487"/>
      <c r="AN294" s="4487"/>
      <c r="AO294" s="4487"/>
      <c r="AP294" s="4487"/>
      <c r="AQ294" s="4487"/>
      <c r="AR294" s="4487"/>
      <c r="AS294" s="4487"/>
      <c r="AT294" s="4487"/>
      <c r="AU294" s="4487"/>
      <c r="AV294" s="4487"/>
      <c r="AW294" s="4487"/>
      <c r="AX294" s="4487"/>
      <c r="AY294" s="4487"/>
      <c r="AZ294" s="4487"/>
      <c r="BA294" s="4487"/>
      <c r="BB294" s="4487"/>
      <c r="BC294" s="4487"/>
      <c r="BD294" s="4487"/>
      <c r="BE294" s="4487"/>
      <c r="BF294" s="4487"/>
      <c r="BG294" s="4487"/>
      <c r="BH294" s="4487"/>
    </row>
    <row r="295" spans="10:60" x14ac:dyDescent="0.25">
      <c r="J295"/>
      <c r="K295"/>
      <c r="AA295" s="4487"/>
      <c r="AB295" s="4487"/>
      <c r="AC295" s="4487"/>
      <c r="AD295" s="4487"/>
      <c r="AE295" s="4487"/>
      <c r="AF295" s="4487"/>
      <c r="AG295" s="4487"/>
      <c r="AH295" s="4487"/>
      <c r="AI295" s="4487"/>
      <c r="AJ295" s="4487"/>
      <c r="AK295" s="4487"/>
      <c r="AL295" s="4487"/>
      <c r="AM295" s="4487"/>
      <c r="AN295" s="4487"/>
      <c r="AO295" s="4487"/>
      <c r="AP295" s="4487"/>
      <c r="AQ295" s="4487"/>
      <c r="AR295" s="4487"/>
      <c r="AS295" s="4487"/>
      <c r="AT295" s="4487"/>
      <c r="AU295" s="4487"/>
      <c r="AV295" s="4487"/>
      <c r="AW295" s="4487"/>
      <c r="AX295" s="4487"/>
      <c r="AY295" s="4487"/>
      <c r="AZ295" s="4487"/>
      <c r="BA295" s="4487"/>
      <c r="BB295" s="4487"/>
      <c r="BC295" s="4487"/>
      <c r="BD295" s="4487"/>
      <c r="BE295" s="4487"/>
      <c r="BF295" s="4487"/>
      <c r="BG295" s="4487"/>
      <c r="BH295" s="4487"/>
    </row>
    <row r="296" spans="10:60" x14ac:dyDescent="0.25">
      <c r="J296"/>
      <c r="K296"/>
      <c r="AA296" s="4487"/>
      <c r="AB296" s="4487"/>
      <c r="AC296" s="4487"/>
      <c r="AD296" s="4487"/>
      <c r="AE296" s="4487"/>
      <c r="AF296" s="4487"/>
      <c r="AG296" s="4487"/>
      <c r="AH296" s="4487"/>
      <c r="AI296" s="4487"/>
      <c r="AJ296" s="4487"/>
      <c r="AK296" s="4487"/>
      <c r="AL296" s="4487"/>
      <c r="AM296" s="4487"/>
      <c r="AN296" s="4487"/>
      <c r="AO296" s="4487"/>
      <c r="AP296" s="4487"/>
      <c r="AQ296" s="4487"/>
      <c r="AR296" s="4487"/>
      <c r="AS296" s="4487"/>
      <c r="AT296" s="4487"/>
      <c r="AU296" s="4487"/>
      <c r="AV296" s="4487"/>
      <c r="AW296" s="4487"/>
      <c r="AX296" s="4487"/>
      <c r="AY296" s="4487"/>
      <c r="AZ296" s="4487"/>
      <c r="BA296" s="4487"/>
      <c r="BB296" s="4487"/>
      <c r="BC296" s="4487"/>
      <c r="BD296" s="4487"/>
      <c r="BE296" s="4487"/>
      <c r="BF296" s="4487"/>
      <c r="BG296" s="4487"/>
      <c r="BH296" s="4487"/>
    </row>
    <row r="297" spans="10:60" x14ac:dyDescent="0.25">
      <c r="J297"/>
      <c r="K297"/>
      <c r="AA297" s="4487"/>
      <c r="AB297" s="4487"/>
      <c r="AC297" s="4487"/>
      <c r="AD297" s="4487"/>
      <c r="AE297" s="4487"/>
      <c r="AF297" s="4487"/>
      <c r="AG297" s="4487"/>
      <c r="AH297" s="4487"/>
      <c r="AI297" s="4487"/>
      <c r="AJ297" s="4487"/>
      <c r="AK297" s="4487"/>
      <c r="AL297" s="4487"/>
      <c r="AM297" s="4487"/>
      <c r="AN297" s="4487"/>
      <c r="AO297" s="4487"/>
      <c r="AP297" s="4487"/>
      <c r="AQ297" s="4487"/>
      <c r="AR297" s="4487"/>
      <c r="AS297" s="4487"/>
      <c r="AT297" s="4487"/>
      <c r="AU297" s="4487"/>
      <c r="AV297" s="4487"/>
      <c r="AW297" s="4487"/>
      <c r="AX297" s="4487"/>
      <c r="AY297" s="4487"/>
      <c r="AZ297" s="4487"/>
      <c r="BA297" s="4487"/>
      <c r="BB297" s="4487"/>
      <c r="BC297" s="4487"/>
      <c r="BD297" s="4487"/>
      <c r="BE297" s="4487"/>
      <c r="BF297" s="4487"/>
      <c r="BG297" s="4487"/>
      <c r="BH297" s="4487"/>
    </row>
    <row r="298" spans="10:60" x14ac:dyDescent="0.25">
      <c r="J298"/>
      <c r="K298"/>
      <c r="AA298" s="4487"/>
      <c r="AB298" s="4487"/>
      <c r="AC298" s="4487"/>
      <c r="AD298" s="4487"/>
      <c r="AE298" s="4487"/>
      <c r="AF298" s="4487"/>
      <c r="AG298" s="4487"/>
      <c r="AH298" s="4487"/>
      <c r="AI298" s="4487"/>
      <c r="AJ298" s="4487"/>
      <c r="AK298" s="4487"/>
      <c r="AL298" s="4487"/>
      <c r="AM298" s="4487"/>
      <c r="AN298" s="4487"/>
      <c r="AO298" s="4487"/>
      <c r="AP298" s="4487"/>
      <c r="AQ298" s="4487"/>
      <c r="AR298" s="4487"/>
      <c r="AS298" s="4487"/>
      <c r="AT298" s="4487"/>
      <c r="AU298" s="4487"/>
      <c r="AV298" s="4487"/>
      <c r="AW298" s="4487"/>
      <c r="AX298" s="4487"/>
      <c r="AY298" s="4487"/>
      <c r="AZ298" s="4487"/>
      <c r="BA298" s="4487"/>
      <c r="BB298" s="4487"/>
      <c r="BC298" s="4487"/>
      <c r="BD298" s="4487"/>
      <c r="BE298" s="4487"/>
      <c r="BF298" s="4487"/>
      <c r="BG298" s="4487"/>
      <c r="BH298" s="4487"/>
    </row>
    <row r="299" spans="10:60" x14ac:dyDescent="0.25">
      <c r="J299"/>
      <c r="K299"/>
      <c r="AA299" s="4487"/>
      <c r="AB299" s="4487"/>
      <c r="AC299" s="4487"/>
      <c r="AD299" s="4487"/>
      <c r="AE299" s="4487"/>
      <c r="AF299" s="4487"/>
      <c r="AG299" s="4487"/>
      <c r="AH299" s="4487"/>
      <c r="AI299" s="4487"/>
      <c r="AJ299" s="4487"/>
      <c r="AK299" s="4487"/>
      <c r="AL299" s="4487"/>
      <c r="AM299" s="4487"/>
      <c r="AN299" s="4487"/>
      <c r="AO299" s="4487"/>
      <c r="AP299" s="4487"/>
      <c r="AQ299" s="4487"/>
      <c r="AR299" s="4487"/>
      <c r="AS299" s="4487"/>
      <c r="AT299" s="4487"/>
      <c r="AU299" s="4487"/>
      <c r="AV299" s="4487"/>
      <c r="AW299" s="4487"/>
      <c r="AX299" s="4487"/>
      <c r="AY299" s="4487"/>
      <c r="AZ299" s="4487"/>
      <c r="BA299" s="4487"/>
      <c r="BB299" s="4487"/>
      <c r="BC299" s="4487"/>
      <c r="BD299" s="4487"/>
      <c r="BE299" s="4487"/>
      <c r="BF299" s="4487"/>
      <c r="BG299" s="4487"/>
      <c r="BH299" s="4487"/>
    </row>
    <row r="300" spans="10:60" x14ac:dyDescent="0.25">
      <c r="J300"/>
      <c r="K300"/>
      <c r="AA300" s="4487"/>
      <c r="AB300" s="4487"/>
      <c r="AC300" s="4487"/>
      <c r="AD300" s="4487"/>
      <c r="AE300" s="4487"/>
      <c r="AF300" s="4487"/>
      <c r="AG300" s="4487"/>
      <c r="AH300" s="4487"/>
      <c r="AI300" s="4487"/>
      <c r="AJ300" s="4487"/>
      <c r="AK300" s="4487"/>
      <c r="AL300" s="4487"/>
      <c r="AM300" s="4487"/>
      <c r="AN300" s="4487"/>
      <c r="AO300" s="4487"/>
      <c r="AP300" s="4487"/>
      <c r="AQ300" s="4487"/>
      <c r="AR300" s="4487"/>
      <c r="AS300" s="4487"/>
      <c r="AT300" s="4487"/>
      <c r="AU300" s="4487"/>
      <c r="AV300" s="4487"/>
      <c r="AW300" s="4487"/>
      <c r="AX300" s="4487"/>
      <c r="AY300" s="4487"/>
      <c r="AZ300" s="4487"/>
      <c r="BA300" s="4487"/>
      <c r="BB300" s="4487"/>
      <c r="BC300" s="4487"/>
      <c r="BD300" s="4487"/>
      <c r="BE300" s="4487"/>
      <c r="BF300" s="4487"/>
      <c r="BG300" s="4487"/>
      <c r="BH300" s="4487"/>
    </row>
    <row r="301" spans="10:60" x14ac:dyDescent="0.25">
      <c r="J301"/>
      <c r="K301"/>
      <c r="AA301" s="4487"/>
      <c r="AB301" s="4487"/>
      <c r="AC301" s="4487"/>
      <c r="AD301" s="4487"/>
      <c r="AE301" s="4487"/>
      <c r="AF301" s="4487"/>
      <c r="AG301" s="4487"/>
      <c r="AH301" s="4487"/>
      <c r="AI301" s="4487"/>
      <c r="AJ301" s="4487"/>
      <c r="AK301" s="4487"/>
      <c r="AL301" s="4487"/>
      <c r="AM301" s="4487"/>
      <c r="AN301" s="4487"/>
      <c r="AO301" s="4487"/>
      <c r="AP301" s="4487"/>
      <c r="AQ301" s="4487"/>
      <c r="AR301" s="4487"/>
      <c r="AS301" s="4487"/>
      <c r="AT301" s="4487"/>
      <c r="AU301" s="4487"/>
      <c r="AV301" s="4487"/>
      <c r="AW301" s="4487"/>
      <c r="AX301" s="4487"/>
      <c r="AY301" s="4487"/>
      <c r="AZ301" s="4487"/>
      <c r="BA301" s="4487"/>
      <c r="BB301" s="4487"/>
      <c r="BC301" s="4487"/>
      <c r="BD301" s="4487"/>
      <c r="BE301" s="4487"/>
      <c r="BF301" s="4487"/>
      <c r="BG301" s="4487"/>
      <c r="BH301" s="4487"/>
    </row>
    <row r="302" spans="10:60" x14ac:dyDescent="0.25">
      <c r="J302"/>
      <c r="K302"/>
      <c r="AA302" s="4487"/>
      <c r="AB302" s="4487"/>
      <c r="AC302" s="4487"/>
      <c r="AD302" s="4487"/>
      <c r="AE302" s="4487"/>
      <c r="AF302" s="4487"/>
      <c r="AG302" s="4487"/>
      <c r="AH302" s="4487"/>
      <c r="AI302" s="4487"/>
      <c r="AJ302" s="4487"/>
      <c r="AK302" s="4487"/>
      <c r="AL302" s="4487"/>
      <c r="AM302" s="4487"/>
      <c r="AN302" s="4487"/>
      <c r="AO302" s="4487"/>
      <c r="AP302" s="4487"/>
      <c r="AQ302" s="4487"/>
      <c r="AR302" s="4487"/>
      <c r="AS302" s="4487"/>
      <c r="AT302" s="4487"/>
      <c r="AU302" s="4487"/>
      <c r="AV302" s="4487"/>
      <c r="AW302" s="4487"/>
      <c r="AX302" s="4487"/>
      <c r="AY302" s="4487"/>
      <c r="AZ302" s="4487"/>
      <c r="BA302" s="4487"/>
      <c r="BB302" s="4487"/>
      <c r="BC302" s="4487"/>
      <c r="BD302" s="4487"/>
      <c r="BE302" s="4487"/>
      <c r="BF302" s="4487"/>
      <c r="BG302" s="4487"/>
      <c r="BH302" s="4487"/>
    </row>
    <row r="303" spans="10:60" x14ac:dyDescent="0.25">
      <c r="J303"/>
      <c r="K303"/>
      <c r="AA303" s="4487"/>
      <c r="AB303" s="4487"/>
      <c r="AC303" s="4487"/>
      <c r="AD303" s="4487"/>
      <c r="AE303" s="4487"/>
      <c r="AF303" s="4487"/>
      <c r="AG303" s="4487"/>
      <c r="AH303" s="4487"/>
      <c r="AI303" s="4487"/>
      <c r="AJ303" s="4487"/>
      <c r="AK303" s="4487"/>
      <c r="AL303" s="4487"/>
      <c r="AM303" s="4487"/>
      <c r="AN303" s="4487"/>
      <c r="AO303" s="4487"/>
      <c r="AP303" s="4487"/>
      <c r="AQ303" s="4487"/>
      <c r="AR303" s="4487"/>
      <c r="AS303" s="4487"/>
      <c r="AT303" s="4487"/>
      <c r="AU303" s="4487"/>
      <c r="AV303" s="4487"/>
      <c r="AW303" s="4487"/>
      <c r="AX303" s="4487"/>
      <c r="AY303" s="4487"/>
      <c r="AZ303" s="4487"/>
      <c r="BA303" s="4487"/>
      <c r="BB303" s="4487"/>
      <c r="BC303" s="4487"/>
      <c r="BD303" s="4487"/>
      <c r="BE303" s="4487"/>
      <c r="BF303" s="4487"/>
      <c r="BG303" s="4487"/>
      <c r="BH303" s="4487"/>
    </row>
    <row r="304" spans="10:60" x14ac:dyDescent="0.25">
      <c r="J304"/>
      <c r="K304"/>
      <c r="AA304" s="4487"/>
      <c r="AB304" s="4487"/>
      <c r="AC304" s="4487"/>
      <c r="AD304" s="4487"/>
      <c r="AE304" s="4487"/>
      <c r="AF304" s="4487"/>
      <c r="AG304" s="4487"/>
      <c r="AH304" s="4487"/>
      <c r="AI304" s="4487"/>
      <c r="AJ304" s="4487"/>
      <c r="AK304" s="4487"/>
      <c r="AL304" s="4487"/>
      <c r="AM304" s="4487"/>
      <c r="AN304" s="4487"/>
      <c r="AO304" s="4487"/>
      <c r="AP304" s="4487"/>
      <c r="AQ304" s="4487"/>
      <c r="AR304" s="4487"/>
      <c r="AS304" s="4487"/>
      <c r="AT304" s="4487"/>
      <c r="AU304" s="4487"/>
      <c r="AV304" s="4487"/>
      <c r="AW304" s="4487"/>
      <c r="AX304" s="4487"/>
      <c r="AY304" s="4487"/>
      <c r="AZ304" s="4487"/>
      <c r="BA304" s="4487"/>
      <c r="BB304" s="4487"/>
      <c r="BC304" s="4487"/>
      <c r="BD304" s="4487"/>
      <c r="BE304" s="4487"/>
      <c r="BF304" s="4487"/>
      <c r="BG304" s="4487"/>
      <c r="BH304" s="4487"/>
    </row>
    <row r="305" spans="10:60" x14ac:dyDescent="0.25">
      <c r="J305"/>
      <c r="K305"/>
      <c r="AA305" s="4487"/>
      <c r="AB305" s="4487"/>
      <c r="AC305" s="4487"/>
      <c r="AD305" s="4487"/>
      <c r="AE305" s="4487"/>
      <c r="AF305" s="4487"/>
      <c r="AG305" s="4487"/>
      <c r="AH305" s="4487"/>
      <c r="AI305" s="4487"/>
      <c r="AJ305" s="4487"/>
      <c r="AK305" s="4487"/>
      <c r="AL305" s="4487"/>
      <c r="AM305" s="4487"/>
      <c r="AN305" s="4487"/>
      <c r="AO305" s="4487"/>
      <c r="AP305" s="4487"/>
      <c r="AQ305" s="4487"/>
      <c r="AR305" s="4487"/>
      <c r="AS305" s="4487"/>
      <c r="AT305" s="4487"/>
      <c r="AU305" s="4487"/>
      <c r="AV305" s="4487"/>
      <c r="AW305" s="4487"/>
      <c r="AX305" s="4487"/>
      <c r="AY305" s="4487"/>
      <c r="AZ305" s="4487"/>
      <c r="BA305" s="4487"/>
      <c r="BB305" s="4487"/>
      <c r="BC305" s="4487"/>
      <c r="BD305" s="4487"/>
      <c r="BE305" s="4487"/>
      <c r="BF305" s="4487"/>
      <c r="BG305" s="4487"/>
      <c r="BH305" s="4487"/>
    </row>
    <row r="306" spans="10:60" x14ac:dyDescent="0.25">
      <c r="J306"/>
      <c r="K306"/>
      <c r="AA306" s="4487"/>
      <c r="AB306" s="4487"/>
      <c r="AC306" s="4487"/>
      <c r="AD306" s="4487"/>
      <c r="AE306" s="4487"/>
      <c r="AF306" s="4487"/>
      <c r="AG306" s="4487"/>
      <c r="AH306" s="4487"/>
      <c r="AI306" s="4487"/>
      <c r="AJ306" s="4487"/>
      <c r="AK306" s="4487"/>
      <c r="AL306" s="4487"/>
      <c r="AM306" s="4487"/>
      <c r="AN306" s="4487"/>
      <c r="AO306" s="4487"/>
      <c r="AP306" s="4487"/>
      <c r="AQ306" s="4487"/>
      <c r="AR306" s="4487"/>
      <c r="AS306" s="4487"/>
      <c r="AT306" s="4487"/>
      <c r="AU306" s="4487"/>
      <c r="AV306" s="4487"/>
      <c r="AW306" s="4487"/>
      <c r="AX306" s="4487"/>
      <c r="AY306" s="4487"/>
      <c r="AZ306" s="4487"/>
      <c r="BA306" s="4487"/>
      <c r="BB306" s="4487"/>
      <c r="BC306" s="4487"/>
      <c r="BD306" s="4487"/>
      <c r="BE306" s="4487"/>
      <c r="BF306" s="4487"/>
      <c r="BG306" s="4487"/>
      <c r="BH306" s="4487"/>
    </row>
    <row r="307" spans="10:60" x14ac:dyDescent="0.25">
      <c r="J307"/>
      <c r="K307"/>
      <c r="AA307" s="4487"/>
      <c r="AB307" s="4487"/>
      <c r="AC307" s="4487"/>
      <c r="AD307" s="4487"/>
      <c r="AE307" s="4487"/>
      <c r="AF307" s="4487"/>
      <c r="AG307" s="4487"/>
      <c r="AH307" s="4487"/>
      <c r="AI307" s="4487"/>
      <c r="AJ307" s="4487"/>
      <c r="AK307" s="4487"/>
      <c r="AL307" s="4487"/>
      <c r="AM307" s="4487"/>
      <c r="AN307" s="4487"/>
      <c r="AO307" s="4487"/>
      <c r="AP307" s="4487"/>
      <c r="AQ307" s="4487"/>
      <c r="AR307" s="4487"/>
      <c r="AS307" s="4487"/>
      <c r="AT307" s="4487"/>
      <c r="AU307" s="4487"/>
      <c r="AV307" s="4487"/>
      <c r="AW307" s="4487"/>
      <c r="AX307" s="4487"/>
      <c r="AY307" s="4487"/>
      <c r="AZ307" s="4487"/>
      <c r="BA307" s="4487"/>
      <c r="BB307" s="4487"/>
      <c r="BC307" s="4487"/>
      <c r="BD307" s="4487"/>
      <c r="BE307" s="4487"/>
      <c r="BF307" s="4487"/>
      <c r="BG307" s="4487"/>
      <c r="BH307" s="4487"/>
    </row>
    <row r="308" spans="10:60" x14ac:dyDescent="0.25">
      <c r="J308"/>
      <c r="K308"/>
      <c r="AA308" s="4487"/>
      <c r="AB308" s="4487"/>
      <c r="AC308" s="4487"/>
      <c r="AD308" s="4487"/>
      <c r="AE308" s="4487"/>
      <c r="AF308" s="4487"/>
      <c r="AG308" s="4487"/>
      <c r="AH308" s="4487"/>
      <c r="AI308" s="4487"/>
      <c r="AJ308" s="4487"/>
      <c r="AK308" s="4487"/>
      <c r="AL308" s="4487"/>
      <c r="AM308" s="4487"/>
      <c r="AN308" s="4487"/>
      <c r="AO308" s="4487"/>
      <c r="AP308" s="4487"/>
      <c r="AQ308" s="4487"/>
      <c r="AR308" s="4487"/>
      <c r="AS308" s="4487"/>
      <c r="AT308" s="4487"/>
      <c r="AU308" s="4487"/>
      <c r="AV308" s="4487"/>
      <c r="AW308" s="4487"/>
      <c r="AX308" s="4487"/>
      <c r="AY308" s="4487"/>
      <c r="AZ308" s="4487"/>
      <c r="BA308" s="4487"/>
      <c r="BB308" s="4487"/>
      <c r="BC308" s="4487"/>
      <c r="BD308" s="4487"/>
      <c r="BE308" s="4487"/>
      <c r="BF308" s="4487"/>
      <c r="BG308" s="4487"/>
      <c r="BH308" s="4487"/>
    </row>
    <row r="309" spans="10:60" x14ac:dyDescent="0.25">
      <c r="J309"/>
      <c r="K309"/>
      <c r="AA309" s="4487"/>
      <c r="AB309" s="4487"/>
      <c r="AC309" s="4487"/>
      <c r="AD309" s="4487"/>
      <c r="AE309" s="4487"/>
      <c r="AF309" s="4487"/>
      <c r="AG309" s="4487"/>
      <c r="AH309" s="4487"/>
      <c r="AI309" s="4487"/>
      <c r="AJ309" s="4487"/>
      <c r="AK309" s="4487"/>
      <c r="AL309" s="4487"/>
      <c r="AM309" s="4487"/>
      <c r="AN309" s="4487"/>
      <c r="AO309" s="4487"/>
      <c r="AP309" s="4487"/>
      <c r="AQ309" s="4487"/>
      <c r="AR309" s="4487"/>
      <c r="AS309" s="4487"/>
      <c r="AT309" s="4487"/>
      <c r="AU309" s="4487"/>
      <c r="AV309" s="4487"/>
      <c r="AW309" s="4487"/>
      <c r="AX309" s="4487"/>
      <c r="AY309" s="4487"/>
      <c r="AZ309" s="4487"/>
      <c r="BA309" s="4487"/>
      <c r="BB309" s="4487"/>
      <c r="BC309" s="4487"/>
      <c r="BD309" s="4487"/>
      <c r="BE309" s="4487"/>
      <c r="BF309" s="4487"/>
      <c r="BG309" s="4487"/>
      <c r="BH309" s="4487"/>
    </row>
    <row r="310" spans="10:60" x14ac:dyDescent="0.25">
      <c r="J310"/>
      <c r="K310"/>
      <c r="AA310" s="4487"/>
      <c r="AB310" s="4487"/>
      <c r="AC310" s="4487"/>
      <c r="AD310" s="4487"/>
      <c r="AE310" s="4487"/>
      <c r="AF310" s="4487"/>
      <c r="AG310" s="4487"/>
      <c r="AH310" s="4487"/>
      <c r="AI310" s="4487"/>
      <c r="AJ310" s="4487"/>
      <c r="AK310" s="4487"/>
      <c r="AL310" s="4487"/>
      <c r="AM310" s="4487"/>
      <c r="AN310" s="4487"/>
      <c r="AO310" s="4487"/>
      <c r="AP310" s="4487"/>
      <c r="AQ310" s="4487"/>
      <c r="AR310" s="4487"/>
      <c r="AS310" s="4487"/>
      <c r="AT310" s="4487"/>
      <c r="AU310" s="4487"/>
      <c r="AV310" s="4487"/>
      <c r="AW310" s="4487"/>
      <c r="AX310" s="4487"/>
      <c r="AY310" s="4487"/>
      <c r="AZ310" s="4487"/>
      <c r="BA310" s="4487"/>
      <c r="BB310" s="4487"/>
      <c r="BC310" s="4487"/>
      <c r="BD310" s="4487"/>
      <c r="BE310" s="4487"/>
      <c r="BF310" s="4487"/>
      <c r="BG310" s="4487"/>
      <c r="BH310" s="4487"/>
    </row>
    <row r="311" spans="10:60" x14ac:dyDescent="0.25">
      <c r="J311"/>
      <c r="K311"/>
      <c r="AA311" s="4487"/>
      <c r="AB311" s="4487"/>
      <c r="AC311" s="4487"/>
      <c r="AD311" s="4487"/>
      <c r="AE311" s="4487"/>
      <c r="AF311" s="4487"/>
      <c r="AG311" s="4487"/>
      <c r="AH311" s="4487"/>
      <c r="AI311" s="4487"/>
      <c r="AJ311" s="4487"/>
      <c r="AK311" s="4487"/>
      <c r="AL311" s="4487"/>
      <c r="AM311" s="4487"/>
      <c r="AN311" s="4487"/>
      <c r="AO311" s="4487"/>
      <c r="AP311" s="4487"/>
      <c r="AQ311" s="4487"/>
      <c r="AR311" s="4487"/>
      <c r="AS311" s="4487"/>
      <c r="AT311" s="4487"/>
      <c r="AU311" s="4487"/>
      <c r="AV311" s="4487"/>
      <c r="AW311" s="4487"/>
      <c r="AX311" s="4487"/>
      <c r="AY311" s="4487"/>
      <c r="AZ311" s="4487"/>
      <c r="BA311" s="4487"/>
      <c r="BB311" s="4487"/>
      <c r="BC311" s="4487"/>
      <c r="BD311" s="4487"/>
      <c r="BE311" s="4487"/>
      <c r="BF311" s="4487"/>
      <c r="BG311" s="4487"/>
      <c r="BH311" s="4487"/>
    </row>
    <row r="312" spans="10:60" x14ac:dyDescent="0.25">
      <c r="J312"/>
      <c r="K312"/>
      <c r="AA312" s="4487"/>
      <c r="AB312" s="4487"/>
      <c r="AC312" s="4487"/>
      <c r="AD312" s="4487"/>
      <c r="AE312" s="4487"/>
      <c r="AF312" s="4487"/>
      <c r="AG312" s="4487"/>
      <c r="AH312" s="4487"/>
      <c r="AI312" s="4487"/>
      <c r="AJ312" s="4487"/>
      <c r="AK312" s="4487"/>
      <c r="AL312" s="4487"/>
      <c r="AM312" s="4487"/>
      <c r="AN312" s="4487"/>
      <c r="AO312" s="4487"/>
      <c r="AP312" s="4487"/>
      <c r="AQ312" s="4487"/>
      <c r="AR312" s="4487"/>
      <c r="AS312" s="4487"/>
      <c r="AT312" s="4487"/>
      <c r="AU312" s="4487"/>
      <c r="AV312" s="4487"/>
      <c r="AW312" s="4487"/>
      <c r="AX312" s="4487"/>
      <c r="AY312" s="4487"/>
      <c r="AZ312" s="4487"/>
      <c r="BA312" s="4487"/>
      <c r="BB312" s="4487"/>
      <c r="BC312" s="4487"/>
      <c r="BD312" s="4487"/>
      <c r="BE312" s="4487"/>
      <c r="BF312" s="4487"/>
      <c r="BG312" s="4487"/>
      <c r="BH312" s="4487"/>
    </row>
    <row r="313" spans="10:60" x14ac:dyDescent="0.25">
      <c r="J313"/>
      <c r="K313"/>
      <c r="AA313" s="4487"/>
      <c r="AB313" s="4487"/>
      <c r="AC313" s="4487"/>
      <c r="AD313" s="4487"/>
      <c r="AE313" s="4487"/>
      <c r="AF313" s="4487"/>
      <c r="AG313" s="4487"/>
      <c r="AH313" s="4487"/>
      <c r="AI313" s="4487"/>
      <c r="AJ313" s="4487"/>
      <c r="AK313" s="4487"/>
      <c r="AL313" s="4487"/>
      <c r="AM313" s="4487"/>
      <c r="AN313" s="4487"/>
      <c r="AO313" s="4487"/>
      <c r="AP313" s="4487"/>
      <c r="AQ313" s="4487"/>
      <c r="AR313" s="4487"/>
      <c r="AS313" s="4487"/>
      <c r="AT313" s="4487"/>
      <c r="AU313" s="4487"/>
      <c r="AV313" s="4487"/>
      <c r="AW313" s="4487"/>
      <c r="AX313" s="4487"/>
      <c r="AY313" s="4487"/>
      <c r="AZ313" s="4487"/>
      <c r="BA313" s="4487"/>
      <c r="BB313" s="4487"/>
      <c r="BC313" s="4487"/>
      <c r="BD313" s="4487"/>
      <c r="BE313" s="4487"/>
      <c r="BF313" s="4487"/>
      <c r="BG313" s="4487"/>
      <c r="BH313" s="4487"/>
    </row>
    <row r="314" spans="10:60" x14ac:dyDescent="0.25">
      <c r="J314"/>
      <c r="K314"/>
      <c r="AA314" s="4487"/>
      <c r="AB314" s="4487"/>
      <c r="AC314" s="4487"/>
      <c r="AD314" s="4487"/>
      <c r="AE314" s="4487"/>
      <c r="AF314" s="4487"/>
      <c r="AG314" s="4487"/>
      <c r="AH314" s="4487"/>
      <c r="AI314" s="4487"/>
      <c r="AJ314" s="4487"/>
      <c r="AK314" s="4487"/>
      <c r="AL314" s="4487"/>
      <c r="AM314" s="4487"/>
      <c r="AN314" s="4487"/>
      <c r="AO314" s="4487"/>
      <c r="AP314" s="4487"/>
      <c r="AQ314" s="4487"/>
      <c r="AR314" s="4487"/>
      <c r="AS314" s="4487"/>
      <c r="AT314" s="4487"/>
      <c r="AU314" s="4487"/>
      <c r="AV314" s="4487"/>
      <c r="AW314" s="4487"/>
      <c r="AX314" s="4487"/>
      <c r="AY314" s="4487"/>
      <c r="AZ314" s="4487"/>
      <c r="BA314" s="4487"/>
      <c r="BB314" s="4487"/>
      <c r="BC314" s="4487"/>
      <c r="BD314" s="4487"/>
      <c r="BE314" s="4487"/>
      <c r="BF314" s="4487"/>
      <c r="BG314" s="4487"/>
      <c r="BH314" s="4487"/>
    </row>
    <row r="315" spans="10:60" x14ac:dyDescent="0.25">
      <c r="J315"/>
      <c r="K315"/>
      <c r="AA315" s="4487"/>
      <c r="AB315" s="4487"/>
      <c r="AC315" s="4487"/>
      <c r="AD315" s="4487"/>
      <c r="AE315" s="4487"/>
      <c r="AF315" s="4487"/>
      <c r="AG315" s="4487"/>
      <c r="AH315" s="4487"/>
      <c r="AI315" s="4487"/>
      <c r="AJ315" s="4487"/>
      <c r="AK315" s="4487"/>
      <c r="AL315" s="4487"/>
      <c r="AM315" s="4487"/>
      <c r="AN315" s="4487"/>
      <c r="AO315" s="4487"/>
      <c r="AP315" s="4487"/>
      <c r="AQ315" s="4487"/>
      <c r="AR315" s="4487"/>
      <c r="AS315" s="4487"/>
      <c r="AT315" s="4487"/>
      <c r="AU315" s="4487"/>
      <c r="AV315" s="4487"/>
      <c r="AW315" s="4487"/>
      <c r="AX315" s="4487"/>
      <c r="AY315" s="4487"/>
      <c r="AZ315" s="4487"/>
      <c r="BA315" s="4487"/>
      <c r="BB315" s="4487"/>
      <c r="BC315" s="4487"/>
      <c r="BD315" s="4487"/>
      <c r="BE315" s="4487"/>
      <c r="BF315" s="4487"/>
      <c r="BG315" s="4487"/>
      <c r="BH315" s="4487"/>
    </row>
    <row r="316" spans="10:60" x14ac:dyDescent="0.25">
      <c r="J316"/>
      <c r="K316"/>
      <c r="AA316" s="4487"/>
      <c r="AB316" s="4487"/>
      <c r="AC316" s="4487"/>
      <c r="AD316" s="4487"/>
      <c r="AE316" s="4487"/>
      <c r="AF316" s="4487"/>
      <c r="AG316" s="4487"/>
      <c r="AH316" s="4487"/>
      <c r="AI316" s="4487"/>
      <c r="AJ316" s="4487"/>
      <c r="AK316" s="4487"/>
      <c r="AL316" s="4487"/>
      <c r="AM316" s="4487"/>
      <c r="AN316" s="4487"/>
      <c r="AO316" s="4487"/>
      <c r="AP316" s="4487"/>
      <c r="AQ316" s="4487"/>
      <c r="AR316" s="4487"/>
      <c r="AS316" s="4487"/>
      <c r="AT316" s="4487"/>
      <c r="AU316" s="4487"/>
      <c r="AV316" s="4487"/>
      <c r="AW316" s="4487"/>
      <c r="AX316" s="4487"/>
      <c r="AY316" s="4487"/>
      <c r="AZ316" s="4487"/>
      <c r="BA316" s="4487"/>
      <c r="BB316" s="4487"/>
      <c r="BC316" s="4487"/>
      <c r="BD316" s="4487"/>
      <c r="BE316" s="4487"/>
      <c r="BF316" s="4487"/>
      <c r="BG316" s="4487"/>
      <c r="BH316" s="4487"/>
    </row>
    <row r="317" spans="10:60" x14ac:dyDescent="0.25">
      <c r="J317"/>
      <c r="K317"/>
      <c r="AA317" s="4487"/>
      <c r="AB317" s="4487"/>
      <c r="AC317" s="4487"/>
      <c r="AD317" s="4487"/>
      <c r="AE317" s="4487"/>
      <c r="AF317" s="4487"/>
      <c r="AG317" s="4487"/>
      <c r="AH317" s="4487"/>
      <c r="AI317" s="4487"/>
      <c r="AJ317" s="4487"/>
      <c r="AK317" s="4487"/>
      <c r="AL317" s="4487"/>
      <c r="AM317" s="4487"/>
      <c r="AN317" s="4487"/>
      <c r="AO317" s="4487"/>
      <c r="AP317" s="4487"/>
      <c r="AQ317" s="4487"/>
      <c r="AR317" s="4487"/>
      <c r="AS317" s="4487"/>
      <c r="AT317" s="4487"/>
      <c r="AU317" s="4487"/>
      <c r="AV317" s="4487"/>
      <c r="AW317" s="4487"/>
      <c r="AX317" s="4487"/>
      <c r="AY317" s="4487"/>
      <c r="AZ317" s="4487"/>
      <c r="BA317" s="4487"/>
      <c r="BB317" s="4487"/>
      <c r="BC317" s="4487"/>
      <c r="BD317" s="4487"/>
      <c r="BE317" s="4487"/>
      <c r="BF317" s="4487"/>
      <c r="BG317" s="4487"/>
      <c r="BH317" s="4487"/>
    </row>
    <row r="318" spans="10:60" x14ac:dyDescent="0.25">
      <c r="J318"/>
      <c r="K318"/>
      <c r="AA318" s="4487"/>
      <c r="AB318" s="4487"/>
      <c r="AC318" s="4487"/>
      <c r="AD318" s="4487"/>
      <c r="AE318" s="4487"/>
      <c r="AF318" s="4487"/>
      <c r="AG318" s="4487"/>
      <c r="AH318" s="4487"/>
      <c r="AI318" s="4487"/>
      <c r="AJ318" s="4487"/>
      <c r="AK318" s="4487"/>
      <c r="AL318" s="4487"/>
      <c r="AM318" s="4487"/>
      <c r="AN318" s="4487"/>
      <c r="AO318" s="4487"/>
      <c r="AP318" s="4487"/>
      <c r="AQ318" s="4487"/>
      <c r="AR318" s="4487"/>
      <c r="AS318" s="4487"/>
      <c r="AT318" s="4487"/>
      <c r="AU318" s="4487"/>
      <c r="AV318" s="4487"/>
      <c r="AW318" s="4487"/>
      <c r="AX318" s="4487"/>
      <c r="AY318" s="4487"/>
      <c r="AZ318" s="4487"/>
      <c r="BA318" s="4487"/>
      <c r="BB318" s="4487"/>
      <c r="BC318" s="4487"/>
      <c r="BD318" s="4487"/>
      <c r="BE318" s="4487"/>
      <c r="BF318" s="4487"/>
      <c r="BG318" s="4487"/>
      <c r="BH318" s="4487"/>
    </row>
    <row r="319" spans="10:60" x14ac:dyDescent="0.25">
      <c r="J319"/>
      <c r="K319"/>
      <c r="AA319" s="4487"/>
      <c r="AB319" s="4487"/>
      <c r="AC319" s="4487"/>
      <c r="AD319" s="4487"/>
      <c r="AE319" s="4487"/>
      <c r="AF319" s="4487"/>
      <c r="AG319" s="4487"/>
      <c r="AH319" s="4487"/>
      <c r="AI319" s="4487"/>
      <c r="AJ319" s="4487"/>
      <c r="AK319" s="4487"/>
      <c r="AL319" s="4487"/>
      <c r="AM319" s="4487"/>
      <c r="AN319" s="4487"/>
      <c r="AO319" s="4487"/>
      <c r="AP319" s="4487"/>
      <c r="AQ319" s="4487"/>
      <c r="AR319" s="4487"/>
      <c r="AS319" s="4487"/>
      <c r="AT319" s="4487"/>
      <c r="AU319" s="4487"/>
      <c r="AV319" s="4487"/>
      <c r="AW319" s="4487"/>
      <c r="AX319" s="4487"/>
      <c r="AY319" s="4487"/>
      <c r="AZ319" s="4487"/>
      <c r="BA319" s="4487"/>
      <c r="BB319" s="4487"/>
      <c r="BC319" s="4487"/>
      <c r="BD319" s="4487"/>
      <c r="BE319" s="4487"/>
      <c r="BF319" s="4487"/>
      <c r="BG319" s="4487"/>
      <c r="BH319" s="4487"/>
    </row>
    <row r="320" spans="10:60" x14ac:dyDescent="0.25">
      <c r="J320"/>
      <c r="K320"/>
      <c r="AA320" s="4487"/>
      <c r="AB320" s="4487"/>
      <c r="AC320" s="4487"/>
      <c r="AD320" s="4487"/>
      <c r="AE320" s="4487"/>
      <c r="AF320" s="4487"/>
      <c r="AG320" s="4487"/>
      <c r="AH320" s="4487"/>
      <c r="AI320" s="4487"/>
      <c r="AJ320" s="4487"/>
      <c r="AK320" s="4487"/>
      <c r="AL320" s="4487"/>
      <c r="AM320" s="4487"/>
      <c r="AN320" s="4487"/>
      <c r="AO320" s="4487"/>
      <c r="AP320" s="4487"/>
      <c r="AQ320" s="4487"/>
      <c r="AR320" s="4487"/>
      <c r="AS320" s="4487"/>
      <c r="AT320" s="4487"/>
      <c r="AU320" s="4487"/>
      <c r="AV320" s="4487"/>
      <c r="AW320" s="4487"/>
      <c r="AX320" s="4487"/>
      <c r="AY320" s="4487"/>
      <c r="AZ320" s="4487"/>
      <c r="BA320" s="4487"/>
      <c r="BB320" s="4487"/>
      <c r="BC320" s="4487"/>
      <c r="BD320" s="4487"/>
      <c r="BE320" s="4487"/>
      <c r="BF320" s="4487"/>
      <c r="BG320" s="4487"/>
      <c r="BH320" s="4487"/>
    </row>
    <row r="321" spans="10:60" x14ac:dyDescent="0.25">
      <c r="J321"/>
      <c r="K321"/>
      <c r="AA321" s="4487"/>
      <c r="AB321" s="4487"/>
      <c r="AC321" s="4487"/>
      <c r="AD321" s="4487"/>
      <c r="AE321" s="4487"/>
      <c r="AF321" s="4487"/>
      <c r="AG321" s="4487"/>
      <c r="AH321" s="4487"/>
      <c r="AI321" s="4487"/>
      <c r="AJ321" s="4487"/>
      <c r="AK321" s="4487"/>
      <c r="AL321" s="4487"/>
      <c r="AM321" s="4487"/>
      <c r="AN321" s="4487"/>
      <c r="AO321" s="4487"/>
      <c r="AP321" s="4487"/>
      <c r="AQ321" s="4487"/>
      <c r="AR321" s="4487"/>
      <c r="AS321" s="4487"/>
      <c r="AT321" s="4487"/>
      <c r="AU321" s="4487"/>
      <c r="AV321" s="4487"/>
      <c r="AW321" s="4487"/>
      <c r="AX321" s="4487"/>
      <c r="AY321" s="4487"/>
      <c r="AZ321" s="4487"/>
      <c r="BA321" s="4487"/>
      <c r="BB321" s="4487"/>
      <c r="BC321" s="4487"/>
      <c r="BD321" s="4487"/>
      <c r="BE321" s="4487"/>
      <c r="BF321" s="4487"/>
      <c r="BG321" s="4487"/>
      <c r="BH321" s="4487"/>
    </row>
    <row r="322" spans="10:60" x14ac:dyDescent="0.25">
      <c r="J322"/>
      <c r="K322"/>
      <c r="AA322" s="4487"/>
      <c r="AB322" s="4487"/>
      <c r="AC322" s="4487"/>
      <c r="AD322" s="4487"/>
      <c r="AE322" s="4487"/>
      <c r="AF322" s="4487"/>
      <c r="AG322" s="4487"/>
      <c r="AH322" s="4487"/>
      <c r="AI322" s="4487"/>
      <c r="AJ322" s="4487"/>
      <c r="AK322" s="4487"/>
      <c r="AL322" s="4487"/>
      <c r="AM322" s="4487"/>
      <c r="AN322" s="4487"/>
      <c r="AO322" s="4487"/>
      <c r="AP322" s="4487"/>
      <c r="AQ322" s="4487"/>
      <c r="AR322" s="4487"/>
      <c r="AS322" s="4487"/>
      <c r="AT322" s="4487"/>
      <c r="AU322" s="4487"/>
      <c r="AV322" s="4487"/>
      <c r="AW322" s="4487"/>
      <c r="AX322" s="4487"/>
      <c r="AY322" s="4487"/>
      <c r="AZ322" s="4487"/>
      <c r="BA322" s="4487"/>
      <c r="BB322" s="4487"/>
      <c r="BC322" s="4487"/>
      <c r="BD322" s="4487"/>
      <c r="BE322" s="4487"/>
      <c r="BF322" s="4487"/>
      <c r="BG322" s="4487"/>
      <c r="BH322" s="4487"/>
    </row>
    <row r="323" spans="10:60" x14ac:dyDescent="0.25">
      <c r="J323"/>
      <c r="K323"/>
      <c r="AA323" s="4487"/>
      <c r="AB323" s="4487"/>
      <c r="AC323" s="4487"/>
      <c r="AD323" s="4487"/>
      <c r="AE323" s="4487"/>
      <c r="AF323" s="4487"/>
      <c r="AG323" s="4487"/>
      <c r="AH323" s="4487"/>
      <c r="AI323" s="4487"/>
      <c r="AJ323" s="4487"/>
      <c r="AK323" s="4487"/>
      <c r="AL323" s="4487"/>
      <c r="AM323" s="4487"/>
      <c r="AN323" s="4487"/>
      <c r="AO323" s="4487"/>
      <c r="AP323" s="4487"/>
      <c r="AQ323" s="4487"/>
      <c r="AR323" s="4487"/>
      <c r="AS323" s="4487"/>
      <c r="AT323" s="4487"/>
      <c r="AU323" s="4487"/>
      <c r="AV323" s="4487"/>
      <c r="AW323" s="4487"/>
      <c r="AX323" s="4487"/>
      <c r="AY323" s="4487"/>
      <c r="AZ323" s="4487"/>
      <c r="BA323" s="4487"/>
      <c r="BB323" s="4487"/>
      <c r="BC323" s="4487"/>
      <c r="BD323" s="4487"/>
      <c r="BE323" s="4487"/>
      <c r="BF323" s="4487"/>
      <c r="BG323" s="4487"/>
      <c r="BH323" s="4487"/>
    </row>
    <row r="324" spans="10:60" x14ac:dyDescent="0.25">
      <c r="J324"/>
      <c r="K324"/>
      <c r="AA324" s="4487"/>
      <c r="AB324" s="4487"/>
      <c r="AC324" s="4487"/>
      <c r="AD324" s="4487"/>
      <c r="AE324" s="4487"/>
      <c r="AF324" s="4487"/>
      <c r="AG324" s="4487"/>
      <c r="AH324" s="4487"/>
      <c r="AI324" s="4487"/>
      <c r="AJ324" s="4487"/>
      <c r="AK324" s="4487"/>
      <c r="AL324" s="4487"/>
      <c r="AM324" s="4487"/>
      <c r="AN324" s="4487"/>
      <c r="AO324" s="4487"/>
      <c r="AP324" s="4487"/>
      <c r="AQ324" s="4487"/>
      <c r="AR324" s="4487"/>
      <c r="AS324" s="4487"/>
      <c r="AT324" s="4487"/>
      <c r="AU324" s="4487"/>
      <c r="AV324" s="4487"/>
      <c r="AW324" s="4487"/>
      <c r="AX324" s="4487"/>
      <c r="AY324" s="4487"/>
      <c r="AZ324" s="4487"/>
      <c r="BA324" s="4487"/>
      <c r="BB324" s="4487"/>
      <c r="BC324" s="4487"/>
      <c r="BD324" s="4487"/>
      <c r="BE324" s="4487"/>
      <c r="BF324" s="4487"/>
      <c r="BG324" s="4487"/>
      <c r="BH324" s="4487"/>
    </row>
    <row r="325" spans="10:60" x14ac:dyDescent="0.25">
      <c r="J325"/>
      <c r="K325"/>
      <c r="AA325" s="4487"/>
      <c r="AB325" s="4487"/>
      <c r="AC325" s="4487"/>
      <c r="AD325" s="4487"/>
      <c r="AE325" s="4487"/>
      <c r="AF325" s="4487"/>
      <c r="AG325" s="4487"/>
      <c r="AH325" s="4487"/>
      <c r="AI325" s="4487"/>
      <c r="AJ325" s="4487"/>
      <c r="AK325" s="4487"/>
      <c r="AL325" s="4487"/>
      <c r="AM325" s="4487"/>
      <c r="AN325" s="4487"/>
      <c r="AO325" s="4487"/>
      <c r="AP325" s="4487"/>
      <c r="AQ325" s="4487"/>
      <c r="AR325" s="4487"/>
      <c r="AS325" s="4487"/>
      <c r="AT325" s="4487"/>
      <c r="AU325" s="4487"/>
      <c r="AV325" s="4487"/>
      <c r="AW325" s="4487"/>
      <c r="AX325" s="4487"/>
      <c r="AY325" s="4487"/>
      <c r="AZ325" s="4487"/>
      <c r="BA325" s="4487"/>
      <c r="BB325" s="4487"/>
      <c r="BC325" s="4487"/>
      <c r="BD325" s="4487"/>
      <c r="BE325" s="4487"/>
      <c r="BF325" s="4487"/>
      <c r="BG325" s="4487"/>
      <c r="BH325" s="4487"/>
    </row>
    <row r="326" spans="10:60" x14ac:dyDescent="0.25">
      <c r="J326"/>
      <c r="K326"/>
      <c r="AA326" s="4487"/>
      <c r="AB326" s="4487"/>
      <c r="AC326" s="4487"/>
      <c r="AD326" s="4487"/>
      <c r="AE326" s="4487"/>
      <c r="AF326" s="4487"/>
      <c r="AG326" s="4487"/>
      <c r="AH326" s="4487"/>
      <c r="AI326" s="4487"/>
      <c r="AJ326" s="4487"/>
      <c r="AK326" s="4487"/>
      <c r="AL326" s="4487"/>
      <c r="AM326" s="4487"/>
      <c r="AN326" s="4487"/>
      <c r="AO326" s="4487"/>
      <c r="AP326" s="4487"/>
      <c r="AQ326" s="4487"/>
      <c r="AR326" s="4487"/>
      <c r="AS326" s="4487"/>
      <c r="AT326" s="4487"/>
      <c r="AU326" s="4487"/>
      <c r="AV326" s="4487"/>
      <c r="AW326" s="4487"/>
      <c r="AX326" s="4487"/>
      <c r="AY326" s="4487"/>
      <c r="AZ326" s="4487"/>
      <c r="BA326" s="4487"/>
      <c r="BB326" s="4487"/>
      <c r="BC326" s="4487"/>
      <c r="BD326" s="4487"/>
      <c r="BE326" s="4487"/>
      <c r="BF326" s="4487"/>
      <c r="BG326" s="4487"/>
      <c r="BH326" s="4487"/>
    </row>
    <row r="327" spans="10:60" x14ac:dyDescent="0.25">
      <c r="J327"/>
      <c r="K327"/>
      <c r="AA327" s="4487"/>
      <c r="AB327" s="4487"/>
      <c r="AC327" s="4487"/>
      <c r="AD327" s="4487"/>
      <c r="AE327" s="4487"/>
      <c r="AF327" s="4487"/>
      <c r="AG327" s="4487"/>
      <c r="AH327" s="4487"/>
      <c r="AI327" s="4487"/>
      <c r="AJ327" s="4487"/>
      <c r="AK327" s="4487"/>
      <c r="AL327" s="4487"/>
      <c r="AM327" s="4487"/>
      <c r="AN327" s="4487"/>
      <c r="AO327" s="4487"/>
      <c r="AP327" s="4487"/>
      <c r="AQ327" s="4487"/>
      <c r="AR327" s="4487"/>
      <c r="AS327" s="4487"/>
      <c r="AT327" s="4487"/>
      <c r="AU327" s="4487"/>
      <c r="AV327" s="4487"/>
      <c r="AW327" s="4487"/>
      <c r="AX327" s="4487"/>
      <c r="AY327" s="4487"/>
      <c r="AZ327" s="4487"/>
      <c r="BA327" s="4487"/>
      <c r="BB327" s="4487"/>
      <c r="BC327" s="4487"/>
      <c r="BD327" s="4487"/>
      <c r="BE327" s="4487"/>
      <c r="BF327" s="4487"/>
      <c r="BG327" s="4487"/>
      <c r="BH327" s="4487"/>
    </row>
    <row r="328" spans="10:60" x14ac:dyDescent="0.25">
      <c r="J328"/>
      <c r="K328"/>
      <c r="AA328" s="4487"/>
      <c r="AB328" s="4487"/>
      <c r="AC328" s="4487"/>
      <c r="AD328" s="4487"/>
      <c r="AE328" s="4487"/>
      <c r="AF328" s="4487"/>
      <c r="AG328" s="4487"/>
      <c r="AH328" s="4487"/>
      <c r="AI328" s="4487"/>
      <c r="AJ328" s="4487"/>
      <c r="AK328" s="4487"/>
      <c r="AL328" s="4487"/>
      <c r="AM328" s="4487"/>
      <c r="AN328" s="4487"/>
      <c r="AO328" s="4487"/>
      <c r="AP328" s="4487"/>
      <c r="AQ328" s="4487"/>
      <c r="AR328" s="4487"/>
      <c r="AS328" s="4487"/>
      <c r="AT328" s="4487"/>
      <c r="AU328" s="4487"/>
      <c r="AV328" s="4487"/>
      <c r="AW328" s="4487"/>
      <c r="AX328" s="4487"/>
      <c r="AY328" s="4487"/>
      <c r="AZ328" s="4487"/>
      <c r="BA328" s="4487"/>
      <c r="BB328" s="4487"/>
      <c r="BC328" s="4487"/>
      <c r="BD328" s="4487"/>
      <c r="BE328" s="4487"/>
      <c r="BF328" s="4487"/>
      <c r="BG328" s="4487"/>
      <c r="BH328" s="4487"/>
    </row>
    <row r="329" spans="10:60" x14ac:dyDescent="0.25">
      <c r="J329"/>
      <c r="K329"/>
      <c r="AA329" s="4487"/>
      <c r="AB329" s="4487"/>
      <c r="AC329" s="4487"/>
      <c r="AD329" s="4487"/>
      <c r="AE329" s="4487"/>
      <c r="AF329" s="4487"/>
      <c r="AG329" s="4487"/>
      <c r="AH329" s="4487"/>
      <c r="AI329" s="4487"/>
      <c r="AJ329" s="4487"/>
      <c r="AK329" s="4487"/>
      <c r="AL329" s="4487"/>
      <c r="AM329" s="4487"/>
      <c r="AN329" s="4487"/>
      <c r="AO329" s="4487"/>
      <c r="AP329" s="4487"/>
      <c r="AQ329" s="4487"/>
      <c r="AR329" s="4487"/>
      <c r="AS329" s="4487"/>
      <c r="AT329" s="4487"/>
      <c r="AU329" s="4487"/>
      <c r="AV329" s="4487"/>
      <c r="AW329" s="4487"/>
      <c r="AX329" s="4487"/>
      <c r="AY329" s="4487"/>
      <c r="AZ329" s="4487"/>
      <c r="BA329" s="4487"/>
      <c r="BB329" s="4487"/>
      <c r="BC329" s="4487"/>
      <c r="BD329" s="4487"/>
      <c r="BE329" s="4487"/>
      <c r="BF329" s="4487"/>
      <c r="BG329" s="4487"/>
      <c r="BH329" s="4487"/>
    </row>
    <row r="330" spans="10:60" x14ac:dyDescent="0.25">
      <c r="J330"/>
      <c r="K330"/>
      <c r="AA330" s="4487"/>
      <c r="AB330" s="4487"/>
      <c r="AC330" s="4487"/>
      <c r="AD330" s="4487"/>
      <c r="AE330" s="4487"/>
      <c r="AF330" s="4487"/>
      <c r="AG330" s="4487"/>
      <c r="AH330" s="4487"/>
      <c r="AI330" s="4487"/>
      <c r="AJ330" s="4487"/>
      <c r="AK330" s="4487"/>
      <c r="AL330" s="4487"/>
      <c r="AM330" s="4487"/>
      <c r="AN330" s="4487"/>
      <c r="AO330" s="4487"/>
      <c r="AP330" s="4487"/>
      <c r="AQ330" s="4487"/>
      <c r="AR330" s="4487"/>
      <c r="AS330" s="4487"/>
      <c r="AT330" s="4487"/>
      <c r="AU330" s="4487"/>
      <c r="AV330" s="4487"/>
      <c r="AW330" s="4487"/>
      <c r="AX330" s="4487"/>
      <c r="AY330" s="4487"/>
      <c r="AZ330" s="4487"/>
      <c r="BA330" s="4487"/>
      <c r="BB330" s="4487"/>
      <c r="BC330" s="4487"/>
      <c r="BD330" s="4487"/>
      <c r="BE330" s="4487"/>
      <c r="BF330" s="4487"/>
      <c r="BG330" s="4487"/>
      <c r="BH330" s="4487"/>
    </row>
    <row r="331" spans="10:60" x14ac:dyDescent="0.25">
      <c r="J331"/>
      <c r="K331"/>
      <c r="AA331" s="4487"/>
      <c r="AB331" s="4487"/>
      <c r="AC331" s="4487"/>
      <c r="AD331" s="4487"/>
      <c r="AE331" s="4487"/>
      <c r="AF331" s="4487"/>
      <c r="AG331" s="4487"/>
      <c r="AH331" s="4487"/>
      <c r="AI331" s="4487"/>
      <c r="AJ331" s="4487"/>
      <c r="AK331" s="4487"/>
      <c r="AL331" s="4487"/>
      <c r="AM331" s="4487"/>
      <c r="AN331" s="4487"/>
      <c r="AO331" s="4487"/>
      <c r="AP331" s="4487"/>
      <c r="AQ331" s="4487"/>
      <c r="AR331" s="4487"/>
      <c r="AS331" s="4487"/>
      <c r="AT331" s="4487"/>
      <c r="AU331" s="4487"/>
      <c r="AV331" s="4487"/>
      <c r="AW331" s="4487"/>
      <c r="AX331" s="4487"/>
      <c r="AY331" s="4487"/>
      <c r="AZ331" s="4487"/>
      <c r="BA331" s="4487"/>
      <c r="BB331" s="4487"/>
      <c r="BC331" s="4487"/>
      <c r="BD331" s="4487"/>
      <c r="BE331" s="4487"/>
      <c r="BF331" s="4487"/>
      <c r="BG331" s="4487"/>
      <c r="BH331" s="4487"/>
    </row>
    <row r="332" spans="10:60" x14ac:dyDescent="0.25">
      <c r="J332"/>
      <c r="K332"/>
      <c r="AA332" s="4487"/>
      <c r="AB332" s="4487"/>
      <c r="AC332" s="4487"/>
      <c r="AD332" s="4487"/>
      <c r="AE332" s="4487"/>
      <c r="AF332" s="4487"/>
      <c r="AG332" s="4487"/>
      <c r="AH332" s="4487"/>
      <c r="AI332" s="4487"/>
      <c r="AJ332" s="4487"/>
      <c r="AK332" s="4487"/>
      <c r="AL332" s="4487"/>
      <c r="AM332" s="4487"/>
      <c r="AN332" s="4487"/>
      <c r="AO332" s="4487"/>
      <c r="AP332" s="4487"/>
      <c r="AQ332" s="4487"/>
      <c r="AR332" s="4487"/>
      <c r="AS332" s="4487"/>
      <c r="AT332" s="4487"/>
      <c r="AU332" s="4487"/>
      <c r="AV332" s="4487"/>
      <c r="AW332" s="4487"/>
      <c r="AX332" s="4487"/>
      <c r="AY332" s="4487"/>
      <c r="AZ332" s="4487"/>
      <c r="BA332" s="4487"/>
      <c r="BB332" s="4487"/>
      <c r="BC332" s="4487"/>
      <c r="BD332" s="4487"/>
      <c r="BE332" s="4487"/>
      <c r="BF332" s="4487"/>
      <c r="BG332" s="4487"/>
      <c r="BH332" s="4487"/>
    </row>
    <row r="333" spans="10:60" x14ac:dyDescent="0.25">
      <c r="J333"/>
      <c r="K333"/>
      <c r="AA333" s="4487"/>
      <c r="AB333" s="4487"/>
      <c r="AC333" s="4487"/>
      <c r="AD333" s="4487"/>
      <c r="AE333" s="4487"/>
      <c r="AF333" s="4487"/>
      <c r="AG333" s="4487"/>
      <c r="AH333" s="4487"/>
      <c r="AI333" s="4487"/>
      <c r="AJ333" s="4487"/>
      <c r="AK333" s="4487"/>
      <c r="AL333" s="4487"/>
      <c r="AM333" s="4487"/>
      <c r="AN333" s="4487"/>
      <c r="AO333" s="4487"/>
      <c r="AP333" s="4487"/>
      <c r="AQ333" s="4487"/>
      <c r="AR333" s="4487"/>
      <c r="AS333" s="4487"/>
      <c r="AT333" s="4487"/>
      <c r="AU333" s="4487"/>
      <c r="AV333" s="4487"/>
      <c r="AW333" s="4487"/>
      <c r="AX333" s="4487"/>
      <c r="AY333" s="4487"/>
      <c r="AZ333" s="4487"/>
      <c r="BA333" s="4487"/>
      <c r="BB333" s="4487"/>
      <c r="BC333" s="4487"/>
      <c r="BD333" s="4487"/>
      <c r="BE333" s="4487"/>
      <c r="BF333" s="4487"/>
      <c r="BG333" s="4487"/>
      <c r="BH333" s="4487"/>
    </row>
    <row r="334" spans="10:60" x14ac:dyDescent="0.25">
      <c r="J334"/>
      <c r="K334"/>
      <c r="AA334" s="4487"/>
      <c r="AB334" s="4487"/>
      <c r="AC334" s="4487"/>
      <c r="AD334" s="4487"/>
      <c r="AE334" s="4487"/>
      <c r="AF334" s="4487"/>
      <c r="AG334" s="4487"/>
      <c r="AH334" s="4487"/>
      <c r="AI334" s="4487"/>
      <c r="AJ334" s="4487"/>
      <c r="AK334" s="4487"/>
      <c r="AL334" s="4487"/>
      <c r="AM334" s="4487"/>
      <c r="AN334" s="4487"/>
      <c r="AO334" s="4487"/>
      <c r="AP334" s="4487"/>
      <c r="AQ334" s="4487"/>
      <c r="AR334" s="4487"/>
      <c r="AS334" s="4487"/>
      <c r="AT334" s="4487"/>
      <c r="AU334" s="4487"/>
      <c r="AV334" s="4487"/>
      <c r="AW334" s="4487"/>
      <c r="AX334" s="4487"/>
      <c r="AY334" s="4487"/>
      <c r="AZ334" s="4487"/>
      <c r="BA334" s="4487"/>
      <c r="BB334" s="4487"/>
      <c r="BC334" s="4487"/>
      <c r="BD334" s="4487"/>
      <c r="BE334" s="4487"/>
      <c r="BF334" s="4487"/>
      <c r="BG334" s="4487"/>
      <c r="BH334" s="4487"/>
    </row>
    <row r="335" spans="10:60" x14ac:dyDescent="0.25">
      <c r="J335"/>
      <c r="K335"/>
      <c r="AA335" s="4487"/>
      <c r="AB335" s="4487"/>
      <c r="AC335" s="4487"/>
      <c r="AD335" s="4487"/>
      <c r="AE335" s="4487"/>
      <c r="AF335" s="4487"/>
      <c r="AG335" s="4487"/>
      <c r="AH335" s="4487"/>
      <c r="AI335" s="4487"/>
      <c r="AJ335" s="4487"/>
      <c r="AK335" s="4487"/>
      <c r="AL335" s="4487"/>
      <c r="AM335" s="4487"/>
      <c r="AN335" s="4487"/>
      <c r="AO335" s="4487"/>
      <c r="AP335" s="4487"/>
      <c r="AQ335" s="4487"/>
      <c r="AR335" s="4487"/>
      <c r="AS335" s="4487"/>
      <c r="AT335" s="4487"/>
      <c r="AU335" s="4487"/>
      <c r="AV335" s="4487"/>
      <c r="AW335" s="4487"/>
      <c r="AX335" s="4487"/>
      <c r="AY335" s="4487"/>
      <c r="AZ335" s="4487"/>
      <c r="BA335" s="4487"/>
      <c r="BB335" s="4487"/>
      <c r="BC335" s="4487"/>
      <c r="BD335" s="4487"/>
      <c r="BE335" s="4487"/>
      <c r="BF335" s="4487"/>
      <c r="BG335" s="4487"/>
      <c r="BH335" s="4487"/>
    </row>
    <row r="336" spans="10:60" x14ac:dyDescent="0.25">
      <c r="J336"/>
      <c r="K336"/>
      <c r="AA336" s="4487"/>
      <c r="AB336" s="4487"/>
      <c r="AC336" s="4487"/>
      <c r="AD336" s="4487"/>
      <c r="AE336" s="4487"/>
      <c r="AF336" s="4487"/>
      <c r="AG336" s="4487"/>
      <c r="AH336" s="4487"/>
      <c r="AI336" s="4487"/>
      <c r="AJ336" s="4487"/>
      <c r="AK336" s="4487"/>
      <c r="AL336" s="4487"/>
      <c r="AM336" s="4487"/>
      <c r="AN336" s="4487"/>
      <c r="AO336" s="4487"/>
      <c r="AP336" s="4487"/>
      <c r="AQ336" s="4487"/>
      <c r="AR336" s="4487"/>
      <c r="AS336" s="4487"/>
      <c r="AT336" s="4487"/>
      <c r="AU336" s="4487"/>
      <c r="AV336" s="4487"/>
      <c r="AW336" s="4487"/>
      <c r="AX336" s="4487"/>
      <c r="AY336" s="4487"/>
      <c r="AZ336" s="4487"/>
      <c r="BA336" s="4487"/>
      <c r="BB336" s="4487"/>
      <c r="BC336" s="4487"/>
      <c r="BD336" s="4487"/>
      <c r="BE336" s="4487"/>
      <c r="BF336" s="4487"/>
      <c r="BG336" s="4487"/>
      <c r="BH336" s="4487"/>
    </row>
    <row r="337" spans="10:60" x14ac:dyDescent="0.25">
      <c r="J337"/>
      <c r="K337"/>
      <c r="AA337" s="4487"/>
      <c r="AB337" s="4487"/>
      <c r="AC337" s="4487"/>
      <c r="AD337" s="4487"/>
      <c r="AE337" s="4487"/>
      <c r="AF337" s="4487"/>
      <c r="AG337" s="4487"/>
      <c r="AH337" s="4487"/>
      <c r="AI337" s="4487"/>
      <c r="AJ337" s="4487"/>
      <c r="AK337" s="4487"/>
      <c r="AL337" s="4487"/>
      <c r="AM337" s="4487"/>
      <c r="AN337" s="4487"/>
      <c r="AO337" s="4487"/>
      <c r="AP337" s="4487"/>
      <c r="AQ337" s="4487"/>
      <c r="AR337" s="4487"/>
      <c r="AS337" s="4487"/>
      <c r="AT337" s="4487"/>
      <c r="AU337" s="4487"/>
      <c r="AV337" s="4487"/>
      <c r="AW337" s="4487"/>
      <c r="AX337" s="4487"/>
      <c r="AY337" s="4487"/>
      <c r="AZ337" s="4487"/>
      <c r="BA337" s="4487"/>
      <c r="BB337" s="4487"/>
      <c r="BC337" s="4487"/>
      <c r="BD337" s="4487"/>
      <c r="BE337" s="4487"/>
      <c r="BF337" s="4487"/>
      <c r="BG337" s="4487"/>
      <c r="BH337" s="4487"/>
    </row>
    <row r="338" spans="10:60" x14ac:dyDescent="0.25">
      <c r="J338"/>
      <c r="K338"/>
      <c r="AA338" s="4487"/>
      <c r="AB338" s="4487"/>
      <c r="AC338" s="4487"/>
      <c r="AD338" s="4487"/>
      <c r="AE338" s="4487"/>
      <c r="AF338" s="4487"/>
      <c r="AG338" s="4487"/>
      <c r="AH338" s="4487"/>
      <c r="AI338" s="4487"/>
      <c r="AJ338" s="4487"/>
      <c r="AK338" s="4487"/>
      <c r="AL338" s="4487"/>
      <c r="AM338" s="4487"/>
      <c r="AN338" s="4487"/>
      <c r="AO338" s="4487"/>
      <c r="AP338" s="4487"/>
      <c r="AQ338" s="4487"/>
      <c r="AR338" s="4487"/>
      <c r="AS338" s="4487"/>
      <c r="AT338" s="4487"/>
      <c r="AU338" s="4487"/>
      <c r="AV338" s="4487"/>
      <c r="AW338" s="4487"/>
      <c r="AX338" s="4487"/>
      <c r="AY338" s="4487"/>
      <c r="AZ338" s="4487"/>
      <c r="BA338" s="4487"/>
      <c r="BB338" s="4487"/>
      <c r="BC338" s="4487"/>
      <c r="BD338" s="4487"/>
      <c r="BE338" s="4487"/>
      <c r="BF338" s="4487"/>
      <c r="BG338" s="4487"/>
      <c r="BH338" s="4487"/>
    </row>
    <row r="339" spans="10:60" x14ac:dyDescent="0.25">
      <c r="J339"/>
      <c r="K339"/>
      <c r="AA339" s="4487"/>
      <c r="AB339" s="4487"/>
      <c r="AC339" s="4487"/>
      <c r="AD339" s="4487"/>
      <c r="AE339" s="4487"/>
      <c r="AF339" s="4487"/>
      <c r="AG339" s="4487"/>
      <c r="AH339" s="4487"/>
      <c r="AI339" s="4487"/>
      <c r="AJ339" s="4487"/>
      <c r="AK339" s="4487"/>
      <c r="AL339" s="4487"/>
      <c r="AM339" s="4487"/>
      <c r="AN339" s="4487"/>
      <c r="AO339" s="4487"/>
      <c r="AP339" s="4487"/>
      <c r="AQ339" s="4487"/>
      <c r="AR339" s="4487"/>
      <c r="AS339" s="4487"/>
      <c r="AT339" s="4487"/>
      <c r="AU339" s="4487"/>
      <c r="AV339" s="4487"/>
      <c r="AW339" s="4487"/>
      <c r="AX339" s="4487"/>
      <c r="AY339" s="4487"/>
      <c r="AZ339" s="4487"/>
      <c r="BA339" s="4487"/>
      <c r="BB339" s="4487"/>
      <c r="BC339" s="4487"/>
      <c r="BD339" s="4487"/>
      <c r="BE339" s="4487"/>
      <c r="BF339" s="4487"/>
      <c r="BG339" s="4487"/>
      <c r="BH339" s="4487"/>
    </row>
    <row r="340" spans="10:60" x14ac:dyDescent="0.25">
      <c r="J340"/>
      <c r="K340"/>
      <c r="AA340" s="4487"/>
      <c r="AB340" s="4487"/>
      <c r="AC340" s="4487"/>
      <c r="AD340" s="4487"/>
      <c r="AE340" s="4487"/>
      <c r="AF340" s="4487"/>
      <c r="AG340" s="4487"/>
      <c r="AH340" s="4487"/>
      <c r="AI340" s="4487"/>
      <c r="AJ340" s="4487"/>
      <c r="AK340" s="4487"/>
      <c r="AL340" s="4487"/>
      <c r="AM340" s="4487"/>
      <c r="AN340" s="4487"/>
      <c r="AO340" s="4487"/>
      <c r="AP340" s="4487"/>
      <c r="AQ340" s="4487"/>
      <c r="AR340" s="4487"/>
      <c r="AS340" s="4487"/>
      <c r="AT340" s="4487"/>
      <c r="AU340" s="4487"/>
      <c r="AV340" s="4487"/>
      <c r="AW340" s="4487"/>
      <c r="AX340" s="4487"/>
      <c r="AY340" s="4487"/>
      <c r="AZ340" s="4487"/>
      <c r="BA340" s="4487"/>
      <c r="BB340" s="4487"/>
      <c r="BC340" s="4487"/>
      <c r="BD340" s="4487"/>
      <c r="BE340" s="4487"/>
      <c r="BF340" s="4487"/>
      <c r="BG340" s="4487"/>
      <c r="BH340" s="4487"/>
    </row>
    <row r="341" spans="10:60" x14ac:dyDescent="0.25">
      <c r="J341"/>
      <c r="K341"/>
      <c r="AA341" s="4487"/>
      <c r="AB341" s="4487"/>
      <c r="AC341" s="4487"/>
      <c r="AD341" s="4487"/>
      <c r="AE341" s="4487"/>
      <c r="AF341" s="4487"/>
      <c r="AG341" s="4487"/>
      <c r="AH341" s="4487"/>
      <c r="AI341" s="4487"/>
      <c r="AJ341" s="4487"/>
      <c r="AK341" s="4487"/>
      <c r="AL341" s="4487"/>
      <c r="AM341" s="4487"/>
      <c r="AN341" s="4487"/>
      <c r="AO341" s="4487"/>
      <c r="AP341" s="4487"/>
      <c r="AQ341" s="4487"/>
      <c r="AR341" s="4487"/>
      <c r="AS341" s="4487"/>
      <c r="AT341" s="4487"/>
      <c r="AU341" s="4487"/>
      <c r="AV341" s="4487"/>
      <c r="AW341" s="4487"/>
      <c r="AX341" s="4487"/>
      <c r="AY341" s="4487"/>
      <c r="AZ341" s="4487"/>
      <c r="BA341" s="4487"/>
      <c r="BB341" s="4487"/>
      <c r="BC341" s="4487"/>
      <c r="BD341" s="4487"/>
      <c r="BE341" s="4487"/>
      <c r="BF341" s="4487"/>
      <c r="BG341" s="4487"/>
      <c r="BH341" s="4487"/>
    </row>
    <row r="342" spans="10:60" x14ac:dyDescent="0.25">
      <c r="J342"/>
      <c r="K342"/>
      <c r="AA342" s="4487"/>
      <c r="AB342" s="4487"/>
      <c r="AC342" s="4487"/>
      <c r="AD342" s="4487"/>
      <c r="AE342" s="4487"/>
      <c r="AF342" s="4487"/>
      <c r="AG342" s="4487"/>
      <c r="AH342" s="4487"/>
      <c r="AI342" s="4487"/>
      <c r="AJ342" s="4487"/>
      <c r="AK342" s="4487"/>
      <c r="AL342" s="4487"/>
      <c r="AM342" s="4487"/>
      <c r="AN342" s="4487"/>
      <c r="AO342" s="4487"/>
      <c r="AP342" s="4487"/>
      <c r="AQ342" s="4487"/>
      <c r="AR342" s="4487"/>
      <c r="AS342" s="4487"/>
      <c r="AT342" s="4487"/>
      <c r="AU342" s="4487"/>
      <c r="AV342" s="4487"/>
      <c r="AW342" s="4487"/>
      <c r="AX342" s="4487"/>
      <c r="AY342" s="4487"/>
      <c r="AZ342" s="4487"/>
      <c r="BA342" s="4487"/>
      <c r="BB342" s="4487"/>
      <c r="BC342" s="4487"/>
      <c r="BD342" s="4487"/>
      <c r="BE342" s="4487"/>
      <c r="BF342" s="4487"/>
      <c r="BG342" s="4487"/>
      <c r="BH342" s="4487"/>
    </row>
    <row r="343" spans="10:60" x14ac:dyDescent="0.25">
      <c r="J343"/>
      <c r="K343"/>
      <c r="AA343" s="4487"/>
      <c r="AB343" s="4487"/>
      <c r="AC343" s="4487"/>
      <c r="AD343" s="4487"/>
      <c r="AE343" s="4487"/>
      <c r="AF343" s="4487"/>
      <c r="AG343" s="4487"/>
      <c r="AH343" s="4487"/>
      <c r="AI343" s="4487"/>
      <c r="AJ343" s="4487"/>
      <c r="AK343" s="4487"/>
      <c r="AL343" s="4487"/>
      <c r="AM343" s="4487"/>
      <c r="AN343" s="4487"/>
      <c r="AO343" s="4487"/>
      <c r="AP343" s="4487"/>
      <c r="AQ343" s="4487"/>
      <c r="AR343" s="4487"/>
      <c r="AS343" s="4487"/>
      <c r="AT343" s="4487"/>
      <c r="AU343" s="4487"/>
      <c r="AV343" s="4487"/>
      <c r="AW343" s="4487"/>
      <c r="AX343" s="4487"/>
      <c r="AY343" s="4487"/>
      <c r="AZ343" s="4487"/>
      <c r="BA343" s="4487"/>
      <c r="BB343" s="4487"/>
      <c r="BC343" s="4487"/>
      <c r="BD343" s="4487"/>
      <c r="BE343" s="4487"/>
      <c r="BF343" s="4487"/>
      <c r="BG343" s="4487"/>
      <c r="BH343" s="4487"/>
    </row>
    <row r="344" spans="10:60" x14ac:dyDescent="0.25">
      <c r="J344"/>
      <c r="K344"/>
      <c r="AA344" s="4487"/>
      <c r="AB344" s="4487"/>
      <c r="AC344" s="4487"/>
      <c r="AD344" s="4487"/>
      <c r="AE344" s="4487"/>
      <c r="AF344" s="4487"/>
      <c r="AG344" s="4487"/>
      <c r="AH344" s="4487"/>
      <c r="AI344" s="4487"/>
      <c r="AJ344" s="4487"/>
      <c r="AK344" s="4487"/>
      <c r="AL344" s="4487"/>
      <c r="AM344" s="4487"/>
      <c r="AN344" s="4487"/>
      <c r="AO344" s="4487"/>
      <c r="AP344" s="4487"/>
      <c r="AQ344" s="4487"/>
      <c r="AR344" s="4487"/>
      <c r="AS344" s="4487"/>
      <c r="AT344" s="4487"/>
      <c r="AU344" s="4487"/>
      <c r="AV344" s="4487"/>
      <c r="AW344" s="4487"/>
      <c r="AX344" s="4487"/>
      <c r="AY344" s="4487"/>
      <c r="AZ344" s="4487"/>
      <c r="BA344" s="4487"/>
      <c r="BB344" s="4487"/>
      <c r="BC344" s="4487"/>
      <c r="BD344" s="4487"/>
      <c r="BE344" s="4487"/>
      <c r="BF344" s="4487"/>
      <c r="BG344" s="4487"/>
      <c r="BH344" s="4487"/>
    </row>
    <row r="345" spans="10:60" x14ac:dyDescent="0.25">
      <c r="J345"/>
      <c r="K345"/>
      <c r="AA345" s="4487"/>
      <c r="AB345" s="4487"/>
      <c r="AC345" s="4487"/>
      <c r="AD345" s="4487"/>
      <c r="AE345" s="4487"/>
      <c r="AF345" s="4487"/>
      <c r="AG345" s="4487"/>
      <c r="AH345" s="4487"/>
      <c r="AI345" s="4487"/>
      <c r="AJ345" s="4487"/>
      <c r="AK345" s="4487"/>
      <c r="AL345" s="4487"/>
      <c r="AM345" s="4487"/>
      <c r="AN345" s="4487"/>
      <c r="AO345" s="4487"/>
      <c r="AP345" s="4487"/>
      <c r="AQ345" s="4487"/>
      <c r="AR345" s="4487"/>
      <c r="AS345" s="4487"/>
      <c r="AT345" s="4487"/>
      <c r="AU345" s="4487"/>
      <c r="AV345" s="4487"/>
      <c r="AW345" s="4487"/>
      <c r="AX345" s="4487"/>
      <c r="AY345" s="4487"/>
      <c r="AZ345" s="4487"/>
      <c r="BA345" s="4487"/>
      <c r="BB345" s="4487"/>
      <c r="BC345" s="4487"/>
      <c r="BD345" s="4487"/>
      <c r="BE345" s="4487"/>
      <c r="BF345" s="4487"/>
      <c r="BG345" s="4487"/>
      <c r="BH345" s="4487"/>
    </row>
    <row r="346" spans="10:60" x14ac:dyDescent="0.25">
      <c r="J346"/>
      <c r="K346"/>
      <c r="AA346" s="4487"/>
      <c r="AB346" s="4487"/>
      <c r="AC346" s="4487"/>
      <c r="AD346" s="4487"/>
      <c r="AE346" s="4487"/>
      <c r="AF346" s="4487"/>
      <c r="AG346" s="4487"/>
      <c r="AH346" s="4487"/>
      <c r="AI346" s="4487"/>
      <c r="AJ346" s="4487"/>
      <c r="AK346" s="4487"/>
      <c r="AL346" s="4487"/>
      <c r="AM346" s="4487"/>
      <c r="AN346" s="4487"/>
      <c r="AO346" s="4487"/>
      <c r="AP346" s="4487"/>
      <c r="AQ346" s="4487"/>
      <c r="AR346" s="4487"/>
      <c r="AS346" s="4487"/>
      <c r="AT346" s="4487"/>
      <c r="AU346" s="4487"/>
      <c r="AV346" s="4487"/>
      <c r="AW346" s="4487"/>
      <c r="AX346" s="4487"/>
      <c r="AY346" s="4487"/>
      <c r="AZ346" s="4487"/>
      <c r="BA346" s="4487"/>
      <c r="BB346" s="4487"/>
      <c r="BC346" s="4487"/>
      <c r="BD346" s="4487"/>
      <c r="BE346" s="4487"/>
      <c r="BF346" s="4487"/>
      <c r="BG346" s="4487"/>
      <c r="BH346" s="4487"/>
    </row>
    <row r="347" spans="10:60" x14ac:dyDescent="0.25">
      <c r="J347"/>
      <c r="K347"/>
      <c r="AA347" s="4487"/>
      <c r="AB347" s="4487"/>
      <c r="AC347" s="4487"/>
      <c r="AD347" s="4487"/>
      <c r="AE347" s="4487"/>
      <c r="AF347" s="4487"/>
      <c r="AG347" s="4487"/>
      <c r="AH347" s="4487"/>
      <c r="AI347" s="4487"/>
      <c r="AJ347" s="4487"/>
      <c r="AK347" s="4487"/>
      <c r="AL347" s="4487"/>
      <c r="AM347" s="4487"/>
      <c r="AN347" s="4487"/>
      <c r="AO347" s="4487"/>
      <c r="AP347" s="4487"/>
      <c r="AQ347" s="4487"/>
      <c r="AR347" s="4487"/>
      <c r="AS347" s="4487"/>
      <c r="AT347" s="4487"/>
      <c r="AU347" s="4487"/>
      <c r="AV347" s="4487"/>
      <c r="AW347" s="4487"/>
      <c r="AX347" s="4487"/>
      <c r="AY347" s="4487"/>
      <c r="AZ347" s="4487"/>
      <c r="BA347" s="4487"/>
      <c r="BB347" s="4487"/>
      <c r="BC347" s="4487"/>
      <c r="BD347" s="4487"/>
      <c r="BE347" s="4487"/>
      <c r="BF347" s="4487"/>
      <c r="BG347" s="4487"/>
      <c r="BH347" s="4487"/>
    </row>
    <row r="348" spans="10:60" x14ac:dyDescent="0.25">
      <c r="J348"/>
      <c r="K348"/>
      <c r="AA348" s="4487"/>
      <c r="AB348" s="4487"/>
      <c r="AC348" s="4487"/>
      <c r="AD348" s="4487"/>
      <c r="AE348" s="4487"/>
      <c r="AF348" s="4487"/>
      <c r="AG348" s="4487"/>
      <c r="AH348" s="4487"/>
      <c r="AI348" s="4487"/>
      <c r="AJ348" s="4487"/>
      <c r="AK348" s="4487"/>
      <c r="AL348" s="4487"/>
      <c r="AM348" s="4487"/>
      <c r="AN348" s="4487"/>
      <c r="AO348" s="4487"/>
      <c r="AP348" s="4487"/>
      <c r="AQ348" s="4487"/>
      <c r="AR348" s="4487"/>
      <c r="AS348" s="4487"/>
      <c r="AT348" s="4487"/>
      <c r="AU348" s="4487"/>
      <c r="AV348" s="4487"/>
      <c r="AW348" s="4487"/>
      <c r="AX348" s="4487"/>
      <c r="AY348" s="4487"/>
      <c r="AZ348" s="4487"/>
      <c r="BA348" s="4487"/>
      <c r="BB348" s="4487"/>
      <c r="BC348" s="4487"/>
      <c r="BD348" s="4487"/>
      <c r="BE348" s="4487"/>
      <c r="BF348" s="4487"/>
      <c r="BG348" s="4487"/>
      <c r="BH348" s="4487"/>
    </row>
    <row r="349" spans="10:60" x14ac:dyDescent="0.25">
      <c r="J349"/>
      <c r="K349"/>
      <c r="AA349" s="4487"/>
      <c r="AB349" s="4487"/>
      <c r="AC349" s="4487"/>
      <c r="AD349" s="4487"/>
      <c r="AE349" s="4487"/>
      <c r="AF349" s="4487"/>
      <c r="AG349" s="4487"/>
      <c r="AH349" s="4487"/>
      <c r="AI349" s="4487"/>
      <c r="AJ349" s="4487"/>
      <c r="AK349" s="4487"/>
      <c r="AL349" s="4487"/>
      <c r="AM349" s="4487"/>
      <c r="AN349" s="4487"/>
      <c r="AO349" s="4487"/>
      <c r="AP349" s="4487"/>
      <c r="AQ349" s="4487"/>
      <c r="AR349" s="4487"/>
      <c r="AS349" s="4487"/>
      <c r="AT349" s="4487"/>
      <c r="AU349" s="4487"/>
      <c r="AV349" s="4487"/>
      <c r="AW349" s="4487"/>
      <c r="AX349" s="4487"/>
      <c r="AY349" s="4487"/>
      <c r="AZ349" s="4487"/>
      <c r="BA349" s="4487"/>
      <c r="BB349" s="4487"/>
      <c r="BC349" s="4487"/>
      <c r="BD349" s="4487"/>
      <c r="BE349" s="4487"/>
      <c r="BF349" s="4487"/>
      <c r="BG349" s="4487"/>
      <c r="BH349" s="4487"/>
    </row>
    <row r="350" spans="10:60" x14ac:dyDescent="0.25">
      <c r="J350"/>
      <c r="K350"/>
      <c r="AA350" s="4487"/>
      <c r="AB350" s="4487"/>
      <c r="AC350" s="4487"/>
      <c r="AD350" s="4487"/>
      <c r="AE350" s="4487"/>
      <c r="AF350" s="4487"/>
      <c r="AG350" s="4487"/>
      <c r="AH350" s="4487"/>
      <c r="AI350" s="4487"/>
      <c r="AJ350" s="4487"/>
      <c r="AK350" s="4487"/>
      <c r="AL350" s="4487"/>
      <c r="AM350" s="4487"/>
      <c r="AN350" s="4487"/>
      <c r="AO350" s="4487"/>
      <c r="AP350" s="4487"/>
      <c r="AQ350" s="4487"/>
      <c r="AR350" s="4487"/>
      <c r="AS350" s="4487"/>
      <c r="AT350" s="4487"/>
      <c r="AU350" s="4487"/>
      <c r="AV350" s="4487"/>
      <c r="AW350" s="4487"/>
      <c r="AX350" s="4487"/>
      <c r="AY350" s="4487"/>
      <c r="AZ350" s="4487"/>
      <c r="BA350" s="4487"/>
      <c r="BB350" s="4487"/>
      <c r="BC350" s="4487"/>
      <c r="BD350" s="4487"/>
      <c r="BE350" s="4487"/>
      <c r="BF350" s="4487"/>
      <c r="BG350" s="4487"/>
      <c r="BH350" s="4487"/>
    </row>
    <row r="351" spans="10:60" x14ac:dyDescent="0.25">
      <c r="J351"/>
      <c r="K351"/>
      <c r="AA351" s="4487"/>
      <c r="AB351" s="4487"/>
      <c r="AC351" s="4487"/>
      <c r="AD351" s="4487"/>
      <c r="AE351" s="4487"/>
      <c r="AF351" s="4487"/>
      <c r="AG351" s="4487"/>
      <c r="AH351" s="4487"/>
      <c r="AI351" s="4487"/>
      <c r="AJ351" s="4487"/>
      <c r="AK351" s="4487"/>
      <c r="AL351" s="4487"/>
      <c r="AM351" s="4487"/>
      <c r="AN351" s="4487"/>
      <c r="AO351" s="4487"/>
      <c r="AP351" s="4487"/>
      <c r="AQ351" s="4487"/>
      <c r="AR351" s="4487"/>
      <c r="AS351" s="4487"/>
      <c r="AT351" s="4487"/>
      <c r="AU351" s="4487"/>
      <c r="AV351" s="4487"/>
      <c r="AW351" s="4487"/>
      <c r="AX351" s="4487"/>
      <c r="AY351" s="4487"/>
      <c r="AZ351" s="4487"/>
      <c r="BA351" s="4487"/>
      <c r="BB351" s="4487"/>
      <c r="BC351" s="4487"/>
      <c r="BD351" s="4487"/>
      <c r="BE351" s="4487"/>
      <c r="BF351" s="4487"/>
      <c r="BG351" s="4487"/>
      <c r="BH351" s="4487"/>
    </row>
    <row r="352" spans="10:60" x14ac:dyDescent="0.25">
      <c r="J352"/>
      <c r="K352"/>
      <c r="AA352" s="4487"/>
      <c r="AB352" s="4487"/>
      <c r="AC352" s="4487"/>
      <c r="AD352" s="4487"/>
      <c r="AE352" s="4487"/>
      <c r="AF352" s="4487"/>
      <c r="AG352" s="4487"/>
      <c r="AH352" s="4487"/>
      <c r="AI352" s="4487"/>
      <c r="AJ352" s="4487"/>
      <c r="AK352" s="4487"/>
      <c r="AL352" s="4487"/>
      <c r="AM352" s="4487"/>
      <c r="AN352" s="4487"/>
      <c r="AO352" s="4487"/>
      <c r="AP352" s="4487"/>
      <c r="AQ352" s="4487"/>
      <c r="AR352" s="4487"/>
      <c r="AS352" s="4487"/>
      <c r="AT352" s="4487"/>
      <c r="AU352" s="4487"/>
      <c r="AV352" s="4487"/>
      <c r="AW352" s="4487"/>
      <c r="AX352" s="4487"/>
      <c r="AY352" s="4487"/>
      <c r="AZ352" s="4487"/>
      <c r="BA352" s="4487"/>
      <c r="BB352" s="4487"/>
      <c r="BC352" s="4487"/>
      <c r="BD352" s="4487"/>
      <c r="BE352" s="4487"/>
      <c r="BF352" s="4487"/>
      <c r="BG352" s="4487"/>
      <c r="BH352" s="4487"/>
    </row>
    <row r="353" spans="10:60" x14ac:dyDescent="0.25">
      <c r="J353"/>
      <c r="K353"/>
      <c r="AA353" s="4487"/>
      <c r="AB353" s="4487"/>
      <c r="AC353" s="4487"/>
      <c r="AD353" s="4487"/>
      <c r="AE353" s="4487"/>
      <c r="AF353" s="4487"/>
      <c r="AG353" s="4487"/>
      <c r="AH353" s="4487"/>
      <c r="AI353" s="4487"/>
      <c r="AJ353" s="4487"/>
      <c r="AK353" s="4487"/>
      <c r="AL353" s="4487"/>
      <c r="AM353" s="4487"/>
      <c r="AN353" s="4487"/>
      <c r="AO353" s="4487"/>
      <c r="AP353" s="4487"/>
      <c r="AQ353" s="4487"/>
      <c r="AR353" s="4487"/>
      <c r="AS353" s="4487"/>
      <c r="AT353" s="4487"/>
      <c r="AU353" s="4487"/>
      <c r="AV353" s="4487"/>
      <c r="AW353" s="4487"/>
      <c r="AX353" s="4487"/>
      <c r="AY353" s="4487"/>
      <c r="AZ353" s="4487"/>
      <c r="BA353" s="4487"/>
      <c r="BB353" s="4487"/>
      <c r="BC353" s="4487"/>
      <c r="BD353" s="4487"/>
      <c r="BE353" s="4487"/>
      <c r="BF353" s="4487"/>
      <c r="BG353" s="4487"/>
      <c r="BH353" s="4487"/>
    </row>
  </sheetData>
  <mergeCells count="39">
    <mergeCell ref="B76:B77"/>
    <mergeCell ref="B79:B95"/>
    <mergeCell ref="B58:B60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43:B56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1:B74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T240"/>
  <sheetViews>
    <sheetView zoomScaleNormal="100" workbookViewId="0">
      <pane xSplit="4" ySplit="4" topLeftCell="E141" activePane="bottomRight" state="frozen"/>
      <selection pane="topRight" activeCell="E1" sqref="E1"/>
      <selection pane="bottomLeft" activeCell="A5" sqref="A5"/>
      <selection pane="bottomRight" activeCell="BR30" sqref="BR30"/>
    </sheetView>
  </sheetViews>
  <sheetFormatPr defaultRowHeight="15" x14ac:dyDescent="0.25"/>
  <cols>
    <col min="1" max="1" width="3" style="137" customWidth="1"/>
    <col min="2" max="2" width="78.28515625" bestFit="1" customWidth="1"/>
    <col min="3" max="3" width="12.28515625" bestFit="1" customWidth="1"/>
    <col min="4" max="4" width="13.7109375" style="90" customWidth="1"/>
    <col min="5" max="5" width="8.85546875" style="84" bestFit="1" customWidth="1"/>
    <col min="6" max="6" width="13.7109375" style="90" customWidth="1"/>
    <col min="7" max="7" width="10.5703125" style="84" hidden="1" customWidth="1"/>
    <col min="8" max="8" width="10.5703125" style="90" hidden="1" customWidth="1"/>
    <col min="9" max="9" width="9.5703125" style="84" hidden="1" customWidth="1"/>
    <col min="10" max="10" width="9.7109375" style="90" hidden="1" customWidth="1"/>
    <col min="11" max="11" width="8.85546875" style="84" hidden="1" customWidth="1"/>
    <col min="12" max="12" width="8.7109375" style="90" hidden="1" customWidth="1"/>
    <col min="13" max="13" width="9" style="84" hidden="1" customWidth="1"/>
    <col min="14" max="14" width="9" style="90" hidden="1" customWidth="1"/>
    <col min="15" max="15" width="10.42578125" style="192" hidden="1" customWidth="1"/>
    <col min="16" max="16" width="10.42578125" style="90" hidden="1" customWidth="1"/>
    <col min="17" max="17" width="12.28515625" style="84" hidden="1" customWidth="1"/>
    <col min="18" max="18" width="10.7109375" style="90" hidden="1" customWidth="1"/>
    <col min="19" max="19" width="10.42578125" style="84" hidden="1" customWidth="1"/>
    <col min="20" max="20" width="10.42578125" style="1654" hidden="1" customWidth="1"/>
    <col min="21" max="21" width="12.28515625" style="84" hidden="1" customWidth="1"/>
    <col min="22" max="22" width="10.7109375" hidden="1" customWidth="1"/>
    <col min="23" max="23" width="8.85546875" hidden="1" customWidth="1"/>
    <col min="24" max="24" width="8.7109375" hidden="1" customWidth="1"/>
    <col min="25" max="26" width="9" hidden="1" customWidth="1"/>
    <col min="27" max="27" width="9" style="2093" hidden="1" customWidth="1"/>
    <col min="28" max="28" width="9" hidden="1" customWidth="1"/>
    <col min="29" max="29" width="10.85546875" hidden="1" customWidth="1"/>
    <col min="30" max="30" width="10.42578125" hidden="1" customWidth="1"/>
    <col min="31" max="33" width="9.140625" hidden="1" customWidth="1"/>
    <col min="34" max="34" width="10.42578125" hidden="1" customWidth="1"/>
    <col min="35" max="36" width="9.140625" hidden="1" customWidth="1"/>
    <col min="37" max="38" width="10.42578125" hidden="1" customWidth="1"/>
    <col min="39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49" width="9.140625" hidden="1" customWidth="1"/>
    <col min="50" max="50" width="10.140625" hidden="1" customWidth="1"/>
    <col min="51" max="51" width="13.28515625" hidden="1" customWidth="1"/>
    <col min="52" max="52" width="14" hidden="1" customWidth="1"/>
    <col min="53" max="56" width="10.140625" style="2800" hidden="1" customWidth="1"/>
    <col min="57" max="58" width="10.140625" hidden="1" customWidth="1"/>
    <col min="59" max="60" width="11.5703125" hidden="1" customWidth="1"/>
    <col min="61" max="62" width="10.28515625" hidden="1" customWidth="1"/>
    <col min="63" max="64" width="10.7109375" hidden="1" customWidth="1"/>
    <col min="65" max="67" width="0" hidden="1" customWidth="1"/>
    <col min="16384" max="16384" width="9.140625" customWidth="1"/>
  </cols>
  <sheetData>
    <row r="1" spans="1:66" ht="22.5" x14ac:dyDescent="0.3">
      <c r="A1" s="90"/>
      <c r="B1" s="365" t="s">
        <v>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96"/>
      <c r="P1" s="43"/>
      <c r="Q1" s="43"/>
      <c r="R1" s="43"/>
      <c r="S1" s="90"/>
      <c r="T1" s="1659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</row>
    <row r="2" spans="1:66" ht="15.75" thickBot="1" x14ac:dyDescent="0.3">
      <c r="A2" s="90"/>
      <c r="B2" s="43"/>
      <c r="C2" s="43"/>
      <c r="D2" s="3611">
        <v>365</v>
      </c>
      <c r="E2" s="30">
        <v>30</v>
      </c>
      <c r="F2" s="30">
        <v>30</v>
      </c>
      <c r="G2" s="30">
        <v>31</v>
      </c>
      <c r="H2" s="30">
        <v>31</v>
      </c>
      <c r="I2" s="30">
        <f>+E2+G2</f>
        <v>61</v>
      </c>
      <c r="J2" s="30">
        <f>+F2+H2</f>
        <v>61</v>
      </c>
      <c r="K2" s="30">
        <v>30</v>
      </c>
      <c r="L2" s="30">
        <v>30</v>
      </c>
      <c r="M2" s="30">
        <f>+I2+K2</f>
        <v>91</v>
      </c>
      <c r="N2" s="30">
        <f>+J2+L2</f>
        <v>91</v>
      </c>
      <c r="O2" s="1450">
        <v>31</v>
      </c>
      <c r="P2" s="30">
        <v>31</v>
      </c>
      <c r="Q2" s="30">
        <f>+M2+O2</f>
        <v>122</v>
      </c>
      <c r="R2" s="30">
        <f>+N2+P2</f>
        <v>122</v>
      </c>
      <c r="S2" s="30">
        <v>31</v>
      </c>
      <c r="T2" s="1674">
        <v>31</v>
      </c>
      <c r="U2" s="30">
        <f>+Q2+S2</f>
        <v>153</v>
      </c>
      <c r="V2" s="30">
        <f>+R2+T2</f>
        <v>153</v>
      </c>
      <c r="W2" s="30">
        <v>30</v>
      </c>
      <c r="X2" s="30">
        <v>30</v>
      </c>
      <c r="Y2" s="30">
        <f>+O2+S2+W2</f>
        <v>92</v>
      </c>
      <c r="Z2" s="30">
        <f>+P2+T2+X2</f>
        <v>92</v>
      </c>
      <c r="AA2" s="93">
        <f>+U2+W2</f>
        <v>183</v>
      </c>
      <c r="AB2" s="30">
        <f>+V2+X2</f>
        <v>183</v>
      </c>
      <c r="AC2" s="30">
        <v>31</v>
      </c>
      <c r="AD2" s="1674">
        <v>31</v>
      </c>
      <c r="AE2" s="30">
        <f>+AA2+AC2</f>
        <v>214</v>
      </c>
      <c r="AF2" s="30">
        <f>+AB2+AD2</f>
        <v>214</v>
      </c>
      <c r="AG2" s="30">
        <v>30</v>
      </c>
      <c r="AH2" s="1674">
        <v>30</v>
      </c>
      <c r="AI2" s="30">
        <f>+AE2+AG2</f>
        <v>244</v>
      </c>
      <c r="AJ2" s="30">
        <f>+AF2+AH2</f>
        <v>244</v>
      </c>
      <c r="AK2" s="30">
        <v>31</v>
      </c>
      <c r="AL2" s="30">
        <v>31</v>
      </c>
      <c r="AM2" s="30">
        <f>+AC2+AG2+AK2</f>
        <v>92</v>
      </c>
      <c r="AN2" s="30">
        <f>+AD2+AH2+AL2</f>
        <v>92</v>
      </c>
      <c r="AO2" s="30">
        <f>AI2+AK2</f>
        <v>275</v>
      </c>
      <c r="AP2" s="30">
        <f>AJ2+AL2</f>
        <v>275</v>
      </c>
      <c r="AQ2" s="30">
        <v>31</v>
      </c>
      <c r="AR2" s="1674">
        <v>31</v>
      </c>
      <c r="AS2" s="30">
        <f>+AO2+AQ2</f>
        <v>306</v>
      </c>
      <c r="AT2" s="30">
        <f>+AP2+AR2</f>
        <v>306</v>
      </c>
      <c r="AU2" s="30">
        <v>28</v>
      </c>
      <c r="AV2" s="1674">
        <v>28</v>
      </c>
      <c r="AW2" s="30">
        <f>+AS2+AU2</f>
        <v>334</v>
      </c>
      <c r="AX2" s="30">
        <f>+AT2+AV2</f>
        <v>334</v>
      </c>
      <c r="AY2" s="30">
        <v>31</v>
      </c>
      <c r="AZ2" s="1674">
        <v>31</v>
      </c>
      <c r="BA2" s="30">
        <f>+AQ2+AU2+AY2</f>
        <v>90</v>
      </c>
      <c r="BB2" s="30">
        <f>+AR2+AV2+AZ2</f>
        <v>90</v>
      </c>
      <c r="BC2" s="93">
        <f>+AM2+BA2</f>
        <v>182</v>
      </c>
      <c r="BD2" s="93">
        <f>+AN2+BB2</f>
        <v>182</v>
      </c>
      <c r="BE2" s="30">
        <f>+AW2+AY2</f>
        <v>365</v>
      </c>
      <c r="BF2" s="30">
        <f>+AX2+AZ2</f>
        <v>365</v>
      </c>
    </row>
    <row r="3" spans="1:66" ht="15.75" thickBot="1" x14ac:dyDescent="0.3">
      <c r="A3" s="90"/>
      <c r="B3" s="8010" t="s">
        <v>171</v>
      </c>
      <c r="C3" s="7725" t="s">
        <v>172</v>
      </c>
      <c r="D3" s="8016" t="s">
        <v>2320</v>
      </c>
      <c r="E3" s="8014" t="s">
        <v>2319</v>
      </c>
      <c r="F3" s="8015"/>
      <c r="G3" s="7768" t="s">
        <v>1956</v>
      </c>
      <c r="H3" s="7768"/>
      <c r="I3" s="7766" t="s">
        <v>14</v>
      </c>
      <c r="J3" s="7767"/>
      <c r="K3" s="7780" t="s">
        <v>1986</v>
      </c>
      <c r="L3" s="7777"/>
      <c r="M3" s="8012" t="s">
        <v>607</v>
      </c>
      <c r="N3" s="8013"/>
      <c r="O3" s="7768" t="s">
        <v>2008</v>
      </c>
      <c r="P3" s="7768"/>
      <c r="Q3" s="7766" t="s">
        <v>17</v>
      </c>
      <c r="R3" s="7767"/>
      <c r="S3" s="7768" t="s">
        <v>2011</v>
      </c>
      <c r="T3" s="7768"/>
      <c r="U3" s="7766" t="s">
        <v>18</v>
      </c>
      <c r="V3" s="7767"/>
      <c r="W3" s="7768" t="s">
        <v>2042</v>
      </c>
      <c r="X3" s="7768"/>
      <c r="Y3" s="7769" t="s">
        <v>629</v>
      </c>
      <c r="Z3" s="7770"/>
      <c r="AA3" s="7771" t="s">
        <v>626</v>
      </c>
      <c r="AB3" s="7772"/>
      <c r="AC3" s="7768" t="s">
        <v>2067</v>
      </c>
      <c r="AD3" s="7768"/>
      <c r="AE3" s="7766" t="s">
        <v>24</v>
      </c>
      <c r="AF3" s="7767"/>
      <c r="AG3" s="7768" t="s">
        <v>2170</v>
      </c>
      <c r="AH3" s="7768"/>
      <c r="AI3" s="7766" t="s">
        <v>27</v>
      </c>
      <c r="AJ3" s="7767"/>
      <c r="AK3" s="7768" t="s">
        <v>2194</v>
      </c>
      <c r="AL3" s="7768"/>
      <c r="AM3" s="7769" t="s">
        <v>631</v>
      </c>
      <c r="AN3" s="7770"/>
      <c r="AO3" s="7766" t="s">
        <v>1575</v>
      </c>
      <c r="AP3" s="7767"/>
      <c r="AQ3" s="7768" t="s">
        <v>2206</v>
      </c>
      <c r="AR3" s="7768"/>
      <c r="AS3" s="7766" t="s">
        <v>28</v>
      </c>
      <c r="AT3" s="7767"/>
      <c r="AU3" s="7768" t="s">
        <v>2243</v>
      </c>
      <c r="AV3" s="7768"/>
      <c r="AW3" s="7766" t="s">
        <v>30</v>
      </c>
      <c r="AX3" s="7767"/>
      <c r="AY3" s="7768" t="s">
        <v>2261</v>
      </c>
      <c r="AZ3" s="7768"/>
      <c r="BA3" s="7769" t="s">
        <v>632</v>
      </c>
      <c r="BB3" s="7770"/>
      <c r="BC3" s="7771" t="s">
        <v>638</v>
      </c>
      <c r="BD3" s="7772"/>
      <c r="BE3" s="7766" t="s">
        <v>1984</v>
      </c>
      <c r="BF3" s="7767"/>
    </row>
    <row r="4" spans="1:66" ht="15.75" thickBot="1" x14ac:dyDescent="0.3">
      <c r="A4" s="90"/>
      <c r="B4" s="8011"/>
      <c r="C4" s="7726"/>
      <c r="D4" s="8017"/>
      <c r="E4" s="4179" t="s">
        <v>173</v>
      </c>
      <c r="F4" s="4180" t="s">
        <v>174</v>
      </c>
      <c r="G4" s="4171" t="s">
        <v>173</v>
      </c>
      <c r="H4" s="4181" t="s">
        <v>174</v>
      </c>
      <c r="I4" s="4182" t="s">
        <v>173</v>
      </c>
      <c r="J4" s="4183" t="s">
        <v>174</v>
      </c>
      <c r="K4" s="4171" t="s">
        <v>173</v>
      </c>
      <c r="L4" s="4181" t="s">
        <v>174</v>
      </c>
      <c r="M4" s="4184" t="s">
        <v>173</v>
      </c>
      <c r="N4" s="4185" t="s">
        <v>174</v>
      </c>
      <c r="O4" s="211" t="s">
        <v>173</v>
      </c>
      <c r="P4" s="150" t="s">
        <v>174</v>
      </c>
      <c r="Q4" s="516" t="s">
        <v>173</v>
      </c>
      <c r="R4" s="152" t="s">
        <v>174</v>
      </c>
      <c r="S4" s="211" t="s">
        <v>173</v>
      </c>
      <c r="T4" s="1675" t="s">
        <v>174</v>
      </c>
      <c r="U4" s="516" t="s">
        <v>173</v>
      </c>
      <c r="V4" s="152" t="s">
        <v>174</v>
      </c>
      <c r="W4" s="515" t="s">
        <v>173</v>
      </c>
      <c r="X4" s="150" t="s">
        <v>174</v>
      </c>
      <c r="Y4" s="660" t="s">
        <v>173</v>
      </c>
      <c r="Z4" s="159" t="s">
        <v>174</v>
      </c>
      <c r="AA4" s="2317" t="s">
        <v>173</v>
      </c>
      <c r="AB4" s="441" t="s">
        <v>174</v>
      </c>
      <c r="AC4" s="211" t="s">
        <v>173</v>
      </c>
      <c r="AD4" s="1675" t="s">
        <v>174</v>
      </c>
      <c r="AE4" s="2429" t="s">
        <v>173</v>
      </c>
      <c r="AF4" s="152" t="s">
        <v>174</v>
      </c>
      <c r="AG4" s="211" t="s">
        <v>173</v>
      </c>
      <c r="AH4" s="1675" t="s">
        <v>174</v>
      </c>
      <c r="AI4" s="2476" t="s">
        <v>173</v>
      </c>
      <c r="AJ4" s="152" t="s">
        <v>174</v>
      </c>
      <c r="AK4" s="2535" t="s">
        <v>173</v>
      </c>
      <c r="AL4" s="2538" t="s">
        <v>174</v>
      </c>
      <c r="AM4" s="2534" t="s">
        <v>173</v>
      </c>
      <c r="AN4" s="159" t="s">
        <v>174</v>
      </c>
      <c r="AO4" s="2533" t="s">
        <v>173</v>
      </c>
      <c r="AP4" s="152" t="s">
        <v>174</v>
      </c>
      <c r="AQ4" s="211" t="s">
        <v>173</v>
      </c>
      <c r="AR4" s="1675" t="s">
        <v>174</v>
      </c>
      <c r="AS4" s="2592" t="s">
        <v>173</v>
      </c>
      <c r="AT4" s="152" t="s">
        <v>174</v>
      </c>
      <c r="AU4" s="211" t="s">
        <v>173</v>
      </c>
      <c r="AV4" s="1675" t="s">
        <v>174</v>
      </c>
      <c r="AW4" s="2637" t="s">
        <v>173</v>
      </c>
      <c r="AX4" s="152" t="s">
        <v>174</v>
      </c>
      <c r="AY4" s="211" t="s">
        <v>173</v>
      </c>
      <c r="AZ4" s="1675" t="s">
        <v>174</v>
      </c>
      <c r="BA4" s="2799" t="s">
        <v>173</v>
      </c>
      <c r="BB4" s="159" t="s">
        <v>174</v>
      </c>
      <c r="BC4" s="2317" t="s">
        <v>173</v>
      </c>
      <c r="BD4" s="441" t="s">
        <v>174</v>
      </c>
      <c r="BE4" s="2798" t="s">
        <v>173</v>
      </c>
      <c r="BF4" s="152" t="s">
        <v>174</v>
      </c>
    </row>
    <row r="5" spans="1:66" x14ac:dyDescent="0.25">
      <c r="B5" s="1703" t="s">
        <v>1751</v>
      </c>
      <c r="C5" s="767" t="s">
        <v>169</v>
      </c>
      <c r="D5" s="1360">
        <v>96.509589041095893</v>
      </c>
      <c r="E5" s="1360">
        <v>98</v>
      </c>
      <c r="F5" s="1360">
        <f>+'Maj Production Summ'!F6</f>
        <v>98</v>
      </c>
      <c r="G5" s="1360">
        <v>98</v>
      </c>
      <c r="H5" s="1360">
        <f>+'Maj Production Summ'!H6</f>
        <v>97.612903225806448</v>
      </c>
      <c r="I5" s="1361">
        <f>+'Maj Production Summ'!I6</f>
        <v>98</v>
      </c>
      <c r="J5" s="1361">
        <f>+'Maj Production Summ'!J6</f>
        <v>97.803278688524586</v>
      </c>
      <c r="K5" s="1360">
        <v>94</v>
      </c>
      <c r="L5" s="1360">
        <f>+'Maj Production Summ'!L6</f>
        <v>96.066666666666663</v>
      </c>
      <c r="M5" s="1438">
        <f>+'Maj Production Summ'!M6</f>
        <v>96.681318681318686</v>
      </c>
      <c r="N5" s="163">
        <f>+'Maj Production Summ'!N6</f>
        <v>97.230769230769226</v>
      </c>
      <c r="O5" s="1360">
        <v>94</v>
      </c>
      <c r="P5" s="1360">
        <f>+'Maj Production Summ'!P6</f>
        <v>95.41935483870968</v>
      </c>
      <c r="Q5" s="325">
        <f>+'Maj Production Summ'!Q6</f>
        <v>96</v>
      </c>
      <c r="R5" s="325">
        <f>+'Maj Production Summ'!R6</f>
        <v>96.770491803278688</v>
      </c>
      <c r="S5" s="1360">
        <v>94</v>
      </c>
      <c r="T5" s="1360">
        <f>+'Maj Production Summ'!T6</f>
        <v>98</v>
      </c>
      <c r="U5" s="325">
        <f>+'Maj Production Summ'!U6</f>
        <v>95.59477124183006</v>
      </c>
      <c r="V5" s="325">
        <f>+'Maj Production Summ'!V6</f>
        <v>97.019607843137251</v>
      </c>
      <c r="W5" s="1360">
        <v>92.1</v>
      </c>
      <c r="X5" s="1360">
        <f>+'Maj Production Summ'!X6</f>
        <v>98</v>
      </c>
      <c r="Y5" s="426">
        <f>+'Maj Production Summ'!Y6</f>
        <v>93.380434782608702</v>
      </c>
      <c r="Z5" s="426">
        <f>+'Maj Production Summ'!Z6</f>
        <v>97.130434782608702</v>
      </c>
      <c r="AA5" s="446">
        <f>+'Maj Production Summ'!AA6</f>
        <v>95.021857923497265</v>
      </c>
      <c r="AB5" s="446">
        <f>+'Maj Production Summ'!AB6</f>
        <v>97.180327868852459</v>
      </c>
      <c r="AC5" s="1360">
        <v>94</v>
      </c>
      <c r="AD5" s="1360">
        <f>+'Maj Production Summ'!AD6</f>
        <v>96.548387096774192</v>
      </c>
      <c r="AE5" s="325">
        <f>+'Maj Production Summ'!AE6</f>
        <v>94.873831775700936</v>
      </c>
      <c r="AF5" s="325">
        <f>+'Maj Production Summ'!AF6</f>
        <v>97.088785046728972</v>
      </c>
      <c r="AG5" s="1360">
        <v>94</v>
      </c>
      <c r="AH5" s="1360">
        <f>+'Maj Production Summ'!AH6</f>
        <v>94.233333333333334</v>
      </c>
      <c r="AI5" s="325">
        <f>+'Maj Production Summ'!AI6</f>
        <v>94.766393442622956</v>
      </c>
      <c r="AJ5" s="325">
        <f>+'Maj Production Summ'!AJ6</f>
        <v>96.73770491803279</v>
      </c>
      <c r="AK5" s="1360">
        <v>94</v>
      </c>
      <c r="AL5" s="1360">
        <f>+'Maj Production Summ'!AL6</f>
        <v>94.096774193548384</v>
      </c>
      <c r="AM5" s="426">
        <f>+'Maj Production Summ'!AM6</f>
        <v>94</v>
      </c>
      <c r="AN5" s="426">
        <f>+'Maj Production Summ'!AN6</f>
        <v>94.967391304347828</v>
      </c>
      <c r="AO5" s="325">
        <f>+'Maj Production Summ'!AO6</f>
        <v>94.68</v>
      </c>
      <c r="AP5" s="325">
        <f>+'Maj Production Summ'!AP6</f>
        <v>96.44</v>
      </c>
      <c r="AQ5" s="1360">
        <v>94</v>
      </c>
      <c r="AR5" s="1360">
        <f>+'Maj Production Summ'!AR6</f>
        <v>94.838709677419359</v>
      </c>
      <c r="AS5" s="325">
        <f>+'Maj Production Summ'!AS6</f>
        <v>94.611111111111128</v>
      </c>
      <c r="AT5" s="325">
        <f>+'Maj Production Summ'!AT6</f>
        <v>96.277777777777771</v>
      </c>
      <c r="AU5" s="1360">
        <v>94</v>
      </c>
      <c r="AV5" s="1360">
        <f>+'Maj Production Summ'!AV6</f>
        <v>94.428571428571431</v>
      </c>
      <c r="AW5" s="325">
        <f>+'Maj Production Summ'!AW6</f>
        <v>94.559880239520965</v>
      </c>
      <c r="AX5" s="325">
        <f>+'Maj Production Summ'!AX6</f>
        <v>96.122754491017957</v>
      </c>
      <c r="AY5" s="1360">
        <v>94</v>
      </c>
      <c r="AZ5" s="1360">
        <f>+'Maj Production Summ'!AZ6</f>
        <v>98</v>
      </c>
      <c r="BA5" s="426">
        <f>+'Maj Production Summ'!BA6</f>
        <v>94</v>
      </c>
      <c r="BB5" s="426">
        <f>+'Maj Production Summ'!BB6</f>
        <v>95.8</v>
      </c>
      <c r="BC5" s="446">
        <f>+'Maj Production Summ'!BC6</f>
        <v>94</v>
      </c>
      <c r="BD5" s="446">
        <f>+'Maj Production Summ'!BD6</f>
        <v>95.379120879120876</v>
      </c>
      <c r="BE5" s="325">
        <f>+'Maj Production Summ'!BE6</f>
        <v>94.512328767123293</v>
      </c>
      <c r="BF5" s="325">
        <f>+'Maj Production Summ'!BF6</f>
        <v>96.282191780821918</v>
      </c>
      <c r="BG5" s="1137"/>
      <c r="BH5" s="1137"/>
      <c r="BI5" s="4234"/>
      <c r="BJ5" s="502"/>
    </row>
    <row r="6" spans="1:66" ht="15.75" thickBot="1" x14ac:dyDescent="0.3">
      <c r="B6" s="1702" t="s">
        <v>1752</v>
      </c>
      <c r="C6" s="4169" t="s">
        <v>169</v>
      </c>
      <c r="D6" s="3171">
        <v>97.71761643835616</v>
      </c>
      <c r="E6" s="3171">
        <v>96.6</v>
      </c>
      <c r="F6" s="3171">
        <f>+'Maj Production Summ'!F7</f>
        <v>98.433333333333337</v>
      </c>
      <c r="G6" s="3171">
        <v>98</v>
      </c>
      <c r="H6" s="3171">
        <f>+'Maj Production Summ'!H7</f>
        <v>97.483870967741936</v>
      </c>
      <c r="I6" s="3432">
        <f>+'Maj Production Summ'!I7</f>
        <v>97.311475409836063</v>
      </c>
      <c r="J6" s="3432">
        <f>+'Maj Production Summ'!J7</f>
        <v>97.950819672131146</v>
      </c>
      <c r="K6" s="3171">
        <v>98</v>
      </c>
      <c r="L6" s="3171">
        <f>+'Maj Production Summ'!L7</f>
        <v>98.466666666666669</v>
      </c>
      <c r="M6" s="3679">
        <f>+'Maj Production Summ'!M7</f>
        <v>97.538461538461533</v>
      </c>
      <c r="N6" s="109">
        <f>+'Maj Production Summ'!N7</f>
        <v>98.120879120879124</v>
      </c>
      <c r="O6" s="3171">
        <v>98</v>
      </c>
      <c r="P6" s="3171">
        <f>+'Maj Production Summ'!P7</f>
        <v>99</v>
      </c>
      <c r="Q6" s="1319">
        <f>+'Maj Production Summ'!Q7</f>
        <v>97.655737704918039</v>
      </c>
      <c r="R6" s="1319">
        <f>+'Maj Production Summ'!R7</f>
        <v>98.344262295081961</v>
      </c>
      <c r="S6" s="3171">
        <v>98</v>
      </c>
      <c r="T6" s="3171">
        <f>+'Maj Production Summ'!T7</f>
        <v>98.516129032258064</v>
      </c>
      <c r="U6" s="4329">
        <f>+'Maj Production Summ'!U7</f>
        <v>97.725490196078425</v>
      </c>
      <c r="V6" s="4329">
        <f>+'Maj Production Summ'!V7</f>
        <v>98.379084967320267</v>
      </c>
      <c r="W6" s="3171">
        <v>93.5</v>
      </c>
      <c r="X6" s="3171">
        <f>+'Maj Production Summ'!X7</f>
        <v>98.766666666666666</v>
      </c>
      <c r="Y6" s="426">
        <f>+'Maj Production Summ'!Y7</f>
        <v>96.532608695652172</v>
      </c>
      <c r="Z6" s="426">
        <f>+'Maj Production Summ'!Z7</f>
        <v>98.760869565217391</v>
      </c>
      <c r="AA6" s="446">
        <f>+'Maj Production Summ'!AA7</f>
        <v>97.032786885245898</v>
      </c>
      <c r="AB6" s="446">
        <f>+'Maj Production Summ'!AB7</f>
        <v>98.442622950819668</v>
      </c>
      <c r="AC6" s="3171">
        <v>98</v>
      </c>
      <c r="AD6" s="3171">
        <f>+'Maj Production Summ'!AD7</f>
        <v>97.193548387096769</v>
      </c>
      <c r="AE6" s="2431">
        <f>+'Maj Production Summ'!AE7</f>
        <v>97.172897196261687</v>
      </c>
      <c r="AF6" s="2431">
        <f>+'Maj Production Summ'!AF7</f>
        <v>98.261682242990659</v>
      </c>
      <c r="AG6" s="3171">
        <v>98</v>
      </c>
      <c r="AH6" s="3171">
        <f>+'Maj Production Summ'!AH7</f>
        <v>98.666666666666671</v>
      </c>
      <c r="AI6" s="2478">
        <f>+'Maj Production Summ'!AI7</f>
        <v>97.27459016393442</v>
      </c>
      <c r="AJ6" s="2478">
        <f>+'Maj Production Summ'!AJ7</f>
        <v>98.311475409836063</v>
      </c>
      <c r="AK6" s="3171">
        <v>98</v>
      </c>
      <c r="AL6" s="3171">
        <f>+'Maj Production Summ'!AL7</f>
        <v>98.741935483870961</v>
      </c>
      <c r="AM6" s="426">
        <f>+'Maj Production Summ'!AM7</f>
        <v>98</v>
      </c>
      <c r="AN6" s="426">
        <f>+'Maj Production Summ'!AN7</f>
        <v>98.195652173913047</v>
      </c>
      <c r="AO6" s="2537">
        <f>+'Maj Production Summ'!AO7</f>
        <v>97.356363636363639</v>
      </c>
      <c r="AP6" s="2537">
        <f>+'Maj Production Summ'!AP7</f>
        <v>98.36</v>
      </c>
      <c r="AQ6" s="3171">
        <v>98</v>
      </c>
      <c r="AR6" s="3171">
        <f>+'Maj Production Summ'!AR7</f>
        <v>97.870967741935488</v>
      </c>
      <c r="AS6" s="2594">
        <f>+'Maj Production Summ'!AS7</f>
        <v>97.421568627450981</v>
      </c>
      <c r="AT6" s="2594">
        <f>+'Maj Production Summ'!AT7</f>
        <v>98.310457516339866</v>
      </c>
      <c r="AU6" s="3171">
        <v>98</v>
      </c>
      <c r="AV6" s="3171">
        <f>+'Maj Production Summ'!AV7</f>
        <v>98.035714285714292</v>
      </c>
      <c r="AW6" s="5018">
        <f>+'Maj Production Summ'!AW7</f>
        <v>97.470059880239518</v>
      </c>
      <c r="AX6" s="5018">
        <f>+'Maj Production Summ'!AX7</f>
        <v>98.287425149700596</v>
      </c>
      <c r="AY6" s="3171">
        <v>98</v>
      </c>
      <c r="AZ6" s="3171">
        <f>+'Maj Production Summ'!AZ7</f>
        <v>98.677419354838705</v>
      </c>
      <c r="BA6" s="426">
        <f>+'Maj Production Summ'!BA7</f>
        <v>98</v>
      </c>
      <c r="BB6" s="426">
        <f>+'Maj Production Summ'!BB7</f>
        <v>98.2</v>
      </c>
      <c r="BC6" s="446">
        <f>+'Maj Production Summ'!BC7</f>
        <v>98</v>
      </c>
      <c r="BD6" s="446">
        <f>+'Maj Production Summ'!BD7</f>
        <v>98.197802197802204</v>
      </c>
      <c r="BE6" s="325">
        <f>+'Maj Production Summ'!BE7</f>
        <v>97.515068493150679</v>
      </c>
      <c r="BF6" s="325">
        <f>+'Maj Production Summ'!BF7</f>
        <v>98.320547945205476</v>
      </c>
      <c r="BG6" s="1137"/>
      <c r="BH6" s="1137"/>
      <c r="BI6" s="4234"/>
      <c r="BJ6" s="502"/>
    </row>
    <row r="7" spans="1:66" ht="15.75" thickBot="1" x14ac:dyDescent="0.3">
      <c r="A7" s="137" t="s">
        <v>446</v>
      </c>
      <c r="B7" s="3248" t="s">
        <v>1753</v>
      </c>
      <c r="C7" s="4169" t="s">
        <v>170</v>
      </c>
      <c r="D7" s="3692">
        <f>D5+(D6*1.8343023255814)</f>
        <v>275.7532401242438</v>
      </c>
      <c r="E7" s="3692">
        <f>E5+(E6*1.8343023255814)</f>
        <v>275.19360465116324</v>
      </c>
      <c r="F7" s="3692">
        <f>F5+(F6*1.8343023255814)</f>
        <v>278.55649224806245</v>
      </c>
      <c r="G7" s="3692">
        <f>G5+(G6*1.8343023255814)</f>
        <v>277.7616279069772</v>
      </c>
      <c r="H7" s="3692">
        <f>H5+(H6*1.8343023255814)</f>
        <v>276.42779444861259</v>
      </c>
      <c r="I7" s="4167">
        <f t="shared" ref="I7:N7" si="0">I5+(I6*1.8343023255814)</f>
        <v>276.49866565001952</v>
      </c>
      <c r="J7" s="4167">
        <f t="shared" si="0"/>
        <v>277.47469500571913</v>
      </c>
      <c r="K7" s="3692">
        <f>K5+(K6*1.8343023255814)</f>
        <v>273.7616279069772</v>
      </c>
      <c r="L7" s="3692">
        <f>L5+(L6*1.8343023255814)</f>
        <v>276.68430232558183</v>
      </c>
      <c r="M7" s="4164">
        <f t="shared" si="0"/>
        <v>275.5963455149506</v>
      </c>
      <c r="N7" s="4188">
        <f t="shared" si="0"/>
        <v>277.21412599028923</v>
      </c>
      <c r="O7" s="3692">
        <f>O5+(O6*1.8343023255814)</f>
        <v>273.7616279069772</v>
      </c>
      <c r="P7" s="3692">
        <f>P5+(P6*1.8343023255814)</f>
        <v>277.01528507126829</v>
      </c>
      <c r="Q7" s="700">
        <f t="shared" ref="Q7:R7" si="1">Q5+(Q6*1.8343023255814)</f>
        <v>275.13014677849833</v>
      </c>
      <c r="R7" s="61">
        <f t="shared" si="1"/>
        <v>277.16360083873474</v>
      </c>
      <c r="S7" s="3692">
        <f>S5+(S6*1.8343023255814)</f>
        <v>273.7616279069772</v>
      </c>
      <c r="T7" s="3692">
        <f>T5+(T6*1.8343023255814)</f>
        <v>278.70836459114821</v>
      </c>
      <c r="U7" s="700">
        <f t="shared" ref="U7:V7" si="2">U5+(U6*1.8343023255814)</f>
        <v>274.85286517707902</v>
      </c>
      <c r="V7" s="61">
        <f t="shared" si="2"/>
        <v>277.47659218726295</v>
      </c>
      <c r="W7" s="3692">
        <f>W5+(W6*1.8343023255814)</f>
        <v>263.60726744186093</v>
      </c>
      <c r="X7" s="3692">
        <f>X5+(X6*1.8343023255814)</f>
        <v>279.16792635658959</v>
      </c>
      <c r="Y7" s="699">
        <f t="shared" ref="Y7:AB7" si="3">Y5+(Y6*1.8343023255814)</f>
        <v>270.45042340748273</v>
      </c>
      <c r="Z7" s="68">
        <f t="shared" si="3"/>
        <v>278.28772750252824</v>
      </c>
      <c r="AA7" s="2069">
        <f t="shared" si="3"/>
        <v>273.00932456474817</v>
      </c>
      <c r="AB7" s="1278">
        <f t="shared" si="3"/>
        <v>277.75386008387386</v>
      </c>
      <c r="AC7" s="3692">
        <f>AC5+(AC6*1.8343023255814)</f>
        <v>273.7616279069772</v>
      </c>
      <c r="AD7" s="3692">
        <f>AD5+(AD6*1.8343023255814)</f>
        <v>274.83073893473414</v>
      </c>
      <c r="AE7" s="700">
        <f t="shared" ref="AE7:AF7" si="4">+AE5+(AE6*(31.55/17.2))</f>
        <v>273.11830308628561</v>
      </c>
      <c r="AF7" s="61">
        <f t="shared" si="4"/>
        <v>277.33041730058687</v>
      </c>
      <c r="AG7" s="3692">
        <f>AG5+(AG6*1.8343023255814)</f>
        <v>273.7616279069772</v>
      </c>
      <c r="AH7" s="3692">
        <f>AH5+(AH6*1.8343023255814)</f>
        <v>275.21782945736481</v>
      </c>
      <c r="AI7" s="700">
        <f t="shared" ref="AI7:AJ7" si="5">+AI5+(AI6*(31.55/17.2))</f>
        <v>273.19740040030501</v>
      </c>
      <c r="AJ7" s="61">
        <f t="shared" si="5"/>
        <v>277.07067289363329</v>
      </c>
      <c r="AK7" s="3692">
        <f>AK5+(AK6*1.8343023255814)</f>
        <v>273.7616279069772</v>
      </c>
      <c r="AL7" s="3692">
        <f>AL5+(AL6*1.8343023255814)</f>
        <v>275.21933608402145</v>
      </c>
      <c r="AM7" s="699">
        <f t="shared" ref="AM7:AN7" si="6">AM5+(AM6*1.8343023255814)</f>
        <v>273.7616279069772</v>
      </c>
      <c r="AN7" s="68">
        <f t="shared" si="6"/>
        <v>275.08790444893879</v>
      </c>
      <c r="AO7" s="700">
        <f t="shared" ref="AO7:AT7" si="7">+AO5+(AO6*(31.55/17.2))</f>
        <v>273.26100422832985</v>
      </c>
      <c r="AP7" s="61">
        <f t="shared" si="7"/>
        <v>276.86197674418605</v>
      </c>
      <c r="AQ7" s="3692">
        <f>AQ5+(AQ6*1.8343023255814)</f>
        <v>273.7616279069772</v>
      </c>
      <c r="AR7" s="3692">
        <f>AR5+(AR6*1.8343023255814)</f>
        <v>274.3636534133538</v>
      </c>
      <c r="AS7" s="700">
        <f t="shared" si="7"/>
        <v>273.31172100623201</v>
      </c>
      <c r="AT7" s="61">
        <f t="shared" si="7"/>
        <v>276.60887862897096</v>
      </c>
      <c r="AU7" s="3692">
        <f>AU5+(AU6*1.8343023255814)</f>
        <v>273.7616279069772</v>
      </c>
      <c r="AV7" s="3692">
        <f>AV5+(AV6*1.8343023255814)</f>
        <v>274.25571013289084</v>
      </c>
      <c r="AW7" s="700">
        <f t="shared" ref="AW7:AX7" si="8">+AW5+(AW6*(31.55/17.2))</f>
        <v>273.3494377524022</v>
      </c>
      <c r="AX7" s="61">
        <f t="shared" si="8"/>
        <v>276.41160701852107</v>
      </c>
      <c r="AY7" s="3692">
        <f>AY5+(AY6*1.8343023255814)</f>
        <v>273.7616279069772</v>
      </c>
      <c r="AZ7" s="3692">
        <f>AZ5+(AZ6*1.8343023255814)</f>
        <v>279.00421980495167</v>
      </c>
      <c r="BA7" s="699">
        <f t="shared" ref="BA7:BD7" si="9">BA5+(BA6*1.8343023255814)</f>
        <v>273.7616279069772</v>
      </c>
      <c r="BB7" s="68">
        <f t="shared" si="9"/>
        <v>275.92848837209345</v>
      </c>
      <c r="BC7" s="2069">
        <f t="shared" si="9"/>
        <v>273.7616279069772</v>
      </c>
      <c r="BD7" s="1278">
        <f t="shared" si="9"/>
        <v>275.50357781753178</v>
      </c>
      <c r="BE7" s="700">
        <f t="shared" ref="BE7:BF7" si="10">+BE5+(BE6*(31.55/17.2))</f>
        <v>273.38444568333864</v>
      </c>
      <c r="BF7" s="61">
        <f t="shared" si="10"/>
        <v>276.63180152914941</v>
      </c>
      <c r="BG7" s="1137"/>
      <c r="BH7" s="1137"/>
      <c r="BI7" s="4234"/>
      <c r="BJ7" s="502"/>
    </row>
    <row r="8" spans="1:66" x14ac:dyDescent="0.25">
      <c r="B8" s="4189" t="s">
        <v>1754</v>
      </c>
      <c r="C8" s="4169" t="s">
        <v>647</v>
      </c>
      <c r="D8" s="4168">
        <f>+'Maj Production Summ'!D9</f>
        <v>35226</v>
      </c>
      <c r="E8" s="4168">
        <f>+'Maj Production Summ'!E9</f>
        <v>2940</v>
      </c>
      <c r="F8" s="4168">
        <f>+'Maj Production Summ'!F9</f>
        <v>2940</v>
      </c>
      <c r="G8" s="5585">
        <f>+'Maj Production Summ'!G9</f>
        <v>3038</v>
      </c>
      <c r="H8" s="5585">
        <f>+'Maj Production Summ'!H9</f>
        <v>3026</v>
      </c>
      <c r="I8" s="4163">
        <f>+'Maj Production Summ'!I9</f>
        <v>5978</v>
      </c>
      <c r="J8" s="4163">
        <f>+'Maj Production Summ'!J9</f>
        <v>5966</v>
      </c>
      <c r="K8" s="5695">
        <f>+'Maj Production Summ'!K9</f>
        <v>2820</v>
      </c>
      <c r="L8" s="5695">
        <f>+'Maj Production Summ'!L9</f>
        <v>2882</v>
      </c>
      <c r="M8" s="4166">
        <f>+'Maj Production Summ'!M9</f>
        <v>8798</v>
      </c>
      <c r="N8" s="67">
        <f>+'Maj Production Summ'!N9</f>
        <v>8848</v>
      </c>
      <c r="O8" s="5857">
        <f>+'Maj Production Summ'!O9</f>
        <v>2914</v>
      </c>
      <c r="P8" s="5857">
        <f>+'Maj Production Summ'!P9</f>
        <v>2958</v>
      </c>
      <c r="Q8" s="4160">
        <f>+'Maj Production Summ'!Q9</f>
        <v>11712</v>
      </c>
      <c r="R8" s="4160">
        <f>+'Maj Production Summ'!R9</f>
        <v>11806</v>
      </c>
      <c r="S8" s="5923">
        <f>+'Maj Production Summ'!S9</f>
        <v>2914</v>
      </c>
      <c r="T8" s="5923">
        <f>+'Maj Production Summ'!T9</f>
        <v>3038</v>
      </c>
      <c r="U8" s="4325">
        <f>+'Maj Production Summ'!U9</f>
        <v>14626</v>
      </c>
      <c r="V8" s="4325">
        <f>+'Maj Production Summ'!V9</f>
        <v>14844</v>
      </c>
      <c r="W8" s="6021">
        <f>+'Maj Production Summ'!W9</f>
        <v>2763</v>
      </c>
      <c r="X8" s="6021">
        <f>+'Maj Production Summ'!X9</f>
        <v>2940</v>
      </c>
      <c r="Y8" s="2244">
        <f>+'Maj Production Summ'!Y9</f>
        <v>8591</v>
      </c>
      <c r="Z8" s="2244">
        <f>+'Maj Production Summ'!Z9</f>
        <v>8936</v>
      </c>
      <c r="AA8" s="4159">
        <f>+'Maj Production Summ'!AA9</f>
        <v>17389</v>
      </c>
      <c r="AB8" s="4159">
        <f>+'Maj Production Summ'!AB9</f>
        <v>17784</v>
      </c>
      <c r="AC8" s="6156">
        <f>+'Maj Production Summ'!AC9</f>
        <v>2914</v>
      </c>
      <c r="AD8" s="6156">
        <f>+'Maj Production Summ'!AD9</f>
        <v>2993</v>
      </c>
      <c r="AE8" s="4160">
        <f>+'Maj Production Summ'!AE9</f>
        <v>20303</v>
      </c>
      <c r="AF8" s="4160">
        <f>+'Maj Production Summ'!AF9</f>
        <v>20777</v>
      </c>
      <c r="AG8" s="6318">
        <f>+'Maj Production Summ'!AG9</f>
        <v>2820</v>
      </c>
      <c r="AH8" s="6318">
        <f>+'Maj Production Summ'!AH9</f>
        <v>2827</v>
      </c>
      <c r="AI8" s="4160">
        <f>+'Maj Production Summ'!AI9</f>
        <v>23123</v>
      </c>
      <c r="AJ8" s="4160">
        <f>+'Maj Production Summ'!AJ9</f>
        <v>23604</v>
      </c>
      <c r="AK8" s="6577">
        <f>+'Maj Production Summ'!AK9</f>
        <v>2914</v>
      </c>
      <c r="AL8" s="6577">
        <f>+'Maj Production Summ'!AL9</f>
        <v>2917</v>
      </c>
      <c r="AM8" s="2244">
        <f>+'Maj Production Summ'!AM9</f>
        <v>8648</v>
      </c>
      <c r="AN8" s="2244">
        <f>+'Maj Production Summ'!AN9</f>
        <v>8737</v>
      </c>
      <c r="AO8" s="4160">
        <f>+'Maj Production Summ'!AO9</f>
        <v>26037</v>
      </c>
      <c r="AP8" s="4160">
        <f>+'Maj Production Summ'!AP9</f>
        <v>26521</v>
      </c>
      <c r="AQ8" s="6657">
        <f>+'Maj Production Summ'!AQ9</f>
        <v>2914</v>
      </c>
      <c r="AR8" s="6657">
        <f>+'Maj Production Summ'!AR9</f>
        <v>2940</v>
      </c>
      <c r="AS8" s="4160">
        <f>+'Maj Production Summ'!AS9</f>
        <v>28951.000000000004</v>
      </c>
      <c r="AT8" s="4160">
        <f>+'Maj Production Summ'!AT9</f>
        <v>29461</v>
      </c>
      <c r="AU8" s="6833">
        <f>+'Maj Production Summ'!AU9</f>
        <v>2632</v>
      </c>
      <c r="AV8" s="6833">
        <f>+'Maj Production Summ'!AV9</f>
        <v>2644</v>
      </c>
      <c r="AW8" s="5017">
        <f>+'Maj Production Summ'!AW9</f>
        <v>31583.000000000004</v>
      </c>
      <c r="AX8" s="5017">
        <f>+'Maj Production Summ'!AX9</f>
        <v>32105</v>
      </c>
      <c r="AY8" s="6977">
        <f>+'Maj Production Summ'!AY9</f>
        <v>2914</v>
      </c>
      <c r="AZ8" s="6977">
        <f>+'Maj Production Summ'!AZ9</f>
        <v>3038</v>
      </c>
      <c r="BA8" s="2244">
        <f>+'Maj Production Summ'!BA9</f>
        <v>8460</v>
      </c>
      <c r="BB8" s="2244">
        <f>+'Maj Production Summ'!BB9</f>
        <v>8622</v>
      </c>
      <c r="BC8" s="4159">
        <f>+'Maj Production Summ'!BC9</f>
        <v>17108</v>
      </c>
      <c r="BD8" s="4159">
        <f>+'Maj Production Summ'!BD9</f>
        <v>17359</v>
      </c>
      <c r="BE8" s="4160">
        <f>+'Maj Production Summ'!BE9</f>
        <v>34497</v>
      </c>
      <c r="BF8" s="4160">
        <f>+'Maj Production Summ'!BF9</f>
        <v>35143</v>
      </c>
      <c r="BG8" s="1137">
        <f t="shared" ref="BG8:BG69" si="11">AY8+AU8+AQ8+AK8+AG8+AC8+W8+S8+O8+K8+G8+E8-BE8</f>
        <v>0</v>
      </c>
      <c r="BH8" s="1137">
        <f t="shared" ref="BH8:BH69" si="12">AZ8+AV8+AR8+AL8+AH8+AD8+X8+T8+P8+L8+H8+F8-BF8</f>
        <v>0</v>
      </c>
      <c r="BI8" s="1137"/>
      <c r="BJ8" s="1137">
        <f>AC8+AG8+AK8+AQ8+AU8+AY8-BC8</f>
        <v>0</v>
      </c>
      <c r="BK8" s="1137">
        <f>AD8+AH8+AL8+AR8+AV8+AZ8-BD8</f>
        <v>0</v>
      </c>
      <c r="BL8" s="25"/>
      <c r="BM8" s="25"/>
      <c r="BN8" s="25"/>
    </row>
    <row r="9" spans="1:66" ht="15.75" thickBot="1" x14ac:dyDescent="0.3">
      <c r="B9" s="4189" t="s">
        <v>1755</v>
      </c>
      <c r="C9" s="4169" t="s">
        <v>647</v>
      </c>
      <c r="D9" s="4168">
        <f>+'Maj Production Summ'!D10</f>
        <v>35666.93</v>
      </c>
      <c r="E9" s="4168">
        <f>+'Maj Production Summ'!E10</f>
        <v>2898</v>
      </c>
      <c r="F9" s="4168">
        <f>+'Maj Production Summ'!F10</f>
        <v>2953</v>
      </c>
      <c r="G9" s="5585">
        <f>+'Maj Production Summ'!G10</f>
        <v>3038</v>
      </c>
      <c r="H9" s="5585">
        <f>+'Maj Production Summ'!H10</f>
        <v>3022</v>
      </c>
      <c r="I9" s="4163">
        <f>+'Maj Production Summ'!I10</f>
        <v>5936</v>
      </c>
      <c r="J9" s="4163">
        <f>+'Maj Production Summ'!J10</f>
        <v>5975</v>
      </c>
      <c r="K9" s="5695">
        <f>+'Maj Production Summ'!K10</f>
        <v>2940</v>
      </c>
      <c r="L9" s="5695">
        <f>+'Maj Production Summ'!L10</f>
        <v>2954</v>
      </c>
      <c r="M9" s="4166">
        <f>+'Maj Production Summ'!M10</f>
        <v>8876</v>
      </c>
      <c r="N9" s="67">
        <f>+'Maj Production Summ'!N10</f>
        <v>8929</v>
      </c>
      <c r="O9" s="5857">
        <f>+'Maj Production Summ'!O10</f>
        <v>3038</v>
      </c>
      <c r="P9" s="5857">
        <f>+'Maj Production Summ'!P10</f>
        <v>3069</v>
      </c>
      <c r="Q9" s="3833">
        <f>+'Maj Production Summ'!Q10</f>
        <v>11914</v>
      </c>
      <c r="R9" s="3833">
        <f>+'Maj Production Summ'!R10</f>
        <v>11998</v>
      </c>
      <c r="S9" s="5923">
        <f>+'Maj Production Summ'!S10</f>
        <v>3038</v>
      </c>
      <c r="T9" s="5923">
        <f>+'Maj Production Summ'!T10</f>
        <v>3054</v>
      </c>
      <c r="U9" s="3833">
        <f>+'Maj Production Summ'!U10</f>
        <v>14952</v>
      </c>
      <c r="V9" s="3833">
        <f>+'Maj Production Summ'!V10</f>
        <v>15052</v>
      </c>
      <c r="W9" s="6021">
        <f>+'Maj Production Summ'!W10</f>
        <v>2805</v>
      </c>
      <c r="X9" s="6021">
        <f>+'Maj Production Summ'!X10</f>
        <v>2963</v>
      </c>
      <c r="Y9" s="2244">
        <f>+'Maj Production Summ'!Y10</f>
        <v>8881</v>
      </c>
      <c r="Z9" s="2244">
        <f>+'Maj Production Summ'!Z10</f>
        <v>9086</v>
      </c>
      <c r="AA9" s="4159">
        <f>+'Maj Production Summ'!AA10</f>
        <v>17757</v>
      </c>
      <c r="AB9" s="4159">
        <f>+'Maj Production Summ'!AB10</f>
        <v>18015</v>
      </c>
      <c r="AC9" s="6156">
        <f>+'Maj Production Summ'!AC10</f>
        <v>3038</v>
      </c>
      <c r="AD9" s="6156">
        <f>+'Maj Production Summ'!AD10</f>
        <v>3013</v>
      </c>
      <c r="AE9" s="3833">
        <f>+'Maj Production Summ'!AE10</f>
        <v>20795</v>
      </c>
      <c r="AF9" s="3833">
        <f>+'Maj Production Summ'!AF10</f>
        <v>21028</v>
      </c>
      <c r="AG9" s="6318">
        <f>+'Maj Production Summ'!AG10</f>
        <v>2940</v>
      </c>
      <c r="AH9" s="6318">
        <f>+'Maj Production Summ'!AH10</f>
        <v>2960</v>
      </c>
      <c r="AI9" s="3833">
        <f>+'Maj Production Summ'!AI10</f>
        <v>23735</v>
      </c>
      <c r="AJ9" s="3833">
        <f>+'Maj Production Summ'!AJ10</f>
        <v>23988</v>
      </c>
      <c r="AK9" s="6577">
        <f>+'Maj Production Summ'!AK10</f>
        <v>3038</v>
      </c>
      <c r="AL9" s="6577">
        <f>+'Maj Production Summ'!AL10</f>
        <v>3061</v>
      </c>
      <c r="AM9" s="2244">
        <f>+'Maj Production Summ'!AM10</f>
        <v>9016</v>
      </c>
      <c r="AN9" s="2244">
        <f>+'Maj Production Summ'!AN10</f>
        <v>9034</v>
      </c>
      <c r="AO9" s="3833">
        <f>+'Maj Production Summ'!AO10</f>
        <v>26773</v>
      </c>
      <c r="AP9" s="3833">
        <f>+'Maj Production Summ'!AP10</f>
        <v>27049</v>
      </c>
      <c r="AQ9" s="6657">
        <f>+'Maj Production Summ'!AQ10</f>
        <v>3038</v>
      </c>
      <c r="AR9" s="6657">
        <f>+'Maj Production Summ'!AR10</f>
        <v>3034</v>
      </c>
      <c r="AS9" s="3833">
        <f>+'Maj Production Summ'!AS10</f>
        <v>29811</v>
      </c>
      <c r="AT9" s="3833">
        <f>+'Maj Production Summ'!AT10</f>
        <v>30083</v>
      </c>
      <c r="AU9" s="6833">
        <f>+'Maj Production Summ'!AU10</f>
        <v>2744</v>
      </c>
      <c r="AV9" s="6833">
        <f>+'Maj Production Summ'!AV10</f>
        <v>2745</v>
      </c>
      <c r="AW9" s="3833">
        <f>+'Maj Production Summ'!AW10</f>
        <v>32555</v>
      </c>
      <c r="AX9" s="3833">
        <f>+'Maj Production Summ'!AX10</f>
        <v>32828</v>
      </c>
      <c r="AY9" s="6977">
        <f>+'Maj Production Summ'!AY10</f>
        <v>3038</v>
      </c>
      <c r="AZ9" s="6977">
        <f>+'Maj Production Summ'!AZ10</f>
        <v>3059</v>
      </c>
      <c r="BA9" s="2244">
        <f>+'Maj Production Summ'!BA10</f>
        <v>8820</v>
      </c>
      <c r="BB9" s="2244">
        <f>+'Maj Production Summ'!BB10</f>
        <v>8838</v>
      </c>
      <c r="BC9" s="4159">
        <f>+'Maj Production Summ'!BC10</f>
        <v>17836</v>
      </c>
      <c r="BD9" s="4159">
        <f>+'Maj Production Summ'!BD10</f>
        <v>17872</v>
      </c>
      <c r="BE9" s="4160">
        <f>+'Maj Production Summ'!BE10</f>
        <v>35593</v>
      </c>
      <c r="BF9" s="4160">
        <f>+'Maj Production Summ'!BF10</f>
        <v>35887</v>
      </c>
      <c r="BG9" s="1137">
        <f t="shared" si="11"/>
        <v>0</v>
      </c>
      <c r="BH9" s="1137">
        <f t="shared" si="12"/>
        <v>0</v>
      </c>
      <c r="BI9" s="1137"/>
      <c r="BJ9" s="1137">
        <f t="shared" ref="BJ9:BJ72" si="13">AC9+AG9+AK9+AQ9+AU9+AY9-BC9</f>
        <v>0</v>
      </c>
      <c r="BK9" s="1137">
        <f t="shared" ref="BK9:BK72" si="14">AD9+AH9+AL9+AR9+AV9+AZ9-BD9</f>
        <v>0</v>
      </c>
      <c r="BL9" s="25"/>
      <c r="BM9" s="25"/>
      <c r="BN9" s="25"/>
    </row>
    <row r="10" spans="1:66" ht="15.75" thickBot="1" x14ac:dyDescent="0.3">
      <c r="B10" s="3248" t="str">
        <f>+'Maj Production Summ'!B11</f>
        <v>Overall Equiv. Ovens Pushed</v>
      </c>
      <c r="C10" s="4169" t="s">
        <v>647</v>
      </c>
      <c r="D10" s="4168">
        <f>+'Maj Production Summ'!D11</f>
        <v>100649.93264534885</v>
      </c>
      <c r="E10" s="4170">
        <f>+'Maj Production Summ'!E11</f>
        <v>8255.8081395348854</v>
      </c>
      <c r="F10" s="4170">
        <f>+'Maj Production Summ'!F11</f>
        <v>8356.6947674418607</v>
      </c>
      <c r="G10" s="5582">
        <f>+'Maj Production Summ'!G11</f>
        <v>8610.6104651162786</v>
      </c>
      <c r="H10" s="5582">
        <f>+'Maj Production Summ'!H11</f>
        <v>8569.2616279069771</v>
      </c>
      <c r="I10" s="4162">
        <f>+'Maj Production Summ'!I11</f>
        <v>16866.418604651164</v>
      </c>
      <c r="J10" s="4162">
        <f>+'Maj Production Summ'!J11</f>
        <v>16925.95639534884</v>
      </c>
      <c r="K10" s="5693">
        <f>+'Maj Production Summ'!K11</f>
        <v>8212.8488372093016</v>
      </c>
      <c r="L10" s="5693">
        <f>+'Maj Production Summ'!L11</f>
        <v>8300.5290697674427</v>
      </c>
      <c r="M10" s="4165">
        <f>+'Maj Production Summ'!M11</f>
        <v>25079.267441860466</v>
      </c>
      <c r="N10" s="1951">
        <f>+'Maj Production Summ'!N11</f>
        <v>25226.485465116282</v>
      </c>
      <c r="O10" s="5850">
        <f>+'Maj Production Summ'!O11</f>
        <v>8486.6104651162786</v>
      </c>
      <c r="P10" s="5850">
        <f>+'Maj Production Summ'!P11</f>
        <v>8587.4738372093016</v>
      </c>
      <c r="Q10" s="698">
        <f>+'Maj Production Summ'!Q11</f>
        <v>33565.877906976748</v>
      </c>
      <c r="R10" s="1049">
        <f>+'Maj Production Summ'!R11</f>
        <v>33813.959302325587</v>
      </c>
      <c r="S10" s="5917">
        <f>+'Maj Production Summ'!S11</f>
        <v>8486.6104651162786</v>
      </c>
      <c r="T10" s="5917">
        <f>+'Maj Production Summ'!T11</f>
        <v>8639.959302325582</v>
      </c>
      <c r="U10" s="698">
        <f>+'Maj Production Summ'!U11</f>
        <v>42052.488372093023</v>
      </c>
      <c r="V10" s="1049">
        <f>+'Maj Production Summ'!V11</f>
        <v>42453.91860465116</v>
      </c>
      <c r="W10" s="6016">
        <f>+'Maj Production Summ'!W11</f>
        <v>7908.2180232558139</v>
      </c>
      <c r="X10" s="6016">
        <f>+'Maj Production Summ'!X11</f>
        <v>8375.0377906976755</v>
      </c>
      <c r="Y10" s="701">
        <f>+'Maj Production Summ'!Y11</f>
        <v>24881.438953488374</v>
      </c>
      <c r="Z10" s="161">
        <f>+'Maj Production Summ'!Z11</f>
        <v>25602.470930232557</v>
      </c>
      <c r="AA10" s="2334">
        <f>+'Maj Production Summ'!AA11</f>
        <v>49960.70639534884</v>
      </c>
      <c r="AB10" s="447">
        <f>+'Maj Production Summ'!AB11</f>
        <v>50828.95639534884</v>
      </c>
      <c r="AC10" s="6149">
        <f>+'Maj Production Summ'!AC11</f>
        <v>8486.6104651162786</v>
      </c>
      <c r="AD10" s="6149">
        <f>+'Maj Production Summ'!AD11</f>
        <v>8519.7529069767443</v>
      </c>
      <c r="AE10" s="698">
        <f>+'Maj Production Summ'!AE11</f>
        <v>58447.316860465122</v>
      </c>
      <c r="AF10" s="1049">
        <f>+'Maj Production Summ'!AF11</f>
        <v>59348.709302325587</v>
      </c>
      <c r="AG10" s="6311">
        <f>+'Maj Production Summ'!AG11</f>
        <v>8212.8488372093016</v>
      </c>
      <c r="AH10" s="6311">
        <f>+'Maj Production Summ'!AH11</f>
        <v>8256.5348837209312</v>
      </c>
      <c r="AI10" s="698">
        <f>+'Maj Production Summ'!AI11</f>
        <v>66660.165697674413</v>
      </c>
      <c r="AJ10" s="1049">
        <f>+'Maj Production Summ'!AJ11</f>
        <v>67605.244186046519</v>
      </c>
      <c r="AK10" s="6572">
        <f>+'Maj Production Summ'!AK11</f>
        <v>8486.6104651162786</v>
      </c>
      <c r="AL10" s="6572">
        <f>+'Maj Production Summ'!AL11</f>
        <v>8531.7994186046526</v>
      </c>
      <c r="AM10" s="701">
        <f>+'Maj Production Summ'!AM11</f>
        <v>25186.069767441859</v>
      </c>
      <c r="AN10" s="161">
        <f>+'Maj Production Summ'!AN11</f>
        <v>25308.087209302328</v>
      </c>
      <c r="AO10" s="698">
        <f>+'Maj Production Summ'!AO11</f>
        <v>75146.776162790702</v>
      </c>
      <c r="AP10" s="1049">
        <f>+'Maj Production Summ'!AP11</f>
        <v>76137.043604651175</v>
      </c>
      <c r="AQ10" s="6658">
        <f>+'Maj Production Summ'!AQ11</f>
        <v>8486.6104651162786</v>
      </c>
      <c r="AR10" s="6658">
        <f>+'Maj Production Summ'!AR11</f>
        <v>8505.2732558139542</v>
      </c>
      <c r="AS10" s="698">
        <f>+'Maj Production Summ'!AS11</f>
        <v>83633.386627906992</v>
      </c>
      <c r="AT10" s="1049">
        <f>+'Maj Production Summ'!AT11</f>
        <v>84642.316860465129</v>
      </c>
      <c r="AU10" s="6830">
        <f>+'Maj Production Summ'!AU11</f>
        <v>7665.3255813953492</v>
      </c>
      <c r="AV10" s="6830">
        <f>+'Maj Production Summ'!AV11</f>
        <v>7679.1598837209303</v>
      </c>
      <c r="AW10" s="698">
        <f>+'Maj Production Summ'!AW11</f>
        <v>91298.712209302335</v>
      </c>
      <c r="AX10" s="1049">
        <f>+'Maj Production Summ'!AX11</f>
        <v>92321.476744186046</v>
      </c>
      <c r="AY10" s="6974">
        <f>+'Maj Production Summ'!AY11</f>
        <v>8486.6104651162786</v>
      </c>
      <c r="AZ10" s="6974">
        <f>+'Maj Production Summ'!AZ11</f>
        <v>8649.1308139534885</v>
      </c>
      <c r="BA10" s="701">
        <f>+'Maj Production Summ'!BA11</f>
        <v>24638.546511627908</v>
      </c>
      <c r="BB10" s="161">
        <f>+'Maj Production Summ'!BB11</f>
        <v>24833.563953488374</v>
      </c>
      <c r="BC10" s="2334">
        <f>+'Maj Production Summ'!BC11</f>
        <v>49824.616279069771</v>
      </c>
      <c r="BD10" s="447">
        <f>+'Maj Production Summ'!BD11</f>
        <v>50141.651162790695</v>
      </c>
      <c r="BE10" s="698">
        <f>+'Maj Production Summ'!BE11</f>
        <v>99785.32267441861</v>
      </c>
      <c r="BF10" s="1049">
        <f>+'Maj Production Summ'!BF11</f>
        <v>100970.60755813954</v>
      </c>
      <c r="BG10" s="1137">
        <f t="shared" si="11"/>
        <v>0</v>
      </c>
      <c r="BH10" s="1137">
        <f t="shared" si="12"/>
        <v>0</v>
      </c>
      <c r="BI10" s="1137"/>
      <c r="BJ10" s="1137">
        <f t="shared" si="13"/>
        <v>0</v>
      </c>
      <c r="BK10" s="1137">
        <f t="shared" si="14"/>
        <v>0</v>
      </c>
      <c r="BL10" s="25"/>
      <c r="BM10" s="25"/>
      <c r="BN10" s="25"/>
    </row>
    <row r="11" spans="1:66" x14ac:dyDescent="0.25">
      <c r="B11" s="4189"/>
      <c r="C11" s="4161"/>
      <c r="D11" s="3692"/>
      <c r="E11" s="3692"/>
      <c r="F11" s="3692"/>
      <c r="G11" s="3692"/>
      <c r="H11" s="3692"/>
      <c r="I11" s="4167"/>
      <c r="J11" s="4167"/>
      <c r="K11" s="3692"/>
      <c r="L11" s="3692"/>
      <c r="M11" s="4164"/>
      <c r="N11" s="4188"/>
      <c r="O11" s="3692"/>
      <c r="P11" s="3692"/>
      <c r="Q11" s="4172"/>
      <c r="R11" s="4173"/>
      <c r="S11" s="3692"/>
      <c r="T11" s="3692"/>
      <c r="U11" s="4172"/>
      <c r="V11" s="4173"/>
      <c r="W11" s="3692"/>
      <c r="X11" s="3692"/>
      <c r="Y11" s="4174"/>
      <c r="Z11" s="4175"/>
      <c r="AA11" s="4176"/>
      <c r="AB11" s="4177"/>
      <c r="AC11" s="3692"/>
      <c r="AD11" s="3692"/>
      <c r="AE11" s="4172"/>
      <c r="AF11" s="4173"/>
      <c r="AG11" s="3692"/>
      <c r="AH11" s="3692"/>
      <c r="AI11" s="4172"/>
      <c r="AJ11" s="4173"/>
      <c r="AK11" s="3692"/>
      <c r="AL11" s="3692"/>
      <c r="AM11" s="4174"/>
      <c r="AN11" s="4175"/>
      <c r="AO11" s="4172"/>
      <c r="AP11" s="4173"/>
      <c r="AQ11" s="3692"/>
      <c r="AR11" s="3692"/>
      <c r="AS11" s="4172"/>
      <c r="AT11" s="4173"/>
      <c r="AU11" s="3692"/>
      <c r="AV11" s="3692"/>
      <c r="AW11" s="4172"/>
      <c r="AX11" s="4173"/>
      <c r="AY11" s="3692"/>
      <c r="AZ11" s="3692"/>
      <c r="BA11" s="4174"/>
      <c r="BB11" s="4175"/>
      <c r="BC11" s="4176"/>
      <c r="BD11" s="4177"/>
      <c r="BE11" s="4172"/>
      <c r="BF11" s="4173"/>
      <c r="BG11" s="1137">
        <f t="shared" si="11"/>
        <v>0</v>
      </c>
      <c r="BH11" s="1137">
        <f t="shared" si="12"/>
        <v>0</v>
      </c>
      <c r="BI11" s="1137"/>
      <c r="BJ11" s="1137">
        <f t="shared" si="13"/>
        <v>0</v>
      </c>
      <c r="BK11" s="1137">
        <f t="shared" si="14"/>
        <v>0</v>
      </c>
      <c r="BL11" s="25"/>
      <c r="BM11" s="25"/>
      <c r="BN11" s="25"/>
    </row>
    <row r="12" spans="1:66" x14ac:dyDescent="0.25">
      <c r="A12" s="137" t="s">
        <v>446</v>
      </c>
      <c r="B12" s="1702" t="s">
        <v>132</v>
      </c>
      <c r="C12" s="4169" t="s">
        <v>175</v>
      </c>
      <c r="D12" s="3171">
        <v>75.92</v>
      </c>
      <c r="E12" s="3171">
        <v>77.7</v>
      </c>
      <c r="F12" s="3174">
        <v>77.83</v>
      </c>
      <c r="G12" s="3171">
        <v>78</v>
      </c>
      <c r="H12" s="3174">
        <v>77.83</v>
      </c>
      <c r="I12" s="3432">
        <f>+((E12*E$2)+(G12*G$2))/I$2</f>
        <v>77.852459016393439</v>
      </c>
      <c r="J12" s="3432">
        <f>+((F12*F$2)+(H12*H$2))/J$2</f>
        <v>77.83</v>
      </c>
      <c r="K12" s="3171">
        <v>74</v>
      </c>
      <c r="L12" s="3174">
        <v>76</v>
      </c>
      <c r="M12" s="109">
        <f>+((E12*E$2)+(G12*G$2)+(K12*K$2))/M$2</f>
        <v>76.582417582417577</v>
      </c>
      <c r="N12" s="109">
        <f>+((F12*F$2)+(H12*H$2)+(L12*L$2))/N$2</f>
        <v>77.226703296703292</v>
      </c>
      <c r="O12" s="3171">
        <v>74</v>
      </c>
      <c r="P12" s="3174">
        <v>74.930000000000007</v>
      </c>
      <c r="Q12" s="3432">
        <f>+((M12*M$2)+(O12*O$2))/Q$2</f>
        <v>75.926229508196727</v>
      </c>
      <c r="R12" s="3432">
        <f>+((N12*N$2)+(P12*P$2))/R$2</f>
        <v>76.643114754098349</v>
      </c>
      <c r="S12" s="3171">
        <v>74</v>
      </c>
      <c r="T12" s="3174">
        <v>77.7</v>
      </c>
      <c r="U12" s="3432">
        <f>+((Q12*Q$2)+(S12*S$2))/U$2</f>
        <v>75.535947712418306</v>
      </c>
      <c r="V12" s="3432">
        <f>+((R12*R$2)+(T12*T$2))/V$2</f>
        <v>76.857254901960786</v>
      </c>
      <c r="W12" s="3171">
        <v>74</v>
      </c>
      <c r="X12" s="3174">
        <v>77.8</v>
      </c>
      <c r="Y12" s="109">
        <f>+((O12*O$2)+(S12*S$2)+(W12*W$2))/Y$2</f>
        <v>74</v>
      </c>
      <c r="Z12" s="109">
        <f>+((P12*P$2)+(T12*T$2)+(X12*X$2))/Z$2</f>
        <v>76.799239130434785</v>
      </c>
      <c r="AA12" s="448">
        <f>+((M12*M$2)+(Y12*Y$2))/AA$2</f>
        <v>75.284153005464475</v>
      </c>
      <c r="AB12" s="448">
        <f>+((N12*N$2)+(Z12*Z$2))/AB$2</f>
        <v>77.011803278688518</v>
      </c>
      <c r="AC12" s="3171">
        <v>74</v>
      </c>
      <c r="AD12" s="3174">
        <v>77.58</v>
      </c>
      <c r="AE12" s="119">
        <f>+((AA12*AA$2)+(AC12*AC$2))/AE$2</f>
        <v>75.098130841121488</v>
      </c>
      <c r="AF12" s="119">
        <f>+((AB12*AB$2)+(AD12*AD$2))/AF$2</f>
        <v>77.094112149532705</v>
      </c>
      <c r="AG12" s="3171">
        <v>74</v>
      </c>
      <c r="AH12" s="3174">
        <v>73.66</v>
      </c>
      <c r="AI12" s="119">
        <f>+((AE12*AE$2)+(AG12*AG$2))/AI$2</f>
        <v>74.963114754098356</v>
      </c>
      <c r="AJ12" s="119">
        <f>+((AF12*AF$2)+(AH12*AH$2))/AJ$2</f>
        <v>76.671885245901635</v>
      </c>
      <c r="AK12" s="3171">
        <v>74</v>
      </c>
      <c r="AL12" s="3174">
        <v>75.09</v>
      </c>
      <c r="AM12" s="109">
        <f>+((AC12*AC$2)+(AG12*AG$2)+(AK12*AK$2))/AM$2</f>
        <v>74</v>
      </c>
      <c r="AN12" s="109">
        <f>+((AD12*AD$2)+(AH12*AH$2)+(AL12*AL$2))/AN$2</f>
        <v>75.462717391304338</v>
      </c>
      <c r="AO12" s="119">
        <f>+((AK12*AK$2)+(AI12*AI$2))/AO$2</f>
        <v>74.854545454545459</v>
      </c>
      <c r="AP12" s="119">
        <f>+((AL12*AL$2)+(AJ12*AJ$2))/AP$2</f>
        <v>76.493563636363632</v>
      </c>
      <c r="AQ12" s="3171">
        <v>74</v>
      </c>
      <c r="AR12" s="3174">
        <v>75.58</v>
      </c>
      <c r="AS12" s="119">
        <f>+((AO12*AO$2)+(AQ12*AQ$2))/AS$2</f>
        <v>74.767973856209153</v>
      </c>
      <c r="AT12" s="119">
        <f>+((AP12*AP$2)+(AR12*AR$2))/AT$2</f>
        <v>76.40101307189542</v>
      </c>
      <c r="AU12" s="3171">
        <v>74</v>
      </c>
      <c r="AV12" s="3174">
        <v>74.709999999999994</v>
      </c>
      <c r="AW12" s="119">
        <f>+((AS12*AS$2)+(AU12*AU$2))/AW$2</f>
        <v>74.703592814371262</v>
      </c>
      <c r="AX12" s="119">
        <f>+((AT12*AT$2)+(AV12*AV$2))/AX$2</f>
        <v>76.259251497005991</v>
      </c>
      <c r="AY12" s="3171">
        <v>74</v>
      </c>
      <c r="AZ12" s="3174">
        <v>77.739999999999995</v>
      </c>
      <c r="BA12" s="109">
        <f>+((AQ12*AQ$2)+(AU12*AU$2)+(AY12*AY$2))/BA$2</f>
        <v>74</v>
      </c>
      <c r="BB12" s="109">
        <f>+((AR12*AR$2)+(AV12*AV$2)+(AZ12*AZ$2))/BB$2</f>
        <v>76.053333333333327</v>
      </c>
      <c r="BC12" s="448">
        <f>+((AM12*AM$2)+(BA12*BA$2))/BC$2</f>
        <v>74</v>
      </c>
      <c r="BD12" s="5453">
        <f>+((AN12*AN$2)+(BB12*BB$2))/BD$2</f>
        <v>75.754780219780216</v>
      </c>
      <c r="BE12" s="5425">
        <f>+((AW12*AW$2)+(AY12*AY$2))/BE$2</f>
        <v>74.643835616438352</v>
      </c>
      <c r="BF12" s="5425">
        <f>+((AX12*AX$2)+(AZ12*AZ$2))/BF$2</f>
        <v>76.385013698630132</v>
      </c>
      <c r="BG12" s="1137"/>
      <c r="BH12" s="1137"/>
      <c r="BI12" s="1137"/>
      <c r="BJ12" s="1137"/>
      <c r="BK12" s="1137"/>
      <c r="BL12" s="25"/>
      <c r="BM12" s="25"/>
      <c r="BN12" s="25"/>
    </row>
    <row r="13" spans="1:66" ht="15.95" customHeight="1" thickBot="1" x14ac:dyDescent="0.3">
      <c r="A13" s="137" t="s">
        <v>446</v>
      </c>
      <c r="B13" s="4190" t="s">
        <v>133</v>
      </c>
      <c r="C13" s="839" t="s">
        <v>175</v>
      </c>
      <c r="D13" s="1362">
        <v>73.5</v>
      </c>
      <c r="E13" s="1362">
        <v>73.5</v>
      </c>
      <c r="F13" s="181">
        <v>74</v>
      </c>
      <c r="G13" s="1362">
        <v>73.3</v>
      </c>
      <c r="H13" s="181">
        <v>74</v>
      </c>
      <c r="I13" s="561">
        <f>+((E13*E$2)+(G13*G$2))/I$2</f>
        <v>73.39836065573769</v>
      </c>
      <c r="J13" s="561">
        <f>+((F13*F$2)+(H13*H$2))/J$2</f>
        <v>74</v>
      </c>
      <c r="K13" s="1362">
        <v>73.3</v>
      </c>
      <c r="L13" s="181">
        <v>74</v>
      </c>
      <c r="M13" s="166">
        <f>+((E13*E$2)+(G13*G$2)+(K13*K$2))/M$2</f>
        <v>73.365934065934056</v>
      </c>
      <c r="N13" s="166">
        <f>+((F13*F$2)+(H13*H$2)+(L13*L$2))/N$2</f>
        <v>74</v>
      </c>
      <c r="O13" s="1362">
        <v>73.3</v>
      </c>
      <c r="P13" s="181">
        <v>74</v>
      </c>
      <c r="Q13" s="561">
        <f>+((M13*M$2)+(O13*O$2))/Q$2</f>
        <v>73.349180327868837</v>
      </c>
      <c r="R13" s="561">
        <f>+((N13*N$2)+(P13*P$2))/R$2</f>
        <v>74</v>
      </c>
      <c r="S13" s="1362">
        <v>73.3</v>
      </c>
      <c r="T13" s="181">
        <v>74</v>
      </c>
      <c r="U13" s="561">
        <f>+((Q13*Q$2)+(S13*S$2))/U$2</f>
        <v>73.3392156862745</v>
      </c>
      <c r="V13" s="561">
        <f>+((R13*R$2)+(T13*T$2))/V$2</f>
        <v>74</v>
      </c>
      <c r="W13" s="1362">
        <v>73.3</v>
      </c>
      <c r="X13" s="181">
        <v>74</v>
      </c>
      <c r="Y13" s="109">
        <f>+((O13*O$2)+(S13*S$2)+(W13*W$2))/Y$2</f>
        <v>73.3</v>
      </c>
      <c r="Z13" s="109">
        <f>+((P13*P$2)+(T13*T$2)+(X13*X$2))/Z$2</f>
        <v>74</v>
      </c>
      <c r="AA13" s="448">
        <f>+((M13*M$2)+(Y13*Y$2))/AA$2</f>
        <v>73.332786885245895</v>
      </c>
      <c r="AB13" s="448">
        <f>+((N13*N$2)+(Z13*Z$2))/AB$2</f>
        <v>74</v>
      </c>
      <c r="AC13" s="1362">
        <v>73.3</v>
      </c>
      <c r="AD13" s="181">
        <v>74</v>
      </c>
      <c r="AE13" s="104">
        <f>+((AA13*AA$2)+(AC13*AC$2))/AE$2</f>
        <v>73.328037383177559</v>
      </c>
      <c r="AF13" s="104">
        <f>+((AB13*AB$2)+(AD13*AD$2))/AF$2</f>
        <v>74</v>
      </c>
      <c r="AG13" s="1362">
        <v>73.3</v>
      </c>
      <c r="AH13" s="181">
        <v>74</v>
      </c>
      <c r="AI13" s="104">
        <f>+((AE13*AE$2)+(AG13*AG$2))/AI$2</f>
        <v>73.324590163934417</v>
      </c>
      <c r="AJ13" s="104">
        <f>+((AF13*AF$2)+(AH13*AH$2))/AJ$2</f>
        <v>74</v>
      </c>
      <c r="AK13" s="1362">
        <v>73.3</v>
      </c>
      <c r="AL13" s="181">
        <v>74</v>
      </c>
      <c r="AM13" s="109">
        <f>+((AC13*AC$2)+(AG13*AG$2)+(AK13*AK$2))/AM$2</f>
        <v>73.299999999999983</v>
      </c>
      <c r="AN13" s="109">
        <f>+((AD13*AD$2)+(AH13*AH$2)+(AL13*AL$2))/AN$2</f>
        <v>74</v>
      </c>
      <c r="AO13" s="104">
        <f>+((AK13*AK$2)+(AI13*AI$2))/AO$2</f>
        <v>73.321818181818173</v>
      </c>
      <c r="AP13" s="104">
        <f>+((AL13*AL$2)+(AJ13*AJ$2))/AP$2</f>
        <v>74</v>
      </c>
      <c r="AQ13" s="1362">
        <v>73.3</v>
      </c>
      <c r="AR13" s="181">
        <v>74</v>
      </c>
      <c r="AS13" s="104">
        <f>+((AO13*AO$2)+(AQ13*AQ$2))/AS$2</f>
        <v>73.319607843137234</v>
      </c>
      <c r="AT13" s="104">
        <f>+((AP13*AP$2)+(AR13*AR$2))/AT$2</f>
        <v>74</v>
      </c>
      <c r="AU13" s="1362">
        <v>73.3</v>
      </c>
      <c r="AV13" s="181">
        <v>74</v>
      </c>
      <c r="AW13" s="104">
        <f>+((AS13*AS$2)+(AU13*AU$2))/AW$2</f>
        <v>73.317964071856267</v>
      </c>
      <c r="AX13" s="104">
        <f>+((AT13*AT$2)+(AV13*AV$2))/AX$2</f>
        <v>74</v>
      </c>
      <c r="AY13" s="1362">
        <v>73.3</v>
      </c>
      <c r="AZ13" s="181">
        <v>74</v>
      </c>
      <c r="BA13" s="109">
        <f>+((AQ13*AQ$2)+(AU13*AU$2)+(AY13*AY$2))/BA$2</f>
        <v>73.3</v>
      </c>
      <c r="BB13" s="109">
        <f>+((AR13*AR$2)+(AV13*AV$2)+(AZ13*AZ$2))/BB$2</f>
        <v>74</v>
      </c>
      <c r="BC13" s="448">
        <f>+((AM13*AM$2)+(BA13*BA$2))/BC$2</f>
        <v>73.3</v>
      </c>
      <c r="BD13" s="448">
        <f>+((AN13*AN$2)+(BB13*BB$2))/BD$2</f>
        <v>74</v>
      </c>
      <c r="BE13" s="104">
        <f>+((AW13*AW$2)+(AY13*AY$2))/BE$2</f>
        <v>73.316438356164369</v>
      </c>
      <c r="BF13" s="104">
        <f>+((AX13*AX$2)+(AZ13*AZ$2))/BF$2</f>
        <v>74</v>
      </c>
      <c r="BG13" s="1137"/>
      <c r="BH13" s="1137"/>
      <c r="BI13" s="1137"/>
      <c r="BJ13" s="1137"/>
      <c r="BK13" s="1137"/>
      <c r="BL13" s="25"/>
      <c r="BM13" s="25"/>
      <c r="BN13" s="25"/>
    </row>
    <row r="14" spans="1:66" ht="15.75" x14ac:dyDescent="0.25">
      <c r="A14" s="138" t="s">
        <v>446</v>
      </c>
      <c r="B14" s="4186" t="s">
        <v>148</v>
      </c>
      <c r="C14" s="4187"/>
      <c r="D14" s="244"/>
      <c r="E14" s="1572"/>
      <c r="F14" s="1573"/>
      <c r="G14" s="1572"/>
      <c r="H14" s="1573"/>
      <c r="I14" s="244"/>
      <c r="J14" s="1573"/>
      <c r="K14" s="1572"/>
      <c r="L14" s="1573"/>
      <c r="M14" s="1572"/>
      <c r="N14" s="1573"/>
      <c r="O14" s="1572"/>
      <c r="P14" s="1573"/>
      <c r="Q14" s="218"/>
      <c r="R14" s="578"/>
      <c r="S14" s="1572"/>
      <c r="T14" s="1573"/>
      <c r="U14" s="218"/>
      <c r="V14" s="578"/>
      <c r="W14" s="1572"/>
      <c r="X14" s="1573"/>
      <c r="Y14" s="218"/>
      <c r="Z14" s="218"/>
      <c r="AA14" s="2333"/>
      <c r="AB14" s="218"/>
      <c r="AC14" s="1572"/>
      <c r="AD14" s="1573"/>
      <c r="AE14" s="218"/>
      <c r="AF14" s="578"/>
      <c r="AG14" s="1572"/>
      <c r="AH14" s="1573"/>
      <c r="AI14" s="218"/>
      <c r="AJ14" s="578"/>
      <c r="AK14" s="1572"/>
      <c r="AL14" s="1573"/>
      <c r="AM14" s="218"/>
      <c r="AN14" s="218"/>
      <c r="AO14" s="218"/>
      <c r="AP14" s="578"/>
      <c r="AQ14" s="1572"/>
      <c r="AR14" s="1573"/>
      <c r="AS14" s="218"/>
      <c r="AT14" s="578"/>
      <c r="AU14" s="1572"/>
      <c r="AV14" s="1573"/>
      <c r="AW14" s="218"/>
      <c r="AX14" s="578"/>
      <c r="AY14" s="1572"/>
      <c r="AZ14" s="1573"/>
      <c r="BA14" s="218"/>
      <c r="BB14" s="218"/>
      <c r="BC14" s="2333"/>
      <c r="BD14" s="218"/>
      <c r="BE14" s="218"/>
      <c r="BF14" s="578"/>
      <c r="BG14" s="1137">
        <f t="shared" si="11"/>
        <v>0</v>
      </c>
      <c r="BH14" s="1137">
        <f t="shared" si="12"/>
        <v>0</v>
      </c>
      <c r="BI14" s="1137"/>
      <c r="BJ14" s="1137">
        <f t="shared" si="13"/>
        <v>0</v>
      </c>
      <c r="BK14" s="1137">
        <f t="shared" si="14"/>
        <v>0</v>
      </c>
      <c r="BL14" s="25"/>
      <c r="BM14" s="25"/>
      <c r="BN14" s="25"/>
    </row>
    <row r="15" spans="1:66" x14ac:dyDescent="0.25">
      <c r="A15" s="90"/>
      <c r="B15" s="1305" t="s">
        <v>146</v>
      </c>
      <c r="C15" s="1306" t="s">
        <v>176</v>
      </c>
      <c r="D15" s="1346">
        <f t="shared" ref="D15:AI15" si="15">+D5/D12</f>
        <v>1.2712011201408837</v>
      </c>
      <c r="E15" s="703">
        <f t="shared" si="15"/>
        <v>1.2612612612612613</v>
      </c>
      <c r="F15" s="519">
        <f t="shared" si="15"/>
        <v>1.2591545676474367</v>
      </c>
      <c r="G15" s="703">
        <f t="shared" ref="G15:H15" si="16">+G5/G12</f>
        <v>1.2564102564102564</v>
      </c>
      <c r="H15" s="519">
        <f t="shared" si="16"/>
        <v>1.2541809485520552</v>
      </c>
      <c r="I15" s="704">
        <f t="shared" si="15"/>
        <v>1.2587913244893663</v>
      </c>
      <c r="J15" s="94">
        <f t="shared" si="15"/>
        <v>1.2566269907301115</v>
      </c>
      <c r="K15" s="703">
        <f t="shared" si="15"/>
        <v>1.2702702702702702</v>
      </c>
      <c r="L15" s="519">
        <f t="shared" si="15"/>
        <v>1.2640350877192983</v>
      </c>
      <c r="M15" s="463">
        <f t="shared" si="15"/>
        <v>1.2624479839288278</v>
      </c>
      <c r="N15" s="87">
        <f t="shared" si="15"/>
        <v>1.2590304270429717</v>
      </c>
      <c r="O15" s="703">
        <f t="shared" ref="O15:P15" si="17">+O5/O12</f>
        <v>1.2702702702702702</v>
      </c>
      <c r="P15" s="519">
        <f t="shared" si="17"/>
        <v>1.2734466146898396</v>
      </c>
      <c r="Q15" s="704">
        <f t="shared" si="15"/>
        <v>1.2643851883838928</v>
      </c>
      <c r="R15" s="94">
        <f t="shared" si="15"/>
        <v>1.262611678997611</v>
      </c>
      <c r="S15" s="703">
        <f t="shared" si="15"/>
        <v>1.2702702702702702</v>
      </c>
      <c r="T15" s="519">
        <f t="shared" si="15"/>
        <v>1.2612612612612613</v>
      </c>
      <c r="U15" s="704">
        <f t="shared" ref="U15:X15" si="18">+U5/U12</f>
        <v>1.2655533442935016</v>
      </c>
      <c r="V15" s="94">
        <f t="shared" si="18"/>
        <v>1.2623350647495228</v>
      </c>
      <c r="W15" s="703">
        <f t="shared" si="18"/>
        <v>1.2445945945945944</v>
      </c>
      <c r="X15" s="519">
        <f t="shared" si="18"/>
        <v>1.2596401028277635</v>
      </c>
      <c r="Y15" s="463">
        <f t="shared" si="15"/>
        <v>1.26189776733255</v>
      </c>
      <c r="Z15" s="87">
        <f t="shared" si="15"/>
        <v>1.2647317327928691</v>
      </c>
      <c r="AA15" s="705">
        <f t="shared" si="15"/>
        <v>1.2621760905857589</v>
      </c>
      <c r="AB15" s="449">
        <f t="shared" si="15"/>
        <v>1.261888746029989</v>
      </c>
      <c r="AC15" s="703">
        <f t="shared" si="15"/>
        <v>1.2702702702702702</v>
      </c>
      <c r="AD15" s="519">
        <f t="shared" si="15"/>
        <v>1.2445009937712579</v>
      </c>
      <c r="AE15" s="704">
        <f t="shared" si="15"/>
        <v>1.2633314666168878</v>
      </c>
      <c r="AF15" s="94">
        <f t="shared" si="15"/>
        <v>1.2593540847634945</v>
      </c>
      <c r="AG15" s="703">
        <f t="shared" ref="AG15:AH15" si="19">+AG5/AG12</f>
        <v>1.2702702702702702</v>
      </c>
      <c r="AH15" s="519">
        <f t="shared" si="19"/>
        <v>1.2793012942347723</v>
      </c>
      <c r="AI15" s="704">
        <f t="shared" si="15"/>
        <v>1.2641736373079657</v>
      </c>
      <c r="AJ15" s="94">
        <f t="shared" ref="AJ15:BF15" si="20">+AJ5/AJ12</f>
        <v>1.2617102684742416</v>
      </c>
      <c r="AK15" s="703">
        <f t="shared" si="20"/>
        <v>1.2702702702702702</v>
      </c>
      <c r="AL15" s="519">
        <f t="shared" si="20"/>
        <v>1.2531199120195549</v>
      </c>
      <c r="AM15" s="463">
        <f t="shared" si="20"/>
        <v>1.2702702702702702</v>
      </c>
      <c r="AN15" s="87">
        <f t="shared" si="20"/>
        <v>1.2584676855976966</v>
      </c>
      <c r="AO15" s="704">
        <f t="shared" si="20"/>
        <v>1.2648530483361671</v>
      </c>
      <c r="AP15" s="94">
        <f t="shared" si="20"/>
        <v>1.2607596693815712</v>
      </c>
      <c r="AQ15" s="703">
        <f t="shared" ref="AQ15:AR15" si="21">+AQ5/AQ12</f>
        <v>1.2702702702702702</v>
      </c>
      <c r="AR15" s="519">
        <f t="shared" si="21"/>
        <v>1.2548122476504282</v>
      </c>
      <c r="AS15" s="704">
        <f t="shared" si="20"/>
        <v>1.2653962148695312</v>
      </c>
      <c r="AT15" s="94">
        <f t="shared" si="20"/>
        <v>1.2601636275055381</v>
      </c>
      <c r="AU15" s="703">
        <f t="shared" si="20"/>
        <v>1.2702702702702702</v>
      </c>
      <c r="AV15" s="519">
        <f t="shared" si="20"/>
        <v>1.2639348337380731</v>
      </c>
      <c r="AW15" s="704">
        <f t="shared" ref="AW15:AZ15" si="22">+AW5/AW12</f>
        <v>1.265800969901006</v>
      </c>
      <c r="AX15" s="94">
        <f t="shared" si="22"/>
        <v>1.2604733537778277</v>
      </c>
      <c r="AY15" s="703">
        <f t="shared" si="22"/>
        <v>1.2702702702702702</v>
      </c>
      <c r="AZ15" s="519">
        <f t="shared" si="22"/>
        <v>1.2606122974015952</v>
      </c>
      <c r="BA15" s="463">
        <f t="shared" si="20"/>
        <v>1.2702702702702702</v>
      </c>
      <c r="BB15" s="87">
        <f t="shared" si="20"/>
        <v>1.2596423562412342</v>
      </c>
      <c r="BC15" s="705">
        <f t="shared" si="20"/>
        <v>1.2702702702702702</v>
      </c>
      <c r="BD15" s="449">
        <f t="shared" si="20"/>
        <v>1.259050855964553</v>
      </c>
      <c r="BE15" s="704">
        <f t="shared" si="20"/>
        <v>1.2661772802349056</v>
      </c>
      <c r="BF15" s="94">
        <f t="shared" si="20"/>
        <v>1.2604853638004729</v>
      </c>
      <c r="BG15" s="1137"/>
      <c r="BH15" s="1137"/>
      <c r="BI15" s="1137"/>
      <c r="BJ15" s="1137"/>
      <c r="BK15" s="1137"/>
      <c r="BL15" s="25"/>
      <c r="BM15" s="25"/>
      <c r="BN15" s="25"/>
    </row>
    <row r="16" spans="1:66" ht="15.75" thickBot="1" x14ac:dyDescent="0.3">
      <c r="A16" s="90"/>
      <c r="B16" s="1324" t="s">
        <v>147</v>
      </c>
      <c r="C16" s="1325" t="s">
        <v>176</v>
      </c>
      <c r="D16" s="1347">
        <f t="shared" ref="D16:AI16" si="23">+D6/D13</f>
        <v>1.3294913801136892</v>
      </c>
      <c r="E16" s="706">
        <f t="shared" si="23"/>
        <v>1.3142857142857143</v>
      </c>
      <c r="F16" s="126">
        <f t="shared" si="23"/>
        <v>1.3301801801801802</v>
      </c>
      <c r="G16" s="706">
        <f t="shared" ref="G16:H16" si="24">+G6/G13</f>
        <v>1.3369713506139154</v>
      </c>
      <c r="H16" s="126">
        <f t="shared" si="24"/>
        <v>1.3173496076721882</v>
      </c>
      <c r="I16" s="707">
        <f t="shared" si="23"/>
        <v>1.3257990306658032</v>
      </c>
      <c r="J16" s="153">
        <f t="shared" si="23"/>
        <v>1.3236597252990696</v>
      </c>
      <c r="K16" s="706">
        <f t="shared" si="23"/>
        <v>1.3369713506139154</v>
      </c>
      <c r="L16" s="126">
        <f t="shared" si="23"/>
        <v>1.3306306306306306</v>
      </c>
      <c r="M16" s="708">
        <f t="shared" si="23"/>
        <v>1.3294789029851866</v>
      </c>
      <c r="N16" s="160">
        <f t="shared" si="23"/>
        <v>1.325957825957826</v>
      </c>
      <c r="O16" s="706">
        <f t="shared" ref="O16:P16" si="25">+O6/O13</f>
        <v>1.3369713506139154</v>
      </c>
      <c r="P16" s="126">
        <f t="shared" si="25"/>
        <v>1.3378378378378379</v>
      </c>
      <c r="Q16" s="707">
        <f t="shared" si="23"/>
        <v>1.3313814451422572</v>
      </c>
      <c r="R16" s="153">
        <f t="shared" si="23"/>
        <v>1.3289765175011077</v>
      </c>
      <c r="S16" s="706">
        <f t="shared" si="23"/>
        <v>1.3369713506139154</v>
      </c>
      <c r="T16" s="126">
        <f t="shared" si="23"/>
        <v>1.3312990409764602</v>
      </c>
      <c r="U16" s="707">
        <f t="shared" ref="U16:X16" si="26">+U6/U13</f>
        <v>1.3325134347512233</v>
      </c>
      <c r="V16" s="153">
        <f t="shared" si="26"/>
        <v>1.3294470941529766</v>
      </c>
      <c r="W16" s="706">
        <f t="shared" si="26"/>
        <v>1.2755798090040928</v>
      </c>
      <c r="X16" s="126">
        <f t="shared" si="26"/>
        <v>1.3346846846846847</v>
      </c>
      <c r="Y16" s="708">
        <f t="shared" si="23"/>
        <v>1.3169523696541907</v>
      </c>
      <c r="Z16" s="160">
        <f t="shared" si="23"/>
        <v>1.3346063454759107</v>
      </c>
      <c r="AA16" s="709">
        <f t="shared" si="23"/>
        <v>1.3231842264100329</v>
      </c>
      <c r="AB16" s="450">
        <f t="shared" si="23"/>
        <v>1.3303057155516171</v>
      </c>
      <c r="AC16" s="706">
        <f t="shared" si="23"/>
        <v>1.3369713506139154</v>
      </c>
      <c r="AD16" s="126">
        <f t="shared" si="23"/>
        <v>1.3134263295553616</v>
      </c>
      <c r="AE16" s="707">
        <f t="shared" si="23"/>
        <v>1.3251806630045504</v>
      </c>
      <c r="AF16" s="153">
        <f t="shared" si="23"/>
        <v>1.3278605708512252</v>
      </c>
      <c r="AG16" s="706">
        <f t="shared" ref="AG16:AH16" si="27">+AG6/AG13</f>
        <v>1.3369713506139154</v>
      </c>
      <c r="AH16" s="126">
        <f t="shared" si="27"/>
        <v>1.3333333333333335</v>
      </c>
      <c r="AI16" s="707">
        <f t="shared" si="23"/>
        <v>1.3266298515471293</v>
      </c>
      <c r="AJ16" s="153">
        <f t="shared" ref="AJ16:BF16" si="28">+AJ6/AJ13</f>
        <v>1.328533451484271</v>
      </c>
      <c r="AK16" s="706">
        <f t="shared" si="28"/>
        <v>1.3369713506139154</v>
      </c>
      <c r="AL16" s="126">
        <f t="shared" si="28"/>
        <v>1.3343504795117698</v>
      </c>
      <c r="AM16" s="708">
        <f t="shared" si="28"/>
        <v>1.3369713506139158</v>
      </c>
      <c r="AN16" s="160">
        <f t="shared" si="28"/>
        <v>1.3269682726204466</v>
      </c>
      <c r="AO16" s="707">
        <f t="shared" si="28"/>
        <v>1.3277952736380094</v>
      </c>
      <c r="AP16" s="153">
        <f t="shared" si="28"/>
        <v>1.3291891891891892</v>
      </c>
      <c r="AQ16" s="706">
        <f t="shared" ref="AQ16:AR16" si="29">+AQ6/AQ13</f>
        <v>1.3369713506139154</v>
      </c>
      <c r="AR16" s="126">
        <f t="shared" si="29"/>
        <v>1.3225806451612905</v>
      </c>
      <c r="AS16" s="707">
        <f t="shared" si="28"/>
        <v>1.3287246276040974</v>
      </c>
      <c r="AT16" s="153">
        <f t="shared" si="28"/>
        <v>1.3285196961667549</v>
      </c>
      <c r="AU16" s="706">
        <f t="shared" si="28"/>
        <v>1.3369713506139154</v>
      </c>
      <c r="AV16" s="126">
        <f t="shared" si="28"/>
        <v>1.3248069498069499</v>
      </c>
      <c r="AW16" s="707">
        <f t="shared" ref="AW16:AZ16" si="30">+AW6/AW13</f>
        <v>1.3294158002629841</v>
      </c>
      <c r="AX16" s="153">
        <f t="shared" si="30"/>
        <v>1.3282084479689269</v>
      </c>
      <c r="AY16" s="706">
        <f t="shared" si="30"/>
        <v>1.3369713506139154</v>
      </c>
      <c r="AZ16" s="126">
        <f t="shared" si="30"/>
        <v>1.3334786399302527</v>
      </c>
      <c r="BA16" s="708">
        <f t="shared" si="28"/>
        <v>1.3369713506139154</v>
      </c>
      <c r="BB16" s="160">
        <f t="shared" si="28"/>
        <v>1.327027027027027</v>
      </c>
      <c r="BC16" s="709">
        <f t="shared" si="28"/>
        <v>1.3369713506139154</v>
      </c>
      <c r="BD16" s="450">
        <f t="shared" si="28"/>
        <v>1.326997326997327</v>
      </c>
      <c r="BE16" s="707">
        <f t="shared" si="28"/>
        <v>1.3300573606621702</v>
      </c>
      <c r="BF16" s="153">
        <f t="shared" si="28"/>
        <v>1.3286560533135876</v>
      </c>
      <c r="BG16" s="1137"/>
      <c r="BH16" s="1137"/>
      <c r="BI16" s="1137"/>
      <c r="BJ16" s="1137"/>
      <c r="BK16" s="1137"/>
      <c r="BL16" s="25"/>
      <c r="BM16" s="25"/>
      <c r="BN16" s="25"/>
    </row>
    <row r="17" spans="1:66" ht="15.75" thickBot="1" x14ac:dyDescent="0.3">
      <c r="A17" s="137" t="s">
        <v>446</v>
      </c>
      <c r="B17" s="1690" t="s">
        <v>166</v>
      </c>
      <c r="C17" s="1320" t="s">
        <v>50</v>
      </c>
      <c r="D17" s="1228">
        <f>(D5)*17.2*D2</f>
        <v>605887.19999999995</v>
      </c>
      <c r="E17" s="1042">
        <f>(E5)*17.2*E2</f>
        <v>50568</v>
      </c>
      <c r="F17" s="27">
        <f>F5*17.2*F2</f>
        <v>50568</v>
      </c>
      <c r="G17" s="5587">
        <f>(G5)*17.2*G2</f>
        <v>52253.599999999999</v>
      </c>
      <c r="H17" s="27">
        <f>H5*17.2*H2</f>
        <v>52047.199999999997</v>
      </c>
      <c r="I17" s="712">
        <f>+E17+G17</f>
        <v>102821.6</v>
      </c>
      <c r="J17" s="60">
        <f>+F17+H17</f>
        <v>102615.2</v>
      </c>
      <c r="K17" s="5699">
        <f>(K5)*17.2*K2</f>
        <v>48504</v>
      </c>
      <c r="L17" s="27">
        <f>L5*17.2*L2</f>
        <v>49570.399999999994</v>
      </c>
      <c r="M17" s="1043">
        <f>+E17+G17+K17</f>
        <v>151325.6</v>
      </c>
      <c r="N17" s="81">
        <f>+F17+H17+L17</f>
        <v>152185.59999999998</v>
      </c>
      <c r="O17" s="5859">
        <f>(O5)*17.2*O2</f>
        <v>50120.799999999996</v>
      </c>
      <c r="P17" s="27">
        <f>P5*17.2*P2</f>
        <v>50877.599999999999</v>
      </c>
      <c r="Q17" s="712">
        <f>+M17+O17</f>
        <v>201446.39999999999</v>
      </c>
      <c r="R17" s="60">
        <f>+N17+P17</f>
        <v>203063.19999999998</v>
      </c>
      <c r="S17" s="5925">
        <f>(S5)*17.2*S2</f>
        <v>50120.799999999996</v>
      </c>
      <c r="T17" s="27">
        <f>T5*17.2*T2</f>
        <v>52253.599999999999</v>
      </c>
      <c r="U17" s="712">
        <f>+Q17+S17</f>
        <v>251567.19999999998</v>
      </c>
      <c r="V17" s="60">
        <f>+R17+T17</f>
        <v>255316.8</v>
      </c>
      <c r="W17" s="6023">
        <f>(W5)*17.2*W2</f>
        <v>47523.6</v>
      </c>
      <c r="X17" s="27">
        <f>X5*17.2*X2</f>
        <v>50568</v>
      </c>
      <c r="Y17" s="461">
        <f>+O17+S17+W17</f>
        <v>147765.19999999998</v>
      </c>
      <c r="Z17" s="461">
        <f>+P17+T17+X17</f>
        <v>153699.20000000001</v>
      </c>
      <c r="AA17" s="711">
        <f>+M17+Y17</f>
        <v>299090.8</v>
      </c>
      <c r="AB17" s="711">
        <f>+N17+Z17</f>
        <v>305884.79999999999</v>
      </c>
      <c r="AC17" s="6158">
        <f>(AC5)*17.2*AC2</f>
        <v>50120.799999999996</v>
      </c>
      <c r="AD17" s="27">
        <f>AD5*17.2*AD2</f>
        <v>51479.6</v>
      </c>
      <c r="AE17" s="712">
        <f>+AA17+AC17</f>
        <v>349211.6</v>
      </c>
      <c r="AF17" s="60">
        <f>+AB17+AD17</f>
        <v>357364.39999999997</v>
      </c>
      <c r="AG17" s="6320">
        <f>(AG5)*17.2*AG2</f>
        <v>48504</v>
      </c>
      <c r="AH17" s="27">
        <f>AH5*17.2*AH2</f>
        <v>48624.4</v>
      </c>
      <c r="AI17" s="712">
        <f>+AE17+AG17</f>
        <v>397715.6</v>
      </c>
      <c r="AJ17" s="60">
        <f>+AF17+AH17</f>
        <v>405988.8</v>
      </c>
      <c r="AK17" s="6579">
        <f>(AK5)*17.2*AK2</f>
        <v>50120.799999999996</v>
      </c>
      <c r="AL17" s="27">
        <f>AL5*17.2*AL2</f>
        <v>50172.399999999994</v>
      </c>
      <c r="AM17" s="2244">
        <f>+AC17+AG17+AK17</f>
        <v>148745.59999999998</v>
      </c>
      <c r="AN17" s="2244">
        <f>+AD17+AH17+AL17</f>
        <v>150276.4</v>
      </c>
      <c r="AO17" s="712">
        <f>AI17+AK17</f>
        <v>447836.39999999997</v>
      </c>
      <c r="AP17" s="712">
        <f>AJ17+AL17</f>
        <v>456161.19999999995</v>
      </c>
      <c r="AQ17" s="6663">
        <f>(AQ5)*17.2*AQ2</f>
        <v>50120.799999999996</v>
      </c>
      <c r="AR17" s="27">
        <f>AR5*17.2*AR2</f>
        <v>50568</v>
      </c>
      <c r="AS17" s="712">
        <f>+AO17+AQ17</f>
        <v>497957.19999999995</v>
      </c>
      <c r="AT17" s="60">
        <f>+AP17+AR17</f>
        <v>506729.19999999995</v>
      </c>
      <c r="AU17" s="6835">
        <f>(AU5)*17.2*AU2</f>
        <v>45270.400000000001</v>
      </c>
      <c r="AV17" s="27">
        <f>AV5*17.2*AV2</f>
        <v>45476.800000000003</v>
      </c>
      <c r="AW17" s="712">
        <f>+AS17+AU17</f>
        <v>543227.6</v>
      </c>
      <c r="AX17" s="60">
        <f>+AT17+AV17</f>
        <v>552206</v>
      </c>
      <c r="AY17" s="6979">
        <f>(AY5)*17.2*AY2</f>
        <v>50120.799999999996</v>
      </c>
      <c r="AZ17" s="27">
        <f>AZ5*17.2*AZ2</f>
        <v>52253.599999999999</v>
      </c>
      <c r="BA17" s="2244">
        <f>+AQ17+AU17+AY17</f>
        <v>145512</v>
      </c>
      <c r="BB17" s="2244">
        <f>+AR17+AV17+AZ17</f>
        <v>148298.4</v>
      </c>
      <c r="BC17" s="711">
        <f>+AM17+BA17</f>
        <v>294257.59999999998</v>
      </c>
      <c r="BD17" s="711">
        <f>+AN17+BB17</f>
        <v>298574.8</v>
      </c>
      <c r="BE17" s="712">
        <f>+AW17+AY17</f>
        <v>593348.4</v>
      </c>
      <c r="BF17" s="60">
        <f>+AX17+AZ17</f>
        <v>604459.6</v>
      </c>
      <c r="BG17" s="1137">
        <f t="shared" si="11"/>
        <v>0</v>
      </c>
      <c r="BH17" s="1137">
        <f t="shared" si="12"/>
        <v>0</v>
      </c>
      <c r="BI17" s="1137"/>
      <c r="BJ17" s="1137">
        <f t="shared" si="13"/>
        <v>0</v>
      </c>
      <c r="BK17" s="1137">
        <f t="shared" si="14"/>
        <v>0</v>
      </c>
      <c r="BL17" s="25"/>
      <c r="BM17" s="25"/>
      <c r="BN17" s="25"/>
    </row>
    <row r="18" spans="1:66" ht="15.75" thickBot="1" x14ac:dyDescent="0.3">
      <c r="A18" s="137" t="s">
        <v>446</v>
      </c>
      <c r="B18" s="1691" t="s">
        <v>167</v>
      </c>
      <c r="C18" s="1317" t="s">
        <v>50</v>
      </c>
      <c r="D18" s="1348">
        <f>+D6*31.55*D2</f>
        <v>1125291.6414999999</v>
      </c>
      <c r="E18" s="681">
        <f>+E6*31.55*E2</f>
        <v>91431.9</v>
      </c>
      <c r="F18" s="118">
        <f>+F6*31.55*F2</f>
        <v>93167.15</v>
      </c>
      <c r="G18" s="5586">
        <f>+G6*31.55*G2</f>
        <v>95848.900000000009</v>
      </c>
      <c r="H18" s="118">
        <f>+H6*31.55*H2</f>
        <v>95344.099999999991</v>
      </c>
      <c r="I18" s="1326">
        <f>+E18+G18</f>
        <v>187280.8</v>
      </c>
      <c r="J18" s="504">
        <f>+F18+H18</f>
        <v>188511.25</v>
      </c>
      <c r="K18" s="5698">
        <f>+K6*31.55*K2</f>
        <v>92757</v>
      </c>
      <c r="L18" s="118">
        <f>+L6*31.55*L2</f>
        <v>93198.7</v>
      </c>
      <c r="M18" s="1459">
        <f>+E18+G18+K18</f>
        <v>280037.8</v>
      </c>
      <c r="N18" s="162">
        <f>+F18+H18+L18</f>
        <v>281709.95</v>
      </c>
      <c r="O18" s="5858">
        <f>+O6*31.55*O2</f>
        <v>95848.900000000009</v>
      </c>
      <c r="P18" s="118">
        <f>+P6*31.55*P2</f>
        <v>96826.950000000012</v>
      </c>
      <c r="Q18" s="1326">
        <f>+M18+O18</f>
        <v>375886.7</v>
      </c>
      <c r="R18" s="504">
        <f>+N18+P18</f>
        <v>378536.9</v>
      </c>
      <c r="S18" s="5924">
        <f>+S6*31.55*S2</f>
        <v>95848.900000000009</v>
      </c>
      <c r="T18" s="118">
        <f>+T6*31.55*T2</f>
        <v>96353.7</v>
      </c>
      <c r="U18" s="1326">
        <f>+Q18+S18</f>
        <v>471735.60000000003</v>
      </c>
      <c r="V18" s="504">
        <f>+R18+T18</f>
        <v>474890.60000000003</v>
      </c>
      <c r="W18" s="6022">
        <f>+W6*31.55*W2</f>
        <v>88497.75</v>
      </c>
      <c r="X18" s="118">
        <f>+X6*31.55*X2</f>
        <v>93482.650000000009</v>
      </c>
      <c r="Y18" s="462">
        <f>+O18+S18+W18</f>
        <v>280195.55000000005</v>
      </c>
      <c r="Z18" s="462">
        <f>+P18+T18+X18</f>
        <v>286663.30000000005</v>
      </c>
      <c r="AA18" s="711">
        <f>+M18+Y18</f>
        <v>560233.35000000009</v>
      </c>
      <c r="AB18" s="711">
        <f>+N18+Z18</f>
        <v>568373.25</v>
      </c>
      <c r="AC18" s="6157">
        <f>+AC6*31.55*AC2</f>
        <v>95848.900000000009</v>
      </c>
      <c r="AD18" s="118">
        <f>+AD6*31.55*AD2</f>
        <v>95060.15</v>
      </c>
      <c r="AE18" s="1326">
        <f>+AA18+AC18</f>
        <v>656082.25000000012</v>
      </c>
      <c r="AF18" s="504">
        <f>+AB18+AD18</f>
        <v>663433.4</v>
      </c>
      <c r="AG18" s="6319">
        <f>+AG6*31.55*AG2</f>
        <v>92757</v>
      </c>
      <c r="AH18" s="118">
        <f>+AH6*31.55*AH2</f>
        <v>93388</v>
      </c>
      <c r="AI18" s="1326">
        <f>+AE18+AG18</f>
        <v>748839.25000000012</v>
      </c>
      <c r="AJ18" s="504">
        <f>+AF18+AH18</f>
        <v>756821.4</v>
      </c>
      <c r="AK18" s="6578">
        <f>+AK6*31.55*AK2</f>
        <v>95848.900000000009</v>
      </c>
      <c r="AL18" s="118">
        <f>+AL6*31.55*AL2</f>
        <v>96574.55</v>
      </c>
      <c r="AM18" s="462">
        <f>+AC18+AG18+AK18</f>
        <v>284454.80000000005</v>
      </c>
      <c r="AN18" s="462">
        <f>+AD18+AH18+AL18</f>
        <v>285022.7</v>
      </c>
      <c r="AO18" s="712">
        <f>AI18+AK18</f>
        <v>844688.15000000014</v>
      </c>
      <c r="AP18" s="712">
        <f>AJ18+AL18</f>
        <v>853395.95000000007</v>
      </c>
      <c r="AQ18" s="6662">
        <f>+AQ6*31.55*AQ2</f>
        <v>95848.900000000009</v>
      </c>
      <c r="AR18" s="118">
        <f>+AR6*31.55*AR2</f>
        <v>95722.700000000012</v>
      </c>
      <c r="AS18" s="1326">
        <f>+AO18+AQ18</f>
        <v>940537.05000000016</v>
      </c>
      <c r="AT18" s="504">
        <f>+AP18+AR18</f>
        <v>949118.65000000014</v>
      </c>
      <c r="AU18" s="6834">
        <f>+AU6*31.55*AU2</f>
        <v>86573.2</v>
      </c>
      <c r="AV18" s="118">
        <f>+AV6*31.55*AV2</f>
        <v>86604.75</v>
      </c>
      <c r="AW18" s="1326">
        <f>+AS18+AU18</f>
        <v>1027110.2500000001</v>
      </c>
      <c r="AX18" s="504">
        <f>+AT18+AV18</f>
        <v>1035723.4000000001</v>
      </c>
      <c r="AY18" s="6978">
        <f>+AY6*31.55*AY2</f>
        <v>95848.900000000009</v>
      </c>
      <c r="AZ18" s="118">
        <f>+AZ6*31.55*AZ2</f>
        <v>96511.45</v>
      </c>
      <c r="BA18" s="462">
        <f>+AQ18+AU18+AY18</f>
        <v>278271</v>
      </c>
      <c r="BB18" s="462">
        <f>+AR18+AV18+AZ18</f>
        <v>278838.90000000002</v>
      </c>
      <c r="BC18" s="711">
        <f t="shared" ref="BC18:BD18" si="31">+AM18+BA18</f>
        <v>562725.80000000005</v>
      </c>
      <c r="BD18" s="711">
        <f t="shared" si="31"/>
        <v>563861.60000000009</v>
      </c>
      <c r="BE18" s="1326">
        <f>+AW18+AY18</f>
        <v>1122959.1500000001</v>
      </c>
      <c r="BF18" s="504">
        <f>+AX18+AZ18</f>
        <v>1132234.8500000001</v>
      </c>
      <c r="BG18" s="1137">
        <f t="shared" si="11"/>
        <v>0</v>
      </c>
      <c r="BH18" s="1137">
        <f t="shared" si="12"/>
        <v>0</v>
      </c>
      <c r="BI18" s="1137"/>
      <c r="BJ18" s="1137">
        <f t="shared" si="13"/>
        <v>0</v>
      </c>
      <c r="BK18" s="1137">
        <f t="shared" si="14"/>
        <v>0</v>
      </c>
      <c r="BL18" s="25"/>
      <c r="BM18" s="25"/>
      <c r="BN18" s="25"/>
    </row>
    <row r="19" spans="1:66" ht="15.75" thickBot="1" x14ac:dyDescent="0.3">
      <c r="A19" s="137" t="s">
        <v>446</v>
      </c>
      <c r="B19" s="1304" t="s">
        <v>168</v>
      </c>
      <c r="C19" s="1322" t="s">
        <v>50</v>
      </c>
      <c r="D19" s="1349">
        <f t="shared" ref="D19:J19" si="32">SUM(D17:D18)</f>
        <v>1731178.8414999999</v>
      </c>
      <c r="E19" s="187">
        <f t="shared" si="32"/>
        <v>141999.9</v>
      </c>
      <c r="F19" s="131">
        <f t="shared" si="32"/>
        <v>143735.15</v>
      </c>
      <c r="G19" s="187">
        <f t="shared" ref="G19:H19" si="33">SUM(G17:G18)</f>
        <v>148102.5</v>
      </c>
      <c r="H19" s="131">
        <f t="shared" si="33"/>
        <v>147391.29999999999</v>
      </c>
      <c r="I19" s="1461">
        <f t="shared" si="32"/>
        <v>290102.40000000002</v>
      </c>
      <c r="J19" s="1462">
        <f t="shared" si="32"/>
        <v>291126.45</v>
      </c>
      <c r="K19" s="187">
        <f t="shared" ref="K19:L19" si="34">SUM(K17:K18)</f>
        <v>141261</v>
      </c>
      <c r="L19" s="131">
        <f t="shared" si="34"/>
        <v>142769.09999999998</v>
      </c>
      <c r="M19" s="1464">
        <f t="shared" ref="M19:R19" si="35">SUM(M17:M18)</f>
        <v>431363.4</v>
      </c>
      <c r="N19" s="1465">
        <f t="shared" si="35"/>
        <v>433895.55</v>
      </c>
      <c r="O19" s="187">
        <f t="shared" si="35"/>
        <v>145969.70000000001</v>
      </c>
      <c r="P19" s="131">
        <f t="shared" si="35"/>
        <v>147704.55000000002</v>
      </c>
      <c r="Q19" s="1461">
        <f t="shared" si="35"/>
        <v>577333.1</v>
      </c>
      <c r="R19" s="1462">
        <f t="shared" si="35"/>
        <v>581600.1</v>
      </c>
      <c r="S19" s="187">
        <f t="shared" ref="S19:T19" si="36">SUM(S17:S18)</f>
        <v>145969.70000000001</v>
      </c>
      <c r="T19" s="131">
        <f t="shared" si="36"/>
        <v>148607.29999999999</v>
      </c>
      <c r="U19" s="1461">
        <f t="shared" ref="U19:X19" si="37">SUM(U17:U18)</f>
        <v>723302.8</v>
      </c>
      <c r="V19" s="1462">
        <f t="shared" si="37"/>
        <v>730207.4</v>
      </c>
      <c r="W19" s="187">
        <f t="shared" si="37"/>
        <v>136021.35</v>
      </c>
      <c r="X19" s="131">
        <f t="shared" si="37"/>
        <v>144050.65000000002</v>
      </c>
      <c r="Y19" s="714">
        <f t="shared" ref="Y19:Z19" si="38">SUM(Y17:Y18)</f>
        <v>427960.75</v>
      </c>
      <c r="Z19" s="460">
        <f t="shared" si="38"/>
        <v>440362.50000000006</v>
      </c>
      <c r="AA19" s="2334">
        <f t="shared" ref="AA19:AF19" si="39">SUM(AA17:AA18)</f>
        <v>859324.15000000014</v>
      </c>
      <c r="AB19" s="447">
        <f t="shared" si="39"/>
        <v>874258.05</v>
      </c>
      <c r="AC19" s="187">
        <f t="shared" si="39"/>
        <v>145969.70000000001</v>
      </c>
      <c r="AD19" s="131">
        <f t="shared" si="39"/>
        <v>146539.75</v>
      </c>
      <c r="AE19" s="1461">
        <f t="shared" si="39"/>
        <v>1005293.8500000001</v>
      </c>
      <c r="AF19" s="1462">
        <f t="shared" si="39"/>
        <v>1020797.8</v>
      </c>
      <c r="AG19" s="187">
        <f t="shared" ref="AG19:AH19" si="40">SUM(AG17:AG18)</f>
        <v>141261</v>
      </c>
      <c r="AH19" s="131">
        <f t="shared" si="40"/>
        <v>142012.4</v>
      </c>
      <c r="AI19" s="1461">
        <f t="shared" ref="AI19:AN19" si="41">SUM(AI17:AI18)</f>
        <v>1146554.8500000001</v>
      </c>
      <c r="AJ19" s="1462">
        <f t="shared" si="41"/>
        <v>1162810.2</v>
      </c>
      <c r="AK19" s="187">
        <f t="shared" si="41"/>
        <v>145969.70000000001</v>
      </c>
      <c r="AL19" s="131">
        <f t="shared" si="41"/>
        <v>146746.95000000001</v>
      </c>
      <c r="AM19" s="714">
        <f t="shared" si="41"/>
        <v>433200.4</v>
      </c>
      <c r="AN19" s="460">
        <f t="shared" si="41"/>
        <v>435299.1</v>
      </c>
      <c r="AO19" s="1461">
        <f t="shared" ref="AO19:AT19" si="42">SUM(AO17:AO18)</f>
        <v>1292524.55</v>
      </c>
      <c r="AP19" s="1462">
        <f t="shared" si="42"/>
        <v>1309557.1499999999</v>
      </c>
      <c r="AQ19" s="187">
        <f t="shared" si="42"/>
        <v>145969.70000000001</v>
      </c>
      <c r="AR19" s="131">
        <f t="shared" si="42"/>
        <v>146290.70000000001</v>
      </c>
      <c r="AS19" s="1461">
        <f t="shared" si="42"/>
        <v>1438494.25</v>
      </c>
      <c r="AT19" s="1462">
        <f t="shared" si="42"/>
        <v>1455847.85</v>
      </c>
      <c r="AU19" s="187">
        <f t="shared" ref="AU19:AV19" si="43">SUM(AU17:AU18)</f>
        <v>131843.6</v>
      </c>
      <c r="AV19" s="131">
        <f t="shared" si="43"/>
        <v>132081.54999999999</v>
      </c>
      <c r="AW19" s="1461">
        <f t="shared" ref="AW19:AZ19" si="44">SUM(AW17:AW18)</f>
        <v>1570337.85</v>
      </c>
      <c r="AX19" s="1462">
        <f t="shared" si="44"/>
        <v>1587929.4000000001</v>
      </c>
      <c r="AY19" s="187">
        <f t="shared" si="44"/>
        <v>145969.70000000001</v>
      </c>
      <c r="AZ19" s="131">
        <f t="shared" si="44"/>
        <v>148765.04999999999</v>
      </c>
      <c r="BA19" s="714">
        <f t="shared" ref="BA19:BF19" si="45">SUM(BA17:BA18)</f>
        <v>423783</v>
      </c>
      <c r="BB19" s="460">
        <f t="shared" si="45"/>
        <v>427137.30000000005</v>
      </c>
      <c r="BC19" s="2334">
        <f t="shared" si="45"/>
        <v>856983.4</v>
      </c>
      <c r="BD19" s="447">
        <f t="shared" si="45"/>
        <v>862436.40000000014</v>
      </c>
      <c r="BE19" s="1461">
        <f t="shared" si="45"/>
        <v>1716307.5500000003</v>
      </c>
      <c r="BF19" s="1462">
        <f t="shared" si="45"/>
        <v>1736694.4500000002</v>
      </c>
      <c r="BG19" s="1137">
        <f t="shared" si="11"/>
        <v>0</v>
      </c>
      <c r="BH19" s="1137">
        <f t="shared" si="12"/>
        <v>0</v>
      </c>
      <c r="BI19" s="1137"/>
      <c r="BJ19" s="1137">
        <f t="shared" si="13"/>
        <v>0</v>
      </c>
      <c r="BK19" s="1137">
        <f t="shared" si="14"/>
        <v>0</v>
      </c>
      <c r="BL19" s="25"/>
      <c r="BM19" s="25"/>
      <c r="BN19" s="25"/>
    </row>
    <row r="20" spans="1:66" ht="16.5" thickBot="1" x14ac:dyDescent="0.3">
      <c r="A20" s="138" t="s">
        <v>446</v>
      </c>
      <c r="B20" s="1327" t="s">
        <v>478</v>
      </c>
      <c r="C20" s="1706"/>
      <c r="D20" s="1328"/>
      <c r="E20" s="1328"/>
      <c r="F20" s="1328"/>
      <c r="G20" s="1328"/>
      <c r="H20" s="1328"/>
      <c r="I20" s="1707"/>
      <c r="J20" s="1707"/>
      <c r="K20" s="1328"/>
      <c r="L20" s="1328"/>
      <c r="M20" s="1707"/>
      <c r="N20" s="1707"/>
      <c r="O20" s="1328"/>
      <c r="P20" s="1328"/>
      <c r="Q20" s="1707"/>
      <c r="R20" s="1707"/>
      <c r="S20" s="1328"/>
      <c r="T20" s="1328"/>
      <c r="U20" s="1707"/>
      <c r="V20" s="1707"/>
      <c r="W20" s="1328"/>
      <c r="X20" s="1328"/>
      <c r="Y20" s="464"/>
      <c r="Z20" s="464"/>
      <c r="AA20" s="2335"/>
      <c r="AB20" s="464"/>
      <c r="AC20" s="1328"/>
      <c r="AD20" s="1328"/>
      <c r="AE20" s="1707"/>
      <c r="AF20" s="1707"/>
      <c r="AG20" s="1328"/>
      <c r="AH20" s="1328"/>
      <c r="AI20" s="1707"/>
      <c r="AJ20" s="1707"/>
      <c r="AK20" s="1328"/>
      <c r="AL20" s="1328"/>
      <c r="AM20" s="464"/>
      <c r="AN20" s="464"/>
      <c r="AO20" s="1707"/>
      <c r="AP20" s="1707"/>
      <c r="AQ20" s="1328"/>
      <c r="AR20" s="1328"/>
      <c r="AS20" s="1707"/>
      <c r="AT20" s="1707"/>
      <c r="AU20" s="1328"/>
      <c r="AV20" s="1328"/>
      <c r="AW20" s="1707"/>
      <c r="AX20" s="1707"/>
      <c r="AY20" s="1328"/>
      <c r="AZ20" s="1328"/>
      <c r="BA20" s="464"/>
      <c r="BB20" s="464"/>
      <c r="BC20" s="2335"/>
      <c r="BD20" s="464"/>
      <c r="BE20" s="1707"/>
      <c r="BF20" s="1707"/>
      <c r="BG20" s="1137">
        <f t="shared" si="11"/>
        <v>0</v>
      </c>
      <c r="BH20" s="1137">
        <f t="shared" si="12"/>
        <v>0</v>
      </c>
      <c r="BI20" s="1137"/>
      <c r="BJ20" s="1137">
        <f t="shared" si="13"/>
        <v>0</v>
      </c>
      <c r="BK20" s="1137">
        <f t="shared" si="14"/>
        <v>0</v>
      </c>
      <c r="BL20" s="25"/>
      <c r="BM20" s="25"/>
      <c r="BN20" s="25"/>
    </row>
    <row r="21" spans="1:66" ht="15.75" thickBot="1" x14ac:dyDescent="0.3">
      <c r="A21" s="137" t="s">
        <v>446</v>
      </c>
      <c r="B21" s="1692" t="s">
        <v>149</v>
      </c>
      <c r="C21" s="1243" t="s">
        <v>50</v>
      </c>
      <c r="D21" s="1350">
        <f>+D17*D37/100</f>
        <v>421091.60400000005</v>
      </c>
      <c r="E21" s="1045">
        <f>+E17*E37/100</f>
        <v>35144.76</v>
      </c>
      <c r="F21" s="1045">
        <v>35144.759999999995</v>
      </c>
      <c r="G21" s="1045">
        <f>+G17*G37/100</f>
        <v>36577.519999999997</v>
      </c>
      <c r="H21" s="1045">
        <v>36433.039999999994</v>
      </c>
      <c r="I21" s="635">
        <f>+E21+G21</f>
        <v>71722.28</v>
      </c>
      <c r="J21" s="41">
        <f>+F21+H21</f>
        <v>71577.799999999988</v>
      </c>
      <c r="K21" s="1045">
        <f>+K17*K37/100</f>
        <v>33952.800000000003</v>
      </c>
      <c r="L21" s="1045">
        <v>34699.279999999999</v>
      </c>
      <c r="M21" s="670">
        <f>+E21+G21+K21</f>
        <v>105675.08</v>
      </c>
      <c r="N21" s="71">
        <f>+F21+H21+L21</f>
        <v>106277.07999999999</v>
      </c>
      <c r="O21" s="1045">
        <f>+O17*O37/100</f>
        <v>35084.559999999998</v>
      </c>
      <c r="P21" s="1045">
        <v>35614.32</v>
      </c>
      <c r="Q21" s="635">
        <f>+M21+O21</f>
        <v>140759.64000000001</v>
      </c>
      <c r="R21" s="41">
        <f>+N21+P21</f>
        <v>141891.4</v>
      </c>
      <c r="S21" s="1045">
        <f>+S17*S37/100</f>
        <v>35084.559999999998</v>
      </c>
      <c r="T21" s="1045">
        <v>36577.519999999997</v>
      </c>
      <c r="U21" s="635">
        <f>+Q21+S21</f>
        <v>175844.2</v>
      </c>
      <c r="V21" s="41">
        <f>+R21+T21</f>
        <v>178468.91999999998</v>
      </c>
      <c r="W21" s="1045">
        <f>+W17*W37/100</f>
        <v>33266.519999999997</v>
      </c>
      <c r="X21" s="1045">
        <v>35397.599999999999</v>
      </c>
      <c r="Y21" s="713">
        <f>+O21+S21+W21</f>
        <v>103435.63999999998</v>
      </c>
      <c r="Z21" s="81">
        <f>+P21+T21+X21</f>
        <v>107589.44</v>
      </c>
      <c r="AA21" s="711">
        <f>+M21+Y21</f>
        <v>209110.71999999997</v>
      </c>
      <c r="AB21" s="711">
        <f>+N21+Z21</f>
        <v>213866.52</v>
      </c>
      <c r="AC21" s="1045">
        <f>+AC17*AC37/100</f>
        <v>35084.559999999998</v>
      </c>
      <c r="AD21" s="1045">
        <v>35881.281200000005</v>
      </c>
      <c r="AE21" s="635">
        <f>+AA21+AC21</f>
        <v>244195.27999999997</v>
      </c>
      <c r="AF21" s="41">
        <f>+AB21+AD21</f>
        <v>249747.80119999999</v>
      </c>
      <c r="AG21" s="1045">
        <f>+AG17*AG37/100</f>
        <v>33952.800000000003</v>
      </c>
      <c r="AH21" s="1045">
        <v>33793.957999999999</v>
      </c>
      <c r="AI21" s="635">
        <f>+AE21+AG21</f>
        <v>278148.07999999996</v>
      </c>
      <c r="AJ21" s="41">
        <f>+AF21+AH21</f>
        <v>283541.75919999997</v>
      </c>
      <c r="AK21" s="1045">
        <f>+AK17*AK37/100</f>
        <v>35084.559999999998</v>
      </c>
      <c r="AL21" s="1045">
        <v>34869.817999999999</v>
      </c>
      <c r="AM21" s="713">
        <f>+AC21+AG21+AK21</f>
        <v>104121.92</v>
      </c>
      <c r="AN21" s="81">
        <f>+AD21+AH21+AL21</f>
        <v>104545.05720000001</v>
      </c>
      <c r="AO21" s="712">
        <f>AI21+AK21</f>
        <v>313232.63999999996</v>
      </c>
      <c r="AP21" s="712">
        <f>AJ21+AL21</f>
        <v>318411.57719999994</v>
      </c>
      <c r="AQ21" s="1045">
        <f>+AQ17*AQ37/100</f>
        <v>35084.559999999998</v>
      </c>
      <c r="AR21" s="1045">
        <v>35144.759999999995</v>
      </c>
      <c r="AS21" s="635">
        <f>+AO21+AQ21</f>
        <v>348317.19999999995</v>
      </c>
      <c r="AT21" s="41">
        <f>+AP21+AR21</f>
        <v>353556.33719999995</v>
      </c>
      <c r="AU21" s="1045">
        <f>+AU17*AU37/100</f>
        <v>31689.279999999999</v>
      </c>
      <c r="AV21" s="1045">
        <v>31606.375999999993</v>
      </c>
      <c r="AW21" s="635">
        <f>+AS21+AU21</f>
        <v>380006.48</v>
      </c>
      <c r="AX21" s="41">
        <f>+AT21+AV21</f>
        <v>385162.71319999994</v>
      </c>
      <c r="AY21" s="1045">
        <f>+AY17*AY37/100</f>
        <v>35084.559999999998</v>
      </c>
      <c r="AZ21" s="1045">
        <v>36316.251999999993</v>
      </c>
      <c r="BA21" s="713">
        <f>+AQ21+AU21+AY21</f>
        <v>101858.4</v>
      </c>
      <c r="BB21" s="81">
        <f>+AR21+AV21+AZ21</f>
        <v>103067.38799999998</v>
      </c>
      <c r="BC21" s="711">
        <f t="shared" ref="BC21:BC22" si="46">+AM21+BA21</f>
        <v>205980.32</v>
      </c>
      <c r="BD21" s="711">
        <f t="shared" ref="BD21:BD22" si="47">+AN21+BB21</f>
        <v>207612.44519999999</v>
      </c>
      <c r="BE21" s="635">
        <f>+AW21+AY21</f>
        <v>415091.04</v>
      </c>
      <c r="BF21" s="41">
        <f>+AX21+AZ21</f>
        <v>421478.96519999992</v>
      </c>
      <c r="BG21" s="1137">
        <f t="shared" si="11"/>
        <v>0</v>
      </c>
      <c r="BH21" s="1137">
        <f t="shared" si="12"/>
        <v>0</v>
      </c>
      <c r="BI21" s="1137"/>
      <c r="BJ21" s="1137">
        <f t="shared" si="13"/>
        <v>0</v>
      </c>
      <c r="BK21" s="1137">
        <f t="shared" si="14"/>
        <v>0</v>
      </c>
      <c r="BL21" s="25"/>
      <c r="BM21" s="25"/>
      <c r="BN21" s="25"/>
    </row>
    <row r="22" spans="1:66" ht="15.75" thickBot="1" x14ac:dyDescent="0.3">
      <c r="A22" s="137" t="s">
        <v>446</v>
      </c>
      <c r="B22" s="1693" t="s">
        <v>150</v>
      </c>
      <c r="C22" s="1306" t="s">
        <v>50</v>
      </c>
      <c r="D22" s="1695">
        <f>+D18*D37/100</f>
        <v>782077.69084250007</v>
      </c>
      <c r="E22" s="1222">
        <f>+E18*E37/100</f>
        <v>63545.1705</v>
      </c>
      <c r="F22" s="1222">
        <v>64751.169249999999</v>
      </c>
      <c r="G22" s="1222">
        <f>+G18*G37/100</f>
        <v>67094.23000000001</v>
      </c>
      <c r="H22" s="1222">
        <v>66740.87</v>
      </c>
      <c r="I22" s="716">
        <f>+E22+G22</f>
        <v>130639.40050000002</v>
      </c>
      <c r="J22" s="42">
        <f>+F22+H22</f>
        <v>131492.03925</v>
      </c>
      <c r="K22" s="1222">
        <f>+K18*K37/100</f>
        <v>64929.9</v>
      </c>
      <c r="L22" s="1222">
        <v>65239.09</v>
      </c>
      <c r="M22" s="1694">
        <f>+E22+G22+K22</f>
        <v>195569.30050000001</v>
      </c>
      <c r="N22" s="1466">
        <f>+F22+H22+L22</f>
        <v>196731.12925</v>
      </c>
      <c r="O22" s="1222">
        <f>+O18*O37/100</f>
        <v>67094.23000000001</v>
      </c>
      <c r="P22" s="1222">
        <v>67778.864999999991</v>
      </c>
      <c r="Q22" s="716">
        <f>+M22+O22</f>
        <v>262663.53049999999</v>
      </c>
      <c r="R22" s="42">
        <f>+N22+P22</f>
        <v>264509.99424999999</v>
      </c>
      <c r="S22" s="1222">
        <f>+S18*S37/100</f>
        <v>67094.23000000001</v>
      </c>
      <c r="T22" s="1222">
        <v>67447.59</v>
      </c>
      <c r="U22" s="716">
        <f>+Q22+S22</f>
        <v>329757.76049999997</v>
      </c>
      <c r="V22" s="42">
        <f>+R22+T22</f>
        <v>331957.58424999996</v>
      </c>
      <c r="W22" s="1222">
        <f>+W18*W37/100</f>
        <v>61948.425000000003</v>
      </c>
      <c r="X22" s="1222">
        <v>64963.855000000003</v>
      </c>
      <c r="Y22" s="713">
        <f>+O22+S22+W22</f>
        <v>196136.88500000001</v>
      </c>
      <c r="Z22" s="81">
        <f>+P22+T22+X22</f>
        <v>200190.31</v>
      </c>
      <c r="AA22" s="711">
        <f>+M22+Y22</f>
        <v>391706.18550000002</v>
      </c>
      <c r="AB22" s="711">
        <f>+N22+Z22</f>
        <v>396921.43925</v>
      </c>
      <c r="AC22" s="1222">
        <f>+AC18*AC37/100</f>
        <v>67094.23000000001</v>
      </c>
      <c r="AD22" s="1222">
        <v>66256.924550000011</v>
      </c>
      <c r="AE22" s="716">
        <f>+AA22+AC22</f>
        <v>458800.4155</v>
      </c>
      <c r="AF22" s="42">
        <f>+AB22+AD22</f>
        <v>463178.36379999999</v>
      </c>
      <c r="AG22" s="1222">
        <f>+AG18*AG37/100</f>
        <v>64929.9</v>
      </c>
      <c r="AH22" s="1222">
        <v>64904.659999999996</v>
      </c>
      <c r="AI22" s="716">
        <f>+AE22+AG22</f>
        <v>523730.31550000003</v>
      </c>
      <c r="AJ22" s="42">
        <f>+AF22+AH22</f>
        <v>528083.02379999997</v>
      </c>
      <c r="AK22" s="1222">
        <f>+AK18*AK37/100</f>
        <v>67094.23000000001</v>
      </c>
      <c r="AL22" s="1222">
        <v>67119.312250000003</v>
      </c>
      <c r="AM22" s="713">
        <f>+AC22+AG22+AK22</f>
        <v>199118.36000000002</v>
      </c>
      <c r="AN22" s="81">
        <f>+AD22+AH22+AL22</f>
        <v>198280.89679999999</v>
      </c>
      <c r="AO22" s="712">
        <f>AI22+AK22</f>
        <v>590824.54550000001</v>
      </c>
      <c r="AP22" s="712">
        <f>AJ22+AL22</f>
        <v>595202.33604999993</v>
      </c>
      <c r="AQ22" s="1222">
        <f>+AQ18*AQ37/100</f>
        <v>67094.23000000001</v>
      </c>
      <c r="AR22" s="1222">
        <v>66527.276499999993</v>
      </c>
      <c r="AS22" s="716">
        <f>+AO22+AQ22</f>
        <v>657918.77549999999</v>
      </c>
      <c r="AT22" s="42">
        <f>+AP22+AR22</f>
        <v>661729.61254999996</v>
      </c>
      <c r="AU22" s="1222">
        <f>+AU18*AU37/100</f>
        <v>60601.24</v>
      </c>
      <c r="AV22" s="1222">
        <v>60190.301249999997</v>
      </c>
      <c r="AW22" s="716">
        <f>+AS22+AU22</f>
        <v>718520.01549999998</v>
      </c>
      <c r="AX22" s="42">
        <f>+AT22+AV22</f>
        <v>721919.91379999998</v>
      </c>
      <c r="AY22" s="1222">
        <f>+AY18*AY37/100</f>
        <v>67094.23000000001</v>
      </c>
      <c r="AZ22" s="1222">
        <v>67075.457749999987</v>
      </c>
      <c r="BA22" s="713">
        <f>+AQ22+AU22+AY22</f>
        <v>194789.7</v>
      </c>
      <c r="BB22" s="81">
        <f>+AR22+AV22+AZ22</f>
        <v>193793.0355</v>
      </c>
      <c r="BC22" s="711">
        <f t="shared" si="46"/>
        <v>393908.06000000006</v>
      </c>
      <c r="BD22" s="711">
        <f t="shared" si="47"/>
        <v>392073.93229999999</v>
      </c>
      <c r="BE22" s="716">
        <f>+AW22+AY22</f>
        <v>785614.24549999996</v>
      </c>
      <c r="BF22" s="42">
        <f>+AX22+AZ22</f>
        <v>788995.37154999992</v>
      </c>
      <c r="BG22" s="1137">
        <f t="shared" si="11"/>
        <v>0</v>
      </c>
      <c r="BH22" s="1137">
        <f t="shared" si="12"/>
        <v>0</v>
      </c>
      <c r="BI22" s="1137"/>
      <c r="BJ22" s="1137">
        <f t="shared" si="13"/>
        <v>0</v>
      </c>
      <c r="BK22" s="1137">
        <f t="shared" si="14"/>
        <v>0</v>
      </c>
      <c r="BL22" s="25"/>
      <c r="BM22" s="25"/>
      <c r="BN22" s="25"/>
    </row>
    <row r="23" spans="1:66" ht="15.75" thickBot="1" x14ac:dyDescent="0.3">
      <c r="A23" s="137" t="s">
        <v>446</v>
      </c>
      <c r="B23" s="1304" t="s">
        <v>78</v>
      </c>
      <c r="C23" s="1307" t="s">
        <v>50</v>
      </c>
      <c r="D23" s="1349">
        <f t="shared" ref="D23:J23" si="48">SUM(D21:D22)</f>
        <v>1203169.2948425002</v>
      </c>
      <c r="E23" s="187">
        <f t="shared" si="48"/>
        <v>98689.930500000002</v>
      </c>
      <c r="F23" s="187">
        <f t="shared" si="48"/>
        <v>99895.929249999986</v>
      </c>
      <c r="G23" s="187">
        <f t="shared" ref="G23:H23" si="49">SUM(G21:G22)</f>
        <v>103671.75</v>
      </c>
      <c r="H23" s="187">
        <f t="shared" si="49"/>
        <v>103173.90999999999</v>
      </c>
      <c r="I23" s="698">
        <f t="shared" si="48"/>
        <v>202361.68050000002</v>
      </c>
      <c r="J23" s="1049">
        <f t="shared" si="48"/>
        <v>203069.83924999999</v>
      </c>
      <c r="K23" s="187">
        <f t="shared" ref="K23:L23" si="50">SUM(K21:K22)</f>
        <v>98882.700000000012</v>
      </c>
      <c r="L23" s="187">
        <f t="shared" si="50"/>
        <v>99938.37</v>
      </c>
      <c r="M23" s="718">
        <f t="shared" ref="M23:R23" si="51">SUM(M21:M22)</f>
        <v>301244.38050000003</v>
      </c>
      <c r="N23" s="161">
        <f t="shared" si="51"/>
        <v>303008.20924999996</v>
      </c>
      <c r="O23" s="187">
        <f t="shared" si="51"/>
        <v>102178.79000000001</v>
      </c>
      <c r="P23" s="187">
        <f t="shared" si="51"/>
        <v>103393.185</v>
      </c>
      <c r="Q23" s="698">
        <f t="shared" si="51"/>
        <v>403423.17050000001</v>
      </c>
      <c r="R23" s="1049">
        <f t="shared" si="51"/>
        <v>406401.39425000001</v>
      </c>
      <c r="S23" s="187">
        <f t="shared" ref="S23:T23" si="52">SUM(S21:S22)</f>
        <v>102178.79000000001</v>
      </c>
      <c r="T23" s="187">
        <f t="shared" si="52"/>
        <v>104025.10999999999</v>
      </c>
      <c r="U23" s="698">
        <f t="shared" ref="U23:X23" si="53">SUM(U21:U22)</f>
        <v>505601.96049999999</v>
      </c>
      <c r="V23" s="1049">
        <f t="shared" si="53"/>
        <v>510426.50424999994</v>
      </c>
      <c r="W23" s="187">
        <f t="shared" si="53"/>
        <v>95214.945000000007</v>
      </c>
      <c r="X23" s="187">
        <f t="shared" si="53"/>
        <v>100361.455</v>
      </c>
      <c r="Y23" s="701">
        <f t="shared" ref="Y23:Z23" si="54">SUM(Y21:Y22)</f>
        <v>299572.52500000002</v>
      </c>
      <c r="Z23" s="161">
        <f t="shared" si="54"/>
        <v>307779.75</v>
      </c>
      <c r="AA23" s="2334">
        <f t="shared" ref="AA23:AF23" si="55">SUM(AA21:AA22)</f>
        <v>600816.90549999999</v>
      </c>
      <c r="AB23" s="447">
        <f t="shared" si="55"/>
        <v>610787.95924999996</v>
      </c>
      <c r="AC23" s="187">
        <f t="shared" si="55"/>
        <v>102178.79000000001</v>
      </c>
      <c r="AD23" s="187">
        <f t="shared" si="55"/>
        <v>102138.20575000002</v>
      </c>
      <c r="AE23" s="698">
        <f t="shared" si="55"/>
        <v>702995.69549999991</v>
      </c>
      <c r="AF23" s="1049">
        <f t="shared" si="55"/>
        <v>712926.16500000004</v>
      </c>
      <c r="AG23" s="187">
        <f t="shared" ref="AG23:AH23" si="56">SUM(AG21:AG22)</f>
        <v>98882.700000000012</v>
      </c>
      <c r="AH23" s="187">
        <f t="shared" si="56"/>
        <v>98698.617999999988</v>
      </c>
      <c r="AI23" s="698">
        <f t="shared" ref="AI23:AN23" si="57">SUM(AI21:AI22)</f>
        <v>801878.39549999998</v>
      </c>
      <c r="AJ23" s="1049">
        <f t="shared" si="57"/>
        <v>811624.78299999994</v>
      </c>
      <c r="AK23" s="187">
        <f t="shared" si="57"/>
        <v>102178.79000000001</v>
      </c>
      <c r="AL23" s="187">
        <f t="shared" si="57"/>
        <v>101989.13025</v>
      </c>
      <c r="AM23" s="701">
        <f t="shared" si="57"/>
        <v>303240.28000000003</v>
      </c>
      <c r="AN23" s="161">
        <f t="shared" si="57"/>
        <v>302825.95400000003</v>
      </c>
      <c r="AO23" s="698">
        <f t="shared" ref="AO23:AT23" si="58">SUM(AO21:AO22)</f>
        <v>904057.18549999991</v>
      </c>
      <c r="AP23" s="1049">
        <f t="shared" si="58"/>
        <v>913613.91324999987</v>
      </c>
      <c r="AQ23" s="187">
        <f t="shared" si="58"/>
        <v>102178.79000000001</v>
      </c>
      <c r="AR23" s="187">
        <f t="shared" si="58"/>
        <v>101672.03649999999</v>
      </c>
      <c r="AS23" s="698">
        <f t="shared" si="58"/>
        <v>1006235.9754999999</v>
      </c>
      <c r="AT23" s="1049">
        <f t="shared" si="58"/>
        <v>1015285.9497499999</v>
      </c>
      <c r="AU23" s="187">
        <f t="shared" ref="AU23:AV23" si="59">SUM(AU21:AU22)</f>
        <v>92290.51999999999</v>
      </c>
      <c r="AV23" s="187">
        <f t="shared" si="59"/>
        <v>91796.677249999993</v>
      </c>
      <c r="AW23" s="698">
        <f t="shared" ref="AW23:AZ23" si="60">SUM(AW21:AW22)</f>
        <v>1098526.4955</v>
      </c>
      <c r="AX23" s="1049">
        <f t="shared" si="60"/>
        <v>1107082.6269999999</v>
      </c>
      <c r="AY23" s="187">
        <f t="shared" si="60"/>
        <v>102178.79000000001</v>
      </c>
      <c r="AZ23" s="187">
        <f t="shared" si="60"/>
        <v>103391.70974999998</v>
      </c>
      <c r="BA23" s="701">
        <f t="shared" ref="BA23:BF23" si="61">SUM(BA21:BA22)</f>
        <v>296648.09999999998</v>
      </c>
      <c r="BB23" s="161">
        <f t="shared" si="61"/>
        <v>296860.42349999998</v>
      </c>
      <c r="BC23" s="2334">
        <f t="shared" si="61"/>
        <v>599888.38000000012</v>
      </c>
      <c r="BD23" s="447">
        <f t="shared" si="61"/>
        <v>599686.37749999994</v>
      </c>
      <c r="BE23" s="698">
        <f t="shared" si="61"/>
        <v>1200705.2855</v>
      </c>
      <c r="BF23" s="1049">
        <f t="shared" si="61"/>
        <v>1210474.3367499998</v>
      </c>
      <c r="BG23" s="1137">
        <f t="shared" si="11"/>
        <v>0</v>
      </c>
      <c r="BH23" s="1137">
        <f t="shared" si="12"/>
        <v>0</v>
      </c>
      <c r="BI23" s="1137"/>
      <c r="BJ23" s="1137">
        <f t="shared" si="13"/>
        <v>0</v>
      </c>
      <c r="BK23" s="1137">
        <f t="shared" si="14"/>
        <v>0</v>
      </c>
      <c r="BL23" s="25"/>
      <c r="BM23" s="25"/>
      <c r="BN23" s="25"/>
    </row>
    <row r="24" spans="1:66" ht="15.75" thickBot="1" x14ac:dyDescent="0.3">
      <c r="A24" s="137" t="s">
        <v>446</v>
      </c>
      <c r="B24" s="1690" t="s">
        <v>152</v>
      </c>
      <c r="C24" s="1306" t="s">
        <v>50</v>
      </c>
      <c r="D24" s="1228">
        <f>+D17*D38/100</f>
        <v>9088.3079999999991</v>
      </c>
      <c r="E24" s="1042">
        <f>+E17*E38/100</f>
        <v>758.52</v>
      </c>
      <c r="F24" s="1042">
        <v>505.68</v>
      </c>
      <c r="G24" s="5587">
        <f>+G17*G38/100</f>
        <v>783.80399999999997</v>
      </c>
      <c r="H24" s="5587">
        <v>780.70799999999997</v>
      </c>
      <c r="I24" s="712">
        <f>+E24+G24</f>
        <v>1542.3240000000001</v>
      </c>
      <c r="J24" s="60">
        <f>+F24+H24</f>
        <v>1286.3879999999999</v>
      </c>
      <c r="K24" s="5699">
        <f>+K17*K38/100</f>
        <v>727.56</v>
      </c>
      <c r="L24" s="5699">
        <v>743.55600000000004</v>
      </c>
      <c r="M24" s="1043">
        <f>+E24+G24+K24</f>
        <v>2269.884</v>
      </c>
      <c r="N24" s="81">
        <f>+F24+H24+L24</f>
        <v>2029.944</v>
      </c>
      <c r="O24" s="5859">
        <f>+O17*O38/100</f>
        <v>751.81200000000001</v>
      </c>
      <c r="P24" s="5859">
        <v>763.16399999999999</v>
      </c>
      <c r="Q24" s="712">
        <f>+M24+O24</f>
        <v>3021.6959999999999</v>
      </c>
      <c r="R24" s="60">
        <f>+N24+P24</f>
        <v>2793.1080000000002</v>
      </c>
      <c r="S24" s="5925">
        <f>+S17*S38/100</f>
        <v>751.81200000000001</v>
      </c>
      <c r="T24" s="5925">
        <v>783.80399999999997</v>
      </c>
      <c r="U24" s="712">
        <f>+Q24+S24</f>
        <v>3773.5079999999998</v>
      </c>
      <c r="V24" s="60">
        <f>+R24+T24</f>
        <v>3576.9120000000003</v>
      </c>
      <c r="W24" s="6023">
        <f>+W17*W38/100</f>
        <v>712.85399999999993</v>
      </c>
      <c r="X24" s="6023">
        <v>758.52</v>
      </c>
      <c r="Y24" s="713">
        <f>+O24+S24+W24</f>
        <v>2216.4780000000001</v>
      </c>
      <c r="Z24" s="81">
        <f>+P24+T24+X24</f>
        <v>2305.4879999999998</v>
      </c>
      <c r="AA24" s="711">
        <f>+M24+Y24</f>
        <v>4486.3620000000001</v>
      </c>
      <c r="AB24" s="711">
        <f>+N24+Z24</f>
        <v>4335.4319999999998</v>
      </c>
      <c r="AC24" s="6158">
        <f>+AC17*AC38/100</f>
        <v>751.81200000000001</v>
      </c>
      <c r="AD24" s="6158">
        <v>772.19399999999996</v>
      </c>
      <c r="AE24" s="712">
        <f>+AA24+AC24</f>
        <v>5238.174</v>
      </c>
      <c r="AF24" s="60">
        <f>+AB24+AD24</f>
        <v>5107.6260000000002</v>
      </c>
      <c r="AG24" s="6320">
        <f>+AG17*AG38/100</f>
        <v>727.56</v>
      </c>
      <c r="AH24" s="6320">
        <v>486.24400000000003</v>
      </c>
      <c r="AI24" s="712">
        <f>+AE24+AG24</f>
        <v>5965.7340000000004</v>
      </c>
      <c r="AJ24" s="60">
        <f>+AF24+AH24</f>
        <v>5593.87</v>
      </c>
      <c r="AK24" s="6579">
        <f>+AK17*AK38/100</f>
        <v>751.81200000000001</v>
      </c>
      <c r="AL24" s="6579">
        <v>501.72400000000005</v>
      </c>
      <c r="AM24" s="713">
        <f>+AC24+AG24+AK24</f>
        <v>2231.1839999999997</v>
      </c>
      <c r="AN24" s="81">
        <f>+AD24+AH24+AL24</f>
        <v>1760.1620000000003</v>
      </c>
      <c r="AO24" s="712">
        <f>AI24+AK24</f>
        <v>6717.5460000000003</v>
      </c>
      <c r="AP24" s="712">
        <f>AJ24+AL24</f>
        <v>6095.5940000000001</v>
      </c>
      <c r="AQ24" s="6663">
        <f>+AQ17*AQ38/100</f>
        <v>751.81200000000001</v>
      </c>
      <c r="AR24" s="6663">
        <v>505.68</v>
      </c>
      <c r="AS24" s="712">
        <f>+AO24+AQ24</f>
        <v>7469.3580000000002</v>
      </c>
      <c r="AT24" s="60">
        <f>+AP24+AR24</f>
        <v>6601.2740000000003</v>
      </c>
      <c r="AU24" s="6835">
        <f>+AU17*AU38/100</f>
        <v>679.05600000000004</v>
      </c>
      <c r="AV24" s="6835">
        <v>454.76799999999997</v>
      </c>
      <c r="AW24" s="712">
        <f>+AS24+AU24</f>
        <v>8148.4140000000007</v>
      </c>
      <c r="AX24" s="60">
        <f>+AT24+AV24</f>
        <v>7056.0420000000004</v>
      </c>
      <c r="AY24" s="6979">
        <f>+AY17*AY38/100</f>
        <v>751.81200000000001</v>
      </c>
      <c r="AZ24" s="6979">
        <v>522.53599999999994</v>
      </c>
      <c r="BA24" s="713">
        <f>+AQ24+AU24+AY24</f>
        <v>2182.6799999999998</v>
      </c>
      <c r="BB24" s="81">
        <f>+AR24+AV24+AZ24</f>
        <v>1482.9839999999999</v>
      </c>
      <c r="BC24" s="711">
        <f t="shared" ref="BC24:BC25" si="62">+AM24+BA24</f>
        <v>4413.8639999999996</v>
      </c>
      <c r="BD24" s="711">
        <f t="shared" ref="BD24:BD25" si="63">+AN24+BB24</f>
        <v>3243.1460000000002</v>
      </c>
      <c r="BE24" s="712">
        <f>+AW24+AY24</f>
        <v>8900.2260000000006</v>
      </c>
      <c r="BF24" s="60">
        <f>+AX24+AZ24</f>
        <v>7578.5780000000004</v>
      </c>
      <c r="BG24" s="1137">
        <f t="shared" si="11"/>
        <v>0</v>
      </c>
      <c r="BH24" s="1137">
        <f t="shared" si="12"/>
        <v>0</v>
      </c>
      <c r="BI24" s="1137"/>
      <c r="BJ24" s="1137">
        <f t="shared" si="13"/>
        <v>0</v>
      </c>
      <c r="BK24" s="1137">
        <f t="shared" si="14"/>
        <v>0</v>
      </c>
      <c r="BL24" s="25"/>
      <c r="BM24" s="25"/>
      <c r="BN24" s="25"/>
    </row>
    <row r="25" spans="1:66" ht="15.75" thickBot="1" x14ac:dyDescent="0.3">
      <c r="A25" s="137" t="s">
        <v>446</v>
      </c>
      <c r="B25" s="1691" t="s">
        <v>153</v>
      </c>
      <c r="C25" s="1306" t="s">
        <v>50</v>
      </c>
      <c r="D25" s="1348">
        <f>+D18*D38/100</f>
        <v>16879.3746225</v>
      </c>
      <c r="E25" s="681">
        <f>+E18*E38/100</f>
        <v>1371.4784999999997</v>
      </c>
      <c r="F25" s="681">
        <v>931.67150000000015</v>
      </c>
      <c r="G25" s="5586">
        <f>+G18*G38/100</f>
        <v>1437.7335</v>
      </c>
      <c r="H25" s="5586">
        <v>1430.1614999999999</v>
      </c>
      <c r="I25" s="717">
        <f>+E25+G25</f>
        <v>2809.2119999999995</v>
      </c>
      <c r="J25" s="60">
        <f>+F25+H25</f>
        <v>2361.8330000000001</v>
      </c>
      <c r="K25" s="5698">
        <f>+K18*K38/100</f>
        <v>1391.355</v>
      </c>
      <c r="L25" s="5698">
        <v>1397.9804999999999</v>
      </c>
      <c r="M25" s="1698">
        <f>+E25+G25+K25</f>
        <v>4200.5669999999991</v>
      </c>
      <c r="N25" s="81">
        <f>+F25+H25+L25</f>
        <v>3759.8135000000002</v>
      </c>
      <c r="O25" s="5858">
        <f>+O18*O38/100</f>
        <v>1437.7335</v>
      </c>
      <c r="P25" s="5858">
        <v>1452.4042499999998</v>
      </c>
      <c r="Q25" s="717">
        <f>+M25+O25</f>
        <v>5638.3004999999994</v>
      </c>
      <c r="R25" s="60">
        <f>+N25+P25</f>
        <v>5212.2177499999998</v>
      </c>
      <c r="S25" s="5924">
        <f>+S18*S38/100</f>
        <v>1437.7335</v>
      </c>
      <c r="T25" s="5924">
        <v>1445.3054999999999</v>
      </c>
      <c r="U25" s="717">
        <f>+Q25+S25</f>
        <v>7076.0339999999997</v>
      </c>
      <c r="V25" s="60">
        <f>+R25+T25</f>
        <v>6657.5232500000002</v>
      </c>
      <c r="W25" s="6022">
        <f>+W18*W38/100</f>
        <v>1327.4662499999999</v>
      </c>
      <c r="X25" s="6022">
        <v>1402.2397500000002</v>
      </c>
      <c r="Y25" s="713">
        <f>+O25+S25+W25</f>
        <v>4202.93325</v>
      </c>
      <c r="Z25" s="81">
        <f>+P25+T25+X25</f>
        <v>4299.9495000000006</v>
      </c>
      <c r="AA25" s="711">
        <f>+M25+Y25</f>
        <v>8403.5002499999991</v>
      </c>
      <c r="AB25" s="711">
        <f>+N25+Z25</f>
        <v>8059.7630000000008</v>
      </c>
      <c r="AC25" s="6157">
        <f>+AC18*AC38/100</f>
        <v>1437.7335</v>
      </c>
      <c r="AD25" s="6157">
        <v>1425.9022500000001</v>
      </c>
      <c r="AE25" s="717">
        <f>+AA25+AC25</f>
        <v>9841.2337499999994</v>
      </c>
      <c r="AF25" s="60">
        <f>+AB25+AD25</f>
        <v>9485.6652500000018</v>
      </c>
      <c r="AG25" s="6319">
        <f>+AG18*AG38/100</f>
        <v>1391.355</v>
      </c>
      <c r="AH25" s="6319">
        <v>933.88</v>
      </c>
      <c r="AI25" s="717">
        <f>+AE25+AG25</f>
        <v>11232.588749999999</v>
      </c>
      <c r="AJ25" s="60">
        <f>+AF25+AH25</f>
        <v>10419.545250000001</v>
      </c>
      <c r="AK25" s="6578">
        <f>+AK18*AK38/100</f>
        <v>1437.7335</v>
      </c>
      <c r="AL25" s="6578">
        <v>965.74549999999999</v>
      </c>
      <c r="AM25" s="713">
        <f>+AC25+AG25+AK25</f>
        <v>4266.8220000000001</v>
      </c>
      <c r="AN25" s="81">
        <f>+AD25+AH25+AL25</f>
        <v>3325.5277500000002</v>
      </c>
      <c r="AO25" s="712">
        <f>AI25+AK25</f>
        <v>12670.322249999999</v>
      </c>
      <c r="AP25" s="712">
        <f>AJ25+AL25</f>
        <v>11385.29075</v>
      </c>
      <c r="AQ25" s="6662">
        <f>+AQ18*AQ38/100</f>
        <v>1437.7335</v>
      </c>
      <c r="AR25" s="6662">
        <v>957.22699999999998</v>
      </c>
      <c r="AS25" s="717">
        <f>+AO25+AQ25</f>
        <v>14108.05575</v>
      </c>
      <c r="AT25" s="60">
        <f>+AP25+AR25</f>
        <v>12342.517750000001</v>
      </c>
      <c r="AU25" s="6834">
        <f>+AU18*AU38/100</f>
        <v>1298.598</v>
      </c>
      <c r="AV25" s="6834">
        <v>866.04750000000001</v>
      </c>
      <c r="AW25" s="717">
        <f>+AS25+AU25</f>
        <v>15406.653749999999</v>
      </c>
      <c r="AX25" s="60">
        <f>+AT25+AV25</f>
        <v>13208.565250000001</v>
      </c>
      <c r="AY25" s="6978">
        <f>+AY18*AY38/100</f>
        <v>1437.7335</v>
      </c>
      <c r="AZ25" s="6978">
        <v>965.11450000000002</v>
      </c>
      <c r="BA25" s="713">
        <f>+AQ25+AU25+AY25</f>
        <v>4174.0650000000005</v>
      </c>
      <c r="BB25" s="81">
        <f>+AR25+AV25+AZ25</f>
        <v>2788.3890000000001</v>
      </c>
      <c r="BC25" s="711">
        <f t="shared" si="62"/>
        <v>8440.8870000000006</v>
      </c>
      <c r="BD25" s="711">
        <f t="shared" si="63"/>
        <v>6113.9167500000003</v>
      </c>
      <c r="BE25" s="717">
        <f>+AW25+AY25</f>
        <v>16844.38725</v>
      </c>
      <c r="BF25" s="60">
        <f>+AX25+AZ25</f>
        <v>14173.679750000001</v>
      </c>
      <c r="BG25" s="1137">
        <f t="shared" si="11"/>
        <v>0</v>
      </c>
      <c r="BH25" s="1137">
        <f t="shared" si="12"/>
        <v>0</v>
      </c>
      <c r="BI25" s="1137"/>
      <c r="BJ25" s="1137">
        <f t="shared" si="13"/>
        <v>0</v>
      </c>
      <c r="BK25" s="1137">
        <f t="shared" si="14"/>
        <v>0</v>
      </c>
      <c r="BL25" s="25"/>
      <c r="BM25" s="25"/>
      <c r="BN25" s="25"/>
    </row>
    <row r="26" spans="1:66" ht="15.75" thickBot="1" x14ac:dyDescent="0.3">
      <c r="A26" s="137" t="s">
        <v>446</v>
      </c>
      <c r="B26" s="1304" t="s">
        <v>142</v>
      </c>
      <c r="C26" s="1307" t="s">
        <v>50</v>
      </c>
      <c r="D26" s="1349">
        <f t="shared" ref="D26:J26" si="64">SUM(D24:D25)</f>
        <v>25967.682622499997</v>
      </c>
      <c r="E26" s="187">
        <f t="shared" si="64"/>
        <v>2129.9984999999997</v>
      </c>
      <c r="F26" s="187">
        <f t="shared" si="64"/>
        <v>1437.3515000000002</v>
      </c>
      <c r="G26" s="187">
        <f t="shared" ref="G26:H26" si="65">SUM(G24:G25)</f>
        <v>2221.5374999999999</v>
      </c>
      <c r="H26" s="187">
        <f t="shared" si="65"/>
        <v>2210.8694999999998</v>
      </c>
      <c r="I26" s="698">
        <f t="shared" si="64"/>
        <v>4351.5360000000001</v>
      </c>
      <c r="J26" s="1049">
        <f t="shared" si="64"/>
        <v>3648.221</v>
      </c>
      <c r="K26" s="187">
        <f t="shared" ref="K26:L26" si="66">SUM(K24:K25)</f>
        <v>2118.915</v>
      </c>
      <c r="L26" s="187">
        <f t="shared" si="66"/>
        <v>2141.5365000000002</v>
      </c>
      <c r="M26" s="718">
        <f t="shared" ref="M26:R26" si="67">SUM(M24:M25)</f>
        <v>6470.4509999999991</v>
      </c>
      <c r="N26" s="161">
        <f t="shared" si="67"/>
        <v>5789.7574999999997</v>
      </c>
      <c r="O26" s="187">
        <f t="shared" si="67"/>
        <v>2189.5455000000002</v>
      </c>
      <c r="P26" s="187">
        <f t="shared" si="67"/>
        <v>2215.5682499999998</v>
      </c>
      <c r="Q26" s="698">
        <f>SUM(Q24:Q25)</f>
        <v>8659.9964999999993</v>
      </c>
      <c r="R26" s="1049">
        <f t="shared" si="67"/>
        <v>8005.32575</v>
      </c>
      <c r="S26" s="187">
        <f t="shared" ref="S26:T26" si="68">SUM(S24:S25)</f>
        <v>2189.5455000000002</v>
      </c>
      <c r="T26" s="187">
        <f t="shared" si="68"/>
        <v>2229.1095</v>
      </c>
      <c r="U26" s="698">
        <f>SUM(U24:U25)</f>
        <v>10849.541999999999</v>
      </c>
      <c r="V26" s="1049">
        <f t="shared" ref="V26:X26" si="69">SUM(V24:V25)</f>
        <v>10234.43525</v>
      </c>
      <c r="W26" s="187">
        <f t="shared" si="69"/>
        <v>2040.3202499999998</v>
      </c>
      <c r="X26" s="187">
        <f t="shared" si="69"/>
        <v>2160.7597500000002</v>
      </c>
      <c r="Y26" s="701">
        <f t="shared" ref="Y26:Z26" si="70">SUM(Y24:Y25)</f>
        <v>6419.4112500000001</v>
      </c>
      <c r="Z26" s="161">
        <f t="shared" si="70"/>
        <v>6605.4375</v>
      </c>
      <c r="AA26" s="2334">
        <f t="shared" ref="AA26:AF26" si="71">SUM(AA24:AA25)</f>
        <v>12889.862249999998</v>
      </c>
      <c r="AB26" s="447">
        <f t="shared" si="71"/>
        <v>12395.195</v>
      </c>
      <c r="AC26" s="187">
        <f t="shared" si="71"/>
        <v>2189.5455000000002</v>
      </c>
      <c r="AD26" s="187">
        <f t="shared" si="71"/>
        <v>2198.0962500000001</v>
      </c>
      <c r="AE26" s="698">
        <f t="shared" si="71"/>
        <v>15079.407749999998</v>
      </c>
      <c r="AF26" s="1049">
        <f t="shared" si="71"/>
        <v>14593.291250000002</v>
      </c>
      <c r="AG26" s="187">
        <f t="shared" ref="AG26:AH26" si="72">SUM(AG24:AG25)</f>
        <v>2118.915</v>
      </c>
      <c r="AH26" s="187">
        <f t="shared" si="72"/>
        <v>1420.124</v>
      </c>
      <c r="AI26" s="698">
        <f t="shared" ref="AI26:AN26" si="73">SUM(AI24:AI25)</f>
        <v>17198.322749999999</v>
      </c>
      <c r="AJ26" s="1049">
        <f t="shared" si="73"/>
        <v>16013.415250000002</v>
      </c>
      <c r="AK26" s="187">
        <f t="shared" si="73"/>
        <v>2189.5455000000002</v>
      </c>
      <c r="AL26" s="187">
        <f t="shared" si="73"/>
        <v>1467.4695000000002</v>
      </c>
      <c r="AM26" s="701">
        <f t="shared" si="73"/>
        <v>6498.0059999999994</v>
      </c>
      <c r="AN26" s="161">
        <f t="shared" si="73"/>
        <v>5085.6897500000005</v>
      </c>
      <c r="AO26" s="698">
        <f t="shared" ref="AO26:AT26" si="74">SUM(AO24:AO25)</f>
        <v>19387.86825</v>
      </c>
      <c r="AP26" s="1049">
        <f t="shared" si="74"/>
        <v>17480.884750000001</v>
      </c>
      <c r="AQ26" s="187">
        <f t="shared" si="74"/>
        <v>2189.5455000000002</v>
      </c>
      <c r="AR26" s="187">
        <f t="shared" si="74"/>
        <v>1462.9069999999999</v>
      </c>
      <c r="AS26" s="698">
        <f t="shared" si="74"/>
        <v>21577.41375</v>
      </c>
      <c r="AT26" s="1049">
        <f t="shared" si="74"/>
        <v>18943.79175</v>
      </c>
      <c r="AU26" s="187">
        <f t="shared" ref="AU26:AV26" si="75">SUM(AU24:AU25)</f>
        <v>1977.654</v>
      </c>
      <c r="AV26" s="187">
        <f t="shared" si="75"/>
        <v>1320.8154999999999</v>
      </c>
      <c r="AW26" s="698">
        <f t="shared" ref="AW26:AZ26" si="76">SUM(AW24:AW25)</f>
        <v>23555.067750000002</v>
      </c>
      <c r="AX26" s="1049">
        <f t="shared" si="76"/>
        <v>20264.607250000001</v>
      </c>
      <c r="AY26" s="187">
        <f t="shared" si="76"/>
        <v>2189.5455000000002</v>
      </c>
      <c r="AZ26" s="187">
        <f t="shared" si="76"/>
        <v>1487.6505</v>
      </c>
      <c r="BA26" s="701">
        <f t="shared" ref="BA26:BF26" si="77">SUM(BA24:BA25)</f>
        <v>6356.7450000000008</v>
      </c>
      <c r="BB26" s="161">
        <f t="shared" si="77"/>
        <v>4271.3729999999996</v>
      </c>
      <c r="BC26" s="2334">
        <f t="shared" si="77"/>
        <v>12854.751</v>
      </c>
      <c r="BD26" s="447">
        <f t="shared" si="77"/>
        <v>9357.062750000001</v>
      </c>
      <c r="BE26" s="698">
        <f t="shared" si="77"/>
        <v>25744.613250000002</v>
      </c>
      <c r="BF26" s="1049">
        <f t="shared" si="77"/>
        <v>21752.257750000001</v>
      </c>
      <c r="BG26" s="1137">
        <f t="shared" si="11"/>
        <v>0</v>
      </c>
      <c r="BH26" s="1137">
        <f t="shared" si="12"/>
        <v>0</v>
      </c>
      <c r="BI26" s="1137"/>
      <c r="BJ26" s="1137">
        <f t="shared" si="13"/>
        <v>0</v>
      </c>
      <c r="BK26" s="1137">
        <f t="shared" si="14"/>
        <v>0</v>
      </c>
      <c r="BL26" s="25"/>
      <c r="BM26" s="25"/>
      <c r="BN26" s="25"/>
    </row>
    <row r="27" spans="1:66" ht="15.75" thickBot="1" x14ac:dyDescent="0.3">
      <c r="A27" s="137" t="s">
        <v>446</v>
      </c>
      <c r="B27" s="1690" t="s">
        <v>154</v>
      </c>
      <c r="C27" s="1306" t="s">
        <v>50</v>
      </c>
      <c r="D27" s="1228">
        <f>+D17*D39/100</f>
        <v>21206.051999999996</v>
      </c>
      <c r="E27" s="1042">
        <f>+E17*E39/100</f>
        <v>1769.88</v>
      </c>
      <c r="F27" s="1042">
        <v>1517.04</v>
      </c>
      <c r="G27" s="5587">
        <f>+G17*G39/100</f>
        <v>1828.876</v>
      </c>
      <c r="H27" s="5587">
        <v>1561.4159999999999</v>
      </c>
      <c r="I27" s="675">
        <f>+E27+G27</f>
        <v>3598.7560000000003</v>
      </c>
      <c r="J27" s="60">
        <f>+F27+H27</f>
        <v>3078.4560000000001</v>
      </c>
      <c r="K27" s="5699">
        <f>+K17*K39/100</f>
        <v>1697.64</v>
      </c>
      <c r="L27" s="5699">
        <v>1487.1120000000001</v>
      </c>
      <c r="M27" s="1043">
        <f>+E27+G27+K27</f>
        <v>5296.3960000000006</v>
      </c>
      <c r="N27" s="81">
        <f>+F27+H27+L27</f>
        <v>4565.5680000000002</v>
      </c>
      <c r="O27" s="5859">
        <f>+O17*O39/100</f>
        <v>1754.2279999999998</v>
      </c>
      <c r="P27" s="5859">
        <v>1526.328</v>
      </c>
      <c r="Q27" s="675">
        <f>+M27+O27</f>
        <v>7050.6240000000007</v>
      </c>
      <c r="R27" s="60">
        <f>+N27+P27</f>
        <v>6091.8960000000006</v>
      </c>
      <c r="S27" s="5925">
        <f>+S17*S39/100</f>
        <v>1754.2279999999998</v>
      </c>
      <c r="T27" s="5925">
        <v>1567.6079999999999</v>
      </c>
      <c r="U27" s="4323">
        <f>+Q27+S27</f>
        <v>8804.8520000000008</v>
      </c>
      <c r="V27" s="60">
        <f>+R27+T27</f>
        <v>7659.5040000000008</v>
      </c>
      <c r="W27" s="6023">
        <f>+W17*W39/100</f>
        <v>1663.326</v>
      </c>
      <c r="X27" s="6023">
        <v>1517.04</v>
      </c>
      <c r="Y27" s="713">
        <f>+O27+S27+W27</f>
        <v>5171.7819999999992</v>
      </c>
      <c r="Z27" s="81">
        <f>+P27+T27+X27</f>
        <v>4610.9759999999997</v>
      </c>
      <c r="AA27" s="711">
        <f>+M27+Y27</f>
        <v>10468.178</v>
      </c>
      <c r="AB27" s="711">
        <f>+N27+Z27</f>
        <v>9176.5439999999999</v>
      </c>
      <c r="AC27" s="6158">
        <f>+AC17*AC39/100</f>
        <v>1754.2279999999998</v>
      </c>
      <c r="AD27" s="6158">
        <v>1698.8268</v>
      </c>
      <c r="AE27" s="675">
        <f>+AA27+AC27</f>
        <v>12222.405999999999</v>
      </c>
      <c r="AF27" s="60">
        <f>+AB27+AD27</f>
        <v>10875.370800000001</v>
      </c>
      <c r="AG27" s="6320">
        <f>+AG17*AG39/100</f>
        <v>1697.64</v>
      </c>
      <c r="AH27" s="6320">
        <v>1458.732</v>
      </c>
      <c r="AI27" s="675">
        <f>+AE27+AG27</f>
        <v>13920.045999999998</v>
      </c>
      <c r="AJ27" s="60">
        <f>+AF27+AH27</f>
        <v>12334.102800000001</v>
      </c>
      <c r="AK27" s="6579">
        <f>+AK17*AK39/100</f>
        <v>1754.2279999999998</v>
      </c>
      <c r="AL27" s="6579">
        <v>1505.172</v>
      </c>
      <c r="AM27" s="713">
        <f>+AC27+AG27+AK27</f>
        <v>5206.0959999999995</v>
      </c>
      <c r="AN27" s="81">
        <f>+AD27+AH27+AL27</f>
        <v>4662.7307999999994</v>
      </c>
      <c r="AO27" s="712">
        <f>AI27+AK27</f>
        <v>15674.273999999998</v>
      </c>
      <c r="AP27" s="712">
        <f>AJ27+AL27</f>
        <v>13839.274800000001</v>
      </c>
      <c r="AQ27" s="6663">
        <f>+AQ17*AQ39/100</f>
        <v>1754.2279999999998</v>
      </c>
      <c r="AR27" s="6663">
        <v>1517.04</v>
      </c>
      <c r="AS27" s="675">
        <f>+AO27+AQ27</f>
        <v>17428.501999999997</v>
      </c>
      <c r="AT27" s="60">
        <f>+AP27+AR27</f>
        <v>15356.3148</v>
      </c>
      <c r="AU27" s="6835">
        <f>+AU17*AU39/100</f>
        <v>1584.4639999999999</v>
      </c>
      <c r="AV27" s="6835">
        <v>1364.3039999999999</v>
      </c>
      <c r="AW27" s="5014">
        <f>+AS27+AU27</f>
        <v>19012.965999999997</v>
      </c>
      <c r="AX27" s="60">
        <f>+AT27+AV27</f>
        <v>16720.6188</v>
      </c>
      <c r="AY27" s="6979">
        <f>+AY17*AY39/100</f>
        <v>1754.2279999999998</v>
      </c>
      <c r="AZ27" s="6979">
        <v>1567.6079999999999</v>
      </c>
      <c r="BA27" s="713">
        <f>+AQ27+AU27+AY27</f>
        <v>5092.92</v>
      </c>
      <c r="BB27" s="81">
        <f>+AR27+AV27+AZ27</f>
        <v>4448.9520000000002</v>
      </c>
      <c r="BC27" s="711">
        <f t="shared" ref="BC27:BC28" si="78">+AM27+BA27</f>
        <v>10299.016</v>
      </c>
      <c r="BD27" s="711">
        <f t="shared" ref="BD27:BD28" si="79">+AN27+BB27</f>
        <v>9111.6827999999987</v>
      </c>
      <c r="BE27" s="675">
        <f>+AW27+AY27</f>
        <v>20767.193999999996</v>
      </c>
      <c r="BF27" s="60">
        <f>+AX27+AZ27</f>
        <v>18288.2268</v>
      </c>
      <c r="BG27" s="1137">
        <f t="shared" si="11"/>
        <v>0</v>
      </c>
      <c r="BH27" s="1137">
        <f t="shared" si="12"/>
        <v>0</v>
      </c>
      <c r="BI27" s="1137"/>
      <c r="BJ27" s="1137">
        <f t="shared" si="13"/>
        <v>0</v>
      </c>
      <c r="BK27" s="1137">
        <f t="shared" si="14"/>
        <v>0</v>
      </c>
      <c r="BL27" s="25"/>
      <c r="BM27" s="25"/>
      <c r="BN27" s="25"/>
    </row>
    <row r="28" spans="1:66" ht="15.75" thickBot="1" x14ac:dyDescent="0.3">
      <c r="A28" s="137" t="s">
        <v>446</v>
      </c>
      <c r="B28" s="1691" t="s">
        <v>155</v>
      </c>
      <c r="C28" s="1306" t="s">
        <v>50</v>
      </c>
      <c r="D28" s="1348">
        <f>+D18*D39/100</f>
        <v>39385.207452499999</v>
      </c>
      <c r="E28" s="681">
        <f>+E18*E39/100</f>
        <v>3200.1164999999996</v>
      </c>
      <c r="F28" s="681">
        <v>2795.0145000000002</v>
      </c>
      <c r="G28" s="5586">
        <f>+G18*G39/100</f>
        <v>3354.7115000000003</v>
      </c>
      <c r="H28" s="5586">
        <v>2860.3229999999999</v>
      </c>
      <c r="I28" s="1697">
        <f>+E28+G28</f>
        <v>6554.8279999999995</v>
      </c>
      <c r="J28" s="154">
        <f>+F28+H28</f>
        <v>5655.3374999999996</v>
      </c>
      <c r="K28" s="5698">
        <f>+K18*K39/100</f>
        <v>3246.4949999999999</v>
      </c>
      <c r="L28" s="5698">
        <v>2795.9609999999998</v>
      </c>
      <c r="M28" s="1698">
        <f>+E28+G28+K28</f>
        <v>9801.3230000000003</v>
      </c>
      <c r="N28" s="81">
        <f>+F28+H28+L28</f>
        <v>8451.298499999999</v>
      </c>
      <c r="O28" s="5858">
        <f>+O18*O39/100</f>
        <v>3354.7115000000003</v>
      </c>
      <c r="P28" s="5858">
        <v>2904.8084999999996</v>
      </c>
      <c r="Q28" s="1697">
        <f>+M28+O28</f>
        <v>13156.034500000002</v>
      </c>
      <c r="R28" s="154">
        <f>+N28+P28</f>
        <v>11356.106999999998</v>
      </c>
      <c r="S28" s="5924">
        <f>+S18*S39/100</f>
        <v>3354.7115000000003</v>
      </c>
      <c r="T28" s="5924">
        <v>2890.6109999999999</v>
      </c>
      <c r="U28" s="4322">
        <f>+Q28+S28</f>
        <v>16510.746000000003</v>
      </c>
      <c r="V28" s="154">
        <f>+R28+T28</f>
        <v>14246.717999999997</v>
      </c>
      <c r="W28" s="6022">
        <f>+W18*W39/100</f>
        <v>3097.4212499999999</v>
      </c>
      <c r="X28" s="6022">
        <v>3278.4795000000004</v>
      </c>
      <c r="Y28" s="713">
        <f>+O28+S28+W28</f>
        <v>9806.8442500000001</v>
      </c>
      <c r="Z28" s="81">
        <f>+P28+T28+X28</f>
        <v>9073.8990000000013</v>
      </c>
      <c r="AA28" s="711">
        <f>+M28+Y28</f>
        <v>19608.167249999999</v>
      </c>
      <c r="AB28" s="711">
        <f>+N28+Z28</f>
        <v>17525.197500000002</v>
      </c>
      <c r="AC28" s="6157">
        <f>+AC18*AC39/100</f>
        <v>3354.7115000000003</v>
      </c>
      <c r="AD28" s="6157">
        <v>3136.9849500000005</v>
      </c>
      <c r="AE28" s="2434">
        <f>+AA28+AC28</f>
        <v>22962.87875</v>
      </c>
      <c r="AF28" s="154">
        <f>+AB28+AD28</f>
        <v>20662.182450000004</v>
      </c>
      <c r="AG28" s="6319">
        <f>+AG18*AG39/100</f>
        <v>3246.4949999999999</v>
      </c>
      <c r="AH28" s="6319">
        <v>2801.64</v>
      </c>
      <c r="AI28" s="2479">
        <f>+AE28+AG28</f>
        <v>26209.373749999999</v>
      </c>
      <c r="AJ28" s="154">
        <f>+AF28+AH28</f>
        <v>23463.822450000003</v>
      </c>
      <c r="AK28" s="6578">
        <f>+AK18*AK39/100</f>
        <v>3354.7115000000003</v>
      </c>
      <c r="AL28" s="6578">
        <v>2897.2365</v>
      </c>
      <c r="AM28" s="713">
        <f>+AC28+AG28+AK28</f>
        <v>9955.9180000000015</v>
      </c>
      <c r="AN28" s="81">
        <f>+AD28+AH28+AL28</f>
        <v>8835.8614500000003</v>
      </c>
      <c r="AO28" s="712">
        <f>AI28+AK28</f>
        <v>29564.08525</v>
      </c>
      <c r="AP28" s="712">
        <f>AJ28+AL28</f>
        <v>26361.058950000002</v>
      </c>
      <c r="AQ28" s="6662">
        <f>+AQ18*AQ39/100</f>
        <v>3354.7115000000003</v>
      </c>
      <c r="AR28" s="6662">
        <v>2871.6809999999996</v>
      </c>
      <c r="AS28" s="2597">
        <f>+AO28+AQ28</f>
        <v>32918.796750000001</v>
      </c>
      <c r="AT28" s="154">
        <f>+AP28+AR28</f>
        <v>29232.739950000003</v>
      </c>
      <c r="AU28" s="6834">
        <f>+AU18*AU39/100</f>
        <v>3030.0619999999999</v>
      </c>
      <c r="AV28" s="6834">
        <v>2598.1424999999999</v>
      </c>
      <c r="AW28" s="5013">
        <f>+AS28+AU28</f>
        <v>35948.858749999999</v>
      </c>
      <c r="AX28" s="154">
        <f>+AT28+AV28</f>
        <v>31830.882450000005</v>
      </c>
      <c r="AY28" s="6978">
        <f>+AY18*AY39/100</f>
        <v>3354.7115000000003</v>
      </c>
      <c r="AZ28" s="6978">
        <v>2895.3434999999999</v>
      </c>
      <c r="BA28" s="713">
        <f>+AQ28+AU28+AY28</f>
        <v>9739.4850000000006</v>
      </c>
      <c r="BB28" s="81">
        <f>+AR28+AV28+AZ28</f>
        <v>8365.1669999999995</v>
      </c>
      <c r="BC28" s="711">
        <f t="shared" si="78"/>
        <v>19695.403000000002</v>
      </c>
      <c r="BD28" s="711">
        <f t="shared" si="79"/>
        <v>17201.028449999998</v>
      </c>
      <c r="BE28" s="2801">
        <f>+AW28+AY28</f>
        <v>39303.570249999997</v>
      </c>
      <c r="BF28" s="154">
        <f>+AX28+AZ28</f>
        <v>34726.225950000007</v>
      </c>
      <c r="BG28" s="1137">
        <f t="shared" si="11"/>
        <v>0</v>
      </c>
      <c r="BH28" s="1137">
        <f t="shared" si="12"/>
        <v>0</v>
      </c>
      <c r="BI28" s="1137"/>
      <c r="BJ28" s="1137">
        <f t="shared" si="13"/>
        <v>0</v>
      </c>
      <c r="BK28" s="1137">
        <f t="shared" si="14"/>
        <v>0</v>
      </c>
      <c r="BL28" s="25"/>
      <c r="BM28" s="25"/>
      <c r="BN28" s="25"/>
    </row>
    <row r="29" spans="1:66" ht="15.75" thickBot="1" x14ac:dyDescent="0.3">
      <c r="A29" s="137" t="s">
        <v>446</v>
      </c>
      <c r="B29" s="1304" t="s">
        <v>143</v>
      </c>
      <c r="C29" s="1307" t="s">
        <v>50</v>
      </c>
      <c r="D29" s="1349">
        <f t="shared" ref="D29:J29" si="80">SUM(D27:D28)</f>
        <v>60591.259452499995</v>
      </c>
      <c r="E29" s="187">
        <f t="shared" si="80"/>
        <v>4969.9964999999993</v>
      </c>
      <c r="F29" s="187">
        <f t="shared" si="80"/>
        <v>4312.0545000000002</v>
      </c>
      <c r="G29" s="187">
        <f t="shared" ref="G29:H29" si="81">SUM(G27:G28)</f>
        <v>5183.5875000000005</v>
      </c>
      <c r="H29" s="187">
        <f t="shared" si="81"/>
        <v>4421.7389999999996</v>
      </c>
      <c r="I29" s="1048">
        <f t="shared" si="80"/>
        <v>10153.583999999999</v>
      </c>
      <c r="J29" s="1049">
        <f t="shared" si="80"/>
        <v>8733.7934999999998</v>
      </c>
      <c r="K29" s="187">
        <f t="shared" ref="K29:L29" si="82">SUM(K27:K28)</f>
        <v>4944.1350000000002</v>
      </c>
      <c r="L29" s="187">
        <f t="shared" si="82"/>
        <v>4283.0730000000003</v>
      </c>
      <c r="M29" s="718">
        <f t="shared" ref="M29:R29" si="83">SUM(M27:M28)</f>
        <v>15097.719000000001</v>
      </c>
      <c r="N29" s="161">
        <f t="shared" si="83"/>
        <v>13016.8665</v>
      </c>
      <c r="O29" s="187">
        <f t="shared" si="83"/>
        <v>5108.9395000000004</v>
      </c>
      <c r="P29" s="187">
        <f t="shared" si="83"/>
        <v>4431.1364999999996</v>
      </c>
      <c r="Q29" s="1048">
        <f t="shared" si="83"/>
        <v>20206.658500000001</v>
      </c>
      <c r="R29" s="1049">
        <f t="shared" si="83"/>
        <v>17448.002999999997</v>
      </c>
      <c r="S29" s="187">
        <f t="shared" ref="S29:T29" si="84">SUM(S27:S28)</f>
        <v>5108.9395000000004</v>
      </c>
      <c r="T29" s="187">
        <f t="shared" si="84"/>
        <v>4458.2190000000001</v>
      </c>
      <c r="U29" s="1048">
        <f t="shared" ref="U29:X29" si="85">SUM(U27:U28)</f>
        <v>25315.598000000005</v>
      </c>
      <c r="V29" s="1049">
        <f t="shared" si="85"/>
        <v>21906.221999999998</v>
      </c>
      <c r="W29" s="187">
        <f t="shared" si="85"/>
        <v>4760.7472500000003</v>
      </c>
      <c r="X29" s="187">
        <f t="shared" si="85"/>
        <v>4795.5195000000003</v>
      </c>
      <c r="Y29" s="718">
        <f t="shared" ref="Y29:Z29" si="86">SUM(Y27:Y28)</f>
        <v>14978.626249999999</v>
      </c>
      <c r="Z29" s="161">
        <f t="shared" si="86"/>
        <v>13684.875</v>
      </c>
      <c r="AA29" s="2336">
        <f t="shared" ref="AA29:AF29" si="87">SUM(AA27:AA28)</f>
        <v>30076.345249999998</v>
      </c>
      <c r="AB29" s="447">
        <f t="shared" si="87"/>
        <v>26701.741500000004</v>
      </c>
      <c r="AC29" s="187">
        <f t="shared" si="87"/>
        <v>5108.9395000000004</v>
      </c>
      <c r="AD29" s="187">
        <f t="shared" si="87"/>
        <v>4835.8117500000008</v>
      </c>
      <c r="AE29" s="1048">
        <f t="shared" si="87"/>
        <v>35185.284749999999</v>
      </c>
      <c r="AF29" s="1049">
        <f t="shared" si="87"/>
        <v>31537.553250000004</v>
      </c>
      <c r="AG29" s="187">
        <f t="shared" ref="AG29:AH29" si="88">SUM(AG27:AG28)</f>
        <v>4944.1350000000002</v>
      </c>
      <c r="AH29" s="187">
        <f t="shared" si="88"/>
        <v>4260.3719999999994</v>
      </c>
      <c r="AI29" s="1048">
        <f t="shared" ref="AI29:AN29" si="89">SUM(AI27:AI28)</f>
        <v>40129.419750000001</v>
      </c>
      <c r="AJ29" s="1049">
        <f t="shared" si="89"/>
        <v>35797.92525</v>
      </c>
      <c r="AK29" s="187">
        <f t="shared" si="89"/>
        <v>5108.9395000000004</v>
      </c>
      <c r="AL29" s="187">
        <f t="shared" si="89"/>
        <v>4402.4084999999995</v>
      </c>
      <c r="AM29" s="718">
        <f t="shared" si="89"/>
        <v>15162.014000000001</v>
      </c>
      <c r="AN29" s="161">
        <f t="shared" si="89"/>
        <v>13498.59225</v>
      </c>
      <c r="AO29" s="1048">
        <f t="shared" ref="AO29:AT29" si="90">SUM(AO27:AO28)</f>
        <v>45238.359249999994</v>
      </c>
      <c r="AP29" s="1049">
        <f t="shared" si="90"/>
        <v>40200.333750000005</v>
      </c>
      <c r="AQ29" s="187">
        <f t="shared" si="90"/>
        <v>5108.9395000000004</v>
      </c>
      <c r="AR29" s="187">
        <f t="shared" si="90"/>
        <v>4388.7209999999995</v>
      </c>
      <c r="AS29" s="1048">
        <f t="shared" si="90"/>
        <v>50347.298750000002</v>
      </c>
      <c r="AT29" s="1049">
        <f t="shared" si="90"/>
        <v>44589.054750000003</v>
      </c>
      <c r="AU29" s="187">
        <f t="shared" ref="AU29:AV29" si="91">SUM(AU27:AU28)</f>
        <v>4614.5259999999998</v>
      </c>
      <c r="AV29" s="187">
        <f t="shared" si="91"/>
        <v>3962.4465</v>
      </c>
      <c r="AW29" s="1048">
        <f t="shared" ref="AW29:AZ29" si="92">SUM(AW27:AW28)</f>
        <v>54961.82475</v>
      </c>
      <c r="AX29" s="1049">
        <f t="shared" si="92"/>
        <v>48551.501250000001</v>
      </c>
      <c r="AY29" s="187">
        <f t="shared" si="92"/>
        <v>5108.9395000000004</v>
      </c>
      <c r="AZ29" s="187">
        <f t="shared" si="92"/>
        <v>4462.9515000000001</v>
      </c>
      <c r="BA29" s="718">
        <f t="shared" ref="BA29:BF29" si="93">SUM(BA27:BA28)</f>
        <v>14832.405000000001</v>
      </c>
      <c r="BB29" s="161">
        <f t="shared" si="93"/>
        <v>12814.118999999999</v>
      </c>
      <c r="BC29" s="2336">
        <f t="shared" si="93"/>
        <v>29994.419000000002</v>
      </c>
      <c r="BD29" s="447">
        <f t="shared" si="93"/>
        <v>26312.711249999997</v>
      </c>
      <c r="BE29" s="1048">
        <f t="shared" si="93"/>
        <v>60070.764249999993</v>
      </c>
      <c r="BF29" s="1049">
        <f t="shared" si="93"/>
        <v>53014.452750000011</v>
      </c>
      <c r="BG29" s="1137">
        <f t="shared" si="11"/>
        <v>0</v>
      </c>
      <c r="BH29" s="1137">
        <f t="shared" si="12"/>
        <v>0</v>
      </c>
      <c r="BI29" s="1137"/>
      <c r="BJ29" s="1137">
        <f t="shared" si="13"/>
        <v>0</v>
      </c>
      <c r="BK29" s="1137">
        <f t="shared" si="14"/>
        <v>0</v>
      </c>
      <c r="BL29" s="25"/>
      <c r="BM29" s="25"/>
      <c r="BN29" s="25"/>
    </row>
    <row r="30" spans="1:66" ht="15.75" thickBot="1" x14ac:dyDescent="0.3">
      <c r="A30" s="137" t="s">
        <v>446</v>
      </c>
      <c r="B30" s="1690" t="s">
        <v>156</v>
      </c>
      <c r="C30" s="1306" t="s">
        <v>50</v>
      </c>
      <c r="D30" s="1228">
        <f>+D17*D40/100</f>
        <v>6058.8719999999994</v>
      </c>
      <c r="E30" s="1042">
        <f>+E17*E40/100</f>
        <v>505.68</v>
      </c>
      <c r="F30" s="1042">
        <v>505.68</v>
      </c>
      <c r="G30" s="5587">
        <f>+G17*G40/100</f>
        <v>522.53599999999994</v>
      </c>
      <c r="H30" s="5587">
        <v>520.47199999999998</v>
      </c>
      <c r="I30" s="675">
        <f>+E30+G30</f>
        <v>1028.2159999999999</v>
      </c>
      <c r="J30" s="60">
        <f>+F30+H30</f>
        <v>1026.152</v>
      </c>
      <c r="K30" s="5699">
        <f>+K17*K40/100</f>
        <v>485.04</v>
      </c>
      <c r="L30" s="5699">
        <v>495.70400000000001</v>
      </c>
      <c r="M30" s="1043">
        <f>+E30+G30+K30</f>
        <v>1513.2559999999999</v>
      </c>
      <c r="N30" s="81">
        <f>+F30+H30+L30</f>
        <v>1521.856</v>
      </c>
      <c r="O30" s="5859">
        <f>+O17*O40/100</f>
        <v>501.20799999999997</v>
      </c>
      <c r="P30" s="5859">
        <v>508.77600000000001</v>
      </c>
      <c r="Q30" s="675">
        <f>+M30+O30</f>
        <v>2014.4639999999999</v>
      </c>
      <c r="R30" s="60">
        <f>+N30+P30</f>
        <v>2030.6320000000001</v>
      </c>
      <c r="S30" s="5925">
        <f>+S17*S40/100</f>
        <v>501.20799999999997</v>
      </c>
      <c r="T30" s="5925">
        <v>522.53599999999994</v>
      </c>
      <c r="U30" s="4323">
        <f>+Q30+S30</f>
        <v>2515.672</v>
      </c>
      <c r="V30" s="60">
        <f>+R30+T30</f>
        <v>2553.1680000000001</v>
      </c>
      <c r="W30" s="6023">
        <f>+W17*W40/100</f>
        <v>475.23599999999999</v>
      </c>
      <c r="X30" s="6023">
        <v>505.68</v>
      </c>
      <c r="Y30" s="713">
        <f>+O30+S30+W30</f>
        <v>1477.652</v>
      </c>
      <c r="Z30" s="81">
        <f>+P30+T30+X30</f>
        <v>1536.992</v>
      </c>
      <c r="AA30" s="711">
        <f>+M30+Y30</f>
        <v>2990.9079999999999</v>
      </c>
      <c r="AB30" s="711">
        <f>+N30+Z30</f>
        <v>3058.848</v>
      </c>
      <c r="AC30" s="6158">
        <f>+AC17*AC40/100</f>
        <v>501.20799999999997</v>
      </c>
      <c r="AD30" s="6158">
        <v>514.79600000000005</v>
      </c>
      <c r="AE30" s="675">
        <f>+AA30+AC30</f>
        <v>3492.116</v>
      </c>
      <c r="AF30" s="60">
        <f>+AB30+AD30</f>
        <v>3573.6440000000002</v>
      </c>
      <c r="AG30" s="6320">
        <f>+AG17*AG40/100</f>
        <v>485.04</v>
      </c>
      <c r="AH30" s="6320">
        <v>486.24400000000003</v>
      </c>
      <c r="AI30" s="675">
        <f>+AE30+AG30</f>
        <v>3977.1559999999999</v>
      </c>
      <c r="AJ30" s="60">
        <f>+AF30+AH30</f>
        <v>4059.8880000000004</v>
      </c>
      <c r="AK30" s="6579">
        <f>+AK17*AK40/100</f>
        <v>501.20799999999997</v>
      </c>
      <c r="AL30" s="6579">
        <v>501.72400000000005</v>
      </c>
      <c r="AM30" s="713">
        <f>+AC30+AG30+AK30</f>
        <v>1487.4560000000001</v>
      </c>
      <c r="AN30" s="81">
        <f>+AD30+AH30+AL30</f>
        <v>1502.7640000000001</v>
      </c>
      <c r="AO30" s="712">
        <f>AI30+AK30</f>
        <v>4478.3639999999996</v>
      </c>
      <c r="AP30" s="712">
        <f>AJ30+AL30</f>
        <v>4561.6120000000001</v>
      </c>
      <c r="AQ30" s="6663">
        <f>+AQ17*AQ40/100</f>
        <v>501.20799999999997</v>
      </c>
      <c r="AR30" s="6663">
        <v>505.68</v>
      </c>
      <c r="AS30" s="675">
        <f>+AO30+AQ30</f>
        <v>4979.5719999999992</v>
      </c>
      <c r="AT30" s="60">
        <f>+AP30+AR30</f>
        <v>5067.2920000000004</v>
      </c>
      <c r="AU30" s="6835">
        <f>+AU17*AU40/100</f>
        <v>452.70400000000001</v>
      </c>
      <c r="AV30" s="6835">
        <v>454.76799999999997</v>
      </c>
      <c r="AW30" s="5014">
        <f>+AS30+AU30</f>
        <v>5432.2759999999989</v>
      </c>
      <c r="AX30" s="60">
        <f>+AT30+AV30</f>
        <v>5522.06</v>
      </c>
      <c r="AY30" s="6979">
        <f>+AY17*AY40/100</f>
        <v>501.20799999999997</v>
      </c>
      <c r="AZ30" s="6979">
        <v>522.53599999999994</v>
      </c>
      <c r="BA30" s="713">
        <f>+AQ30+AU30+AY30</f>
        <v>1455.12</v>
      </c>
      <c r="BB30" s="81">
        <f>+AR30+AV30+AZ30</f>
        <v>1482.9839999999999</v>
      </c>
      <c r="BC30" s="711">
        <f t="shared" ref="BC30:BC31" si="94">+AM30+BA30</f>
        <v>2942.576</v>
      </c>
      <c r="BD30" s="711">
        <f t="shared" ref="BD30:BD31" si="95">+AN30+BB30</f>
        <v>2985.748</v>
      </c>
      <c r="BE30" s="675">
        <f>+AW30+AY30</f>
        <v>5933.4839999999986</v>
      </c>
      <c r="BF30" s="60">
        <f>+AX30+AZ30</f>
        <v>6044.5960000000005</v>
      </c>
      <c r="BG30" s="1137">
        <f t="shared" si="11"/>
        <v>0</v>
      </c>
      <c r="BH30" s="1137">
        <f t="shared" si="12"/>
        <v>0</v>
      </c>
      <c r="BI30" s="1137"/>
      <c r="BJ30" s="1137">
        <f t="shared" si="13"/>
        <v>0</v>
      </c>
      <c r="BK30" s="1137">
        <f t="shared" si="14"/>
        <v>0</v>
      </c>
      <c r="BL30" s="25"/>
      <c r="BM30" s="25"/>
      <c r="BN30" s="25"/>
    </row>
    <row r="31" spans="1:66" ht="15.75" thickBot="1" x14ac:dyDescent="0.3">
      <c r="A31" s="137" t="s">
        <v>446</v>
      </c>
      <c r="B31" s="1691" t="s">
        <v>157</v>
      </c>
      <c r="C31" s="1306" t="s">
        <v>50</v>
      </c>
      <c r="D31" s="1348">
        <f>+D18*D40/100</f>
        <v>11252.916415</v>
      </c>
      <c r="E31" s="681">
        <f>+E18*E40/100</f>
        <v>914.31899999999996</v>
      </c>
      <c r="F31" s="681">
        <v>931.67150000000015</v>
      </c>
      <c r="G31" s="5586">
        <f>+G18*G40/100</f>
        <v>958.48900000000003</v>
      </c>
      <c r="H31" s="5586">
        <v>953.44100000000003</v>
      </c>
      <c r="I31" s="675">
        <f>+E31+G31</f>
        <v>1872.808</v>
      </c>
      <c r="J31" s="154">
        <f>+F31+H31</f>
        <v>1885.1125000000002</v>
      </c>
      <c r="K31" s="5698">
        <f>+K18*K40/100</f>
        <v>927.57</v>
      </c>
      <c r="L31" s="5698">
        <v>931.98699999999997</v>
      </c>
      <c r="M31" s="1698">
        <f>+E31+G31+K31</f>
        <v>2800.3780000000002</v>
      </c>
      <c r="N31" s="81">
        <f>+F31+H31+L31</f>
        <v>2817.0995000000003</v>
      </c>
      <c r="O31" s="5858">
        <f>+O18*O40/100</f>
        <v>958.48900000000003</v>
      </c>
      <c r="P31" s="5858">
        <v>968.26949999999999</v>
      </c>
      <c r="Q31" s="675">
        <f>+M31+O31</f>
        <v>3758.8670000000002</v>
      </c>
      <c r="R31" s="154">
        <f>+N31+P31</f>
        <v>3785.3690000000001</v>
      </c>
      <c r="S31" s="5924">
        <f>+S18*S40/100</f>
        <v>958.48900000000003</v>
      </c>
      <c r="T31" s="5924">
        <v>963.53700000000003</v>
      </c>
      <c r="U31" s="4323">
        <f>+Q31+S31</f>
        <v>4717.3559999999998</v>
      </c>
      <c r="V31" s="154">
        <f>+R31+T31</f>
        <v>4748.9059999999999</v>
      </c>
      <c r="W31" s="6022">
        <f>+W18*W40/100</f>
        <v>884.97749999999996</v>
      </c>
      <c r="X31" s="6022">
        <v>934.82650000000012</v>
      </c>
      <c r="Y31" s="713">
        <f>+O31+S31+W31</f>
        <v>2801.9555</v>
      </c>
      <c r="Z31" s="81">
        <f>+P31+T31+X31</f>
        <v>2866.6330000000003</v>
      </c>
      <c r="AA31" s="711">
        <f>+M31+Y31</f>
        <v>5602.3335000000006</v>
      </c>
      <c r="AB31" s="711">
        <f>+N31+Z31</f>
        <v>5683.7325000000001</v>
      </c>
      <c r="AC31" s="6157">
        <f>+AC18*AC40/100</f>
        <v>958.48900000000003</v>
      </c>
      <c r="AD31" s="6157">
        <v>950.6015000000001</v>
      </c>
      <c r="AE31" s="675">
        <f>+AA31+AC31</f>
        <v>6560.8225000000002</v>
      </c>
      <c r="AF31" s="154">
        <f>+AB31+AD31</f>
        <v>6634.3339999999998</v>
      </c>
      <c r="AG31" s="6319">
        <f>+AG18*AG40/100</f>
        <v>927.57</v>
      </c>
      <c r="AH31" s="6319">
        <v>933.88</v>
      </c>
      <c r="AI31" s="675">
        <f>+AE31+AG31</f>
        <v>7488.3924999999999</v>
      </c>
      <c r="AJ31" s="154">
        <f>+AF31+AH31</f>
        <v>7568.2139999999999</v>
      </c>
      <c r="AK31" s="6578">
        <f>+AK18*AK40/100</f>
        <v>958.48900000000003</v>
      </c>
      <c r="AL31" s="6578">
        <v>965.74549999999999</v>
      </c>
      <c r="AM31" s="713">
        <f>+AC31+AG31+AK31</f>
        <v>2844.5480000000002</v>
      </c>
      <c r="AN31" s="81">
        <f>+AD31+AH31+AL31</f>
        <v>2850.2269999999999</v>
      </c>
      <c r="AO31" s="712">
        <f>AI31+AK31</f>
        <v>8446.8814999999995</v>
      </c>
      <c r="AP31" s="712">
        <f>AJ31+AL31</f>
        <v>8533.9595000000008</v>
      </c>
      <c r="AQ31" s="6662">
        <f>+AQ18*AQ40/100</f>
        <v>958.48900000000003</v>
      </c>
      <c r="AR31" s="6662">
        <v>957.22699999999998</v>
      </c>
      <c r="AS31" s="675">
        <f>+AO31+AQ31</f>
        <v>9405.3704999999991</v>
      </c>
      <c r="AT31" s="154">
        <f>+AP31+AR31</f>
        <v>9491.1865000000016</v>
      </c>
      <c r="AU31" s="6834">
        <f>+AU18*AU40/100</f>
        <v>865.73199999999997</v>
      </c>
      <c r="AV31" s="6834">
        <v>866.04750000000001</v>
      </c>
      <c r="AW31" s="5014">
        <f>+AS31+AU31</f>
        <v>10271.102499999999</v>
      </c>
      <c r="AX31" s="154">
        <f>+AT31+AV31</f>
        <v>10357.234000000002</v>
      </c>
      <c r="AY31" s="6978">
        <f>+AY18*AY40/100</f>
        <v>958.48900000000003</v>
      </c>
      <c r="AZ31" s="6978">
        <v>965.11450000000002</v>
      </c>
      <c r="BA31" s="713">
        <f>+AQ31+AU31+AY31</f>
        <v>2782.71</v>
      </c>
      <c r="BB31" s="81">
        <f>+AR31+AV31+AZ31</f>
        <v>2788.3890000000001</v>
      </c>
      <c r="BC31" s="711">
        <f t="shared" si="94"/>
        <v>5627.2579999999998</v>
      </c>
      <c r="BD31" s="711">
        <f t="shared" si="95"/>
        <v>5638.616</v>
      </c>
      <c r="BE31" s="675">
        <f>+AW31+AY31</f>
        <v>11229.591499999999</v>
      </c>
      <c r="BF31" s="154">
        <f>+AX31+AZ31</f>
        <v>11322.348500000002</v>
      </c>
      <c r="BG31" s="1137">
        <f t="shared" si="11"/>
        <v>0</v>
      </c>
      <c r="BH31" s="1137">
        <f t="shared" si="12"/>
        <v>0</v>
      </c>
      <c r="BI31" s="1137"/>
      <c r="BJ31" s="1137">
        <f t="shared" si="13"/>
        <v>0</v>
      </c>
      <c r="BK31" s="1137">
        <f t="shared" si="14"/>
        <v>0</v>
      </c>
      <c r="BL31" s="25"/>
      <c r="BM31" s="25"/>
      <c r="BN31" s="25"/>
    </row>
    <row r="32" spans="1:66" ht="15.75" thickBot="1" x14ac:dyDescent="0.3">
      <c r="A32" s="137" t="s">
        <v>446</v>
      </c>
      <c r="B32" s="1304" t="s">
        <v>144</v>
      </c>
      <c r="C32" s="1307" t="s">
        <v>50</v>
      </c>
      <c r="D32" s="1349">
        <f t="shared" ref="D32:J32" si="96">SUM(D30:D31)</f>
        <v>17311.788414999999</v>
      </c>
      <c r="E32" s="187">
        <f t="shared" si="96"/>
        <v>1419.999</v>
      </c>
      <c r="F32" s="187">
        <f t="shared" si="96"/>
        <v>1437.3515000000002</v>
      </c>
      <c r="G32" s="187">
        <f t="shared" ref="G32:H32" si="97">SUM(G30:G31)</f>
        <v>1481.0250000000001</v>
      </c>
      <c r="H32" s="187">
        <f t="shared" si="97"/>
        <v>1473.913</v>
      </c>
      <c r="I32" s="1048">
        <f t="shared" si="96"/>
        <v>2901.0239999999999</v>
      </c>
      <c r="J32" s="1049">
        <f t="shared" si="96"/>
        <v>2911.2645000000002</v>
      </c>
      <c r="K32" s="187">
        <f t="shared" ref="K32:L32" si="98">SUM(K30:K31)</f>
        <v>1412.6100000000001</v>
      </c>
      <c r="L32" s="187">
        <f t="shared" si="98"/>
        <v>1427.691</v>
      </c>
      <c r="M32" s="718">
        <f t="shared" ref="M32:R32" si="99">SUM(M30:M31)</f>
        <v>4313.634</v>
      </c>
      <c r="N32" s="161">
        <f t="shared" si="99"/>
        <v>4338.9555</v>
      </c>
      <c r="O32" s="187">
        <f t="shared" si="99"/>
        <v>1459.6970000000001</v>
      </c>
      <c r="P32" s="187">
        <f t="shared" si="99"/>
        <v>1477.0454999999999</v>
      </c>
      <c r="Q32" s="1048">
        <f t="shared" si="99"/>
        <v>5773.3310000000001</v>
      </c>
      <c r="R32" s="1049">
        <f t="shared" si="99"/>
        <v>5816.0010000000002</v>
      </c>
      <c r="S32" s="187">
        <f t="shared" ref="S32:T32" si="100">SUM(S30:S31)</f>
        <v>1459.6970000000001</v>
      </c>
      <c r="T32" s="187">
        <f t="shared" si="100"/>
        <v>1486.0729999999999</v>
      </c>
      <c r="U32" s="1048">
        <f t="shared" ref="U32:X32" si="101">SUM(U30:U31)</f>
        <v>7233.0280000000002</v>
      </c>
      <c r="V32" s="1049">
        <f t="shared" si="101"/>
        <v>7302.0740000000005</v>
      </c>
      <c r="W32" s="187">
        <f t="shared" si="101"/>
        <v>1360.2134999999998</v>
      </c>
      <c r="X32" s="187">
        <f t="shared" si="101"/>
        <v>1440.5065000000002</v>
      </c>
      <c r="Y32" s="718">
        <f t="shared" ref="Y32:Z32" si="102">SUM(Y30:Y31)</f>
        <v>4279.6075000000001</v>
      </c>
      <c r="Z32" s="161">
        <f t="shared" si="102"/>
        <v>4403.625</v>
      </c>
      <c r="AA32" s="2336">
        <f t="shared" ref="AA32:AF32" si="103">SUM(AA30:AA31)</f>
        <v>8593.2415000000001</v>
      </c>
      <c r="AB32" s="447">
        <f t="shared" si="103"/>
        <v>8742.5805</v>
      </c>
      <c r="AC32" s="187">
        <f t="shared" si="103"/>
        <v>1459.6970000000001</v>
      </c>
      <c r="AD32" s="187">
        <f t="shared" si="103"/>
        <v>1465.3975</v>
      </c>
      <c r="AE32" s="1048">
        <f t="shared" si="103"/>
        <v>10052.9385</v>
      </c>
      <c r="AF32" s="1049">
        <f t="shared" si="103"/>
        <v>10207.977999999999</v>
      </c>
      <c r="AG32" s="187">
        <f t="shared" ref="AG32:AH32" si="104">SUM(AG30:AG31)</f>
        <v>1412.6100000000001</v>
      </c>
      <c r="AH32" s="187">
        <f t="shared" si="104"/>
        <v>1420.124</v>
      </c>
      <c r="AI32" s="1048">
        <f t="shared" ref="AI32:AN32" si="105">SUM(AI30:AI31)</f>
        <v>11465.548500000001</v>
      </c>
      <c r="AJ32" s="1049">
        <f t="shared" si="105"/>
        <v>11628.102000000001</v>
      </c>
      <c r="AK32" s="187">
        <f t="shared" si="105"/>
        <v>1459.6970000000001</v>
      </c>
      <c r="AL32" s="187">
        <f t="shared" si="105"/>
        <v>1467.4695000000002</v>
      </c>
      <c r="AM32" s="718">
        <f t="shared" si="105"/>
        <v>4332.0040000000008</v>
      </c>
      <c r="AN32" s="161">
        <f t="shared" si="105"/>
        <v>4352.991</v>
      </c>
      <c r="AO32" s="1048">
        <f t="shared" ref="AO32:AT32" si="106">SUM(AO30:AO31)</f>
        <v>12925.245499999999</v>
      </c>
      <c r="AP32" s="1049">
        <f t="shared" si="106"/>
        <v>13095.571500000002</v>
      </c>
      <c r="AQ32" s="187">
        <f t="shared" si="106"/>
        <v>1459.6970000000001</v>
      </c>
      <c r="AR32" s="187">
        <f t="shared" si="106"/>
        <v>1462.9069999999999</v>
      </c>
      <c r="AS32" s="1048">
        <f t="shared" si="106"/>
        <v>14384.942499999997</v>
      </c>
      <c r="AT32" s="1049">
        <f t="shared" si="106"/>
        <v>14558.478500000001</v>
      </c>
      <c r="AU32" s="187">
        <f t="shared" ref="AU32:AV32" si="107">SUM(AU30:AU31)</f>
        <v>1318.4359999999999</v>
      </c>
      <c r="AV32" s="187">
        <f t="shared" si="107"/>
        <v>1320.8154999999999</v>
      </c>
      <c r="AW32" s="1048">
        <f t="shared" ref="AW32:AZ32" si="108">SUM(AW30:AW31)</f>
        <v>15703.378499999999</v>
      </c>
      <c r="AX32" s="1049">
        <f t="shared" si="108"/>
        <v>15879.294000000002</v>
      </c>
      <c r="AY32" s="187">
        <f t="shared" si="108"/>
        <v>1459.6970000000001</v>
      </c>
      <c r="AZ32" s="187">
        <f t="shared" si="108"/>
        <v>1487.6505</v>
      </c>
      <c r="BA32" s="718">
        <f t="shared" ref="BA32:BF32" si="109">SUM(BA30:BA31)</f>
        <v>4237.83</v>
      </c>
      <c r="BB32" s="161">
        <f t="shared" si="109"/>
        <v>4271.3729999999996</v>
      </c>
      <c r="BC32" s="2336">
        <f t="shared" si="109"/>
        <v>8569.8339999999989</v>
      </c>
      <c r="BD32" s="447">
        <f t="shared" si="109"/>
        <v>8624.3639999999996</v>
      </c>
      <c r="BE32" s="1048">
        <f t="shared" si="109"/>
        <v>17163.075499999999</v>
      </c>
      <c r="BF32" s="1049">
        <f t="shared" si="109"/>
        <v>17366.944500000001</v>
      </c>
      <c r="BG32" s="1137">
        <f t="shared" si="11"/>
        <v>0</v>
      </c>
      <c r="BH32" s="1137">
        <f t="shared" si="12"/>
        <v>0</v>
      </c>
      <c r="BI32" s="1137"/>
      <c r="BJ32" s="1137">
        <f t="shared" si="13"/>
        <v>0</v>
      </c>
      <c r="BK32" s="1137">
        <f t="shared" si="14"/>
        <v>0</v>
      </c>
      <c r="BL32" s="25"/>
      <c r="BM32" s="25"/>
      <c r="BN32" s="25"/>
    </row>
    <row r="33" spans="1:66" ht="15.75" thickBot="1" x14ac:dyDescent="0.3">
      <c r="A33" s="169" t="s">
        <v>446</v>
      </c>
      <c r="B33" s="1690" t="s">
        <v>158</v>
      </c>
      <c r="C33" s="1306" t="s">
        <v>50</v>
      </c>
      <c r="D33" s="1350">
        <f t="shared" ref="D33:F34" si="110">+D21+D24+D27+D30</f>
        <v>457444.83600000001</v>
      </c>
      <c r="E33" s="1045">
        <f t="shared" si="110"/>
        <v>38178.839999999997</v>
      </c>
      <c r="F33" s="1045">
        <f t="shared" si="110"/>
        <v>37673.159999999996</v>
      </c>
      <c r="G33" s="1045">
        <f t="shared" ref="G33:H33" si="111">+G21+G24+G27+G30</f>
        <v>39712.73599999999</v>
      </c>
      <c r="H33" s="1045">
        <f t="shared" si="111"/>
        <v>39295.635999999991</v>
      </c>
      <c r="I33" s="712">
        <f>+E33+G33</f>
        <v>77891.575999999986</v>
      </c>
      <c r="J33" s="60">
        <f>+F33+H33</f>
        <v>76968.795999999988</v>
      </c>
      <c r="K33" s="1045">
        <f t="shared" ref="K33:L33" si="112">+K21+K24+K27+K30</f>
        <v>36863.040000000001</v>
      </c>
      <c r="L33" s="1045">
        <f t="shared" si="112"/>
        <v>37425.651999999995</v>
      </c>
      <c r="M33" s="670">
        <f>+E33+G33+K33</f>
        <v>114754.61599999998</v>
      </c>
      <c r="N33" s="71">
        <f>+F33+H33+L33</f>
        <v>114394.44799999997</v>
      </c>
      <c r="O33" s="1045">
        <f t="shared" ref="O33:P33" si="113">+O21+O24+O27+O30</f>
        <v>38091.807999999997</v>
      </c>
      <c r="P33" s="1045">
        <f t="shared" si="113"/>
        <v>38412.587999999996</v>
      </c>
      <c r="Q33" s="712">
        <f>+M33+O33</f>
        <v>152846.42399999997</v>
      </c>
      <c r="R33" s="60">
        <f>+N33+P33</f>
        <v>152807.03599999996</v>
      </c>
      <c r="S33" s="1045">
        <f t="shared" ref="S33:T33" si="114">+S21+S24+S27+S30</f>
        <v>38091.807999999997</v>
      </c>
      <c r="T33" s="1045">
        <f t="shared" si="114"/>
        <v>39451.467999999993</v>
      </c>
      <c r="U33" s="712">
        <f>+Q33+S33</f>
        <v>190938.23199999996</v>
      </c>
      <c r="V33" s="60">
        <f>+R33+T33</f>
        <v>192258.50399999996</v>
      </c>
      <c r="W33" s="1045">
        <f t="shared" ref="W33:X33" si="115">+W21+W24+W27+W30</f>
        <v>36117.935999999994</v>
      </c>
      <c r="X33" s="1045">
        <f t="shared" si="115"/>
        <v>38178.839999999997</v>
      </c>
      <c r="Y33" s="713">
        <f>+O33+S33+W33</f>
        <v>112301.552</v>
      </c>
      <c r="Z33" s="81">
        <f>+P33+T33+X33</f>
        <v>116042.89599999998</v>
      </c>
      <c r="AA33" s="711">
        <f>+M33+Y33</f>
        <v>227056.16799999998</v>
      </c>
      <c r="AB33" s="711">
        <f>+N33+Z33</f>
        <v>230437.34399999995</v>
      </c>
      <c r="AC33" s="1045">
        <f t="shared" ref="AC33:AD33" si="116">+AC21+AC24+AC27+AC30</f>
        <v>38091.807999999997</v>
      </c>
      <c r="AD33" s="1045">
        <f t="shared" si="116"/>
        <v>38867.098000000013</v>
      </c>
      <c r="AE33" s="712">
        <f>+AA33+AC33</f>
        <v>265147.97599999997</v>
      </c>
      <c r="AF33" s="60">
        <f>+AB33+AD33</f>
        <v>269304.44199999998</v>
      </c>
      <c r="AG33" s="1045">
        <f t="shared" ref="AG33:AH33" si="117">+AG21+AG24+AG27+AG30</f>
        <v>36863.040000000001</v>
      </c>
      <c r="AH33" s="1045">
        <f t="shared" si="117"/>
        <v>36225.177999999993</v>
      </c>
      <c r="AI33" s="712">
        <f>+AE33+AG33</f>
        <v>302011.01599999995</v>
      </c>
      <c r="AJ33" s="60">
        <f>+AF33+AH33</f>
        <v>305529.62</v>
      </c>
      <c r="AK33" s="1045">
        <f t="shared" ref="AK33:AL33" si="118">+AK21+AK24+AK27+AK30</f>
        <v>38091.807999999997</v>
      </c>
      <c r="AL33" s="1045">
        <f t="shared" si="118"/>
        <v>37378.438000000002</v>
      </c>
      <c r="AM33" s="713">
        <f>+AC33+AG33+AK33</f>
        <v>113046.65599999999</v>
      </c>
      <c r="AN33" s="81">
        <f>+AD33+AH33+AL33</f>
        <v>112470.71400000001</v>
      </c>
      <c r="AO33" s="712">
        <f>AI33+AK33</f>
        <v>340102.82399999996</v>
      </c>
      <c r="AP33" s="712">
        <f>AJ33+AL33</f>
        <v>342908.05800000002</v>
      </c>
      <c r="AQ33" s="1045">
        <f t="shared" ref="AQ33:AR33" si="119">+AQ21+AQ24+AQ27+AQ30</f>
        <v>38091.807999999997</v>
      </c>
      <c r="AR33" s="1045">
        <f t="shared" si="119"/>
        <v>37673.159999999996</v>
      </c>
      <c r="AS33" s="712">
        <f>+AO33+AQ33</f>
        <v>378194.63199999998</v>
      </c>
      <c r="AT33" s="60">
        <f>+AP33+AR33</f>
        <v>380581.21799999999</v>
      </c>
      <c r="AU33" s="1045">
        <f t="shared" ref="AU33:AV33" si="120">+AU21+AU24+AU27+AU30</f>
        <v>34405.504000000001</v>
      </c>
      <c r="AV33" s="1045">
        <f t="shared" si="120"/>
        <v>33880.215999999986</v>
      </c>
      <c r="AW33" s="712">
        <f>+AS33+AU33</f>
        <v>412600.136</v>
      </c>
      <c r="AX33" s="60">
        <f>+AT33+AV33</f>
        <v>414461.43400000001</v>
      </c>
      <c r="AY33" s="1045">
        <f t="shared" ref="AY33:AZ33" si="121">+AY21+AY24+AY27+AY30</f>
        <v>38091.807999999997</v>
      </c>
      <c r="AZ33" s="1045">
        <f t="shared" si="121"/>
        <v>38928.931999999993</v>
      </c>
      <c r="BA33" s="713">
        <f>+AQ33+AU33+AY33</f>
        <v>110589.12</v>
      </c>
      <c r="BB33" s="81">
        <f>+AR33+AV33+AZ33</f>
        <v>110482.30799999999</v>
      </c>
      <c r="BC33" s="711">
        <f t="shared" ref="BC33:BC34" si="122">+AM33+BA33</f>
        <v>223635.77599999998</v>
      </c>
      <c r="BD33" s="711">
        <f t="shared" ref="BD33:BD34" si="123">+AN33+BB33</f>
        <v>222953.022</v>
      </c>
      <c r="BE33" s="712">
        <f>+AW33+AY33</f>
        <v>450691.94400000002</v>
      </c>
      <c r="BF33" s="60">
        <f>+AX33+AZ33</f>
        <v>453390.36599999998</v>
      </c>
      <c r="BG33" s="1137">
        <f t="shared" si="11"/>
        <v>0</v>
      </c>
      <c r="BH33" s="1137">
        <f t="shared" si="12"/>
        <v>0</v>
      </c>
      <c r="BI33" s="1137"/>
      <c r="BJ33" s="1137">
        <f t="shared" si="13"/>
        <v>0</v>
      </c>
      <c r="BK33" s="1137">
        <f t="shared" si="14"/>
        <v>0</v>
      </c>
      <c r="BL33" s="25"/>
      <c r="BM33" s="25"/>
      <c r="BN33" s="25"/>
    </row>
    <row r="34" spans="1:66" ht="15.75" thickBot="1" x14ac:dyDescent="0.3">
      <c r="A34" s="169" t="s">
        <v>446</v>
      </c>
      <c r="B34" s="1691" t="s">
        <v>159</v>
      </c>
      <c r="C34" s="1306" t="s">
        <v>50</v>
      </c>
      <c r="D34" s="1228">
        <f t="shared" si="110"/>
        <v>849595.1893325001</v>
      </c>
      <c r="E34" s="1042">
        <f t="shared" si="110"/>
        <v>69031.084499999997</v>
      </c>
      <c r="F34" s="1042">
        <f t="shared" si="110"/>
        <v>69409.526750000005</v>
      </c>
      <c r="G34" s="5587">
        <f t="shared" ref="G34:H34" si="124">+G22+G25+G28+G31</f>
        <v>72845.164000000019</v>
      </c>
      <c r="H34" s="5587">
        <f t="shared" si="124"/>
        <v>71984.795500000007</v>
      </c>
      <c r="I34" s="717">
        <f>+E34+G34</f>
        <v>141876.24850000002</v>
      </c>
      <c r="J34" s="154">
        <f>+F34+H34</f>
        <v>141394.32225000003</v>
      </c>
      <c r="K34" s="5699">
        <f t="shared" ref="K34:L34" si="125">+K22+K25+K28+K31</f>
        <v>70495.320000000007</v>
      </c>
      <c r="L34" s="5699">
        <f t="shared" si="125"/>
        <v>70365.018499999991</v>
      </c>
      <c r="M34" s="1043">
        <f>+E34+G34+K34</f>
        <v>212371.56850000002</v>
      </c>
      <c r="N34" s="81">
        <f>+F34+H34+L34</f>
        <v>211759.34075000003</v>
      </c>
      <c r="O34" s="5859">
        <f t="shared" ref="O34:P34" si="126">+O22+O25+O28+O31</f>
        <v>72845.164000000019</v>
      </c>
      <c r="P34" s="5859">
        <f t="shared" si="126"/>
        <v>73104.347249999992</v>
      </c>
      <c r="Q34" s="717">
        <f>+M34+O34</f>
        <v>285216.73250000004</v>
      </c>
      <c r="R34" s="154">
        <f>+N34+P34</f>
        <v>284863.68800000002</v>
      </c>
      <c r="S34" s="5925">
        <f t="shared" ref="S34:T34" si="127">+S22+S25+S28+S31</f>
        <v>72845.164000000019</v>
      </c>
      <c r="T34" s="5925">
        <f t="shared" si="127"/>
        <v>72747.0435</v>
      </c>
      <c r="U34" s="717">
        <f>+Q34+S34</f>
        <v>358061.89650000003</v>
      </c>
      <c r="V34" s="154">
        <f>+R34+T34</f>
        <v>357610.73149999999</v>
      </c>
      <c r="W34" s="6023">
        <f t="shared" ref="W34:X34" si="128">+W22+W25+W28+W31</f>
        <v>67258.289999999994</v>
      </c>
      <c r="X34" s="6023">
        <f t="shared" si="128"/>
        <v>70579.400750000001</v>
      </c>
      <c r="Y34" s="713">
        <f>+O34+S34+W34</f>
        <v>212948.61800000002</v>
      </c>
      <c r="Z34" s="81">
        <f>+P34+T34+X34</f>
        <v>216430.79149999999</v>
      </c>
      <c r="AA34" s="711">
        <f>+M34+Y34</f>
        <v>425320.18650000007</v>
      </c>
      <c r="AB34" s="711">
        <f>+N34+Z34</f>
        <v>428190.13225000002</v>
      </c>
      <c r="AC34" s="6158">
        <f t="shared" ref="AC34:AD34" si="129">+AC22+AC25+AC28+AC31</f>
        <v>72845.164000000019</v>
      </c>
      <c r="AD34" s="6158">
        <f t="shared" si="129"/>
        <v>71770.413250000012</v>
      </c>
      <c r="AE34" s="717">
        <f>+AA34+AC34</f>
        <v>498165.35050000006</v>
      </c>
      <c r="AF34" s="154">
        <f>+AB34+AD34</f>
        <v>499960.54550000001</v>
      </c>
      <c r="AG34" s="6320">
        <f t="shared" ref="AG34:AH34" si="130">+AG22+AG25+AG28+AG31</f>
        <v>70495.320000000007</v>
      </c>
      <c r="AH34" s="6320">
        <f t="shared" si="130"/>
        <v>69574.06</v>
      </c>
      <c r="AI34" s="717">
        <f>+AE34+AG34</f>
        <v>568660.67050000001</v>
      </c>
      <c r="AJ34" s="154">
        <f>+AF34+AH34</f>
        <v>569534.60550000006</v>
      </c>
      <c r="AK34" s="6579">
        <f t="shared" ref="AK34:AL34" si="131">+AK22+AK25+AK28+AK31</f>
        <v>72845.164000000019</v>
      </c>
      <c r="AL34" s="6579">
        <f t="shared" si="131"/>
        <v>71948.039750000011</v>
      </c>
      <c r="AM34" s="713">
        <f>+AC34+AG34+AK34</f>
        <v>216185.64800000004</v>
      </c>
      <c r="AN34" s="81">
        <f>+AD34+AH34+AL34</f>
        <v>213292.51300000004</v>
      </c>
      <c r="AO34" s="712">
        <f>AI34+AK34</f>
        <v>641505.8345</v>
      </c>
      <c r="AP34" s="712">
        <f>AJ34+AL34</f>
        <v>641482.64525000006</v>
      </c>
      <c r="AQ34" s="6663">
        <f t="shared" ref="AQ34:AR34" si="132">+AQ22+AQ25+AQ28+AQ31</f>
        <v>72845.164000000019</v>
      </c>
      <c r="AR34" s="6663">
        <f t="shared" si="132"/>
        <v>71313.411499999987</v>
      </c>
      <c r="AS34" s="717">
        <f>+AO34+AQ34</f>
        <v>714350.99849999999</v>
      </c>
      <c r="AT34" s="154">
        <f>+AP34+AR34</f>
        <v>712796.05674999999</v>
      </c>
      <c r="AU34" s="6835">
        <f t="shared" ref="AU34:AV34" si="133">+AU22+AU25+AU28+AU31</f>
        <v>65795.631999999998</v>
      </c>
      <c r="AV34" s="6835">
        <f t="shared" si="133"/>
        <v>64520.53875</v>
      </c>
      <c r="AW34" s="717">
        <f>+AS34+AU34</f>
        <v>780146.63049999997</v>
      </c>
      <c r="AX34" s="154">
        <f>+AT34+AV34</f>
        <v>777316.59549999994</v>
      </c>
      <c r="AY34" s="6979">
        <f t="shared" ref="AY34:AZ34" si="134">+AY22+AY25+AY28+AY31</f>
        <v>72845.164000000019</v>
      </c>
      <c r="AZ34" s="6979">
        <f t="shared" si="134"/>
        <v>71901.030249999982</v>
      </c>
      <c r="BA34" s="713">
        <f>+AQ34+AU34+AY34</f>
        <v>211485.96000000005</v>
      </c>
      <c r="BB34" s="81">
        <f>+AR34+AV34+AZ34</f>
        <v>207734.98049999998</v>
      </c>
      <c r="BC34" s="711">
        <f t="shared" si="122"/>
        <v>427671.60800000012</v>
      </c>
      <c r="BD34" s="711">
        <f t="shared" si="123"/>
        <v>421027.49349999998</v>
      </c>
      <c r="BE34" s="717">
        <f>+AW34+AY34</f>
        <v>852991.79449999996</v>
      </c>
      <c r="BF34" s="154">
        <f>+AX34+AZ34</f>
        <v>849217.62574999989</v>
      </c>
      <c r="BG34" s="1137">
        <f t="shared" si="11"/>
        <v>0</v>
      </c>
      <c r="BH34" s="1137">
        <f t="shared" si="12"/>
        <v>0</v>
      </c>
      <c r="BI34" s="1137"/>
      <c r="BJ34" s="1137">
        <f t="shared" si="13"/>
        <v>0</v>
      </c>
      <c r="BK34" s="1137">
        <f t="shared" si="14"/>
        <v>0</v>
      </c>
      <c r="BL34" s="25"/>
      <c r="BM34" s="25"/>
      <c r="BN34" s="25"/>
    </row>
    <row r="35" spans="1:66" ht="15.75" thickBot="1" x14ac:dyDescent="0.3">
      <c r="A35" s="169" t="s">
        <v>446</v>
      </c>
      <c r="B35" s="1304" t="s">
        <v>145</v>
      </c>
      <c r="C35" s="1696" t="s">
        <v>50</v>
      </c>
      <c r="D35" s="1349">
        <f t="shared" ref="D35:J35" si="135">SUM(D33:D34)</f>
        <v>1307040.0253325002</v>
      </c>
      <c r="E35" s="187">
        <f t="shared" si="135"/>
        <v>107209.92449999999</v>
      </c>
      <c r="F35" s="187">
        <f t="shared" si="135"/>
        <v>107082.68674999999</v>
      </c>
      <c r="G35" s="187">
        <f t="shared" ref="G35:H35" si="136">SUM(G33:G34)</f>
        <v>112557.90000000001</v>
      </c>
      <c r="H35" s="187">
        <f t="shared" si="136"/>
        <v>111280.43150000001</v>
      </c>
      <c r="I35" s="698">
        <f t="shared" si="135"/>
        <v>219767.82449999999</v>
      </c>
      <c r="J35" s="1049">
        <f t="shared" si="135"/>
        <v>218363.11825</v>
      </c>
      <c r="K35" s="187">
        <f t="shared" ref="K35:L35" si="137">SUM(K33:K34)</f>
        <v>107358.36000000002</v>
      </c>
      <c r="L35" s="187">
        <f t="shared" si="137"/>
        <v>107790.67049999998</v>
      </c>
      <c r="M35" s="718">
        <f t="shared" ref="M35:R35" si="138">SUM(M33:M34)</f>
        <v>327126.18449999997</v>
      </c>
      <c r="N35" s="161">
        <f t="shared" si="138"/>
        <v>326153.78875000001</v>
      </c>
      <c r="O35" s="187">
        <f t="shared" si="138"/>
        <v>110936.97200000001</v>
      </c>
      <c r="P35" s="187">
        <f t="shared" si="138"/>
        <v>111516.93524999998</v>
      </c>
      <c r="Q35" s="698">
        <f t="shared" si="138"/>
        <v>438063.15650000004</v>
      </c>
      <c r="R35" s="1049">
        <f t="shared" si="138"/>
        <v>437670.72399999999</v>
      </c>
      <c r="S35" s="187">
        <f t="shared" ref="S35:T35" si="139">SUM(S33:S34)</f>
        <v>110936.97200000001</v>
      </c>
      <c r="T35" s="187">
        <f t="shared" si="139"/>
        <v>112198.51149999999</v>
      </c>
      <c r="U35" s="698">
        <f t="shared" ref="U35:X35" si="140">SUM(U33:U34)</f>
        <v>549000.12849999999</v>
      </c>
      <c r="V35" s="1049">
        <f t="shared" si="140"/>
        <v>549869.23549999995</v>
      </c>
      <c r="W35" s="187">
        <f t="shared" si="140"/>
        <v>103376.226</v>
      </c>
      <c r="X35" s="187">
        <f t="shared" si="140"/>
        <v>108758.24075</v>
      </c>
      <c r="Y35" s="701">
        <f t="shared" ref="Y35:Z35" si="141">SUM(Y33:Y34)</f>
        <v>325250.17000000004</v>
      </c>
      <c r="Z35" s="161">
        <f t="shared" si="141"/>
        <v>332473.6875</v>
      </c>
      <c r="AA35" s="2334">
        <f t="shared" ref="AA35:AF35" si="142">SUM(AA33:AA34)</f>
        <v>652376.35450000002</v>
      </c>
      <c r="AB35" s="447">
        <f t="shared" si="142"/>
        <v>658627.47624999995</v>
      </c>
      <c r="AC35" s="187">
        <f t="shared" si="142"/>
        <v>110936.97200000001</v>
      </c>
      <c r="AD35" s="187">
        <f t="shared" si="142"/>
        <v>110637.51125000003</v>
      </c>
      <c r="AE35" s="698">
        <f t="shared" si="142"/>
        <v>763313.32649999997</v>
      </c>
      <c r="AF35" s="1049">
        <f t="shared" si="142"/>
        <v>769264.98750000005</v>
      </c>
      <c r="AG35" s="187">
        <f t="shared" ref="AG35:AH35" si="143">SUM(AG33:AG34)</f>
        <v>107358.36000000002</v>
      </c>
      <c r="AH35" s="187">
        <f t="shared" si="143"/>
        <v>105799.23799999998</v>
      </c>
      <c r="AI35" s="698">
        <f t="shared" ref="AI35:AN35" si="144">SUM(AI33:AI34)</f>
        <v>870671.68649999995</v>
      </c>
      <c r="AJ35" s="1049">
        <f t="shared" si="144"/>
        <v>875064.22550000006</v>
      </c>
      <c r="AK35" s="187">
        <f t="shared" si="144"/>
        <v>110936.97200000001</v>
      </c>
      <c r="AL35" s="187">
        <f t="shared" si="144"/>
        <v>109326.47775000002</v>
      </c>
      <c r="AM35" s="701">
        <f t="shared" si="144"/>
        <v>329232.304</v>
      </c>
      <c r="AN35" s="161">
        <f t="shared" si="144"/>
        <v>325763.22700000007</v>
      </c>
      <c r="AO35" s="698">
        <f t="shared" ref="AO35:AT35" si="145">SUM(AO33:AO34)</f>
        <v>981608.6584999999</v>
      </c>
      <c r="AP35" s="1049">
        <f t="shared" si="145"/>
        <v>984390.70325000002</v>
      </c>
      <c r="AQ35" s="187">
        <f t="shared" si="145"/>
        <v>110936.97200000001</v>
      </c>
      <c r="AR35" s="187">
        <f t="shared" si="145"/>
        <v>108986.57149999999</v>
      </c>
      <c r="AS35" s="698">
        <f t="shared" si="145"/>
        <v>1092545.6305</v>
      </c>
      <c r="AT35" s="1049">
        <f t="shared" si="145"/>
        <v>1093377.2747499999</v>
      </c>
      <c r="AU35" s="187">
        <f t="shared" ref="AU35:AV35" si="146">SUM(AU33:AU34)</f>
        <v>100201.136</v>
      </c>
      <c r="AV35" s="187">
        <f t="shared" si="146"/>
        <v>98400.754749999993</v>
      </c>
      <c r="AW35" s="698">
        <f t="shared" ref="AW35:AZ35" si="147">SUM(AW33:AW34)</f>
        <v>1192746.7664999999</v>
      </c>
      <c r="AX35" s="1049">
        <f t="shared" si="147"/>
        <v>1191778.0294999999</v>
      </c>
      <c r="AY35" s="187">
        <f t="shared" si="147"/>
        <v>110936.97200000001</v>
      </c>
      <c r="AZ35" s="187">
        <f t="shared" si="147"/>
        <v>110829.96224999998</v>
      </c>
      <c r="BA35" s="701">
        <f t="shared" ref="BA35:BF35" si="148">SUM(BA33:BA34)</f>
        <v>322075.08000000007</v>
      </c>
      <c r="BB35" s="161">
        <f t="shared" si="148"/>
        <v>318217.28849999997</v>
      </c>
      <c r="BC35" s="2334">
        <f t="shared" si="148"/>
        <v>651307.38400000008</v>
      </c>
      <c r="BD35" s="447">
        <f t="shared" si="148"/>
        <v>643980.51549999998</v>
      </c>
      <c r="BE35" s="698">
        <f t="shared" si="148"/>
        <v>1303683.7385</v>
      </c>
      <c r="BF35" s="1049">
        <f t="shared" si="148"/>
        <v>1302607.9917499998</v>
      </c>
      <c r="BG35" s="1137">
        <f t="shared" si="11"/>
        <v>0</v>
      </c>
      <c r="BH35" s="1137">
        <f t="shared" si="12"/>
        <v>0</v>
      </c>
      <c r="BI35" s="1137"/>
      <c r="BJ35" s="1137">
        <f t="shared" si="13"/>
        <v>0</v>
      </c>
      <c r="BK35" s="1137">
        <f t="shared" si="14"/>
        <v>0</v>
      </c>
      <c r="BL35" s="25"/>
      <c r="BM35" s="25"/>
      <c r="BN35" s="25"/>
    </row>
    <row r="36" spans="1:66" ht="16.5" thickBot="1" x14ac:dyDescent="0.3">
      <c r="A36" s="138" t="s">
        <v>446</v>
      </c>
      <c r="B36" s="1327" t="s">
        <v>407</v>
      </c>
      <c r="C36" s="1706"/>
      <c r="D36" s="1708"/>
      <c r="E36" s="1709"/>
      <c r="F36" s="1710"/>
      <c r="G36" s="1709"/>
      <c r="H36" s="1710"/>
      <c r="I36" s="1708"/>
      <c r="J36" s="1708"/>
      <c r="K36" s="1709"/>
      <c r="L36" s="1710"/>
      <c r="M36" s="1709"/>
      <c r="N36" s="1710"/>
      <c r="O36" s="1709"/>
      <c r="P36" s="1710"/>
      <c r="Q36" s="1708"/>
      <c r="R36" s="1708"/>
      <c r="S36" s="1709"/>
      <c r="T36" s="1710"/>
      <c r="U36" s="1708"/>
      <c r="V36" s="1708"/>
      <c r="W36" s="1709"/>
      <c r="X36" s="1710"/>
      <c r="Y36" s="464"/>
      <c r="Z36" s="464"/>
      <c r="AA36" s="2335"/>
      <c r="AB36" s="464"/>
      <c r="AC36" s="1709"/>
      <c r="AD36" s="1710"/>
      <c r="AE36" s="1708"/>
      <c r="AF36" s="1708"/>
      <c r="AG36" s="1709"/>
      <c r="AH36" s="1710"/>
      <c r="AI36" s="1708"/>
      <c r="AJ36" s="1708"/>
      <c r="AK36" s="1709"/>
      <c r="AL36" s="1710"/>
      <c r="AM36" s="464"/>
      <c r="AN36" s="464"/>
      <c r="AO36" s="1708"/>
      <c r="AP36" s="1708"/>
      <c r="AQ36" s="1709"/>
      <c r="AR36" s="1710"/>
      <c r="AS36" s="1708"/>
      <c r="AT36" s="1708"/>
      <c r="AU36" s="1709"/>
      <c r="AV36" s="1710"/>
      <c r="AW36" s="1708"/>
      <c r="AX36" s="1708"/>
      <c r="AY36" s="1709"/>
      <c r="AZ36" s="1710"/>
      <c r="BA36" s="464"/>
      <c r="BB36" s="464"/>
      <c r="BC36" s="2335"/>
      <c r="BD36" s="464"/>
      <c r="BE36" s="1708"/>
      <c r="BF36" s="1708"/>
      <c r="BG36" s="1137">
        <f t="shared" si="11"/>
        <v>0</v>
      </c>
      <c r="BH36" s="1137">
        <f t="shared" si="12"/>
        <v>0</v>
      </c>
      <c r="BI36" s="1137"/>
      <c r="BJ36" s="1137">
        <f t="shared" si="13"/>
        <v>0</v>
      </c>
      <c r="BK36" s="1137">
        <f t="shared" si="14"/>
        <v>0</v>
      </c>
      <c r="BL36" s="25"/>
      <c r="BM36" s="25"/>
      <c r="BN36" s="25"/>
    </row>
    <row r="37" spans="1:66" x14ac:dyDescent="0.25">
      <c r="A37" s="137" t="s">
        <v>446</v>
      </c>
      <c r="B37" s="1703" t="s">
        <v>25</v>
      </c>
      <c r="C37" s="767" t="s">
        <v>49</v>
      </c>
      <c r="D37" s="1360">
        <v>69.500000000000014</v>
      </c>
      <c r="E37" s="1360">
        <v>69.5</v>
      </c>
      <c r="F37" s="1360">
        <f>+F23/F19*100</f>
        <v>69.5</v>
      </c>
      <c r="G37" s="1360">
        <v>70</v>
      </c>
      <c r="H37" s="1360">
        <f>+H23/H19*100</f>
        <v>70</v>
      </c>
      <c r="I37" s="1361">
        <f>+$D$37</f>
        <v>69.500000000000014</v>
      </c>
      <c r="J37" s="155">
        <f>+J23/J19*100</f>
        <v>69.753139658042059</v>
      </c>
      <c r="K37" s="1360">
        <v>70</v>
      </c>
      <c r="L37" s="1360">
        <f>+L23/L19*100</f>
        <v>70</v>
      </c>
      <c r="M37" s="1438">
        <f>+$D$37</f>
        <v>69.500000000000014</v>
      </c>
      <c r="N37" s="1438">
        <f>+N23/N19*100</f>
        <v>69.834366646535088</v>
      </c>
      <c r="O37" s="1360">
        <v>70</v>
      </c>
      <c r="P37" s="1360">
        <f>+P23/P19*100</f>
        <v>70</v>
      </c>
      <c r="Q37" s="1361">
        <f>+$D$37</f>
        <v>69.500000000000014</v>
      </c>
      <c r="R37" s="1361">
        <f>+R23/R19*100</f>
        <v>69.876431288440287</v>
      </c>
      <c r="S37" s="1360">
        <v>70</v>
      </c>
      <c r="T37" s="1360">
        <f>+T23/T19*100</f>
        <v>70</v>
      </c>
      <c r="U37" s="1361">
        <f>+$D$37</f>
        <v>69.500000000000014</v>
      </c>
      <c r="V37" s="1361">
        <f>+V23/V19*100</f>
        <v>69.901579229407957</v>
      </c>
      <c r="W37" s="1360">
        <v>70</v>
      </c>
      <c r="X37" s="1360">
        <f>+X23/X19*100</f>
        <v>69.67094907242695</v>
      </c>
      <c r="Y37" s="1467">
        <f>+$D$37</f>
        <v>69.500000000000014</v>
      </c>
      <c r="Z37" s="163">
        <f>+Z23/Z19*100</f>
        <v>69.89236140679553</v>
      </c>
      <c r="AA37" s="1505">
        <f>+$D$37</f>
        <v>69.500000000000014</v>
      </c>
      <c r="AB37" s="452">
        <f>+AB23/AB19*100</f>
        <v>69.863578522382483</v>
      </c>
      <c r="AC37" s="1360">
        <v>70</v>
      </c>
      <c r="AD37" s="1360">
        <f>+AD23/AD19*100</f>
        <v>69.700000000000017</v>
      </c>
      <c r="AE37" s="720">
        <f>+$D$37</f>
        <v>69.500000000000014</v>
      </c>
      <c r="AF37" s="155">
        <f>+AF23/AF19*100</f>
        <v>69.840096148326339</v>
      </c>
      <c r="AG37" s="1360">
        <v>70</v>
      </c>
      <c r="AH37" s="1360">
        <f>+AH23/AH19*100</f>
        <v>69.5</v>
      </c>
      <c r="AI37" s="720">
        <f>+$D$37</f>
        <v>69.500000000000014</v>
      </c>
      <c r="AJ37" s="155">
        <f>+AJ23/AJ19*100</f>
        <v>69.798560676540333</v>
      </c>
      <c r="AK37" s="1360">
        <v>70</v>
      </c>
      <c r="AL37" s="1360">
        <f>+AL23/AL19*100</f>
        <v>69.5</v>
      </c>
      <c r="AM37" s="1467">
        <f>+$D$37</f>
        <v>69.500000000000014</v>
      </c>
      <c r="AN37" s="163">
        <f>+AN23/AN19*100</f>
        <v>69.567328303688214</v>
      </c>
      <c r="AO37" s="720">
        <f>+$D$37</f>
        <v>69.500000000000014</v>
      </c>
      <c r="AP37" s="6711">
        <f>+AP23/AP19*100</f>
        <v>69.765104428623061</v>
      </c>
      <c r="AQ37" s="1360">
        <v>70</v>
      </c>
      <c r="AR37" s="1360">
        <f>+AR23/AR19*100</f>
        <v>69.499999999999986</v>
      </c>
      <c r="AS37" s="720">
        <f>+$D$37</f>
        <v>69.500000000000014</v>
      </c>
      <c r="AT37" s="6711">
        <f>+AT23/AT19*100</f>
        <v>69.738465441289065</v>
      </c>
      <c r="AU37" s="1360">
        <v>70</v>
      </c>
      <c r="AV37" s="1360">
        <f>+AV23/AV19*100</f>
        <v>69.5</v>
      </c>
      <c r="AW37" s="720">
        <f>+$D$37</f>
        <v>69.500000000000014</v>
      </c>
      <c r="AX37" s="155">
        <f>+AX23/AX19*100</f>
        <v>69.718630248926672</v>
      </c>
      <c r="AY37" s="1360">
        <v>70</v>
      </c>
      <c r="AZ37" s="1360">
        <f>+AZ23/AZ19*100</f>
        <v>69.5</v>
      </c>
      <c r="BA37" s="1467">
        <f>+$D$37</f>
        <v>69.500000000000014</v>
      </c>
      <c r="BB37" s="163">
        <f>+BB23/BB19*100</f>
        <v>69.499999999999986</v>
      </c>
      <c r="BC37" s="1505">
        <f>+$D$37</f>
        <v>69.500000000000014</v>
      </c>
      <c r="BD37" s="452">
        <f>+BD23/BD19*100</f>
        <v>69.533982737741567</v>
      </c>
      <c r="BE37" s="720">
        <f>+$D$37</f>
        <v>69.500000000000014</v>
      </c>
      <c r="BF37" s="155">
        <f>+BF23/BF19*100</f>
        <v>69.699902406551701</v>
      </c>
      <c r="BG37" s="1137"/>
      <c r="BH37" s="1137"/>
      <c r="BI37" s="1137"/>
      <c r="BJ37" s="1137"/>
      <c r="BK37" s="1137"/>
      <c r="BL37" s="25"/>
      <c r="BM37" s="25"/>
      <c r="BN37" s="25"/>
    </row>
    <row r="38" spans="1:66" x14ac:dyDescent="0.25">
      <c r="A38" s="137" t="s">
        <v>446</v>
      </c>
      <c r="B38" s="1702" t="s">
        <v>1</v>
      </c>
      <c r="C38" s="2893" t="s">
        <v>49</v>
      </c>
      <c r="D38" s="3171">
        <v>1.5</v>
      </c>
      <c r="E38" s="3171">
        <v>1.5</v>
      </c>
      <c r="F38" s="3171">
        <f>+F26/F19*100</f>
        <v>1.0000000000000002</v>
      </c>
      <c r="G38" s="3171">
        <v>1.5</v>
      </c>
      <c r="H38" s="3171">
        <f>+H26/H19*100</f>
        <v>1.5</v>
      </c>
      <c r="I38" s="3432">
        <f>+$D$38</f>
        <v>1.5</v>
      </c>
      <c r="J38" s="103">
        <f>+J26/J19*100</f>
        <v>1.253139658042064</v>
      </c>
      <c r="K38" s="3171">
        <v>1.5</v>
      </c>
      <c r="L38" s="3171">
        <f>+L26/L19*100</f>
        <v>1.5000000000000002</v>
      </c>
      <c r="M38" s="330">
        <f>+$D$38</f>
        <v>1.5</v>
      </c>
      <c r="N38" s="330">
        <f>+N26/N19*100</f>
        <v>1.3343666465350936</v>
      </c>
      <c r="O38" s="3171">
        <v>1.5</v>
      </c>
      <c r="P38" s="3171">
        <f>+P26/P19*100</f>
        <v>1.4999999999999998</v>
      </c>
      <c r="Q38" s="245">
        <f>+$D$38</f>
        <v>1.5</v>
      </c>
      <c r="R38" s="245">
        <f>+R26/R19*100</f>
        <v>1.3764312884402874</v>
      </c>
      <c r="S38" s="3171">
        <v>1.5</v>
      </c>
      <c r="T38" s="3171">
        <f>+T26/T19*100</f>
        <v>1.5000000000000002</v>
      </c>
      <c r="U38" s="245">
        <f>+$D$38</f>
        <v>1.5</v>
      </c>
      <c r="V38" s="245">
        <f>+V26/V19*100</f>
        <v>1.4015792294079736</v>
      </c>
      <c r="W38" s="3171">
        <v>1.5</v>
      </c>
      <c r="X38" s="3171">
        <f>+X26/X19*100</f>
        <v>1.5</v>
      </c>
      <c r="Y38" s="75">
        <f>+$D$38</f>
        <v>1.5</v>
      </c>
      <c r="Z38" s="109">
        <f>+Z26/Z19*100</f>
        <v>1.4999999999999998</v>
      </c>
      <c r="AA38" s="634">
        <f>+$D$38</f>
        <v>1.5</v>
      </c>
      <c r="AB38" s="448">
        <f>+AB26/AB19*100</f>
        <v>1.4177959242125366</v>
      </c>
      <c r="AC38" s="3171">
        <v>1.5</v>
      </c>
      <c r="AD38" s="3171">
        <f>+AD26/AD19*100</f>
        <v>1.5000000000000002</v>
      </c>
      <c r="AE38" s="51">
        <f>+$D$38</f>
        <v>1.5</v>
      </c>
      <c r="AF38" s="103">
        <f>+AF26/AF19*100</f>
        <v>1.4295966595931144</v>
      </c>
      <c r="AG38" s="3171">
        <v>1.5</v>
      </c>
      <c r="AH38" s="3171">
        <f>+AH26/AH19*100</f>
        <v>1</v>
      </c>
      <c r="AI38" s="51">
        <f>+$D$38</f>
        <v>1.5</v>
      </c>
      <c r="AJ38" s="103">
        <f>+AJ26/AJ19*100</f>
        <v>1.3771306142653377</v>
      </c>
      <c r="AK38" s="3171">
        <v>1.5</v>
      </c>
      <c r="AL38" s="3171">
        <f>+AL26/AL19*100</f>
        <v>1</v>
      </c>
      <c r="AM38" s="75">
        <f>+$D$38</f>
        <v>1.5</v>
      </c>
      <c r="AN38" s="109">
        <f>+AN26/AN19*100</f>
        <v>1.1683207592204994</v>
      </c>
      <c r="AO38" s="51">
        <f>+$D$38</f>
        <v>1.5</v>
      </c>
      <c r="AP38" s="103">
        <f>+AP26/AP19*100</f>
        <v>1.3348699405749496</v>
      </c>
      <c r="AQ38" s="3171">
        <v>1.5</v>
      </c>
      <c r="AR38" s="3171">
        <f>+AR26/AR19*100</f>
        <v>0.99999999999999989</v>
      </c>
      <c r="AS38" s="51">
        <f>+$D$38</f>
        <v>1.5</v>
      </c>
      <c r="AT38" s="103">
        <f>+AT26/AT19*100</f>
        <v>1.3012205739768754</v>
      </c>
      <c r="AU38" s="3171">
        <v>1.5</v>
      </c>
      <c r="AV38" s="3171">
        <f>+AV26/AV19*100</f>
        <v>1</v>
      </c>
      <c r="AW38" s="51">
        <f>+$D$38</f>
        <v>1.5</v>
      </c>
      <c r="AX38" s="103">
        <f>+AX26/AX19*100</f>
        <v>1.2761655052170455</v>
      </c>
      <c r="AY38" s="3171">
        <v>1.5</v>
      </c>
      <c r="AZ38" s="3171">
        <f>+AZ26/AZ19*100</f>
        <v>1</v>
      </c>
      <c r="BA38" s="75">
        <f>+$D$38</f>
        <v>1.5</v>
      </c>
      <c r="BB38" s="109">
        <f>+BB26/BB19*100</f>
        <v>0.99999999999999989</v>
      </c>
      <c r="BC38" s="634">
        <f>+$D$38</f>
        <v>1.5</v>
      </c>
      <c r="BD38" s="448">
        <f>+BD26/BD19*100</f>
        <v>1.0849568443539719</v>
      </c>
      <c r="BE38" s="51">
        <f>+$D$38</f>
        <v>1.5</v>
      </c>
      <c r="BF38" s="103">
        <f>+BF26/BF19*100</f>
        <v>1.2525091993010053</v>
      </c>
      <c r="BG38" s="1137"/>
      <c r="BH38" s="1137"/>
      <c r="BI38" s="1137"/>
      <c r="BJ38" s="1137"/>
      <c r="BK38" s="1137"/>
      <c r="BL38" s="25"/>
      <c r="BM38" s="25"/>
      <c r="BN38" s="25"/>
    </row>
    <row r="39" spans="1:66" x14ac:dyDescent="0.25">
      <c r="A39" s="137" t="s">
        <v>446</v>
      </c>
      <c r="B39" s="1702" t="s">
        <v>26</v>
      </c>
      <c r="C39" s="2893" t="s">
        <v>49</v>
      </c>
      <c r="D39" s="3171">
        <v>3.5</v>
      </c>
      <c r="E39" s="3171">
        <v>3.5</v>
      </c>
      <c r="F39" s="3171">
        <f>+F29/F19*100</f>
        <v>3.0000000000000004</v>
      </c>
      <c r="G39" s="3171">
        <v>3.5</v>
      </c>
      <c r="H39" s="3171">
        <f>+H29/H19*100</f>
        <v>3</v>
      </c>
      <c r="I39" s="3432">
        <f>+$D$39</f>
        <v>3.5</v>
      </c>
      <c r="J39" s="103">
        <f>+J29/J19*100</f>
        <v>3</v>
      </c>
      <c r="K39" s="3171">
        <v>3.5</v>
      </c>
      <c r="L39" s="3171">
        <f>+L29/L19*100</f>
        <v>3.0000000000000004</v>
      </c>
      <c r="M39" s="330">
        <f>+$D$39</f>
        <v>3.5</v>
      </c>
      <c r="N39" s="330">
        <f>+N29/N19*100</f>
        <v>3.0000000000000004</v>
      </c>
      <c r="O39" s="3171">
        <v>3.5</v>
      </c>
      <c r="P39" s="3171">
        <f>+P29/P19*100</f>
        <v>2.9999999999999996</v>
      </c>
      <c r="Q39" s="245">
        <f>+$D$39</f>
        <v>3.5</v>
      </c>
      <c r="R39" s="245">
        <f>+R29/R19*100</f>
        <v>2.9999999999999996</v>
      </c>
      <c r="S39" s="3171">
        <v>3.5</v>
      </c>
      <c r="T39" s="3171">
        <f>+T29/T19*100</f>
        <v>3.0000000000000004</v>
      </c>
      <c r="U39" s="245">
        <f>+$D$39</f>
        <v>3.5</v>
      </c>
      <c r="V39" s="245">
        <f>+V29/V19*100</f>
        <v>2.9999999999999996</v>
      </c>
      <c r="W39" s="3171">
        <v>3.5</v>
      </c>
      <c r="X39" s="3171">
        <f>+X29/X19*100</f>
        <v>3.3290509275730442</v>
      </c>
      <c r="Y39" s="75">
        <f>+$D$39</f>
        <v>3.5</v>
      </c>
      <c r="Z39" s="109">
        <f>+Z29/Z19*100</f>
        <v>3.1076385932044617</v>
      </c>
      <c r="AA39" s="634">
        <f>+$D$39</f>
        <v>3.5</v>
      </c>
      <c r="AB39" s="448">
        <f>+AB29/AB19*100</f>
        <v>3.0542174018300434</v>
      </c>
      <c r="AC39" s="3171">
        <v>3.5</v>
      </c>
      <c r="AD39" s="3171">
        <f>+AD29/AD19*100</f>
        <v>3.3000000000000007</v>
      </c>
      <c r="AE39" s="51">
        <f>+$D$39</f>
        <v>3.5</v>
      </c>
      <c r="AF39" s="103">
        <f>+AF29/AF19*100</f>
        <v>3.0895005112667762</v>
      </c>
      <c r="AG39" s="3171">
        <v>3.5</v>
      </c>
      <c r="AH39" s="3171">
        <f>+AH29/AH19*100</f>
        <v>2.9999999999999996</v>
      </c>
      <c r="AI39" s="51">
        <f>+$D$39</f>
        <v>3.5</v>
      </c>
      <c r="AJ39" s="103">
        <f>+AJ29/AJ19*100</f>
        <v>3.0785699377250046</v>
      </c>
      <c r="AK39" s="3171">
        <v>3.5</v>
      </c>
      <c r="AL39" s="3171">
        <f>+AL29/AL19*100</f>
        <v>2.9999999999999996</v>
      </c>
      <c r="AM39" s="75">
        <f>+$D$39</f>
        <v>3.5</v>
      </c>
      <c r="AN39" s="109">
        <f>+AN29/AN19*100</f>
        <v>3.1009924555322996</v>
      </c>
      <c r="AO39" s="51">
        <f>+$D$39</f>
        <v>3.5</v>
      </c>
      <c r="AP39" s="103">
        <f>+AP29/AP19*100</f>
        <v>3.0697655119518843</v>
      </c>
      <c r="AQ39" s="3171">
        <v>3.5</v>
      </c>
      <c r="AR39" s="3171">
        <f>+AR29/AR19*100</f>
        <v>2.9999999999999996</v>
      </c>
      <c r="AS39" s="51">
        <f>+$D$39</f>
        <v>3.5</v>
      </c>
      <c r="AT39" s="103">
        <f>+AT29/AT19*100</f>
        <v>3.0627551326878009</v>
      </c>
      <c r="AU39" s="3171">
        <v>3.5</v>
      </c>
      <c r="AV39" s="3171">
        <f>+AV29/AV19*100</f>
        <v>3.0000000000000004</v>
      </c>
      <c r="AW39" s="51">
        <f>+$D$39</f>
        <v>3.5</v>
      </c>
      <c r="AX39" s="103">
        <f>+AX29/AX19*100</f>
        <v>3.057535256290361</v>
      </c>
      <c r="AY39" s="3171">
        <v>3.5</v>
      </c>
      <c r="AZ39" s="3171">
        <f>+AZ29/AZ19*100</f>
        <v>3.0000000000000004</v>
      </c>
      <c r="BA39" s="75">
        <f>+$D$39</f>
        <v>3.5</v>
      </c>
      <c r="BB39" s="109">
        <f>+BB29/BB19*100</f>
        <v>2.9999999999999996</v>
      </c>
      <c r="BC39" s="634">
        <f>+$D$39</f>
        <v>3.5</v>
      </c>
      <c r="BD39" s="448">
        <f>+BD29/BD19*100</f>
        <v>3.0509741066123826</v>
      </c>
      <c r="BE39" s="51">
        <f>+$D$39</f>
        <v>3.5</v>
      </c>
      <c r="BF39" s="103">
        <f>+BF29/BF19*100</f>
        <v>3.0526067927492946</v>
      </c>
      <c r="BG39" s="1137"/>
      <c r="BH39" s="1137"/>
      <c r="BI39" s="1137"/>
      <c r="BJ39" s="1137"/>
      <c r="BK39" s="1137"/>
      <c r="BL39" s="25"/>
      <c r="BM39" s="25"/>
      <c r="BN39" s="25"/>
    </row>
    <row r="40" spans="1:66" ht="15.95" customHeight="1" thickBot="1" x14ac:dyDescent="0.3">
      <c r="A40" s="137" t="s">
        <v>446</v>
      </c>
      <c r="B40" s="1704" t="s">
        <v>177</v>
      </c>
      <c r="C40" s="3216" t="s">
        <v>49</v>
      </c>
      <c r="D40" s="3497">
        <v>1</v>
      </c>
      <c r="E40" s="3497">
        <v>1</v>
      </c>
      <c r="F40" s="3497">
        <f>+F32/F19*100</f>
        <v>1.0000000000000002</v>
      </c>
      <c r="G40" s="3497">
        <v>1</v>
      </c>
      <c r="H40" s="3497">
        <f>+H32/H19*100</f>
        <v>1</v>
      </c>
      <c r="I40" s="3441">
        <f>+$D$40</f>
        <v>1</v>
      </c>
      <c r="J40" s="104">
        <f>+J32/J19*100</f>
        <v>1</v>
      </c>
      <c r="K40" s="3497">
        <v>1</v>
      </c>
      <c r="L40" s="3497">
        <f>+L32/L19*100</f>
        <v>1.0000000000000002</v>
      </c>
      <c r="M40" s="930">
        <f>+$D$40</f>
        <v>1</v>
      </c>
      <c r="N40" s="930">
        <f>+N32/N19*100</f>
        <v>1</v>
      </c>
      <c r="O40" s="3497">
        <v>1</v>
      </c>
      <c r="P40" s="3497">
        <f>+P32/P19*100</f>
        <v>0.99999999999999989</v>
      </c>
      <c r="Q40" s="571">
        <f>+$D$40</f>
        <v>1</v>
      </c>
      <c r="R40" s="571">
        <f>+R32/R19*100</f>
        <v>1</v>
      </c>
      <c r="S40" s="3497">
        <v>1</v>
      </c>
      <c r="T40" s="3497">
        <f>+T32/T19*100</f>
        <v>1</v>
      </c>
      <c r="U40" s="571">
        <f>+$D$40</f>
        <v>1</v>
      </c>
      <c r="V40" s="571">
        <f>+V32/V19*100</f>
        <v>1</v>
      </c>
      <c r="W40" s="3497">
        <v>1</v>
      </c>
      <c r="X40" s="3497">
        <f>+X32/X19*100</f>
        <v>1</v>
      </c>
      <c r="Y40" s="1468">
        <f>+$D$40</f>
        <v>1</v>
      </c>
      <c r="Z40" s="110">
        <f>+Z32/Z19*100</f>
        <v>0.99999999999999989</v>
      </c>
      <c r="AA40" s="1506">
        <f>+$D$40</f>
        <v>1</v>
      </c>
      <c r="AB40" s="453">
        <f>+AB32/AB19*100</f>
        <v>1</v>
      </c>
      <c r="AC40" s="3497">
        <v>1</v>
      </c>
      <c r="AD40" s="3497">
        <f>+AD32/AD19*100</f>
        <v>1</v>
      </c>
      <c r="AE40" s="722">
        <f>+$D$40</f>
        <v>1</v>
      </c>
      <c r="AF40" s="104">
        <f>+AF32/AF19*100</f>
        <v>0.99999999999999989</v>
      </c>
      <c r="AG40" s="3497">
        <v>1</v>
      </c>
      <c r="AH40" s="3497">
        <f>+AH32/AH19*100</f>
        <v>1</v>
      </c>
      <c r="AI40" s="722">
        <f>+$D$40</f>
        <v>1</v>
      </c>
      <c r="AJ40" s="104">
        <f>+AJ32/AJ19*100</f>
        <v>1</v>
      </c>
      <c r="AK40" s="3497">
        <v>1</v>
      </c>
      <c r="AL40" s="3497">
        <f>+AL32/AL19*100</f>
        <v>1</v>
      </c>
      <c r="AM40" s="1468">
        <f>+$D$40</f>
        <v>1</v>
      </c>
      <c r="AN40" s="110">
        <f>+AN32/AN19*100</f>
        <v>1</v>
      </c>
      <c r="AO40" s="722">
        <f>+$D$40</f>
        <v>1</v>
      </c>
      <c r="AP40" s="104">
        <f>+AP32/AP19*100</f>
        <v>1.0000000000000002</v>
      </c>
      <c r="AQ40" s="3497">
        <v>1</v>
      </c>
      <c r="AR40" s="3497">
        <f>+AR32/AR19*100</f>
        <v>0.99999999999999989</v>
      </c>
      <c r="AS40" s="722">
        <f>+$D$40</f>
        <v>1</v>
      </c>
      <c r="AT40" s="104">
        <f>+AT32/AT19*100</f>
        <v>1</v>
      </c>
      <c r="AU40" s="3497">
        <v>1</v>
      </c>
      <c r="AV40" s="3497">
        <f>+AV32/AV19*100</f>
        <v>1</v>
      </c>
      <c r="AW40" s="722">
        <f>+$D$40</f>
        <v>1</v>
      </c>
      <c r="AX40" s="104">
        <f>+AX32/AX19*100</f>
        <v>1</v>
      </c>
      <c r="AY40" s="3497">
        <v>1</v>
      </c>
      <c r="AZ40" s="3497">
        <f>+AZ32/AZ19*100</f>
        <v>1</v>
      </c>
      <c r="BA40" s="1468">
        <f>+$D$40</f>
        <v>1</v>
      </c>
      <c r="BB40" s="110">
        <f>+BB32/BB19*100</f>
        <v>0.99999999999999989</v>
      </c>
      <c r="BC40" s="1506">
        <f>+$D$40</f>
        <v>1</v>
      </c>
      <c r="BD40" s="453">
        <f>+BD32/BD19*100</f>
        <v>0.99999999999999989</v>
      </c>
      <c r="BE40" s="722">
        <f>+$D$40</f>
        <v>1</v>
      </c>
      <c r="BF40" s="104">
        <f>+BF32/BF19*100</f>
        <v>1</v>
      </c>
      <c r="BG40" s="1137"/>
      <c r="BH40" s="1137"/>
      <c r="BI40" s="1137"/>
      <c r="BJ40" s="1137"/>
      <c r="BK40" s="1137"/>
      <c r="BL40" s="25"/>
      <c r="BM40" s="25"/>
      <c r="BN40" s="25"/>
    </row>
    <row r="41" spans="1:66" ht="16.5" thickBot="1" x14ac:dyDescent="0.3">
      <c r="A41" s="137" t="s">
        <v>446</v>
      </c>
      <c r="B41" s="1705" t="s">
        <v>178</v>
      </c>
      <c r="C41" s="1104" t="s">
        <v>49</v>
      </c>
      <c r="D41" s="106">
        <f t="shared" ref="D41:J41" si="149">SUM(D37:D40)</f>
        <v>75.500000000000014</v>
      </c>
      <c r="E41" s="106">
        <f t="shared" si="149"/>
        <v>75.5</v>
      </c>
      <c r="F41" s="106">
        <f t="shared" si="149"/>
        <v>74.5</v>
      </c>
      <c r="G41" s="106">
        <f t="shared" ref="G41:H41" si="150">SUM(G37:G40)</f>
        <v>76</v>
      </c>
      <c r="H41" s="106">
        <f t="shared" si="150"/>
        <v>75.5</v>
      </c>
      <c r="I41" s="1105">
        <f t="shared" si="149"/>
        <v>75.500000000000014</v>
      </c>
      <c r="J41" s="40">
        <f t="shared" si="149"/>
        <v>75.006279316084118</v>
      </c>
      <c r="K41" s="106">
        <f t="shared" ref="K41:L41" si="151">SUM(K37:K40)</f>
        <v>76</v>
      </c>
      <c r="L41" s="106">
        <f t="shared" si="151"/>
        <v>75.5</v>
      </c>
      <c r="M41" s="1460">
        <f t="shared" ref="M41:R41" si="152">SUM(M37:M40)</f>
        <v>75.500000000000014</v>
      </c>
      <c r="N41" s="1460">
        <f t="shared" si="152"/>
        <v>75.168733293070176</v>
      </c>
      <c r="O41" s="106">
        <f t="shared" si="152"/>
        <v>76</v>
      </c>
      <c r="P41" s="106">
        <f t="shared" si="152"/>
        <v>75.5</v>
      </c>
      <c r="Q41" s="1105">
        <f t="shared" si="152"/>
        <v>75.500000000000014</v>
      </c>
      <c r="R41" s="1105">
        <f t="shared" si="152"/>
        <v>75.252862576880574</v>
      </c>
      <c r="S41" s="106">
        <f t="shared" ref="S41:T41" si="153">SUM(S37:S40)</f>
        <v>76</v>
      </c>
      <c r="T41" s="106">
        <f t="shared" si="153"/>
        <v>75.5</v>
      </c>
      <c r="U41" s="1105">
        <f t="shared" ref="U41:X41" si="154">SUM(U37:U40)</f>
        <v>75.500000000000014</v>
      </c>
      <c r="V41" s="1105">
        <f t="shared" si="154"/>
        <v>75.303158458815929</v>
      </c>
      <c r="W41" s="106">
        <f t="shared" si="154"/>
        <v>76</v>
      </c>
      <c r="X41" s="106">
        <f t="shared" si="154"/>
        <v>75.5</v>
      </c>
      <c r="Y41" s="724">
        <f t="shared" ref="Y41:Z41" si="155">SUM(Y37:Y40)</f>
        <v>75.500000000000014</v>
      </c>
      <c r="Z41" s="69">
        <f t="shared" si="155"/>
        <v>75.499999999999986</v>
      </c>
      <c r="AA41" s="2337">
        <f t="shared" ref="AA41:AF41" si="156">SUM(AA37:AA40)</f>
        <v>75.500000000000014</v>
      </c>
      <c r="AB41" s="435">
        <f t="shared" si="156"/>
        <v>75.335591848425068</v>
      </c>
      <c r="AC41" s="106">
        <f t="shared" si="156"/>
        <v>76</v>
      </c>
      <c r="AD41" s="106">
        <f t="shared" si="156"/>
        <v>75.500000000000014</v>
      </c>
      <c r="AE41" s="723">
        <f t="shared" si="156"/>
        <v>75.500000000000014</v>
      </c>
      <c r="AF41" s="40">
        <f t="shared" si="156"/>
        <v>75.359193319186232</v>
      </c>
      <c r="AG41" s="106">
        <f t="shared" ref="AG41:AH41" si="157">SUM(AG37:AG40)</f>
        <v>76</v>
      </c>
      <c r="AH41" s="106">
        <f t="shared" si="157"/>
        <v>74.5</v>
      </c>
      <c r="AI41" s="723">
        <f t="shared" ref="AI41:AN41" si="158">SUM(AI37:AI40)</f>
        <v>75.500000000000014</v>
      </c>
      <c r="AJ41" s="40">
        <f t="shared" si="158"/>
        <v>75.25426122853068</v>
      </c>
      <c r="AK41" s="106">
        <f t="shared" si="158"/>
        <v>76</v>
      </c>
      <c r="AL41" s="106">
        <f t="shared" si="158"/>
        <v>74.5</v>
      </c>
      <c r="AM41" s="724">
        <f t="shared" si="158"/>
        <v>75.500000000000014</v>
      </c>
      <c r="AN41" s="69">
        <f t="shared" si="158"/>
        <v>74.836641518441013</v>
      </c>
      <c r="AO41" s="723">
        <f t="shared" ref="AO41:AT41" si="159">SUM(AO37:AO40)</f>
        <v>75.500000000000014</v>
      </c>
      <c r="AP41" s="40">
        <f t="shared" si="159"/>
        <v>75.169739881149894</v>
      </c>
      <c r="AQ41" s="106">
        <f t="shared" si="159"/>
        <v>76</v>
      </c>
      <c r="AR41" s="106">
        <f t="shared" si="159"/>
        <v>74.499999999999986</v>
      </c>
      <c r="AS41" s="723">
        <f t="shared" si="159"/>
        <v>75.500000000000014</v>
      </c>
      <c r="AT41" s="40">
        <f t="shared" si="159"/>
        <v>75.102441147953741</v>
      </c>
      <c r="AU41" s="106">
        <f t="shared" ref="AU41:AV41" si="160">SUM(AU37:AU40)</f>
        <v>76</v>
      </c>
      <c r="AV41" s="106">
        <f t="shared" si="160"/>
        <v>74.5</v>
      </c>
      <c r="AW41" s="723">
        <f t="shared" ref="AW41:AZ41" si="161">SUM(AW37:AW40)</f>
        <v>75.500000000000014</v>
      </c>
      <c r="AX41" s="40">
        <f t="shared" si="161"/>
        <v>75.052331010434088</v>
      </c>
      <c r="AY41" s="106">
        <f t="shared" si="161"/>
        <v>76</v>
      </c>
      <c r="AZ41" s="106">
        <f t="shared" si="161"/>
        <v>74.5</v>
      </c>
      <c r="BA41" s="724">
        <f t="shared" ref="BA41:BF41" si="162">SUM(BA37:BA40)</f>
        <v>75.500000000000014</v>
      </c>
      <c r="BB41" s="69">
        <f t="shared" si="162"/>
        <v>74.499999999999986</v>
      </c>
      <c r="BC41" s="2337">
        <f t="shared" si="162"/>
        <v>75.500000000000014</v>
      </c>
      <c r="BD41" s="435">
        <f t="shared" si="162"/>
        <v>74.669913688707922</v>
      </c>
      <c r="BE41" s="723">
        <f t="shared" si="162"/>
        <v>75.500000000000014</v>
      </c>
      <c r="BF41" s="40">
        <f t="shared" si="162"/>
        <v>75.005018398602004</v>
      </c>
      <c r="BG41" s="1137"/>
      <c r="BH41" s="1137"/>
      <c r="BI41" s="1137"/>
      <c r="BJ41" s="1137"/>
      <c r="BK41" s="1137"/>
      <c r="BL41" s="25"/>
      <c r="BM41" s="25"/>
      <c r="BN41" s="25"/>
    </row>
    <row r="42" spans="1:66" ht="16.5" customHeight="1" thickBot="1" x14ac:dyDescent="0.3">
      <c r="B42" s="1738" t="s">
        <v>1461</v>
      </c>
      <c r="C42" s="502"/>
      <c r="D42" s="502"/>
      <c r="E42" s="502"/>
      <c r="F42" s="502"/>
      <c r="G42" s="502"/>
      <c r="H42" s="502"/>
      <c r="I42" s="502"/>
      <c r="J42" s="502"/>
      <c r="K42" s="502"/>
      <c r="L42" s="502"/>
      <c r="M42" s="502"/>
      <c r="N42" s="502"/>
      <c r="O42" s="502"/>
      <c r="P42" s="502"/>
      <c r="Q42" s="502"/>
      <c r="R42" s="502"/>
      <c r="S42" s="502"/>
      <c r="T42" s="502"/>
      <c r="U42" s="502"/>
      <c r="V42" s="502"/>
      <c r="W42" s="502"/>
      <c r="X42" s="502"/>
      <c r="Y42" s="502"/>
      <c r="Z42" s="502"/>
      <c r="AA42" s="2338"/>
      <c r="AB42" s="502"/>
      <c r="AC42" s="502"/>
      <c r="AD42" s="502"/>
      <c r="AE42" s="502"/>
      <c r="AF42" s="502"/>
      <c r="AG42" s="502"/>
      <c r="AH42" s="502"/>
      <c r="AI42" s="502"/>
      <c r="AJ42" s="502"/>
      <c r="AK42" s="502"/>
      <c r="AL42" s="502"/>
      <c r="AM42" s="502"/>
      <c r="AN42" s="502"/>
      <c r="AO42" s="502"/>
      <c r="AP42" s="502"/>
      <c r="AQ42" s="502"/>
      <c r="AR42" s="502"/>
      <c r="AS42" s="502"/>
      <c r="AT42" s="502"/>
      <c r="AU42" s="502"/>
      <c r="AV42" s="502"/>
      <c r="AW42" s="502"/>
      <c r="AX42" s="502"/>
      <c r="AY42" s="502"/>
      <c r="AZ42" s="502"/>
      <c r="BA42" s="502"/>
      <c r="BB42" s="502"/>
      <c r="BC42" s="2338"/>
      <c r="BD42" s="502"/>
      <c r="BE42" s="502"/>
      <c r="BF42" s="502"/>
      <c r="BG42" s="1137">
        <f t="shared" si="11"/>
        <v>0</v>
      </c>
      <c r="BH42" s="1137">
        <f t="shared" si="12"/>
        <v>0</v>
      </c>
      <c r="BI42" s="1137"/>
      <c r="BJ42" s="1137">
        <f t="shared" si="13"/>
        <v>0</v>
      </c>
      <c r="BK42" s="1137">
        <f t="shared" si="14"/>
        <v>0</v>
      </c>
      <c r="BL42" s="25"/>
      <c r="BM42" s="25"/>
      <c r="BN42" s="25"/>
    </row>
    <row r="43" spans="1:66" ht="15.75" customHeight="1" x14ac:dyDescent="0.25">
      <c r="B43" s="1736" t="s">
        <v>149</v>
      </c>
      <c r="C43" s="767" t="s">
        <v>50</v>
      </c>
      <c r="D43" s="7560">
        <v>421091.60400000005</v>
      </c>
      <c r="E43" s="7560">
        <v>35144.76</v>
      </c>
      <c r="F43" s="147">
        <v>36172.046109510084</v>
      </c>
      <c r="G43" s="1699"/>
      <c r="H43" s="147">
        <v>37813.222625843278</v>
      </c>
      <c r="I43" s="1700"/>
      <c r="J43" s="3602">
        <f>F43+H43</f>
        <v>73985.268735353369</v>
      </c>
      <c r="K43" s="1699"/>
      <c r="L43" s="147">
        <v>35835.257668078077</v>
      </c>
      <c r="M43" s="1701"/>
      <c r="N43" s="586">
        <f>SUM(F43,H43,L43)</f>
        <v>109820.52640343145</v>
      </c>
      <c r="O43" s="1699"/>
      <c r="P43" s="147">
        <v>36734.729241877256</v>
      </c>
      <c r="Q43" s="1700"/>
      <c r="R43" s="349">
        <f>+N43+P43</f>
        <v>146555.2556453087</v>
      </c>
      <c r="S43" s="1699"/>
      <c r="T43" s="147">
        <v>37732.122962657311</v>
      </c>
      <c r="U43" s="1700"/>
      <c r="V43" s="349">
        <f>+R43+T43</f>
        <v>184287.37860796601</v>
      </c>
      <c r="W43" s="1699"/>
      <c r="X43" s="147">
        <v>36769.086942972885</v>
      </c>
      <c r="Y43" s="1701"/>
      <c r="Z43" s="586">
        <f>SUM(P43,T43,X43)</f>
        <v>111235.93914750745</v>
      </c>
      <c r="AA43" s="2339"/>
      <c r="AB43" s="2034">
        <f>SUM(N43,Z43)</f>
        <v>221056.46555093891</v>
      </c>
      <c r="AC43" s="1699"/>
      <c r="AD43" s="147">
        <v>37345.21357202332</v>
      </c>
      <c r="AE43" s="1700"/>
      <c r="AF43" s="349">
        <f>+AB43+AD43</f>
        <v>258401.67912296223</v>
      </c>
      <c r="AG43" s="1699"/>
      <c r="AH43" s="147">
        <v>34853.504537953799</v>
      </c>
      <c r="AI43" s="1700"/>
      <c r="AJ43" s="349">
        <f>+AF43+AH43</f>
        <v>293255.18366091605</v>
      </c>
      <c r="AK43" s="1699"/>
      <c r="AL43" s="147">
        <v>35966.805569881377</v>
      </c>
      <c r="AM43" s="1701"/>
      <c r="AN43" s="586">
        <f>SUM(AD43,AH43,AL43)</f>
        <v>108165.52367985848</v>
      </c>
      <c r="AO43" s="1700"/>
      <c r="AP43" s="712">
        <f>AJ43+AL43</f>
        <v>329221.98923079745</v>
      </c>
      <c r="AQ43" s="1699"/>
      <c r="AR43" s="147">
        <v>36272.845494891109</v>
      </c>
      <c r="AS43" s="1700"/>
      <c r="AT43" s="349">
        <f>+AP43+AR43</f>
        <v>365494.83472568856</v>
      </c>
      <c r="AU43" s="1699"/>
      <c r="AV43" s="147">
        <v>32607.42391416485</v>
      </c>
      <c r="AW43" s="1700"/>
      <c r="AX43" s="349">
        <f>+AT43+AV43</f>
        <v>398102.25863985339</v>
      </c>
      <c r="AY43" s="1699"/>
      <c r="AZ43" s="147">
        <v>37408.582612278529</v>
      </c>
      <c r="BA43" s="1701"/>
      <c r="BB43" s="586">
        <f>SUM(AR43,AV43,AZ43)</f>
        <v>106288.85202133449</v>
      </c>
      <c r="BC43" s="2339"/>
      <c r="BD43" s="2034">
        <f>SUM(AN43,BB43)</f>
        <v>214454.37570119297</v>
      </c>
      <c r="BE43" s="1700"/>
      <c r="BF43" s="349">
        <f>+AX43+AZ43</f>
        <v>435510.84125213191</v>
      </c>
      <c r="BG43" s="1137">
        <f t="shared" si="11"/>
        <v>35144.76</v>
      </c>
      <c r="BH43" s="1137">
        <f t="shared" si="12"/>
        <v>0</v>
      </c>
      <c r="BI43" s="1137"/>
      <c r="BJ43" s="1137">
        <f t="shared" si="13"/>
        <v>0</v>
      </c>
      <c r="BK43" s="1137">
        <f t="shared" si="14"/>
        <v>0</v>
      </c>
      <c r="BL43" s="25"/>
      <c r="BM43" s="25"/>
      <c r="BN43" s="25"/>
    </row>
    <row r="44" spans="1:66" ht="16.5" customHeight="1" thickBot="1" x14ac:dyDescent="0.3">
      <c r="B44" s="2319" t="s">
        <v>150</v>
      </c>
      <c r="C44" s="149" t="s">
        <v>50</v>
      </c>
      <c r="D44" s="190">
        <v>782077.69084249996</v>
      </c>
      <c r="E44" s="190">
        <v>63545.170500000007</v>
      </c>
      <c r="F44" s="1134">
        <v>65135.46851423398</v>
      </c>
      <c r="G44" s="2320"/>
      <c r="H44" s="1134">
        <v>66961.84408548208</v>
      </c>
      <c r="I44" s="2321"/>
      <c r="J44" s="835">
        <f t="shared" ref="J44:J57" si="163">F44+H44</f>
        <v>132097.31259971607</v>
      </c>
      <c r="K44" s="2320"/>
      <c r="L44" s="1134">
        <v>65487.944187914065</v>
      </c>
      <c r="M44" s="2322"/>
      <c r="N44" s="2243">
        <f t="shared" ref="N44:N57" si="164">SUM(F44,H44,L44)</f>
        <v>197585.25678763015</v>
      </c>
      <c r="O44" s="2320"/>
      <c r="P44" s="1134">
        <v>68140.007037297662</v>
      </c>
      <c r="Q44" s="2321"/>
      <c r="R44" s="2238">
        <f>+N44+P44</f>
        <v>265725.2638249278</v>
      </c>
      <c r="S44" s="2320"/>
      <c r="T44" s="1134">
        <v>67861.545427105346</v>
      </c>
      <c r="U44" s="2321"/>
      <c r="V44" s="4324">
        <f>+R44+T44</f>
        <v>333586.80925203313</v>
      </c>
      <c r="W44" s="2320"/>
      <c r="X44" s="1134">
        <v>65325.023230020102</v>
      </c>
      <c r="Y44" s="2322"/>
      <c r="Z44" s="2243">
        <f>SUM(P44,T44,X44)</f>
        <v>201326.57569442311</v>
      </c>
      <c r="AA44" s="2340"/>
      <c r="AB44" s="2323">
        <f>SUM(N44,Z44)</f>
        <v>398911.83248205326</v>
      </c>
      <c r="AC44" s="2320"/>
      <c r="AD44" s="1134">
        <v>66682.357994001752</v>
      </c>
      <c r="AE44" s="2321"/>
      <c r="AF44" s="2238">
        <f>+AB44+AD44</f>
        <v>465594.19047605502</v>
      </c>
      <c r="AG44" s="2320"/>
      <c r="AH44" s="1134">
        <v>65282.917161849997</v>
      </c>
      <c r="AI44" s="2321"/>
      <c r="AJ44" s="2238">
        <f>+AF44+AH44</f>
        <v>530877.10763790505</v>
      </c>
      <c r="AK44" s="2320"/>
      <c r="AL44" s="1134">
        <v>67503.832693644625</v>
      </c>
      <c r="AM44" s="2322"/>
      <c r="AN44" s="2243">
        <f>SUM(AD44,AH44,AL44)</f>
        <v>199469.10784949636</v>
      </c>
      <c r="AO44" s="2321"/>
      <c r="AP44" s="712">
        <f>AJ44+AL44</f>
        <v>598380.94033154962</v>
      </c>
      <c r="AQ44" s="2320"/>
      <c r="AR44" s="1134">
        <v>66935.583559714243</v>
      </c>
      <c r="AS44" s="2321"/>
      <c r="AT44" s="2238">
        <f>+AP44+AR44</f>
        <v>665316.52389126387</v>
      </c>
      <c r="AU44" s="2320"/>
      <c r="AV44" s="1134">
        <v>60559.715514639298</v>
      </c>
      <c r="AW44" s="2321"/>
      <c r="AX44" s="5016">
        <f>+AT44+AV44</f>
        <v>725876.23940590315</v>
      </c>
      <c r="AY44" s="2320"/>
      <c r="AZ44" s="1134">
        <v>67453.195645615429</v>
      </c>
      <c r="BA44" s="2322"/>
      <c r="BB44" s="2243">
        <f>SUM(AR44,AV44,AZ44)</f>
        <v>194948.49471996896</v>
      </c>
      <c r="BC44" s="2340"/>
      <c r="BD44" s="2323">
        <f>SUM(AN44,BB44)</f>
        <v>394417.60256946529</v>
      </c>
      <c r="BE44" s="2321"/>
      <c r="BF44" s="2238">
        <f>+AX44+AZ44</f>
        <v>793329.43505151861</v>
      </c>
      <c r="BG44" s="1137">
        <f t="shared" si="11"/>
        <v>63545.170500000007</v>
      </c>
      <c r="BH44" s="1137">
        <f t="shared" si="12"/>
        <v>0</v>
      </c>
      <c r="BI44" s="1137"/>
      <c r="BJ44" s="1137">
        <f t="shared" si="13"/>
        <v>0</v>
      </c>
      <c r="BK44" s="1137">
        <f t="shared" si="14"/>
        <v>0</v>
      </c>
      <c r="BL44" s="25"/>
      <c r="BM44" s="25"/>
      <c r="BN44" s="25"/>
    </row>
    <row r="45" spans="1:66" ht="16.5" customHeight="1" thickBot="1" x14ac:dyDescent="0.3">
      <c r="B45" s="2328" t="s">
        <v>78</v>
      </c>
      <c r="C45" s="2329" t="s">
        <v>50</v>
      </c>
      <c r="D45" s="2269">
        <f>SUM(D43:D44)</f>
        <v>1203169.2948425</v>
      </c>
      <c r="E45" s="2330">
        <f>SUM(E43:E44)</f>
        <v>98689.930500000017</v>
      </c>
      <c r="F45" s="2330">
        <f>SUM(F43:F44)</f>
        <v>101307.51462374406</v>
      </c>
      <c r="G45" s="106"/>
      <c r="H45" s="2330">
        <f>SUM(H43:H44)</f>
        <v>104775.06671132536</v>
      </c>
      <c r="I45" s="1105"/>
      <c r="J45" s="1106">
        <f t="shared" si="163"/>
        <v>206082.58133506944</v>
      </c>
      <c r="K45" s="106"/>
      <c r="L45" s="2330">
        <f>SUM(L43:L44)</f>
        <v>101323.20185599214</v>
      </c>
      <c r="M45" s="1460"/>
      <c r="N45" s="2331">
        <f t="shared" si="164"/>
        <v>307405.78319106158</v>
      </c>
      <c r="O45" s="106"/>
      <c r="P45" s="2330">
        <f>SUM(P43:P44)</f>
        <v>104874.73627917492</v>
      </c>
      <c r="Q45" s="1105"/>
      <c r="R45" s="2332">
        <f t="shared" ref="R45" si="165">SUM(R43:R44)</f>
        <v>412280.5194702365</v>
      </c>
      <c r="S45" s="106"/>
      <c r="T45" s="2330">
        <f>SUM(T43:T44)</f>
        <v>105593.66838976266</v>
      </c>
      <c r="U45" s="1105"/>
      <c r="V45" s="2332">
        <f t="shared" ref="V45" si="166">SUM(V43:V44)</f>
        <v>517874.18785999913</v>
      </c>
      <c r="W45" s="106"/>
      <c r="X45" s="2330">
        <f>SUM(X43:X44)</f>
        <v>102094.11017299298</v>
      </c>
      <c r="Y45" s="1460"/>
      <c r="Z45" s="2331">
        <f>SUM(Z43:Z44)</f>
        <v>312562.51484193059</v>
      </c>
      <c r="AA45" s="2341"/>
      <c r="AB45" s="2035">
        <f>SUM(AB43:AB44)</f>
        <v>619968.29803299217</v>
      </c>
      <c r="AC45" s="106"/>
      <c r="AD45" s="2330">
        <f>SUM(AD43:AD44)</f>
        <v>104027.57156602507</v>
      </c>
      <c r="AE45" s="1105"/>
      <c r="AF45" s="2332">
        <f t="shared" ref="AF45" si="167">SUM(AF43:AF44)</f>
        <v>723995.86959901731</v>
      </c>
      <c r="AG45" s="106"/>
      <c r="AH45" s="2330">
        <f>SUM(AH43:AH44)</f>
        <v>100136.42169980379</v>
      </c>
      <c r="AI45" s="1105"/>
      <c r="AJ45" s="2332">
        <f t="shared" ref="AJ45" si="168">SUM(AJ43:AJ44)</f>
        <v>824132.2912988211</v>
      </c>
      <c r="AK45" s="106"/>
      <c r="AL45" s="2330">
        <f>SUM(AL43:AL44)</f>
        <v>103470.63826352599</v>
      </c>
      <c r="AM45" s="1460"/>
      <c r="AN45" s="2331">
        <f>SUM(AN43:AN44)</f>
        <v>307634.63152935484</v>
      </c>
      <c r="AO45" s="1105"/>
      <c r="AP45" s="2332">
        <f t="shared" ref="AP45" si="169">SUM(AP43:AP44)</f>
        <v>927602.92956234701</v>
      </c>
      <c r="AQ45" s="106"/>
      <c r="AR45" s="2330">
        <f>SUM(AR43:AR44)</f>
        <v>103208.42905460535</v>
      </c>
      <c r="AS45" s="1105"/>
      <c r="AT45" s="2332">
        <f t="shared" ref="AT45" si="170">SUM(AT43:AT44)</f>
        <v>1030811.3586169524</v>
      </c>
      <c r="AU45" s="106"/>
      <c r="AV45" s="2330">
        <f>SUM(AV43:AV44)</f>
        <v>93167.139428804148</v>
      </c>
      <c r="AW45" s="1105"/>
      <c r="AX45" s="2332">
        <f t="shared" ref="AX45" si="171">SUM(AX43:AX44)</f>
        <v>1123978.4980457565</v>
      </c>
      <c r="AY45" s="106"/>
      <c r="AZ45" s="2330">
        <f>SUM(AZ43:AZ44)</f>
        <v>104861.77825789395</v>
      </c>
      <c r="BA45" s="1460"/>
      <c r="BB45" s="2331">
        <f>SUM(BB43:BB44)</f>
        <v>301237.34674130345</v>
      </c>
      <c r="BC45" s="2341"/>
      <c r="BD45" s="2035">
        <f>SUM(BD43:BD44)</f>
        <v>608871.97827065829</v>
      </c>
      <c r="BE45" s="1105"/>
      <c r="BF45" s="2332">
        <f t="shared" ref="BF45" si="172">SUM(BF43:BF44)</f>
        <v>1228840.2763036506</v>
      </c>
      <c r="BG45" s="1137">
        <f t="shared" si="11"/>
        <v>98689.930500000017</v>
      </c>
      <c r="BH45" s="1137">
        <f t="shared" si="12"/>
        <v>0</v>
      </c>
      <c r="BI45" s="1137"/>
      <c r="BJ45" s="1137">
        <f t="shared" si="13"/>
        <v>0</v>
      </c>
      <c r="BK45" s="1137">
        <f t="shared" si="14"/>
        <v>0</v>
      </c>
      <c r="BL45" s="25"/>
      <c r="BM45" s="25"/>
      <c r="BN45" s="25"/>
    </row>
    <row r="46" spans="1:66" ht="15.75" customHeight="1" x14ac:dyDescent="0.25">
      <c r="B46" s="2324" t="s">
        <v>152</v>
      </c>
      <c r="C46" s="742" t="s">
        <v>50</v>
      </c>
      <c r="D46" s="7561">
        <v>9088.3079999999991</v>
      </c>
      <c r="E46" s="7561">
        <v>758.52</v>
      </c>
      <c r="F46" s="1223">
        <v>520.46109510086455</v>
      </c>
      <c r="G46" s="2325"/>
      <c r="H46" s="5103">
        <v>810.28334198235609</v>
      </c>
      <c r="I46" s="2326"/>
      <c r="J46" s="3603">
        <f t="shared" si="163"/>
        <v>1330.7444370832206</v>
      </c>
      <c r="K46" s="2325"/>
      <c r="L46" s="5103">
        <v>767.89837860167313</v>
      </c>
      <c r="M46" s="2327"/>
      <c r="N46" s="2244">
        <f t="shared" si="164"/>
        <v>2098.6428156848938</v>
      </c>
      <c r="O46" s="2325"/>
      <c r="P46" s="5103">
        <v>787.17276946879826</v>
      </c>
      <c r="Q46" s="2326"/>
      <c r="R46" s="2239">
        <f>+N46+P46</f>
        <v>2885.8155851536922</v>
      </c>
      <c r="S46" s="2325"/>
      <c r="T46" s="5103">
        <v>808.54549205694252</v>
      </c>
      <c r="U46" s="2326"/>
      <c r="V46" s="4325">
        <f>+R46+T46</f>
        <v>3694.3610772106349</v>
      </c>
      <c r="W46" s="2325"/>
      <c r="X46" s="5103">
        <v>787.90900592084756</v>
      </c>
      <c r="Y46" s="2327"/>
      <c r="Z46" s="2244">
        <f>SUM(P46,T46,X46)</f>
        <v>2383.6272674465881</v>
      </c>
      <c r="AA46" s="2342"/>
      <c r="AB46" s="2036">
        <f>SUM(N46,Z46)</f>
        <v>4482.2700831314814</v>
      </c>
      <c r="AC46" s="2325"/>
      <c r="AD46" s="5103">
        <v>803.6990008326394</v>
      </c>
      <c r="AE46" s="2326"/>
      <c r="AF46" s="2239">
        <f>+AB46+AD46</f>
        <v>5285.9690839641207</v>
      </c>
      <c r="AG46" s="2325"/>
      <c r="AH46" s="5103">
        <v>501.48927392739284</v>
      </c>
      <c r="AI46" s="2326"/>
      <c r="AJ46" s="2239">
        <f>+AF46+AH46</f>
        <v>5787.4583578915135</v>
      </c>
      <c r="AK46" s="2325"/>
      <c r="AL46" s="5103">
        <v>517.50799381124295</v>
      </c>
      <c r="AM46" s="2327"/>
      <c r="AN46" s="2244">
        <f>SUM(AD46,AH46,AL46)</f>
        <v>1822.6962685712751</v>
      </c>
      <c r="AO46" s="2326"/>
      <c r="AP46" s="712">
        <f>AJ46+AL46</f>
        <v>6304.9663517027566</v>
      </c>
      <c r="AQ46" s="2325"/>
      <c r="AR46" s="5103">
        <v>521.91144596965637</v>
      </c>
      <c r="AS46" s="2326"/>
      <c r="AT46" s="2239">
        <f>+AP46+AR46</f>
        <v>6826.8777976724132</v>
      </c>
      <c r="AU46" s="2325"/>
      <c r="AV46" s="5103">
        <v>469.17156711028571</v>
      </c>
      <c r="AW46" s="2326"/>
      <c r="AX46" s="5017">
        <f>+AT46+AV46</f>
        <v>7296.0493647826988</v>
      </c>
      <c r="AY46" s="2325"/>
      <c r="AZ46" s="5103">
        <v>538.25298722702917</v>
      </c>
      <c r="BA46" s="2327"/>
      <c r="BB46" s="2244">
        <f>SUM(AR46,AV46,AZ46)</f>
        <v>1529.3360003069711</v>
      </c>
      <c r="BC46" s="2342"/>
      <c r="BD46" s="2036">
        <f>SUM(AN46,BB46)</f>
        <v>3352.0322688782462</v>
      </c>
      <c r="BE46" s="2326"/>
      <c r="BF46" s="2239">
        <f>+AX46+AZ46</f>
        <v>7834.3023520097277</v>
      </c>
      <c r="BG46" s="1137">
        <f t="shared" si="11"/>
        <v>758.52</v>
      </c>
      <c r="BH46" s="1137">
        <f t="shared" si="12"/>
        <v>0</v>
      </c>
      <c r="BI46" s="1137"/>
      <c r="BJ46" s="1137">
        <f t="shared" si="13"/>
        <v>0</v>
      </c>
      <c r="BK46" s="1137">
        <f t="shared" si="14"/>
        <v>0</v>
      </c>
      <c r="BL46" s="25"/>
      <c r="BM46" s="25"/>
      <c r="BN46" s="25"/>
    </row>
    <row r="47" spans="1:66" ht="16.5" customHeight="1" thickBot="1" x14ac:dyDescent="0.3">
      <c r="B47" s="1737" t="s">
        <v>153</v>
      </c>
      <c r="C47" s="148" t="s">
        <v>50</v>
      </c>
      <c r="D47" s="189">
        <v>16879.3746225</v>
      </c>
      <c r="E47" s="189">
        <v>1371.4785000000002</v>
      </c>
      <c r="F47" s="2237">
        <v>937.20098581631646</v>
      </c>
      <c r="G47" s="766"/>
      <c r="H47" s="5578">
        <v>1434.8966589746162</v>
      </c>
      <c r="I47" s="763"/>
      <c r="J47" s="235">
        <f t="shared" si="163"/>
        <v>2372.0976447909325</v>
      </c>
      <c r="K47" s="766"/>
      <c r="L47" s="5680">
        <v>1403.3130897410156</v>
      </c>
      <c r="M47" s="764"/>
      <c r="N47" s="2235">
        <f t="shared" si="164"/>
        <v>3775.410734531948</v>
      </c>
      <c r="O47" s="766"/>
      <c r="P47" s="5837">
        <v>1460.1430079420929</v>
      </c>
      <c r="Q47" s="763"/>
      <c r="R47" s="2236">
        <f>+N47+P47</f>
        <v>5235.5537424740414</v>
      </c>
      <c r="S47" s="766"/>
      <c r="T47" s="5909">
        <v>1454.1759734379716</v>
      </c>
      <c r="U47" s="763"/>
      <c r="V47" s="4326">
        <f>+R47+T47</f>
        <v>6689.7297159120135</v>
      </c>
      <c r="W47" s="766"/>
      <c r="X47" s="6007">
        <v>1410.0355381128104</v>
      </c>
      <c r="Y47" s="764"/>
      <c r="Z47" s="2235">
        <f>SUM(P47,T47,X47)</f>
        <v>4324.3545194928747</v>
      </c>
      <c r="AA47" s="756"/>
      <c r="AB47" s="2318">
        <f>SUM(N47,Z47)</f>
        <v>8099.7652540248228</v>
      </c>
      <c r="AC47" s="766"/>
      <c r="AD47" s="6138">
        <v>1435.0579195265798</v>
      </c>
      <c r="AE47" s="763"/>
      <c r="AF47" s="2236">
        <f>+AB47+AD47</f>
        <v>9534.8231735514019</v>
      </c>
      <c r="AG47" s="766"/>
      <c r="AH47" s="6300">
        <v>939.32254909136691</v>
      </c>
      <c r="AI47" s="763"/>
      <c r="AJ47" s="2236">
        <f>+AF47+AH47</f>
        <v>10474.145722642768</v>
      </c>
      <c r="AK47" s="766"/>
      <c r="AL47" s="6564">
        <v>971.27816825387947</v>
      </c>
      <c r="AM47" s="764"/>
      <c r="AN47" s="2531">
        <f>SUM(AD47,AH47,AL47)</f>
        <v>3345.6586368718258</v>
      </c>
      <c r="AO47" s="763"/>
      <c r="AP47" s="712">
        <f>AJ47+AL47</f>
        <v>11445.423890896647</v>
      </c>
      <c r="AQ47" s="766"/>
      <c r="AR47" s="6643">
        <v>963.10192172250731</v>
      </c>
      <c r="AS47" s="763"/>
      <c r="AT47" s="2236">
        <f>+AP47+AR47</f>
        <v>12408.525812619155</v>
      </c>
      <c r="AU47" s="766"/>
      <c r="AV47" s="6825">
        <v>871.36281316027771</v>
      </c>
      <c r="AW47" s="763"/>
      <c r="AX47" s="5015">
        <f>+AT47+AV47</f>
        <v>13279.888625779433</v>
      </c>
      <c r="AY47" s="766"/>
      <c r="AZ47" s="6971">
        <v>970.54957763475466</v>
      </c>
      <c r="BA47" s="764"/>
      <c r="BB47" s="2795">
        <f>SUM(AR47,AV47,AZ47)</f>
        <v>2805.0143125175396</v>
      </c>
      <c r="BC47" s="756"/>
      <c r="BD47" s="2318">
        <f>SUM(AN47,BB47)</f>
        <v>6150.6729493893654</v>
      </c>
      <c r="BE47" s="763"/>
      <c r="BF47" s="2236">
        <f>+AX47+AZ47</f>
        <v>14250.438203414187</v>
      </c>
      <c r="BG47" s="1137">
        <f t="shared" si="11"/>
        <v>1371.4785000000002</v>
      </c>
      <c r="BH47" s="1137">
        <f t="shared" si="12"/>
        <v>0</v>
      </c>
      <c r="BI47" s="1137"/>
      <c r="BJ47" s="1137">
        <f t="shared" si="13"/>
        <v>0</v>
      </c>
      <c r="BK47" s="1137">
        <f t="shared" si="14"/>
        <v>0</v>
      </c>
      <c r="BL47" s="25"/>
      <c r="BM47" s="25"/>
      <c r="BN47" s="25"/>
    </row>
    <row r="48" spans="1:66" ht="16.5" customHeight="1" thickBot="1" x14ac:dyDescent="0.3">
      <c r="B48" s="2328" t="s">
        <v>142</v>
      </c>
      <c r="C48" s="2329" t="s">
        <v>50</v>
      </c>
      <c r="D48" s="2269">
        <f>SUM(D46:D47)</f>
        <v>25967.682622499997</v>
      </c>
      <c r="E48" s="2330">
        <f>SUM(E46:E47)</f>
        <v>2129.9985000000001</v>
      </c>
      <c r="F48" s="2330">
        <f>SUM(F46:F47)</f>
        <v>1457.6620809171809</v>
      </c>
      <c r="G48" s="106"/>
      <c r="H48" s="2330">
        <f>SUM(H46:H47)</f>
        <v>2245.1800009569724</v>
      </c>
      <c r="I48" s="1105"/>
      <c r="J48" s="1106">
        <f t="shared" si="163"/>
        <v>3702.8420818741533</v>
      </c>
      <c r="K48" s="106"/>
      <c r="L48" s="2330">
        <f>SUM(L46:L47)</f>
        <v>2171.2114683426889</v>
      </c>
      <c r="M48" s="1460"/>
      <c r="N48" s="2331">
        <f t="shared" si="164"/>
        <v>5874.0535502168423</v>
      </c>
      <c r="O48" s="106"/>
      <c r="P48" s="2330">
        <f>SUM(P46:P47)</f>
        <v>2247.3157774108913</v>
      </c>
      <c r="Q48" s="1105"/>
      <c r="R48" s="2332">
        <f t="shared" ref="R48" si="173">SUM(R46:R47)</f>
        <v>8121.3693276277336</v>
      </c>
      <c r="S48" s="106"/>
      <c r="T48" s="2330">
        <f>SUM(T46:T47)</f>
        <v>2262.7214654949139</v>
      </c>
      <c r="U48" s="1105"/>
      <c r="V48" s="2332">
        <f t="shared" ref="V48" si="174">SUM(V46:V47)</f>
        <v>10384.090793122648</v>
      </c>
      <c r="W48" s="106"/>
      <c r="X48" s="2330">
        <f>SUM(X46:X47)</f>
        <v>2197.9445440336581</v>
      </c>
      <c r="Y48" s="1460"/>
      <c r="Z48" s="2331">
        <f>SUM(Z46:Z47)</f>
        <v>6707.9817869394628</v>
      </c>
      <c r="AA48" s="2341"/>
      <c r="AB48" s="2035">
        <f>SUM(AB46:AB47)</f>
        <v>12582.035337156303</v>
      </c>
      <c r="AC48" s="106"/>
      <c r="AD48" s="2330">
        <f>SUM(AD46:AD47)</f>
        <v>2238.7569203592193</v>
      </c>
      <c r="AE48" s="1105"/>
      <c r="AF48" s="2332">
        <f t="shared" ref="AF48" si="175">SUM(AF46:AF47)</f>
        <v>14820.792257515523</v>
      </c>
      <c r="AG48" s="106"/>
      <c r="AH48" s="2330">
        <f>SUM(AH46:AH47)</f>
        <v>1440.8118230187597</v>
      </c>
      <c r="AI48" s="1105"/>
      <c r="AJ48" s="2332">
        <f t="shared" ref="AJ48" si="176">SUM(AJ46:AJ47)</f>
        <v>16261.604080534282</v>
      </c>
      <c r="AK48" s="106"/>
      <c r="AL48" s="2330">
        <f>SUM(AL46:AL47)</f>
        <v>1488.7861620651224</v>
      </c>
      <c r="AM48" s="1460"/>
      <c r="AN48" s="2331">
        <f>SUM(AN46:AN47)</f>
        <v>5168.3549054431005</v>
      </c>
      <c r="AO48" s="1105"/>
      <c r="AP48" s="2332">
        <f t="shared" ref="AP48" si="177">SUM(AP46:AP47)</f>
        <v>17750.390242599402</v>
      </c>
      <c r="AQ48" s="106"/>
      <c r="AR48" s="2330">
        <f>SUM(AR46:AR47)</f>
        <v>1485.0133676921637</v>
      </c>
      <c r="AS48" s="1105"/>
      <c r="AT48" s="2332">
        <f t="shared" ref="AT48" si="178">SUM(AT46:AT47)</f>
        <v>19235.403610291567</v>
      </c>
      <c r="AU48" s="106"/>
      <c r="AV48" s="2330">
        <f>SUM(AV46:AV47)</f>
        <v>1340.5343802705634</v>
      </c>
      <c r="AW48" s="1105"/>
      <c r="AX48" s="2332">
        <f t="shared" ref="AX48" si="179">SUM(AX46:AX47)</f>
        <v>20575.937990562132</v>
      </c>
      <c r="AY48" s="106"/>
      <c r="AZ48" s="2330">
        <f>SUM(AZ46:AZ47)</f>
        <v>1508.8025648617838</v>
      </c>
      <c r="BA48" s="1460"/>
      <c r="BB48" s="2331">
        <f>SUM(BB46:BB47)</f>
        <v>4334.3503128245102</v>
      </c>
      <c r="BC48" s="2341"/>
      <c r="BD48" s="2035">
        <f>SUM(BD46:BD47)</f>
        <v>9502.7052182676125</v>
      </c>
      <c r="BE48" s="1105"/>
      <c r="BF48" s="2332">
        <f t="shared" ref="BF48" si="180">SUM(BF46:BF47)</f>
        <v>22084.740555423916</v>
      </c>
      <c r="BG48" s="1137">
        <f t="shared" si="11"/>
        <v>2129.9985000000001</v>
      </c>
      <c r="BH48" s="1137">
        <f t="shared" si="12"/>
        <v>0</v>
      </c>
      <c r="BI48" s="1137"/>
      <c r="BJ48" s="1137">
        <f t="shared" si="13"/>
        <v>0</v>
      </c>
      <c r="BK48" s="1137">
        <f t="shared" si="14"/>
        <v>0</v>
      </c>
      <c r="BL48" s="25"/>
      <c r="BM48" s="25"/>
      <c r="BN48" s="25"/>
    </row>
    <row r="49" spans="1:66" ht="15.75" customHeight="1" x14ac:dyDescent="0.25">
      <c r="B49" s="1737" t="s">
        <v>154</v>
      </c>
      <c r="C49" s="148" t="s">
        <v>50</v>
      </c>
      <c r="D49" s="189">
        <v>21206.052</v>
      </c>
      <c r="E49" s="189">
        <v>1769.88</v>
      </c>
      <c r="F49" s="2237">
        <v>1561.3832853025935</v>
      </c>
      <c r="G49" s="766"/>
      <c r="H49" s="5578">
        <v>1620.5666839647122</v>
      </c>
      <c r="I49" s="763"/>
      <c r="J49" s="235">
        <f t="shared" si="163"/>
        <v>3181.9499692673057</v>
      </c>
      <c r="K49" s="766"/>
      <c r="L49" s="5680">
        <v>1535.7967572033463</v>
      </c>
      <c r="M49" s="764"/>
      <c r="N49" s="2235">
        <f t="shared" si="164"/>
        <v>4717.746726470652</v>
      </c>
      <c r="O49" s="766"/>
      <c r="P49" s="5837">
        <v>1574.3455389375965</v>
      </c>
      <c r="Q49" s="763"/>
      <c r="R49" s="2236">
        <f>+N49+P49</f>
        <v>6292.0922654082487</v>
      </c>
      <c r="S49" s="766"/>
      <c r="T49" s="5909">
        <v>1617.090984113885</v>
      </c>
      <c r="U49" s="763"/>
      <c r="V49" s="4326">
        <f>+R49+T49</f>
        <v>7909.1832495221333</v>
      </c>
      <c r="W49" s="766"/>
      <c r="X49" s="6007">
        <v>1575.8180118416951</v>
      </c>
      <c r="Y49" s="764"/>
      <c r="Z49" s="2235">
        <f>SUM(P49,T49,X49)</f>
        <v>4767.2545348931762</v>
      </c>
      <c r="AA49" s="756"/>
      <c r="AB49" s="2318">
        <f>SUM(N49,Z49)</f>
        <v>9485.0012613638282</v>
      </c>
      <c r="AC49" s="766"/>
      <c r="AD49" s="6138">
        <v>1768.1378018318069</v>
      </c>
      <c r="AE49" s="763"/>
      <c r="AF49" s="2236">
        <f>+AB49+AD49</f>
        <v>11253.139063195635</v>
      </c>
      <c r="AG49" s="766"/>
      <c r="AH49" s="6300">
        <v>1504.4678217821784</v>
      </c>
      <c r="AI49" s="763"/>
      <c r="AJ49" s="2236">
        <f>+AF49+AH49</f>
        <v>12757.606884977813</v>
      </c>
      <c r="AK49" s="766"/>
      <c r="AL49" s="6564">
        <v>1552.5239814337287</v>
      </c>
      <c r="AM49" s="764"/>
      <c r="AN49" s="2531">
        <f>SUM(AD49,AH49,AL49)</f>
        <v>4825.129605047714</v>
      </c>
      <c r="AO49" s="763"/>
      <c r="AP49" s="712">
        <f>AJ49+AL49</f>
        <v>14310.130866411542</v>
      </c>
      <c r="AQ49" s="766"/>
      <c r="AR49" s="6643">
        <v>1565.7343379089689</v>
      </c>
      <c r="AS49" s="763"/>
      <c r="AT49" s="2236">
        <f>+AP49+AR49</f>
        <v>15875.865204320511</v>
      </c>
      <c r="AU49" s="766"/>
      <c r="AV49" s="6825">
        <v>1407.5147013308572</v>
      </c>
      <c r="AW49" s="763"/>
      <c r="AX49" s="5015">
        <f>+AT49+AV49</f>
        <v>17283.379905651367</v>
      </c>
      <c r="AY49" s="766"/>
      <c r="AZ49" s="6971">
        <v>1614.7589616810876</v>
      </c>
      <c r="BA49" s="764"/>
      <c r="BB49" s="2795">
        <f>SUM(AR49,AV49,AZ49)</f>
        <v>4588.0080009209132</v>
      </c>
      <c r="BC49" s="756"/>
      <c r="BD49" s="2318">
        <f>SUM(AN49,BB49)</f>
        <v>9413.1376059686263</v>
      </c>
      <c r="BE49" s="763"/>
      <c r="BF49" s="2236">
        <f>+AX49+AZ49</f>
        <v>18898.138867332455</v>
      </c>
      <c r="BG49" s="1137">
        <f t="shared" si="11"/>
        <v>1769.88</v>
      </c>
      <c r="BH49" s="1137">
        <f t="shared" si="12"/>
        <v>0</v>
      </c>
      <c r="BI49" s="1137"/>
      <c r="BJ49" s="1137">
        <f t="shared" si="13"/>
        <v>0</v>
      </c>
      <c r="BK49" s="1137">
        <f t="shared" si="14"/>
        <v>0</v>
      </c>
      <c r="BL49" s="25"/>
      <c r="BM49" s="25"/>
      <c r="BN49" s="25"/>
    </row>
    <row r="50" spans="1:66" ht="16.5" customHeight="1" thickBot="1" x14ac:dyDescent="0.3">
      <c r="B50" s="1737" t="s">
        <v>155</v>
      </c>
      <c r="C50" s="148" t="s">
        <v>50</v>
      </c>
      <c r="D50" s="189">
        <v>39385.207452499999</v>
      </c>
      <c r="E50" s="189">
        <v>3200.1165000000001</v>
      </c>
      <c r="F50" s="2237">
        <v>2811.6029574489489</v>
      </c>
      <c r="G50" s="766"/>
      <c r="H50" s="5578">
        <v>2869.7933179492325</v>
      </c>
      <c r="I50" s="763"/>
      <c r="J50" s="235">
        <f t="shared" si="163"/>
        <v>5681.3962753981814</v>
      </c>
      <c r="K50" s="766"/>
      <c r="L50" s="5680">
        <v>2806.6261794820311</v>
      </c>
      <c r="M50" s="764"/>
      <c r="N50" s="2235">
        <f t="shared" si="164"/>
        <v>8488.0224548802125</v>
      </c>
      <c r="O50" s="766"/>
      <c r="P50" s="5837">
        <v>2920.2860158841859</v>
      </c>
      <c r="Q50" s="763"/>
      <c r="R50" s="2236">
        <f>+N50+P50</f>
        <v>11408.308470764397</v>
      </c>
      <c r="S50" s="766"/>
      <c r="T50" s="5909">
        <v>2908.3519468759432</v>
      </c>
      <c r="U50" s="763"/>
      <c r="V50" s="4326">
        <f>+R50+T50</f>
        <v>14316.660417640342</v>
      </c>
      <c r="W50" s="766"/>
      <c r="X50" s="6007">
        <v>3296.7062914699982</v>
      </c>
      <c r="Y50" s="764"/>
      <c r="Z50" s="2235">
        <f>SUM(P50,T50,X50)</f>
        <v>9125.3442542301273</v>
      </c>
      <c r="AA50" s="756"/>
      <c r="AB50" s="2318">
        <f>SUM(N50,Z50)</f>
        <v>17613.366709110342</v>
      </c>
      <c r="AC50" s="766"/>
      <c r="AD50" s="6138">
        <v>3157.1274229584756</v>
      </c>
      <c r="AE50" s="763"/>
      <c r="AF50" s="2236">
        <f>+AB50+AD50</f>
        <v>20770.494132068816</v>
      </c>
      <c r="AG50" s="766"/>
      <c r="AH50" s="6300">
        <v>2817.9676472741007</v>
      </c>
      <c r="AI50" s="763"/>
      <c r="AJ50" s="2236">
        <f>+AF50+AH50</f>
        <v>23588.461779342917</v>
      </c>
      <c r="AK50" s="766"/>
      <c r="AL50" s="6564">
        <v>2913.8345047616381</v>
      </c>
      <c r="AM50" s="764"/>
      <c r="AN50" s="2531">
        <f>SUM(AD50,AH50,AL50)</f>
        <v>8888.9295749942139</v>
      </c>
      <c r="AO50" s="763"/>
      <c r="AP50" s="712">
        <f>AJ50+AL50</f>
        <v>26502.296284104556</v>
      </c>
      <c r="AQ50" s="766"/>
      <c r="AR50" s="6643">
        <v>2889.3057651675213</v>
      </c>
      <c r="AS50" s="763"/>
      <c r="AT50" s="2236">
        <f>+AP50+AR50</f>
        <v>29391.602049272078</v>
      </c>
      <c r="AU50" s="766"/>
      <c r="AV50" s="6825">
        <v>2614.0884394808331</v>
      </c>
      <c r="AW50" s="763"/>
      <c r="AX50" s="5015">
        <f>+AT50+AV50</f>
        <v>32005.690488752913</v>
      </c>
      <c r="AY50" s="766"/>
      <c r="AZ50" s="6971">
        <v>2911.6487329042639</v>
      </c>
      <c r="BA50" s="764"/>
      <c r="BB50" s="2795">
        <f>SUM(AR50,AV50,AZ50)</f>
        <v>8415.0429375526182</v>
      </c>
      <c r="BC50" s="756"/>
      <c r="BD50" s="2318">
        <f>SUM(AN50,BB50)</f>
        <v>17303.972512546832</v>
      </c>
      <c r="BE50" s="763"/>
      <c r="BF50" s="2236">
        <f>+AX50+AZ50</f>
        <v>34917.339221657174</v>
      </c>
      <c r="BG50" s="1137">
        <f t="shared" si="11"/>
        <v>3200.1165000000001</v>
      </c>
      <c r="BH50" s="1137">
        <f t="shared" si="12"/>
        <v>0</v>
      </c>
      <c r="BI50" s="1137"/>
      <c r="BJ50" s="1137">
        <f t="shared" si="13"/>
        <v>0</v>
      </c>
      <c r="BK50" s="1137">
        <f t="shared" si="14"/>
        <v>0</v>
      </c>
      <c r="BL50" s="25"/>
      <c r="BM50" s="25"/>
      <c r="BN50" s="25"/>
    </row>
    <row r="51" spans="1:66" ht="16.5" customHeight="1" thickBot="1" x14ac:dyDescent="0.3">
      <c r="B51" s="2328" t="s">
        <v>143</v>
      </c>
      <c r="C51" s="2329" t="s">
        <v>50</v>
      </c>
      <c r="D51" s="2269">
        <f>SUM(D49:D50)</f>
        <v>60591.259452500002</v>
      </c>
      <c r="E51" s="2330">
        <f>SUM(E49:E50)</f>
        <v>4969.9965000000002</v>
      </c>
      <c r="F51" s="2330">
        <f>SUM(F49:F50)</f>
        <v>4372.9862427515427</v>
      </c>
      <c r="G51" s="106"/>
      <c r="H51" s="2330">
        <f>SUM(H49:H50)</f>
        <v>4490.3600019139449</v>
      </c>
      <c r="I51" s="1105"/>
      <c r="J51" s="1106">
        <f t="shared" si="163"/>
        <v>8863.3462446654885</v>
      </c>
      <c r="K51" s="106"/>
      <c r="L51" s="2330">
        <f>SUM(L49:L50)</f>
        <v>4342.4229366853779</v>
      </c>
      <c r="M51" s="1460"/>
      <c r="N51" s="2331">
        <f t="shared" si="164"/>
        <v>13205.769181350866</v>
      </c>
      <c r="O51" s="106"/>
      <c r="P51" s="2330">
        <f>SUM(P49:P50)</f>
        <v>4494.6315548217826</v>
      </c>
      <c r="Q51" s="1105"/>
      <c r="R51" s="2332">
        <f t="shared" ref="R51" si="181">SUM(R49:R50)</f>
        <v>17700.400736172647</v>
      </c>
      <c r="S51" s="106"/>
      <c r="T51" s="2330">
        <f>SUM(T49:T50)</f>
        <v>4525.4429309898278</v>
      </c>
      <c r="U51" s="1105"/>
      <c r="V51" s="2332">
        <f t="shared" ref="V51" si="182">SUM(V49:V50)</f>
        <v>22225.843667162473</v>
      </c>
      <c r="W51" s="106"/>
      <c r="X51" s="2330">
        <f>SUM(X49:X50)</f>
        <v>4872.5243033116931</v>
      </c>
      <c r="Y51" s="1460"/>
      <c r="Z51" s="2331">
        <f>SUM(Z49:Z50)</f>
        <v>13892.598789123304</v>
      </c>
      <c r="AA51" s="2341"/>
      <c r="AB51" s="2035">
        <f>SUM(AB49:AB50)</f>
        <v>27098.36797047417</v>
      </c>
      <c r="AC51" s="106"/>
      <c r="AD51" s="2330">
        <f>SUM(AD49:AD50)</f>
        <v>4925.2652247902824</v>
      </c>
      <c r="AE51" s="1105"/>
      <c r="AF51" s="2332">
        <f t="shared" ref="AF51" si="183">SUM(AF49:AF50)</f>
        <v>32023.63319526445</v>
      </c>
      <c r="AG51" s="106"/>
      <c r="AH51" s="2330">
        <f>SUM(AH49:AH50)</f>
        <v>4322.4354690562795</v>
      </c>
      <c r="AI51" s="1105"/>
      <c r="AJ51" s="2332">
        <f t="shared" ref="AJ51" si="184">SUM(AJ49:AJ50)</f>
        <v>36346.06866432073</v>
      </c>
      <c r="AK51" s="106"/>
      <c r="AL51" s="2330">
        <f>SUM(AL49:AL50)</f>
        <v>4466.3584861953668</v>
      </c>
      <c r="AM51" s="1460"/>
      <c r="AN51" s="2331">
        <f>SUM(AN49:AN50)</f>
        <v>13714.059180041928</v>
      </c>
      <c r="AO51" s="1105"/>
      <c r="AP51" s="2332">
        <f t="shared" ref="AP51" si="185">SUM(AP49:AP50)</f>
        <v>40812.427150516101</v>
      </c>
      <c r="AQ51" s="106"/>
      <c r="AR51" s="2330">
        <f>SUM(AR49:AR50)</f>
        <v>4455.0401030764897</v>
      </c>
      <c r="AS51" s="1105"/>
      <c r="AT51" s="2332">
        <f t="shared" ref="AT51" si="186">SUM(AT49:AT50)</f>
        <v>45267.467253592593</v>
      </c>
      <c r="AU51" s="106"/>
      <c r="AV51" s="2330">
        <f>SUM(AV49:AV50)</f>
        <v>4021.6031408116905</v>
      </c>
      <c r="AW51" s="1105"/>
      <c r="AX51" s="2332">
        <f t="shared" ref="AX51" si="187">SUM(AX49:AX50)</f>
        <v>49289.070394404276</v>
      </c>
      <c r="AY51" s="106"/>
      <c r="AZ51" s="2330">
        <f>SUM(AZ49:AZ50)</f>
        <v>4526.4076945853512</v>
      </c>
      <c r="BA51" s="1460"/>
      <c r="BB51" s="2331">
        <f>SUM(BB49:BB50)</f>
        <v>13003.050938473531</v>
      </c>
      <c r="BC51" s="2341"/>
      <c r="BD51" s="2035">
        <f>SUM(BD49:BD50)</f>
        <v>26717.110118515458</v>
      </c>
      <c r="BE51" s="1105"/>
      <c r="BF51" s="2332">
        <f t="shared" ref="BF51" si="188">SUM(BF49:BF50)</f>
        <v>53815.478088989628</v>
      </c>
      <c r="BG51" s="1137">
        <f t="shared" si="11"/>
        <v>4969.9965000000002</v>
      </c>
      <c r="BH51" s="1137">
        <f t="shared" si="12"/>
        <v>0</v>
      </c>
      <c r="BI51" s="1137"/>
      <c r="BJ51" s="1137">
        <f t="shared" si="13"/>
        <v>0</v>
      </c>
      <c r="BK51" s="1137">
        <f t="shared" si="14"/>
        <v>0</v>
      </c>
      <c r="BL51" s="25"/>
      <c r="BM51" s="25"/>
      <c r="BN51" s="25"/>
    </row>
    <row r="52" spans="1:66" ht="15.75" customHeight="1" x14ac:dyDescent="0.25">
      <c r="B52" s="1737" t="s">
        <v>156</v>
      </c>
      <c r="C52" s="148" t="s">
        <v>50</v>
      </c>
      <c r="D52" s="189">
        <v>6058.8719999999985</v>
      </c>
      <c r="E52" s="189">
        <v>505.68</v>
      </c>
      <c r="F52" s="2237">
        <v>520.46109510086455</v>
      </c>
      <c r="G52" s="766"/>
      <c r="H52" s="5578">
        <v>540.18889465490406</v>
      </c>
      <c r="I52" s="763"/>
      <c r="J52" s="235">
        <f t="shared" si="163"/>
        <v>1060.6499897557687</v>
      </c>
      <c r="K52" s="766"/>
      <c r="L52" s="5680">
        <v>511.93225240111542</v>
      </c>
      <c r="M52" s="764"/>
      <c r="N52" s="2235">
        <f t="shared" si="164"/>
        <v>1572.5822421568841</v>
      </c>
      <c r="O52" s="766"/>
      <c r="P52" s="5837">
        <v>524.78184631253225</v>
      </c>
      <c r="Q52" s="763"/>
      <c r="R52" s="2236">
        <f>+N52+P52</f>
        <v>2097.3640884694164</v>
      </c>
      <c r="S52" s="766"/>
      <c r="T52" s="5909">
        <v>539.03032803796157</v>
      </c>
      <c r="U52" s="763"/>
      <c r="V52" s="4326">
        <f>+R52+T52</f>
        <v>2636.3944165073781</v>
      </c>
      <c r="W52" s="766"/>
      <c r="X52" s="6007">
        <v>525.27267061389841</v>
      </c>
      <c r="Y52" s="764"/>
      <c r="Z52" s="2235">
        <f>SUM(P52,T52,X52)</f>
        <v>1589.0848449643922</v>
      </c>
      <c r="AA52" s="756"/>
      <c r="AB52" s="2318">
        <f>SUM(N52,Z52)</f>
        <v>3161.6670871212764</v>
      </c>
      <c r="AC52" s="766"/>
      <c r="AD52" s="6138">
        <v>535.79933388842642</v>
      </c>
      <c r="AE52" s="763"/>
      <c r="AF52" s="2236">
        <f>+AB52+AD52</f>
        <v>3697.4664210097026</v>
      </c>
      <c r="AG52" s="766"/>
      <c r="AH52" s="6300">
        <v>501.48927392739284</v>
      </c>
      <c r="AI52" s="763"/>
      <c r="AJ52" s="2236">
        <f>+AF52+AH52</f>
        <v>4198.9556949370954</v>
      </c>
      <c r="AK52" s="766"/>
      <c r="AL52" s="6564">
        <v>517.50799381124295</v>
      </c>
      <c r="AM52" s="764"/>
      <c r="AN52" s="2531">
        <f>SUM(AD52,AH52,AL52)</f>
        <v>1554.796601627062</v>
      </c>
      <c r="AO52" s="763"/>
      <c r="AP52" s="712">
        <f>AJ52+AL52</f>
        <v>4716.4636887483384</v>
      </c>
      <c r="AQ52" s="766"/>
      <c r="AR52" s="6643">
        <v>521.91144596965637</v>
      </c>
      <c r="AS52" s="763"/>
      <c r="AT52" s="2236">
        <f>+AP52+AR52</f>
        <v>5238.375134717995</v>
      </c>
      <c r="AU52" s="766"/>
      <c r="AV52" s="6825">
        <v>469.17156711028571</v>
      </c>
      <c r="AW52" s="763"/>
      <c r="AX52" s="5015">
        <f>+AT52+AV52</f>
        <v>5707.5467018282807</v>
      </c>
      <c r="AY52" s="766"/>
      <c r="AZ52" s="6971">
        <v>538.25298722702917</v>
      </c>
      <c r="BA52" s="764"/>
      <c r="BB52" s="2795">
        <f>SUM(AR52,AV52,AZ52)</f>
        <v>1529.3360003069711</v>
      </c>
      <c r="BC52" s="756"/>
      <c r="BD52" s="2318">
        <f>SUM(AN52,BB52)</f>
        <v>3084.1326019340331</v>
      </c>
      <c r="BE52" s="763"/>
      <c r="BF52" s="2236">
        <f>+AX52+AZ52</f>
        <v>6245.7996890553095</v>
      </c>
      <c r="BG52" s="1137">
        <f t="shared" si="11"/>
        <v>505.68</v>
      </c>
      <c r="BH52" s="1137">
        <f t="shared" si="12"/>
        <v>0</v>
      </c>
      <c r="BI52" s="1137"/>
      <c r="BJ52" s="1137">
        <f t="shared" si="13"/>
        <v>0</v>
      </c>
      <c r="BK52" s="1137">
        <f t="shared" si="14"/>
        <v>0</v>
      </c>
      <c r="BL52" s="25"/>
      <c r="BM52" s="25"/>
      <c r="BN52" s="25"/>
    </row>
    <row r="53" spans="1:66" ht="16.5" customHeight="1" thickBot="1" x14ac:dyDescent="0.3">
      <c r="B53" s="1737" t="s">
        <v>157</v>
      </c>
      <c r="C53" s="148" t="s">
        <v>50</v>
      </c>
      <c r="D53" s="189">
        <v>11252.916414999998</v>
      </c>
      <c r="E53" s="189">
        <v>914.31900000000007</v>
      </c>
      <c r="F53" s="2237">
        <v>937.20098581631646</v>
      </c>
      <c r="G53" s="766"/>
      <c r="H53" s="5578">
        <v>956.59777264974412</v>
      </c>
      <c r="I53" s="763"/>
      <c r="J53" s="235">
        <f t="shared" si="163"/>
        <v>1893.7987584660605</v>
      </c>
      <c r="K53" s="766"/>
      <c r="L53" s="5680">
        <v>935.54205982734379</v>
      </c>
      <c r="M53" s="764"/>
      <c r="N53" s="2235">
        <f t="shared" si="164"/>
        <v>2829.3408182934045</v>
      </c>
      <c r="O53" s="766"/>
      <c r="P53" s="5837">
        <v>973.42867196139537</v>
      </c>
      <c r="Q53" s="763"/>
      <c r="R53" s="2236">
        <f>+N53+P53</f>
        <v>3802.7694902548001</v>
      </c>
      <c r="S53" s="766"/>
      <c r="T53" s="5909">
        <v>969.45064895864778</v>
      </c>
      <c r="U53" s="763"/>
      <c r="V53" s="4326">
        <f>+R53+T53</f>
        <v>4772.2201392134475</v>
      </c>
      <c r="W53" s="766"/>
      <c r="X53" s="6007">
        <v>940.0236920752069</v>
      </c>
      <c r="Y53" s="764"/>
      <c r="Z53" s="2235">
        <f>SUM(P53,T53,X53)</f>
        <v>2882.9030129952498</v>
      </c>
      <c r="AA53" s="756"/>
      <c r="AB53" s="2318">
        <f>SUM(N53,Z53)</f>
        <v>5712.2438312886543</v>
      </c>
      <c r="AC53" s="766"/>
      <c r="AD53" s="6138">
        <v>956.70527968438648</v>
      </c>
      <c r="AE53" s="763"/>
      <c r="AF53" s="2236">
        <f>+AB53+AD53</f>
        <v>6668.9491109730407</v>
      </c>
      <c r="AG53" s="766"/>
      <c r="AH53" s="6300">
        <v>939.32254909136691</v>
      </c>
      <c r="AI53" s="763"/>
      <c r="AJ53" s="2236">
        <f>+AF53+AH53</f>
        <v>7608.2716600644071</v>
      </c>
      <c r="AK53" s="766"/>
      <c r="AL53" s="6564">
        <v>971.27816825387947</v>
      </c>
      <c r="AM53" s="764"/>
      <c r="AN53" s="2531">
        <f>SUM(AD53,AH53,AL53)</f>
        <v>2867.3059970296326</v>
      </c>
      <c r="AO53" s="763"/>
      <c r="AP53" s="712">
        <f>AJ53+AL53</f>
        <v>8579.549828318286</v>
      </c>
      <c r="AQ53" s="766"/>
      <c r="AR53" s="6643">
        <v>963.10192172250731</v>
      </c>
      <c r="AS53" s="763"/>
      <c r="AT53" s="2236">
        <f>+AP53+AR53</f>
        <v>9542.6517500407936</v>
      </c>
      <c r="AU53" s="766"/>
      <c r="AV53" s="6825">
        <v>871.36281316027771</v>
      </c>
      <c r="AW53" s="763"/>
      <c r="AX53" s="5015">
        <f>+AT53+AV53</f>
        <v>10414.014563201072</v>
      </c>
      <c r="AY53" s="766"/>
      <c r="AZ53" s="6971">
        <v>970.54957763475466</v>
      </c>
      <c r="BA53" s="764"/>
      <c r="BB53" s="2795">
        <f>SUM(AR53,AV53,AZ53)</f>
        <v>2805.0143125175396</v>
      </c>
      <c r="BC53" s="756"/>
      <c r="BD53" s="2318">
        <f>SUM(AN53,BB53)</f>
        <v>5672.3203095471727</v>
      </c>
      <c r="BE53" s="763"/>
      <c r="BF53" s="2236">
        <f>+AX53+AZ53</f>
        <v>11384.564140835826</v>
      </c>
      <c r="BG53" s="1137">
        <f t="shared" si="11"/>
        <v>914.31900000000007</v>
      </c>
      <c r="BH53" s="1137">
        <f t="shared" si="12"/>
        <v>0</v>
      </c>
      <c r="BI53" s="1137"/>
      <c r="BJ53" s="1137">
        <f t="shared" si="13"/>
        <v>0</v>
      </c>
      <c r="BK53" s="1137">
        <f t="shared" si="14"/>
        <v>0</v>
      </c>
      <c r="BL53" s="25"/>
      <c r="BM53" s="25"/>
      <c r="BN53" s="25"/>
    </row>
    <row r="54" spans="1:66" ht="16.5" customHeight="1" thickBot="1" x14ac:dyDescent="0.3">
      <c r="B54" s="2328" t="s">
        <v>144</v>
      </c>
      <c r="C54" s="2329" t="s">
        <v>50</v>
      </c>
      <c r="D54" s="2330">
        <f>SUM(D52:D53)</f>
        <v>17311.788414999995</v>
      </c>
      <c r="E54" s="2330">
        <f>SUM(E52:E53)</f>
        <v>1419.999</v>
      </c>
      <c r="F54" s="2330">
        <f>SUM(F52:F53)</f>
        <v>1457.6620809171809</v>
      </c>
      <c r="G54" s="106"/>
      <c r="H54" s="2330">
        <f>SUM(H52:H53)</f>
        <v>1496.7866673046483</v>
      </c>
      <c r="I54" s="1105"/>
      <c r="J54" s="1106">
        <f t="shared" si="163"/>
        <v>2954.4487482218292</v>
      </c>
      <c r="K54" s="106"/>
      <c r="L54" s="2330">
        <f>SUM(L52:L53)</f>
        <v>1447.4743122284592</v>
      </c>
      <c r="M54" s="1460"/>
      <c r="N54" s="2331">
        <f t="shared" si="164"/>
        <v>4401.9230604502882</v>
      </c>
      <c r="O54" s="106"/>
      <c r="P54" s="2330">
        <f>SUM(P52:P53)</f>
        <v>1498.2105182739276</v>
      </c>
      <c r="Q54" s="1105"/>
      <c r="R54" s="2332">
        <f t="shared" ref="R54" si="189">SUM(R52:R53)</f>
        <v>5900.1335787242169</v>
      </c>
      <c r="S54" s="106"/>
      <c r="T54" s="2330">
        <f>SUM(T52:T53)</f>
        <v>1508.4809769966093</v>
      </c>
      <c r="U54" s="1105"/>
      <c r="V54" s="2332">
        <f t="shared" ref="V54" si="190">SUM(V52:V53)</f>
        <v>7408.6145557208256</v>
      </c>
      <c r="W54" s="106"/>
      <c r="X54" s="2330">
        <f>SUM(X52:X53)</f>
        <v>1465.2963626891053</v>
      </c>
      <c r="Y54" s="1460"/>
      <c r="Z54" s="2331">
        <f>SUM(Z52:Z53)</f>
        <v>4471.9878579596425</v>
      </c>
      <c r="AA54" s="2341"/>
      <c r="AB54" s="2035">
        <f>SUM(AB52:AB53)</f>
        <v>8873.9109184099307</v>
      </c>
      <c r="AC54" s="106"/>
      <c r="AD54" s="2330">
        <f>SUM(AD52:AD53)</f>
        <v>1492.504613572813</v>
      </c>
      <c r="AE54" s="1105"/>
      <c r="AF54" s="2332">
        <f t="shared" ref="AF54" si="191">SUM(AF52:AF53)</f>
        <v>10366.415531982744</v>
      </c>
      <c r="AG54" s="106"/>
      <c r="AH54" s="2330">
        <f>SUM(AH52:AH53)</f>
        <v>1440.8118230187597</v>
      </c>
      <c r="AI54" s="1105"/>
      <c r="AJ54" s="2332">
        <f t="shared" ref="AJ54" si="192">SUM(AJ52:AJ53)</f>
        <v>11807.227355001502</v>
      </c>
      <c r="AK54" s="106"/>
      <c r="AL54" s="2330">
        <f>SUM(AL52:AL53)</f>
        <v>1488.7861620651224</v>
      </c>
      <c r="AM54" s="1460"/>
      <c r="AN54" s="2331">
        <f>SUM(AN52:AN53)</f>
        <v>4422.1025986566947</v>
      </c>
      <c r="AO54" s="1105"/>
      <c r="AP54" s="2332">
        <f t="shared" ref="AP54" si="193">SUM(AP52:AP53)</f>
        <v>13296.013517066625</v>
      </c>
      <c r="AQ54" s="106"/>
      <c r="AR54" s="2330">
        <f>SUM(AR52:AR53)</f>
        <v>1485.0133676921637</v>
      </c>
      <c r="AS54" s="1105"/>
      <c r="AT54" s="2332">
        <f t="shared" ref="AT54" si="194">SUM(AT52:AT53)</f>
        <v>14781.026884758789</v>
      </c>
      <c r="AU54" s="106"/>
      <c r="AV54" s="2330">
        <f>SUM(AV52:AV53)</f>
        <v>1340.5343802705634</v>
      </c>
      <c r="AW54" s="1105"/>
      <c r="AX54" s="2332">
        <f t="shared" ref="AX54" si="195">SUM(AX52:AX53)</f>
        <v>16121.561265029351</v>
      </c>
      <c r="AY54" s="106"/>
      <c r="AZ54" s="2330">
        <f>SUM(AZ52:AZ53)</f>
        <v>1508.8025648617838</v>
      </c>
      <c r="BA54" s="1460"/>
      <c r="BB54" s="2331">
        <f>SUM(BB52:BB53)</f>
        <v>4334.3503128245102</v>
      </c>
      <c r="BC54" s="2341"/>
      <c r="BD54" s="2035">
        <f>SUM(BD52:BD53)</f>
        <v>8756.4529114812067</v>
      </c>
      <c r="BE54" s="1105"/>
      <c r="BF54" s="2332">
        <f t="shared" ref="BF54" si="196">SUM(BF52:BF53)</f>
        <v>17630.363829891136</v>
      </c>
      <c r="BG54" s="1137">
        <f t="shared" si="11"/>
        <v>1419.999</v>
      </c>
      <c r="BH54" s="1137">
        <f t="shared" si="12"/>
        <v>0</v>
      </c>
      <c r="BI54" s="1137"/>
      <c r="BJ54" s="1137">
        <f t="shared" si="13"/>
        <v>0</v>
      </c>
      <c r="BK54" s="1137">
        <f t="shared" si="14"/>
        <v>0</v>
      </c>
      <c r="BL54" s="25"/>
      <c r="BM54" s="25"/>
      <c r="BN54" s="25"/>
    </row>
    <row r="55" spans="1:66" ht="15.75" customHeight="1" x14ac:dyDescent="0.25">
      <c r="B55" s="1737" t="s">
        <v>158</v>
      </c>
      <c r="C55" s="148" t="s">
        <v>50</v>
      </c>
      <c r="D55" s="189">
        <f>D43+D46+D49+D52</f>
        <v>457444.83600000007</v>
      </c>
      <c r="E55" s="189">
        <f>E43+E46+E49+E52</f>
        <v>38178.839999999997</v>
      </c>
      <c r="F55" s="1819">
        <f t="shared" ref="F55" si="197">+F43+F46+F49+F52</f>
        <v>38774.35158501441</v>
      </c>
      <c r="G55" s="766"/>
      <c r="H55" s="1819">
        <f t="shared" ref="H55:H56" si="198">+H43+H46+H49+H52</f>
        <v>40784.261546445246</v>
      </c>
      <c r="I55" s="763"/>
      <c r="J55" s="235">
        <f t="shared" si="163"/>
        <v>79558.613131459657</v>
      </c>
      <c r="K55" s="766"/>
      <c r="L55" s="1819">
        <f t="shared" ref="L55" si="199">+L43+L46+L49+L52</f>
        <v>38650.885056284213</v>
      </c>
      <c r="M55" s="764"/>
      <c r="N55" s="2235">
        <f t="shared" si="164"/>
        <v>118209.49818774387</v>
      </c>
      <c r="O55" s="766"/>
      <c r="P55" s="1819">
        <f t="shared" ref="P55:P56" si="200">+P43+P46+P49+P52</f>
        <v>39621.029396596183</v>
      </c>
      <c r="Q55" s="763"/>
      <c r="R55" s="2236">
        <f>+N55+P55</f>
        <v>157830.52758434004</v>
      </c>
      <c r="S55" s="766"/>
      <c r="T55" s="1819">
        <f t="shared" ref="T55:T56" si="201">+T43+T46+T49+T52</f>
        <v>40696.789766866095</v>
      </c>
      <c r="U55" s="763"/>
      <c r="V55" s="4326">
        <f>+R55+T55</f>
        <v>198527.31735120615</v>
      </c>
      <c r="W55" s="766"/>
      <c r="X55" s="1819">
        <f t="shared" ref="X55:X56" si="202">+X43+X46+X49+X52</f>
        <v>39658.086631349324</v>
      </c>
      <c r="Y55" s="764"/>
      <c r="Z55" s="2235">
        <f>SUM(P55,T55,X55)</f>
        <v>119975.90579481161</v>
      </c>
      <c r="AA55" s="756"/>
      <c r="AB55" s="2318">
        <f>SUM(N55,Z55)</f>
        <v>238185.40398255549</v>
      </c>
      <c r="AC55" s="766"/>
      <c r="AD55" s="1819">
        <f t="shared" ref="AD55:AD56" si="203">+AD43+AD46+AD49+AD52</f>
        <v>40452.849708576192</v>
      </c>
      <c r="AE55" s="763"/>
      <c r="AF55" s="2236">
        <f>+AB55+AD55</f>
        <v>278638.25369113171</v>
      </c>
      <c r="AG55" s="766"/>
      <c r="AH55" s="1819">
        <f t="shared" ref="AH55:AH56" si="204">+AH43+AH46+AH49+AH52</f>
        <v>37360.950907590763</v>
      </c>
      <c r="AI55" s="763"/>
      <c r="AJ55" s="2236">
        <f>+AF55+AH55</f>
        <v>315999.20459872246</v>
      </c>
      <c r="AK55" s="766"/>
      <c r="AL55" s="1819">
        <f t="shared" ref="AL55:AL56" si="205">+AL43+AL46+AL49+AL52</f>
        <v>38554.345538937581</v>
      </c>
      <c r="AM55" s="764"/>
      <c r="AN55" s="2531">
        <f>SUM(AD55,AH55,AL55)</f>
        <v>116368.14615510454</v>
      </c>
      <c r="AO55" s="763"/>
      <c r="AP55" s="712">
        <f>AJ55+AL55</f>
        <v>354553.55013766006</v>
      </c>
      <c r="AQ55" s="766"/>
      <c r="AR55" s="1819">
        <f t="shared" ref="AR55:AR56" si="206">+AR43+AR46+AR49+AR52</f>
        <v>38882.402724739397</v>
      </c>
      <c r="AS55" s="763"/>
      <c r="AT55" s="2236">
        <f>+AP55+AR55</f>
        <v>393435.95286239946</v>
      </c>
      <c r="AU55" s="766"/>
      <c r="AV55" s="1819">
        <f t="shared" ref="AV55:AV56" si="207">+AV43+AV46+AV49+AV52</f>
        <v>34953.281749716283</v>
      </c>
      <c r="AW55" s="763"/>
      <c r="AX55" s="5015">
        <f>+AT55+AV55</f>
        <v>428389.23461211572</v>
      </c>
      <c r="AY55" s="766"/>
      <c r="AZ55" s="1819">
        <f t="shared" ref="AZ55:AZ56" si="208">+AZ43+AZ46+AZ49+AZ52</f>
        <v>40099.84754841368</v>
      </c>
      <c r="BA55" s="764"/>
      <c r="BB55" s="2795">
        <f>SUM(AR55,AV55,AZ55)</f>
        <v>113935.53202286936</v>
      </c>
      <c r="BC55" s="756"/>
      <c r="BD55" s="2318">
        <f>SUM(AN55,BB55)</f>
        <v>230303.6781779739</v>
      </c>
      <c r="BE55" s="763"/>
      <c r="BF55" s="2236">
        <f>+AX55+AZ55</f>
        <v>468489.08216052939</v>
      </c>
      <c r="BG55" s="1137">
        <f t="shared" si="11"/>
        <v>38178.839999999997</v>
      </c>
      <c r="BH55" s="1137">
        <f t="shared" si="12"/>
        <v>0</v>
      </c>
      <c r="BI55" s="1137"/>
      <c r="BJ55" s="1137">
        <f t="shared" si="13"/>
        <v>0</v>
      </c>
      <c r="BK55" s="1137">
        <f t="shared" si="14"/>
        <v>0</v>
      </c>
      <c r="BL55" s="25"/>
      <c r="BM55" s="25"/>
      <c r="BN55" s="25"/>
    </row>
    <row r="56" spans="1:66" ht="16.5" customHeight="1" thickBot="1" x14ac:dyDescent="0.3">
      <c r="B56" s="1737" t="s">
        <v>159</v>
      </c>
      <c r="C56" s="148" t="s">
        <v>50</v>
      </c>
      <c r="D56" s="189">
        <f>D44+D47+D50+D53</f>
        <v>849595.18933249998</v>
      </c>
      <c r="E56" s="189">
        <f>E44+E47+E50+E53</f>
        <v>69031.084500000012</v>
      </c>
      <c r="F56" s="1819">
        <f t="shared" ref="F56" si="209">+F44+F47+F50+F53</f>
        <v>69821.473443315568</v>
      </c>
      <c r="G56" s="766"/>
      <c r="H56" s="1819">
        <f t="shared" si="198"/>
        <v>72223.131835055683</v>
      </c>
      <c r="I56" s="763"/>
      <c r="J56" s="235">
        <f t="shared" si="163"/>
        <v>142044.60527837125</v>
      </c>
      <c r="K56" s="766"/>
      <c r="L56" s="1819">
        <f t="shared" ref="L56" si="210">+L44+L47+L50+L53</f>
        <v>70633.42551696446</v>
      </c>
      <c r="M56" s="764"/>
      <c r="N56" s="2235">
        <f t="shared" si="164"/>
        <v>212678.03079533571</v>
      </c>
      <c r="O56" s="766"/>
      <c r="P56" s="1819">
        <f t="shared" si="200"/>
        <v>73493.864733085327</v>
      </c>
      <c r="Q56" s="763"/>
      <c r="R56" s="2236">
        <f>+N56+P56</f>
        <v>286171.89552842104</v>
      </c>
      <c r="S56" s="766"/>
      <c r="T56" s="1819">
        <f t="shared" si="201"/>
        <v>73193.523996377917</v>
      </c>
      <c r="U56" s="763"/>
      <c r="V56" s="4326">
        <f>+R56+T56</f>
        <v>359365.41952479898</v>
      </c>
      <c r="W56" s="766"/>
      <c r="X56" s="1819">
        <f t="shared" si="202"/>
        <v>70971.788751678119</v>
      </c>
      <c r="Y56" s="764"/>
      <c r="Z56" s="2235">
        <f>SUM(P56,T56,X56)</f>
        <v>217659.17748114135</v>
      </c>
      <c r="AA56" s="756"/>
      <c r="AB56" s="2318">
        <f>SUM(N56,Z56)</f>
        <v>430337.20827647706</v>
      </c>
      <c r="AC56" s="766"/>
      <c r="AD56" s="1819">
        <f t="shared" si="203"/>
        <v>72231.2486161712</v>
      </c>
      <c r="AE56" s="763"/>
      <c r="AF56" s="2236">
        <f>+AB56+AD56</f>
        <v>502568.45689264825</v>
      </c>
      <c r="AG56" s="766"/>
      <c r="AH56" s="1819">
        <f t="shared" si="204"/>
        <v>69979.529907306816</v>
      </c>
      <c r="AI56" s="763"/>
      <c r="AJ56" s="2236">
        <f>+AF56+AH56</f>
        <v>572547.98679995502</v>
      </c>
      <c r="AK56" s="766"/>
      <c r="AL56" s="1819">
        <f t="shared" si="205"/>
        <v>72360.22353491401</v>
      </c>
      <c r="AM56" s="764"/>
      <c r="AN56" s="2531">
        <f>SUM(AD56,AH56,AL56)</f>
        <v>214571.00205839204</v>
      </c>
      <c r="AO56" s="763"/>
      <c r="AP56" s="712">
        <f>AJ56+AL56</f>
        <v>644908.21033486899</v>
      </c>
      <c r="AQ56" s="766"/>
      <c r="AR56" s="1819">
        <f t="shared" si="206"/>
        <v>71751.093168326785</v>
      </c>
      <c r="AS56" s="763"/>
      <c r="AT56" s="2236">
        <f>+AP56+AR56</f>
        <v>716659.30350319576</v>
      </c>
      <c r="AU56" s="766"/>
      <c r="AV56" s="1819">
        <f t="shared" si="207"/>
        <v>64916.529580440678</v>
      </c>
      <c r="AW56" s="763"/>
      <c r="AX56" s="5015">
        <f>+AT56+AV56</f>
        <v>781575.83308363648</v>
      </c>
      <c r="AY56" s="766"/>
      <c r="AZ56" s="1819">
        <f t="shared" si="208"/>
        <v>72305.943533789192</v>
      </c>
      <c r="BA56" s="764"/>
      <c r="BB56" s="2795">
        <f>SUM(AR56,AV56,AZ56)</f>
        <v>208973.56628255665</v>
      </c>
      <c r="BC56" s="756"/>
      <c r="BD56" s="2318">
        <f>SUM(AN56,BB56)</f>
        <v>423544.56834094867</v>
      </c>
      <c r="BE56" s="763"/>
      <c r="BF56" s="2236">
        <f>+AX56+AZ56</f>
        <v>853881.77661742573</v>
      </c>
      <c r="BG56" s="1137">
        <f t="shared" si="11"/>
        <v>69031.084500000012</v>
      </c>
      <c r="BH56" s="1137">
        <f t="shared" si="12"/>
        <v>0</v>
      </c>
      <c r="BI56" s="1137"/>
      <c r="BJ56" s="1137">
        <f t="shared" si="13"/>
        <v>0</v>
      </c>
      <c r="BK56" s="1137">
        <f t="shared" si="14"/>
        <v>0</v>
      </c>
      <c r="BL56" s="25"/>
      <c r="BM56" s="25"/>
      <c r="BN56" s="25"/>
    </row>
    <row r="57" spans="1:66" ht="16.5" customHeight="1" thickBot="1" x14ac:dyDescent="0.3">
      <c r="B57" s="2328" t="s">
        <v>145</v>
      </c>
      <c r="C57" s="2329" t="s">
        <v>50</v>
      </c>
      <c r="D57" s="2330">
        <f>SUM(D55:D56)</f>
        <v>1307040.0253325</v>
      </c>
      <c r="E57" s="2330">
        <f>SUM(E55:E56)</f>
        <v>107209.92450000001</v>
      </c>
      <c r="F57" s="2330">
        <f t="shared" ref="F57:H57" si="211">SUM(F55:F56)</f>
        <v>108595.82502832997</v>
      </c>
      <c r="G57" s="106"/>
      <c r="H57" s="2330">
        <f t="shared" si="211"/>
        <v>113007.39338150094</v>
      </c>
      <c r="I57" s="1105"/>
      <c r="J57" s="1106">
        <f t="shared" si="163"/>
        <v>221603.21840983091</v>
      </c>
      <c r="K57" s="106"/>
      <c r="L57" s="2330">
        <f t="shared" ref="L57" si="212">SUM(L55:L56)</f>
        <v>109284.31057324867</v>
      </c>
      <c r="M57" s="1460"/>
      <c r="N57" s="2331">
        <f t="shared" si="164"/>
        <v>330887.5289830796</v>
      </c>
      <c r="O57" s="106"/>
      <c r="P57" s="2330">
        <f t="shared" ref="P57" si="213">SUM(P55:P56)</f>
        <v>113114.89412968152</v>
      </c>
      <c r="Q57" s="1105"/>
      <c r="R57" s="2332">
        <f t="shared" ref="R57" si="214">SUM(R55:R56)</f>
        <v>444002.42311276111</v>
      </c>
      <c r="S57" s="106"/>
      <c r="T57" s="2330">
        <f t="shared" ref="T57" si="215">SUM(T55:T56)</f>
        <v>113890.31376324402</v>
      </c>
      <c r="U57" s="1105"/>
      <c r="V57" s="2332">
        <f t="shared" ref="V57" si="216">SUM(V55:V56)</f>
        <v>557892.73687600507</v>
      </c>
      <c r="W57" s="106"/>
      <c r="X57" s="2330">
        <f t="shared" ref="X57" si="217">SUM(X55:X56)</f>
        <v>110629.87538302745</v>
      </c>
      <c r="Y57" s="1460"/>
      <c r="Z57" s="2331">
        <f>SUM(Z55:Z56)</f>
        <v>337635.08327595296</v>
      </c>
      <c r="AA57" s="2341"/>
      <c r="AB57" s="2035">
        <f>SUM(AB55:AB56)</f>
        <v>668522.61225903255</v>
      </c>
      <c r="AC57" s="106"/>
      <c r="AD57" s="2330">
        <f t="shared" ref="AD57" si="218">SUM(AD55:AD56)</f>
        <v>112684.09832474739</v>
      </c>
      <c r="AE57" s="1105"/>
      <c r="AF57" s="2332">
        <f t="shared" ref="AF57" si="219">SUM(AF55:AF56)</f>
        <v>781206.71058377996</v>
      </c>
      <c r="AG57" s="106"/>
      <c r="AH57" s="2330">
        <f t="shared" ref="AH57" si="220">SUM(AH55:AH56)</f>
        <v>107340.48081489757</v>
      </c>
      <c r="AI57" s="1105"/>
      <c r="AJ57" s="2332">
        <f t="shared" ref="AJ57" si="221">SUM(AJ55:AJ56)</f>
        <v>888547.19139867742</v>
      </c>
      <c r="AK57" s="106"/>
      <c r="AL57" s="2330">
        <f t="shared" ref="AL57" si="222">SUM(AL55:AL56)</f>
        <v>110914.5690738516</v>
      </c>
      <c r="AM57" s="1460"/>
      <c r="AN57" s="2331">
        <f>SUM(AN55:AN56)</f>
        <v>330939.14821349655</v>
      </c>
      <c r="AO57" s="1105"/>
      <c r="AP57" s="2332">
        <f t="shared" ref="AP57" si="223">SUM(AP55:AP56)</f>
        <v>999461.7604725291</v>
      </c>
      <c r="AQ57" s="106"/>
      <c r="AR57" s="2330">
        <f t="shared" ref="AR57" si="224">SUM(AR55:AR56)</f>
        <v>110633.49589306618</v>
      </c>
      <c r="AS57" s="1105"/>
      <c r="AT57" s="2332">
        <f t="shared" ref="AT57" si="225">SUM(AT55:AT56)</f>
        <v>1110095.2563655952</v>
      </c>
      <c r="AU57" s="106"/>
      <c r="AV57" s="2330">
        <f t="shared" ref="AV57" si="226">SUM(AV55:AV56)</f>
        <v>99869.811330156954</v>
      </c>
      <c r="AW57" s="1105"/>
      <c r="AX57" s="2332">
        <f t="shared" ref="AX57" si="227">SUM(AX55:AX56)</f>
        <v>1209965.0676957523</v>
      </c>
      <c r="AY57" s="106"/>
      <c r="AZ57" s="2330">
        <f t="shared" ref="AZ57" si="228">SUM(AZ55:AZ56)</f>
        <v>112405.79108220286</v>
      </c>
      <c r="BA57" s="1460"/>
      <c r="BB57" s="2331">
        <f>SUM(BB55:BB56)</f>
        <v>322909.09830542601</v>
      </c>
      <c r="BC57" s="2341"/>
      <c r="BD57" s="2035">
        <f>SUM(BD55:BD56)</f>
        <v>653848.2465189225</v>
      </c>
      <c r="BE57" s="1105"/>
      <c r="BF57" s="2332">
        <f t="shared" ref="BF57" si="229">SUM(BF55:BF56)</f>
        <v>1322370.8587779552</v>
      </c>
      <c r="BG57" s="1137">
        <f t="shared" si="11"/>
        <v>107209.92450000001</v>
      </c>
      <c r="BH57" s="1137">
        <f t="shared" si="12"/>
        <v>0</v>
      </c>
      <c r="BI57" s="1137"/>
      <c r="BJ57" s="1137">
        <f t="shared" si="13"/>
        <v>0</v>
      </c>
      <c r="BK57" s="1137">
        <f t="shared" si="14"/>
        <v>0</v>
      </c>
      <c r="BL57" s="25"/>
      <c r="BM57" s="25"/>
      <c r="BN57" s="25"/>
    </row>
    <row r="58" spans="1:66" ht="15.75" thickBot="1" x14ac:dyDescent="0.3">
      <c r="A58" s="502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2338"/>
      <c r="AB58" s="502"/>
      <c r="AC58" s="502"/>
      <c r="AD58" s="502"/>
      <c r="AE58" s="502"/>
      <c r="AF58" s="502"/>
      <c r="AG58" s="502"/>
      <c r="AH58" s="502"/>
      <c r="AI58" s="502"/>
      <c r="AJ58" s="502"/>
      <c r="AK58" s="502"/>
      <c r="AL58" s="502"/>
      <c r="AM58" s="502"/>
      <c r="AN58" s="502"/>
      <c r="AO58" s="502"/>
      <c r="AP58" s="502"/>
      <c r="AQ58" s="502"/>
      <c r="AR58" s="502"/>
      <c r="AS58" s="502"/>
      <c r="AT58" s="502"/>
      <c r="AU58" s="502"/>
      <c r="AV58" s="502"/>
      <c r="AW58" s="502"/>
      <c r="AX58" s="502"/>
      <c r="AY58" s="502"/>
      <c r="AZ58" s="502"/>
      <c r="BA58" s="502"/>
      <c r="BB58" s="502"/>
      <c r="BC58" s="2338"/>
      <c r="BD58" s="502"/>
      <c r="BE58" s="502"/>
      <c r="BF58" s="502"/>
      <c r="BG58" s="1137">
        <f t="shared" si="11"/>
        <v>0</v>
      </c>
      <c r="BH58" s="1137">
        <f t="shared" si="12"/>
        <v>0</v>
      </c>
      <c r="BI58" s="1137"/>
      <c r="BJ58" s="1137">
        <f t="shared" si="13"/>
        <v>0</v>
      </c>
      <c r="BK58" s="1137">
        <f t="shared" si="14"/>
        <v>0</v>
      </c>
      <c r="BL58" s="25"/>
      <c r="BM58" s="25"/>
      <c r="BN58" s="25"/>
    </row>
    <row r="59" spans="1:66" ht="16.5" thickBot="1" x14ac:dyDescent="0.3">
      <c r="A59" s="1612"/>
      <c r="B59" s="1741" t="s">
        <v>1492</v>
      </c>
      <c r="C59" s="1612"/>
      <c r="D59" s="1612"/>
      <c r="E59" s="1612"/>
      <c r="F59" s="1539"/>
      <c r="G59" s="4487"/>
      <c r="H59" s="1539"/>
      <c r="I59" s="1612"/>
      <c r="J59" s="1612"/>
      <c r="K59" s="4487"/>
      <c r="L59" s="1539"/>
      <c r="M59" s="1612"/>
      <c r="N59" s="1612"/>
      <c r="O59" s="4487"/>
      <c r="P59" s="1539"/>
      <c r="Q59" s="1612"/>
      <c r="R59" s="1612"/>
      <c r="S59" s="4487"/>
      <c r="T59" s="1539"/>
      <c r="U59" s="4233"/>
      <c r="V59" s="4233"/>
      <c r="W59" s="4487"/>
      <c r="X59" s="1539"/>
      <c r="Y59" s="1612"/>
      <c r="Z59" s="1612"/>
      <c r="AB59" s="1612"/>
      <c r="AC59" s="4487"/>
      <c r="AD59" s="1539"/>
      <c r="AE59" s="2430"/>
      <c r="AF59" s="2430"/>
      <c r="AG59" s="4487"/>
      <c r="AH59" s="1539"/>
      <c r="AI59" s="2477"/>
      <c r="AJ59" s="2477"/>
      <c r="AK59" s="4487"/>
      <c r="AL59" s="1539"/>
      <c r="AM59" s="2536"/>
      <c r="AN59" s="2536"/>
      <c r="AO59" s="2536"/>
      <c r="AP59" s="2536"/>
      <c r="AQ59" s="4487"/>
      <c r="AR59" s="1539"/>
      <c r="AS59" s="2593"/>
      <c r="AT59" s="2593"/>
      <c r="AU59" s="4487"/>
      <c r="AV59" s="1539"/>
      <c r="AW59" s="4487"/>
      <c r="AX59" s="4487"/>
      <c r="AY59" s="4487"/>
      <c r="AZ59" s="1539"/>
      <c r="BC59" s="2093"/>
      <c r="BE59" s="2800"/>
      <c r="BF59" s="2800"/>
      <c r="BG59" s="1137">
        <f t="shared" si="11"/>
        <v>0</v>
      </c>
      <c r="BH59" s="1137">
        <f t="shared" si="12"/>
        <v>0</v>
      </c>
      <c r="BI59" s="1137"/>
      <c r="BJ59" s="1137">
        <f t="shared" si="13"/>
        <v>0</v>
      </c>
      <c r="BK59" s="1137">
        <f t="shared" si="14"/>
        <v>0</v>
      </c>
      <c r="BL59" s="25"/>
      <c r="BM59" s="25"/>
      <c r="BN59" s="25"/>
    </row>
    <row r="60" spans="1:66" ht="16.5" thickBot="1" x14ac:dyDescent="0.3">
      <c r="A60" s="90"/>
      <c r="B60" s="1733" t="s">
        <v>146</v>
      </c>
      <c r="C60" s="1711" t="s">
        <v>220</v>
      </c>
      <c r="D60" s="1719">
        <v>18.879781979219896</v>
      </c>
      <c r="E60" s="1712">
        <v>19.028571428571432</v>
      </c>
      <c r="F60" s="1712">
        <v>19.033000000000001</v>
      </c>
      <c r="G60" s="1712">
        <v>19.102040816326529</v>
      </c>
      <c r="H60" s="1712">
        <v>19.016666666666666</v>
      </c>
      <c r="I60" s="1713">
        <f>+((E60*E$5*E$2)+(G60*G$2*G$5))/((E$5*E$2)+(G$5*G$2))</f>
        <v>19.065908330545334</v>
      </c>
      <c r="J60" s="1715">
        <f>+((F60*F$5*F$2)+(H60*H$2*H$5))/((F$5*F$2)+(H$5*H$2))</f>
        <v>19.024715610682758</v>
      </c>
      <c r="K60" s="1712">
        <v>18.893617021276597</v>
      </c>
      <c r="L60" s="1712">
        <v>18.866666666666667</v>
      </c>
      <c r="M60" s="1714">
        <f t="shared" ref="M60:N61" si="230">+((E60*E$5*E$2)+(G60*G$5*G$2)+(K60*K$5*K$2))/((E$5*E$2)+(G$5*G$2)+(K$5*K$2))</f>
        <v>19.01068424641964</v>
      </c>
      <c r="N60" s="2414">
        <f t="shared" si="230"/>
        <v>18.973235382760699</v>
      </c>
      <c r="O60" s="1712">
        <v>18.893617021276597</v>
      </c>
      <c r="P60" s="1712">
        <v>18.616666666666667</v>
      </c>
      <c r="Q60" s="1713">
        <f>+((M60*M$5*M$2)+(O60*O$2*O$5))/((M$5*M$2)+(O$5*O$2))</f>
        <v>18.981557377049182</v>
      </c>
      <c r="R60" s="1713">
        <f>+((N60*N$5*N$2)+(P60*P$5*P$2))/((N$5*N$2)+(P$5*P$2))</f>
        <v>18.883896888587724</v>
      </c>
      <c r="S60" s="1712">
        <v>18.893617021276597</v>
      </c>
      <c r="T60" s="1712">
        <v>18.883333333333333</v>
      </c>
      <c r="U60" s="1713">
        <f>+((Q60*Q$5*Q$2)+(S60*S$2*S$5))/((Q$5*Q$2)+(S$5*S$2))</f>
        <v>18.964036647066866</v>
      </c>
      <c r="V60" s="1713">
        <f>+((R60*R$5*R$2)+(T60*T$5*T$2))/((R$5*R$2)+(T$5*T$2))</f>
        <v>18.88378155034582</v>
      </c>
      <c r="W60" s="1712">
        <v>19.283387622149839</v>
      </c>
      <c r="X60" s="1712">
        <v>19</v>
      </c>
      <c r="Y60" s="1714">
        <f>+((O60*O$5*O$2)+(S60*S$5*S$2)+(W60*W$5*W$2))/((O$5*O$2)+(S$5*S$2)+(W$5*W$2))</f>
        <v>19.018973344197416</v>
      </c>
      <c r="Z60" s="2381">
        <f>(P60*P$5*P$2+T60*T$5*T$2+X60*X$5*X$2)/(P$5*P$2+T$5*T$2+X$5*X$2)</f>
        <v>18.833445240226801</v>
      </c>
      <c r="AA60" s="2383">
        <f t="shared" ref="AA60:AB61" si="231">(M60*M$5*M$2+Y60*Y$5*Y$2)/(M$5*M$2+Y$5*Y$2)</f>
        <v>19.014779458278223</v>
      </c>
      <c r="AB60" s="2382">
        <f t="shared" si="231"/>
        <v>18.902994451941822</v>
      </c>
      <c r="AC60" s="1712">
        <v>18.893617021276597</v>
      </c>
      <c r="AD60" s="1712">
        <v>19.3</v>
      </c>
      <c r="AE60" s="1713">
        <f t="shared" ref="AE60:AE61" si="232">+((AA60*AA$5*AA$2)+(AC60*AC$5*AC$2))/((AA$5*AA$2)+(AC$5*AC$2))</f>
        <v>18.997389548342611</v>
      </c>
      <c r="AF60" s="1715">
        <f t="shared" ref="AF60:AF61" si="233">+((AB60*AB$5*AB$2)+(AD60*AD$5*AD$2))/((AB$5*AB$2)+(AD$5*AD$2))</f>
        <v>18.960184498884988</v>
      </c>
      <c r="AG60" s="1712">
        <v>18.893617021276597</v>
      </c>
      <c r="AH60" s="1712">
        <v>18.7</v>
      </c>
      <c r="AI60" s="1713">
        <f t="shared" ref="AI60:AI61" si="234">+((AE60*AE$5*AE$2)+(AG60*AG$5*AG$2))/((AE$5*AE$2)+(AG$5*AG$2))</f>
        <v>18.984733814816419</v>
      </c>
      <c r="AJ60" s="1715">
        <f t="shared" ref="AJ60:AJ61" si="235">+((AF60*AF$5*AF$2)+(AH60*AH$5*AH$2))/((AF$5*AF$2)+(AH$5*AH$2))</f>
        <v>18.929022764503195</v>
      </c>
      <c r="AK60" s="1712">
        <v>18.893617021276597</v>
      </c>
      <c r="AL60" s="1712">
        <v>19.05</v>
      </c>
      <c r="AM60" s="1714">
        <f>+((AC60*AC$5*AC$2)+(AG60*AG$5*AG$2)+(AK60*AK$5*AK$2))/((AC$5*AC$2)+(AG$5*AG$2)+(AK$5*AK$2))</f>
        <v>18.893617021276601</v>
      </c>
      <c r="AN60" s="2381">
        <f>(AD60*AD$5*AD$2+AH60*AH$5*AH$2+AL60*AL$5*AL$2)/(AD$5*AD$2+AH$5*AH$2+AL$5*AL$2)</f>
        <v>19.022393270001142</v>
      </c>
      <c r="AO60" s="1713">
        <f t="shared" ref="AO60:AP61" si="236">+((AK60*AK$5*AK$2)+(AI60*AI$5*AI$2))/((AK$5*AK$2)+(AI$5*AI$2))</f>
        <v>18.974536236893652</v>
      </c>
      <c r="AP60" s="1715">
        <f t="shared" si="236"/>
        <v>18.942328846323043</v>
      </c>
      <c r="AQ60" s="1712">
        <v>18.893617021276597</v>
      </c>
      <c r="AR60" s="1712">
        <v>19.05</v>
      </c>
      <c r="AS60" s="1713">
        <f t="shared" ref="AS60:AS61" si="237">+((AO60*AO$5*AO$2)+(AQ60*AQ$5*AQ$2))/((AO$5*AO$2)+(AQ$5*AQ$2))</f>
        <v>18.966391489067735</v>
      </c>
      <c r="AT60" s="1715">
        <f t="shared" ref="AT60:AT61" si="238">+((AP60*AP$5*AP$2)+(AR60*AR$5*AR$2))/((AP$5*AP$2)+(AR$5*AR$2))</f>
        <v>18.953073668013083</v>
      </c>
      <c r="AU60" s="1712">
        <v>18.893617021276597</v>
      </c>
      <c r="AV60" s="1712">
        <v>18.916666666666668</v>
      </c>
      <c r="AW60" s="1713">
        <f t="shared" ref="AW60:AW61" si="239">+((AS60*AS$5*AS$2)+(AU60*AU$5*AU$2))/((AS$5*AS$2)+(AU$5*AU$2))</f>
        <v>18.960326758066049</v>
      </c>
      <c r="AX60" s="1715">
        <f t="shared" ref="AX60:AX61" si="240">+((AT60*AT$5*AT$2)+(AV60*AV$5*AV$2))/((AT$5*AT$2)+(AV$5*AV$2))</f>
        <v>18.950075377667034</v>
      </c>
      <c r="AY60" s="1712">
        <v>18.893617021276597</v>
      </c>
      <c r="AZ60" s="1712">
        <v>19.05</v>
      </c>
      <c r="BA60" s="1714">
        <f>+((AQ60*AQ$5*AQ$2)+(AU60*AU$5*AU$2)+(AY60*AY$5*AY$2))/((AQ$5*AQ$2)+(AU$5*AU$2)+(AY$5*AY$2))</f>
        <v>18.893617021276601</v>
      </c>
      <c r="BB60" s="2381">
        <f>(AR60*AR$5*AR$2+AV60*AV$5*AV$2+AZ60*AZ$5*AZ$2)/(AR$5*AR$2+AV$5*AV$2+AZ$5*AZ$2)</f>
        <v>19.009112348256402</v>
      </c>
      <c r="BC60" s="2383">
        <f>(AM60*AM$5*AM$2+BA60*BA$5*BA$2)/(AM$5*AM$2+BA$5*BA$2)</f>
        <v>18.893617021276601</v>
      </c>
      <c r="BD60" s="2382">
        <f>(AN60*AN$5*AN$2+BB60*BB$5*BB$2)/(AN$5*AN$2+BB$5*BB$2)</f>
        <v>19.015796800890989</v>
      </c>
      <c r="BE60" s="1713">
        <f t="shared" ref="BE60:BE61" si="241">+((AW60*AW$5*AW$2)+(AY60*AY$5*AY$2))/((AW$5*AW$2)+(AY$5*AY$2))</f>
        <v>18.954691712322809</v>
      </c>
      <c r="BF60" s="1715">
        <f t="shared" ref="BF60:BF61" si="242">+((AX60*AX$5*AX$2)+(AZ60*AZ$5*AZ$2))/((AX$5*AX$2)+(AZ$5*AZ$2))</f>
        <v>18.958713541814873</v>
      </c>
      <c r="BG60" s="1137"/>
      <c r="BH60" s="1137"/>
      <c r="BI60" s="1137"/>
      <c r="BJ60" s="1137"/>
      <c r="BK60" s="1137"/>
      <c r="BL60" s="25"/>
      <c r="BM60" s="25"/>
      <c r="BN60" s="25"/>
    </row>
    <row r="61" spans="1:66" ht="16.5" thickBot="1" x14ac:dyDescent="0.3">
      <c r="A61" s="90"/>
      <c r="B61" s="1734" t="s">
        <v>147</v>
      </c>
      <c r="C61" s="1574" t="s">
        <v>220</v>
      </c>
      <c r="D61" s="1720">
        <v>18.0520162514688</v>
      </c>
      <c r="E61" s="1575">
        <v>18.260869565217391</v>
      </c>
      <c r="F61" s="1575">
        <v>17.7</v>
      </c>
      <c r="G61" s="1575">
        <v>17.951020408163266</v>
      </c>
      <c r="H61" s="1575">
        <v>17.916666666666668</v>
      </c>
      <c r="I61" s="1716">
        <f t="shared" ref="I61" si="243">+((E61*E$5*E$2)+(G61*G$2*G$5))/((E$5*E$2)+(G$5*G$2))</f>
        <v>18.10340523950136</v>
      </c>
      <c r="J61" s="1718">
        <f t="shared" ref="J61" si="244">+((F61*F$5*F$2)+(H61*H$2*H$5))/((F$5*F$2)+(H$5*H$2))</f>
        <v>17.809894960330766</v>
      </c>
      <c r="K61" s="1575">
        <v>17.951020408163266</v>
      </c>
      <c r="L61" s="1575">
        <v>17.7</v>
      </c>
      <c r="M61" s="1717">
        <f t="shared" si="230"/>
        <v>18.054561726842415</v>
      </c>
      <c r="N61" s="2415">
        <f t="shared" si="230"/>
        <v>17.774099608197709</v>
      </c>
      <c r="O61" s="1575">
        <v>17.951020408163266</v>
      </c>
      <c r="P61" s="1575">
        <v>17.566666666666666</v>
      </c>
      <c r="Q61" s="1716">
        <f t="shared" ref="Q61" si="245">+((M61*M$5*M$2)+(O61*O$2*O$5))/((M$5*M$2)+(O$5*O$2))</f>
        <v>18.028800165825423</v>
      </c>
      <c r="R61" s="1716">
        <f>+((N61*N$5*N$2)+(P61*P$5*P$2))/((N$5*N$2)+(P$5*P$2))</f>
        <v>17.722127166977241</v>
      </c>
      <c r="S61" s="1575">
        <v>17.951020408163266</v>
      </c>
      <c r="T61" s="1575">
        <v>17.683333333333334</v>
      </c>
      <c r="U61" s="1716">
        <f t="shared" ref="U61" si="246">+((Q61*Q$5*Q$2)+(S61*S$2*S$5))/((Q$5*Q$2)+(S$5*S$2))</f>
        <v>18.013303774889589</v>
      </c>
      <c r="V61" s="1716">
        <f>+((R61*R$5*R$2)+(T61*T$5*T$2))/((R$5*R$2)+(T$5*T$2))</f>
        <v>17.714187550525462</v>
      </c>
      <c r="W61" s="1575">
        <v>18.814973262032083</v>
      </c>
      <c r="X61" s="1575">
        <v>17.633333333333333</v>
      </c>
      <c r="Y61" s="1714">
        <f t="shared" ref="Y61" si="247">+((O61*O$5*O$2)+(S61*S$5*S$2)+(W61*W$5*W$2))/((O$5*O$2)+(S$5*S$2)+(W$5*W$2))</f>
        <v>18.228881161886878</v>
      </c>
      <c r="Z61" s="2381">
        <f>(P61*P$5*P$2+T61*T$5*T$2+X61*X$5*X$2)/(P$5*P$2+T$5*T$2+X$5*X$2)</f>
        <v>17.628263951059388</v>
      </c>
      <c r="AA61" s="2383">
        <f t="shared" si="231"/>
        <v>18.140683888350665</v>
      </c>
      <c r="AB61" s="2382">
        <f t="shared" si="231"/>
        <v>17.700820962663069</v>
      </c>
      <c r="AC61" s="1575">
        <v>17.951020408163266</v>
      </c>
      <c r="AD61" s="1575">
        <v>17.933333333333334</v>
      </c>
      <c r="AE61" s="1716">
        <f t="shared" si="232"/>
        <v>18.113462325957613</v>
      </c>
      <c r="AF61" s="1718">
        <f t="shared" si="233"/>
        <v>17.734315188269083</v>
      </c>
      <c r="AG61" s="1575">
        <v>17.951020408163266</v>
      </c>
      <c r="AH61" s="1575">
        <v>17.649999999999999</v>
      </c>
      <c r="AI61" s="1716">
        <f t="shared" si="234"/>
        <v>18.093651479260384</v>
      </c>
      <c r="AJ61" s="1718">
        <f t="shared" si="235"/>
        <v>17.724216940631532</v>
      </c>
      <c r="AK61" s="1575">
        <v>17.951020408163266</v>
      </c>
      <c r="AL61" s="1575">
        <v>17.583333333333332</v>
      </c>
      <c r="AM61" s="1714">
        <f t="shared" ref="AM61" si="248">+((AC61*AC$5*AC$2)+(AG61*AG$5*AG$2)+(AK61*AK$5*AK$2))/((AC$5*AC$2)+(AG$5*AG$2)+(AK$5*AK$2))</f>
        <v>17.951020408163266</v>
      </c>
      <c r="AN61" s="2381">
        <f>(AD61*AD$5*AD$2+AH61*AH$5*AH$2+AL61*AL$5*AL$2)/(AD$5*AD$2+AH$5*AH$2+AL$5*AL$2)</f>
        <v>17.724802563809085</v>
      </c>
      <c r="AO61" s="1716">
        <f t="shared" si="236"/>
        <v>18.077688544161219</v>
      </c>
      <c r="AP61" s="1718">
        <f t="shared" si="236"/>
        <v>17.708721390596132</v>
      </c>
      <c r="AQ61" s="1575">
        <v>17.951020408163266</v>
      </c>
      <c r="AR61" s="1575">
        <v>17.82</v>
      </c>
      <c r="AS61" s="1716">
        <f t="shared" si="237"/>
        <v>18.064939038158037</v>
      </c>
      <c r="AT61" s="1718">
        <f t="shared" si="238"/>
        <v>17.719826210922914</v>
      </c>
      <c r="AU61" s="1575">
        <v>17.951020408163266</v>
      </c>
      <c r="AV61" s="1575">
        <v>17.8</v>
      </c>
      <c r="AW61" s="1716">
        <f t="shared" si="239"/>
        <v>18.055445518411776</v>
      </c>
      <c r="AX61" s="1718">
        <f t="shared" si="240"/>
        <v>17.726428905154958</v>
      </c>
      <c r="AY61" s="1575">
        <v>17.951020408163266</v>
      </c>
      <c r="AZ61" s="1575">
        <v>17.670000000000002</v>
      </c>
      <c r="BA61" s="1714">
        <f t="shared" ref="BA61" si="249">+((AQ61*AQ$5*AQ$2)+(AU61*AU$5*AU$2)+(AY61*AY$5*AY$2))/((AQ$5*AQ$2)+(AU$5*AU$2)+(AY$5*AY$2))</f>
        <v>17.951020408163266</v>
      </c>
      <c r="BB61" s="2381">
        <f>(AR61*AR$5*AR$2+AV61*AV$5*AV$2+AZ61*AZ$5*AZ$2)/(AR$5*AR$2+AV$5*AV$2+AZ$5*AZ$2)</f>
        <v>17.761013685919739</v>
      </c>
      <c r="BC61" s="2383">
        <f>(AM61*AM$5*AM$2+BA61*BA$5*BA$2)/(AM$5*AM$2+BA$5*BA$2)</f>
        <v>17.951020408163266</v>
      </c>
      <c r="BD61" s="2382">
        <f>(AN61*AN$5*AN$2+BB61*BB$5*BB$2)/(AN$5*AN$2+BB$5*BB$2)</f>
        <v>17.742788179042567</v>
      </c>
      <c r="BE61" s="1716">
        <f t="shared" si="241"/>
        <v>18.046624613079022</v>
      </c>
      <c r="BF61" s="1718">
        <f t="shared" si="242"/>
        <v>17.721550806704034</v>
      </c>
      <c r="BG61" s="1137"/>
      <c r="BH61" s="1137"/>
      <c r="BI61" s="1137"/>
      <c r="BJ61" s="1137"/>
      <c r="BK61" s="1137"/>
      <c r="BL61" s="25"/>
      <c r="BM61" s="25"/>
      <c r="BN61" s="25"/>
    </row>
    <row r="62" spans="1:66" ht="16.5" customHeight="1" thickBot="1" x14ac:dyDescent="0.3">
      <c r="A62" s="502"/>
      <c r="B62" s="502"/>
      <c r="C62" s="502"/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2"/>
      <c r="AB62" s="502"/>
      <c r="AC62" s="502"/>
      <c r="AD62" s="502"/>
      <c r="AE62" s="502"/>
      <c r="AF62" s="502"/>
      <c r="AG62" s="502"/>
      <c r="AH62" s="502"/>
      <c r="AI62" s="502"/>
      <c r="AJ62" s="502"/>
      <c r="AK62" s="502"/>
      <c r="AL62" s="502"/>
      <c r="AM62" s="502"/>
      <c r="AN62" s="502"/>
      <c r="AO62" s="502"/>
      <c r="AP62" s="502"/>
      <c r="AQ62" s="502"/>
      <c r="AR62" s="502"/>
      <c r="AS62" s="502"/>
      <c r="AT62" s="502"/>
      <c r="AU62" s="502"/>
      <c r="AV62" s="502"/>
      <c r="AW62" s="502"/>
      <c r="AX62" s="502"/>
      <c r="AY62" s="502"/>
      <c r="AZ62" s="502"/>
      <c r="BA62" s="502"/>
      <c r="BB62" s="502"/>
      <c r="BC62" s="502"/>
      <c r="BD62" s="502"/>
      <c r="BE62" s="502"/>
      <c r="BF62" s="502"/>
      <c r="BG62" s="1137">
        <f t="shared" si="11"/>
        <v>0</v>
      </c>
      <c r="BH62" s="1137">
        <f t="shared" si="12"/>
        <v>0</v>
      </c>
      <c r="BI62" s="1137"/>
      <c r="BJ62" s="1137">
        <f t="shared" si="13"/>
        <v>0</v>
      </c>
      <c r="BK62" s="1137">
        <f t="shared" si="14"/>
        <v>0</v>
      </c>
      <c r="BL62" s="25"/>
      <c r="BM62" s="25"/>
      <c r="BN62" s="25"/>
    </row>
    <row r="63" spans="1:66" ht="16.5" thickBot="1" x14ac:dyDescent="0.3">
      <c r="A63" s="138" t="s">
        <v>446</v>
      </c>
      <c r="B63" s="3493" t="s">
        <v>179</v>
      </c>
      <c r="C63" s="1323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218"/>
      <c r="Z63" s="218"/>
      <c r="AA63" s="2333"/>
      <c r="AB63" s="218"/>
      <c r="AC63" s="502"/>
      <c r="AD63" s="502"/>
      <c r="AE63" s="244"/>
      <c r="AF63" s="244"/>
      <c r="AG63" s="502"/>
      <c r="AH63" s="502"/>
      <c r="AI63" s="244"/>
      <c r="AJ63" s="244"/>
      <c r="AK63" s="502"/>
      <c r="AL63" s="502"/>
      <c r="AM63" s="218"/>
      <c r="AN63" s="218"/>
      <c r="AO63" s="244"/>
      <c r="AP63" s="244"/>
      <c r="AQ63" s="502"/>
      <c r="AR63" s="502"/>
      <c r="AS63" s="244"/>
      <c r="AT63" s="244"/>
      <c r="AU63" s="502"/>
      <c r="AV63" s="502"/>
      <c r="AW63" s="244"/>
      <c r="AX63" s="244"/>
      <c r="AY63" s="502"/>
      <c r="AZ63" s="502"/>
      <c r="BA63" s="218"/>
      <c r="BB63" s="218"/>
      <c r="BC63" s="2923"/>
      <c r="BD63" s="2924"/>
      <c r="BE63" s="244"/>
      <c r="BF63" s="244"/>
      <c r="BG63" s="1137">
        <f t="shared" si="11"/>
        <v>0</v>
      </c>
      <c r="BH63" s="1137">
        <f t="shared" si="12"/>
        <v>0</v>
      </c>
      <c r="BI63" s="1137"/>
      <c r="BJ63" s="1137">
        <f t="shared" si="13"/>
        <v>0</v>
      </c>
      <c r="BK63" s="1137">
        <f t="shared" si="14"/>
        <v>0</v>
      </c>
      <c r="BL63" s="25"/>
      <c r="BM63" s="25"/>
      <c r="BN63" s="25"/>
    </row>
    <row r="64" spans="1:66" ht="15.75" thickBot="1" x14ac:dyDescent="0.3">
      <c r="B64" s="1728" t="s">
        <v>180</v>
      </c>
      <c r="C64" s="1306" t="s">
        <v>50</v>
      </c>
      <c r="D64" s="3407">
        <v>14541.292799999999</v>
      </c>
      <c r="E64" s="3398">
        <v>1213.6320000000001</v>
      </c>
      <c r="F64" s="470">
        <v>1112.4000000000001</v>
      </c>
      <c r="G64" s="5576">
        <v>1306.3399999999999</v>
      </c>
      <c r="H64" s="470">
        <v>1195</v>
      </c>
      <c r="I64" s="3399">
        <f>+E64+G64</f>
        <v>2519.9719999999998</v>
      </c>
      <c r="J64" s="37">
        <f>+F64+H64</f>
        <v>2307.4</v>
      </c>
      <c r="K64" s="5672">
        <v>1212.5999999999999</v>
      </c>
      <c r="L64" s="470">
        <v>1140.2</v>
      </c>
      <c r="M64" s="70">
        <f>+E64+G64+K64</f>
        <v>3732.5719999999997</v>
      </c>
      <c r="N64" s="117">
        <f>+F64+H64+L64</f>
        <v>3447.6000000000004</v>
      </c>
      <c r="O64" s="5828">
        <v>1253.02</v>
      </c>
      <c r="P64" s="470">
        <v>1166.7</v>
      </c>
      <c r="Q64" s="59">
        <f>+M64+O64</f>
        <v>4985.5919999999996</v>
      </c>
      <c r="R64" s="37">
        <f>+N64+P64</f>
        <v>4614.3</v>
      </c>
      <c r="S64" s="5905">
        <v>1253.02</v>
      </c>
      <c r="T64" s="470">
        <v>1199.7</v>
      </c>
      <c r="U64" s="4321">
        <f>+Q64+S64</f>
        <v>6238.6119999999992</v>
      </c>
      <c r="V64" s="37">
        <f>+R64+T64</f>
        <v>5814</v>
      </c>
      <c r="W64" s="5999">
        <v>1188.0899999999999</v>
      </c>
      <c r="X64" s="470">
        <v>1161</v>
      </c>
      <c r="Y64" s="713">
        <f>+O64+S64+W64</f>
        <v>3694.13</v>
      </c>
      <c r="Z64" s="81">
        <f>+P64+T64+X64</f>
        <v>3527.4</v>
      </c>
      <c r="AA64" s="711">
        <f>+M64+Y64</f>
        <v>7426.7019999999993</v>
      </c>
      <c r="AB64" s="711">
        <f>+N64+Z64</f>
        <v>6975</v>
      </c>
      <c r="AC64" s="6130">
        <v>1253.02</v>
      </c>
      <c r="AD64" s="470">
        <v>1128.9000000000001</v>
      </c>
      <c r="AE64" s="2428">
        <f>+AA64+AC64</f>
        <v>8679.7219999999998</v>
      </c>
      <c r="AF64" s="37">
        <f>+AB64+AD64</f>
        <v>8103.9</v>
      </c>
      <c r="AG64" s="6292">
        <v>1212.5999999999999</v>
      </c>
      <c r="AH64" s="470">
        <v>1067.8</v>
      </c>
      <c r="AI64" s="2475">
        <f>+AE64+AG64</f>
        <v>9892.3220000000001</v>
      </c>
      <c r="AJ64" s="37">
        <f>+AF64+AH64</f>
        <v>9171.6999999999989</v>
      </c>
      <c r="AK64" s="6561">
        <v>1253.02</v>
      </c>
      <c r="AL64" s="470">
        <v>1101.3800000000001</v>
      </c>
      <c r="AM64" s="713">
        <f>+AC64+AG64+AK64</f>
        <v>3718.64</v>
      </c>
      <c r="AN64" s="81">
        <f>+AD64+AH64+AL64</f>
        <v>3298.08</v>
      </c>
      <c r="AO64" s="712">
        <f>AI64+AK64</f>
        <v>11145.342000000001</v>
      </c>
      <c r="AP64" s="712">
        <f>AJ64+AL64</f>
        <v>10273.079999999998</v>
      </c>
      <c r="AQ64" s="6638">
        <v>1253.02</v>
      </c>
      <c r="AR64" s="470">
        <v>1111.4000000000001</v>
      </c>
      <c r="AS64" s="2591">
        <f>+AO64+AQ64</f>
        <v>12398.362000000001</v>
      </c>
      <c r="AT64" s="37">
        <f>+AP64+AR64</f>
        <v>11384.479999999998</v>
      </c>
      <c r="AU64" s="6823">
        <v>1131.76</v>
      </c>
      <c r="AV64" s="470">
        <v>1005.72</v>
      </c>
      <c r="AW64" s="5012">
        <f>+AS64+AU64</f>
        <v>13530.122000000001</v>
      </c>
      <c r="AX64" s="37">
        <f>+AT64+AV64</f>
        <v>12390.199999999997</v>
      </c>
      <c r="AY64" s="6969">
        <v>1253.02</v>
      </c>
      <c r="AZ64" s="470">
        <v>1149.48</v>
      </c>
      <c r="BA64" s="713">
        <f>+AQ64+AU64+AY64</f>
        <v>3637.7999999999997</v>
      </c>
      <c r="BB64" s="2916">
        <f>+AR64+AV64+AZ64</f>
        <v>3266.6</v>
      </c>
      <c r="BC64" s="2925">
        <f t="shared" ref="BC64:BC65" si="250">+AM64+BA64</f>
        <v>7356.44</v>
      </c>
      <c r="BD64" s="2925">
        <f t="shared" ref="BD64:BD65" si="251">+AN64+BB64</f>
        <v>6564.68</v>
      </c>
      <c r="BE64" s="411">
        <f>+AW64+AY64</f>
        <v>14783.142000000002</v>
      </c>
      <c r="BF64" s="37">
        <f>+AX64+AZ64</f>
        <v>13539.679999999997</v>
      </c>
      <c r="BG64" s="1137">
        <f t="shared" si="11"/>
        <v>0</v>
      </c>
      <c r="BH64" s="1137">
        <f t="shared" si="12"/>
        <v>0</v>
      </c>
      <c r="BI64" s="1137"/>
      <c r="BJ64" s="1137">
        <f t="shared" si="13"/>
        <v>0</v>
      </c>
      <c r="BK64" s="1137">
        <f t="shared" si="14"/>
        <v>0</v>
      </c>
      <c r="BL64" s="25"/>
      <c r="BM64" s="25"/>
      <c r="BN64" s="25"/>
    </row>
    <row r="65" spans="1:66" ht="15.95" customHeight="1" thickBot="1" x14ac:dyDescent="0.3">
      <c r="B65" s="1729" t="s">
        <v>181</v>
      </c>
      <c r="C65" s="1317" t="s">
        <v>50</v>
      </c>
      <c r="D65" s="3494">
        <v>27569.645216750007</v>
      </c>
      <c r="E65" s="3404">
        <v>2240.0815500000003</v>
      </c>
      <c r="F65" s="3495">
        <v>2334.02</v>
      </c>
      <c r="G65" s="5581">
        <v>2396.2224999999999</v>
      </c>
      <c r="H65" s="3495">
        <v>2383.13</v>
      </c>
      <c r="I65" s="3409">
        <f>+E65+G65</f>
        <v>4636.3040500000006</v>
      </c>
      <c r="J65" s="154">
        <f>+F65+H65</f>
        <v>4717.1499999999996</v>
      </c>
      <c r="K65" s="5685">
        <v>2318.9250000000002</v>
      </c>
      <c r="L65" s="3495">
        <v>2322.87</v>
      </c>
      <c r="M65" s="1459">
        <f>+E65+G65+K65</f>
        <v>6955.2290500000008</v>
      </c>
      <c r="N65" s="1469">
        <f>+F65+H65+L65</f>
        <v>7040.0199999999995</v>
      </c>
      <c r="O65" s="5842">
        <v>2396.2224999999999</v>
      </c>
      <c r="P65" s="3495">
        <v>2419.42</v>
      </c>
      <c r="Q65" s="1044">
        <f>+M65+O65</f>
        <v>9351.4515500000016</v>
      </c>
      <c r="R65" s="154">
        <f>+N65+P65</f>
        <v>9459.4399999999987</v>
      </c>
      <c r="S65" s="5911">
        <v>2396.2224999999999</v>
      </c>
      <c r="T65" s="3495">
        <v>2408.9899999999998</v>
      </c>
      <c r="U65" s="4322">
        <f>+Q65+S65</f>
        <v>11747.674050000001</v>
      </c>
      <c r="V65" s="154">
        <f>+R65+T65</f>
        <v>11868.429999999998</v>
      </c>
      <c r="W65" s="6011">
        <v>2212.4437499999999</v>
      </c>
      <c r="X65" s="3495">
        <v>2336.87</v>
      </c>
      <c r="Y65" s="731">
        <f>+O65+S65+W65</f>
        <v>7004.8887500000001</v>
      </c>
      <c r="Z65" s="503">
        <f>+P65+T65+X65</f>
        <v>7165.28</v>
      </c>
      <c r="AA65" s="711">
        <f>+M65+Y65</f>
        <v>13960.1178</v>
      </c>
      <c r="AB65" s="711">
        <f>+N65+Z65</f>
        <v>14205.3</v>
      </c>
      <c r="AC65" s="6142">
        <v>2396.2224999999999</v>
      </c>
      <c r="AD65" s="3495">
        <v>2276.92</v>
      </c>
      <c r="AE65" s="2434">
        <f>+AA65+AC65</f>
        <v>16356.3403</v>
      </c>
      <c r="AF65" s="154">
        <f>+AB65+AD65</f>
        <v>16482.22</v>
      </c>
      <c r="AG65" s="6304">
        <v>2318.9250000000002</v>
      </c>
      <c r="AH65" s="3495">
        <v>2147.19</v>
      </c>
      <c r="AI65" s="2479">
        <f>+AE65+AG65</f>
        <v>18675.265299999999</v>
      </c>
      <c r="AJ65" s="154">
        <f>+AF65+AH65</f>
        <v>18629.41</v>
      </c>
      <c r="AK65" s="6566">
        <v>2396.2224999999999</v>
      </c>
      <c r="AL65" s="3495">
        <v>2150.37</v>
      </c>
      <c r="AM65" s="731">
        <f>+AC65+AG65+AK65</f>
        <v>7111.37</v>
      </c>
      <c r="AN65" s="503">
        <f>+AD65+AH65+AL65</f>
        <v>6574.4800000000005</v>
      </c>
      <c r="AO65" s="712">
        <f>AI65+AK65</f>
        <v>21071.487799999999</v>
      </c>
      <c r="AP65" s="712">
        <f>AJ65+AL65</f>
        <v>20779.78</v>
      </c>
      <c r="AQ65" s="6647">
        <v>2396.2224999999999</v>
      </c>
      <c r="AR65" s="3495">
        <v>2323.2800000000002</v>
      </c>
      <c r="AS65" s="2597">
        <f>+AO65+AQ65</f>
        <v>23467.710299999999</v>
      </c>
      <c r="AT65" s="154">
        <f>+AP65+AR65</f>
        <v>23103.059999999998</v>
      </c>
      <c r="AU65" s="6827">
        <v>2164.33</v>
      </c>
      <c r="AV65" s="3495">
        <v>2164.9499999999998</v>
      </c>
      <c r="AW65" s="5013">
        <f>+AS65+AU65</f>
        <v>25632.040300000001</v>
      </c>
      <c r="AX65" s="154">
        <f>+AT65+AV65</f>
        <v>25268.01</v>
      </c>
      <c r="AY65" s="6972">
        <v>2396.2224999999999</v>
      </c>
      <c r="AZ65" s="3495">
        <v>2412.6</v>
      </c>
      <c r="BA65" s="731">
        <f>+AQ65+AU65+AY65</f>
        <v>6956.7749999999996</v>
      </c>
      <c r="BB65" s="2917">
        <f>+AR65+AV65+AZ65</f>
        <v>6900.83</v>
      </c>
      <c r="BC65" s="2925">
        <f t="shared" si="250"/>
        <v>14068.145</v>
      </c>
      <c r="BD65" s="2925">
        <f t="shared" si="251"/>
        <v>13475.310000000001</v>
      </c>
      <c r="BE65" s="2920">
        <f>+AW65+AY65</f>
        <v>28028.2628</v>
      </c>
      <c r="BF65" s="154">
        <f>+AX65+AZ65</f>
        <v>27680.609999999997</v>
      </c>
      <c r="BG65" s="1137">
        <f t="shared" si="11"/>
        <v>0</v>
      </c>
      <c r="BH65" s="1137">
        <f t="shared" si="12"/>
        <v>0</v>
      </c>
      <c r="BI65" s="1137"/>
      <c r="BJ65" s="1137">
        <f t="shared" si="13"/>
        <v>0</v>
      </c>
      <c r="BK65" s="1137">
        <f t="shared" si="14"/>
        <v>0</v>
      </c>
      <c r="BL65" s="25"/>
      <c r="BM65" s="25"/>
      <c r="BN65" s="25"/>
    </row>
    <row r="66" spans="1:66" ht="16.5" thickBot="1" x14ac:dyDescent="0.3">
      <c r="B66" s="1730" t="s">
        <v>35</v>
      </c>
      <c r="C66" s="1625" t="s">
        <v>50</v>
      </c>
      <c r="D66" s="348">
        <f t="shared" ref="D66:J66" si="252">SUM(D64:D65)</f>
        <v>42110.938016750006</v>
      </c>
      <c r="E66" s="429">
        <f t="shared" si="252"/>
        <v>3453.7135500000004</v>
      </c>
      <c r="F66" s="28">
        <f>SUM(F64:F65)</f>
        <v>3446.42</v>
      </c>
      <c r="G66" s="429">
        <f t="shared" ref="G66" si="253">SUM(G64:G65)</f>
        <v>3702.5625</v>
      </c>
      <c r="H66" s="28">
        <f>SUM(H64:H65)</f>
        <v>3578.13</v>
      </c>
      <c r="I66" s="1106">
        <f t="shared" si="252"/>
        <v>7156.2760500000004</v>
      </c>
      <c r="J66" s="39">
        <f t="shared" si="252"/>
        <v>7024.5499999999993</v>
      </c>
      <c r="K66" s="429">
        <f t="shared" ref="K66" si="254">SUM(K64:K65)</f>
        <v>3531.5250000000001</v>
      </c>
      <c r="L66" s="28">
        <f>SUM(L64:L65)</f>
        <v>3463.0699999999997</v>
      </c>
      <c r="M66" s="331">
        <f t="shared" ref="M66:R66" si="255">SUM(M64:M65)</f>
        <v>10687.80105</v>
      </c>
      <c r="N66" s="65">
        <f t="shared" si="255"/>
        <v>10487.619999999999</v>
      </c>
      <c r="O66" s="429">
        <f t="shared" si="255"/>
        <v>3649.2424999999998</v>
      </c>
      <c r="P66" s="28">
        <f>SUM(P64:P65)</f>
        <v>3586.12</v>
      </c>
      <c r="Q66" s="1106">
        <f t="shared" si="255"/>
        <v>14337.043550000002</v>
      </c>
      <c r="R66" s="1106">
        <f t="shared" si="255"/>
        <v>14073.739999999998</v>
      </c>
      <c r="S66" s="429">
        <f t="shared" ref="S66" si="256">SUM(S64:S65)</f>
        <v>3649.2424999999998</v>
      </c>
      <c r="T66" s="28">
        <f>SUM(T64:T65)</f>
        <v>3608.6899999999996</v>
      </c>
      <c r="U66" s="1106">
        <f t="shared" ref="U66:W66" si="257">SUM(U64:U65)</f>
        <v>17986.286050000002</v>
      </c>
      <c r="V66" s="1106">
        <f t="shared" si="257"/>
        <v>17682.43</v>
      </c>
      <c r="W66" s="429">
        <f t="shared" si="257"/>
        <v>3400.5337499999996</v>
      </c>
      <c r="X66" s="28">
        <f>SUM(X64:X65)</f>
        <v>3497.87</v>
      </c>
      <c r="Y66" s="1107">
        <f t="shared" ref="Y66:Z66" si="258">SUM(Y64:Y65)</f>
        <v>10699.018749999999</v>
      </c>
      <c r="Z66" s="1107">
        <f t="shared" si="258"/>
        <v>10692.68</v>
      </c>
      <c r="AA66" s="2343">
        <f t="shared" ref="AA66:AF66" si="259">SUM(AA64:AA65)</f>
        <v>21386.819799999997</v>
      </c>
      <c r="AB66" s="1108">
        <f t="shared" si="259"/>
        <v>21180.3</v>
      </c>
      <c r="AC66" s="429">
        <f t="shared" si="259"/>
        <v>3649.2424999999998</v>
      </c>
      <c r="AD66" s="28">
        <f>SUM(AD64:AD65)</f>
        <v>3405.82</v>
      </c>
      <c r="AE66" s="1106">
        <f t="shared" si="259"/>
        <v>25036.062299999998</v>
      </c>
      <c r="AF66" s="1106">
        <f t="shared" si="259"/>
        <v>24586.120000000003</v>
      </c>
      <c r="AG66" s="429">
        <f t="shared" ref="AG66" si="260">SUM(AG64:AG65)</f>
        <v>3531.5250000000001</v>
      </c>
      <c r="AH66" s="28">
        <f>SUM(AH64:AH65)</f>
        <v>3214.99</v>
      </c>
      <c r="AI66" s="1106">
        <f t="shared" ref="AI66:AN66" si="261">SUM(AI64:AI65)</f>
        <v>28567.587299999999</v>
      </c>
      <c r="AJ66" s="1106">
        <f t="shared" si="261"/>
        <v>27801.11</v>
      </c>
      <c r="AK66" s="429">
        <f t="shared" si="261"/>
        <v>3649.2424999999998</v>
      </c>
      <c r="AL66" s="28">
        <f>SUM(AL64:AL65)</f>
        <v>3251.75</v>
      </c>
      <c r="AM66" s="1107">
        <f t="shared" si="261"/>
        <v>10830.01</v>
      </c>
      <c r="AN66" s="1107">
        <f t="shared" si="261"/>
        <v>9872.5600000000013</v>
      </c>
      <c r="AO66" s="1106">
        <f t="shared" ref="AO66:AT66" si="262">SUM(AO64:AO65)</f>
        <v>32216.8298</v>
      </c>
      <c r="AP66" s="1106">
        <f t="shared" si="262"/>
        <v>31052.859999999997</v>
      </c>
      <c r="AQ66" s="429">
        <f t="shared" si="262"/>
        <v>3649.2424999999998</v>
      </c>
      <c r="AR66" s="28">
        <f>SUM(AR64:AR65)</f>
        <v>3434.6800000000003</v>
      </c>
      <c r="AS66" s="1106">
        <f t="shared" si="262"/>
        <v>35866.0723</v>
      </c>
      <c r="AT66" s="1106">
        <f t="shared" si="262"/>
        <v>34487.539999999994</v>
      </c>
      <c r="AU66" s="429">
        <f t="shared" ref="AU66" si="263">SUM(AU64:AU65)</f>
        <v>3296.09</v>
      </c>
      <c r="AV66" s="28">
        <f>SUM(AV64:AV65)</f>
        <v>3170.67</v>
      </c>
      <c r="AW66" s="1106">
        <f t="shared" ref="AW66:AY66" si="264">SUM(AW64:AW65)</f>
        <v>39162.162300000004</v>
      </c>
      <c r="AX66" s="1106">
        <f t="shared" si="264"/>
        <v>37658.209999999992</v>
      </c>
      <c r="AY66" s="429">
        <f t="shared" si="264"/>
        <v>3649.2424999999998</v>
      </c>
      <c r="AZ66" s="28">
        <f>SUM(AZ64:AZ65)</f>
        <v>3562.08</v>
      </c>
      <c r="BA66" s="1107">
        <f t="shared" ref="BA66:BF66" si="265">SUM(BA64:BA65)</f>
        <v>10594.574999999999</v>
      </c>
      <c r="BB66" s="1497">
        <f t="shared" si="265"/>
        <v>10167.43</v>
      </c>
      <c r="BC66" s="2887">
        <f t="shared" si="265"/>
        <v>21424.584999999999</v>
      </c>
      <c r="BD66" s="2897">
        <f t="shared" si="265"/>
        <v>20039.990000000002</v>
      </c>
      <c r="BE66" s="682">
        <f t="shared" si="265"/>
        <v>42811.404800000004</v>
      </c>
      <c r="BF66" s="1106">
        <f t="shared" si="265"/>
        <v>41220.289999999994</v>
      </c>
      <c r="BG66" s="1137">
        <f t="shared" si="11"/>
        <v>0</v>
      </c>
      <c r="BH66" s="1137">
        <f t="shared" si="12"/>
        <v>0</v>
      </c>
      <c r="BI66" s="1137"/>
      <c r="BJ66" s="1137">
        <f t="shared" si="13"/>
        <v>0</v>
      </c>
      <c r="BK66" s="1137">
        <f t="shared" si="14"/>
        <v>0</v>
      </c>
      <c r="BL66" s="25"/>
      <c r="BM66" s="25"/>
      <c r="BN66" s="25"/>
    </row>
    <row r="67" spans="1:66" ht="15.75" thickBot="1" x14ac:dyDescent="0.3">
      <c r="B67" s="1731" t="s">
        <v>182</v>
      </c>
      <c r="C67" s="1320" t="s">
        <v>50</v>
      </c>
      <c r="D67" s="3408">
        <v>6058.8719999999985</v>
      </c>
      <c r="E67" s="3405">
        <v>505.68</v>
      </c>
      <c r="F67" s="491">
        <v>542</v>
      </c>
      <c r="G67" s="5580">
        <v>488.82400000000001</v>
      </c>
      <c r="H67" s="491">
        <v>429.5</v>
      </c>
      <c r="I67" s="675">
        <f>+E67+G67</f>
        <v>994.50400000000002</v>
      </c>
      <c r="J67" s="60">
        <f>+F67+H67</f>
        <v>971.5</v>
      </c>
      <c r="K67" s="5684">
        <v>452.70400000000001</v>
      </c>
      <c r="L67" s="491">
        <v>422</v>
      </c>
      <c r="M67" s="1043">
        <f>+E67+G67+K67</f>
        <v>1447.2080000000001</v>
      </c>
      <c r="N67" s="1470">
        <f>+F67+H67+L67</f>
        <v>1393.5</v>
      </c>
      <c r="O67" s="5841">
        <v>468.87200000000001</v>
      </c>
      <c r="P67" s="491">
        <v>412</v>
      </c>
      <c r="Q67" s="675">
        <f>+M67+O67</f>
        <v>1916.0800000000002</v>
      </c>
      <c r="R67" s="60">
        <f>+N67+P67</f>
        <v>1805.5</v>
      </c>
      <c r="S67" s="5910">
        <v>468.87200000000001</v>
      </c>
      <c r="T67" s="491">
        <v>390</v>
      </c>
      <c r="U67" s="4323">
        <f>+Q67+S67</f>
        <v>2384.9520000000002</v>
      </c>
      <c r="V67" s="60">
        <f>+R67+T67</f>
        <v>2195.5</v>
      </c>
      <c r="W67" s="6010">
        <v>443.55359999999996</v>
      </c>
      <c r="X67" s="491">
        <v>355</v>
      </c>
      <c r="Y67" s="713">
        <f>+O67+S67+W67</f>
        <v>1381.2975999999999</v>
      </c>
      <c r="Z67" s="81">
        <f>+P67+T67+X67</f>
        <v>1157</v>
      </c>
      <c r="AA67" s="711">
        <f>+M67+Y67</f>
        <v>2828.5056</v>
      </c>
      <c r="AB67" s="711">
        <f>+N67+Z67</f>
        <v>2550.5</v>
      </c>
      <c r="AC67" s="6141">
        <v>0</v>
      </c>
      <c r="AD67" s="491">
        <v>341</v>
      </c>
      <c r="AE67" s="675">
        <f>+AA67+AC67</f>
        <v>2828.5056</v>
      </c>
      <c r="AF67" s="60">
        <f>+AB67+AD67</f>
        <v>2891.5</v>
      </c>
      <c r="AG67" s="6303">
        <v>452.70400000000001</v>
      </c>
      <c r="AH67" s="491">
        <v>363</v>
      </c>
      <c r="AI67" s="675">
        <f>+AE67+AG67</f>
        <v>3281.2096000000001</v>
      </c>
      <c r="AJ67" s="60">
        <f>+AF67+AH67</f>
        <v>3254.5</v>
      </c>
      <c r="AK67" s="6565">
        <v>468.87200000000001</v>
      </c>
      <c r="AL67" s="491">
        <v>385</v>
      </c>
      <c r="AM67" s="713">
        <f>+AC67+AG67+AK67</f>
        <v>921.57600000000002</v>
      </c>
      <c r="AN67" s="81">
        <f>+AD67+AH67+AL67</f>
        <v>1089</v>
      </c>
      <c r="AO67" s="712">
        <f>AI67+AK67</f>
        <v>3750.0816</v>
      </c>
      <c r="AP67" s="712">
        <f>AJ67+AL67</f>
        <v>3639.5</v>
      </c>
      <c r="AQ67" s="6646">
        <v>468.87200000000001</v>
      </c>
      <c r="AR67" s="491">
        <v>412</v>
      </c>
      <c r="AS67" s="675">
        <f>+AO67+AQ67</f>
        <v>4218.9535999999998</v>
      </c>
      <c r="AT67" s="60">
        <f>+AP67+AR67</f>
        <v>4051.5</v>
      </c>
      <c r="AU67" s="6826">
        <v>420.36799999999999</v>
      </c>
      <c r="AV67" s="491">
        <v>283</v>
      </c>
      <c r="AW67" s="5014">
        <f>+AS67+AU67</f>
        <v>4639.3216000000002</v>
      </c>
      <c r="AX67" s="60">
        <f>+AT67+AV67</f>
        <v>4334.5</v>
      </c>
      <c r="AY67" s="6973">
        <v>468.87200000000001</v>
      </c>
      <c r="AZ67" s="491">
        <v>140</v>
      </c>
      <c r="BA67" s="713">
        <f>+AQ67+AU67+AY67</f>
        <v>1358.1120000000001</v>
      </c>
      <c r="BB67" s="2916">
        <f>+AR67+AV67+AZ67</f>
        <v>835</v>
      </c>
      <c r="BC67" s="2925">
        <f t="shared" ref="BC67:BC68" si="266">+AM67+BA67</f>
        <v>2279.6880000000001</v>
      </c>
      <c r="BD67" s="2925">
        <f t="shared" ref="BD67:BD68" si="267">+AN67+BB67</f>
        <v>1924</v>
      </c>
      <c r="BE67" s="1047">
        <f>+AW67+AY67</f>
        <v>5108.1936000000005</v>
      </c>
      <c r="BF67" s="60">
        <f>+AX67+AZ67</f>
        <v>4474.5</v>
      </c>
      <c r="BG67" s="1137">
        <f t="shared" si="11"/>
        <v>0</v>
      </c>
      <c r="BH67" s="1137">
        <f t="shared" si="12"/>
        <v>0</v>
      </c>
      <c r="BI67" s="1137"/>
      <c r="BJ67" s="1137">
        <f t="shared" si="13"/>
        <v>0</v>
      </c>
      <c r="BK67" s="1137">
        <f t="shared" si="14"/>
        <v>0</v>
      </c>
      <c r="BL67" s="25"/>
      <c r="BM67" s="25"/>
      <c r="BN67" s="25"/>
    </row>
    <row r="68" spans="1:66" ht="15.75" thickBot="1" x14ac:dyDescent="0.3">
      <c r="B68" s="1729" t="s">
        <v>183</v>
      </c>
      <c r="C68" s="1306" t="s">
        <v>50</v>
      </c>
      <c r="D68" s="3494">
        <v>4726.2248943000004</v>
      </c>
      <c r="E68" s="3404">
        <v>384.01398</v>
      </c>
      <c r="F68" s="1229">
        <v>11</v>
      </c>
      <c r="G68" s="5581">
        <v>376.59342000000004</v>
      </c>
      <c r="H68" s="1229">
        <v>59</v>
      </c>
      <c r="I68" s="3409">
        <f>+E68+G68</f>
        <v>760.6074000000001</v>
      </c>
      <c r="J68" s="504">
        <f>+F68+H68</f>
        <v>70</v>
      </c>
      <c r="K68" s="5685">
        <v>363.60744000000005</v>
      </c>
      <c r="L68" s="1229">
        <v>72.649999999999991</v>
      </c>
      <c r="M68" s="1459">
        <f>+E68+G68+K68</f>
        <v>1124.2148400000001</v>
      </c>
      <c r="N68" s="1471">
        <f>+F68+H68+L68</f>
        <v>142.64999999999998</v>
      </c>
      <c r="O68" s="5842">
        <v>376.59342000000004</v>
      </c>
      <c r="P68" s="1229">
        <v>305.5</v>
      </c>
      <c r="Q68" s="1044">
        <f>+M68+O68</f>
        <v>1500.8082600000002</v>
      </c>
      <c r="R68" s="504">
        <f>+N68+P68</f>
        <v>448.15</v>
      </c>
      <c r="S68" s="5911">
        <v>376.59342000000004</v>
      </c>
      <c r="T68" s="1229">
        <v>196.55</v>
      </c>
      <c r="U68" s="4322">
        <f>+Q68+S68</f>
        <v>1877.4016800000004</v>
      </c>
      <c r="V68" s="504">
        <f>+R68+T68</f>
        <v>644.70000000000005</v>
      </c>
      <c r="W68" s="6011">
        <v>346.91118</v>
      </c>
      <c r="X68" s="1229">
        <v>164.6</v>
      </c>
      <c r="Y68" s="731">
        <f>+O68+S68+W68</f>
        <v>1100.0980200000001</v>
      </c>
      <c r="Z68" s="503">
        <f>+P68+T68+X68</f>
        <v>666.65</v>
      </c>
      <c r="AA68" s="711">
        <f>+M68+Y68</f>
        <v>2224.31286</v>
      </c>
      <c r="AB68" s="711">
        <f>+N68+Z68</f>
        <v>809.3</v>
      </c>
      <c r="AC68" s="6142">
        <v>376.59342000000004</v>
      </c>
      <c r="AD68" s="1229">
        <v>161.5</v>
      </c>
      <c r="AE68" s="2434">
        <f>+AA68+AC68</f>
        <v>2600.9062800000002</v>
      </c>
      <c r="AF68" s="504">
        <f>+AB68+AD68</f>
        <v>970.8</v>
      </c>
      <c r="AG68" s="6304">
        <v>0</v>
      </c>
      <c r="AH68" s="1229">
        <v>21</v>
      </c>
      <c r="AI68" s="2479">
        <f>+AE68+AG68</f>
        <v>2600.9062800000002</v>
      </c>
      <c r="AJ68" s="504">
        <f>+AF68+AH68</f>
        <v>991.8</v>
      </c>
      <c r="AK68" s="6566">
        <v>376.59342000000004</v>
      </c>
      <c r="AL68" s="1229">
        <v>188.8</v>
      </c>
      <c r="AM68" s="731">
        <f>+AC68+AG68+AK68</f>
        <v>753.18684000000007</v>
      </c>
      <c r="AN68" s="503">
        <f>+AD68+AH68+AL68</f>
        <v>371.3</v>
      </c>
      <c r="AO68" s="712">
        <f>AI68+AK68</f>
        <v>2977.4997000000003</v>
      </c>
      <c r="AP68" s="712">
        <f>AJ68+AL68</f>
        <v>1180.5999999999999</v>
      </c>
      <c r="AQ68" s="6647">
        <v>376.59342000000004</v>
      </c>
      <c r="AR68" s="1229">
        <v>270.35000000000002</v>
      </c>
      <c r="AS68" s="2597">
        <f>+AO68+AQ68</f>
        <v>3354.0931200000005</v>
      </c>
      <c r="AT68" s="504">
        <f>+AP68+AR68</f>
        <v>1450.9499999999998</v>
      </c>
      <c r="AU68" s="6827">
        <v>337.63548000000003</v>
      </c>
      <c r="AV68" s="1229">
        <v>195.4</v>
      </c>
      <c r="AW68" s="5013">
        <f>+AS68+AU68</f>
        <v>3691.7286000000004</v>
      </c>
      <c r="AX68" s="504">
        <f>+AT68+AV68</f>
        <v>1646.35</v>
      </c>
      <c r="AY68" s="6972">
        <v>376.59342000000004</v>
      </c>
      <c r="AZ68" s="1229">
        <v>272.2</v>
      </c>
      <c r="BA68" s="731">
        <f>+AQ68+AU68+AY68</f>
        <v>1090.8223200000002</v>
      </c>
      <c r="BB68" s="2917">
        <f>+AR68+AV68+AZ68</f>
        <v>737.95</v>
      </c>
      <c r="BC68" s="2925">
        <f t="shared" si="266"/>
        <v>1844.0091600000003</v>
      </c>
      <c r="BD68" s="2925">
        <f t="shared" si="267"/>
        <v>1109.25</v>
      </c>
      <c r="BE68" s="2920">
        <f>+AW68+AY68</f>
        <v>4068.3220200000005</v>
      </c>
      <c r="BF68" s="504">
        <f>+AX68+AZ68</f>
        <v>1918.55</v>
      </c>
      <c r="BG68" s="1137">
        <f t="shared" si="11"/>
        <v>0</v>
      </c>
      <c r="BH68" s="1137">
        <f t="shared" si="12"/>
        <v>0</v>
      </c>
      <c r="BI68" s="1137"/>
      <c r="BJ68" s="1137">
        <f t="shared" si="13"/>
        <v>0</v>
      </c>
      <c r="BK68" s="1137">
        <f t="shared" si="14"/>
        <v>0</v>
      </c>
      <c r="BL68" s="25"/>
      <c r="BM68" s="25"/>
      <c r="BN68" s="25"/>
    </row>
    <row r="69" spans="1:66" ht="16.5" thickBot="1" x14ac:dyDescent="0.3">
      <c r="B69" s="1732" t="s">
        <v>36</v>
      </c>
      <c r="C69" s="1329" t="s">
        <v>50</v>
      </c>
      <c r="D69" s="201">
        <f t="shared" ref="D69:J69" si="268">SUM(D67:D68)</f>
        <v>10785.096894299999</v>
      </c>
      <c r="E69" s="1234">
        <f t="shared" si="268"/>
        <v>889.69398000000001</v>
      </c>
      <c r="F69" s="1330">
        <f t="shared" si="268"/>
        <v>553</v>
      </c>
      <c r="G69" s="1234">
        <f t="shared" ref="G69:H69" si="269">SUM(G67:G68)</f>
        <v>865.41741999999999</v>
      </c>
      <c r="H69" s="1330">
        <f t="shared" si="269"/>
        <v>488.5</v>
      </c>
      <c r="I69" s="1331">
        <f t="shared" si="268"/>
        <v>1755.1114000000002</v>
      </c>
      <c r="J69" s="3496">
        <f t="shared" si="268"/>
        <v>1041.5</v>
      </c>
      <c r="K69" s="1234">
        <f t="shared" ref="K69:L69" si="270">SUM(K67:K68)</f>
        <v>816.31144000000006</v>
      </c>
      <c r="L69" s="1330">
        <f t="shared" si="270"/>
        <v>494.65</v>
      </c>
      <c r="M69" s="1472">
        <f t="shared" ref="M69:R69" si="271">SUM(M67:M68)</f>
        <v>2571.4228400000002</v>
      </c>
      <c r="N69" s="1473">
        <f t="shared" si="271"/>
        <v>1536.15</v>
      </c>
      <c r="O69" s="1234">
        <f t="shared" si="271"/>
        <v>845.46541999999999</v>
      </c>
      <c r="P69" s="1330">
        <f t="shared" si="271"/>
        <v>717.5</v>
      </c>
      <c r="Q69" s="1331">
        <f t="shared" si="271"/>
        <v>3416.8882600000006</v>
      </c>
      <c r="R69" s="1331">
        <f t="shared" si="271"/>
        <v>2253.65</v>
      </c>
      <c r="S69" s="1234">
        <f t="shared" ref="S69:T69" si="272">SUM(S67:S68)</f>
        <v>845.46541999999999</v>
      </c>
      <c r="T69" s="1330">
        <f t="shared" si="272"/>
        <v>586.54999999999995</v>
      </c>
      <c r="U69" s="1331">
        <f t="shared" ref="U69:X69" si="273">SUM(U67:U68)</f>
        <v>4262.3536800000002</v>
      </c>
      <c r="V69" s="1331">
        <f t="shared" si="273"/>
        <v>2840.2</v>
      </c>
      <c r="W69" s="1234">
        <f t="shared" si="273"/>
        <v>790.46478000000002</v>
      </c>
      <c r="X69" s="1330">
        <f t="shared" si="273"/>
        <v>519.6</v>
      </c>
      <c r="Y69" s="1107">
        <f t="shared" ref="Y69:Z69" si="274">SUM(Y67:Y68)</f>
        <v>2481.3956200000002</v>
      </c>
      <c r="Z69" s="1107">
        <f t="shared" si="274"/>
        <v>1823.65</v>
      </c>
      <c r="AA69" s="2343">
        <f t="shared" ref="AA69:AF69" si="275">SUM(AA67:AA68)</f>
        <v>5052.8184600000004</v>
      </c>
      <c r="AB69" s="1108">
        <f t="shared" si="275"/>
        <v>3359.8</v>
      </c>
      <c r="AC69" s="1234">
        <f t="shared" si="275"/>
        <v>376.59342000000004</v>
      </c>
      <c r="AD69" s="1330">
        <f t="shared" si="275"/>
        <v>502.5</v>
      </c>
      <c r="AE69" s="1331">
        <f t="shared" si="275"/>
        <v>5429.4118799999997</v>
      </c>
      <c r="AF69" s="1331">
        <f t="shared" si="275"/>
        <v>3862.3</v>
      </c>
      <c r="AG69" s="1234">
        <f t="shared" ref="AG69:AH69" si="276">SUM(AG67:AG68)</f>
        <v>452.70400000000001</v>
      </c>
      <c r="AH69" s="1330">
        <f t="shared" si="276"/>
        <v>384</v>
      </c>
      <c r="AI69" s="1331">
        <f t="shared" ref="AI69:AN69" si="277">SUM(AI67:AI68)</f>
        <v>5882.1158800000003</v>
      </c>
      <c r="AJ69" s="1331">
        <f t="shared" si="277"/>
        <v>4246.3</v>
      </c>
      <c r="AK69" s="1234">
        <f t="shared" si="277"/>
        <v>845.46541999999999</v>
      </c>
      <c r="AL69" s="1330">
        <f t="shared" si="277"/>
        <v>573.79999999999995</v>
      </c>
      <c r="AM69" s="1107">
        <f t="shared" si="277"/>
        <v>1674.7628400000001</v>
      </c>
      <c r="AN69" s="1107">
        <f t="shared" si="277"/>
        <v>1460.3</v>
      </c>
      <c r="AO69" s="1331">
        <f t="shared" ref="AO69:AT69" si="278">SUM(AO67:AO68)</f>
        <v>6727.5812999999998</v>
      </c>
      <c r="AP69" s="1331">
        <f t="shared" si="278"/>
        <v>4820.1000000000004</v>
      </c>
      <c r="AQ69" s="1234">
        <f t="shared" si="278"/>
        <v>845.46541999999999</v>
      </c>
      <c r="AR69" s="1330">
        <f t="shared" si="278"/>
        <v>682.35</v>
      </c>
      <c r="AS69" s="1331">
        <f t="shared" si="278"/>
        <v>7573.0467200000003</v>
      </c>
      <c r="AT69" s="1331">
        <f t="shared" si="278"/>
        <v>5502.45</v>
      </c>
      <c r="AU69" s="1234">
        <f t="shared" ref="AU69:AV69" si="279">SUM(AU67:AU68)</f>
        <v>758.00348000000008</v>
      </c>
      <c r="AV69" s="1330">
        <f t="shared" si="279"/>
        <v>478.4</v>
      </c>
      <c r="AW69" s="1331">
        <f t="shared" ref="AW69:AZ69" si="280">SUM(AW67:AW68)</f>
        <v>8331.0502000000015</v>
      </c>
      <c r="AX69" s="1331">
        <f t="shared" si="280"/>
        <v>5980.85</v>
      </c>
      <c r="AY69" s="1234">
        <f t="shared" si="280"/>
        <v>845.46541999999999</v>
      </c>
      <c r="AZ69" s="1330">
        <f t="shared" si="280"/>
        <v>412.2</v>
      </c>
      <c r="BA69" s="1107">
        <f t="shared" ref="BA69:BF69" si="281">SUM(BA67:BA68)</f>
        <v>2448.9343200000003</v>
      </c>
      <c r="BB69" s="1497">
        <f t="shared" si="281"/>
        <v>1572.95</v>
      </c>
      <c r="BC69" s="2887">
        <f t="shared" si="281"/>
        <v>4123.6971600000006</v>
      </c>
      <c r="BD69" s="2897">
        <f t="shared" si="281"/>
        <v>3033.25</v>
      </c>
      <c r="BE69" s="2921">
        <f t="shared" si="281"/>
        <v>9176.5156200000019</v>
      </c>
      <c r="BF69" s="1331">
        <f t="shared" si="281"/>
        <v>6393.05</v>
      </c>
      <c r="BG69" s="1137">
        <f t="shared" si="11"/>
        <v>0</v>
      </c>
      <c r="BH69" s="1137">
        <f t="shared" si="12"/>
        <v>0</v>
      </c>
      <c r="BI69" s="1137"/>
      <c r="BJ69" s="1137">
        <f t="shared" si="13"/>
        <v>0</v>
      </c>
      <c r="BK69" s="1137">
        <f t="shared" si="14"/>
        <v>0</v>
      </c>
      <c r="BL69" s="25"/>
      <c r="BM69" s="25"/>
      <c r="BN69" s="25"/>
    </row>
    <row r="70" spans="1:66" ht="15.75" thickBot="1" x14ac:dyDescent="0.3">
      <c r="B70" s="1735" t="s">
        <v>1493</v>
      </c>
      <c r="C70" s="1322" t="s">
        <v>50</v>
      </c>
      <c r="D70" s="1721">
        <v>0</v>
      </c>
      <c r="E70" s="1722">
        <v>0</v>
      </c>
      <c r="F70" s="1723"/>
      <c r="G70" s="1722">
        <v>184.06752</v>
      </c>
      <c r="H70" s="1723">
        <v>0</v>
      </c>
      <c r="I70" s="1724">
        <f>+E70+G70</f>
        <v>184.06752</v>
      </c>
      <c r="J70" s="1725">
        <f>+F70+H70</f>
        <v>0</v>
      </c>
      <c r="K70" s="1722">
        <v>169.76400000000001</v>
      </c>
      <c r="L70" s="1723">
        <v>0</v>
      </c>
      <c r="M70" s="1726">
        <f>+E70+G70+K70</f>
        <v>353.83152000000001</v>
      </c>
      <c r="N70" s="1727">
        <f>+F70+H70+L70</f>
        <v>0</v>
      </c>
      <c r="O70" s="1722">
        <v>176.55456000000001</v>
      </c>
      <c r="P70" s="1723">
        <v>0</v>
      </c>
      <c r="Q70" s="1724">
        <f>+M70+O70</f>
        <v>530.38607999999999</v>
      </c>
      <c r="R70" s="1725">
        <f>+N70+P70</f>
        <v>0</v>
      </c>
      <c r="S70" s="1722">
        <v>176.55456000000001</v>
      </c>
      <c r="T70" s="1723">
        <v>0</v>
      </c>
      <c r="U70" s="1724">
        <f>+Q70+S70</f>
        <v>706.94064000000003</v>
      </c>
      <c r="V70" s="1725">
        <f>+R70+T70</f>
        <v>0</v>
      </c>
      <c r="W70" s="1722">
        <v>166.33260000000001</v>
      </c>
      <c r="X70" s="1723">
        <v>0</v>
      </c>
      <c r="Y70" s="713">
        <f>+O70+S70+W70</f>
        <v>519.44172000000003</v>
      </c>
      <c r="Z70" s="81">
        <f>+P70+T70+X70</f>
        <v>0</v>
      </c>
      <c r="AA70" s="711">
        <f>+M70+Y70</f>
        <v>873.27323999999999</v>
      </c>
      <c r="AB70" s="711">
        <f>+N70+Z70</f>
        <v>0</v>
      </c>
      <c r="AC70" s="1722">
        <v>0</v>
      </c>
      <c r="AD70" s="1723">
        <v>0</v>
      </c>
      <c r="AE70" s="1724">
        <f>+AA70+AC70</f>
        <v>873.27323999999999</v>
      </c>
      <c r="AF70" s="1725">
        <f>+AB70+AD70</f>
        <v>0</v>
      </c>
      <c r="AG70" s="1722">
        <v>0</v>
      </c>
      <c r="AH70" s="1723">
        <v>0</v>
      </c>
      <c r="AI70" s="1724">
        <f>+AE70+AG70</f>
        <v>873.27323999999999</v>
      </c>
      <c r="AJ70" s="1725">
        <f>+AF70+AH70</f>
        <v>0</v>
      </c>
      <c r="AK70" s="1722">
        <v>176.55456000000001</v>
      </c>
      <c r="AL70" s="1723"/>
      <c r="AM70" s="713">
        <f>+AC70+AG70+AK70</f>
        <v>176.55456000000001</v>
      </c>
      <c r="AN70" s="81">
        <f>+AD70+AH70+AL70</f>
        <v>0</v>
      </c>
      <c r="AO70" s="712">
        <f>AI70+AK70</f>
        <v>1049.8278</v>
      </c>
      <c r="AP70" s="712">
        <f>AJ70+AL70</f>
        <v>0</v>
      </c>
      <c r="AQ70" s="1722">
        <v>176.55456000000001</v>
      </c>
      <c r="AR70" s="1723">
        <v>0</v>
      </c>
      <c r="AS70" s="1724">
        <f>+AO70+AQ70</f>
        <v>1226.3823600000001</v>
      </c>
      <c r="AT70" s="1725">
        <f>+AP70+AR70</f>
        <v>0</v>
      </c>
      <c r="AU70" s="1722">
        <v>156.18288000000001</v>
      </c>
      <c r="AV70" s="1723">
        <v>0</v>
      </c>
      <c r="AW70" s="1724">
        <f>+AS70+AU70</f>
        <v>1382.5652400000001</v>
      </c>
      <c r="AX70" s="1725">
        <f>+AT70+AV70</f>
        <v>0</v>
      </c>
      <c r="AY70" s="1722">
        <v>176.55456000000001</v>
      </c>
      <c r="AZ70" s="1723"/>
      <c r="BA70" s="713">
        <f>+AQ70+AU70+AY70</f>
        <v>509.29200000000003</v>
      </c>
      <c r="BB70" s="2916">
        <f>+AR70+AV70+AZ70</f>
        <v>0</v>
      </c>
      <c r="BC70" s="2925">
        <f t="shared" ref="BC70" si="282">+AM70+BA70</f>
        <v>685.84656000000007</v>
      </c>
      <c r="BD70" s="2925">
        <f t="shared" ref="BD70" si="283">+AN70+BB70</f>
        <v>0</v>
      </c>
      <c r="BE70" s="2922">
        <f>+AW70+AY70</f>
        <v>1559.1198000000002</v>
      </c>
      <c r="BF70" s="1725">
        <f>+AX70+AZ70</f>
        <v>0</v>
      </c>
      <c r="BG70" s="1137">
        <f t="shared" ref="BG70:BG131" si="284">AY70+AU70+AQ70+AK70+AG70+AC70+W70+S70+O70+K70+G70+E70-BE70</f>
        <v>0</v>
      </c>
      <c r="BH70" s="1137">
        <f t="shared" ref="BH70:BH131" si="285">AZ70+AV70+AR70+AL70+AH70+AD70+X70+T70+P70+L70+H70+F70-BF70</f>
        <v>0</v>
      </c>
      <c r="BI70" s="1137"/>
      <c r="BJ70" s="1137">
        <f t="shared" si="13"/>
        <v>0</v>
      </c>
      <c r="BK70" s="1137">
        <f t="shared" si="14"/>
        <v>0</v>
      </c>
      <c r="BL70" s="25"/>
      <c r="BM70" s="25"/>
      <c r="BN70" s="25"/>
    </row>
    <row r="71" spans="1:66" ht="16.5" hidden="1" customHeight="1" thickBot="1" x14ac:dyDescent="0.3">
      <c r="A71" s="138"/>
      <c r="B71" s="2373" t="s">
        <v>184</v>
      </c>
      <c r="C71" s="1971"/>
      <c r="D71" s="2374"/>
      <c r="E71" s="970"/>
      <c r="F71" s="2375"/>
      <c r="G71" s="970"/>
      <c r="H71" s="2375"/>
      <c r="I71" s="2374"/>
      <c r="J71" s="2375"/>
      <c r="K71" s="970"/>
      <c r="L71" s="2375"/>
      <c r="M71" s="970"/>
      <c r="N71" s="2375"/>
      <c r="O71" s="970"/>
      <c r="P71" s="2375"/>
      <c r="Q71" s="2374"/>
      <c r="R71" s="2375"/>
      <c r="S71" s="970"/>
      <c r="T71" s="2375"/>
      <c r="U71" s="2374"/>
      <c r="V71" s="2375"/>
      <c r="W71" s="970"/>
      <c r="X71" s="2375"/>
      <c r="Y71" s="2376"/>
      <c r="Z71" s="2376"/>
      <c r="AA71" s="2377"/>
      <c r="AB71" s="2376"/>
      <c r="AC71" s="970"/>
      <c r="AD71" s="2375"/>
      <c r="AE71" s="2374"/>
      <c r="AF71" s="2375"/>
      <c r="AG71" s="970"/>
      <c r="AH71" s="2375"/>
      <c r="AI71" s="2374"/>
      <c r="AJ71" s="2375"/>
      <c r="AK71" s="970"/>
      <c r="AL71" s="2375"/>
      <c r="AM71" s="2376"/>
      <c r="AN71" s="2376"/>
      <c r="AO71" s="2374"/>
      <c r="AP71" s="2375"/>
      <c r="AQ71" s="970"/>
      <c r="AR71" s="2375"/>
      <c r="AS71" s="2374"/>
      <c r="AT71" s="2375"/>
      <c r="AU71" s="970"/>
      <c r="AV71" s="2375"/>
      <c r="AW71" s="2374"/>
      <c r="AX71" s="2375"/>
      <c r="AY71" s="970"/>
      <c r="AZ71" s="2375"/>
      <c r="BA71" s="2376"/>
      <c r="BB71" s="2376"/>
      <c r="BC71" s="2926"/>
      <c r="BD71" s="2882"/>
      <c r="BE71" s="2374"/>
      <c r="BF71" s="2375"/>
      <c r="BG71" s="1137">
        <f t="shared" si="284"/>
        <v>0</v>
      </c>
      <c r="BH71" s="1137">
        <f t="shared" si="285"/>
        <v>0</v>
      </c>
      <c r="BI71" s="1137"/>
      <c r="BJ71" s="1137">
        <f t="shared" si="13"/>
        <v>0</v>
      </c>
      <c r="BK71" s="1137">
        <f t="shared" si="14"/>
        <v>0</v>
      </c>
      <c r="BL71" s="25"/>
      <c r="BM71" s="25"/>
      <c r="BN71" s="25"/>
    </row>
    <row r="72" spans="1:66" ht="15" hidden="1" customHeight="1" x14ac:dyDescent="0.25">
      <c r="B72" s="2378" t="s">
        <v>1476</v>
      </c>
      <c r="C72" s="767" t="s">
        <v>50</v>
      </c>
      <c r="D72" s="254"/>
      <c r="E72" s="254"/>
      <c r="F72" s="254"/>
      <c r="G72" s="254"/>
      <c r="H72" s="254"/>
      <c r="I72" s="349">
        <f t="shared" ref="I72:J76" si="286">+E72+G72</f>
        <v>0</v>
      </c>
      <c r="J72" s="349">
        <f t="shared" si="286"/>
        <v>0</v>
      </c>
      <c r="K72" s="254"/>
      <c r="L72" s="254"/>
      <c r="M72" s="586">
        <f t="shared" ref="M72:N76" si="287">+E72+G72+K72</f>
        <v>0</v>
      </c>
      <c r="N72" s="586">
        <f t="shared" si="287"/>
        <v>0</v>
      </c>
      <c r="O72" s="254"/>
      <c r="P72" s="254"/>
      <c r="Q72" s="349">
        <f t="shared" ref="Q72:R76" si="288">+M72+O72</f>
        <v>0</v>
      </c>
      <c r="R72" s="349">
        <f t="shared" si="288"/>
        <v>0</v>
      </c>
      <c r="S72" s="254"/>
      <c r="T72" s="254"/>
      <c r="U72" s="349">
        <f t="shared" ref="U72:U76" si="289">+Q72+S72</f>
        <v>0</v>
      </c>
      <c r="V72" s="349">
        <f t="shared" ref="V72:V76" si="290">+R72+T72</f>
        <v>0</v>
      </c>
      <c r="W72" s="254"/>
      <c r="X72" s="254"/>
      <c r="Y72" s="586">
        <f t="shared" ref="Y72:Z76" si="291">+O72+S72+W72</f>
        <v>0</v>
      </c>
      <c r="Z72" s="586">
        <f t="shared" si="291"/>
        <v>0</v>
      </c>
      <c r="AA72" s="975">
        <f t="shared" ref="AA72:AB76" si="292">+M72+Y72</f>
        <v>0</v>
      </c>
      <c r="AB72" s="432">
        <f t="shared" si="292"/>
        <v>0</v>
      </c>
      <c r="AC72" s="254"/>
      <c r="AD72" s="254"/>
      <c r="AE72" s="349">
        <f t="shared" ref="AE72:AE76" si="293">+AA72+AC72</f>
        <v>0</v>
      </c>
      <c r="AF72" s="349">
        <f t="shared" ref="AF72:AF76" si="294">+AB72+AD72</f>
        <v>0</v>
      </c>
      <c r="AG72" s="254"/>
      <c r="AH72" s="254"/>
      <c r="AI72" s="349">
        <f t="shared" ref="AI72:AI76" si="295">+AE72+AG72</f>
        <v>0</v>
      </c>
      <c r="AJ72" s="349">
        <f t="shared" ref="AJ72:AJ76" si="296">+AF72+AH72</f>
        <v>0</v>
      </c>
      <c r="AK72" s="254"/>
      <c r="AL72" s="254"/>
      <c r="AM72" s="586">
        <f t="shared" ref="AM72:AM76" si="297">+AC72+AG72+AK72</f>
        <v>0</v>
      </c>
      <c r="AN72" s="586">
        <f t="shared" ref="AN72:AN76" si="298">+AD72+AH72+AL72</f>
        <v>0</v>
      </c>
      <c r="AO72" s="712">
        <f>AI72+AK72</f>
        <v>0</v>
      </c>
      <c r="AP72" s="712">
        <f>AJ72+AL72</f>
        <v>0</v>
      </c>
      <c r="AQ72" s="254"/>
      <c r="AR72" s="254"/>
      <c r="AS72" s="349">
        <f t="shared" ref="AS72:AS76" si="299">+AO72+AQ72</f>
        <v>0</v>
      </c>
      <c r="AT72" s="349">
        <f t="shared" ref="AT72:AT76" si="300">+AP72+AR72</f>
        <v>0</v>
      </c>
      <c r="AU72" s="254"/>
      <c r="AV72" s="254"/>
      <c r="AW72" s="349">
        <f t="shared" ref="AW72:AW76" si="301">+AS72+AU72</f>
        <v>0</v>
      </c>
      <c r="AX72" s="349">
        <f t="shared" ref="AX72:AX76" si="302">+AT72+AV72</f>
        <v>0</v>
      </c>
      <c r="AY72" s="254"/>
      <c r="AZ72" s="254"/>
      <c r="BA72" s="586">
        <f t="shared" ref="BA72:BA76" si="303">+AQ72+AU72+AY72</f>
        <v>0</v>
      </c>
      <c r="BB72" s="1496">
        <f t="shared" ref="BB72:BB76" si="304">+AR72+AV72+AZ72</f>
        <v>0</v>
      </c>
      <c r="BC72" s="2925">
        <f t="shared" ref="BC72:BC76" si="305">+AM72+BA72</f>
        <v>0</v>
      </c>
      <c r="BD72" s="2925">
        <f t="shared" ref="BD72:BD76" si="306">+AN72+BB72</f>
        <v>0</v>
      </c>
      <c r="BE72" s="672">
        <f t="shared" ref="BE72:BE76" si="307">+AW72+AY72</f>
        <v>0</v>
      </c>
      <c r="BF72" s="349">
        <f t="shared" ref="BF72:BF76" si="308">+AX72+AZ72</f>
        <v>0</v>
      </c>
      <c r="BG72" s="1137">
        <f t="shared" si="284"/>
        <v>0</v>
      </c>
      <c r="BH72" s="1137">
        <f t="shared" si="285"/>
        <v>0</v>
      </c>
      <c r="BI72" s="1137"/>
      <c r="BJ72" s="1137">
        <f t="shared" si="13"/>
        <v>0</v>
      </c>
      <c r="BK72" s="1137">
        <f t="shared" si="14"/>
        <v>0</v>
      </c>
      <c r="BL72" s="25"/>
      <c r="BM72" s="25"/>
      <c r="BN72" s="25"/>
    </row>
    <row r="73" spans="1:66" ht="15" hidden="1" customHeight="1" x14ac:dyDescent="0.25">
      <c r="B73" s="2367" t="s">
        <v>185</v>
      </c>
      <c r="C73" s="148" t="s">
        <v>50</v>
      </c>
      <c r="D73" s="2237"/>
      <c r="E73" s="2237"/>
      <c r="F73" s="2237"/>
      <c r="G73" s="5578"/>
      <c r="H73" s="5578"/>
      <c r="I73" s="2236">
        <f t="shared" si="286"/>
        <v>0</v>
      </c>
      <c r="J73" s="2236">
        <f t="shared" si="286"/>
        <v>0</v>
      </c>
      <c r="K73" s="5680"/>
      <c r="L73" s="5680"/>
      <c r="M73" s="2235">
        <f t="shared" si="287"/>
        <v>0</v>
      </c>
      <c r="N73" s="2235">
        <f t="shared" si="287"/>
        <v>0</v>
      </c>
      <c r="O73" s="5837"/>
      <c r="P73" s="5837"/>
      <c r="Q73" s="2236">
        <f t="shared" si="288"/>
        <v>0</v>
      </c>
      <c r="R73" s="2236">
        <f t="shared" si="288"/>
        <v>0</v>
      </c>
      <c r="S73" s="5909"/>
      <c r="T73" s="5909"/>
      <c r="U73" s="4326">
        <f t="shared" si="289"/>
        <v>0</v>
      </c>
      <c r="V73" s="4326">
        <f t="shared" si="290"/>
        <v>0</v>
      </c>
      <c r="W73" s="6007"/>
      <c r="X73" s="6007"/>
      <c r="Y73" s="2235">
        <f t="shared" si="291"/>
        <v>0</v>
      </c>
      <c r="Z73" s="2235">
        <f t="shared" si="291"/>
        <v>0</v>
      </c>
      <c r="AA73" s="2242">
        <f t="shared" si="292"/>
        <v>0</v>
      </c>
      <c r="AB73" s="428">
        <f t="shared" si="292"/>
        <v>0</v>
      </c>
      <c r="AC73" s="6138"/>
      <c r="AD73" s="6138"/>
      <c r="AE73" s="2236">
        <f t="shared" si="293"/>
        <v>0</v>
      </c>
      <c r="AF73" s="2236">
        <f t="shared" si="294"/>
        <v>0</v>
      </c>
      <c r="AG73" s="6300"/>
      <c r="AH73" s="6300"/>
      <c r="AI73" s="2236">
        <f t="shared" si="295"/>
        <v>0</v>
      </c>
      <c r="AJ73" s="2236">
        <f t="shared" si="296"/>
        <v>0</v>
      </c>
      <c r="AK73" s="6564"/>
      <c r="AL73" s="6564"/>
      <c r="AM73" s="2531">
        <f t="shared" si="297"/>
        <v>0</v>
      </c>
      <c r="AN73" s="2531">
        <f t="shared" si="298"/>
        <v>0</v>
      </c>
      <c r="AO73" s="712">
        <f t="shared" ref="AO73:AO76" si="309">AI73+AK73</f>
        <v>0</v>
      </c>
      <c r="AP73" s="712">
        <f t="shared" ref="AP73:AP76" si="310">AJ73+AL73</f>
        <v>0</v>
      </c>
      <c r="AQ73" s="6643"/>
      <c r="AR73" s="6643"/>
      <c r="AS73" s="2236">
        <f t="shared" si="299"/>
        <v>0</v>
      </c>
      <c r="AT73" s="2236">
        <f t="shared" si="300"/>
        <v>0</v>
      </c>
      <c r="AU73" s="6825"/>
      <c r="AV73" s="6825"/>
      <c r="AW73" s="5015">
        <f t="shared" si="301"/>
        <v>0</v>
      </c>
      <c r="AX73" s="5015">
        <f t="shared" si="302"/>
        <v>0</v>
      </c>
      <c r="AY73" s="6971"/>
      <c r="AZ73" s="6971"/>
      <c r="BA73" s="2795">
        <f t="shared" si="303"/>
        <v>0</v>
      </c>
      <c r="BB73" s="2918">
        <f t="shared" si="304"/>
        <v>0</v>
      </c>
      <c r="BC73" s="2925">
        <f t="shared" si="305"/>
        <v>0</v>
      </c>
      <c r="BD73" s="2925">
        <f t="shared" si="306"/>
        <v>0</v>
      </c>
      <c r="BE73" s="411">
        <f t="shared" si="307"/>
        <v>0</v>
      </c>
      <c r="BF73" s="2236">
        <f t="shared" si="308"/>
        <v>0</v>
      </c>
      <c r="BG73" s="1137">
        <f t="shared" si="284"/>
        <v>0</v>
      </c>
      <c r="BH73" s="1137">
        <f t="shared" si="285"/>
        <v>0</v>
      </c>
      <c r="BI73" s="1137"/>
      <c r="BJ73" s="1137">
        <f t="shared" ref="BJ73:BJ134" si="311">AC73+AG73+AK73+AQ73+AU73+AY73-BC73</f>
        <v>0</v>
      </c>
      <c r="BK73" s="1137">
        <f t="shared" ref="BK73:BK134" si="312">AD73+AH73+AL73+AR73+AV73+AZ73-BD73</f>
        <v>0</v>
      </c>
      <c r="BL73" s="25"/>
      <c r="BM73" s="25"/>
      <c r="BN73" s="25"/>
    </row>
    <row r="74" spans="1:66" ht="15" hidden="1" customHeight="1" x14ac:dyDescent="0.25">
      <c r="B74" s="2367" t="s">
        <v>186</v>
      </c>
      <c r="C74" s="148" t="s">
        <v>50</v>
      </c>
      <c r="D74" s="2237"/>
      <c r="E74" s="2237"/>
      <c r="F74" s="2237"/>
      <c r="G74" s="5578"/>
      <c r="H74" s="5578"/>
      <c r="I74" s="2236">
        <f t="shared" si="286"/>
        <v>0</v>
      </c>
      <c r="J74" s="2236">
        <f t="shared" si="286"/>
        <v>0</v>
      </c>
      <c r="K74" s="5680"/>
      <c r="L74" s="5680"/>
      <c r="M74" s="2235">
        <f t="shared" si="287"/>
        <v>0</v>
      </c>
      <c r="N74" s="2235">
        <f t="shared" si="287"/>
        <v>0</v>
      </c>
      <c r="O74" s="5837"/>
      <c r="P74" s="5837"/>
      <c r="Q74" s="2236">
        <f t="shared" si="288"/>
        <v>0</v>
      </c>
      <c r="R74" s="2236">
        <f t="shared" si="288"/>
        <v>0</v>
      </c>
      <c r="S74" s="5909"/>
      <c r="T74" s="5909"/>
      <c r="U74" s="4326">
        <f t="shared" si="289"/>
        <v>0</v>
      </c>
      <c r="V74" s="4326">
        <f t="shared" si="290"/>
        <v>0</v>
      </c>
      <c r="W74" s="6007"/>
      <c r="X74" s="6007"/>
      <c r="Y74" s="2235">
        <f t="shared" si="291"/>
        <v>0</v>
      </c>
      <c r="Z74" s="2235">
        <f t="shared" si="291"/>
        <v>0</v>
      </c>
      <c r="AA74" s="2404">
        <f t="shared" si="292"/>
        <v>0</v>
      </c>
      <c r="AB74" s="428">
        <f t="shared" si="292"/>
        <v>0</v>
      </c>
      <c r="AC74" s="6138"/>
      <c r="AD74" s="6138"/>
      <c r="AE74" s="2236">
        <f t="shared" si="293"/>
        <v>0</v>
      </c>
      <c r="AF74" s="2236">
        <f t="shared" si="294"/>
        <v>0</v>
      </c>
      <c r="AG74" s="6300"/>
      <c r="AH74" s="6300"/>
      <c r="AI74" s="2236">
        <f t="shared" si="295"/>
        <v>0</v>
      </c>
      <c r="AJ74" s="2236">
        <f t="shared" si="296"/>
        <v>0</v>
      </c>
      <c r="AK74" s="6564"/>
      <c r="AL74" s="6564"/>
      <c r="AM74" s="2531">
        <f t="shared" si="297"/>
        <v>0</v>
      </c>
      <c r="AN74" s="2531">
        <f t="shared" si="298"/>
        <v>0</v>
      </c>
      <c r="AO74" s="712">
        <f t="shared" si="309"/>
        <v>0</v>
      </c>
      <c r="AP74" s="712">
        <f t="shared" si="310"/>
        <v>0</v>
      </c>
      <c r="AQ74" s="6643"/>
      <c r="AR74" s="6643"/>
      <c r="AS74" s="2236">
        <f t="shared" si="299"/>
        <v>0</v>
      </c>
      <c r="AT74" s="2236">
        <f t="shared" si="300"/>
        <v>0</v>
      </c>
      <c r="AU74" s="6825"/>
      <c r="AV74" s="6825"/>
      <c r="AW74" s="5015">
        <f t="shared" si="301"/>
        <v>0</v>
      </c>
      <c r="AX74" s="5015">
        <f t="shared" si="302"/>
        <v>0</v>
      </c>
      <c r="AY74" s="6971"/>
      <c r="AZ74" s="6971"/>
      <c r="BA74" s="2795">
        <f t="shared" si="303"/>
        <v>0</v>
      </c>
      <c r="BB74" s="2918">
        <f t="shared" si="304"/>
        <v>0</v>
      </c>
      <c r="BC74" s="2925">
        <f t="shared" si="305"/>
        <v>0</v>
      </c>
      <c r="BD74" s="2925">
        <f t="shared" si="306"/>
        <v>0</v>
      </c>
      <c r="BE74" s="411">
        <f t="shared" si="307"/>
        <v>0</v>
      </c>
      <c r="BF74" s="2236">
        <f t="shared" si="308"/>
        <v>0</v>
      </c>
      <c r="BG74" s="1137">
        <f t="shared" si="284"/>
        <v>0</v>
      </c>
      <c r="BH74" s="1137">
        <f t="shared" si="285"/>
        <v>0</v>
      </c>
      <c r="BI74" s="1137"/>
      <c r="BJ74" s="1137">
        <f t="shared" si="311"/>
        <v>0</v>
      </c>
      <c r="BK74" s="1137">
        <f t="shared" si="312"/>
        <v>0</v>
      </c>
      <c r="BL74" s="25"/>
      <c r="BM74" s="25"/>
      <c r="BN74" s="25"/>
    </row>
    <row r="75" spans="1:66" ht="15" hidden="1" customHeight="1" x14ac:dyDescent="0.25">
      <c r="B75" s="2367" t="s">
        <v>187</v>
      </c>
      <c r="C75" s="148" t="s">
        <v>50</v>
      </c>
      <c r="D75" s="2237"/>
      <c r="E75" s="2237"/>
      <c r="F75" s="2237"/>
      <c r="G75" s="5578"/>
      <c r="H75" s="5578"/>
      <c r="I75" s="2236">
        <f t="shared" si="286"/>
        <v>0</v>
      </c>
      <c r="J75" s="2236">
        <f t="shared" si="286"/>
        <v>0</v>
      </c>
      <c r="K75" s="5680"/>
      <c r="L75" s="5680"/>
      <c r="M75" s="2235">
        <f t="shared" si="287"/>
        <v>0</v>
      </c>
      <c r="N75" s="330">
        <f t="shared" si="287"/>
        <v>0</v>
      </c>
      <c r="O75" s="5837"/>
      <c r="P75" s="5837"/>
      <c r="Q75" s="2236">
        <f t="shared" si="288"/>
        <v>0</v>
      </c>
      <c r="R75" s="2236">
        <f t="shared" si="288"/>
        <v>0</v>
      </c>
      <c r="S75" s="5909"/>
      <c r="T75" s="5909"/>
      <c r="U75" s="4326">
        <f t="shared" si="289"/>
        <v>0</v>
      </c>
      <c r="V75" s="4326">
        <f t="shared" si="290"/>
        <v>0</v>
      </c>
      <c r="W75" s="6007"/>
      <c r="X75" s="6007"/>
      <c r="Y75" s="2235">
        <f t="shared" si="291"/>
        <v>0</v>
      </c>
      <c r="Z75" s="2235">
        <f t="shared" si="291"/>
        <v>0</v>
      </c>
      <c r="AA75" s="2404">
        <f t="shared" si="292"/>
        <v>0</v>
      </c>
      <c r="AB75" s="428">
        <f t="shared" si="292"/>
        <v>0</v>
      </c>
      <c r="AC75" s="6138"/>
      <c r="AD75" s="6138"/>
      <c r="AE75" s="2236">
        <f t="shared" si="293"/>
        <v>0</v>
      </c>
      <c r="AF75" s="2236">
        <f t="shared" si="294"/>
        <v>0</v>
      </c>
      <c r="AG75" s="6300"/>
      <c r="AH75" s="6300"/>
      <c r="AI75" s="2236">
        <f t="shared" si="295"/>
        <v>0</v>
      </c>
      <c r="AJ75" s="2236">
        <f t="shared" si="296"/>
        <v>0</v>
      </c>
      <c r="AK75" s="6564"/>
      <c r="AL75" s="6564"/>
      <c r="AM75" s="2531">
        <f t="shared" si="297"/>
        <v>0</v>
      </c>
      <c r="AN75" s="2531">
        <f t="shared" si="298"/>
        <v>0</v>
      </c>
      <c r="AO75" s="712">
        <f t="shared" si="309"/>
        <v>0</v>
      </c>
      <c r="AP75" s="712">
        <f t="shared" si="310"/>
        <v>0</v>
      </c>
      <c r="AQ75" s="6643"/>
      <c r="AR75" s="6643"/>
      <c r="AS75" s="2236">
        <f t="shared" si="299"/>
        <v>0</v>
      </c>
      <c r="AT75" s="2236">
        <f t="shared" si="300"/>
        <v>0</v>
      </c>
      <c r="AU75" s="6825"/>
      <c r="AV75" s="6825"/>
      <c r="AW75" s="5015">
        <f t="shared" si="301"/>
        <v>0</v>
      </c>
      <c r="AX75" s="5015">
        <f t="shared" si="302"/>
        <v>0</v>
      </c>
      <c r="AY75" s="6971"/>
      <c r="AZ75" s="6971"/>
      <c r="BA75" s="2795">
        <f t="shared" si="303"/>
        <v>0</v>
      </c>
      <c r="BB75" s="2918">
        <f t="shared" si="304"/>
        <v>0</v>
      </c>
      <c r="BC75" s="2925">
        <f t="shared" si="305"/>
        <v>0</v>
      </c>
      <c r="BD75" s="2925">
        <f t="shared" si="306"/>
        <v>0</v>
      </c>
      <c r="BE75" s="411">
        <f t="shared" si="307"/>
        <v>0</v>
      </c>
      <c r="BF75" s="2236">
        <f t="shared" si="308"/>
        <v>0</v>
      </c>
      <c r="BG75" s="1137">
        <f t="shared" si="284"/>
        <v>0</v>
      </c>
      <c r="BH75" s="1137">
        <f t="shared" si="285"/>
        <v>0</v>
      </c>
      <c r="BI75" s="1137"/>
      <c r="BJ75" s="1137">
        <f t="shared" si="311"/>
        <v>0</v>
      </c>
      <c r="BK75" s="1137">
        <f t="shared" si="312"/>
        <v>0</v>
      </c>
      <c r="BL75" s="25"/>
      <c r="BM75" s="25"/>
      <c r="BN75" s="25"/>
    </row>
    <row r="76" spans="1:66" ht="15.95" hidden="1" customHeight="1" thickBot="1" x14ac:dyDescent="0.3">
      <c r="B76" s="2379" t="s">
        <v>188</v>
      </c>
      <c r="C76" s="149" t="s">
        <v>50</v>
      </c>
      <c r="D76" s="210"/>
      <c r="E76" s="210"/>
      <c r="F76" s="210"/>
      <c r="G76" s="5101"/>
      <c r="H76" s="5101"/>
      <c r="I76" s="2238">
        <f t="shared" si="286"/>
        <v>0</v>
      </c>
      <c r="J76" s="2238">
        <f t="shared" si="286"/>
        <v>0</v>
      </c>
      <c r="K76" s="5101"/>
      <c r="L76" s="5101"/>
      <c r="M76" s="2243">
        <f t="shared" si="287"/>
        <v>0</v>
      </c>
      <c r="N76" s="2243">
        <f t="shared" si="287"/>
        <v>0</v>
      </c>
      <c r="O76" s="5101"/>
      <c r="P76" s="5101"/>
      <c r="Q76" s="2238">
        <f t="shared" si="288"/>
        <v>0</v>
      </c>
      <c r="R76" s="2238">
        <f t="shared" si="288"/>
        <v>0</v>
      </c>
      <c r="S76" s="5101"/>
      <c r="T76" s="5101"/>
      <c r="U76" s="4324">
        <f t="shared" si="289"/>
        <v>0</v>
      </c>
      <c r="V76" s="4324">
        <f t="shared" si="290"/>
        <v>0</v>
      </c>
      <c r="W76" s="5101"/>
      <c r="X76" s="5101"/>
      <c r="Y76" s="2243">
        <f t="shared" si="291"/>
        <v>0</v>
      </c>
      <c r="Z76" s="2243">
        <f t="shared" si="291"/>
        <v>0</v>
      </c>
      <c r="AA76" s="2404">
        <f t="shared" si="292"/>
        <v>0</v>
      </c>
      <c r="AB76" s="2268">
        <f t="shared" si="292"/>
        <v>0</v>
      </c>
      <c r="AC76" s="5101"/>
      <c r="AD76" s="5101"/>
      <c r="AE76" s="2238">
        <f t="shared" si="293"/>
        <v>0</v>
      </c>
      <c r="AF76" s="2238">
        <f t="shared" si="294"/>
        <v>0</v>
      </c>
      <c r="AG76" s="5101"/>
      <c r="AH76" s="5101"/>
      <c r="AI76" s="2238">
        <f t="shared" si="295"/>
        <v>0</v>
      </c>
      <c r="AJ76" s="2238">
        <f t="shared" si="296"/>
        <v>0</v>
      </c>
      <c r="AK76" s="5101"/>
      <c r="AL76" s="5101"/>
      <c r="AM76" s="2243">
        <f t="shared" si="297"/>
        <v>0</v>
      </c>
      <c r="AN76" s="2243">
        <f t="shared" si="298"/>
        <v>0</v>
      </c>
      <c r="AO76" s="712">
        <f t="shared" si="309"/>
        <v>0</v>
      </c>
      <c r="AP76" s="712">
        <f t="shared" si="310"/>
        <v>0</v>
      </c>
      <c r="AQ76" s="5101"/>
      <c r="AR76" s="5101"/>
      <c r="AS76" s="2238">
        <f t="shared" si="299"/>
        <v>0</v>
      </c>
      <c r="AT76" s="2238">
        <f t="shared" si="300"/>
        <v>0</v>
      </c>
      <c r="AU76" s="5101"/>
      <c r="AV76" s="5101"/>
      <c r="AW76" s="5016">
        <f t="shared" si="301"/>
        <v>0</v>
      </c>
      <c r="AX76" s="5016">
        <f t="shared" si="302"/>
        <v>0</v>
      </c>
      <c r="AY76" s="5101"/>
      <c r="AZ76" s="5101"/>
      <c r="BA76" s="2243">
        <f t="shared" si="303"/>
        <v>0</v>
      </c>
      <c r="BB76" s="2919">
        <f t="shared" si="304"/>
        <v>0</v>
      </c>
      <c r="BC76" s="2925">
        <f t="shared" si="305"/>
        <v>0</v>
      </c>
      <c r="BD76" s="2925">
        <f t="shared" si="306"/>
        <v>0</v>
      </c>
      <c r="BE76" s="2920">
        <f t="shared" si="307"/>
        <v>0</v>
      </c>
      <c r="BF76" s="2238">
        <f t="shared" si="308"/>
        <v>0</v>
      </c>
      <c r="BG76" s="1137">
        <f t="shared" si="284"/>
        <v>0</v>
      </c>
      <c r="BH76" s="1137">
        <f t="shared" si="285"/>
        <v>0</v>
      </c>
      <c r="BI76" s="1137"/>
      <c r="BJ76" s="1137">
        <f t="shared" si="311"/>
        <v>0</v>
      </c>
      <c r="BK76" s="1137">
        <f t="shared" si="312"/>
        <v>0</v>
      </c>
      <c r="BL76" s="25"/>
      <c r="BM76" s="25"/>
      <c r="BN76" s="25"/>
    </row>
    <row r="77" spans="1:66" ht="16.5" hidden="1" customHeight="1" thickBot="1" x14ac:dyDescent="0.3">
      <c r="B77" s="2380" t="s">
        <v>484</v>
      </c>
      <c r="C77" s="1104" t="s">
        <v>50</v>
      </c>
      <c r="D77" s="2269">
        <f t="shared" ref="D77:J77" si="313">SUM(D72:D76)</f>
        <v>0</v>
      </c>
      <c r="E77" s="2269">
        <f t="shared" si="313"/>
        <v>0</v>
      </c>
      <c r="F77" s="2269">
        <f t="shared" si="313"/>
        <v>0</v>
      </c>
      <c r="G77" s="2269">
        <f t="shared" ref="G77:H77" si="314">SUM(G72:G76)</f>
        <v>0</v>
      </c>
      <c r="H77" s="2269">
        <f t="shared" si="314"/>
        <v>0</v>
      </c>
      <c r="I77" s="1106">
        <f t="shared" si="313"/>
        <v>0</v>
      </c>
      <c r="J77" s="1106">
        <f t="shared" si="313"/>
        <v>0</v>
      </c>
      <c r="K77" s="2269">
        <f t="shared" ref="K77:L77" si="315">SUM(K72:K76)</f>
        <v>0</v>
      </c>
      <c r="L77" s="2269">
        <f t="shared" si="315"/>
        <v>0</v>
      </c>
      <c r="M77" s="1107">
        <f t="shared" ref="M77:R77" si="316">SUM(M72:M76)</f>
        <v>0</v>
      </c>
      <c r="N77" s="1107">
        <f t="shared" si="316"/>
        <v>0</v>
      </c>
      <c r="O77" s="2269">
        <f t="shared" si="316"/>
        <v>0</v>
      </c>
      <c r="P77" s="2269">
        <f t="shared" si="316"/>
        <v>0</v>
      </c>
      <c r="Q77" s="1106">
        <f t="shared" si="316"/>
        <v>0</v>
      </c>
      <c r="R77" s="1106">
        <f t="shared" si="316"/>
        <v>0</v>
      </c>
      <c r="S77" s="2269">
        <f t="shared" ref="S77:T77" si="317">SUM(S72:S76)</f>
        <v>0</v>
      </c>
      <c r="T77" s="2269">
        <f t="shared" si="317"/>
        <v>0</v>
      </c>
      <c r="U77" s="1106">
        <f t="shared" ref="U77:X77" si="318">SUM(U72:U76)</f>
        <v>0</v>
      </c>
      <c r="V77" s="1106">
        <f t="shared" si="318"/>
        <v>0</v>
      </c>
      <c r="W77" s="2269">
        <f t="shared" si="318"/>
        <v>0</v>
      </c>
      <c r="X77" s="2269">
        <f t="shared" si="318"/>
        <v>0</v>
      </c>
      <c r="Y77" s="1107">
        <f t="shared" ref="Y77:Z77" si="319">SUM(Y72:Y76)</f>
        <v>0</v>
      </c>
      <c r="Z77" s="1107">
        <f t="shared" si="319"/>
        <v>0</v>
      </c>
      <c r="AA77" s="1108">
        <f t="shared" ref="AA77:AF77" si="320">SUM(AA72:AA76)</f>
        <v>0</v>
      </c>
      <c r="AB77" s="434">
        <f t="shared" si="320"/>
        <v>0</v>
      </c>
      <c r="AC77" s="2269">
        <f t="shared" si="320"/>
        <v>0</v>
      </c>
      <c r="AD77" s="2269">
        <f t="shared" si="320"/>
        <v>0</v>
      </c>
      <c r="AE77" s="1106">
        <f t="shared" si="320"/>
        <v>0</v>
      </c>
      <c r="AF77" s="1106">
        <f t="shared" si="320"/>
        <v>0</v>
      </c>
      <c r="AG77" s="2269">
        <f t="shared" ref="AG77:AH77" si="321">SUM(AG72:AG76)</f>
        <v>0</v>
      </c>
      <c r="AH77" s="2269">
        <f t="shared" si="321"/>
        <v>0</v>
      </c>
      <c r="AI77" s="1106">
        <f t="shared" ref="AI77:AN77" si="322">SUM(AI72:AI76)</f>
        <v>0</v>
      </c>
      <c r="AJ77" s="1106">
        <f t="shared" si="322"/>
        <v>0</v>
      </c>
      <c r="AK77" s="2269">
        <f t="shared" si="322"/>
        <v>0</v>
      </c>
      <c r="AL77" s="2269">
        <f t="shared" si="322"/>
        <v>0</v>
      </c>
      <c r="AM77" s="1107">
        <f t="shared" si="322"/>
        <v>0</v>
      </c>
      <c r="AN77" s="1107">
        <f t="shared" si="322"/>
        <v>0</v>
      </c>
      <c r="AO77" s="1106">
        <f t="shared" ref="AO77:AT77" si="323">SUM(AO72:AO76)</f>
        <v>0</v>
      </c>
      <c r="AP77" s="1106">
        <f t="shared" si="323"/>
        <v>0</v>
      </c>
      <c r="AQ77" s="2269">
        <f t="shared" si="323"/>
        <v>0</v>
      </c>
      <c r="AR77" s="2269">
        <f t="shared" si="323"/>
        <v>0</v>
      </c>
      <c r="AS77" s="1106">
        <f t="shared" si="323"/>
        <v>0</v>
      </c>
      <c r="AT77" s="1106">
        <f t="shared" si="323"/>
        <v>0</v>
      </c>
      <c r="AU77" s="2269">
        <f t="shared" ref="AU77:AV77" si="324">SUM(AU72:AU76)</f>
        <v>0</v>
      </c>
      <c r="AV77" s="2269">
        <f t="shared" si="324"/>
        <v>0</v>
      </c>
      <c r="AW77" s="1106">
        <f t="shared" ref="AW77:AZ77" si="325">SUM(AW72:AW76)</f>
        <v>0</v>
      </c>
      <c r="AX77" s="1106">
        <f t="shared" si="325"/>
        <v>0</v>
      </c>
      <c r="AY77" s="2269">
        <f t="shared" si="325"/>
        <v>0</v>
      </c>
      <c r="AZ77" s="2269">
        <f t="shared" si="325"/>
        <v>0</v>
      </c>
      <c r="BA77" s="1107">
        <f t="shared" ref="BA77:BF77" si="326">SUM(BA72:BA76)</f>
        <v>0</v>
      </c>
      <c r="BB77" s="1497">
        <f t="shared" si="326"/>
        <v>0</v>
      </c>
      <c r="BC77" s="2897">
        <f t="shared" si="326"/>
        <v>0</v>
      </c>
      <c r="BD77" s="2897">
        <f t="shared" si="326"/>
        <v>0</v>
      </c>
      <c r="BE77" s="682">
        <f t="shared" si="326"/>
        <v>0</v>
      </c>
      <c r="BF77" s="1106">
        <f t="shared" si="326"/>
        <v>0</v>
      </c>
      <c r="BG77" s="1137">
        <f t="shared" si="284"/>
        <v>0</v>
      </c>
      <c r="BH77" s="1137">
        <f t="shared" si="285"/>
        <v>0</v>
      </c>
      <c r="BI77" s="1137"/>
      <c r="BJ77" s="1137">
        <f t="shared" si="311"/>
        <v>0</v>
      </c>
      <c r="BK77" s="1137">
        <f t="shared" si="312"/>
        <v>0</v>
      </c>
      <c r="BL77" s="25"/>
      <c r="BM77" s="25"/>
      <c r="BN77" s="25"/>
    </row>
    <row r="78" spans="1:66" ht="21.75" customHeight="1" thickBot="1" x14ac:dyDescent="0.3">
      <c r="A78" s="138"/>
      <c r="B78" s="1742" t="s">
        <v>482</v>
      </c>
      <c r="C78" s="1744"/>
      <c r="D78" s="1744"/>
      <c r="E78" s="1744"/>
      <c r="F78" s="1744"/>
      <c r="G78" s="1744"/>
      <c r="H78" s="1744"/>
      <c r="I78" s="1744"/>
      <c r="J78" s="1744"/>
      <c r="K78" s="1744"/>
      <c r="L78" s="1744"/>
      <c r="M78" s="1744"/>
      <c r="N78" s="1744"/>
      <c r="O78" s="1744"/>
      <c r="P78" s="1744"/>
      <c r="Q78" s="1744"/>
      <c r="R78" s="1744"/>
      <c r="S78" s="1744"/>
      <c r="T78" s="1744"/>
      <c r="U78" s="1744"/>
      <c r="V78" s="1744"/>
      <c r="W78" s="1744"/>
      <c r="X78" s="1744"/>
      <c r="Y78" s="1744"/>
      <c r="Z78" s="1744"/>
      <c r="AA78" s="1744"/>
      <c r="AB78" s="1744"/>
      <c r="AC78" s="1744"/>
      <c r="AD78" s="1744"/>
      <c r="AE78" s="1744"/>
      <c r="AF78" s="1744"/>
      <c r="AG78" s="1744"/>
      <c r="AH78" s="1744"/>
      <c r="AI78" s="1744"/>
      <c r="AJ78" s="1744"/>
      <c r="AK78" s="1744"/>
      <c r="AL78" s="1744"/>
      <c r="AM78" s="1744"/>
      <c r="AN78" s="1744"/>
      <c r="AO78" s="1744"/>
      <c r="AP78" s="1744"/>
      <c r="AQ78" s="1744"/>
      <c r="AR78" s="1744"/>
      <c r="AS78" s="1744"/>
      <c r="AT78" s="1744"/>
      <c r="AU78" s="1744"/>
      <c r="AV78" s="1744"/>
      <c r="AW78" s="1744"/>
      <c r="AX78" s="1744"/>
      <c r="AY78" s="1744"/>
      <c r="AZ78" s="1744"/>
      <c r="BA78" s="1744"/>
      <c r="BB78" s="1744"/>
      <c r="BC78" s="1744"/>
      <c r="BD78" s="1744"/>
      <c r="BE78" s="1744"/>
      <c r="BF78" s="1744"/>
      <c r="BG78" s="1137">
        <f t="shared" si="284"/>
        <v>0</v>
      </c>
      <c r="BH78" s="1137">
        <f t="shared" si="285"/>
        <v>0</v>
      </c>
      <c r="BI78" s="1137"/>
      <c r="BJ78" s="1137">
        <f t="shared" si="311"/>
        <v>0</v>
      </c>
      <c r="BK78" s="1137">
        <f t="shared" si="312"/>
        <v>0</v>
      </c>
      <c r="BL78" s="25"/>
      <c r="BM78" s="25"/>
      <c r="BN78" s="25"/>
    </row>
    <row r="79" spans="1:66" ht="15.75" customHeight="1" thickBot="1" x14ac:dyDescent="0.3">
      <c r="B79" s="2358" t="s">
        <v>180</v>
      </c>
      <c r="C79" s="1711" t="s">
        <v>481</v>
      </c>
      <c r="D79" s="2359">
        <v>24</v>
      </c>
      <c r="E79" s="2359">
        <f>+$D$79</f>
        <v>24</v>
      </c>
      <c r="F79" s="2360">
        <v>22</v>
      </c>
      <c r="G79" s="2359">
        <f>+$D$79</f>
        <v>24</v>
      </c>
      <c r="H79" s="2360">
        <v>25</v>
      </c>
      <c r="I79" s="2361">
        <f>+$D$79</f>
        <v>24</v>
      </c>
      <c r="J79" s="155">
        <f>((F79*$F$17)+(H79*$H$17))/$J$17</f>
        <v>23.521622527656721</v>
      </c>
      <c r="K79" s="2359">
        <f>+$D$79</f>
        <v>24</v>
      </c>
      <c r="L79" s="2360">
        <v>23</v>
      </c>
      <c r="M79" s="2356">
        <f>+$D$79</f>
        <v>24</v>
      </c>
      <c r="N79" s="2356">
        <f>((F79*$F$17)+(H79*$H$17)+(L79*$L$17))/$N$17</f>
        <v>23.351717902350817</v>
      </c>
      <c r="O79" s="2359">
        <f>+$D$79</f>
        <v>24</v>
      </c>
      <c r="P79" s="2360">
        <v>23</v>
      </c>
      <c r="Q79" s="2361">
        <f>+$D$79</f>
        <v>24</v>
      </c>
      <c r="R79" s="1361">
        <f>((N79*$N$17)+(P79*$P$17))/$R$17</f>
        <v>23.26359478231408</v>
      </c>
      <c r="S79" s="2359">
        <f>+$D$79</f>
        <v>24</v>
      </c>
      <c r="T79" s="2360">
        <v>23</v>
      </c>
      <c r="U79" s="2361">
        <f>+$D$79</f>
        <v>24</v>
      </c>
      <c r="V79" s="1361">
        <f>((R79*$R$17)+(T79*$T$17))/$V$17</f>
        <v>23.209646995419025</v>
      </c>
      <c r="W79" s="2359">
        <f>+$D$79</f>
        <v>24</v>
      </c>
      <c r="X79" s="2360">
        <v>23</v>
      </c>
      <c r="Y79" s="2356">
        <f>+$D$79</f>
        <v>24</v>
      </c>
      <c r="Z79" s="2356">
        <f>((P79*$P$17)+(T79*$T$17)+(X79*$X$17))/$Z$17</f>
        <v>23</v>
      </c>
      <c r="AA79" s="2339">
        <f>+$D$79</f>
        <v>24</v>
      </c>
      <c r="AB79" s="2357">
        <f>((N79*$N$17)+(Z79*$Z$17))/$AB$17</f>
        <v>23.174988753936127</v>
      </c>
      <c r="AC79" s="2359">
        <f>+$D$79</f>
        <v>24</v>
      </c>
      <c r="AD79" s="2360">
        <v>23</v>
      </c>
      <c r="AE79" s="2361">
        <f>+$D$79</f>
        <v>24</v>
      </c>
      <c r="AF79" s="1361">
        <f>((AB79*$AB$17)+(AD79*$AD$17))/$AF$17</f>
        <v>23.149781007845217</v>
      </c>
      <c r="AG79" s="2359">
        <f>+$D$79</f>
        <v>24</v>
      </c>
      <c r="AH79" s="2360">
        <v>23</v>
      </c>
      <c r="AI79" s="2361">
        <f>+$D$79</f>
        <v>24</v>
      </c>
      <c r="AJ79" s="1361">
        <f>((AF79*$AF$17)+(AH79*$AH$17))/$AJ$17</f>
        <v>23.131842060667687</v>
      </c>
      <c r="AK79" s="2359">
        <f>+$D$79</f>
        <v>24</v>
      </c>
      <c r="AL79" s="2360">
        <v>25</v>
      </c>
      <c r="AM79" s="2356">
        <f>+$D$79</f>
        <v>24</v>
      </c>
      <c r="AN79" s="2356">
        <f>((AD79*$AD$17)+(AH79*$AH$17)+(AL79*$AL$17))/$AN$17</f>
        <v>23.667734920453245</v>
      </c>
      <c r="AO79" s="2361">
        <f>+$D$79</f>
        <v>24</v>
      </c>
      <c r="AP79" s="1361">
        <f>((AJ79*$AJ$17)+(AL79*$AL$17))/$AP$17</f>
        <v>23.337317597375669</v>
      </c>
      <c r="AQ79" s="2359">
        <f>+$D$79</f>
        <v>24</v>
      </c>
      <c r="AR79" s="2360">
        <v>25</v>
      </c>
      <c r="AS79" s="2361">
        <f>+$D$79</f>
        <v>24</v>
      </c>
      <c r="AT79" s="1361">
        <f>((AP79*$AP$17)+(AR79*$AR$17))/$AT$17</f>
        <v>23.503241573605788</v>
      </c>
      <c r="AU79" s="2359">
        <f>+$D$79</f>
        <v>24</v>
      </c>
      <c r="AV79" s="2360">
        <v>25</v>
      </c>
      <c r="AW79" s="2361">
        <f>+$D$79</f>
        <v>24</v>
      </c>
      <c r="AX79" s="1361">
        <f>((AT79*$AT$17)+(AV79*$AV$17))/$AX$17</f>
        <v>23.626506774645694</v>
      </c>
      <c r="AY79" s="2359">
        <f>+$D$79</f>
        <v>24</v>
      </c>
      <c r="AZ79" s="2360">
        <v>25</v>
      </c>
      <c r="BA79" s="2356">
        <f>+$D$79</f>
        <v>24</v>
      </c>
      <c r="BB79" s="2356">
        <f>((AR79*$AR$17)+(AV79*$AV$17)+(AZ79*$AZ$17))/$BB$17</f>
        <v>25</v>
      </c>
      <c r="BC79" s="2339">
        <f>+$D$79</f>
        <v>24</v>
      </c>
      <c r="BD79" s="2357">
        <f>((AN79*$AN$17)+(BB79*$BB$17))/$BD$17</f>
        <v>24.329454461662539</v>
      </c>
      <c r="BE79" s="2361">
        <f>+$D$79</f>
        <v>24</v>
      </c>
      <c r="BF79" s="2361">
        <f>((AX79*$AX$17)+(AZ79*$AZ$17))/$BF$17</f>
        <v>23.745240873004583</v>
      </c>
      <c r="BG79" s="1137"/>
      <c r="BH79" s="1137"/>
      <c r="BI79" s="1137"/>
      <c r="BJ79" s="1137"/>
      <c r="BK79" s="1137"/>
      <c r="BL79" s="25"/>
      <c r="BM79" s="25"/>
      <c r="BN79" s="25"/>
    </row>
    <row r="80" spans="1:66" ht="15.75" customHeight="1" thickBot="1" x14ac:dyDescent="0.3">
      <c r="B80" s="2362" t="s">
        <v>181</v>
      </c>
      <c r="C80" s="3410" t="s">
        <v>481</v>
      </c>
      <c r="D80" s="3488">
        <v>24.5</v>
      </c>
      <c r="E80" s="3488">
        <f>+$D$80</f>
        <v>24.5</v>
      </c>
      <c r="F80" s="3489">
        <v>25.051963057794509</v>
      </c>
      <c r="G80" s="3488">
        <f>+$D$80</f>
        <v>24.5</v>
      </c>
      <c r="H80" s="3489">
        <v>25</v>
      </c>
      <c r="I80" s="3490">
        <f>+$D$80</f>
        <v>24.5</v>
      </c>
      <c r="J80" s="155">
        <f>((F80*$F$18)+(H80*$H$18))/$J$18</f>
        <v>25.025681491157691</v>
      </c>
      <c r="K80" s="3488">
        <f>+$D$80</f>
        <v>24.5</v>
      </c>
      <c r="L80" s="3489">
        <v>25</v>
      </c>
      <c r="M80" s="754">
        <f>+$D$80</f>
        <v>24.5</v>
      </c>
      <c r="N80" s="2356">
        <f>((F80*$F$18)+(H80*$H$18)+(L80*$L$18))/($N$18)</f>
        <v>25.017185228991732</v>
      </c>
      <c r="O80" s="3488">
        <f>+$D$80</f>
        <v>24.5</v>
      </c>
      <c r="P80" s="3489">
        <v>24.987051642130627</v>
      </c>
      <c r="Q80" s="755">
        <f>+$D$80</f>
        <v>24.5</v>
      </c>
      <c r="R80" s="1361">
        <f>((N80*$N$18)+(P80*$P$18))/$R$18</f>
        <v>25.009477279493755</v>
      </c>
      <c r="S80" s="3488">
        <f>+$D$80</f>
        <v>24.5</v>
      </c>
      <c r="T80" s="3489">
        <v>25.001530818224932</v>
      </c>
      <c r="U80" s="755">
        <f>+$D$80</f>
        <v>24.5</v>
      </c>
      <c r="V80" s="1361">
        <f>((R80*$R$18)+(T80*$T$18))/$V$18</f>
        <v>25.007864969321353</v>
      </c>
      <c r="W80" s="3488">
        <f>+$D$80</f>
        <v>24.5</v>
      </c>
      <c r="X80" s="3489">
        <v>24.997900679965742</v>
      </c>
      <c r="Y80" s="754">
        <f>+$D$80</f>
        <v>24.5</v>
      </c>
      <c r="Z80" s="2356">
        <f>((P80*$P$18)+(T80*$T$18)+(X80*$X$18))/$Z$18</f>
        <v>24.995456341987268</v>
      </c>
      <c r="AA80" s="756">
        <f>+$D$80</f>
        <v>24.5</v>
      </c>
      <c r="AB80" s="2357">
        <f>((N80*$N$18)+(Z80*$Z$18))/$AB$18</f>
        <v>25.006226102301614</v>
      </c>
      <c r="AC80" s="3488">
        <f>+$D$80</f>
        <v>24.5</v>
      </c>
      <c r="AD80" s="3489">
        <v>23.952413287797249</v>
      </c>
      <c r="AE80" s="755">
        <f>+$D$80</f>
        <v>24.5</v>
      </c>
      <c r="AF80" s="1361">
        <f>((AB80*$AB$18)+(AD80*$AD$18))/$AF$18</f>
        <v>24.855230381828832</v>
      </c>
      <c r="AG80" s="3488">
        <f>+$D$80</f>
        <v>24.5</v>
      </c>
      <c r="AH80" s="3489">
        <v>23</v>
      </c>
      <c r="AI80" s="755">
        <f>+$D$80</f>
        <v>24.5</v>
      </c>
      <c r="AJ80" s="1361">
        <f>((AF80*$AF$18)+(AH80*$AH$18))/$AJ$18</f>
        <v>24.62630417163151</v>
      </c>
      <c r="AK80" s="3488">
        <f>+$D$80</f>
        <v>24.5</v>
      </c>
      <c r="AL80" s="3489">
        <v>22.26642526421298</v>
      </c>
      <c r="AM80" s="754">
        <f>+$D$80</f>
        <v>24.5</v>
      </c>
      <c r="AN80" s="2356">
        <f>((AD80*$AD$18)+(AH80*$AH$18)+(AL80*$AL$18))/$AN$18</f>
        <v>23.069088883095976</v>
      </c>
      <c r="AO80" s="755">
        <f>+$D$80</f>
        <v>24.5</v>
      </c>
      <c r="AP80" s="1361">
        <f>((AJ80*$AJ$18)+(AL80*$AL$18))/$AP$18</f>
        <v>24.359248482489281</v>
      </c>
      <c r="AQ80" s="3488">
        <f>+$D$80</f>
        <v>24.5</v>
      </c>
      <c r="AR80" s="3489">
        <v>24.270940957578507</v>
      </c>
      <c r="AS80" s="755">
        <f>+$D$80</f>
        <v>24.5</v>
      </c>
      <c r="AT80" s="1361">
        <f>((AP80*$AP$18)+(AR80*$AR$18))/$AT$18</f>
        <v>24.350342288606377</v>
      </c>
      <c r="AU80" s="3488">
        <f>+$D$80</f>
        <v>24.5</v>
      </c>
      <c r="AV80" s="3489">
        <v>24.998051492556701</v>
      </c>
      <c r="AW80" s="755">
        <f>+$D$80</f>
        <v>24.5</v>
      </c>
      <c r="AX80" s="1361">
        <f>((AT80*$AT$18)+(AV80*$AV$18))/$AX$18</f>
        <v>24.404502205897828</v>
      </c>
      <c r="AY80" s="3488">
        <f>+$D$80</f>
        <v>24.5</v>
      </c>
      <c r="AZ80" s="3489">
        <v>24.998070177165509</v>
      </c>
      <c r="BA80" s="754">
        <f>+$D$80</f>
        <v>24.5</v>
      </c>
      <c r="BB80" s="2356">
        <f>((AR80*$AR$18)+(AV80*$AV$18)+(AZ80*$AZ$18))/$BB$18</f>
        <v>24.748447938935346</v>
      </c>
      <c r="BC80" s="756">
        <f>+$D$80</f>
        <v>24.5</v>
      </c>
      <c r="BD80" s="2357">
        <f>((AN80*$AN$17)+(BB80*$BB$17))/$BD$17</f>
        <v>23.903205697396743</v>
      </c>
      <c r="BE80" s="755">
        <f>+$D$80</f>
        <v>24.5</v>
      </c>
      <c r="BF80" s="755">
        <f>((AX80*$AX$18)+(AZ80*$AZ$18))/$BF$18</f>
        <v>24.455097809434147</v>
      </c>
      <c r="BG80" s="1137"/>
      <c r="BH80" s="1137"/>
      <c r="BI80" s="1137"/>
      <c r="BJ80" s="1137"/>
      <c r="BK80" s="1137"/>
      <c r="BL80" s="25"/>
      <c r="BM80" s="25"/>
      <c r="BN80" s="25"/>
    </row>
    <row r="81" spans="1:66" ht="15.75" customHeight="1" thickBot="1" x14ac:dyDescent="0.3">
      <c r="A81" s="138"/>
      <c r="B81" s="2363" t="s">
        <v>35</v>
      </c>
      <c r="C81" s="3244" t="s">
        <v>481</v>
      </c>
      <c r="D81" s="3245">
        <f t="shared" ref="D81:Y81" si="327">+((D79*D17)+(D80*D18))/D19</f>
        <v>24.325007334460306</v>
      </c>
      <c r="E81" s="3245">
        <f t="shared" si="327"/>
        <v>24.321943536579955</v>
      </c>
      <c r="F81" s="3245">
        <f t="shared" si="327"/>
        <v>23.978240534761326</v>
      </c>
      <c r="G81" s="3245">
        <f t="shared" ref="G81:H81" si="328">+((G79*G17)+(G80*G18))/G19</f>
        <v>24.323589743589746</v>
      </c>
      <c r="H81" s="3245">
        <f t="shared" si="328"/>
        <v>25.000000000000004</v>
      </c>
      <c r="I81" s="3247">
        <f t="shared" si="327"/>
        <v>24.322783954906956</v>
      </c>
      <c r="J81" s="3491">
        <f>((F81*$F$19)+(H81*$H$19))/$J$19</f>
        <v>24.495536218024846</v>
      </c>
      <c r="K81" s="3245">
        <f t="shared" ref="K81:L81" si="329">+((K79*K17)+(K80*K18))/K19</f>
        <v>24.328317794720412</v>
      </c>
      <c r="L81" s="3245">
        <f t="shared" si="329"/>
        <v>24.305586432918613</v>
      </c>
      <c r="M81" s="764">
        <f t="shared" si="327"/>
        <v>24.324596152571125</v>
      </c>
      <c r="N81" s="2356">
        <f>((F81*$F$19)+(H81*$H$19)+(L81*$L$19))/($N$19)</f>
        <v>24.433035093353688</v>
      </c>
      <c r="O81" s="3245">
        <f t="shared" ref="O81:P81" si="330">+((O79*O17)+(O80*O18))/O19</f>
        <v>24.328317794720409</v>
      </c>
      <c r="P81" s="3245">
        <f t="shared" si="330"/>
        <v>24.302601375516193</v>
      </c>
      <c r="Q81" s="763">
        <f t="shared" si="327"/>
        <v>24.325537111937631</v>
      </c>
      <c r="R81" s="2631">
        <f>((N81*$N$19)+(P81*$P$19))/$R$19</f>
        <v>24.399909834953604</v>
      </c>
      <c r="S81" s="3245">
        <f t="shared" ref="S81:T81" si="331">+((S79*S17)+(S80*S18))/S19</f>
        <v>24.328317794720409</v>
      </c>
      <c r="T81" s="3245">
        <f t="shared" si="331"/>
        <v>24.297748495531511</v>
      </c>
      <c r="U81" s="763">
        <f t="shared" ref="U81" si="332">+((U79*U17)+(U80*U18))/U19</f>
        <v>24.326098281383672</v>
      </c>
      <c r="V81" s="2631">
        <f>((R81*$R$19)+(T81*$T$19))/$V$19</f>
        <v>24.379118590143019</v>
      </c>
      <c r="W81" s="3245">
        <f t="shared" ref="W81:X81" si="333">+((W79*W17)+(W80*W18))/W19</f>
        <v>24.325308306379842</v>
      </c>
      <c r="X81" s="3245">
        <f t="shared" si="333"/>
        <v>24.296551247772911</v>
      </c>
      <c r="Y81" s="764">
        <f t="shared" si="327"/>
        <v>24.327361270864213</v>
      </c>
      <c r="Z81" s="2356">
        <f>((P81*$P$19)+(T81*$T$19)+(X81*$X$19))/$Z$19</f>
        <v>24.298984586562202</v>
      </c>
      <c r="AA81" s="756">
        <f t="shared" ref="AA81:AE81" si="334">+((AA79*AA17)+(AA80*AA18))/AA19</f>
        <v>24.325973237223693</v>
      </c>
      <c r="AB81" s="2357">
        <f>((N81*$N$19)+(Z81*$Z$19))/$AB$19</f>
        <v>24.36551404931301</v>
      </c>
      <c r="AC81" s="3245">
        <f t="shared" ref="AC81:AD81" si="335">+((AC79*AC17)+(AC80*AC18))/AC19</f>
        <v>24.328317794720409</v>
      </c>
      <c r="AD81" s="3245">
        <f t="shared" si="335"/>
        <v>23.617829292052154</v>
      </c>
      <c r="AE81" s="763">
        <f t="shared" si="334"/>
        <v>24.326313669381346</v>
      </c>
      <c r="AF81" s="2631">
        <f>((AB81*$AB$19)+(AD81*$AD$19))/$AF$19</f>
        <v>24.25818080720785</v>
      </c>
      <c r="AG81" s="3245">
        <f t="shared" ref="AG81:AH81" si="336">+((AG79*AG17)+(AG80*AG18))/AG19</f>
        <v>24.328317794720412</v>
      </c>
      <c r="AH81" s="3245">
        <f t="shared" si="336"/>
        <v>23.000000000000004</v>
      </c>
      <c r="AI81" s="763">
        <f t="shared" ref="AI81:AM81" si="337">+((AI79*AI17)+(AI80*AI18))/AI19</f>
        <v>24.326560587136324</v>
      </c>
      <c r="AJ81" s="2631">
        <f>((AF81*$AF$19)+(AH81*$AH$19))/$AJ$19</f>
        <v>24.10452092697501</v>
      </c>
      <c r="AK81" s="3245">
        <f t="shared" ref="AK81:AL81" si="338">+((AK79*AK17)+(AK80*AK18))/AK19</f>
        <v>24.328317794720409</v>
      </c>
      <c r="AL81" s="3245">
        <f t="shared" si="338"/>
        <v>23.201027346735309</v>
      </c>
      <c r="AM81" s="764">
        <f t="shared" si="337"/>
        <v>24.328317794720409</v>
      </c>
      <c r="AN81" s="2356">
        <f>((AD81*$AD$19)+(AH81*$AH$19)+(AL81*$AL$19))/$AN$19</f>
        <v>23.275756830188715</v>
      </c>
      <c r="AO81" s="763">
        <f t="shared" ref="AO81:AS81" si="339">+((AO79*AO17)+(AO80*AO18))/AO19</f>
        <v>24.326759035253918</v>
      </c>
      <c r="AP81" s="1361">
        <f>((AJ81*$AJ$19)+(AL81*$AL$19))/$AP$19</f>
        <v>24.00327683293547</v>
      </c>
      <c r="AQ81" s="3245">
        <f t="shared" ref="AQ81:AR81" si="340">+((AQ79*AQ17)+(AQ80*AQ18))/AQ19</f>
        <v>24.328317794720409</v>
      </c>
      <c r="AR81" s="3245">
        <f t="shared" si="340"/>
        <v>24.522953270440297</v>
      </c>
      <c r="AS81" s="763">
        <f t="shared" si="339"/>
        <v>24.326917208741019</v>
      </c>
      <c r="AT81" s="2631">
        <f>((AP81*$AP$19)+(AR81*$AR$19))/$AT$19</f>
        <v>24.055496458644352</v>
      </c>
      <c r="AU81" s="3245">
        <f t="shared" ref="AU81:AV81" si="341">+((AU79*AU17)+(AU80*AU18))/AU19</f>
        <v>24.328317794720409</v>
      </c>
      <c r="AV81" s="3245">
        <f t="shared" si="341"/>
        <v>24.998722380226461</v>
      </c>
      <c r="AW81" s="763">
        <f t="shared" ref="AW81" si="342">+((AW79*AW17)+(AW80*AW18))/AW19</f>
        <v>24.327034800186471</v>
      </c>
      <c r="AX81" s="2631">
        <f>((AT81*$AT$19)+(AV81*$AV$19))/$AX$19</f>
        <v>24.133952554817608</v>
      </c>
      <c r="AY81" s="3245">
        <f t="shared" ref="AY81:AZ81" si="343">+((AY79*AY17)+(AY80*AY18))/AY19</f>
        <v>24.328317794720409</v>
      </c>
      <c r="AZ81" s="3245">
        <f t="shared" si="343"/>
        <v>24.998748025829993</v>
      </c>
      <c r="BA81" s="764">
        <f t="shared" ref="BA81:BE81" si="344">+((BA79*BA17)+(BA80*BA18))/BA19</f>
        <v>24.328317794720412</v>
      </c>
      <c r="BB81" s="2356">
        <f>((AR81*$P$19)+(AV81*$T$19)+(AZ81*$X$19))/$Z$19</f>
        <v>24.839150282241263</v>
      </c>
      <c r="BC81" s="756">
        <f t="shared" ref="BC81" si="345">+((BC79*BC17)+(BC80*BC18))/BC19</f>
        <v>24.328317794720409</v>
      </c>
      <c r="BD81" s="2357">
        <f>((AN81*$AN$19)+(BB81*$BB$19))/$BD$19</f>
        <v>24.050055848582886</v>
      </c>
      <c r="BE81" s="763">
        <f t="shared" si="344"/>
        <v>24.327143917184305</v>
      </c>
      <c r="BF81" s="763">
        <f>((AX81*$AX$19)+(AZ81*$AZ$19))/$BF$19</f>
        <v>24.208030836973073</v>
      </c>
      <c r="BG81" s="1137"/>
      <c r="BH81" s="1137"/>
      <c r="BI81" s="1137"/>
      <c r="BJ81" s="1137"/>
      <c r="BK81" s="1137"/>
      <c r="BL81" s="25"/>
      <c r="BM81" s="25"/>
      <c r="BN81" s="25"/>
    </row>
    <row r="82" spans="1:66" ht="15.75" customHeight="1" thickBot="1" x14ac:dyDescent="0.3">
      <c r="A82" s="138"/>
      <c r="B82" s="2364" t="s">
        <v>1046</v>
      </c>
      <c r="C82" s="3492" t="s">
        <v>481</v>
      </c>
      <c r="D82" s="3488">
        <v>10</v>
      </c>
      <c r="E82" s="3488">
        <f>+$D$82</f>
        <v>10</v>
      </c>
      <c r="F82" s="3488">
        <v>10.7</v>
      </c>
      <c r="G82" s="3488">
        <f>+$D$82</f>
        <v>10</v>
      </c>
      <c r="H82" s="3488">
        <v>10</v>
      </c>
      <c r="I82" s="3490">
        <f>+$D$82</f>
        <v>10</v>
      </c>
      <c r="J82" s="155">
        <f>((F82*$F$17)+(H82*$H$17))/$J$17</f>
        <v>10.344954743546767</v>
      </c>
      <c r="K82" s="3488">
        <f>+$D$82</f>
        <v>10</v>
      </c>
      <c r="L82" s="3488">
        <v>10</v>
      </c>
      <c r="M82" s="754">
        <f>+$D$82</f>
        <v>10</v>
      </c>
      <c r="N82" s="2356">
        <f>((F82*$F$17)+(H82*$H$17)+(L82*$L$17))/$N$17</f>
        <v>10.232594936708862</v>
      </c>
      <c r="O82" s="3488">
        <f>+$D$82</f>
        <v>10</v>
      </c>
      <c r="P82" s="3488">
        <v>10</v>
      </c>
      <c r="Q82" s="755">
        <f>+$D$82</f>
        <v>10</v>
      </c>
      <c r="R82" s="1361">
        <f>((N82*$N$17)+(P82*$P$17))/$R$17</f>
        <v>10.17431814331696</v>
      </c>
      <c r="S82" s="3488">
        <f>+$D$82</f>
        <v>10</v>
      </c>
      <c r="T82" s="3488">
        <v>10</v>
      </c>
      <c r="U82" s="755">
        <f>+$D$82</f>
        <v>10</v>
      </c>
      <c r="V82" s="1361">
        <f>((R82*$R$17)+(T82*$T$17))/$V$17</f>
        <v>10.138641875505257</v>
      </c>
      <c r="W82" s="3488">
        <f>+$D$82</f>
        <v>10</v>
      </c>
      <c r="X82" s="3488">
        <v>10</v>
      </c>
      <c r="Y82" s="754">
        <f>+$D$82</f>
        <v>10</v>
      </c>
      <c r="Z82" s="2356">
        <f>((P82*$P$17)+(T82*$T$17)+(X82*$X$17))/$Z$17</f>
        <v>10</v>
      </c>
      <c r="AA82" s="756">
        <f>+$D$82</f>
        <v>10</v>
      </c>
      <c r="AB82" s="2357">
        <f>((N82*$N$17)+(Z82*$Z$17))/$AB$17</f>
        <v>10.115721997300945</v>
      </c>
      <c r="AC82" s="3488">
        <f>+$D$82</f>
        <v>10</v>
      </c>
      <c r="AD82" s="3488">
        <v>10</v>
      </c>
      <c r="AE82" s="755">
        <f>+$D$82</f>
        <v>10</v>
      </c>
      <c r="AF82" s="1361">
        <f>((AB82*$AB$17)+(AD82*$AD$17))/$AF$17</f>
        <v>10.099051836164991</v>
      </c>
      <c r="AG82" s="3488">
        <f>+$D$82</f>
        <v>10</v>
      </c>
      <c r="AH82" s="3488">
        <v>10</v>
      </c>
      <c r="AI82" s="755">
        <f>+$D$82</f>
        <v>10</v>
      </c>
      <c r="AJ82" s="1361">
        <f>((AF82*$AF$17)+(AH82*$AH$17))/$AJ$17</f>
        <v>10.087188612099645</v>
      </c>
      <c r="AK82" s="3488">
        <f>+$D$82</f>
        <v>10</v>
      </c>
      <c r="AL82" s="3488">
        <v>10</v>
      </c>
      <c r="AM82" s="754">
        <f>+$D$82</f>
        <v>10</v>
      </c>
      <c r="AN82" s="2356">
        <f>((AD82*$AD$17)+(AH82*$AH$17)+(AL82*$AL$17))/$AN$17</f>
        <v>10</v>
      </c>
      <c r="AO82" s="755">
        <f>+$D$82</f>
        <v>10</v>
      </c>
      <c r="AP82" s="1361">
        <f>((AJ82*$AJ$17)+(AL82*$AL$17))/$AP$17</f>
        <v>10.077598883903322</v>
      </c>
      <c r="AQ82" s="3488">
        <f>+$D$82</f>
        <v>10</v>
      </c>
      <c r="AR82" s="3488">
        <v>10</v>
      </c>
      <c r="AS82" s="755">
        <f>+$D$82</f>
        <v>10</v>
      </c>
      <c r="AT82" s="1361">
        <f>((AP82*$AP$17)+(AR82*$AR$17))/$AT$17</f>
        <v>10.069855062625166</v>
      </c>
      <c r="AU82" s="3488">
        <f>+$D$82</f>
        <v>10</v>
      </c>
      <c r="AV82" s="3488">
        <v>10</v>
      </c>
      <c r="AW82" s="755">
        <f>+$D$82</f>
        <v>10</v>
      </c>
      <c r="AX82" s="1361">
        <f>((AT82*$AT$17)+(AV82*$AV$17))/$AX$17</f>
        <v>10.064102164771842</v>
      </c>
      <c r="AY82" s="3488">
        <v>10</v>
      </c>
      <c r="AZ82" s="3488">
        <v>10</v>
      </c>
      <c r="BA82" s="754">
        <f>+$D$82</f>
        <v>10</v>
      </c>
      <c r="BB82" s="2356">
        <f>((AR82*$AR$17)+(AV82*$AV$17)+(AZ82*$AZ$17))/$BB$17</f>
        <v>10</v>
      </c>
      <c r="BC82" s="756">
        <f>+$D$82</f>
        <v>10</v>
      </c>
      <c r="BD82" s="2357">
        <f>((AN82*$AN$17)+(BB82*$BB$17))/$BD$17</f>
        <v>10</v>
      </c>
      <c r="BE82" s="755">
        <f>+$D$82</f>
        <v>10</v>
      </c>
      <c r="BF82" s="755">
        <f t="shared" ref="BF82:BF85" si="346">((AX82*$AX$17)+(AZ82*$AZ$17))/$BF$17</f>
        <v>10.058560737557977</v>
      </c>
      <c r="BG82" s="1137"/>
      <c r="BH82" s="1137"/>
      <c r="BI82" s="1137"/>
      <c r="BJ82" s="1137"/>
      <c r="BK82" s="1137"/>
      <c r="BL82" s="25"/>
      <c r="BM82" s="25"/>
      <c r="BN82" s="25"/>
    </row>
    <row r="83" spans="1:66" ht="15.75" customHeight="1" thickBot="1" x14ac:dyDescent="0.3">
      <c r="A83" s="138"/>
      <c r="B83" s="2364" t="s">
        <v>483</v>
      </c>
      <c r="C83" s="3492" t="s">
        <v>481</v>
      </c>
      <c r="D83" s="3488">
        <v>4.2000000000000011</v>
      </c>
      <c r="E83" s="3488">
        <f>+$D$83</f>
        <v>4.2000000000000011</v>
      </c>
      <c r="F83" s="3488"/>
      <c r="G83" s="3488">
        <f>+$D$83</f>
        <v>4.2000000000000011</v>
      </c>
      <c r="H83" s="3488"/>
      <c r="I83" s="3490">
        <f>+$D$83</f>
        <v>4.2000000000000011</v>
      </c>
      <c r="J83" s="155">
        <f>((F83*$F$18)+(H83*$H$18))/$J$18</f>
        <v>0</v>
      </c>
      <c r="K83" s="3488">
        <f>+$D$83</f>
        <v>4.2000000000000011</v>
      </c>
      <c r="L83" s="3488">
        <v>0</v>
      </c>
      <c r="M83" s="754">
        <f>+$D$83</f>
        <v>4.2000000000000011</v>
      </c>
      <c r="N83" s="2356">
        <f>((F83*$F$18)+(H83*$H$18)+(L83*$L$18))/($N$18)</f>
        <v>0</v>
      </c>
      <c r="O83" s="3488">
        <f>+$D$83</f>
        <v>4.2000000000000011</v>
      </c>
      <c r="P83" s="3488">
        <v>0</v>
      </c>
      <c r="Q83" s="755">
        <f>+$D$83</f>
        <v>4.2000000000000011</v>
      </c>
      <c r="R83" s="1361">
        <f>((N83*$N$18)+(P83*$P$18))/$R$18</f>
        <v>0</v>
      </c>
      <c r="S83" s="3488">
        <f>+$D$83</f>
        <v>4.2000000000000011</v>
      </c>
      <c r="T83" s="3488">
        <v>0</v>
      </c>
      <c r="U83" s="755">
        <f>+$D$83</f>
        <v>4.2000000000000011</v>
      </c>
      <c r="V83" s="1361">
        <f>((R83*$R$18)+(T83*$T$18))/$V$18</f>
        <v>0</v>
      </c>
      <c r="W83" s="3488">
        <f>+$D$83</f>
        <v>4.2000000000000011</v>
      </c>
      <c r="X83" s="3488"/>
      <c r="Y83" s="754">
        <f>+$D$83</f>
        <v>4.2000000000000011</v>
      </c>
      <c r="Z83" s="2356">
        <f>((P83*$P$18)+(T83*$T$18)+(X83*$X$18))/$Z$18</f>
        <v>0</v>
      </c>
      <c r="AA83" s="756">
        <f>+$D$83</f>
        <v>4.2000000000000011</v>
      </c>
      <c r="AB83" s="2357">
        <f>((N83*$N$18)+(Z83*$Z$18))/$AB$18</f>
        <v>0</v>
      </c>
      <c r="AC83" s="3488">
        <f>+$D$83</f>
        <v>4.2000000000000011</v>
      </c>
      <c r="AD83" s="3488"/>
      <c r="AE83" s="755">
        <f>+$D$83</f>
        <v>4.2000000000000011</v>
      </c>
      <c r="AF83" s="1361">
        <f>((AB83*$AB$18)+(AD83*$AD$18))/$AF$18</f>
        <v>0</v>
      </c>
      <c r="AG83" s="3488">
        <f>+$D$83</f>
        <v>4.2000000000000011</v>
      </c>
      <c r="AH83" s="3488"/>
      <c r="AI83" s="755">
        <f>+$D$83</f>
        <v>4.2000000000000011</v>
      </c>
      <c r="AJ83" s="1361">
        <f>((AF83*$AF$18)+(AH83*$AH$18))/$AJ$18</f>
        <v>0</v>
      </c>
      <c r="AK83" s="3488">
        <f>+$D$83</f>
        <v>4.2000000000000011</v>
      </c>
      <c r="AL83" s="3488"/>
      <c r="AM83" s="754">
        <f>+$D$83</f>
        <v>4.2000000000000011</v>
      </c>
      <c r="AN83" s="2356">
        <f>((AD83*$AD$18)+(AH83*$AH$18)+(AL83*$AL$18))/$AN$18</f>
        <v>0</v>
      </c>
      <c r="AO83" s="755">
        <f>+$D$83</f>
        <v>4.2000000000000011</v>
      </c>
      <c r="AP83" s="1361">
        <f>((AJ83*$AJ$18)+(AL83*$AL$18))/$AP$18</f>
        <v>0</v>
      </c>
      <c r="AQ83" s="3488">
        <f>+$D$83</f>
        <v>4.2000000000000011</v>
      </c>
      <c r="AR83" s="3488"/>
      <c r="AS83" s="755">
        <f>+$D$83</f>
        <v>4.2000000000000011</v>
      </c>
      <c r="AT83" s="1361">
        <f>((AP83*$AP$18)+(AR83*$AR$18))/$AT$18</f>
        <v>0</v>
      </c>
      <c r="AU83" s="3488">
        <f>+$D$83</f>
        <v>4.2000000000000011</v>
      </c>
      <c r="AV83" s="3488"/>
      <c r="AW83" s="755">
        <f>+$D$83</f>
        <v>4.2000000000000011</v>
      </c>
      <c r="AX83" s="1361">
        <f>((AT83*$AT$18)+(AV83*$AV$18))/$AX$18</f>
        <v>0</v>
      </c>
      <c r="AY83" s="3488">
        <f>+$D$83</f>
        <v>4.2000000000000011</v>
      </c>
      <c r="AZ83" s="3488"/>
      <c r="BA83" s="754">
        <f>+$D$83</f>
        <v>4.2000000000000011</v>
      </c>
      <c r="BB83" s="2356">
        <f>((AR83*$AR$18)+(AV83*$AV$18)+(AZ83*$AZ$18))/$BB$18</f>
        <v>0</v>
      </c>
      <c r="BC83" s="756">
        <f>+$D$83</f>
        <v>4.2000000000000011</v>
      </c>
      <c r="BD83" s="2357">
        <f>((AN83*$AN$18)+(BB83*$BB$18))/$BD$18</f>
        <v>0</v>
      </c>
      <c r="BE83" s="755">
        <f>+$D$83</f>
        <v>4.2000000000000011</v>
      </c>
      <c r="BF83" s="755">
        <f>((AX83*$AX$18)+(AZ83*$AZ$18))/$BF$18</f>
        <v>0</v>
      </c>
      <c r="BG83" s="1137"/>
      <c r="BH83" s="1137"/>
      <c r="BI83" s="1137"/>
      <c r="BJ83" s="1137"/>
      <c r="BK83" s="1137"/>
      <c r="BL83" s="25"/>
      <c r="BM83" s="25"/>
      <c r="BN83" s="25"/>
    </row>
    <row r="84" spans="1:66" ht="15.75" customHeight="1" thickBot="1" x14ac:dyDescent="0.3">
      <c r="A84" s="138"/>
      <c r="B84" s="2365" t="s">
        <v>1047</v>
      </c>
      <c r="C84" s="3244" t="s">
        <v>481</v>
      </c>
      <c r="D84" s="3245">
        <f t="shared" ref="D84:AA84" si="347">+((D82*D17)+(D83*D18))/D19</f>
        <v>6.2299149202604216</v>
      </c>
      <c r="E84" s="3245">
        <f t="shared" si="347"/>
        <v>6.2654549756725189</v>
      </c>
      <c r="F84" s="3245">
        <f t="shared" si="347"/>
        <v>3.7644069665631545</v>
      </c>
      <c r="G84" s="3245">
        <f t="shared" ref="G84:H84" si="348">+((G82*G17)+(G83*G18))/G19</f>
        <v>6.2463589743589756</v>
      </c>
      <c r="H84" s="3245">
        <f t="shared" si="348"/>
        <v>3.5312260628680257</v>
      </c>
      <c r="I84" s="3247">
        <f t="shared" si="347"/>
        <v>6.2557061230792987</v>
      </c>
      <c r="J84" s="3491">
        <f>((F84*$F$19)+(H84*$H$19))/$J$19</f>
        <v>3.646352298116506</v>
      </c>
      <c r="K84" s="3245">
        <f t="shared" ref="K84:L84" si="349">+((K82*K17)+(K83*K18))/K19</f>
        <v>6.1915135812432318</v>
      </c>
      <c r="L84" s="3245">
        <f t="shared" si="349"/>
        <v>3.4720678354069614</v>
      </c>
      <c r="M84" s="764">
        <f t="shared" si="347"/>
        <v>6.2346846301749297</v>
      </c>
      <c r="N84" s="2356">
        <f>((F84*$F$19)+(H84*$H$19)+(L84*$L$19))/($N$19)</f>
        <v>3.5890056950342086</v>
      </c>
      <c r="O84" s="3245">
        <f t="shared" ref="O84:P84" si="350">+((O82*O17)+(O83*O18))/O19</f>
        <v>6.1915135812432309</v>
      </c>
      <c r="P84" s="3245">
        <f t="shared" si="350"/>
        <v>3.444551978933621</v>
      </c>
      <c r="Q84" s="763">
        <f t="shared" si="347"/>
        <v>6.2237695015234715</v>
      </c>
      <c r="R84" s="2631">
        <f>((N84*$N$19)+(P84*$P$19))/$R$19</f>
        <v>3.5523198844016708</v>
      </c>
      <c r="S84" s="3245">
        <f t="shared" ref="S84:T84" si="351">+((S82*S17)+(S83*S18))/S19</f>
        <v>6.1915135812432309</v>
      </c>
      <c r="T84" s="3245">
        <f t="shared" si="351"/>
        <v>3.516220266433749</v>
      </c>
      <c r="U84" s="763">
        <f t="shared" ref="U84" si="352">+((U82*U17)+(U83*U18))/U19</f>
        <v>6.2172599359493699</v>
      </c>
      <c r="V84" s="2631">
        <f>((R84*$R$19)+(T84*$T$19))/$V$19</f>
        <v>3.5449731131182731</v>
      </c>
      <c r="W84" s="3245">
        <f t="shared" ref="W84:X84" si="353">+((W82*W17)+(W83*W18))/W19</f>
        <v>6.2264236459938092</v>
      </c>
      <c r="X84" s="3245">
        <f t="shared" si="353"/>
        <v>3.510431920994455</v>
      </c>
      <c r="Y84" s="764">
        <f t="shared" si="347"/>
        <v>6.2026092579751779</v>
      </c>
      <c r="Z84" s="2356">
        <f>((P84*$P$19)+(T84*$T$19)+(X84*$X$19))/$Z$19</f>
        <v>3.4902881149053333</v>
      </c>
      <c r="AA84" s="756">
        <f t="shared" si="347"/>
        <v>6.2187104482051385</v>
      </c>
      <c r="AB84" s="2357">
        <f>((N84*$N$19)+(Z84*$Z$19))/$AB$19</f>
        <v>3.5392817944312895</v>
      </c>
      <c r="AC84" s="3245">
        <f t="shared" ref="AC84:AD84" si="354">+((AC82*AC17)+(AC83*AC18))/AC19</f>
        <v>6.1915135812432309</v>
      </c>
      <c r="AD84" s="3245">
        <f t="shared" si="354"/>
        <v>3.5130126808596303</v>
      </c>
      <c r="AE84" s="763">
        <f t="shared" ref="AE84" si="355">+((AE82*AE17)+(AE83*AE18))/AE19</f>
        <v>6.214761435176392</v>
      </c>
      <c r="AF84" s="2631">
        <f>((AB84*$AB$19)+(AD84*$AD$19))/$AF$19</f>
        <v>3.5355107544314848</v>
      </c>
      <c r="AG84" s="3245">
        <f t="shared" ref="AG84:AH84" si="356">+((AG82*AG17)+(AG83*AG18))/AG19</f>
        <v>6.1915135812432318</v>
      </c>
      <c r="AH84" s="3245">
        <f t="shared" si="356"/>
        <v>3.4239545279144639</v>
      </c>
      <c r="AI84" s="763">
        <f t="shared" ref="AI84" si="357">+((AI82*AI17)+(AI83*AI18))/AI19</f>
        <v>6.2118971892186412</v>
      </c>
      <c r="AJ84" s="2631">
        <f>((AF84*$AF$19)+(AH84*$AH$19))/$AJ$19</f>
        <v>3.5218865469188354</v>
      </c>
      <c r="AK84" s="3245">
        <f t="shared" ref="AK84:AL84" si="358">+((AK82*AK17)+(AK83*AK18))/AK19</f>
        <v>6.1915135812432309</v>
      </c>
      <c r="AL84" s="3245">
        <f t="shared" si="358"/>
        <v>3.4189739548249549</v>
      </c>
      <c r="AM84" s="764">
        <f t="shared" ref="AM84" si="359">+((AM82*AM17)+(AM83*AM18))/AM19</f>
        <v>6.1915135812432309</v>
      </c>
      <c r="AN84" s="2356">
        <f>((AD84*$AD$19)+(AH84*$AH$19)+(AL84*$AL$19))/$AN$19</f>
        <v>3.4522561613382616</v>
      </c>
      <c r="AO84" s="763">
        <f t="shared" ref="AO84" si="360">+((AO82*AO17)+(AO83*AO18))/AO19</f>
        <v>6.2095951910545928</v>
      </c>
      <c r="AP84" s="1361">
        <f>((AJ84*$AJ$19)+(AL84*$AL$19))/$AP$19</f>
        <v>3.5103543209244439</v>
      </c>
      <c r="AQ84" s="3245">
        <f t="shared" ref="AQ84:AR84" si="361">+((AQ82*AQ17)+(AQ83*AQ18))/AQ19</f>
        <v>6.1915135812432309</v>
      </c>
      <c r="AR84" s="3245">
        <f t="shared" si="361"/>
        <v>3.4566790643561069</v>
      </c>
      <c r="AS84" s="763">
        <f t="shared" ref="AS84" si="362">+((AS82*AS17)+(AS83*AS18))/AS19</f>
        <v>6.2077603786042257</v>
      </c>
      <c r="AT84" s="2631">
        <f>((AP84*$AP$19)+(AR84*$AR$19))/$AT$19</f>
        <v>3.5049607690803675</v>
      </c>
      <c r="AU84" s="3245">
        <f t="shared" ref="AU84:AV84" si="363">+((AU82*AU17)+(AU83*AU18))/AU19</f>
        <v>6.1915135812432309</v>
      </c>
      <c r="AV84" s="3245">
        <f t="shared" si="363"/>
        <v>3.4430849728822839</v>
      </c>
      <c r="AW84" s="763">
        <f t="shared" ref="AW84" si="364">+((AW82*AW17)+(AW83*AW18))/AW19</f>
        <v>6.2063963178369548</v>
      </c>
      <c r="AX84" s="2631">
        <f>((AT84*$AT$19)+(AV84*$AV$19))/$AX$19</f>
        <v>3.4998140345534248</v>
      </c>
      <c r="AY84" s="3245">
        <f t="shared" ref="AY84:AZ84" si="365">+((AY82*AY17)+(AY83*AY18))/AY19</f>
        <v>6.1915135812432309</v>
      </c>
      <c r="AZ84" s="3245">
        <f t="shared" si="365"/>
        <v>3.5124916773126484</v>
      </c>
      <c r="BA84" s="764">
        <f t="shared" ref="BA84:BE84" si="366">+((BA82*BA17)+(BA83*BA18))/BA19</f>
        <v>6.1915135812432309</v>
      </c>
      <c r="BB84" s="2356">
        <f>((AR84*$AR$19)+(AV84*$AV$19)+(AZ84*$AZ$19))/$BB$19</f>
        <v>3.4719140660391865</v>
      </c>
      <c r="BC84" s="756">
        <f t="shared" ref="BC84" si="367">+((BC82*BC17)+(BC83*BC18))/BC19</f>
        <v>6.1915135812432318</v>
      </c>
      <c r="BD84" s="2357">
        <f>((AN84*$AN$19)+(BB84*$BB$19))/$BD$19</f>
        <v>3.4619920958809245</v>
      </c>
      <c r="BE84" s="763">
        <f t="shared" si="366"/>
        <v>6.2051305606620444</v>
      </c>
      <c r="BF84" s="763">
        <f>((AX84*$AX$19)+(AZ84*$AZ$19))/$BF$19</f>
        <v>3.5008999999971202</v>
      </c>
      <c r="BG84" s="1137"/>
      <c r="BH84" s="1137"/>
      <c r="BI84" s="1137"/>
      <c r="BJ84" s="1137"/>
      <c r="BK84" s="1137"/>
      <c r="BL84" s="25"/>
      <c r="BM84" s="25"/>
      <c r="BN84" s="25"/>
    </row>
    <row r="85" spans="1:66" ht="15.75" customHeight="1" x14ac:dyDescent="0.25">
      <c r="A85" s="138"/>
      <c r="B85" s="2366" t="s">
        <v>480</v>
      </c>
      <c r="C85" s="3244" t="s">
        <v>481</v>
      </c>
      <c r="D85" s="3245">
        <v>0</v>
      </c>
      <c r="E85" s="3245">
        <f>+$D$85</f>
        <v>0</v>
      </c>
      <c r="F85" s="3245">
        <v>0</v>
      </c>
      <c r="G85" s="3245">
        <f>+$D$85</f>
        <v>0</v>
      </c>
      <c r="H85" s="3245">
        <v>0</v>
      </c>
      <c r="I85" s="3247">
        <f>+$D$85</f>
        <v>0</v>
      </c>
      <c r="J85" s="3491">
        <f>((F85*$F$17)+(H85*$H$17))/$J$17</f>
        <v>0</v>
      </c>
      <c r="K85" s="3245">
        <f>+$D$85</f>
        <v>0</v>
      </c>
      <c r="L85" s="3245">
        <v>0</v>
      </c>
      <c r="M85" s="764">
        <f>+$D$85</f>
        <v>0</v>
      </c>
      <c r="N85" s="2356">
        <f>((F85*$F$17)+(H85*$H$17)+(L85*$L$17))/$N$17</f>
        <v>0</v>
      </c>
      <c r="O85" s="3245">
        <f>+$D$85</f>
        <v>0</v>
      </c>
      <c r="P85" s="3245">
        <v>0</v>
      </c>
      <c r="Q85" s="763">
        <f>+$D$85</f>
        <v>0</v>
      </c>
      <c r="R85" s="2631">
        <f>((N85*$N$17)+(P85*$P$17))/$R$17</f>
        <v>0</v>
      </c>
      <c r="S85" s="3245">
        <f>+$D$85</f>
        <v>0</v>
      </c>
      <c r="T85" s="3245">
        <v>0</v>
      </c>
      <c r="U85" s="763">
        <f>+$D$85</f>
        <v>0</v>
      </c>
      <c r="V85" s="2631">
        <f>((R85*$R$17)+(T85*$T$17))/$V$17</f>
        <v>0</v>
      </c>
      <c r="W85" s="3245">
        <f>+$D$85</f>
        <v>0</v>
      </c>
      <c r="X85" s="3245">
        <v>0</v>
      </c>
      <c r="Y85" s="764">
        <f>+$D$85</f>
        <v>0</v>
      </c>
      <c r="Z85" s="2356">
        <f>((P85*$P$17)+(T85*$T$17)+(X85*$X$17))/$Z$17</f>
        <v>0</v>
      </c>
      <c r="AA85" s="756">
        <f>+$D$85</f>
        <v>0</v>
      </c>
      <c r="AB85" s="2357">
        <f>((N85*$N$17)+(Z85*$Z$17))/$AB$17</f>
        <v>0</v>
      </c>
      <c r="AC85" s="3245">
        <f>+$D$85</f>
        <v>0</v>
      </c>
      <c r="AD85" s="3245">
        <v>0</v>
      </c>
      <c r="AE85" s="763">
        <f>+$D$85</f>
        <v>0</v>
      </c>
      <c r="AF85" s="2631">
        <f>((AB85*$F$17)+(AD85*$H$17))/$J$17</f>
        <v>0</v>
      </c>
      <c r="AG85" s="3245">
        <f>+$D$85</f>
        <v>0</v>
      </c>
      <c r="AH85" s="3245">
        <v>0</v>
      </c>
      <c r="AI85" s="763">
        <f>+$D$85</f>
        <v>0</v>
      </c>
      <c r="AJ85" s="2631">
        <f>((AF85*$AF$17)+(AH85*$AH$17))/$AJ$17</f>
        <v>0</v>
      </c>
      <c r="AK85" s="3245">
        <f>+$D$85</f>
        <v>0</v>
      </c>
      <c r="AL85" s="3245">
        <v>0</v>
      </c>
      <c r="AM85" s="764">
        <f>+$D$85</f>
        <v>0</v>
      </c>
      <c r="AN85" s="2356">
        <f>((AD85*$AD$17)+(AH85*$AH$17)+(AL85*$AL$17))/$AN$17</f>
        <v>0</v>
      </c>
      <c r="AO85" s="763">
        <f>+$D$85</f>
        <v>0</v>
      </c>
      <c r="AP85" s="1361">
        <f>((AJ85*$AJ$17)+(AL85*$AL$17))/$AP$17</f>
        <v>0</v>
      </c>
      <c r="AQ85" s="3245">
        <f>+$D$85</f>
        <v>0</v>
      </c>
      <c r="AR85" s="3245">
        <v>0</v>
      </c>
      <c r="AS85" s="763">
        <f>+$D$85</f>
        <v>0</v>
      </c>
      <c r="AT85" s="2631">
        <f>((AP85*$AP$17)+(AR85*$AR$17))/$AT$17</f>
        <v>0</v>
      </c>
      <c r="AU85" s="3245">
        <f>+$D$85</f>
        <v>0</v>
      </c>
      <c r="AV85" s="3245">
        <v>0</v>
      </c>
      <c r="AW85" s="763">
        <f>+$D$85</f>
        <v>0</v>
      </c>
      <c r="AX85" s="2631">
        <f>((AT85*$AT$17)+(AV85*$AV$17))/$AX$17</f>
        <v>0</v>
      </c>
      <c r="AY85" s="3245">
        <f>+$D$85</f>
        <v>0</v>
      </c>
      <c r="AZ85" s="3245"/>
      <c r="BA85" s="764">
        <f>+$D$85</f>
        <v>0</v>
      </c>
      <c r="BB85" s="2356">
        <f>((AR85*$AR$17)+(AV85*$AV$17)+(AZ85*$AZ$17))/$BB$17</f>
        <v>0</v>
      </c>
      <c r="BC85" s="2340">
        <f>+$D$85</f>
        <v>0</v>
      </c>
      <c r="BD85" s="2807">
        <f>((AN85*$AN$17)+(BB85*$BB$17))/$BD$17</f>
        <v>0</v>
      </c>
      <c r="BE85" s="763">
        <f>+$D$85</f>
        <v>0</v>
      </c>
      <c r="BF85" s="763">
        <f t="shared" si="346"/>
        <v>0</v>
      </c>
      <c r="BG85" s="1137"/>
      <c r="BH85" s="1137"/>
      <c r="BI85" s="1137"/>
      <c r="BJ85" s="1137"/>
      <c r="BK85" s="1137"/>
      <c r="BL85" s="25"/>
      <c r="BM85" s="25"/>
      <c r="BN85" s="25"/>
    </row>
    <row r="86" spans="1:66" x14ac:dyDescent="0.25">
      <c r="B86" s="2367" t="s">
        <v>189</v>
      </c>
      <c r="C86" s="2893" t="s">
        <v>50</v>
      </c>
      <c r="D86" s="3171">
        <v>120</v>
      </c>
      <c r="E86" s="3171">
        <v>10</v>
      </c>
      <c r="F86" s="3171">
        <v>10</v>
      </c>
      <c r="G86" s="3171">
        <v>10</v>
      </c>
      <c r="H86" s="3171">
        <v>5</v>
      </c>
      <c r="I86" s="3432">
        <f t="shared" ref="I86:J88" si="368">+E86+G86</f>
        <v>20</v>
      </c>
      <c r="J86" s="103">
        <f t="shared" si="368"/>
        <v>15</v>
      </c>
      <c r="K86" s="3171">
        <v>10</v>
      </c>
      <c r="L86" s="3171">
        <v>10</v>
      </c>
      <c r="M86" s="330">
        <f t="shared" ref="M86:N88" si="369">+E86+G86+K86</f>
        <v>30</v>
      </c>
      <c r="N86" s="330">
        <f t="shared" si="369"/>
        <v>25</v>
      </c>
      <c r="O86" s="3171">
        <v>10</v>
      </c>
      <c r="P86" s="3171">
        <v>5</v>
      </c>
      <c r="Q86" s="245">
        <f t="shared" ref="Q86:R88" si="370">+M86+O86</f>
        <v>40</v>
      </c>
      <c r="R86" s="245">
        <f t="shared" si="370"/>
        <v>30</v>
      </c>
      <c r="S86" s="3171">
        <v>10</v>
      </c>
      <c r="T86" s="3171">
        <v>6</v>
      </c>
      <c r="U86" s="245">
        <f t="shared" ref="U86:U88" si="371">+Q86+S86</f>
        <v>50</v>
      </c>
      <c r="V86" s="245">
        <f t="shared" ref="V86:V88" si="372">+R86+T86</f>
        <v>36</v>
      </c>
      <c r="W86" s="3171">
        <v>10</v>
      </c>
      <c r="X86" s="3171">
        <v>10</v>
      </c>
      <c r="Y86" s="330">
        <f t="shared" ref="Y86:Z88" si="373">+O86+S86+W86</f>
        <v>30</v>
      </c>
      <c r="Z86" s="330">
        <f t="shared" si="373"/>
        <v>21</v>
      </c>
      <c r="AA86" s="440">
        <f t="shared" ref="AA86:AB88" si="374">+M86+Y86</f>
        <v>60</v>
      </c>
      <c r="AB86" s="448">
        <f t="shared" si="374"/>
        <v>46</v>
      </c>
      <c r="AC86" s="3171">
        <v>10</v>
      </c>
      <c r="AD86" s="3171">
        <v>5</v>
      </c>
      <c r="AE86" s="245">
        <f t="shared" ref="AE86:AE88" si="375">+AA86+AC86</f>
        <v>70</v>
      </c>
      <c r="AF86" s="245">
        <f t="shared" ref="AF86:AF88" si="376">+AB86+AD86</f>
        <v>51</v>
      </c>
      <c r="AG86" s="3171">
        <v>10</v>
      </c>
      <c r="AH86" s="3171">
        <v>4</v>
      </c>
      <c r="AI86" s="245">
        <f t="shared" ref="AI86:AI88" si="377">+AE86+AG86</f>
        <v>80</v>
      </c>
      <c r="AJ86" s="245">
        <f t="shared" ref="AJ86:AJ88" si="378">+AF86+AH86</f>
        <v>55</v>
      </c>
      <c r="AK86" s="3171">
        <v>10</v>
      </c>
      <c r="AL86" s="3171">
        <v>7</v>
      </c>
      <c r="AM86" s="330">
        <f t="shared" ref="AM86:AM88" si="379">+AC86+AG86+AK86</f>
        <v>30</v>
      </c>
      <c r="AN86" s="330">
        <f t="shared" ref="AN86:AN88" si="380">+AD86+AH86+AL86</f>
        <v>16</v>
      </c>
      <c r="AO86" s="712">
        <f t="shared" ref="AO86" si="381">AI86+AK86</f>
        <v>90</v>
      </c>
      <c r="AP86" s="712">
        <f t="shared" ref="AP86" si="382">AJ86+AL86</f>
        <v>62</v>
      </c>
      <c r="AQ86" s="3171">
        <v>10</v>
      </c>
      <c r="AR86" s="3171">
        <v>4</v>
      </c>
      <c r="AS86" s="245">
        <f t="shared" ref="AS86:AS88" si="383">+AO86+AQ86</f>
        <v>100</v>
      </c>
      <c r="AT86" s="245">
        <f t="shared" ref="AT86:AT88" si="384">+AP86+AR86</f>
        <v>66</v>
      </c>
      <c r="AU86" s="3171">
        <v>10</v>
      </c>
      <c r="AV86" s="3171">
        <v>8</v>
      </c>
      <c r="AW86" s="245">
        <f t="shared" ref="AW86:AW88" si="385">+AS86+AU86</f>
        <v>110</v>
      </c>
      <c r="AX86" s="245">
        <f t="shared" ref="AX86:AX88" si="386">+AT86+AV86</f>
        <v>74</v>
      </c>
      <c r="AY86" s="3171">
        <v>10</v>
      </c>
      <c r="AZ86" s="3171">
        <v>6</v>
      </c>
      <c r="BA86" s="330">
        <f t="shared" ref="BA86:BA88" si="387">+AQ86+AU86+AY86</f>
        <v>30</v>
      </c>
      <c r="BB86" s="330">
        <f t="shared" ref="BB86:BB88" si="388">+AR86+AV86+AZ86</f>
        <v>18</v>
      </c>
      <c r="BC86" s="2679">
        <f t="shared" ref="BC86:BC88" si="389">+AM86+BA86</f>
        <v>60</v>
      </c>
      <c r="BD86" s="2679">
        <f t="shared" ref="BD86:BD88" si="390">+AN86+BB86</f>
        <v>34</v>
      </c>
      <c r="BE86" s="245">
        <f t="shared" ref="BE86:BE88" si="391">+AW86+AY86</f>
        <v>120</v>
      </c>
      <c r="BF86" s="245">
        <f t="shared" ref="BF86:BF88" si="392">+AX86+AZ86</f>
        <v>80</v>
      </c>
      <c r="BG86" s="1137">
        <f t="shared" si="284"/>
        <v>0</v>
      </c>
      <c r="BH86" s="1137">
        <f t="shared" si="285"/>
        <v>0</v>
      </c>
      <c r="BI86" s="1137"/>
      <c r="BJ86" s="1137">
        <f t="shared" si="311"/>
        <v>0</v>
      </c>
      <c r="BK86" s="1137">
        <f t="shared" si="312"/>
        <v>0</v>
      </c>
      <c r="BL86" s="25"/>
      <c r="BM86" s="25"/>
      <c r="BN86" s="25"/>
    </row>
    <row r="87" spans="1:66" x14ac:dyDescent="0.25">
      <c r="B87" s="2367" t="s">
        <v>190</v>
      </c>
      <c r="C87" s="2893" t="s">
        <v>50</v>
      </c>
      <c r="D87" s="3171">
        <v>24</v>
      </c>
      <c r="E87" s="3171">
        <v>2</v>
      </c>
      <c r="F87" s="3174">
        <v>0</v>
      </c>
      <c r="G87" s="3171">
        <v>2</v>
      </c>
      <c r="H87" s="3174">
        <v>2</v>
      </c>
      <c r="I87" s="3432">
        <f t="shared" si="368"/>
        <v>4</v>
      </c>
      <c r="J87" s="103">
        <f t="shared" si="368"/>
        <v>2</v>
      </c>
      <c r="K87" s="3171">
        <v>2</v>
      </c>
      <c r="L87" s="3174">
        <v>2</v>
      </c>
      <c r="M87" s="330">
        <f t="shared" si="369"/>
        <v>6</v>
      </c>
      <c r="N87" s="330">
        <f t="shared" si="369"/>
        <v>4</v>
      </c>
      <c r="O87" s="3171">
        <v>2</v>
      </c>
      <c r="P87" s="3174">
        <v>2</v>
      </c>
      <c r="Q87" s="245">
        <f t="shared" si="370"/>
        <v>8</v>
      </c>
      <c r="R87" s="245">
        <f t="shared" si="370"/>
        <v>6</v>
      </c>
      <c r="S87" s="3171">
        <v>2</v>
      </c>
      <c r="T87" s="3174">
        <v>2</v>
      </c>
      <c r="U87" s="245">
        <f t="shared" si="371"/>
        <v>10</v>
      </c>
      <c r="V87" s="245">
        <f t="shared" si="372"/>
        <v>8</v>
      </c>
      <c r="W87" s="3171">
        <v>2</v>
      </c>
      <c r="X87" s="3174">
        <v>2.5</v>
      </c>
      <c r="Y87" s="330">
        <f t="shared" si="373"/>
        <v>6</v>
      </c>
      <c r="Z87" s="330">
        <f t="shared" si="373"/>
        <v>6.5</v>
      </c>
      <c r="AA87" s="440">
        <f t="shared" si="374"/>
        <v>12</v>
      </c>
      <c r="AB87" s="448">
        <f t="shared" si="374"/>
        <v>10.5</v>
      </c>
      <c r="AC87" s="3171">
        <v>2</v>
      </c>
      <c r="AD87" s="3174">
        <v>1.5</v>
      </c>
      <c r="AE87" s="245">
        <f t="shared" si="375"/>
        <v>14</v>
      </c>
      <c r="AF87" s="245">
        <f t="shared" si="376"/>
        <v>12</v>
      </c>
      <c r="AG87" s="3171">
        <v>2</v>
      </c>
      <c r="AH87" s="3174">
        <v>1</v>
      </c>
      <c r="AI87" s="245">
        <f t="shared" si="377"/>
        <v>16</v>
      </c>
      <c r="AJ87" s="245">
        <f t="shared" si="378"/>
        <v>13</v>
      </c>
      <c r="AK87" s="3171">
        <v>2</v>
      </c>
      <c r="AL87" s="3174">
        <v>2</v>
      </c>
      <c r="AM87" s="330">
        <f t="shared" si="379"/>
        <v>6</v>
      </c>
      <c r="AN87" s="330">
        <f t="shared" si="380"/>
        <v>4.5</v>
      </c>
      <c r="AO87" s="712">
        <f t="shared" ref="AO87:AO88" si="393">AI87+AK87</f>
        <v>18</v>
      </c>
      <c r="AP87" s="712">
        <f t="shared" ref="AP87:AP88" si="394">AJ87+AL87</f>
        <v>15</v>
      </c>
      <c r="AQ87" s="3171">
        <v>2</v>
      </c>
      <c r="AR87" s="3174">
        <v>0.5</v>
      </c>
      <c r="AS87" s="245">
        <f t="shared" si="383"/>
        <v>20</v>
      </c>
      <c r="AT87" s="245">
        <f t="shared" si="384"/>
        <v>15.5</v>
      </c>
      <c r="AU87" s="3171">
        <v>2</v>
      </c>
      <c r="AV87" s="3174">
        <v>0</v>
      </c>
      <c r="AW87" s="245">
        <f t="shared" si="385"/>
        <v>22</v>
      </c>
      <c r="AX87" s="245">
        <f t="shared" si="386"/>
        <v>15.5</v>
      </c>
      <c r="AY87" s="3171">
        <v>2</v>
      </c>
      <c r="AZ87" s="3174">
        <v>0</v>
      </c>
      <c r="BA87" s="330">
        <f t="shared" si="387"/>
        <v>6</v>
      </c>
      <c r="BB87" s="330">
        <f t="shared" si="388"/>
        <v>0.5</v>
      </c>
      <c r="BC87" s="2679">
        <f t="shared" si="389"/>
        <v>12</v>
      </c>
      <c r="BD87" s="2679">
        <f t="shared" si="390"/>
        <v>5</v>
      </c>
      <c r="BE87" s="245">
        <f t="shared" si="391"/>
        <v>24</v>
      </c>
      <c r="BF87" s="245">
        <f t="shared" si="392"/>
        <v>15.5</v>
      </c>
      <c r="BG87" s="1137">
        <f t="shared" si="284"/>
        <v>0</v>
      </c>
      <c r="BH87" s="1137">
        <f t="shared" si="285"/>
        <v>0</v>
      </c>
      <c r="BI87" s="1137"/>
      <c r="BJ87" s="1137">
        <f t="shared" si="311"/>
        <v>0</v>
      </c>
      <c r="BK87" s="1137">
        <f t="shared" si="312"/>
        <v>0</v>
      </c>
      <c r="BL87" s="25"/>
      <c r="BM87" s="25"/>
      <c r="BN87" s="25"/>
    </row>
    <row r="88" spans="1:66" ht="15.75" thickBot="1" x14ac:dyDescent="0.3">
      <c r="B88" s="2368" t="s">
        <v>191</v>
      </c>
      <c r="C88" s="839" t="s">
        <v>50</v>
      </c>
      <c r="D88" s="1362">
        <v>9</v>
      </c>
      <c r="E88" s="1362">
        <v>0</v>
      </c>
      <c r="F88" s="1362">
        <v>0</v>
      </c>
      <c r="G88" s="1362">
        <v>1</v>
      </c>
      <c r="H88" s="1362">
        <v>0</v>
      </c>
      <c r="I88" s="561">
        <f t="shared" si="368"/>
        <v>1</v>
      </c>
      <c r="J88" s="122">
        <f t="shared" si="368"/>
        <v>0</v>
      </c>
      <c r="K88" s="1362">
        <v>1</v>
      </c>
      <c r="L88" s="1362">
        <v>0</v>
      </c>
      <c r="M88" s="562">
        <f t="shared" si="369"/>
        <v>2</v>
      </c>
      <c r="N88" s="562">
        <f t="shared" si="369"/>
        <v>0</v>
      </c>
      <c r="O88" s="1362">
        <v>1</v>
      </c>
      <c r="P88" s="1362">
        <v>0</v>
      </c>
      <c r="Q88" s="561">
        <f t="shared" si="370"/>
        <v>3</v>
      </c>
      <c r="R88" s="561">
        <f t="shared" si="370"/>
        <v>0</v>
      </c>
      <c r="S88" s="1362">
        <v>1</v>
      </c>
      <c r="T88" s="1362">
        <v>0</v>
      </c>
      <c r="U88" s="561">
        <f t="shared" si="371"/>
        <v>4</v>
      </c>
      <c r="V88" s="561">
        <f t="shared" si="372"/>
        <v>0</v>
      </c>
      <c r="W88" s="1362">
        <v>1</v>
      </c>
      <c r="X88" s="1362">
        <v>0</v>
      </c>
      <c r="Y88" s="562">
        <f t="shared" si="373"/>
        <v>3</v>
      </c>
      <c r="Z88" s="562">
        <f t="shared" si="373"/>
        <v>0</v>
      </c>
      <c r="AA88" s="587">
        <f t="shared" si="374"/>
        <v>5</v>
      </c>
      <c r="AB88" s="466">
        <f t="shared" si="374"/>
        <v>0</v>
      </c>
      <c r="AC88" s="1362">
        <v>1.5</v>
      </c>
      <c r="AD88" s="1362">
        <v>0</v>
      </c>
      <c r="AE88" s="561">
        <f t="shared" si="375"/>
        <v>6.5</v>
      </c>
      <c r="AF88" s="561">
        <f t="shared" si="376"/>
        <v>0</v>
      </c>
      <c r="AG88" s="1362">
        <v>1.5</v>
      </c>
      <c r="AH88" s="1362">
        <v>0</v>
      </c>
      <c r="AI88" s="561">
        <f t="shared" si="377"/>
        <v>8</v>
      </c>
      <c r="AJ88" s="561">
        <f t="shared" si="378"/>
        <v>0</v>
      </c>
      <c r="AK88" s="1362">
        <v>1.5</v>
      </c>
      <c r="AL88" s="1362">
        <v>0</v>
      </c>
      <c r="AM88" s="562">
        <f t="shared" si="379"/>
        <v>4.5</v>
      </c>
      <c r="AN88" s="562">
        <f t="shared" si="380"/>
        <v>0</v>
      </c>
      <c r="AO88" s="712">
        <f t="shared" si="393"/>
        <v>9.5</v>
      </c>
      <c r="AP88" s="712">
        <f t="shared" si="394"/>
        <v>0</v>
      </c>
      <c r="AQ88" s="1362">
        <v>1.5</v>
      </c>
      <c r="AR88" s="1362">
        <v>0</v>
      </c>
      <c r="AS88" s="561">
        <f t="shared" si="383"/>
        <v>11</v>
      </c>
      <c r="AT88" s="561">
        <f t="shared" si="384"/>
        <v>0</v>
      </c>
      <c r="AU88" s="1362">
        <v>1.5</v>
      </c>
      <c r="AV88" s="1362">
        <v>0</v>
      </c>
      <c r="AW88" s="561">
        <f t="shared" si="385"/>
        <v>12.5</v>
      </c>
      <c r="AX88" s="561">
        <f t="shared" si="386"/>
        <v>0</v>
      </c>
      <c r="AY88" s="1362">
        <v>1.5</v>
      </c>
      <c r="AZ88" s="1362">
        <v>0</v>
      </c>
      <c r="BA88" s="562">
        <f t="shared" si="387"/>
        <v>4.5</v>
      </c>
      <c r="BB88" s="562">
        <f t="shared" si="388"/>
        <v>0</v>
      </c>
      <c r="BC88" s="2679">
        <f t="shared" si="389"/>
        <v>9</v>
      </c>
      <c r="BD88" s="2679">
        <f t="shared" si="390"/>
        <v>0</v>
      </c>
      <c r="BE88" s="561">
        <f t="shared" si="391"/>
        <v>14</v>
      </c>
      <c r="BF88" s="561">
        <f t="shared" si="392"/>
        <v>0</v>
      </c>
      <c r="BG88" s="1137">
        <f t="shared" si="284"/>
        <v>0</v>
      </c>
      <c r="BH88" s="1137">
        <f t="shared" si="285"/>
        <v>0</v>
      </c>
      <c r="BI88" s="1137"/>
      <c r="BJ88" s="1137">
        <f t="shared" si="311"/>
        <v>0</v>
      </c>
      <c r="BK88" s="1137">
        <f t="shared" si="312"/>
        <v>0</v>
      </c>
      <c r="BL88" s="25"/>
      <c r="BM88" s="25"/>
      <c r="BN88" s="25"/>
    </row>
    <row r="89" spans="1:66" ht="19.5" thickBot="1" x14ac:dyDescent="0.3">
      <c r="A89" s="138"/>
      <c r="B89" s="809" t="s">
        <v>751</v>
      </c>
      <c r="C89" s="1743"/>
      <c r="D89" s="502"/>
      <c r="E89" s="502"/>
      <c r="F89" s="502"/>
      <c r="G89" s="502"/>
      <c r="H89" s="502"/>
      <c r="I89" s="502"/>
      <c r="J89" s="502"/>
      <c r="K89" s="502"/>
      <c r="L89" s="502"/>
      <c r="M89" s="502"/>
      <c r="N89" s="502"/>
      <c r="O89" s="502"/>
      <c r="P89" s="502"/>
      <c r="Q89" s="502"/>
      <c r="R89" s="502"/>
      <c r="S89" s="502"/>
      <c r="T89" s="502"/>
      <c r="U89" s="502"/>
      <c r="V89" s="502"/>
      <c r="W89" s="502"/>
      <c r="X89" s="502"/>
      <c r="Y89" s="502"/>
      <c r="Z89" s="502"/>
      <c r="AA89" s="2338"/>
      <c r="AB89" s="502"/>
      <c r="AC89" s="502"/>
      <c r="AD89" s="502"/>
      <c r="AE89" s="502"/>
      <c r="AF89" s="502"/>
      <c r="AG89" s="502"/>
      <c r="AH89" s="502"/>
      <c r="AI89" s="502"/>
      <c r="AJ89" s="502"/>
      <c r="AK89" s="502"/>
      <c r="AL89" s="502"/>
      <c r="AM89" s="502"/>
      <c r="AN89" s="502"/>
      <c r="AO89" s="502"/>
      <c r="AP89" s="502"/>
      <c r="AQ89" s="502"/>
      <c r="AR89" s="502"/>
      <c r="AS89" s="502"/>
      <c r="AT89" s="502"/>
      <c r="AU89" s="502"/>
      <c r="AV89" s="502"/>
      <c r="AW89" s="502"/>
      <c r="AX89" s="502"/>
      <c r="AY89" s="502"/>
      <c r="AZ89" s="502"/>
      <c r="BA89" s="502"/>
      <c r="BB89" s="502"/>
      <c r="BC89" s="2338"/>
      <c r="BD89" s="502"/>
      <c r="BE89" s="502"/>
      <c r="BF89" s="502"/>
      <c r="BG89" s="1137">
        <f t="shared" si="284"/>
        <v>0</v>
      </c>
      <c r="BH89" s="1137">
        <f t="shared" si="285"/>
        <v>0</v>
      </c>
      <c r="BI89" s="1137"/>
      <c r="BJ89" s="1137">
        <f t="shared" si="311"/>
        <v>0</v>
      </c>
      <c r="BK89" s="1137">
        <f t="shared" si="312"/>
        <v>0</v>
      </c>
      <c r="BL89" s="25"/>
      <c r="BM89" s="25"/>
      <c r="BN89" s="25"/>
    </row>
    <row r="90" spans="1:66" ht="18.75" x14ac:dyDescent="0.25">
      <c r="A90" s="138"/>
      <c r="B90" s="1753" t="s">
        <v>615</v>
      </c>
      <c r="C90" s="1751"/>
      <c r="D90" s="1751"/>
      <c r="E90" s="1751"/>
      <c r="F90" s="1751"/>
      <c r="G90" s="1751"/>
      <c r="H90" s="1751"/>
      <c r="I90" s="1751"/>
      <c r="J90" s="1751"/>
      <c r="K90" s="1751"/>
      <c r="L90" s="1751"/>
      <c r="M90" s="1751"/>
      <c r="N90" s="1751"/>
      <c r="O90" s="1751"/>
      <c r="P90" s="1751"/>
      <c r="Q90" s="1751"/>
      <c r="R90" s="1751"/>
      <c r="S90" s="1751"/>
      <c r="T90" s="1751"/>
      <c r="U90" s="1751"/>
      <c r="V90" s="1751"/>
      <c r="W90" s="1751"/>
      <c r="X90" s="1751"/>
      <c r="Y90" s="1751"/>
      <c r="Z90" s="1751"/>
      <c r="AA90" s="2351"/>
      <c r="AB90" s="1752"/>
      <c r="AC90" s="1751"/>
      <c r="AD90" s="1751"/>
      <c r="AE90" s="1751"/>
      <c r="AF90" s="1752"/>
      <c r="AG90" s="1751"/>
      <c r="AH90" s="1751"/>
      <c r="AI90" s="1751"/>
      <c r="AJ90" s="1752"/>
      <c r="AK90" s="1751"/>
      <c r="AL90" s="1751"/>
      <c r="AM90" s="1751"/>
      <c r="AN90" s="1751"/>
      <c r="AO90" s="1751"/>
      <c r="AP90" s="1752"/>
      <c r="AQ90" s="1751"/>
      <c r="AR90" s="1751"/>
      <c r="AS90" s="1751"/>
      <c r="AT90" s="1752"/>
      <c r="AU90" s="1751"/>
      <c r="AV90" s="1751"/>
      <c r="AW90" s="1751"/>
      <c r="AX90" s="1752"/>
      <c r="AY90" s="1751"/>
      <c r="AZ90" s="1751"/>
      <c r="BA90" s="1751"/>
      <c r="BB90" s="1751"/>
      <c r="BC90" s="2351"/>
      <c r="BD90" s="1752"/>
      <c r="BE90" s="1751"/>
      <c r="BF90" s="1752"/>
      <c r="BG90" s="1137">
        <f t="shared" si="284"/>
        <v>0</v>
      </c>
      <c r="BH90" s="1137">
        <f t="shared" si="285"/>
        <v>0</v>
      </c>
      <c r="BI90" s="1137"/>
      <c r="BJ90" s="1137">
        <f t="shared" si="311"/>
        <v>0</v>
      </c>
      <c r="BK90" s="1137">
        <f t="shared" si="312"/>
        <v>0</v>
      </c>
      <c r="BL90" s="25"/>
      <c r="BM90" s="25"/>
      <c r="BN90" s="25"/>
    </row>
    <row r="91" spans="1:66" x14ac:dyDescent="0.25">
      <c r="B91" s="1756" t="s">
        <v>1922</v>
      </c>
      <c r="C91" s="1308" t="s">
        <v>50</v>
      </c>
      <c r="D91" s="2234">
        <v>262378.50256410253</v>
      </c>
      <c r="E91" s="2237">
        <v>21898.393162393164</v>
      </c>
      <c r="F91" s="1819">
        <v>20559.419999999998</v>
      </c>
      <c r="G91" s="5578">
        <v>25605.752706552707</v>
      </c>
      <c r="H91" s="1819">
        <v>23577.599999999999</v>
      </c>
      <c r="I91" s="2236">
        <f t="shared" ref="I91:J93" si="395">+E91+G91</f>
        <v>47504.145868945867</v>
      </c>
      <c r="J91" s="37">
        <f t="shared" si="395"/>
        <v>44137.02</v>
      </c>
      <c r="K91" s="5680">
        <v>23768.341880341883</v>
      </c>
      <c r="L91" s="1819">
        <v>22768.376399999997</v>
      </c>
      <c r="M91" s="2235">
        <f t="shared" ref="M91:N93" si="396">+E91+G91+K91</f>
        <v>71272.487749287742</v>
      </c>
      <c r="N91" s="2235">
        <f t="shared" si="396"/>
        <v>66905.396399999998</v>
      </c>
      <c r="O91" s="5837">
        <v>24560.619943019945</v>
      </c>
      <c r="P91" s="1819">
        <v>24598.727999999999</v>
      </c>
      <c r="Q91" s="2236">
        <f t="shared" ref="Q91:R93" si="397">+M91+O91</f>
        <v>95833.107692307691</v>
      </c>
      <c r="R91" s="37">
        <f t="shared" si="397"/>
        <v>91504.124400000001</v>
      </c>
      <c r="S91" s="5909">
        <v>24560.619943019945</v>
      </c>
      <c r="T91" s="1819">
        <v>25264.007999999998</v>
      </c>
      <c r="U91" s="4326">
        <f t="shared" ref="U91:U97" si="398">+Q91+S91</f>
        <v>120393.72763532764</v>
      </c>
      <c r="V91" s="37">
        <f t="shared" ref="V91:V97" si="399">+R91+T91</f>
        <v>116768.1324</v>
      </c>
      <c r="W91" s="6007">
        <v>23287.91794871795</v>
      </c>
      <c r="X91" s="1819">
        <v>24449.039999999997</v>
      </c>
      <c r="Y91" s="2235">
        <f t="shared" ref="Y91:Z97" si="400">+O91+S91+W91</f>
        <v>72409.157834757847</v>
      </c>
      <c r="Z91" s="2235">
        <f t="shared" si="400"/>
        <v>74311.775999999998</v>
      </c>
      <c r="AA91" s="2242">
        <f>+M91+Y91</f>
        <v>143681.64558404559</v>
      </c>
      <c r="AB91" s="428">
        <f>+N91+Z91</f>
        <v>141217.17239999998</v>
      </c>
      <c r="AC91" s="6138">
        <v>24560.619943019945</v>
      </c>
      <c r="AD91" s="1819">
        <v>24889.788</v>
      </c>
      <c r="AE91" s="2236">
        <f t="shared" ref="AE91:AE97" si="401">+AA91+AC91</f>
        <v>168242.26552706552</v>
      </c>
      <c r="AF91" s="37">
        <f t="shared" ref="AF91:AF97" si="402">+AB91+AD91</f>
        <v>166106.96039999998</v>
      </c>
      <c r="AG91" s="6300">
        <v>23768.341880341883</v>
      </c>
      <c r="AH91" s="1819">
        <v>23509.331999999999</v>
      </c>
      <c r="AI91" s="2236">
        <f t="shared" ref="AI91:AI97" si="403">+AE91+AG91</f>
        <v>192010.6074074074</v>
      </c>
      <c r="AJ91" s="37">
        <f t="shared" ref="AJ91:AJ97" si="404">+AF91+AH91</f>
        <v>189616.29239999998</v>
      </c>
      <c r="AK91" s="6564">
        <v>24560.619943019945</v>
      </c>
      <c r="AL91" s="1819">
        <v>23261.851741935487</v>
      </c>
      <c r="AM91" s="2531">
        <f t="shared" ref="AM91:AM97" si="405">+AC91+AG91+AK91</f>
        <v>72889.581766381772</v>
      </c>
      <c r="AN91" s="2531">
        <f t="shared" ref="AN91:AN97" si="406">+AD91+AH91+AL91</f>
        <v>71660.971741935486</v>
      </c>
      <c r="AO91" s="712">
        <f t="shared" ref="AO91:AP91" si="407">AI91+AK91</f>
        <v>216571.22735042733</v>
      </c>
      <c r="AP91" s="712">
        <f t="shared" si="407"/>
        <v>212878.14414193545</v>
      </c>
      <c r="AQ91" s="6643">
        <v>24560.619943019945</v>
      </c>
      <c r="AR91" s="1819">
        <v>23337.719999999998</v>
      </c>
      <c r="AS91" s="2236">
        <f t="shared" ref="AS91:AS97" si="408">+AO91+AQ91</f>
        <v>241131.84729344727</v>
      </c>
      <c r="AT91" s="37">
        <f t="shared" ref="AT91:AT97" si="409">+AP91+AR91</f>
        <v>236215.86414193545</v>
      </c>
      <c r="AU91" s="6825">
        <v>22183.785754985754</v>
      </c>
      <c r="AV91" s="1819">
        <v>19888.696799999998</v>
      </c>
      <c r="AW91" s="5015">
        <f t="shared" ref="AW91:AW97" si="410">+AS91+AU91</f>
        <v>263315.633048433</v>
      </c>
      <c r="AX91" s="37">
        <f t="shared" ref="AX91:AX97" si="411">+AT91+AV91</f>
        <v>256104.56094193546</v>
      </c>
      <c r="AY91" s="6971">
        <v>24560.619943019945</v>
      </c>
      <c r="AZ91" s="1819">
        <v>20188.2</v>
      </c>
      <c r="BA91" s="5104">
        <f t="shared" ref="BA91:BA93" si="412">+AQ91+AU91+AY91</f>
        <v>71305.025641025641</v>
      </c>
      <c r="BB91" s="5104">
        <f t="shared" ref="BB91:BB93" si="413">+AR91+AV91+AZ91</f>
        <v>63414.616799999989</v>
      </c>
      <c r="BC91" s="2679">
        <f t="shared" ref="BC91" si="414">+AM91+BA91</f>
        <v>144194.60740740743</v>
      </c>
      <c r="BD91" s="2679">
        <f t="shared" ref="BD91" si="415">+AN91+BB91</f>
        <v>135075.58854193549</v>
      </c>
      <c r="BE91" s="5106">
        <f>AW91+AY91</f>
        <v>287876.25299145293</v>
      </c>
      <c r="BF91" s="5106">
        <f>AX91+AZ91</f>
        <v>276292.76094193547</v>
      </c>
      <c r="BG91" s="1137">
        <f t="shared" si="284"/>
        <v>0</v>
      </c>
      <c r="BH91" s="1137">
        <f t="shared" si="285"/>
        <v>0</v>
      </c>
      <c r="BI91" s="1137"/>
      <c r="BJ91" s="1137">
        <f t="shared" si="311"/>
        <v>0</v>
      </c>
      <c r="BK91" s="1137">
        <f t="shared" si="312"/>
        <v>0</v>
      </c>
      <c r="BL91" s="25"/>
      <c r="BM91" s="25"/>
      <c r="BN91" s="25"/>
    </row>
    <row r="92" spans="1:66" x14ac:dyDescent="0.25">
      <c r="B92" s="1757" t="s">
        <v>583</v>
      </c>
      <c r="C92" s="1308" t="s">
        <v>50</v>
      </c>
      <c r="D92" s="2234">
        <v>48332.882051282046</v>
      </c>
      <c r="E92" s="2237">
        <v>4033.9145299145298</v>
      </c>
      <c r="F92" s="1819">
        <v>2667.1679999999992</v>
      </c>
      <c r="G92" s="5578">
        <v>5954.8262108262106</v>
      </c>
      <c r="H92" s="1819">
        <v>6863</v>
      </c>
      <c r="I92" s="2236">
        <f t="shared" si="395"/>
        <v>9988.7407407407409</v>
      </c>
      <c r="J92" s="37">
        <f t="shared" si="395"/>
        <v>9530.1679999999997</v>
      </c>
      <c r="K92" s="5680">
        <v>5527.5213675213672</v>
      </c>
      <c r="L92" s="1819">
        <v>4902.2819999999992</v>
      </c>
      <c r="M92" s="2235">
        <f t="shared" si="396"/>
        <v>15516.262108262108</v>
      </c>
      <c r="N92" s="2235">
        <f t="shared" si="396"/>
        <v>14432.449999999999</v>
      </c>
      <c r="O92" s="5837">
        <v>5711.7720797720785</v>
      </c>
      <c r="P92" s="1819"/>
      <c r="Q92" s="2236">
        <f t="shared" si="397"/>
        <v>21228.034188034188</v>
      </c>
      <c r="R92" s="37">
        <f t="shared" si="397"/>
        <v>14432.449999999999</v>
      </c>
      <c r="S92" s="5909">
        <v>5711.7720797720785</v>
      </c>
      <c r="T92" s="1819">
        <v>4167.45</v>
      </c>
      <c r="U92" s="4326">
        <f t="shared" si="398"/>
        <v>26939.806267806267</v>
      </c>
      <c r="V92" s="37">
        <f t="shared" si="399"/>
        <v>18599.899999999998</v>
      </c>
      <c r="W92" s="6007">
        <v>5415.7948717948711</v>
      </c>
      <c r="X92" s="1819">
        <v>5000.9399999999996</v>
      </c>
      <c r="Y92" s="2235">
        <f t="shared" si="400"/>
        <v>16839.339031339026</v>
      </c>
      <c r="Z92" s="2235">
        <f t="shared" si="400"/>
        <v>9168.39</v>
      </c>
      <c r="AA92" s="2242">
        <f t="shared" ref="AA92:AB102" si="416">+M92+Y92</f>
        <v>32355.601139601134</v>
      </c>
      <c r="AB92" s="428">
        <f>+N92+Z92</f>
        <v>23600.839999999997</v>
      </c>
      <c r="AC92" s="6138">
        <v>5711.7720797720785</v>
      </c>
      <c r="AD92" s="1819">
        <v>164.04632999999998</v>
      </c>
      <c r="AE92" s="2236">
        <f t="shared" si="401"/>
        <v>38067.373219373214</v>
      </c>
      <c r="AF92" s="37">
        <f t="shared" si="402"/>
        <v>23764.886329999998</v>
      </c>
      <c r="AG92" s="6300">
        <v>5527.5213675213672</v>
      </c>
      <c r="AH92" s="1819"/>
      <c r="AI92" s="2236">
        <f t="shared" si="403"/>
        <v>43594.894586894581</v>
      </c>
      <c r="AJ92" s="37">
        <f t="shared" si="404"/>
        <v>23764.886329999998</v>
      </c>
      <c r="AK92" s="6564">
        <v>5711.7720797720785</v>
      </c>
      <c r="AL92" s="1819"/>
      <c r="AM92" s="2531">
        <f t="shared" si="405"/>
        <v>16951.065527065526</v>
      </c>
      <c r="AN92" s="2531">
        <f t="shared" si="406"/>
        <v>164.04632999999998</v>
      </c>
      <c r="AO92" s="712">
        <f t="shared" ref="AO92:AP99" si="417">AI92+AK92</f>
        <v>49306.666666666657</v>
      </c>
      <c r="AP92" s="712">
        <f t="shared" ref="AP92:AP97" si="418">AJ92+AL92</f>
        <v>23764.886329999998</v>
      </c>
      <c r="AQ92" s="6643">
        <v>5711.7720797720785</v>
      </c>
      <c r="AR92" s="1819"/>
      <c r="AS92" s="2236">
        <f t="shared" si="408"/>
        <v>55018.438746438733</v>
      </c>
      <c r="AT92" s="37">
        <f t="shared" si="409"/>
        <v>23764.886329999998</v>
      </c>
      <c r="AU92" s="6825">
        <v>5159.0199430199436</v>
      </c>
      <c r="AV92" s="1819">
        <v>2948.3244</v>
      </c>
      <c r="AW92" s="5015">
        <f t="shared" si="410"/>
        <v>60177.458689458676</v>
      </c>
      <c r="AX92" s="37">
        <f t="shared" si="411"/>
        <v>26713.210729999999</v>
      </c>
      <c r="AY92" s="6971">
        <v>5711.7720797720785</v>
      </c>
      <c r="AZ92" s="1819">
        <v>2555.1</v>
      </c>
      <c r="BA92" s="5104">
        <f t="shared" si="412"/>
        <v>16582.564102564102</v>
      </c>
      <c r="BB92" s="5104">
        <f t="shared" si="413"/>
        <v>5503.4243999999999</v>
      </c>
      <c r="BC92" s="2679">
        <f t="shared" ref="BC92:BC97" si="419">+AM92+BA92</f>
        <v>33533.629629629628</v>
      </c>
      <c r="BD92" s="2679">
        <f t="shared" ref="BD92:BD97" si="420">+AN92+BB92</f>
        <v>5667.47073</v>
      </c>
      <c r="BE92" s="5106">
        <f t="shared" ref="BE92:BE97" si="421">AW92+AY92</f>
        <v>65889.230769230751</v>
      </c>
      <c r="BF92" s="5106">
        <f t="shared" ref="BF92:BF97" si="422">AX92+AZ92</f>
        <v>29268.310729999997</v>
      </c>
      <c r="BG92" s="1137">
        <f t="shared" si="284"/>
        <v>0</v>
      </c>
      <c r="BH92" s="1137">
        <f t="shared" si="285"/>
        <v>0</v>
      </c>
      <c r="BI92" s="1137"/>
      <c r="BJ92" s="1137">
        <f t="shared" si="311"/>
        <v>0</v>
      </c>
      <c r="BK92" s="1137">
        <f t="shared" si="312"/>
        <v>0</v>
      </c>
      <c r="BL92" s="25"/>
      <c r="BM92" s="25"/>
      <c r="BN92" s="25"/>
    </row>
    <row r="93" spans="1:66" x14ac:dyDescent="0.25">
      <c r="B93" s="1756" t="s">
        <v>2326</v>
      </c>
      <c r="C93" s="1308" t="s">
        <v>50</v>
      </c>
      <c r="D93" s="2234">
        <v>6904.6974358974358</v>
      </c>
      <c r="E93" s="2237">
        <v>576.27350427350427</v>
      </c>
      <c r="F93" s="1819"/>
      <c r="G93" s="5578">
        <v>1488.7065527065527</v>
      </c>
      <c r="H93" s="1819"/>
      <c r="I93" s="2236">
        <f t="shared" si="395"/>
        <v>2064.9800569800568</v>
      </c>
      <c r="J93" s="37">
        <f t="shared" si="395"/>
        <v>0</v>
      </c>
      <c r="K93" s="5680">
        <v>1381.8803418803418</v>
      </c>
      <c r="L93" s="1819"/>
      <c r="M93" s="2235">
        <f t="shared" si="396"/>
        <v>3446.8603988603986</v>
      </c>
      <c r="N93" s="2235">
        <f t="shared" si="396"/>
        <v>0</v>
      </c>
      <c r="O93" s="5837">
        <v>1427.9430199430196</v>
      </c>
      <c r="P93" s="1819">
        <v>2813.3442219959998</v>
      </c>
      <c r="Q93" s="2236">
        <f t="shared" si="397"/>
        <v>4874.803418803418</v>
      </c>
      <c r="R93" s="37">
        <f t="shared" si="397"/>
        <v>2813.3442219959998</v>
      </c>
      <c r="S93" s="5909">
        <v>1427.9430199430196</v>
      </c>
      <c r="T93" s="1819">
        <v>3556.2239999999997</v>
      </c>
      <c r="U93" s="4326">
        <f t="shared" si="398"/>
        <v>6302.7464387464379</v>
      </c>
      <c r="V93" s="37">
        <f t="shared" si="399"/>
        <v>6369.5682219959999</v>
      </c>
      <c r="W93" s="6007">
        <v>1353.9487179487178</v>
      </c>
      <c r="X93" s="1819">
        <v>4667.5439999999999</v>
      </c>
      <c r="Y93" s="2235">
        <f t="shared" si="400"/>
        <v>4209.8347578347566</v>
      </c>
      <c r="Z93" s="2235">
        <f t="shared" si="400"/>
        <v>11037.112221996</v>
      </c>
      <c r="AA93" s="2242">
        <f t="shared" si="416"/>
        <v>7656.6951566951557</v>
      </c>
      <c r="AB93" s="428">
        <f>+N93+Z93</f>
        <v>11037.112221996</v>
      </c>
      <c r="AC93" s="6138">
        <v>1427.9430199430196</v>
      </c>
      <c r="AD93" s="1819"/>
      <c r="AE93" s="2236">
        <f t="shared" si="401"/>
        <v>9084.6381766381746</v>
      </c>
      <c r="AF93" s="37">
        <f t="shared" si="402"/>
        <v>11037.112221996</v>
      </c>
      <c r="AG93" s="6300">
        <v>1381.8803418803418</v>
      </c>
      <c r="AH93" s="1819"/>
      <c r="AI93" s="2236">
        <f t="shared" si="403"/>
        <v>10466.518518518516</v>
      </c>
      <c r="AJ93" s="37">
        <f t="shared" si="404"/>
        <v>11037.112221996</v>
      </c>
      <c r="AK93" s="6564">
        <v>1427.9430199430196</v>
      </c>
      <c r="AL93" s="1819"/>
      <c r="AM93" s="2531">
        <f t="shared" si="405"/>
        <v>4237.7663817663815</v>
      </c>
      <c r="AN93" s="2531">
        <f t="shared" si="406"/>
        <v>0</v>
      </c>
      <c r="AO93" s="712">
        <f t="shared" si="417"/>
        <v>11894.461538461535</v>
      </c>
      <c r="AP93" s="712">
        <f t="shared" si="418"/>
        <v>11037.112221996</v>
      </c>
      <c r="AQ93" s="6643">
        <v>1427.9430199430196</v>
      </c>
      <c r="AR93" s="1819"/>
      <c r="AS93" s="2236">
        <f t="shared" si="408"/>
        <v>13322.404558404554</v>
      </c>
      <c r="AT93" s="37">
        <f t="shared" si="409"/>
        <v>11037.112221996</v>
      </c>
      <c r="AU93" s="6825">
        <v>1289.7549857549859</v>
      </c>
      <c r="AV93" s="1819"/>
      <c r="AW93" s="5015">
        <f t="shared" si="410"/>
        <v>14612.15954415954</v>
      </c>
      <c r="AX93" s="37">
        <f t="shared" si="411"/>
        <v>11037.112221996</v>
      </c>
      <c r="AY93" s="6971">
        <v>1427.9430199430196</v>
      </c>
      <c r="AZ93" s="1819"/>
      <c r="BA93" s="5104">
        <f t="shared" si="412"/>
        <v>4145.6410256410254</v>
      </c>
      <c r="BB93" s="5104">
        <f t="shared" si="413"/>
        <v>0</v>
      </c>
      <c r="BC93" s="2679">
        <f t="shared" si="419"/>
        <v>8383.4074074074069</v>
      </c>
      <c r="BD93" s="2679">
        <f t="shared" si="420"/>
        <v>0</v>
      </c>
      <c r="BE93" s="5106">
        <f t="shared" si="421"/>
        <v>16040.102564102559</v>
      </c>
      <c r="BF93" s="5106">
        <f t="shared" si="422"/>
        <v>11037.112221996</v>
      </c>
      <c r="BG93" s="1137">
        <f t="shared" si="284"/>
        <v>0</v>
      </c>
      <c r="BH93" s="1137">
        <f t="shared" si="285"/>
        <v>0</v>
      </c>
      <c r="BI93" s="1137"/>
      <c r="BJ93" s="1137">
        <f t="shared" si="311"/>
        <v>0</v>
      </c>
      <c r="BK93" s="1137">
        <f t="shared" si="312"/>
        <v>0</v>
      </c>
      <c r="BL93" s="25"/>
      <c r="BM93" s="25"/>
      <c r="BN93" s="25"/>
    </row>
    <row r="94" spans="1:66" x14ac:dyDescent="0.25">
      <c r="B94" s="1757" t="s">
        <v>10</v>
      </c>
      <c r="C94" s="1308" t="s">
        <v>50</v>
      </c>
      <c r="D94" s="5066">
        <v>34523.487179487172</v>
      </c>
      <c r="E94" s="5067">
        <v>2881.3675213675215</v>
      </c>
      <c r="F94" s="5050">
        <v>2778.2999999999993</v>
      </c>
      <c r="G94" s="5067">
        <v>1488.7065527065527</v>
      </c>
      <c r="H94" s="5583"/>
      <c r="I94" s="5579">
        <f t="shared" ref="I94:I96" si="423">+E94+G94</f>
        <v>4370.0740740740739</v>
      </c>
      <c r="J94" s="37">
        <f t="shared" ref="J94:J96" si="424">+F94+H94</f>
        <v>2778.2999999999993</v>
      </c>
      <c r="K94" s="5067">
        <v>1381.8803418803418</v>
      </c>
      <c r="L94" s="5688">
        <v>925.98659999999995</v>
      </c>
      <c r="M94" s="5670">
        <f t="shared" ref="M94" si="425">+E94+G94+K94</f>
        <v>5751.9544159544157</v>
      </c>
      <c r="N94" s="5670">
        <f t="shared" ref="N94" si="426">+F94+H94+L94</f>
        <v>3704.2865999999995</v>
      </c>
      <c r="O94" s="5067">
        <v>1427.9430199430196</v>
      </c>
      <c r="P94" s="5853">
        <v>5590.62</v>
      </c>
      <c r="Q94" s="5681">
        <f t="shared" ref="Q94" si="427">+M94+O94</f>
        <v>7179.8974358974356</v>
      </c>
      <c r="R94" s="37">
        <f t="shared" ref="R94" si="428">+N94+P94</f>
        <v>9294.9065999999984</v>
      </c>
      <c r="S94" s="5067">
        <v>1427.9430199430196</v>
      </c>
      <c r="T94" s="5920">
        <v>1000.1879999999999</v>
      </c>
      <c r="U94" s="5681">
        <f t="shared" ref="U94" si="429">+Q94+S94</f>
        <v>8607.8404558404545</v>
      </c>
      <c r="V94" s="37">
        <f t="shared" ref="V94" si="430">+R94+T94</f>
        <v>10295.094599999999</v>
      </c>
      <c r="W94" s="5067">
        <v>1353.9487179487178</v>
      </c>
      <c r="X94" s="6017"/>
      <c r="Y94" s="5670">
        <f t="shared" ref="Y94" si="431">+O94+S94+W94</f>
        <v>4209.8347578347566</v>
      </c>
      <c r="Z94" s="5670">
        <f t="shared" ref="Z94" si="432">+P94+T94+X94</f>
        <v>6590.808</v>
      </c>
      <c r="AA94" s="5673">
        <f t="shared" ref="AA94" si="433">+M94+Y94</f>
        <v>9961.7891737891732</v>
      </c>
      <c r="AB94" s="428">
        <f>+N94+Z94</f>
        <v>10295.0946</v>
      </c>
      <c r="AC94" s="5067">
        <v>1427.9430199430196</v>
      </c>
      <c r="AD94" s="6152">
        <v>6569.1522580645169</v>
      </c>
      <c r="AE94" s="5681">
        <f t="shared" ref="AE94" si="434">+AA94+AC94</f>
        <v>11389.732193732192</v>
      </c>
      <c r="AF94" s="37">
        <f t="shared" ref="AF94" si="435">+AB94+AD94</f>
        <v>16864.246858064518</v>
      </c>
      <c r="AG94" s="5067">
        <v>1381.8803418803418</v>
      </c>
      <c r="AH94" s="6314">
        <v>6411.6359999999995</v>
      </c>
      <c r="AI94" s="5681">
        <f t="shared" ref="AI94" si="436">+AE94+AG94</f>
        <v>12771.612535612534</v>
      </c>
      <c r="AJ94" s="37">
        <f t="shared" ref="AJ94" si="437">+AF94+AH94</f>
        <v>23275.882858064517</v>
      </c>
      <c r="AK94" s="5067">
        <v>1427.9430199430196</v>
      </c>
      <c r="AL94" s="6574">
        <v>6117.7958709677414</v>
      </c>
      <c r="AM94" s="5670">
        <f t="shared" ref="AM94" si="438">+AC94+AG94+AK94</f>
        <v>4237.7663817663815</v>
      </c>
      <c r="AN94" s="5670">
        <f t="shared" ref="AN94" si="439">+AD94+AH94+AL94</f>
        <v>19098.584129032257</v>
      </c>
      <c r="AO94" s="712">
        <f t="shared" ref="AO94" si="440">AI94+AK94</f>
        <v>14199.555555555553</v>
      </c>
      <c r="AP94" s="712">
        <f t="shared" ref="AP94" si="441">AJ94+AL94</f>
        <v>29393.678729032257</v>
      </c>
      <c r="AQ94" s="5067">
        <v>1427.9430199430196</v>
      </c>
      <c r="AR94" s="6651">
        <v>6112.2599999999993</v>
      </c>
      <c r="AS94" s="5681">
        <f t="shared" ref="AS94" si="442">+AO94+AQ94</f>
        <v>15627.498575498572</v>
      </c>
      <c r="AT94" s="37">
        <f t="shared" ref="AT94" si="443">+AP94+AR94</f>
        <v>35505.938729032256</v>
      </c>
      <c r="AU94" s="5067">
        <v>1289.7549857549859</v>
      </c>
      <c r="AV94" s="6832">
        <v>5097.1031999999996</v>
      </c>
      <c r="AW94" s="5681">
        <f t="shared" ref="AW94" si="444">+AS94+AU94</f>
        <v>16917.253561253558</v>
      </c>
      <c r="AX94" s="37">
        <f t="shared" ref="AX94" si="445">+AT94+AV94</f>
        <v>40603.041929032253</v>
      </c>
      <c r="AY94" s="5067">
        <v>1427.9430199430196</v>
      </c>
      <c r="AZ94" s="6976">
        <v>7596.4</v>
      </c>
      <c r="BA94" s="5670">
        <f t="shared" ref="BA94" si="446">+AQ94+AU94+AY94</f>
        <v>4145.6410256410254</v>
      </c>
      <c r="BB94" s="5670">
        <f t="shared" ref="BB94" si="447">+AR94+AV94+AZ94</f>
        <v>18805.763200000001</v>
      </c>
      <c r="BC94" s="2679">
        <f t="shared" ref="BC94" si="448">+AM94+BA94</f>
        <v>8383.4074074074069</v>
      </c>
      <c r="BD94" s="2679">
        <f t="shared" ref="BD94" si="449">+AN94+BB94</f>
        <v>37904.347329032258</v>
      </c>
      <c r="BE94" s="5681">
        <f t="shared" ref="BE94" si="450">AW94+AY94</f>
        <v>18345.196581196578</v>
      </c>
      <c r="BF94" s="5681">
        <f t="shared" ref="BF94" si="451">AX94+AZ94</f>
        <v>48199.441929032255</v>
      </c>
      <c r="BG94" s="1137">
        <f t="shared" si="284"/>
        <v>0</v>
      </c>
      <c r="BH94" s="1137">
        <f t="shared" si="285"/>
        <v>0</v>
      </c>
      <c r="BI94" s="1137"/>
      <c r="BJ94" s="1137">
        <f t="shared" si="311"/>
        <v>0</v>
      </c>
      <c r="BK94" s="1137">
        <f t="shared" si="312"/>
        <v>0</v>
      </c>
      <c r="BL94" s="25"/>
      <c r="BM94" s="25"/>
      <c r="BN94" s="25"/>
    </row>
    <row r="95" spans="1:66" s="4487" customFormat="1" x14ac:dyDescent="0.25">
      <c r="A95" s="137"/>
      <c r="B95" s="7562" t="s">
        <v>1923</v>
      </c>
      <c r="C95" s="1308" t="s">
        <v>50</v>
      </c>
      <c r="D95" s="7563">
        <v>41428.184615384613</v>
      </c>
      <c r="E95" s="7543">
        <v>3457.6410256410254</v>
      </c>
      <c r="F95" s="7564">
        <v>5556.5999999999985</v>
      </c>
      <c r="G95" s="7543"/>
      <c r="H95" s="7564"/>
      <c r="I95" s="7044"/>
      <c r="J95" s="5174"/>
      <c r="K95" s="7543"/>
      <c r="L95" s="7564"/>
      <c r="M95" s="7045"/>
      <c r="N95" s="7045"/>
      <c r="O95" s="7543"/>
      <c r="P95" s="7564"/>
      <c r="Q95" s="7044"/>
      <c r="R95" s="5174"/>
      <c r="S95" s="7543"/>
      <c r="T95" s="7564"/>
      <c r="U95" s="7044"/>
      <c r="V95" s="5174"/>
      <c r="W95" s="7543"/>
      <c r="X95" s="7564"/>
      <c r="Y95" s="7045"/>
      <c r="Z95" s="7045"/>
      <c r="AA95" s="7379"/>
      <c r="AB95" s="7565"/>
      <c r="AC95" s="7543"/>
      <c r="AD95" s="7564"/>
      <c r="AE95" s="7044"/>
      <c r="AF95" s="5174"/>
      <c r="AG95" s="7543"/>
      <c r="AH95" s="7564"/>
      <c r="AI95" s="7044"/>
      <c r="AJ95" s="5174"/>
      <c r="AK95" s="7543"/>
      <c r="AL95" s="7564"/>
      <c r="AM95" s="7045"/>
      <c r="AN95" s="7045"/>
      <c r="AO95" s="712"/>
      <c r="AP95" s="712"/>
      <c r="AQ95" s="7543"/>
      <c r="AR95" s="7564"/>
      <c r="AS95" s="7044"/>
      <c r="AT95" s="5174"/>
      <c r="AU95" s="7543"/>
      <c r="AV95" s="7564"/>
      <c r="AW95" s="7044"/>
      <c r="AX95" s="5174"/>
      <c r="AY95" s="7543"/>
      <c r="AZ95" s="7564"/>
      <c r="BA95" s="7045"/>
      <c r="BB95" s="7045"/>
      <c r="BC95" s="7379"/>
      <c r="BD95" s="7379"/>
      <c r="BE95" s="7044"/>
      <c r="BF95" s="7044"/>
      <c r="BG95" s="1137"/>
      <c r="BH95" s="1137"/>
      <c r="BI95" s="1137"/>
      <c r="BJ95" s="1137"/>
      <c r="BK95" s="1137"/>
      <c r="BL95" s="25"/>
      <c r="BM95" s="25"/>
      <c r="BN95" s="25"/>
    </row>
    <row r="96" spans="1:66" ht="15.75" customHeight="1" x14ac:dyDescent="0.25">
      <c r="B96" s="1757" t="s">
        <v>1924</v>
      </c>
      <c r="C96" s="1308" t="s">
        <v>50</v>
      </c>
      <c r="D96" s="667">
        <v>34523.487179487172</v>
      </c>
      <c r="E96" s="210">
        <v>2881.3675213675215</v>
      </c>
      <c r="F96" s="1134">
        <v>4000.7519999999995</v>
      </c>
      <c r="G96" s="5101"/>
      <c r="H96" s="1134"/>
      <c r="I96" s="5579">
        <f t="shared" si="423"/>
        <v>2881.3675213675215</v>
      </c>
      <c r="J96" s="37">
        <f t="shared" si="424"/>
        <v>4000.7519999999995</v>
      </c>
      <c r="K96" s="5101"/>
      <c r="L96" s="1134"/>
      <c r="M96" s="2235">
        <f t="shared" ref="M96" si="452">+E96+G96+K96</f>
        <v>2881.3675213675215</v>
      </c>
      <c r="N96" s="2235">
        <f t="shared" ref="N96" si="453">+F96+H96+L96</f>
        <v>4000.7519999999995</v>
      </c>
      <c r="O96" s="5101"/>
      <c r="P96" s="1134"/>
      <c r="Q96" s="2236">
        <f t="shared" ref="Q96:Q97" si="454">+M96+O96</f>
        <v>2881.3675213675215</v>
      </c>
      <c r="R96" s="37">
        <f t="shared" ref="R96:R97" si="455">+N96+P96</f>
        <v>4000.7519999999995</v>
      </c>
      <c r="S96" s="5101">
        <v>0</v>
      </c>
      <c r="T96" s="1134"/>
      <c r="U96" s="4326">
        <f t="shared" si="398"/>
        <v>2881.3675213675215</v>
      </c>
      <c r="V96" s="37">
        <f t="shared" si="399"/>
        <v>4000.7519999999995</v>
      </c>
      <c r="W96" s="5101"/>
      <c r="X96" s="1134"/>
      <c r="Y96" s="2235">
        <f t="shared" si="400"/>
        <v>0</v>
      </c>
      <c r="Z96" s="2235">
        <f t="shared" si="400"/>
        <v>0</v>
      </c>
      <c r="AA96" s="2242">
        <f t="shared" si="416"/>
        <v>2881.3675213675215</v>
      </c>
      <c r="AB96" s="428">
        <f>+N96+Z96</f>
        <v>4000.7519999999995</v>
      </c>
      <c r="AC96" s="5101"/>
      <c r="AD96" s="1134"/>
      <c r="AE96" s="2236">
        <f t="shared" si="401"/>
        <v>2881.3675213675215</v>
      </c>
      <c r="AF96" s="37">
        <f t="shared" si="402"/>
        <v>4000.7519999999995</v>
      </c>
      <c r="AG96" s="5101"/>
      <c r="AH96" s="1134"/>
      <c r="AI96" s="2236">
        <f t="shared" si="403"/>
        <v>2881.3675213675215</v>
      </c>
      <c r="AJ96" s="37">
        <f t="shared" si="404"/>
        <v>4000.7519999999995</v>
      </c>
      <c r="AK96" s="5101"/>
      <c r="AL96" s="1134"/>
      <c r="AM96" s="2531">
        <f t="shared" si="405"/>
        <v>0</v>
      </c>
      <c r="AN96" s="2531">
        <f t="shared" si="406"/>
        <v>0</v>
      </c>
      <c r="AO96" s="712">
        <f t="shared" si="417"/>
        <v>2881.3675213675215</v>
      </c>
      <c r="AP96" s="712">
        <f t="shared" si="418"/>
        <v>4000.7519999999995</v>
      </c>
      <c r="AQ96" s="5101"/>
      <c r="AR96" s="1134"/>
      <c r="AS96" s="2236">
        <f t="shared" si="408"/>
        <v>2881.3675213675215</v>
      </c>
      <c r="AT96" s="37">
        <f t="shared" si="409"/>
        <v>4000.7519999999995</v>
      </c>
      <c r="AU96" s="5101"/>
      <c r="AV96" s="1134"/>
      <c r="AW96" s="5015">
        <f t="shared" si="410"/>
        <v>2881.3675213675215</v>
      </c>
      <c r="AX96" s="37">
        <f t="shared" si="411"/>
        <v>4000.7519999999995</v>
      </c>
      <c r="AY96" s="5101"/>
      <c r="AZ96" s="1134"/>
      <c r="BA96" s="5104">
        <f t="shared" ref="BA96:BA97" si="456">+AQ96+AU96+AY96</f>
        <v>0</v>
      </c>
      <c r="BB96" s="5104">
        <f t="shared" ref="BB96:BB97" si="457">+AR96+AV96+AZ96</f>
        <v>0</v>
      </c>
      <c r="BC96" s="2679">
        <f t="shared" si="419"/>
        <v>0</v>
      </c>
      <c r="BD96" s="2679">
        <f t="shared" si="420"/>
        <v>0</v>
      </c>
      <c r="BE96" s="5106">
        <f t="shared" si="421"/>
        <v>2881.3675213675215</v>
      </c>
      <c r="BF96" s="5106">
        <f t="shared" si="422"/>
        <v>4000.7519999999995</v>
      </c>
      <c r="BG96" s="1137">
        <f t="shared" si="284"/>
        <v>0</v>
      </c>
      <c r="BH96" s="1137">
        <f t="shared" si="285"/>
        <v>0</v>
      </c>
      <c r="BI96" s="1137"/>
      <c r="BJ96" s="1137">
        <f t="shared" si="311"/>
        <v>0</v>
      </c>
      <c r="BK96" s="1137">
        <f t="shared" si="312"/>
        <v>0</v>
      </c>
      <c r="BL96" s="25"/>
      <c r="BM96" s="25"/>
      <c r="BN96" s="25"/>
    </row>
    <row r="97" spans="1:66" ht="15.75" thickBot="1" x14ac:dyDescent="0.3">
      <c r="A97" s="138"/>
      <c r="B97" s="1757" t="s">
        <v>1229</v>
      </c>
      <c r="C97" s="2371" t="s">
        <v>50</v>
      </c>
      <c r="D97" s="667">
        <v>13809.394871794872</v>
      </c>
      <c r="E97" s="210">
        <v>1152.5470085470085</v>
      </c>
      <c r="F97" s="1134"/>
      <c r="G97" s="5101">
        <v>5359.3435897435893</v>
      </c>
      <c r="H97" s="1134">
        <v>6863</v>
      </c>
      <c r="I97" s="2238">
        <f>+E97+G97</f>
        <v>6511.8905982905981</v>
      </c>
      <c r="J97" s="154">
        <f>+F97+H97</f>
        <v>6863</v>
      </c>
      <c r="K97" s="5101">
        <v>4974.7692307692305</v>
      </c>
      <c r="L97" s="1134">
        <v>6536.3760000000002</v>
      </c>
      <c r="M97" s="2243">
        <f>+E97+G97+K97</f>
        <v>11486.659829059829</v>
      </c>
      <c r="N97" s="2243">
        <f>+F97+H97+L97</f>
        <v>13399.376</v>
      </c>
      <c r="O97" s="5101">
        <v>5140.5948717948713</v>
      </c>
      <c r="P97" s="1134">
        <v>3895.3997780039999</v>
      </c>
      <c r="Q97" s="2238">
        <f t="shared" si="454"/>
        <v>16627.254700854701</v>
      </c>
      <c r="R97" s="154">
        <f t="shared" si="455"/>
        <v>17294.775778004001</v>
      </c>
      <c r="S97" s="5101">
        <v>5140.5948717948713</v>
      </c>
      <c r="T97" s="1134">
        <v>3333.96</v>
      </c>
      <c r="U97" s="4324">
        <f t="shared" si="398"/>
        <v>21767.849572649571</v>
      </c>
      <c r="V97" s="154">
        <f t="shared" si="399"/>
        <v>20628.735778004</v>
      </c>
      <c r="W97" s="5101">
        <v>4874.2153846153842</v>
      </c>
      <c r="X97" s="1134">
        <v>2000.3759999999997</v>
      </c>
      <c r="Y97" s="2243">
        <f t="shared" si="400"/>
        <v>15155.405128205126</v>
      </c>
      <c r="Z97" s="2243">
        <f t="shared" si="400"/>
        <v>9229.7357780040002</v>
      </c>
      <c r="AA97" s="2240">
        <f t="shared" si="416"/>
        <v>26642.064957264956</v>
      </c>
      <c r="AB97" s="2268">
        <f>+N97+Z97</f>
        <v>22629.111778004</v>
      </c>
      <c r="AC97" s="5101">
        <v>5140.5948717948713</v>
      </c>
      <c r="AD97" s="1134">
        <v>4598.4065806451608</v>
      </c>
      <c r="AE97" s="2238">
        <f t="shared" si="401"/>
        <v>31782.659829059827</v>
      </c>
      <c r="AF97" s="154">
        <f t="shared" si="402"/>
        <v>27227.518358649162</v>
      </c>
      <c r="AG97" s="5101">
        <v>4974.7692307692305</v>
      </c>
      <c r="AH97" s="1134">
        <v>4274.424</v>
      </c>
      <c r="AI97" s="2238">
        <f t="shared" si="403"/>
        <v>36757.429059829054</v>
      </c>
      <c r="AJ97" s="154">
        <f t="shared" si="404"/>
        <v>31501.942358649161</v>
      </c>
      <c r="AK97" s="5101">
        <v>5140.5948717948713</v>
      </c>
      <c r="AL97" s="1134">
        <v>4410.5039999999999</v>
      </c>
      <c r="AM97" s="2243">
        <f t="shared" si="405"/>
        <v>15255.958974358971</v>
      </c>
      <c r="AN97" s="2243">
        <f t="shared" si="406"/>
        <v>13283.334580645162</v>
      </c>
      <c r="AO97" s="712">
        <f t="shared" si="417"/>
        <v>41898.023931623924</v>
      </c>
      <c r="AP97" s="712">
        <f t="shared" si="418"/>
        <v>35912.446358649162</v>
      </c>
      <c r="AQ97" s="5101">
        <v>5140.5948717948713</v>
      </c>
      <c r="AR97" s="1134">
        <v>4445.28</v>
      </c>
      <c r="AS97" s="2238">
        <f t="shared" si="408"/>
        <v>47038.618803418794</v>
      </c>
      <c r="AT97" s="154">
        <f t="shared" si="409"/>
        <v>40357.726358649161</v>
      </c>
      <c r="AU97" s="5101">
        <v>4643.1179487179488</v>
      </c>
      <c r="AV97" s="1134">
        <v>3997.7280000000001</v>
      </c>
      <c r="AW97" s="5016">
        <f t="shared" si="410"/>
        <v>51681.736752136741</v>
      </c>
      <c r="AX97" s="154">
        <f t="shared" si="411"/>
        <v>44355.454358649164</v>
      </c>
      <c r="AY97" s="5101">
        <v>5140.5948717948713</v>
      </c>
      <c r="AZ97" s="1134">
        <v>6407.9</v>
      </c>
      <c r="BA97" s="2243">
        <f t="shared" si="456"/>
        <v>14924.307692307691</v>
      </c>
      <c r="BB97" s="2243">
        <f t="shared" si="457"/>
        <v>14850.907999999999</v>
      </c>
      <c r="BC97" s="2679">
        <f t="shared" si="419"/>
        <v>30180.266666666663</v>
      </c>
      <c r="BD97" s="2679">
        <f t="shared" si="420"/>
        <v>28134.242580645161</v>
      </c>
      <c r="BE97" s="5106">
        <f t="shared" si="421"/>
        <v>56822.331623931612</v>
      </c>
      <c r="BF97" s="5106">
        <f t="shared" si="422"/>
        <v>50763.354358649165</v>
      </c>
      <c r="BG97" s="1137">
        <f t="shared" si="284"/>
        <v>0</v>
      </c>
      <c r="BH97" s="1137">
        <f t="shared" si="285"/>
        <v>0</v>
      </c>
      <c r="BI97" s="1137"/>
      <c r="BJ97" s="1137">
        <f t="shared" si="311"/>
        <v>0</v>
      </c>
      <c r="BK97" s="1137">
        <f t="shared" si="312"/>
        <v>0</v>
      </c>
      <c r="BL97" s="25"/>
      <c r="BM97" s="25"/>
      <c r="BN97" s="25"/>
    </row>
    <row r="98" spans="1:66" ht="16.5" thickBot="1" x14ac:dyDescent="0.3">
      <c r="B98" s="2370" t="s">
        <v>13</v>
      </c>
      <c r="C98" s="1313" t="s">
        <v>50</v>
      </c>
      <c r="D98" s="1303">
        <f t="shared" ref="D98:AI98" si="458">SUM(D91:D97)</f>
        <v>441900.63589743583</v>
      </c>
      <c r="E98" s="1302">
        <f t="shared" si="458"/>
        <v>36881.504273504273</v>
      </c>
      <c r="F98" s="1302">
        <f t="shared" si="458"/>
        <v>35562.239999999991</v>
      </c>
      <c r="G98" s="1302">
        <f t="shared" si="458"/>
        <v>39897.335612535608</v>
      </c>
      <c r="H98" s="1302">
        <f t="shared" si="458"/>
        <v>37303.599999999999</v>
      </c>
      <c r="I98" s="1302">
        <f t="shared" si="458"/>
        <v>73321.198860398858</v>
      </c>
      <c r="J98" s="1302">
        <f t="shared" si="458"/>
        <v>67309.239999999991</v>
      </c>
      <c r="K98" s="1302">
        <f t="shared" si="458"/>
        <v>37034.393162393171</v>
      </c>
      <c r="L98" s="1302">
        <f t="shared" si="458"/>
        <v>35133.020999999993</v>
      </c>
      <c r="M98" s="1476">
        <f t="shared" si="458"/>
        <v>110355.59202279201</v>
      </c>
      <c r="N98" s="1476">
        <f t="shared" si="458"/>
        <v>102442.261</v>
      </c>
      <c r="O98" s="1302">
        <f t="shared" si="458"/>
        <v>38268.872934472936</v>
      </c>
      <c r="P98" s="1302">
        <f t="shared" si="458"/>
        <v>36898.092000000004</v>
      </c>
      <c r="Q98" s="1302">
        <f t="shared" si="458"/>
        <v>148624.46495726498</v>
      </c>
      <c r="R98" s="1302">
        <f t="shared" si="458"/>
        <v>139340.353</v>
      </c>
      <c r="S98" s="1302">
        <f t="shared" si="458"/>
        <v>38268.872934472936</v>
      </c>
      <c r="T98" s="1302">
        <f t="shared" si="458"/>
        <v>37321.83</v>
      </c>
      <c r="U98" s="1302">
        <f t="shared" si="458"/>
        <v>186893.3378917379</v>
      </c>
      <c r="V98" s="1302">
        <f t="shared" si="458"/>
        <v>176662.18299999999</v>
      </c>
      <c r="W98" s="1302">
        <f t="shared" si="458"/>
        <v>36285.825641025644</v>
      </c>
      <c r="X98" s="1302">
        <f t="shared" si="458"/>
        <v>36117.899999999994</v>
      </c>
      <c r="Y98" s="1476">
        <f t="shared" si="458"/>
        <v>112823.57150997152</v>
      </c>
      <c r="Z98" s="1476">
        <f t="shared" si="458"/>
        <v>110337.822</v>
      </c>
      <c r="AA98" s="2393">
        <f t="shared" si="458"/>
        <v>223179.16353276354</v>
      </c>
      <c r="AB98" s="2393">
        <f t="shared" si="458"/>
        <v>212780.08300000001</v>
      </c>
      <c r="AC98" s="1302">
        <f t="shared" si="458"/>
        <v>38268.872934472936</v>
      </c>
      <c r="AD98" s="1302">
        <f t="shared" si="458"/>
        <v>36221.393168709677</v>
      </c>
      <c r="AE98" s="1302">
        <f t="shared" si="458"/>
        <v>261448.03646723644</v>
      </c>
      <c r="AF98" s="1302">
        <f t="shared" si="458"/>
        <v>249001.47616870969</v>
      </c>
      <c r="AG98" s="1302">
        <f t="shared" si="458"/>
        <v>37034.393162393171</v>
      </c>
      <c r="AH98" s="1302">
        <f t="shared" si="458"/>
        <v>34195.392</v>
      </c>
      <c r="AI98" s="1302">
        <f t="shared" si="458"/>
        <v>298482.42962962959</v>
      </c>
      <c r="AJ98" s="1302">
        <f t="shared" ref="AJ98:BF98" si="459">SUM(AJ91:AJ97)</f>
        <v>283196.86816870968</v>
      </c>
      <c r="AK98" s="1302">
        <f t="shared" si="459"/>
        <v>38268.872934472936</v>
      </c>
      <c r="AL98" s="1302">
        <f t="shared" si="459"/>
        <v>33790.151612903224</v>
      </c>
      <c r="AM98" s="1476">
        <f t="shared" si="459"/>
        <v>113572.13903133904</v>
      </c>
      <c r="AN98" s="1476">
        <f t="shared" si="459"/>
        <v>104206.93678161289</v>
      </c>
      <c r="AO98" s="1302">
        <f t="shared" si="459"/>
        <v>336751.30256410252</v>
      </c>
      <c r="AP98" s="1302">
        <f t="shared" si="459"/>
        <v>316987.01978161291</v>
      </c>
      <c r="AQ98" s="1302">
        <f t="shared" si="459"/>
        <v>38268.872934472936</v>
      </c>
      <c r="AR98" s="1302">
        <f t="shared" si="459"/>
        <v>33895.259999999995</v>
      </c>
      <c r="AS98" s="1302">
        <f t="shared" si="459"/>
        <v>375020.17549857544</v>
      </c>
      <c r="AT98" s="1302">
        <f t="shared" si="459"/>
        <v>350882.2797816128</v>
      </c>
      <c r="AU98" s="1302">
        <f t="shared" si="459"/>
        <v>34565.433618233619</v>
      </c>
      <c r="AV98" s="1302">
        <f t="shared" si="459"/>
        <v>31931.8524</v>
      </c>
      <c r="AW98" s="1302">
        <f t="shared" si="459"/>
        <v>409585.60911680898</v>
      </c>
      <c r="AX98" s="1302">
        <f t="shared" si="459"/>
        <v>382814.13218161283</v>
      </c>
      <c r="AY98" s="1302">
        <f t="shared" si="459"/>
        <v>38268.872934472936</v>
      </c>
      <c r="AZ98" s="1302">
        <f t="shared" si="459"/>
        <v>36747.599999999999</v>
      </c>
      <c r="BA98" s="1476">
        <f t="shared" si="459"/>
        <v>111103.1794871795</v>
      </c>
      <c r="BB98" s="1476">
        <f t="shared" si="459"/>
        <v>102574.71239999999</v>
      </c>
      <c r="BC98" s="2393">
        <f t="shared" si="459"/>
        <v>224675.31851851856</v>
      </c>
      <c r="BD98" s="2393">
        <f t="shared" si="459"/>
        <v>206781.64918161291</v>
      </c>
      <c r="BE98" s="1302">
        <f t="shared" si="459"/>
        <v>447854.4820512819</v>
      </c>
      <c r="BF98" s="1302">
        <f t="shared" si="459"/>
        <v>419561.73218161293</v>
      </c>
      <c r="BG98" s="1137">
        <f t="shared" si="284"/>
        <v>3457.6410256411764</v>
      </c>
      <c r="BH98" s="1137">
        <f t="shared" si="285"/>
        <v>5556.5999999999185</v>
      </c>
      <c r="BI98" s="1137"/>
      <c r="BJ98" s="1137">
        <f t="shared" si="311"/>
        <v>0</v>
      </c>
      <c r="BK98" s="1137">
        <f t="shared" si="312"/>
        <v>0</v>
      </c>
      <c r="BL98" s="25"/>
      <c r="BM98" s="25"/>
      <c r="BN98" s="25"/>
    </row>
    <row r="99" spans="1:66" x14ac:dyDescent="0.25">
      <c r="B99" s="2369" t="s">
        <v>1321</v>
      </c>
      <c r="C99" s="1316" t="s">
        <v>50</v>
      </c>
      <c r="D99" s="2279">
        <v>117379.85641025641</v>
      </c>
      <c r="E99" s="2279">
        <v>9796.6495726495705</v>
      </c>
      <c r="F99" s="1121">
        <v>9446.2199999999993</v>
      </c>
      <c r="G99" s="2279">
        <v>10123.204558404557</v>
      </c>
      <c r="H99" s="5584">
        <v>14869.8</v>
      </c>
      <c r="I99" s="2239">
        <f t="shared" ref="I99:J102" si="460">+E99+G99</f>
        <v>19919.854131054126</v>
      </c>
      <c r="J99" s="2239">
        <f t="shared" si="460"/>
        <v>24316.019999999997</v>
      </c>
      <c r="K99" s="2279">
        <v>9396.7863247863243</v>
      </c>
      <c r="L99" s="5690">
        <v>14162.147999999999</v>
      </c>
      <c r="M99" s="2244">
        <f t="shared" ref="M99:N102" si="461">+E99+G99+K99</f>
        <v>29316.64045584045</v>
      </c>
      <c r="N99" s="2244">
        <f t="shared" si="461"/>
        <v>38478.167999999998</v>
      </c>
      <c r="O99" s="2279">
        <v>9710.0125356125354</v>
      </c>
      <c r="P99" s="5855">
        <v>10297.5586497</v>
      </c>
      <c r="Q99" s="2239">
        <f t="shared" ref="Q99:R102" si="462">+M99+O99</f>
        <v>39026.652991452982</v>
      </c>
      <c r="R99" s="2239">
        <f t="shared" si="462"/>
        <v>48775.726649699995</v>
      </c>
      <c r="S99" s="2279">
        <v>9710.0125356125354</v>
      </c>
      <c r="T99" s="5921">
        <v>11483.64</v>
      </c>
      <c r="U99" s="4325">
        <f t="shared" ref="U99:U102" si="463">+Q99+S99</f>
        <v>48736.665527065517</v>
      </c>
      <c r="V99" s="4325">
        <f t="shared" ref="V99:V102" si="464">+R99+T99</f>
        <v>60259.366649699994</v>
      </c>
      <c r="W99" s="2279">
        <v>9206.8512820512824</v>
      </c>
      <c r="X99" s="6019">
        <v>9909.2681477999995</v>
      </c>
      <c r="Y99" s="2244">
        <f t="shared" ref="Y99:Z102" si="465">+O99+S99+W99</f>
        <v>28626.876353276355</v>
      </c>
      <c r="Z99" s="2244">
        <f t="shared" si="465"/>
        <v>31690.466797499997</v>
      </c>
      <c r="AA99" s="2241">
        <f t="shared" si="416"/>
        <v>57943.516809116802</v>
      </c>
      <c r="AB99" s="451">
        <f t="shared" si="416"/>
        <v>70168.634797499995</v>
      </c>
      <c r="AC99" s="2279">
        <v>9710.0125356125354</v>
      </c>
      <c r="AD99" s="6154">
        <v>9251.5560967741931</v>
      </c>
      <c r="AE99" s="2239">
        <f t="shared" ref="AE99:AE102" si="466">+AA99+AC99</f>
        <v>67653.529344729337</v>
      </c>
      <c r="AF99" s="60">
        <f t="shared" ref="AF99:AF102" si="467">+AB99+AD99</f>
        <v>79420.190894274187</v>
      </c>
      <c r="AG99" s="2279">
        <v>9396.7863247863243</v>
      </c>
      <c r="AH99" s="6316">
        <v>10151.757</v>
      </c>
      <c r="AI99" s="2239">
        <f t="shared" ref="AI99:AI102" si="468">+AE99+AG99</f>
        <v>77050.315669515665</v>
      </c>
      <c r="AJ99" s="60">
        <f t="shared" ref="AJ99:AJ102" si="469">+AF99+AH99</f>
        <v>89571.947894274184</v>
      </c>
      <c r="AK99" s="2279">
        <v>9710.0125356125354</v>
      </c>
      <c r="AL99" s="6575">
        <v>10474.947</v>
      </c>
      <c r="AM99" s="2244">
        <f t="shared" ref="AM99:AM102" si="470">+AC99+AG99+AK99</f>
        <v>28816.811396011395</v>
      </c>
      <c r="AN99" s="2244">
        <f t="shared" ref="AN99:AN102" si="471">+AD99+AH99+AL99</f>
        <v>29878.260096774193</v>
      </c>
      <c r="AO99" s="712">
        <f t="shared" si="417"/>
        <v>86760.3282051282</v>
      </c>
      <c r="AP99" s="712">
        <f t="shared" si="417"/>
        <v>100046.89489427418</v>
      </c>
      <c r="AQ99" s="2279">
        <v>9710.0125356125354</v>
      </c>
      <c r="AR99" s="6653">
        <v>10557.539999999997</v>
      </c>
      <c r="AS99" s="2239">
        <f t="shared" ref="AS99:AS102" si="472">+AO99+AQ99</f>
        <v>96470.340740740736</v>
      </c>
      <c r="AT99" s="60">
        <f t="shared" ref="AT99:AT102" si="473">+AP99+AR99</f>
        <v>110604.43489427418</v>
      </c>
      <c r="AU99" s="2279">
        <v>8770.3339031339056</v>
      </c>
      <c r="AV99" s="6831">
        <v>9494.6040000000012</v>
      </c>
      <c r="AW99" s="5017">
        <f t="shared" ref="AW99:AW102" si="474">+AS99+AU99</f>
        <v>105240.67464387463</v>
      </c>
      <c r="AX99" s="60">
        <f t="shared" ref="AX99:AX102" si="475">+AT99+AV99</f>
        <v>120099.03889427418</v>
      </c>
      <c r="AY99" s="2279">
        <v>9710.0125356125354</v>
      </c>
      <c r="AZ99" s="6975">
        <v>10909.5</v>
      </c>
      <c r="BA99" s="2244">
        <f t="shared" ref="BA99:BA102" si="476">+AQ99+AU99+AY99</f>
        <v>28190.358974358976</v>
      </c>
      <c r="BB99" s="2244">
        <f t="shared" ref="BB99:BB102" si="477">+AR99+AV99+AZ99</f>
        <v>30961.644</v>
      </c>
      <c r="BC99" s="2679">
        <f t="shared" ref="BC99:BC102" si="478">+AM99+BA99</f>
        <v>57007.170370370368</v>
      </c>
      <c r="BD99" s="2679">
        <f t="shared" ref="BD99:BD102" si="479">+AN99+BB99</f>
        <v>60839.904096774189</v>
      </c>
      <c r="BE99" s="5106">
        <f t="shared" ref="BE99:BE102" si="480">AW99+AY99</f>
        <v>114950.68717948717</v>
      </c>
      <c r="BF99" s="5106">
        <f t="shared" ref="BF99:BF102" si="481">AX99+AZ99</f>
        <v>131008.53889427418</v>
      </c>
      <c r="BG99" s="1137">
        <f t="shared" si="284"/>
        <v>0</v>
      </c>
      <c r="BH99" s="1137">
        <f t="shared" si="285"/>
        <v>0</v>
      </c>
      <c r="BI99" s="1137"/>
      <c r="BJ99" s="1137">
        <f t="shared" si="311"/>
        <v>0</v>
      </c>
      <c r="BK99" s="1137">
        <f t="shared" si="312"/>
        <v>0</v>
      </c>
      <c r="BL99" s="25"/>
      <c r="BM99" s="25"/>
      <c r="BN99" s="25"/>
    </row>
    <row r="100" spans="1:66" x14ac:dyDescent="0.25">
      <c r="B100" s="1759" t="s">
        <v>597</v>
      </c>
      <c r="C100" s="728" t="s">
        <v>50</v>
      </c>
      <c r="D100" s="2237"/>
      <c r="E100" s="2237"/>
      <c r="F100" s="1819"/>
      <c r="G100" s="5578">
        <v>2977.4131054131053</v>
      </c>
      <c r="H100" s="1819"/>
      <c r="I100" s="2236">
        <f t="shared" si="460"/>
        <v>2977.4131054131053</v>
      </c>
      <c r="J100" s="2236">
        <f t="shared" si="460"/>
        <v>0</v>
      </c>
      <c r="K100" s="5680">
        <v>2763.7606837606836</v>
      </c>
      <c r="L100" s="1819"/>
      <c r="M100" s="2235">
        <f t="shared" si="461"/>
        <v>5741.1737891737885</v>
      </c>
      <c r="N100" s="2235">
        <f t="shared" si="461"/>
        <v>0</v>
      </c>
      <c r="O100" s="5837">
        <v>2855.8860398860393</v>
      </c>
      <c r="P100" s="1819"/>
      <c r="Q100" s="2236">
        <f t="shared" si="462"/>
        <v>8597.0598290598282</v>
      </c>
      <c r="R100" s="2236">
        <f t="shared" si="462"/>
        <v>0</v>
      </c>
      <c r="S100" s="5909">
        <v>2855.8860398860393</v>
      </c>
      <c r="T100" s="1819"/>
      <c r="U100" s="4326">
        <f t="shared" si="463"/>
        <v>11452.945868945868</v>
      </c>
      <c r="V100" s="4326">
        <f t="shared" si="464"/>
        <v>0</v>
      </c>
      <c r="W100" s="6007">
        <v>2707.8974358974356</v>
      </c>
      <c r="X100" s="1819"/>
      <c r="Y100" s="2235">
        <f t="shared" si="465"/>
        <v>8419.6695156695132</v>
      </c>
      <c r="Z100" s="2235">
        <f t="shared" si="465"/>
        <v>0</v>
      </c>
      <c r="AA100" s="2242">
        <f t="shared" si="416"/>
        <v>14160.843304843302</v>
      </c>
      <c r="AB100" s="428">
        <f t="shared" si="416"/>
        <v>0</v>
      </c>
      <c r="AC100" s="6138">
        <v>2855.8860398860393</v>
      </c>
      <c r="AD100" s="1819"/>
      <c r="AE100" s="2236">
        <f t="shared" si="466"/>
        <v>17016.729344729341</v>
      </c>
      <c r="AF100" s="37">
        <f t="shared" si="467"/>
        <v>0</v>
      </c>
      <c r="AG100" s="6300">
        <v>2763.7606837606836</v>
      </c>
      <c r="AH100" s="1819"/>
      <c r="AI100" s="2236">
        <f t="shared" si="468"/>
        <v>19780.490028490025</v>
      </c>
      <c r="AJ100" s="37">
        <f t="shared" si="469"/>
        <v>0</v>
      </c>
      <c r="AK100" s="6564">
        <v>2855.8860398860393</v>
      </c>
      <c r="AL100" s="1819"/>
      <c r="AM100" s="2531">
        <f t="shared" si="470"/>
        <v>8475.5327635327631</v>
      </c>
      <c r="AN100" s="2531">
        <f t="shared" si="471"/>
        <v>0</v>
      </c>
      <c r="AO100" s="712">
        <f t="shared" ref="AO100:AO102" si="482">AI100+AK100</f>
        <v>22636.376068376063</v>
      </c>
      <c r="AP100" s="712">
        <f t="shared" ref="AP100:AP102" si="483">AJ100+AL100</f>
        <v>0</v>
      </c>
      <c r="AQ100" s="6643">
        <v>2855.8860398860393</v>
      </c>
      <c r="AR100" s="1819"/>
      <c r="AS100" s="2236">
        <f t="shared" si="472"/>
        <v>25492.262108262101</v>
      </c>
      <c r="AT100" s="37">
        <f t="shared" si="473"/>
        <v>0</v>
      </c>
      <c r="AU100" s="2279">
        <v>2579.5099715099718</v>
      </c>
      <c r="AV100" s="1819"/>
      <c r="AW100" s="5015">
        <f t="shared" si="474"/>
        <v>28071.772079772072</v>
      </c>
      <c r="AX100" s="37">
        <f t="shared" si="475"/>
        <v>0</v>
      </c>
      <c r="AY100" s="2279">
        <v>2855.8860398860393</v>
      </c>
      <c r="AZ100" s="1819"/>
      <c r="BA100" s="5104">
        <f t="shared" si="476"/>
        <v>8291.2820512820508</v>
      </c>
      <c r="BB100" s="5104">
        <f t="shared" si="477"/>
        <v>0</v>
      </c>
      <c r="BC100" s="2679">
        <f t="shared" si="478"/>
        <v>16766.814814814814</v>
      </c>
      <c r="BD100" s="2679">
        <f t="shared" si="479"/>
        <v>0</v>
      </c>
      <c r="BE100" s="5106">
        <f t="shared" si="480"/>
        <v>30927.65811965811</v>
      </c>
      <c r="BF100" s="5106">
        <f t="shared" si="481"/>
        <v>0</v>
      </c>
      <c r="BG100" s="1137">
        <f t="shared" si="284"/>
        <v>0</v>
      </c>
      <c r="BH100" s="1137">
        <f t="shared" si="285"/>
        <v>0</v>
      </c>
      <c r="BI100" s="1137"/>
      <c r="BJ100" s="1137">
        <f t="shared" si="311"/>
        <v>0</v>
      </c>
      <c r="BK100" s="1137">
        <f t="shared" si="312"/>
        <v>0</v>
      </c>
      <c r="BL100" s="25"/>
      <c r="BM100" s="25"/>
      <c r="BN100" s="25"/>
    </row>
    <row r="101" spans="1:66" x14ac:dyDescent="0.25">
      <c r="B101" s="1760" t="s">
        <v>1307</v>
      </c>
      <c r="C101" s="1315" t="s">
        <v>50</v>
      </c>
      <c r="D101" s="210">
        <v>55237.579487179486</v>
      </c>
      <c r="E101" s="210">
        <v>4610.1880341880342</v>
      </c>
      <c r="F101" s="1134">
        <v>4445.28</v>
      </c>
      <c r="G101" s="5101"/>
      <c r="H101" s="1134"/>
      <c r="I101" s="2236">
        <f t="shared" si="460"/>
        <v>4610.1880341880342</v>
      </c>
      <c r="J101" s="2236">
        <f t="shared" si="460"/>
        <v>4445.28</v>
      </c>
      <c r="K101" s="5101"/>
      <c r="L101" s="1134"/>
      <c r="M101" s="2235">
        <f t="shared" ref="M101" si="484">+E101+G101+K101</f>
        <v>4610.1880341880342</v>
      </c>
      <c r="N101" s="2235">
        <f t="shared" ref="N101" si="485">+F101+H101+L101</f>
        <v>4445.28</v>
      </c>
      <c r="O101" s="5101"/>
      <c r="P101" s="1134">
        <v>3516.6805570259999</v>
      </c>
      <c r="Q101" s="2236">
        <f t="shared" si="462"/>
        <v>4610.1880341880342</v>
      </c>
      <c r="R101" s="2236">
        <f t="shared" si="462"/>
        <v>7961.9605570259992</v>
      </c>
      <c r="S101" s="5101">
        <v>0</v>
      </c>
      <c r="T101" s="1134"/>
      <c r="U101" s="4326">
        <f t="shared" si="463"/>
        <v>4610.1880341880342</v>
      </c>
      <c r="V101" s="4326">
        <f t="shared" si="464"/>
        <v>7961.9605570259992</v>
      </c>
      <c r="W101" s="5101"/>
      <c r="X101" s="1134">
        <v>2407.6747799999998</v>
      </c>
      <c r="Y101" s="2235">
        <f t="shared" ref="Y101" si="486">+O101+S101+W101</f>
        <v>0</v>
      </c>
      <c r="Z101" s="2235">
        <f t="shared" ref="Z101" si="487">+P101+T101+X101</f>
        <v>5924.3553370259997</v>
      </c>
      <c r="AA101" s="2242">
        <f t="shared" ref="AA101" si="488">+M101+Y101</f>
        <v>4610.1880341880342</v>
      </c>
      <c r="AB101" s="428">
        <f t="shared" ref="AB101" si="489">+N101+Z101</f>
        <v>10369.635337026</v>
      </c>
      <c r="AC101" s="5101"/>
      <c r="AD101" s="1134">
        <v>5437.7982580645166</v>
      </c>
      <c r="AE101" s="2236">
        <f t="shared" si="466"/>
        <v>4610.1880341880342</v>
      </c>
      <c r="AF101" s="37">
        <f t="shared" si="467"/>
        <v>15807.433595090517</v>
      </c>
      <c r="AG101" s="5101"/>
      <c r="AH101" s="1134">
        <v>3740.1209999999996</v>
      </c>
      <c r="AI101" s="2236">
        <f t="shared" si="468"/>
        <v>4610.1880341880342</v>
      </c>
      <c r="AJ101" s="37">
        <f t="shared" si="469"/>
        <v>19547.554595090518</v>
      </c>
      <c r="AK101" s="5101"/>
      <c r="AL101" s="1134">
        <v>3859.1909999999998</v>
      </c>
      <c r="AM101" s="2531">
        <f t="shared" si="470"/>
        <v>0</v>
      </c>
      <c r="AN101" s="2531">
        <f t="shared" si="471"/>
        <v>13037.110258064517</v>
      </c>
      <c r="AO101" s="712">
        <f t="shared" si="482"/>
        <v>4610.1880341880342</v>
      </c>
      <c r="AP101" s="712">
        <f t="shared" si="483"/>
        <v>23406.745595090517</v>
      </c>
      <c r="AQ101" s="5101"/>
      <c r="AR101" s="1134">
        <v>3889.6199999999994</v>
      </c>
      <c r="AS101" s="2236">
        <f t="shared" si="472"/>
        <v>4610.1880341880342</v>
      </c>
      <c r="AT101" s="37">
        <f t="shared" si="473"/>
        <v>27296.365595090516</v>
      </c>
      <c r="AU101" s="5101"/>
      <c r="AV101" s="1134">
        <v>3498.0120000000002</v>
      </c>
      <c r="AW101" s="5015">
        <f t="shared" si="474"/>
        <v>4610.1880341880342</v>
      </c>
      <c r="AX101" s="37">
        <f t="shared" si="475"/>
        <v>30794.377595090515</v>
      </c>
      <c r="AY101" s="5101"/>
      <c r="AZ101" s="1134">
        <v>4019.3</v>
      </c>
      <c r="BA101" s="5104">
        <f t="shared" si="476"/>
        <v>0</v>
      </c>
      <c r="BB101" s="5104">
        <f t="shared" si="477"/>
        <v>11406.932000000001</v>
      </c>
      <c r="BC101" s="2679">
        <f t="shared" si="478"/>
        <v>0</v>
      </c>
      <c r="BD101" s="2679">
        <f t="shared" si="479"/>
        <v>24444.042258064517</v>
      </c>
      <c r="BE101" s="5106">
        <f t="shared" si="480"/>
        <v>4610.1880341880342</v>
      </c>
      <c r="BF101" s="5106">
        <f t="shared" si="481"/>
        <v>34813.677595090514</v>
      </c>
      <c r="BG101" s="1137">
        <f t="shared" si="284"/>
        <v>0</v>
      </c>
      <c r="BH101" s="1137">
        <f t="shared" si="285"/>
        <v>0</v>
      </c>
      <c r="BI101" s="1137"/>
      <c r="BJ101" s="1137">
        <f t="shared" si="311"/>
        <v>0</v>
      </c>
      <c r="BK101" s="1137">
        <f t="shared" si="312"/>
        <v>0</v>
      </c>
      <c r="BL101" s="25"/>
      <c r="BM101" s="25"/>
      <c r="BN101" s="25"/>
    </row>
    <row r="102" spans="1:66" ht="15.75" thickBot="1" x14ac:dyDescent="0.3">
      <c r="A102" s="138"/>
      <c r="B102" s="1760" t="s">
        <v>1320</v>
      </c>
      <c r="C102" s="1315" t="s">
        <v>50</v>
      </c>
      <c r="D102" s="210"/>
      <c r="E102" s="210"/>
      <c r="F102" s="1134"/>
      <c r="G102" s="5101">
        <v>1786.4478632478633</v>
      </c>
      <c r="H102" s="1134"/>
      <c r="I102" s="2238">
        <f t="shared" si="460"/>
        <v>1786.4478632478633</v>
      </c>
      <c r="J102" s="2238">
        <f t="shared" si="460"/>
        <v>0</v>
      </c>
      <c r="K102" s="5101">
        <v>1658.2564102564099</v>
      </c>
      <c r="L102" s="1134"/>
      <c r="M102" s="2243">
        <f t="shared" si="461"/>
        <v>3444.7042735042733</v>
      </c>
      <c r="N102" s="2243">
        <f t="shared" si="461"/>
        <v>0</v>
      </c>
      <c r="O102" s="5101">
        <v>1713.5316239316239</v>
      </c>
      <c r="P102" s="1134">
        <v>721.37055702600003</v>
      </c>
      <c r="Q102" s="2238">
        <f t="shared" si="462"/>
        <v>5158.2358974358976</v>
      </c>
      <c r="R102" s="2238">
        <f t="shared" si="462"/>
        <v>721.37055702600003</v>
      </c>
      <c r="S102" s="5101">
        <v>1713.5316239316239</v>
      </c>
      <c r="T102" s="1134">
        <v>2870.91</v>
      </c>
      <c r="U102" s="4324">
        <f t="shared" si="463"/>
        <v>6871.7675213675211</v>
      </c>
      <c r="V102" s="4324">
        <f t="shared" si="464"/>
        <v>3592.2805570259998</v>
      </c>
      <c r="W102" s="5101">
        <v>1624.7384615384615</v>
      </c>
      <c r="X102" s="1134">
        <v>1574.3514779999998</v>
      </c>
      <c r="Y102" s="2243">
        <f t="shared" si="465"/>
        <v>5051.8017094017096</v>
      </c>
      <c r="Z102" s="2243">
        <f t="shared" si="465"/>
        <v>5166.6320350259994</v>
      </c>
      <c r="AA102" s="2242">
        <f t="shared" si="416"/>
        <v>8496.5059829059828</v>
      </c>
      <c r="AB102" s="428">
        <f t="shared" si="416"/>
        <v>5166.6320350259994</v>
      </c>
      <c r="AC102" s="5101">
        <v>1713.5316239316239</v>
      </c>
      <c r="AD102" s="1134"/>
      <c r="AE102" s="2236">
        <f t="shared" si="466"/>
        <v>10210.037606837606</v>
      </c>
      <c r="AF102" s="154">
        <f t="shared" si="467"/>
        <v>5166.6320350259994</v>
      </c>
      <c r="AG102" s="5101">
        <v>1658.2564102564099</v>
      </c>
      <c r="AH102" s="1134"/>
      <c r="AI102" s="2236">
        <f t="shared" si="468"/>
        <v>11868.294017094016</v>
      </c>
      <c r="AJ102" s="154">
        <f t="shared" si="469"/>
        <v>5166.6320350259994</v>
      </c>
      <c r="AK102" s="5101">
        <v>1713.5316239316239</v>
      </c>
      <c r="AL102" s="1134"/>
      <c r="AM102" s="2243">
        <f t="shared" si="470"/>
        <v>5085.3196581196571</v>
      </c>
      <c r="AN102" s="2243">
        <f t="shared" si="471"/>
        <v>0</v>
      </c>
      <c r="AO102" s="712">
        <f t="shared" si="482"/>
        <v>13581.82564102564</v>
      </c>
      <c r="AP102" s="712">
        <f t="shared" si="483"/>
        <v>5166.6320350259994</v>
      </c>
      <c r="AQ102" s="5101">
        <v>1713.5316239316239</v>
      </c>
      <c r="AR102" s="1134"/>
      <c r="AS102" s="2236">
        <f t="shared" si="472"/>
        <v>15295.357264957263</v>
      </c>
      <c r="AT102" s="154">
        <f t="shared" si="473"/>
        <v>5166.6320350259994</v>
      </c>
      <c r="AU102" s="5101">
        <v>1547.7059829059829</v>
      </c>
      <c r="AV102" s="1134"/>
      <c r="AW102" s="5015">
        <f t="shared" si="474"/>
        <v>16843.063247863247</v>
      </c>
      <c r="AX102" s="154">
        <f t="shared" si="475"/>
        <v>5166.6320350259994</v>
      </c>
      <c r="AY102" s="5101">
        <v>1713.5316239316239</v>
      </c>
      <c r="AZ102" s="1134"/>
      <c r="BA102" s="2243">
        <f t="shared" si="476"/>
        <v>4974.7692307692305</v>
      </c>
      <c r="BB102" s="2243">
        <f t="shared" si="477"/>
        <v>0</v>
      </c>
      <c r="BC102" s="2679">
        <f t="shared" si="478"/>
        <v>10060.088888888888</v>
      </c>
      <c r="BD102" s="2679">
        <f t="shared" si="479"/>
        <v>0</v>
      </c>
      <c r="BE102" s="5106">
        <f t="shared" si="480"/>
        <v>18556.59487179487</v>
      </c>
      <c r="BF102" s="5106">
        <f t="shared" si="481"/>
        <v>5166.6320350259994</v>
      </c>
      <c r="BG102" s="1137">
        <f t="shared" si="284"/>
        <v>0</v>
      </c>
      <c r="BH102" s="1137">
        <f t="shared" si="285"/>
        <v>0</v>
      </c>
      <c r="BI102" s="1137"/>
      <c r="BJ102" s="1137">
        <f t="shared" si="311"/>
        <v>0</v>
      </c>
      <c r="BK102" s="1137">
        <f t="shared" si="312"/>
        <v>0</v>
      </c>
      <c r="BL102" s="25"/>
      <c r="BM102" s="25"/>
      <c r="BN102" s="25"/>
    </row>
    <row r="103" spans="1:66" ht="16.5" thickBot="1" x14ac:dyDescent="0.3">
      <c r="A103" s="138"/>
      <c r="B103" s="1740" t="s">
        <v>134</v>
      </c>
      <c r="C103" s="1313" t="s">
        <v>50</v>
      </c>
      <c r="D103" s="1303">
        <f t="shared" ref="D103:AI103" si="490">SUM(D99:D102)</f>
        <v>172617.43589743591</v>
      </c>
      <c r="E103" s="429">
        <f t="shared" si="490"/>
        <v>14406.837606837606</v>
      </c>
      <c r="F103" s="348">
        <f t="shared" si="490"/>
        <v>13891.5</v>
      </c>
      <c r="G103" s="429">
        <f t="shared" ref="G103:H103" si="491">SUM(G99:G102)</f>
        <v>14887.065527065526</v>
      </c>
      <c r="H103" s="348">
        <f t="shared" si="491"/>
        <v>14869.8</v>
      </c>
      <c r="I103" s="668">
        <f t="shared" si="490"/>
        <v>29293.903133903132</v>
      </c>
      <c r="J103" s="668">
        <f t="shared" si="490"/>
        <v>28761.299999999996</v>
      </c>
      <c r="K103" s="429">
        <f t="shared" ref="K103:L103" si="492">SUM(K99:K102)</f>
        <v>13818.803418803418</v>
      </c>
      <c r="L103" s="348">
        <f t="shared" si="492"/>
        <v>14162.147999999999</v>
      </c>
      <c r="M103" s="331">
        <f t="shared" si="490"/>
        <v>43112.706552706542</v>
      </c>
      <c r="N103" s="1403">
        <f t="shared" si="490"/>
        <v>42923.447999999997</v>
      </c>
      <c r="O103" s="429">
        <f t="shared" ref="O103:P103" si="493">SUM(O99:O102)</f>
        <v>14279.430199430199</v>
      </c>
      <c r="P103" s="348">
        <f t="shared" si="493"/>
        <v>14535.609763752002</v>
      </c>
      <c r="Q103" s="668">
        <f t="shared" si="490"/>
        <v>57392.136752136736</v>
      </c>
      <c r="R103" s="668">
        <f t="shared" si="490"/>
        <v>57459.057763751996</v>
      </c>
      <c r="S103" s="429">
        <f t="shared" ref="S103:T103" si="494">SUM(S99:S102)</f>
        <v>14279.430199430199</v>
      </c>
      <c r="T103" s="348">
        <f t="shared" si="494"/>
        <v>14354.55</v>
      </c>
      <c r="U103" s="668">
        <f t="shared" ref="U103:X103" si="495">SUM(U99:U102)</f>
        <v>71671.566951566943</v>
      </c>
      <c r="V103" s="668">
        <f t="shared" si="495"/>
        <v>71813.607763751992</v>
      </c>
      <c r="W103" s="429">
        <f t="shared" si="495"/>
        <v>13539.48717948718</v>
      </c>
      <c r="X103" s="348">
        <f t="shared" si="495"/>
        <v>13891.294405799999</v>
      </c>
      <c r="Y103" s="331">
        <f t="shared" si="490"/>
        <v>42098.347578347581</v>
      </c>
      <c r="Z103" s="1403">
        <f t="shared" si="490"/>
        <v>42781.454169551995</v>
      </c>
      <c r="AA103" s="437">
        <f t="shared" si="490"/>
        <v>85211.054131054116</v>
      </c>
      <c r="AB103" s="2394">
        <f t="shared" si="490"/>
        <v>85704.902169551991</v>
      </c>
      <c r="AC103" s="429">
        <f t="shared" ref="AC103:AD103" si="496">SUM(AC99:AC102)</f>
        <v>14279.430199430199</v>
      </c>
      <c r="AD103" s="348">
        <f t="shared" si="496"/>
        <v>14689.35435483871</v>
      </c>
      <c r="AE103" s="668">
        <f t="shared" si="490"/>
        <v>99490.484330484323</v>
      </c>
      <c r="AF103" s="348">
        <f t="shared" si="490"/>
        <v>100394.25652439072</v>
      </c>
      <c r="AG103" s="429">
        <f t="shared" ref="AG103:AH103" si="497">SUM(AG99:AG102)</f>
        <v>13818.803418803418</v>
      </c>
      <c r="AH103" s="348">
        <f t="shared" si="497"/>
        <v>13891.877999999999</v>
      </c>
      <c r="AI103" s="668">
        <f t="shared" si="490"/>
        <v>113309.28774928773</v>
      </c>
      <c r="AJ103" s="348">
        <f t="shared" ref="AJ103:BD103" si="498">SUM(AJ99:AJ102)</f>
        <v>114286.13452439071</v>
      </c>
      <c r="AK103" s="429">
        <f t="shared" si="498"/>
        <v>14279.430199430199</v>
      </c>
      <c r="AL103" s="348">
        <f t="shared" si="498"/>
        <v>14334.137999999999</v>
      </c>
      <c r="AM103" s="331">
        <f t="shared" si="498"/>
        <v>42377.663817663808</v>
      </c>
      <c r="AN103" s="1403">
        <f t="shared" si="498"/>
        <v>42915.370354838713</v>
      </c>
      <c r="AO103" s="668">
        <f t="shared" si="498"/>
        <v>127588.71794871794</v>
      </c>
      <c r="AP103" s="348">
        <f t="shared" si="498"/>
        <v>128620.27252439069</v>
      </c>
      <c r="AQ103" s="429">
        <f t="shared" ref="AQ103:AR103" si="499">SUM(AQ99:AQ102)</f>
        <v>14279.430199430199</v>
      </c>
      <c r="AR103" s="348">
        <f t="shared" si="499"/>
        <v>14447.159999999996</v>
      </c>
      <c r="AS103" s="668">
        <f t="shared" si="498"/>
        <v>141868.14814814815</v>
      </c>
      <c r="AT103" s="348">
        <f t="shared" si="498"/>
        <v>143067.43252439069</v>
      </c>
      <c r="AU103" s="429">
        <f t="shared" si="498"/>
        <v>12897.54985754986</v>
      </c>
      <c r="AV103" s="348">
        <f t="shared" si="498"/>
        <v>12992.616000000002</v>
      </c>
      <c r="AW103" s="668">
        <f t="shared" ref="AW103:AZ103" si="500">SUM(AW99:AW102)</f>
        <v>154765.69800569798</v>
      </c>
      <c r="AX103" s="348">
        <f t="shared" si="500"/>
        <v>156060.0485243907</v>
      </c>
      <c r="AY103" s="429">
        <f t="shared" si="500"/>
        <v>14279.430199430199</v>
      </c>
      <c r="AZ103" s="348">
        <f t="shared" si="500"/>
        <v>14928.8</v>
      </c>
      <c r="BA103" s="331">
        <f t="shared" ref="BA103:BB103" si="501">SUM(BA99:BA102)</f>
        <v>41456.410256410265</v>
      </c>
      <c r="BB103" s="1403">
        <f t="shared" si="501"/>
        <v>42368.576000000001</v>
      </c>
      <c r="BC103" s="437">
        <f t="shared" si="498"/>
        <v>83834.074074074073</v>
      </c>
      <c r="BD103" s="2394">
        <f t="shared" si="498"/>
        <v>85283.946354838699</v>
      </c>
      <c r="BE103" s="668">
        <f t="shared" ref="BE103:BF103" si="502">SUM(BE99:BE102)</f>
        <v>169045.12820512816</v>
      </c>
      <c r="BF103" s="348">
        <f t="shared" si="502"/>
        <v>170988.84852439069</v>
      </c>
      <c r="BG103" s="1137">
        <f t="shared" si="284"/>
        <v>0</v>
      </c>
      <c r="BH103" s="1137">
        <f t="shared" si="285"/>
        <v>0</v>
      </c>
      <c r="BI103" s="1137"/>
      <c r="BJ103" s="1137">
        <f t="shared" si="311"/>
        <v>0</v>
      </c>
      <c r="BK103" s="1137">
        <f t="shared" si="312"/>
        <v>0</v>
      </c>
      <c r="BL103" s="25"/>
      <c r="BM103" s="25"/>
      <c r="BN103" s="25"/>
    </row>
    <row r="104" spans="1:66" ht="16.5" thickBot="1" x14ac:dyDescent="0.3">
      <c r="B104" s="1740" t="s">
        <v>12</v>
      </c>
      <c r="C104" s="1313" t="s">
        <v>50</v>
      </c>
      <c r="D104" s="1303">
        <f t="shared" ref="D104:AI104" si="503">+D98+D103</f>
        <v>614518.07179487171</v>
      </c>
      <c r="E104" s="429">
        <f t="shared" si="503"/>
        <v>51288.341880341875</v>
      </c>
      <c r="F104" s="348">
        <f t="shared" si="503"/>
        <v>49453.739999999991</v>
      </c>
      <c r="G104" s="429">
        <f t="shared" ref="G104:H104" si="504">+G98+G103</f>
        <v>54784.401139601134</v>
      </c>
      <c r="H104" s="348">
        <f t="shared" si="504"/>
        <v>52173.399999999994</v>
      </c>
      <c r="I104" s="668">
        <f t="shared" si="503"/>
        <v>102615.10199430199</v>
      </c>
      <c r="J104" s="668">
        <f t="shared" si="503"/>
        <v>96070.539999999979</v>
      </c>
      <c r="K104" s="429">
        <f t="shared" si="503"/>
        <v>50853.196581196593</v>
      </c>
      <c r="L104" s="348">
        <f t="shared" si="503"/>
        <v>49295.168999999994</v>
      </c>
      <c r="M104" s="331">
        <f t="shared" si="503"/>
        <v>153468.29857549857</v>
      </c>
      <c r="N104" s="1403">
        <f t="shared" si="503"/>
        <v>145365.709</v>
      </c>
      <c r="O104" s="429">
        <f t="shared" ref="O104:P104" si="505">+O98+O103</f>
        <v>52548.303133903137</v>
      </c>
      <c r="P104" s="348">
        <f t="shared" si="505"/>
        <v>51433.701763752004</v>
      </c>
      <c r="Q104" s="668">
        <f t="shared" si="503"/>
        <v>206016.6017094017</v>
      </c>
      <c r="R104" s="668">
        <f t="shared" si="503"/>
        <v>196799.41076375201</v>
      </c>
      <c r="S104" s="429">
        <f t="shared" si="503"/>
        <v>52548.303133903137</v>
      </c>
      <c r="T104" s="348">
        <f t="shared" si="503"/>
        <v>51676.380000000005</v>
      </c>
      <c r="U104" s="668">
        <f t="shared" ref="U104:X104" si="506">+U98+U103</f>
        <v>258564.90484330483</v>
      </c>
      <c r="V104" s="668">
        <f t="shared" si="506"/>
        <v>248475.79076375198</v>
      </c>
      <c r="W104" s="429">
        <f t="shared" si="506"/>
        <v>49825.312820512823</v>
      </c>
      <c r="X104" s="348">
        <f t="shared" si="506"/>
        <v>50009.194405799994</v>
      </c>
      <c r="Y104" s="331">
        <f t="shared" si="503"/>
        <v>154921.91908831909</v>
      </c>
      <c r="Z104" s="1403">
        <f t="shared" si="503"/>
        <v>153119.276169552</v>
      </c>
      <c r="AA104" s="437">
        <f t="shared" si="503"/>
        <v>308390.21766381769</v>
      </c>
      <c r="AB104" s="2394">
        <f t="shared" si="503"/>
        <v>298484.98516955203</v>
      </c>
      <c r="AC104" s="429">
        <f t="shared" si="503"/>
        <v>52548.303133903137</v>
      </c>
      <c r="AD104" s="348">
        <f t="shared" si="503"/>
        <v>50910.747523548387</v>
      </c>
      <c r="AE104" s="668">
        <f t="shared" si="503"/>
        <v>360938.52079772076</v>
      </c>
      <c r="AF104" s="348">
        <f t="shared" si="503"/>
        <v>349395.73269310041</v>
      </c>
      <c r="AG104" s="429">
        <f t="shared" ref="AG104:AH104" si="507">+AG98+AG103</f>
        <v>50853.196581196593</v>
      </c>
      <c r="AH104" s="348">
        <f t="shared" si="507"/>
        <v>48087.27</v>
      </c>
      <c r="AI104" s="668">
        <f t="shared" si="503"/>
        <v>411791.71737891732</v>
      </c>
      <c r="AJ104" s="348">
        <f t="shared" ref="AJ104:BF104" si="508">+AJ98+AJ103</f>
        <v>397483.00269310037</v>
      </c>
      <c r="AK104" s="429">
        <f t="shared" si="508"/>
        <v>52548.303133903137</v>
      </c>
      <c r="AL104" s="348">
        <f t="shared" si="508"/>
        <v>48124.289612903223</v>
      </c>
      <c r="AM104" s="331">
        <f t="shared" si="508"/>
        <v>155949.80284900285</v>
      </c>
      <c r="AN104" s="1403">
        <f t="shared" si="508"/>
        <v>147122.30713645159</v>
      </c>
      <c r="AO104" s="668">
        <f t="shared" si="508"/>
        <v>464340.02051282045</v>
      </c>
      <c r="AP104" s="348">
        <f t="shared" si="508"/>
        <v>445607.29230600363</v>
      </c>
      <c r="AQ104" s="429">
        <f t="shared" ref="AQ104:AR104" si="509">+AQ98+AQ103</f>
        <v>52548.303133903137</v>
      </c>
      <c r="AR104" s="348">
        <f t="shared" si="509"/>
        <v>48342.419999999991</v>
      </c>
      <c r="AS104" s="668">
        <f t="shared" si="508"/>
        <v>516888.32364672358</v>
      </c>
      <c r="AT104" s="348">
        <f t="shared" si="508"/>
        <v>493949.71230600349</v>
      </c>
      <c r="AU104" s="429">
        <f t="shared" si="508"/>
        <v>47462.983475783476</v>
      </c>
      <c r="AV104" s="348">
        <f t="shared" si="508"/>
        <v>44924.468399999998</v>
      </c>
      <c r="AW104" s="668">
        <f t="shared" ref="AW104:BB104" si="510">+AW98+AW103</f>
        <v>564351.3071225069</v>
      </c>
      <c r="AX104" s="348">
        <f t="shared" si="510"/>
        <v>538874.18070600356</v>
      </c>
      <c r="AY104" s="429">
        <f t="shared" si="510"/>
        <v>52548.303133903137</v>
      </c>
      <c r="AZ104" s="348">
        <f t="shared" si="510"/>
        <v>51676.399999999994</v>
      </c>
      <c r="BA104" s="331">
        <f t="shared" si="510"/>
        <v>152559.58974358975</v>
      </c>
      <c r="BB104" s="1403">
        <f t="shared" si="510"/>
        <v>144943.28839999999</v>
      </c>
      <c r="BC104" s="437">
        <f t="shared" si="508"/>
        <v>308509.39259259263</v>
      </c>
      <c r="BD104" s="2394">
        <f t="shared" si="508"/>
        <v>292065.59553645161</v>
      </c>
      <c r="BE104" s="668">
        <f t="shared" si="508"/>
        <v>616899.61025641009</v>
      </c>
      <c r="BF104" s="348">
        <f t="shared" si="508"/>
        <v>590550.58070600359</v>
      </c>
      <c r="BG104" s="1137">
        <f t="shared" si="284"/>
        <v>3457.6410256412346</v>
      </c>
      <c r="BH104" s="1137">
        <f t="shared" si="285"/>
        <v>5556.6000000000931</v>
      </c>
      <c r="BI104" s="1137"/>
      <c r="BJ104" s="1137">
        <f t="shared" si="311"/>
        <v>0</v>
      </c>
      <c r="BK104" s="1137">
        <f t="shared" si="312"/>
        <v>0</v>
      </c>
      <c r="BL104" s="25"/>
      <c r="BM104" s="25"/>
      <c r="BN104" s="25"/>
    </row>
    <row r="105" spans="1:66" ht="15.75" customHeight="1" thickBot="1" x14ac:dyDescent="0.3">
      <c r="B105" s="1756" t="s">
        <v>1140</v>
      </c>
      <c r="C105" s="1308" t="s">
        <v>50</v>
      </c>
      <c r="D105" s="7568">
        <v>75117.038038884188</v>
      </c>
      <c r="E105" s="7558">
        <v>6269.3491124260345</v>
      </c>
      <c r="F105" s="4714">
        <v>6112.2599999999993</v>
      </c>
      <c r="G105" s="7545"/>
      <c r="H105" s="17">
        <v>5018.1000000000004</v>
      </c>
      <c r="I105" s="7549"/>
      <c r="J105" s="60">
        <f>+F105+H105</f>
        <v>11130.36</v>
      </c>
      <c r="K105" s="7545"/>
      <c r="L105" s="17">
        <v>5174.6310000000003</v>
      </c>
      <c r="M105" s="7546"/>
      <c r="N105" s="67">
        <f>+F105+H105+L105</f>
        <v>16304.991000000002</v>
      </c>
      <c r="O105" s="7545"/>
      <c r="P105" s="17">
        <v>4472.4960000000001</v>
      </c>
      <c r="Q105" s="7549"/>
      <c r="R105" s="60">
        <f>+N105+P105</f>
        <v>20777.487000000001</v>
      </c>
      <c r="S105" s="7545"/>
      <c r="T105" s="17">
        <v>5741.82</v>
      </c>
      <c r="U105" s="7549"/>
      <c r="V105" s="60">
        <f>+R105+T105</f>
        <v>26519.307000000001</v>
      </c>
      <c r="W105" s="7545"/>
      <c r="X105" s="17">
        <v>5556.5999999999985</v>
      </c>
      <c r="Y105" s="7547"/>
      <c r="Z105" s="81">
        <f>+P105+T105+X105</f>
        <v>15770.915999999997</v>
      </c>
      <c r="AA105" s="7551"/>
      <c r="AB105" s="428">
        <f>+N105+Z105</f>
        <v>32075.906999999999</v>
      </c>
      <c r="AC105" s="7545"/>
      <c r="AD105" s="17">
        <v>5656.77</v>
      </c>
      <c r="AE105" s="7549"/>
      <c r="AF105" s="60">
        <f>+AB105+AD105</f>
        <v>37732.676999999996</v>
      </c>
      <c r="AG105" s="7545"/>
      <c r="AH105" s="17">
        <v>5343.03</v>
      </c>
      <c r="AI105" s="7549"/>
      <c r="AJ105" s="60">
        <f>+AF105+AH105</f>
        <v>43075.706999999995</v>
      </c>
      <c r="AK105" s="7545"/>
      <c r="AL105" s="17">
        <v>7007.0103870967732</v>
      </c>
      <c r="AM105" s="7547"/>
      <c r="AN105" s="81">
        <f>+AD105+AH105+AL105</f>
        <v>18006.810387096772</v>
      </c>
      <c r="AO105" s="7549"/>
      <c r="AP105" s="712">
        <f t="shared" ref="AP105" si="511">AJ105+AL105</f>
        <v>50082.717387096767</v>
      </c>
      <c r="AQ105" s="7545"/>
      <c r="AR105" s="17">
        <v>7223.579999999999</v>
      </c>
      <c r="AS105" s="7549"/>
      <c r="AT105" s="60">
        <f>+AP105+AR105</f>
        <v>57306.297387096769</v>
      </c>
      <c r="AU105" s="7559"/>
      <c r="AV105" s="17">
        <v>5047.1315999999997</v>
      </c>
      <c r="AW105" s="7549"/>
      <c r="AX105" s="60">
        <f>+AT105+AV105</f>
        <v>62353.42898709677</v>
      </c>
      <c r="AY105" s="7559"/>
      <c r="AZ105" s="17">
        <v>5741.8</v>
      </c>
      <c r="BA105" s="7547"/>
      <c r="BB105" s="81">
        <f>+AR105+AV105+AZ105</f>
        <v>18012.511599999998</v>
      </c>
      <c r="BC105" s="7551"/>
      <c r="BD105" s="2679">
        <f>+AN105+BB105</f>
        <v>36019.321987096773</v>
      </c>
      <c r="BE105" s="7549"/>
      <c r="BF105" s="5106">
        <f t="shared" ref="BF105" si="512">AX105+AZ105</f>
        <v>68095.228987096765</v>
      </c>
      <c r="BG105" s="1137">
        <f t="shared" si="284"/>
        <v>6269.3491124260345</v>
      </c>
      <c r="BH105" s="1137">
        <f t="shared" si="285"/>
        <v>0</v>
      </c>
      <c r="BI105" s="1137"/>
      <c r="BJ105" s="1137">
        <f t="shared" si="311"/>
        <v>0</v>
      </c>
      <c r="BK105" s="1137">
        <f t="shared" si="312"/>
        <v>0</v>
      </c>
      <c r="BL105" s="25"/>
      <c r="BM105" s="25"/>
      <c r="BN105" s="25"/>
    </row>
    <row r="106" spans="1:66" ht="16.5" thickBot="1" x14ac:dyDescent="0.3">
      <c r="A106" s="138"/>
      <c r="B106" s="1740" t="s">
        <v>11</v>
      </c>
      <c r="C106" s="7576" t="s">
        <v>50</v>
      </c>
      <c r="D106" s="7577">
        <f>+D104+D105</f>
        <v>689635.10983375588</v>
      </c>
      <c r="E106" s="7577">
        <f>+E104+E105</f>
        <v>57557.690992767908</v>
      </c>
      <c r="F106" s="7577">
        <f>+F104+F105</f>
        <v>55565.999999999993</v>
      </c>
      <c r="G106" s="668" t="e">
        <f>+G104+#REF!+G105+#REF!</f>
        <v>#REF!</v>
      </c>
      <c r="H106" s="377" t="e">
        <f>+H104+#REF!+H105+#REF!</f>
        <v>#REF!</v>
      </c>
      <c r="I106" s="2372" t="e">
        <f>+I104+#REF!+I105+#REF!</f>
        <v>#REF!</v>
      </c>
      <c r="J106" s="2372" t="e">
        <f>+J104+#REF!+J105+#REF!</f>
        <v>#REF!</v>
      </c>
      <c r="K106" s="429" t="e">
        <f>+K104+#REF!+K105+#REF!</f>
        <v>#REF!</v>
      </c>
      <c r="L106" s="377" t="e">
        <f>+L104+#REF!+L105+#REF!</f>
        <v>#REF!</v>
      </c>
      <c r="M106" s="331" t="e">
        <f>+M104+#REF!+M105+#REF!</f>
        <v>#REF!</v>
      </c>
      <c r="N106" s="65" t="e">
        <f>+N104+#REF!+N105+#REF!</f>
        <v>#REF!</v>
      </c>
      <c r="O106" s="429" t="e">
        <f>+O104+#REF!+O105+#REF!</f>
        <v>#REF!</v>
      </c>
      <c r="P106" s="377" t="e">
        <f>+P104+#REF!+P105+#REF!</f>
        <v>#REF!</v>
      </c>
      <c r="Q106" s="2372" t="e">
        <f>+Q104+#REF!+Q105+#REF!</f>
        <v>#REF!</v>
      </c>
      <c r="R106" s="2372" t="e">
        <f>+R104+#REF!+R105+#REF!</f>
        <v>#REF!</v>
      </c>
      <c r="S106" s="429" t="e">
        <f>+S104+#REF!+S105+#REF!</f>
        <v>#REF!</v>
      </c>
      <c r="T106" s="377" t="e">
        <f>+T104+#REF!+T105+#REF!</f>
        <v>#REF!</v>
      </c>
      <c r="U106" s="2372" t="e">
        <f>+U104+#REF!+U105+#REF!</f>
        <v>#REF!</v>
      </c>
      <c r="V106" s="2372" t="e">
        <f>+V104+#REF!+V105+#REF!</f>
        <v>#REF!</v>
      </c>
      <c r="W106" s="429" t="e">
        <f>+W104+#REF!+W105+#REF!</f>
        <v>#REF!</v>
      </c>
      <c r="X106" s="377" t="e">
        <f>+X104+#REF!+X105+#REF!</f>
        <v>#REF!</v>
      </c>
      <c r="Y106" s="1107" t="e">
        <f>+Y104+#REF!+Y105+#REF!</f>
        <v>#REF!</v>
      </c>
      <c r="Z106" s="1107" t="e">
        <f>+Z104+#REF!+Z105+#REF!</f>
        <v>#REF!</v>
      </c>
      <c r="AA106" s="1108" t="e">
        <f>+AA104+#REF!+AA105+#REF!</f>
        <v>#REF!</v>
      </c>
      <c r="AB106" s="434" t="e">
        <f>+AB104+#REF!+AB105+#REF!</f>
        <v>#REF!</v>
      </c>
      <c r="AC106" s="429" t="e">
        <f>+AC104+#REF!+AC105+#REF!</f>
        <v>#REF!</v>
      </c>
      <c r="AD106" s="377" t="e">
        <f>+AD104+#REF!+AD105+#REF!</f>
        <v>#REF!</v>
      </c>
      <c r="AE106" s="2372" t="e">
        <f>+AE104+#REF!+AE105+#REF!</f>
        <v>#REF!</v>
      </c>
      <c r="AF106" s="377" t="e">
        <f>+AF104+#REF!+AF105+#REF!</f>
        <v>#REF!</v>
      </c>
      <c r="AG106" s="429" t="e">
        <f>+AG104+#REF!+AG105+#REF!</f>
        <v>#REF!</v>
      </c>
      <c r="AH106" s="377" t="e">
        <f>+AH104+#REF!+AH105+#REF!</f>
        <v>#REF!</v>
      </c>
      <c r="AI106" s="2372" t="e">
        <f>+AI104+#REF!+AI105+#REF!</f>
        <v>#REF!</v>
      </c>
      <c r="AJ106" s="377" t="e">
        <f>+AJ104+#REF!+AJ105+#REF!</f>
        <v>#REF!</v>
      </c>
      <c r="AK106" s="429" t="e">
        <f>+AK104+#REF!+AK105+#REF!</f>
        <v>#REF!</v>
      </c>
      <c r="AL106" s="377" t="e">
        <f>+AL104+#REF!+AL105+#REF!</f>
        <v>#REF!</v>
      </c>
      <c r="AM106" s="1107" t="e">
        <f>+AM104+#REF!+AM105+#REF!</f>
        <v>#REF!</v>
      </c>
      <c r="AN106" s="1107" t="e">
        <f>+AN104+#REF!+AN105+#REF!</f>
        <v>#REF!</v>
      </c>
      <c r="AO106" s="2372" t="e">
        <f>+AO104+#REF!+AO105+#REF!</f>
        <v>#REF!</v>
      </c>
      <c r="AP106" s="377" t="e">
        <f>+AP104+#REF!+AP105+#REF!</f>
        <v>#REF!</v>
      </c>
      <c r="AQ106" s="429" t="e">
        <f>+AQ104+#REF!+AQ105+#REF!</f>
        <v>#REF!</v>
      </c>
      <c r="AR106" s="377" t="e">
        <f>+AR104+#REF!+AR105+#REF!</f>
        <v>#REF!</v>
      </c>
      <c r="AS106" s="2372" t="e">
        <f>+AS104+#REF!+AS105+#REF!</f>
        <v>#REF!</v>
      </c>
      <c r="AT106" s="377" t="e">
        <f>+AT104+#REF!+AT105+#REF!</f>
        <v>#REF!</v>
      </c>
      <c r="AU106" s="429" t="e">
        <f>+AU104+#REF!+AU105+#REF!</f>
        <v>#REF!</v>
      </c>
      <c r="AV106" s="377" t="e">
        <f>+AV104+#REF!+AV105+#REF!</f>
        <v>#REF!</v>
      </c>
      <c r="AW106" s="2372" t="e">
        <f>+AW104+#REF!+AW105+#REF!</f>
        <v>#REF!</v>
      </c>
      <c r="AX106" s="377" t="e">
        <f>+AX104+#REF!+AX105+#REF!</f>
        <v>#REF!</v>
      </c>
      <c r="AY106" s="429" t="e">
        <f>+AY104+#REF!+AY105+#REF!</f>
        <v>#REF!</v>
      </c>
      <c r="AZ106" s="377" t="e">
        <f>+AZ104+#REF!+AZ105+#REF!</f>
        <v>#REF!</v>
      </c>
      <c r="BA106" s="1107" t="e">
        <f>+BA104+#REF!+BA105+#REF!</f>
        <v>#REF!</v>
      </c>
      <c r="BB106" s="1107" t="e">
        <f>+BB104+#REF!+BB105+#REF!</f>
        <v>#REF!</v>
      </c>
      <c r="BC106" s="1108" t="e">
        <f>+BC104+#REF!+BC105+#REF!</f>
        <v>#REF!</v>
      </c>
      <c r="BD106" s="434" t="e">
        <f>+BD104+#REF!+BD105+#REF!</f>
        <v>#REF!</v>
      </c>
      <c r="BE106" s="2372" t="e">
        <f>+BE104+#REF!+BE105+#REF!</f>
        <v>#REF!</v>
      </c>
      <c r="BF106" s="377" t="e">
        <f>+BF104+#REF!+BF105+#REF!</f>
        <v>#REF!</v>
      </c>
      <c r="BG106" s="1137" t="e">
        <f t="shared" si="284"/>
        <v>#REF!</v>
      </c>
      <c r="BH106" s="1137" t="e">
        <f t="shared" si="285"/>
        <v>#REF!</v>
      </c>
      <c r="BI106" s="1137"/>
      <c r="BJ106" s="1137" t="e">
        <f t="shared" si="311"/>
        <v>#REF!</v>
      </c>
      <c r="BK106" s="1137" t="e">
        <f t="shared" si="312"/>
        <v>#REF!</v>
      </c>
      <c r="BL106" s="25"/>
      <c r="BM106" s="25"/>
      <c r="BN106" s="25"/>
    </row>
    <row r="107" spans="1:66" ht="19.5" thickBot="1" x14ac:dyDescent="0.35">
      <c r="B107" s="1739" t="s">
        <v>192</v>
      </c>
      <c r="C107" s="1750"/>
      <c r="D107" s="1109"/>
      <c r="E107" s="1235"/>
      <c r="F107" s="1236"/>
      <c r="G107" s="1235"/>
      <c r="H107" s="1236"/>
      <c r="I107" s="505"/>
      <c r="J107" s="505"/>
      <c r="K107" s="1235"/>
      <c r="L107" s="1236"/>
      <c r="M107" s="1235"/>
      <c r="N107" s="1236"/>
      <c r="O107" s="1235"/>
      <c r="P107" s="1236"/>
      <c r="Q107" s="505"/>
      <c r="R107" s="505"/>
      <c r="S107" s="1235"/>
      <c r="T107" s="1236"/>
      <c r="U107" s="505"/>
      <c r="V107" s="505"/>
      <c r="W107" s="1235"/>
      <c r="X107" s="1236"/>
      <c r="Y107" s="505"/>
      <c r="Z107" s="505"/>
      <c r="AA107" s="2344"/>
      <c r="AB107" s="505"/>
      <c r="AC107" s="1235"/>
      <c r="AD107" s="1236"/>
      <c r="AE107" s="505"/>
      <c r="AF107" s="505"/>
      <c r="AG107" s="1235"/>
      <c r="AH107" s="1236"/>
      <c r="AI107" s="505"/>
      <c r="AJ107" s="505"/>
      <c r="AK107" s="1235"/>
      <c r="AL107" s="1236"/>
      <c r="AM107" s="505"/>
      <c r="AN107" s="505"/>
      <c r="AO107" s="505"/>
      <c r="AP107" s="505"/>
      <c r="AQ107" s="1235"/>
      <c r="AR107" s="1236"/>
      <c r="AS107" s="505"/>
      <c r="AT107" s="505"/>
      <c r="AU107" s="1235"/>
      <c r="AV107" s="1236"/>
      <c r="AW107" s="505"/>
      <c r="AX107" s="505"/>
      <c r="AY107" s="1235"/>
      <c r="AZ107" s="1236"/>
      <c r="BA107" s="505"/>
      <c r="BB107" s="505"/>
      <c r="BC107" s="2344"/>
      <c r="BD107" s="505"/>
      <c r="BE107" s="505"/>
      <c r="BF107" s="505"/>
      <c r="BG107" s="1137">
        <f t="shared" si="284"/>
        <v>0</v>
      </c>
      <c r="BH107" s="1137">
        <f t="shared" si="285"/>
        <v>0</v>
      </c>
      <c r="BI107" s="1137"/>
      <c r="BJ107" s="1137">
        <f t="shared" si="311"/>
        <v>0</v>
      </c>
      <c r="BK107" s="1137">
        <f t="shared" si="312"/>
        <v>0</v>
      </c>
      <c r="BL107" s="25"/>
      <c r="BM107" s="25"/>
      <c r="BN107" s="25"/>
    </row>
    <row r="108" spans="1:66" ht="14.25" customHeight="1" x14ac:dyDescent="0.25">
      <c r="B108" s="1648" t="s">
        <v>1922</v>
      </c>
      <c r="C108" s="728" t="s">
        <v>50</v>
      </c>
      <c r="D108" s="425">
        <v>510388.68754074071</v>
      </c>
      <c r="E108" s="345">
        <v>41469.967179487183</v>
      </c>
      <c r="F108" s="85">
        <v>40028.942000000003</v>
      </c>
      <c r="G108" s="345">
        <v>52430.167521367519</v>
      </c>
      <c r="H108" s="85">
        <v>46100.01</v>
      </c>
      <c r="I108" s="1047">
        <f t="shared" ref="I108:J112" si="513">+E108+G108</f>
        <v>93900.134700854702</v>
      </c>
      <c r="J108" s="60">
        <f t="shared" si="513"/>
        <v>86128.952000000005</v>
      </c>
      <c r="K108" s="345">
        <v>50738.871794871797</v>
      </c>
      <c r="L108" s="85">
        <v>45062.68</v>
      </c>
      <c r="M108" s="670">
        <f t="shared" ref="M108:N110" si="514">+E108+G108+K108</f>
        <v>144639.0064957265</v>
      </c>
      <c r="N108" s="71">
        <f t="shared" si="514"/>
        <v>131191.63200000001</v>
      </c>
      <c r="O108" s="345">
        <v>52430.167521367519</v>
      </c>
      <c r="P108" s="85">
        <v>46816.98</v>
      </c>
      <c r="Q108" s="1047">
        <f t="shared" ref="Q108:R110" si="515">+M108+O108</f>
        <v>197069.17401709402</v>
      </c>
      <c r="R108" s="60">
        <f t="shared" si="515"/>
        <v>178008.61200000002</v>
      </c>
      <c r="S108" s="345">
        <v>52430.167521367519</v>
      </c>
      <c r="T108" s="85">
        <v>46588.159</v>
      </c>
      <c r="U108" s="1047">
        <f t="shared" ref="U108:U112" si="516">+Q108+S108</f>
        <v>249499.34153846154</v>
      </c>
      <c r="V108" s="60">
        <f t="shared" ref="V108:V112" si="517">+R108+T108</f>
        <v>224596.77100000001</v>
      </c>
      <c r="W108" s="345">
        <v>48409.025641025641</v>
      </c>
      <c r="X108" s="85">
        <v>45199.972000000002</v>
      </c>
      <c r="Y108" s="713">
        <f t="shared" ref="Y108:Z113" si="518">+O108+S108+W108</f>
        <v>153269.36068376066</v>
      </c>
      <c r="Z108" s="81">
        <f t="shared" si="518"/>
        <v>138605.111</v>
      </c>
      <c r="AA108" s="2242">
        <f t="shared" ref="AA108:AB120" si="519">+M108+Y108</f>
        <v>297908.36717948713</v>
      </c>
      <c r="AB108" s="2242">
        <f t="shared" si="519"/>
        <v>269796.74300000002</v>
      </c>
      <c r="AC108" s="345">
        <v>52430.167521367519</v>
      </c>
      <c r="AD108" s="85">
        <v>45962.712</v>
      </c>
      <c r="AE108" s="1047">
        <f t="shared" ref="AE108:AE113" si="520">+AA108+AC108</f>
        <v>350338.53470085468</v>
      </c>
      <c r="AF108" s="60">
        <f t="shared" ref="AF108:AF113" si="521">+AB108+AD108</f>
        <v>315759.45500000002</v>
      </c>
      <c r="AG108" s="345">
        <v>50738.871794871797</v>
      </c>
      <c r="AH108" s="85">
        <v>45154.207999999999</v>
      </c>
      <c r="AI108" s="1047">
        <f t="shared" ref="AI108:AI113" si="522">+AE108+AG108</f>
        <v>401077.40649572649</v>
      </c>
      <c r="AJ108" s="60">
        <f t="shared" ref="AJ108:AJ113" si="523">+AF108+AH108</f>
        <v>360913.663</v>
      </c>
      <c r="AK108" s="345">
        <v>52430.167521367519</v>
      </c>
      <c r="AL108" s="85">
        <v>46695.386813186793</v>
      </c>
      <c r="AM108" s="713">
        <f t="shared" ref="AM108:AM113" si="524">+AC108+AG108+AK108</f>
        <v>155599.20683760685</v>
      </c>
      <c r="AN108" s="81">
        <f t="shared" ref="AN108:AN113" si="525">+AD108+AH108+AL108</f>
        <v>137812.30681318679</v>
      </c>
      <c r="AO108" s="712">
        <f t="shared" ref="AO108:AP108" si="526">AI108+AK108</f>
        <v>453507.57401709398</v>
      </c>
      <c r="AP108" s="712">
        <f t="shared" si="526"/>
        <v>407609.04981318681</v>
      </c>
      <c r="AQ108" s="345">
        <v>52430.167521367519</v>
      </c>
      <c r="AR108" s="85">
        <v>46283.063000000002</v>
      </c>
      <c r="AS108" s="1047">
        <f t="shared" ref="AS108:AS113" si="527">+AO108+AQ108</f>
        <v>505937.74153846153</v>
      </c>
      <c r="AT108" s="60">
        <f t="shared" ref="AT108:AT113" si="528">+AP108+AR108</f>
        <v>453892.11281318683</v>
      </c>
      <c r="AU108" s="345">
        <v>47356.280341880338</v>
      </c>
      <c r="AV108" s="85">
        <v>41874.425999999999</v>
      </c>
      <c r="AW108" s="1047">
        <f t="shared" ref="AW108:AW113" si="529">+AS108+AU108</f>
        <v>553294.02188034193</v>
      </c>
      <c r="AX108" s="60">
        <f t="shared" ref="AX108:AX113" si="530">+AT108+AV108</f>
        <v>495766.53881318681</v>
      </c>
      <c r="AY108" s="345">
        <v>52430.167521367519</v>
      </c>
      <c r="AZ108" s="85">
        <v>43795.144</v>
      </c>
      <c r="BA108" s="713">
        <f t="shared" ref="BA108:BA110" si="531">+AQ108+AU108+AY108</f>
        <v>152216.61538461538</v>
      </c>
      <c r="BB108" s="81">
        <f t="shared" ref="BB108:BB110" si="532">+AR108+AV108+AZ108</f>
        <v>131952.633</v>
      </c>
      <c r="BC108" s="2679">
        <f t="shared" ref="BC108:BC113" si="533">+AM108+BA108</f>
        <v>307815.82222222222</v>
      </c>
      <c r="BD108" s="2679">
        <f t="shared" ref="BD108:BD113" si="534">+AN108+BB108</f>
        <v>269764.93981318676</v>
      </c>
      <c r="BE108" s="5106">
        <f t="shared" ref="BE108:BE113" si="535">AW108+AY108</f>
        <v>605724.18940170947</v>
      </c>
      <c r="BF108" s="5106">
        <f t="shared" ref="BF108:BF113" si="536">AX108+AZ108</f>
        <v>539561.68281318678</v>
      </c>
      <c r="BG108" s="1137">
        <f t="shared" si="284"/>
        <v>0</v>
      </c>
      <c r="BH108" s="1137">
        <f t="shared" si="285"/>
        <v>0</v>
      </c>
      <c r="BI108" s="1137"/>
      <c r="BJ108" s="1137">
        <f t="shared" si="311"/>
        <v>0</v>
      </c>
      <c r="BK108" s="1137">
        <f t="shared" si="312"/>
        <v>0</v>
      </c>
      <c r="BL108" s="25"/>
      <c r="BM108" s="25"/>
      <c r="BN108" s="25"/>
    </row>
    <row r="109" spans="1:66" x14ac:dyDescent="0.25">
      <c r="B109" s="1648" t="s">
        <v>583</v>
      </c>
      <c r="C109" s="728" t="s">
        <v>50</v>
      </c>
      <c r="D109" s="422">
        <v>137215.04916296297</v>
      </c>
      <c r="E109" s="145">
        <v>11148.961025641027</v>
      </c>
      <c r="F109" s="17">
        <v>6025.6459999999997</v>
      </c>
      <c r="G109" s="5576">
        <v>10922.951566951569</v>
      </c>
      <c r="H109" s="17">
        <v>12572.73</v>
      </c>
      <c r="I109" s="1047">
        <f t="shared" si="513"/>
        <v>22071.912592592598</v>
      </c>
      <c r="J109" s="60">
        <f t="shared" si="513"/>
        <v>18598.376</v>
      </c>
      <c r="K109" s="5672">
        <v>10570.598290598291</v>
      </c>
      <c r="L109" s="17">
        <v>12289.82</v>
      </c>
      <c r="M109" s="70">
        <f t="shared" si="514"/>
        <v>32642.510883190887</v>
      </c>
      <c r="N109" s="67">
        <f t="shared" si="514"/>
        <v>30888.196</v>
      </c>
      <c r="O109" s="5828">
        <v>10922.951566951569</v>
      </c>
      <c r="P109" s="17">
        <v>1716.17</v>
      </c>
      <c r="Q109" s="1047">
        <f t="shared" si="515"/>
        <v>43565.462450142455</v>
      </c>
      <c r="R109" s="60">
        <f t="shared" si="515"/>
        <v>32604.366000000002</v>
      </c>
      <c r="S109" s="5905">
        <v>10922.951566951569</v>
      </c>
      <c r="T109" s="17">
        <v>10980.335999999999</v>
      </c>
      <c r="U109" s="1047">
        <f t="shared" si="516"/>
        <v>54488.414017094023</v>
      </c>
      <c r="V109" s="60">
        <f t="shared" si="517"/>
        <v>43584.702000000005</v>
      </c>
      <c r="W109" s="5999">
        <v>10085.213675213674</v>
      </c>
      <c r="X109" s="17">
        <v>12327.264999999999</v>
      </c>
      <c r="Y109" s="713">
        <f t="shared" si="518"/>
        <v>31931.116809116815</v>
      </c>
      <c r="Z109" s="81">
        <f t="shared" si="518"/>
        <v>25023.771000000001</v>
      </c>
      <c r="AA109" s="2242">
        <f t="shared" si="519"/>
        <v>64573.627692307702</v>
      </c>
      <c r="AB109" s="2242">
        <f t="shared" si="519"/>
        <v>55911.967000000004</v>
      </c>
      <c r="AC109" s="6130">
        <v>10922.951566951569</v>
      </c>
      <c r="AD109" s="17">
        <v>11642.186</v>
      </c>
      <c r="AE109" s="1047">
        <f t="shared" si="520"/>
        <v>75496.579259259277</v>
      </c>
      <c r="AF109" s="60">
        <f t="shared" si="521"/>
        <v>67554.153000000006</v>
      </c>
      <c r="AG109" s="6292">
        <v>10570.598290598291</v>
      </c>
      <c r="AH109" s="17">
        <v>12314.784</v>
      </c>
      <c r="AI109" s="1047">
        <f t="shared" si="522"/>
        <v>86067.177549857573</v>
      </c>
      <c r="AJ109" s="60">
        <f t="shared" si="523"/>
        <v>79868.937000000005</v>
      </c>
      <c r="AK109" s="6561">
        <v>10922.951566951569</v>
      </c>
      <c r="AL109" s="17">
        <v>403.56263736263736</v>
      </c>
      <c r="AM109" s="713">
        <f t="shared" si="524"/>
        <v>32416.501424501432</v>
      </c>
      <c r="AN109" s="81">
        <f t="shared" si="525"/>
        <v>24360.532637362638</v>
      </c>
      <c r="AO109" s="712">
        <f t="shared" ref="AO109:AP115" si="537">AI109+AK109</f>
        <v>96990.129116809141</v>
      </c>
      <c r="AP109" s="712">
        <f t="shared" ref="AP109:AP113" si="538">AJ109+AL109</f>
        <v>80272.499637362649</v>
      </c>
      <c r="AQ109" s="6638">
        <v>10922.951566951569</v>
      </c>
      <c r="AR109" s="17"/>
      <c r="AS109" s="1047">
        <f t="shared" si="527"/>
        <v>107913.08068376071</v>
      </c>
      <c r="AT109" s="60">
        <f t="shared" si="528"/>
        <v>80272.499637362649</v>
      </c>
      <c r="AU109" s="6823">
        <v>9865.8917378917376</v>
      </c>
      <c r="AV109" s="17"/>
      <c r="AW109" s="1047">
        <f t="shared" si="529"/>
        <v>117778.97242165245</v>
      </c>
      <c r="AX109" s="60">
        <f t="shared" si="530"/>
        <v>80272.499637362649</v>
      </c>
      <c r="AY109" s="6969">
        <v>10922.951566951569</v>
      </c>
      <c r="AZ109" s="17"/>
      <c r="BA109" s="713">
        <f t="shared" si="531"/>
        <v>31711.794871794875</v>
      </c>
      <c r="BB109" s="81">
        <f t="shared" si="532"/>
        <v>0</v>
      </c>
      <c r="BC109" s="2679">
        <f t="shared" si="533"/>
        <v>64128.296296296307</v>
      </c>
      <c r="BD109" s="2679">
        <f t="shared" si="534"/>
        <v>24360.532637362638</v>
      </c>
      <c r="BE109" s="5106">
        <f t="shared" si="535"/>
        <v>128701.92398860402</v>
      </c>
      <c r="BF109" s="5106">
        <f t="shared" si="536"/>
        <v>80272.499637362649</v>
      </c>
      <c r="BG109" s="1137">
        <f t="shared" si="284"/>
        <v>0</v>
      </c>
      <c r="BH109" s="1137">
        <f t="shared" si="285"/>
        <v>0</v>
      </c>
      <c r="BI109" s="1137"/>
      <c r="BJ109" s="1137">
        <f t="shared" si="311"/>
        <v>0</v>
      </c>
      <c r="BK109" s="1137">
        <f t="shared" si="312"/>
        <v>0</v>
      </c>
      <c r="BL109" s="25"/>
      <c r="BM109" s="25"/>
      <c r="BN109" s="25"/>
    </row>
    <row r="110" spans="1:66" x14ac:dyDescent="0.25">
      <c r="B110" s="1648" t="s">
        <v>2326</v>
      </c>
      <c r="C110" s="728" t="s">
        <v>50</v>
      </c>
      <c r="D110" s="422">
        <v>19235.754555555555</v>
      </c>
      <c r="E110" s="145">
        <v>1562.9384615384618</v>
      </c>
      <c r="F110" s="17"/>
      <c r="G110" s="5576">
        <v>2730.7378917378924</v>
      </c>
      <c r="H110" s="17"/>
      <c r="I110" s="1047">
        <f t="shared" si="513"/>
        <v>4293.6763532763543</v>
      </c>
      <c r="J110" s="60">
        <f t="shared" si="513"/>
        <v>0</v>
      </c>
      <c r="K110" s="5672">
        <v>2642.6495726495727</v>
      </c>
      <c r="L110" s="17"/>
      <c r="M110" s="70">
        <f t="shared" si="514"/>
        <v>6936.3259259259266</v>
      </c>
      <c r="N110" s="67">
        <f t="shared" si="514"/>
        <v>0</v>
      </c>
      <c r="O110" s="5828">
        <v>2730.7378917378924</v>
      </c>
      <c r="P110" s="17">
        <v>14415.79</v>
      </c>
      <c r="Q110" s="1047">
        <f t="shared" si="515"/>
        <v>9667.0638176638186</v>
      </c>
      <c r="R110" s="60">
        <f t="shared" si="515"/>
        <v>14415.79</v>
      </c>
      <c r="S110" s="5905">
        <v>2730.7378917378924</v>
      </c>
      <c r="T110" s="17">
        <v>8705.6370000000006</v>
      </c>
      <c r="U110" s="1047">
        <f t="shared" si="516"/>
        <v>12397.80170940171</v>
      </c>
      <c r="V110" s="60">
        <f t="shared" si="517"/>
        <v>23121.427000000003</v>
      </c>
      <c r="W110" s="5999">
        <v>2521.3034188034185</v>
      </c>
      <c r="X110" s="17">
        <v>15409.082</v>
      </c>
      <c r="Y110" s="713">
        <f t="shared" si="518"/>
        <v>7982.7792022792037</v>
      </c>
      <c r="Z110" s="81">
        <f t="shared" si="518"/>
        <v>38530.509000000005</v>
      </c>
      <c r="AA110" s="2242">
        <f t="shared" si="519"/>
        <v>14919.10512820513</v>
      </c>
      <c r="AB110" s="2242">
        <f t="shared" si="519"/>
        <v>38530.509000000005</v>
      </c>
      <c r="AC110" s="6130">
        <v>2730.7378917378924</v>
      </c>
      <c r="AD110" s="17">
        <v>15413.934999999999</v>
      </c>
      <c r="AE110" s="1047">
        <f t="shared" si="520"/>
        <v>17649.843019943022</v>
      </c>
      <c r="AF110" s="60">
        <f t="shared" si="521"/>
        <v>53944.444000000003</v>
      </c>
      <c r="AG110" s="6292">
        <v>2642.6495726495727</v>
      </c>
      <c r="AH110" s="17">
        <v>10276.188</v>
      </c>
      <c r="AI110" s="1047">
        <f t="shared" si="522"/>
        <v>20292.492592592596</v>
      </c>
      <c r="AJ110" s="60">
        <f t="shared" si="523"/>
        <v>64220.632000000005</v>
      </c>
      <c r="AK110" s="6561">
        <v>2730.7378917378924</v>
      </c>
      <c r="AL110" s="17"/>
      <c r="AM110" s="713">
        <f t="shared" si="524"/>
        <v>8104.1253561253579</v>
      </c>
      <c r="AN110" s="81">
        <f t="shared" si="525"/>
        <v>25690.123</v>
      </c>
      <c r="AO110" s="712">
        <f t="shared" si="537"/>
        <v>23023.230484330488</v>
      </c>
      <c r="AP110" s="712">
        <f t="shared" si="538"/>
        <v>64220.632000000005</v>
      </c>
      <c r="AQ110" s="6638">
        <v>2730.7378917378924</v>
      </c>
      <c r="AR110" s="17">
        <v>11175.875</v>
      </c>
      <c r="AS110" s="1047">
        <f t="shared" si="527"/>
        <v>25753.96837606838</v>
      </c>
      <c r="AT110" s="60">
        <f t="shared" si="528"/>
        <v>75396.507000000012</v>
      </c>
      <c r="AU110" s="6823">
        <v>2466.4729344729344</v>
      </c>
      <c r="AV110" s="17">
        <v>9662.5290000000005</v>
      </c>
      <c r="AW110" s="1047">
        <f t="shared" si="529"/>
        <v>28220.441310541315</v>
      </c>
      <c r="AX110" s="60">
        <f t="shared" si="530"/>
        <v>85059.036000000007</v>
      </c>
      <c r="AY110" s="6969">
        <v>2730.7378917378924</v>
      </c>
      <c r="AZ110" s="17"/>
      <c r="BA110" s="713">
        <f t="shared" si="531"/>
        <v>7927.9487179487187</v>
      </c>
      <c r="BB110" s="81">
        <f t="shared" si="532"/>
        <v>20838.404000000002</v>
      </c>
      <c r="BC110" s="2679">
        <f t="shared" si="533"/>
        <v>16032.074074074077</v>
      </c>
      <c r="BD110" s="2679">
        <f t="shared" si="534"/>
        <v>46528.527000000002</v>
      </c>
      <c r="BE110" s="5106">
        <f t="shared" si="535"/>
        <v>30951.179202279207</v>
      </c>
      <c r="BF110" s="5106">
        <f t="shared" si="536"/>
        <v>85059.036000000007</v>
      </c>
      <c r="BG110" s="1137">
        <f t="shared" si="284"/>
        <v>0</v>
      </c>
      <c r="BH110" s="1137">
        <f t="shared" si="285"/>
        <v>0</v>
      </c>
      <c r="BI110" s="1137"/>
      <c r="BJ110" s="1137">
        <f t="shared" si="311"/>
        <v>0</v>
      </c>
      <c r="BK110" s="1137">
        <f t="shared" si="312"/>
        <v>0</v>
      </c>
      <c r="BL110" s="25"/>
      <c r="BM110" s="25"/>
      <c r="BN110" s="25"/>
    </row>
    <row r="111" spans="1:66" x14ac:dyDescent="0.25">
      <c r="B111" s="5068" t="s">
        <v>10</v>
      </c>
      <c r="C111" s="5069" t="s">
        <v>50</v>
      </c>
      <c r="D111" s="5070">
        <v>64119.181851851856</v>
      </c>
      <c r="E111" s="5049">
        <v>5209.7948717948721</v>
      </c>
      <c r="F111" s="4714">
        <v>4307.7479999999996</v>
      </c>
      <c r="G111" s="5581">
        <v>2730.7378917378924</v>
      </c>
      <c r="H111" s="4714"/>
      <c r="I111" s="1047">
        <f t="shared" ref="I111" si="539">+E111+G111</f>
        <v>7940.5327635327649</v>
      </c>
      <c r="J111" s="60">
        <f t="shared" ref="J111" si="540">+F111+H111</f>
        <v>4307.7479999999996</v>
      </c>
      <c r="K111" s="5685">
        <v>2642.6495726495727</v>
      </c>
      <c r="L111" s="4714"/>
      <c r="M111" s="5674">
        <f t="shared" ref="M111" si="541">+E111+G111+K111</f>
        <v>10583.182336182337</v>
      </c>
      <c r="N111" s="67">
        <f t="shared" ref="N111" si="542">+F111+H111+L111</f>
        <v>4307.7479999999996</v>
      </c>
      <c r="O111" s="5842">
        <v>2730.7378917378924</v>
      </c>
      <c r="P111" s="4714">
        <v>10708.87</v>
      </c>
      <c r="Q111" s="1047">
        <f t="shared" ref="Q111" si="543">+M111+O111</f>
        <v>13313.920227920229</v>
      </c>
      <c r="R111" s="60">
        <f t="shared" ref="R111" si="544">+N111+P111</f>
        <v>15016.618</v>
      </c>
      <c r="S111" s="5911">
        <v>2730.7378917378924</v>
      </c>
      <c r="T111" s="4714">
        <v>1210.6759999999999</v>
      </c>
      <c r="U111" s="1047">
        <f t="shared" ref="U111" si="545">+Q111+S111</f>
        <v>16044.658119658121</v>
      </c>
      <c r="V111" s="60">
        <f t="shared" ref="V111" si="546">+R111+T111</f>
        <v>16227.294</v>
      </c>
      <c r="W111" s="6011">
        <v>2521.3034188034185</v>
      </c>
      <c r="X111" s="4714"/>
      <c r="Y111" s="713">
        <f t="shared" ref="Y111" si="547">+O111+S111+W111</f>
        <v>7982.7792022792037</v>
      </c>
      <c r="Z111" s="81">
        <f t="shared" ref="Z111" si="548">+P111+T111+X111</f>
        <v>11919.546</v>
      </c>
      <c r="AA111" s="5673">
        <f t="shared" ref="AA111" si="549">+M111+Y111</f>
        <v>18565.961538461539</v>
      </c>
      <c r="AB111" s="5673">
        <f t="shared" ref="AB111" si="550">+N111+Z111</f>
        <v>16227.294</v>
      </c>
      <c r="AC111" s="6142">
        <v>2730.7378917378924</v>
      </c>
      <c r="AD111" s="4714"/>
      <c r="AE111" s="1047">
        <f t="shared" ref="AE111" si="551">+AA111+AC111</f>
        <v>21296.699430199431</v>
      </c>
      <c r="AF111" s="60">
        <f t="shared" ref="AF111" si="552">+AB111+AD111</f>
        <v>16227.294</v>
      </c>
      <c r="AG111" s="6304">
        <v>2642.6495726495727</v>
      </c>
      <c r="AH111" s="4714"/>
      <c r="AI111" s="1047">
        <f t="shared" ref="AI111" si="553">+AE111+AG111</f>
        <v>23939.349002849005</v>
      </c>
      <c r="AJ111" s="60">
        <f t="shared" ref="AJ111" si="554">+AF111+AH111</f>
        <v>16227.294</v>
      </c>
      <c r="AK111" s="6566">
        <v>2730.7378917378924</v>
      </c>
      <c r="AL111" s="4714">
        <v>12331.542857142855</v>
      </c>
      <c r="AM111" s="713">
        <f t="shared" ref="AM111" si="555">+AC111+AG111+AK111</f>
        <v>8104.1253561253579</v>
      </c>
      <c r="AN111" s="81">
        <f t="shared" ref="AN111" si="556">+AD111+AH111+AL111</f>
        <v>12331.542857142855</v>
      </c>
      <c r="AO111" s="712">
        <f t="shared" ref="AO111" si="557">AI111+AK111</f>
        <v>26670.086894586897</v>
      </c>
      <c r="AP111" s="712">
        <f t="shared" ref="AP111" si="558">AJ111+AL111</f>
        <v>28558.836857142855</v>
      </c>
      <c r="AQ111" s="6647">
        <v>2730.7378917378924</v>
      </c>
      <c r="AR111" s="4714">
        <v>11570.766</v>
      </c>
      <c r="AS111" s="1047">
        <f t="shared" ref="AS111" si="559">+AO111+AQ111</f>
        <v>29400.824786324789</v>
      </c>
      <c r="AT111" s="60">
        <f t="shared" ref="AT111" si="560">+AP111+AR111</f>
        <v>40129.602857142854</v>
      </c>
      <c r="AU111" s="6823">
        <v>2466.4729344729344</v>
      </c>
      <c r="AV111" s="4714">
        <v>10776.129000000001</v>
      </c>
      <c r="AW111" s="1047">
        <f t="shared" ref="AW111" si="561">+AS111+AU111</f>
        <v>31867.297720797724</v>
      </c>
      <c r="AX111" s="60">
        <f t="shared" ref="AX111" si="562">+AT111+AV111</f>
        <v>50905.731857142855</v>
      </c>
      <c r="AY111" s="6969">
        <v>2730.7378917378924</v>
      </c>
      <c r="AZ111" s="4714">
        <v>15595.953</v>
      </c>
      <c r="BA111" s="713">
        <f t="shared" ref="BA111" si="563">+AQ111+AU111+AY111</f>
        <v>7927.9487179487187</v>
      </c>
      <c r="BB111" s="81">
        <f t="shared" ref="BB111" si="564">+AR111+AV111+AZ111</f>
        <v>37942.847999999998</v>
      </c>
      <c r="BC111" s="2679">
        <f t="shared" ref="BC111" si="565">+AM111+BA111</f>
        <v>16032.074074074077</v>
      </c>
      <c r="BD111" s="2679">
        <f t="shared" ref="BD111" si="566">+AN111+BB111</f>
        <v>50274.390857142855</v>
      </c>
      <c r="BE111" s="5681">
        <f t="shared" ref="BE111" si="567">AW111+AY111</f>
        <v>34598.035612535619</v>
      </c>
      <c r="BF111" s="5681">
        <f t="shared" ref="BF111" si="568">AX111+AZ111</f>
        <v>66501.684857142856</v>
      </c>
      <c r="BG111" s="1137">
        <f t="shared" si="284"/>
        <v>0</v>
      </c>
      <c r="BH111" s="1137">
        <f t="shared" si="285"/>
        <v>0</v>
      </c>
      <c r="BI111" s="1137"/>
      <c r="BJ111" s="1137">
        <f t="shared" si="311"/>
        <v>0</v>
      </c>
      <c r="BK111" s="1137">
        <f t="shared" si="312"/>
        <v>0</v>
      </c>
      <c r="BL111" s="25"/>
      <c r="BM111" s="25"/>
      <c r="BN111" s="25"/>
    </row>
    <row r="112" spans="1:66" x14ac:dyDescent="0.25">
      <c r="B112" s="1648" t="s">
        <v>1923</v>
      </c>
      <c r="C112" s="728" t="s">
        <v>50</v>
      </c>
      <c r="D112" s="1068">
        <v>76943.018222222221</v>
      </c>
      <c r="E112" s="1227">
        <v>6251.753846153847</v>
      </c>
      <c r="F112" s="118">
        <v>12688.527</v>
      </c>
      <c r="G112" s="5581"/>
      <c r="H112" s="118"/>
      <c r="I112" s="1047">
        <f t="shared" si="513"/>
        <v>6251.753846153847</v>
      </c>
      <c r="J112" s="60">
        <f t="shared" si="513"/>
        <v>12688.527</v>
      </c>
      <c r="K112" s="5685"/>
      <c r="L112" s="118"/>
      <c r="M112" s="70">
        <f t="shared" ref="M112" si="569">+E112+G112+K112</f>
        <v>6251.753846153847</v>
      </c>
      <c r="N112" s="67">
        <f t="shared" ref="N112" si="570">+F112+H112+L112</f>
        <v>12688.527</v>
      </c>
      <c r="O112" s="5842"/>
      <c r="P112" s="118">
        <v>343.23</v>
      </c>
      <c r="Q112" s="1047">
        <f t="shared" ref="Q112" si="571">+M112+O112</f>
        <v>6251.753846153847</v>
      </c>
      <c r="R112" s="60">
        <f t="shared" ref="R112" si="572">+N112+P112</f>
        <v>13031.757</v>
      </c>
      <c r="S112" s="5911"/>
      <c r="T112" s="118">
        <v>514.85</v>
      </c>
      <c r="U112" s="1047">
        <f t="shared" si="516"/>
        <v>6251.753846153847</v>
      </c>
      <c r="V112" s="60">
        <f t="shared" si="517"/>
        <v>13546.607</v>
      </c>
      <c r="W112" s="6011"/>
      <c r="X112" s="118"/>
      <c r="Y112" s="713">
        <f t="shared" si="518"/>
        <v>0</v>
      </c>
      <c r="Z112" s="81">
        <f t="shared" si="518"/>
        <v>858.08</v>
      </c>
      <c r="AA112" s="2242">
        <f t="shared" si="519"/>
        <v>6251.753846153847</v>
      </c>
      <c r="AB112" s="2242">
        <f t="shared" si="519"/>
        <v>13546.607</v>
      </c>
      <c r="AC112" s="6142"/>
      <c r="AD112" s="118">
        <v>1020.6849999999999</v>
      </c>
      <c r="AE112" s="1047">
        <f t="shared" si="520"/>
        <v>6251.753846153847</v>
      </c>
      <c r="AF112" s="60">
        <f t="shared" si="521"/>
        <v>14567.291999999999</v>
      </c>
      <c r="AG112" s="6304"/>
      <c r="AH112" s="118"/>
      <c r="AI112" s="1047">
        <f t="shared" si="522"/>
        <v>6251.753846153847</v>
      </c>
      <c r="AJ112" s="60">
        <f t="shared" si="523"/>
        <v>14567.291999999999</v>
      </c>
      <c r="AK112" s="6566"/>
      <c r="AL112" s="118"/>
      <c r="AM112" s="713">
        <f t="shared" si="524"/>
        <v>0</v>
      </c>
      <c r="AN112" s="81">
        <f t="shared" si="525"/>
        <v>1020.6849999999999</v>
      </c>
      <c r="AO112" s="712">
        <f t="shared" si="537"/>
        <v>6251.753846153847</v>
      </c>
      <c r="AP112" s="712">
        <f t="shared" si="538"/>
        <v>14567.291999999999</v>
      </c>
      <c r="AQ112" s="6647"/>
      <c r="AR112" s="118"/>
      <c r="AS112" s="1047">
        <f t="shared" si="527"/>
        <v>6251.753846153847</v>
      </c>
      <c r="AT112" s="60">
        <f t="shared" si="528"/>
        <v>14567.291999999999</v>
      </c>
      <c r="AU112" s="6827"/>
      <c r="AV112" s="118"/>
      <c r="AW112" s="1047">
        <f t="shared" si="529"/>
        <v>6251.753846153847</v>
      </c>
      <c r="AX112" s="60">
        <f t="shared" si="530"/>
        <v>14567.291999999999</v>
      </c>
      <c r="AY112" s="6972">
        <v>0</v>
      </c>
      <c r="AZ112" s="118"/>
      <c r="BA112" s="713">
        <f t="shared" ref="BA112:BA113" si="573">+AQ112+AU112+AY112</f>
        <v>0</v>
      </c>
      <c r="BB112" s="81">
        <f t="shared" ref="BB112:BB113" si="574">+AR112+AV112+AZ112</f>
        <v>0</v>
      </c>
      <c r="BC112" s="2679">
        <f t="shared" si="533"/>
        <v>0</v>
      </c>
      <c r="BD112" s="2679">
        <f t="shared" si="534"/>
        <v>1020.6849999999999</v>
      </c>
      <c r="BE112" s="5106">
        <f t="shared" si="535"/>
        <v>6251.753846153847</v>
      </c>
      <c r="BF112" s="5106">
        <f t="shared" si="536"/>
        <v>14567.291999999999</v>
      </c>
      <c r="BG112" s="1137">
        <f t="shared" si="284"/>
        <v>0</v>
      </c>
      <c r="BH112" s="1137">
        <f t="shared" si="285"/>
        <v>0</v>
      </c>
      <c r="BI112" s="1137"/>
      <c r="BJ112" s="1137">
        <f t="shared" si="311"/>
        <v>0</v>
      </c>
      <c r="BK112" s="1137">
        <f t="shared" si="312"/>
        <v>0</v>
      </c>
      <c r="BL112" s="25"/>
      <c r="BM112" s="25"/>
      <c r="BN112" s="25"/>
    </row>
    <row r="113" spans="1:70" ht="15.75" thickBot="1" x14ac:dyDescent="0.3">
      <c r="B113" s="1648" t="s">
        <v>1924</v>
      </c>
      <c r="C113" s="728" t="s">
        <v>50</v>
      </c>
      <c r="D113" s="1251">
        <v>89766.854592592586</v>
      </c>
      <c r="E113" s="677">
        <v>7293.7128205128201</v>
      </c>
      <c r="F113" s="36">
        <v>8615.4950000000008</v>
      </c>
      <c r="G113" s="677">
        <v>9830.6564102564116</v>
      </c>
      <c r="H113" s="36">
        <v>15715.91</v>
      </c>
      <c r="I113" s="1047">
        <f>+E113+G113</f>
        <v>17124.369230769233</v>
      </c>
      <c r="J113" s="60">
        <f>+F113+H113</f>
        <v>24331.404999999999</v>
      </c>
      <c r="K113" s="677">
        <v>9513.538461538461</v>
      </c>
      <c r="L113" s="36">
        <v>15362.28</v>
      </c>
      <c r="M113" s="1439">
        <f>+E113+G113+K113</f>
        <v>26637.907692307694</v>
      </c>
      <c r="N113" s="72">
        <f>+F113+H113+L113</f>
        <v>39693.684999999998</v>
      </c>
      <c r="O113" s="677">
        <v>9830.6564102564116</v>
      </c>
      <c r="P113" s="36">
        <v>1544.55</v>
      </c>
      <c r="Q113" s="1047">
        <f>+M113+O113</f>
        <v>36468.564102564109</v>
      </c>
      <c r="R113" s="60">
        <f>+N113+P113</f>
        <v>41238.235000000001</v>
      </c>
      <c r="S113" s="677">
        <v>9830.6564102564116</v>
      </c>
      <c r="T113" s="36">
        <v>7176.69</v>
      </c>
      <c r="U113" s="1047">
        <f>+Q113+S113</f>
        <v>46299.220512820524</v>
      </c>
      <c r="V113" s="60">
        <f>+R113+T113</f>
        <v>48414.925000000003</v>
      </c>
      <c r="W113" s="677">
        <v>9076.6923076923067</v>
      </c>
      <c r="X113" s="36"/>
      <c r="Y113" s="713">
        <f t="shared" si="518"/>
        <v>28738.005128205128</v>
      </c>
      <c r="Z113" s="81">
        <f t="shared" si="518"/>
        <v>8721.24</v>
      </c>
      <c r="AA113" s="2242">
        <f t="shared" si="519"/>
        <v>55375.912820512822</v>
      </c>
      <c r="AB113" s="2242">
        <f t="shared" si="519"/>
        <v>48414.924999999996</v>
      </c>
      <c r="AC113" s="677">
        <v>9830.6564102564116</v>
      </c>
      <c r="AD113" s="36"/>
      <c r="AE113" s="1047">
        <f t="shared" si="520"/>
        <v>65206.569230769237</v>
      </c>
      <c r="AF113" s="60">
        <f t="shared" si="521"/>
        <v>48414.924999999996</v>
      </c>
      <c r="AG113" s="677">
        <v>9513.538461538461</v>
      </c>
      <c r="AH113" s="36">
        <v>5117.2920000000004</v>
      </c>
      <c r="AI113" s="1047">
        <f t="shared" si="522"/>
        <v>74720.107692307705</v>
      </c>
      <c r="AJ113" s="60">
        <f t="shared" si="523"/>
        <v>53532.216999999997</v>
      </c>
      <c r="AK113" s="677">
        <v>9830.6564102564116</v>
      </c>
      <c r="AL113" s="36">
        <v>15918.881868131873</v>
      </c>
      <c r="AM113" s="713">
        <f t="shared" si="524"/>
        <v>29174.851282051284</v>
      </c>
      <c r="AN113" s="81">
        <f t="shared" si="525"/>
        <v>21036.173868131875</v>
      </c>
      <c r="AO113" s="712">
        <f t="shared" si="537"/>
        <v>84550.764102564121</v>
      </c>
      <c r="AP113" s="712">
        <f t="shared" si="538"/>
        <v>69451.09886813187</v>
      </c>
      <c r="AQ113" s="677">
        <v>9830.6564102564116</v>
      </c>
      <c r="AR113" s="36">
        <v>4602.4430000000002</v>
      </c>
      <c r="AS113" s="1047">
        <f t="shared" si="527"/>
        <v>94381.420512820536</v>
      </c>
      <c r="AT113" s="60">
        <f t="shared" si="528"/>
        <v>74053.54186813187</v>
      </c>
      <c r="AU113" s="677">
        <v>8879.3025641025633</v>
      </c>
      <c r="AV113" s="36">
        <v>4305.3209999999999</v>
      </c>
      <c r="AW113" s="1047">
        <f t="shared" si="529"/>
        <v>103260.7230769231</v>
      </c>
      <c r="AX113" s="60">
        <f t="shared" si="530"/>
        <v>78358.862868131866</v>
      </c>
      <c r="AY113" s="677">
        <v>9830.6564102564116</v>
      </c>
      <c r="AZ113" s="36">
        <v>14847.773999999999</v>
      </c>
      <c r="BA113" s="713">
        <f t="shared" si="573"/>
        <v>28540.615384615387</v>
      </c>
      <c r="BB113" s="81">
        <f t="shared" si="574"/>
        <v>23755.538</v>
      </c>
      <c r="BC113" s="2679">
        <f t="shared" si="533"/>
        <v>57715.466666666674</v>
      </c>
      <c r="BD113" s="2679">
        <f t="shared" si="534"/>
        <v>44791.711868131875</v>
      </c>
      <c r="BE113" s="5106">
        <f t="shared" si="535"/>
        <v>113091.37948717951</v>
      </c>
      <c r="BF113" s="5106">
        <f t="shared" si="536"/>
        <v>93206.636868131871</v>
      </c>
      <c r="BG113" s="1137">
        <f t="shared" si="284"/>
        <v>0</v>
      </c>
      <c r="BH113" s="1137">
        <f t="shared" si="285"/>
        <v>0</v>
      </c>
      <c r="BI113" s="1137"/>
      <c r="BJ113" s="1137">
        <f t="shared" si="311"/>
        <v>0</v>
      </c>
      <c r="BK113" s="1137">
        <f t="shared" si="312"/>
        <v>0</v>
      </c>
      <c r="BL113" s="25"/>
      <c r="BM113" s="25"/>
      <c r="BN113" s="25"/>
    </row>
    <row r="114" spans="1:70" ht="16.5" thickBot="1" x14ac:dyDescent="0.3">
      <c r="B114" s="1761" t="s">
        <v>13</v>
      </c>
      <c r="C114" s="1560" t="s">
        <v>50</v>
      </c>
      <c r="D114" s="583">
        <f t="shared" ref="D114:AX114" si="575">SUM(D108:D113)</f>
        <v>897668.54592592584</v>
      </c>
      <c r="E114" s="1103">
        <f t="shared" si="575"/>
        <v>72937.128205128218</v>
      </c>
      <c r="F114" s="1103">
        <f t="shared" si="575"/>
        <v>71666.358000000007</v>
      </c>
      <c r="G114" s="1103">
        <f t="shared" ref="G114:H114" si="576">SUM(G108:G113)</f>
        <v>78645.251282051293</v>
      </c>
      <c r="H114" s="1103">
        <f t="shared" si="576"/>
        <v>74388.650000000009</v>
      </c>
      <c r="I114" s="726">
        <f t="shared" si="575"/>
        <v>151582.37948717951</v>
      </c>
      <c r="J114" s="726">
        <f t="shared" si="575"/>
        <v>146055.008</v>
      </c>
      <c r="K114" s="1103">
        <f t="shared" ref="K114:L114" si="577">SUM(K108:K113)</f>
        <v>76108.307692307688</v>
      </c>
      <c r="L114" s="1103">
        <f t="shared" si="577"/>
        <v>72714.78</v>
      </c>
      <c r="M114" s="1477">
        <f t="shared" si="575"/>
        <v>227690.68717948717</v>
      </c>
      <c r="N114" s="1477">
        <f t="shared" si="575"/>
        <v>218769.788</v>
      </c>
      <c r="O114" s="1103">
        <f t="shared" ref="O114:P114" si="578">SUM(O108:O113)</f>
        <v>78645.251282051293</v>
      </c>
      <c r="P114" s="1103">
        <f t="shared" si="578"/>
        <v>75545.59</v>
      </c>
      <c r="Q114" s="726">
        <f t="shared" si="575"/>
        <v>306335.93846153852</v>
      </c>
      <c r="R114" s="726">
        <f t="shared" si="575"/>
        <v>294315.37800000003</v>
      </c>
      <c r="S114" s="1103">
        <f t="shared" ref="S114:T114" si="579">SUM(S108:S113)</f>
        <v>78645.251282051293</v>
      </c>
      <c r="T114" s="1103">
        <f t="shared" si="579"/>
        <v>75176.348000000013</v>
      </c>
      <c r="U114" s="726">
        <f t="shared" si="575"/>
        <v>384981.18974358978</v>
      </c>
      <c r="V114" s="726">
        <f t="shared" si="575"/>
        <v>369491.72600000002</v>
      </c>
      <c r="W114" s="1103">
        <f t="shared" ref="W114:X114" si="580">SUM(W108:W113)</f>
        <v>72613.538461538468</v>
      </c>
      <c r="X114" s="1103">
        <f t="shared" si="580"/>
        <v>72936.319000000003</v>
      </c>
      <c r="Y114" s="1476">
        <f t="shared" si="575"/>
        <v>229904.04102564103</v>
      </c>
      <c r="Z114" s="1476">
        <f t="shared" si="575"/>
        <v>223658.25699999998</v>
      </c>
      <c r="AA114" s="2395">
        <f t="shared" si="575"/>
        <v>457594.72820512822</v>
      </c>
      <c r="AB114" s="2393">
        <f t="shared" si="575"/>
        <v>442428.04500000004</v>
      </c>
      <c r="AC114" s="1103">
        <f t="shared" ref="AC114:AD114" si="581">SUM(AC108:AC113)</f>
        <v>78645.251282051293</v>
      </c>
      <c r="AD114" s="1103">
        <f t="shared" si="581"/>
        <v>74039.517999999996</v>
      </c>
      <c r="AE114" s="726">
        <f t="shared" si="575"/>
        <v>536239.97948717955</v>
      </c>
      <c r="AF114" s="726">
        <f t="shared" si="575"/>
        <v>516467.56300000002</v>
      </c>
      <c r="AG114" s="1103">
        <f t="shared" ref="AG114:AH114" si="582">SUM(AG108:AG113)</f>
        <v>76108.307692307688</v>
      </c>
      <c r="AH114" s="1103">
        <f t="shared" si="582"/>
        <v>72862.471999999994</v>
      </c>
      <c r="AI114" s="726">
        <f t="shared" si="575"/>
        <v>612348.28717948718</v>
      </c>
      <c r="AJ114" s="726">
        <f t="shared" si="575"/>
        <v>589330.03499999992</v>
      </c>
      <c r="AK114" s="1103">
        <f t="shared" ref="AK114:AL114" si="583">SUM(AK108:AK113)</f>
        <v>78645.251282051293</v>
      </c>
      <c r="AL114" s="1103">
        <f t="shared" si="583"/>
        <v>75349.374175824167</v>
      </c>
      <c r="AM114" s="1476">
        <f t="shared" si="575"/>
        <v>233398.81025641027</v>
      </c>
      <c r="AN114" s="1476">
        <f t="shared" si="575"/>
        <v>222251.36417582416</v>
      </c>
      <c r="AO114" s="726">
        <f t="shared" si="575"/>
        <v>690993.53846153838</v>
      </c>
      <c r="AP114" s="726">
        <f t="shared" si="575"/>
        <v>664679.40917582426</v>
      </c>
      <c r="AQ114" s="1103">
        <f t="shared" ref="AQ114:AR114" si="584">SUM(AQ108:AQ113)</f>
        <v>78645.251282051293</v>
      </c>
      <c r="AR114" s="1103">
        <f t="shared" si="584"/>
        <v>73632.146999999997</v>
      </c>
      <c r="AS114" s="726">
        <f t="shared" si="575"/>
        <v>769638.7897435897</v>
      </c>
      <c r="AT114" s="726">
        <f t="shared" si="575"/>
        <v>738311.55617582414</v>
      </c>
      <c r="AU114" s="1103">
        <f t="shared" ref="AU114:AV114" si="585">SUM(AU108:AU113)</f>
        <v>71034.420512820507</v>
      </c>
      <c r="AV114" s="1103">
        <f t="shared" si="585"/>
        <v>66618.404999999999</v>
      </c>
      <c r="AW114" s="726">
        <f t="shared" si="575"/>
        <v>840673.2102564103</v>
      </c>
      <c r="AX114" s="726">
        <f t="shared" si="575"/>
        <v>804929.96117582417</v>
      </c>
      <c r="AY114" s="1103">
        <f t="shared" ref="AY114:AZ114" si="586">SUM(AY108:AY113)</f>
        <v>78645.251282051293</v>
      </c>
      <c r="AZ114" s="1103">
        <f t="shared" si="586"/>
        <v>74238.870999999999</v>
      </c>
      <c r="BA114" s="1476">
        <f t="shared" ref="BA114:BB114" si="587">SUM(BA108:BA113)</f>
        <v>228324.92307692306</v>
      </c>
      <c r="BB114" s="1476">
        <f t="shared" si="587"/>
        <v>214489.42300000001</v>
      </c>
      <c r="BC114" s="2395">
        <f>SUM(BC108:BC113)</f>
        <v>461723.7333333334</v>
      </c>
      <c r="BD114" s="2393">
        <f>SUM(BD108:BD113)</f>
        <v>436740.78717582417</v>
      </c>
      <c r="BE114" s="726">
        <f t="shared" ref="BE114:BF114" si="588">SUM(BE108:BE113)</f>
        <v>919318.46153846174</v>
      </c>
      <c r="BF114" s="726">
        <f t="shared" si="588"/>
        <v>879168.83217582409</v>
      </c>
      <c r="BG114" s="1137">
        <f t="shared" si="284"/>
        <v>0</v>
      </c>
      <c r="BH114" s="1137">
        <f t="shared" si="285"/>
        <v>0</v>
      </c>
      <c r="BI114" s="1137"/>
      <c r="BJ114" s="1137">
        <f t="shared" si="311"/>
        <v>0</v>
      </c>
      <c r="BK114" s="1137">
        <f t="shared" si="312"/>
        <v>0</v>
      </c>
      <c r="BL114" s="25"/>
      <c r="BM114" s="25"/>
      <c r="BN114" s="25"/>
    </row>
    <row r="115" spans="1:70" ht="15" customHeight="1" x14ac:dyDescent="0.25">
      <c r="B115" s="1648" t="s">
        <v>1321</v>
      </c>
      <c r="C115" s="728" t="s">
        <v>50</v>
      </c>
      <c r="D115" s="422">
        <v>256476.72740740742</v>
      </c>
      <c r="E115" s="145">
        <v>20839.179487179488</v>
      </c>
      <c r="F115" s="27">
        <v>18428.491999999998</v>
      </c>
      <c r="G115" s="5576">
        <v>18569.017663817664</v>
      </c>
      <c r="H115" s="27">
        <v>24803.96</v>
      </c>
      <c r="I115" s="675">
        <f t="shared" ref="I115:J118" si="589">+E115+G115</f>
        <v>39408.197150997148</v>
      </c>
      <c r="J115" s="60">
        <f t="shared" si="589"/>
        <v>43232.451999999997</v>
      </c>
      <c r="K115" s="5672">
        <v>17970.017094017094</v>
      </c>
      <c r="L115" s="27">
        <v>21168.12</v>
      </c>
      <c r="M115" s="70">
        <f t="shared" ref="M115:N118" si="590">+E115+G115+K115</f>
        <v>57378.214245014242</v>
      </c>
      <c r="N115" s="81">
        <f t="shared" si="590"/>
        <v>64400.572</v>
      </c>
      <c r="O115" s="5828">
        <v>18569.017663817664</v>
      </c>
      <c r="P115" s="27">
        <v>22516.080000000002</v>
      </c>
      <c r="Q115" s="675">
        <f t="shared" ref="Q115:R118" si="591">+M115+O115</f>
        <v>75947.231908831905</v>
      </c>
      <c r="R115" s="60">
        <f t="shared" si="591"/>
        <v>86916.652000000002</v>
      </c>
      <c r="S115" s="5905">
        <v>18569.017663817664</v>
      </c>
      <c r="T115" s="27">
        <v>16941.149000000001</v>
      </c>
      <c r="U115" s="4323">
        <f t="shared" ref="U115:U118" si="592">+Q115+S115</f>
        <v>94516.249572649569</v>
      </c>
      <c r="V115" s="60">
        <f t="shared" ref="V115:V118" si="593">+R115+T115</f>
        <v>103857.80100000001</v>
      </c>
      <c r="W115" s="5999">
        <v>17144.863247863246</v>
      </c>
      <c r="X115" s="27">
        <v>16436.353999999999</v>
      </c>
      <c r="Y115" s="713">
        <f t="shared" ref="Y115:Z118" si="594">+O115+S115+W115</f>
        <v>54282.898575498577</v>
      </c>
      <c r="Z115" s="81">
        <f t="shared" si="594"/>
        <v>55893.583000000006</v>
      </c>
      <c r="AA115" s="2242">
        <f t="shared" si="519"/>
        <v>111661.11282051282</v>
      </c>
      <c r="AB115" s="428">
        <f t="shared" si="519"/>
        <v>120294.155</v>
      </c>
      <c r="AC115" s="6130">
        <v>18569.017663817664</v>
      </c>
      <c r="AD115" s="27">
        <v>16586.128000000001</v>
      </c>
      <c r="AE115" s="675">
        <f t="shared" ref="AE115:AE118" si="595">+AA115+AC115</f>
        <v>130230.13048433048</v>
      </c>
      <c r="AF115" s="60">
        <f t="shared" ref="AF115:AF118" si="596">+AB115+AD115</f>
        <v>136880.283</v>
      </c>
      <c r="AG115" s="6292">
        <v>17970.017094017094</v>
      </c>
      <c r="AH115" s="27">
        <v>16419.712</v>
      </c>
      <c r="AI115" s="675">
        <f t="shared" ref="AI115:AI118" si="597">+AE115+AG115</f>
        <v>148200.14757834759</v>
      </c>
      <c r="AJ115" s="60">
        <f t="shared" ref="AJ115:AJ118" si="598">+AF115+AH115</f>
        <v>153299.995</v>
      </c>
      <c r="AK115" s="6561">
        <v>18569.017663817664</v>
      </c>
      <c r="AL115" s="27">
        <v>19416.078021978017</v>
      </c>
      <c r="AM115" s="713">
        <f t="shared" ref="AM115:AM118" si="599">+AC115+AG115+AK115</f>
        <v>55108.052421652421</v>
      </c>
      <c r="AN115" s="81">
        <f t="shared" ref="AN115:AN118" si="600">+AD115+AH115+AL115</f>
        <v>52421.91802197801</v>
      </c>
      <c r="AO115" s="712">
        <f t="shared" si="537"/>
        <v>166769.16524216527</v>
      </c>
      <c r="AP115" s="712">
        <f t="shared" si="537"/>
        <v>172716.07302197802</v>
      </c>
      <c r="AQ115" s="6638">
        <v>18569.017663817664</v>
      </c>
      <c r="AR115" s="27">
        <v>26297.195</v>
      </c>
      <c r="AS115" s="675">
        <f t="shared" ref="AS115:AS118" si="601">+AO115+AQ115</f>
        <v>185338.18290598295</v>
      </c>
      <c r="AT115" s="60">
        <f t="shared" ref="AT115:AT118" si="602">+AP115+AR115</f>
        <v>199013.26802197803</v>
      </c>
      <c r="AU115" s="6823">
        <v>16772.015954415954</v>
      </c>
      <c r="AV115" s="27">
        <v>19486.967000000001</v>
      </c>
      <c r="AW115" s="5014">
        <f t="shared" ref="AW115:AW118" si="603">+AS115+AU115</f>
        <v>202110.1988603989</v>
      </c>
      <c r="AX115" s="60">
        <f t="shared" ref="AX115:AX118" si="604">+AT115+AV115</f>
        <v>218500.23502197803</v>
      </c>
      <c r="AY115" s="6969">
        <v>18569.017663817664</v>
      </c>
      <c r="AZ115" s="27">
        <v>19089.994999999999</v>
      </c>
      <c r="BA115" s="713">
        <f t="shared" ref="BA115:BA118" si="605">+AQ115+AU115+AY115</f>
        <v>53910.051282051281</v>
      </c>
      <c r="BB115" s="81">
        <f t="shared" ref="BB115:BB118" si="606">+AR115+AV115+AZ115</f>
        <v>64874.156999999992</v>
      </c>
      <c r="BC115" s="2679">
        <f t="shared" ref="BC115:BC118" si="607">+AM115+BA115</f>
        <v>109018.1037037037</v>
      </c>
      <c r="BD115" s="2679">
        <f t="shared" ref="BD115:BD118" si="608">+AN115+BB115</f>
        <v>117296.075021978</v>
      </c>
      <c r="BE115" s="5106">
        <f t="shared" ref="BE115:BE118" si="609">AW115+AY115</f>
        <v>220679.21652421658</v>
      </c>
      <c r="BF115" s="5106">
        <f t="shared" ref="BF115:BF118" si="610">AX115+AZ115</f>
        <v>237590.23002197803</v>
      </c>
      <c r="BG115" s="1137">
        <f t="shared" si="284"/>
        <v>0</v>
      </c>
      <c r="BH115" s="1137">
        <f t="shared" si="285"/>
        <v>0</v>
      </c>
      <c r="BI115" s="1137"/>
      <c r="BJ115" s="1137">
        <f t="shared" si="311"/>
        <v>0</v>
      </c>
      <c r="BK115" s="1137">
        <f t="shared" si="312"/>
        <v>0</v>
      </c>
      <c r="BL115" s="25"/>
      <c r="BM115" s="25"/>
      <c r="BN115" s="25"/>
    </row>
    <row r="116" spans="1:70" ht="15.75" customHeight="1" x14ac:dyDescent="0.25">
      <c r="B116" s="1648" t="s">
        <v>597</v>
      </c>
      <c r="C116" s="728" t="s">
        <v>50</v>
      </c>
      <c r="D116" s="422"/>
      <c r="E116" s="145"/>
      <c r="F116" s="27"/>
      <c r="G116" s="5576">
        <v>5461.4757834757847</v>
      </c>
      <c r="H116" s="27">
        <v>341.5</v>
      </c>
      <c r="I116" s="675">
        <f t="shared" si="589"/>
        <v>5461.4757834757847</v>
      </c>
      <c r="J116" s="60">
        <f t="shared" si="589"/>
        <v>341.5</v>
      </c>
      <c r="K116" s="5672">
        <v>5285.2991452991455</v>
      </c>
      <c r="L116" s="27">
        <v>3411.53</v>
      </c>
      <c r="M116" s="70">
        <f t="shared" si="590"/>
        <v>10746.77492877493</v>
      </c>
      <c r="N116" s="81">
        <f t="shared" si="590"/>
        <v>3753.03</v>
      </c>
      <c r="O116" s="5828">
        <v>5461.4757834757847</v>
      </c>
      <c r="P116" s="27"/>
      <c r="Q116" s="675">
        <f t="shared" si="591"/>
        <v>16208.250712250716</v>
      </c>
      <c r="R116" s="60">
        <f t="shared" si="591"/>
        <v>3753.03</v>
      </c>
      <c r="S116" s="5905">
        <v>5461.4757834757847</v>
      </c>
      <c r="T116" s="27"/>
      <c r="U116" s="4323">
        <f t="shared" si="592"/>
        <v>21669.7264957265</v>
      </c>
      <c r="V116" s="60">
        <f t="shared" si="593"/>
        <v>3753.03</v>
      </c>
      <c r="W116" s="5999">
        <v>5042.606837606837</v>
      </c>
      <c r="X116" s="27"/>
      <c r="Y116" s="713">
        <f t="shared" si="594"/>
        <v>15965.558404558407</v>
      </c>
      <c r="Z116" s="81">
        <f t="shared" si="594"/>
        <v>0</v>
      </c>
      <c r="AA116" s="2242">
        <f t="shared" si="519"/>
        <v>26712.333333333336</v>
      </c>
      <c r="AB116" s="428">
        <f t="shared" si="519"/>
        <v>3753.03</v>
      </c>
      <c r="AC116" s="6130">
        <v>5461.4757834757847</v>
      </c>
      <c r="AD116" s="27">
        <v>637.928</v>
      </c>
      <c r="AE116" s="675">
        <f t="shared" si="595"/>
        <v>32173.80911680912</v>
      </c>
      <c r="AF116" s="60">
        <f t="shared" si="596"/>
        <v>4390.9580000000005</v>
      </c>
      <c r="AG116" s="6292">
        <v>5285.2991452991455</v>
      </c>
      <c r="AH116" s="27"/>
      <c r="AI116" s="675">
        <f t="shared" si="597"/>
        <v>37459.108262108268</v>
      </c>
      <c r="AJ116" s="60">
        <f t="shared" si="598"/>
        <v>4390.9580000000005</v>
      </c>
      <c r="AK116" s="6561">
        <v>5461.4757834757847</v>
      </c>
      <c r="AL116" s="27">
        <v>2229.3021978021984</v>
      </c>
      <c r="AM116" s="713">
        <f t="shared" si="599"/>
        <v>16208.250712250716</v>
      </c>
      <c r="AN116" s="81">
        <f t="shared" si="600"/>
        <v>2867.2301978021983</v>
      </c>
      <c r="AO116" s="712">
        <f t="shared" ref="AO116:AO118" si="611">AI116+AK116</f>
        <v>42920.584045584052</v>
      </c>
      <c r="AP116" s="712">
        <f t="shared" ref="AP116:AP118" si="612">AJ116+AL116</f>
        <v>6620.2601978021994</v>
      </c>
      <c r="AQ116" s="6638">
        <v>5461.4757834757847</v>
      </c>
      <c r="AR116" s="27"/>
      <c r="AS116" s="675">
        <f t="shared" si="601"/>
        <v>48382.059829059835</v>
      </c>
      <c r="AT116" s="60">
        <f t="shared" si="602"/>
        <v>6620.2601978021994</v>
      </c>
      <c r="AU116" s="6823">
        <v>4932.9458689458688</v>
      </c>
      <c r="AV116" s="27"/>
      <c r="AW116" s="5014">
        <f t="shared" si="603"/>
        <v>53315.005698005705</v>
      </c>
      <c r="AX116" s="60">
        <f t="shared" si="604"/>
        <v>6620.2601978021994</v>
      </c>
      <c r="AY116" s="6969">
        <v>5461.4757834757847</v>
      </c>
      <c r="AZ116" s="27"/>
      <c r="BA116" s="713">
        <f t="shared" si="605"/>
        <v>15855.897435897437</v>
      </c>
      <c r="BB116" s="81">
        <f t="shared" si="606"/>
        <v>0</v>
      </c>
      <c r="BC116" s="2679">
        <f t="shared" si="607"/>
        <v>32064.148148148153</v>
      </c>
      <c r="BD116" s="2679">
        <f t="shared" si="608"/>
        <v>2867.2301978021983</v>
      </c>
      <c r="BE116" s="5106">
        <f t="shared" si="609"/>
        <v>58776.481481481489</v>
      </c>
      <c r="BF116" s="5106">
        <f t="shared" si="610"/>
        <v>6620.2601978021994</v>
      </c>
      <c r="BG116" s="1137">
        <f t="shared" si="284"/>
        <v>0</v>
      </c>
      <c r="BH116" s="1137">
        <f t="shared" si="285"/>
        <v>0</v>
      </c>
      <c r="BI116" s="1137"/>
      <c r="BJ116" s="1137">
        <f t="shared" si="311"/>
        <v>0</v>
      </c>
      <c r="BK116" s="1137">
        <f t="shared" si="312"/>
        <v>0</v>
      </c>
      <c r="BL116" s="25"/>
      <c r="BM116" s="25"/>
      <c r="BN116" s="25"/>
    </row>
    <row r="117" spans="1:70" x14ac:dyDescent="0.25">
      <c r="B117" s="1648" t="s">
        <v>1307</v>
      </c>
      <c r="C117" s="728" t="s">
        <v>50</v>
      </c>
      <c r="D117" s="422">
        <v>64119.181851851856</v>
      </c>
      <c r="E117" s="145">
        <v>5209.7948717948721</v>
      </c>
      <c r="F117" s="27">
        <v>7166.6360000000004</v>
      </c>
      <c r="G117" s="5576"/>
      <c r="H117" s="27"/>
      <c r="I117" s="675">
        <f t="shared" si="589"/>
        <v>5209.7948717948721</v>
      </c>
      <c r="J117" s="60">
        <f t="shared" si="589"/>
        <v>7166.6360000000004</v>
      </c>
      <c r="K117" s="5672"/>
      <c r="L117" s="27"/>
      <c r="M117" s="70">
        <f t="shared" ref="M117" si="613">+E117+G117+K117</f>
        <v>5209.7948717948721</v>
      </c>
      <c r="N117" s="81">
        <f t="shared" ref="N117" si="614">+F117+H117+L117</f>
        <v>7166.6360000000004</v>
      </c>
      <c r="O117" s="5828"/>
      <c r="P117" s="27"/>
      <c r="Q117" s="675">
        <f t="shared" ref="Q117" si="615">+M117+O117</f>
        <v>5209.7948717948721</v>
      </c>
      <c r="R117" s="60">
        <f t="shared" ref="R117" si="616">+N117+P117</f>
        <v>7166.6360000000004</v>
      </c>
      <c r="S117" s="5905"/>
      <c r="T117" s="27"/>
      <c r="U117" s="4323">
        <f t="shared" si="592"/>
        <v>5209.7948717948721</v>
      </c>
      <c r="V117" s="60">
        <f t="shared" si="593"/>
        <v>7166.6360000000004</v>
      </c>
      <c r="W117" s="5999"/>
      <c r="X117" s="27">
        <v>6570.6580000000004</v>
      </c>
      <c r="Y117" s="713">
        <f t="shared" ref="Y117" si="617">+O117+S117+W117</f>
        <v>0</v>
      </c>
      <c r="Z117" s="81">
        <f t="shared" ref="Z117" si="618">+P117+T117+X117</f>
        <v>6570.6580000000004</v>
      </c>
      <c r="AA117" s="2242">
        <f t="shared" ref="AA117" si="619">+M117+Y117</f>
        <v>5209.7948717948721</v>
      </c>
      <c r="AB117" s="428">
        <f t="shared" si="519"/>
        <v>13737.294000000002</v>
      </c>
      <c r="AC117" s="6130"/>
      <c r="AD117" s="27">
        <v>7974.1</v>
      </c>
      <c r="AE117" s="675">
        <f t="shared" si="595"/>
        <v>5209.7948717948721</v>
      </c>
      <c r="AF117" s="60">
        <f t="shared" si="596"/>
        <v>21711.394</v>
      </c>
      <c r="AG117" s="6292"/>
      <c r="AH117" s="27">
        <v>8209.8559999999998</v>
      </c>
      <c r="AI117" s="675">
        <f t="shared" si="597"/>
        <v>5209.7948717948721</v>
      </c>
      <c r="AJ117" s="60">
        <f t="shared" si="598"/>
        <v>29921.25</v>
      </c>
      <c r="AK117" s="6561"/>
      <c r="AL117" s="27">
        <v>3824.8307692307699</v>
      </c>
      <c r="AM117" s="713">
        <f t="shared" si="599"/>
        <v>0</v>
      </c>
      <c r="AN117" s="81">
        <f t="shared" si="600"/>
        <v>20008.78676923077</v>
      </c>
      <c r="AO117" s="712">
        <f t="shared" si="611"/>
        <v>5209.7948717948721</v>
      </c>
      <c r="AP117" s="712">
        <f t="shared" si="612"/>
        <v>33746.080769230772</v>
      </c>
      <c r="AQ117" s="6638"/>
      <c r="AR117" s="27"/>
      <c r="AS117" s="675">
        <f t="shared" si="601"/>
        <v>5209.7948717948721</v>
      </c>
      <c r="AT117" s="60">
        <f t="shared" si="602"/>
        <v>33746.080769230772</v>
      </c>
      <c r="AU117" s="6823"/>
      <c r="AV117" s="27">
        <v>4305.3209999999999</v>
      </c>
      <c r="AW117" s="5014">
        <f t="shared" si="603"/>
        <v>5209.7948717948721</v>
      </c>
      <c r="AX117" s="60">
        <f t="shared" si="604"/>
        <v>38051.401769230768</v>
      </c>
      <c r="AY117" s="6969"/>
      <c r="AZ117" s="27">
        <v>7423.8869999999997</v>
      </c>
      <c r="BA117" s="713">
        <f t="shared" si="605"/>
        <v>0</v>
      </c>
      <c r="BB117" s="81">
        <f t="shared" si="606"/>
        <v>11729.207999999999</v>
      </c>
      <c r="BC117" s="2679">
        <f t="shared" si="607"/>
        <v>0</v>
      </c>
      <c r="BD117" s="2679">
        <f t="shared" si="608"/>
        <v>31737.994769230769</v>
      </c>
      <c r="BE117" s="5106">
        <f t="shared" si="609"/>
        <v>5209.7948717948721</v>
      </c>
      <c r="BF117" s="5106">
        <f t="shared" si="610"/>
        <v>45475.28876923077</v>
      </c>
      <c r="BG117" s="1137">
        <f t="shared" si="284"/>
        <v>0</v>
      </c>
      <c r="BH117" s="1137">
        <f t="shared" si="285"/>
        <v>0</v>
      </c>
      <c r="BI117" s="1137"/>
      <c r="BJ117" s="1137">
        <f t="shared" si="311"/>
        <v>0</v>
      </c>
      <c r="BK117" s="1137">
        <f t="shared" si="312"/>
        <v>0</v>
      </c>
      <c r="BL117" s="25"/>
      <c r="BM117" s="25"/>
      <c r="BN117" s="25"/>
    </row>
    <row r="118" spans="1:70" ht="15.75" thickBot="1" x14ac:dyDescent="0.3">
      <c r="B118" s="1648" t="s">
        <v>1320</v>
      </c>
      <c r="C118" s="728" t="s">
        <v>50</v>
      </c>
      <c r="D118" s="422"/>
      <c r="E118" s="145"/>
      <c r="F118" s="27"/>
      <c r="G118" s="5576">
        <v>3276.8854700854699</v>
      </c>
      <c r="H118" s="27"/>
      <c r="I118" s="675">
        <f t="shared" si="589"/>
        <v>3276.8854700854699</v>
      </c>
      <c r="J118" s="60">
        <f t="shared" si="589"/>
        <v>0</v>
      </c>
      <c r="K118" s="5672">
        <v>3171.1794871794873</v>
      </c>
      <c r="L118" s="27"/>
      <c r="M118" s="70">
        <f t="shared" si="590"/>
        <v>6448.0649572649572</v>
      </c>
      <c r="N118" s="81">
        <f t="shared" si="590"/>
        <v>0</v>
      </c>
      <c r="O118" s="5828">
        <v>3276.8854700854699</v>
      </c>
      <c r="P118" s="27">
        <v>3020.45</v>
      </c>
      <c r="Q118" s="675">
        <f t="shared" si="591"/>
        <v>9724.9504273504281</v>
      </c>
      <c r="R118" s="60">
        <f t="shared" si="591"/>
        <v>3020.45</v>
      </c>
      <c r="S118" s="5905">
        <v>3276.8854700854699</v>
      </c>
      <c r="T118" s="27">
        <v>8470.5740000000005</v>
      </c>
      <c r="U118" s="4323">
        <f t="shared" si="592"/>
        <v>13001.835897435898</v>
      </c>
      <c r="V118" s="60">
        <f t="shared" si="593"/>
        <v>11491.024000000001</v>
      </c>
      <c r="W118" s="5999">
        <v>3025.5641025641025</v>
      </c>
      <c r="X118" s="27">
        <v>1647.518</v>
      </c>
      <c r="Y118" s="731">
        <f t="shared" si="594"/>
        <v>9579.3350427350415</v>
      </c>
      <c r="Z118" s="81">
        <f t="shared" si="594"/>
        <v>13138.542000000001</v>
      </c>
      <c r="AA118" s="2242">
        <f t="shared" si="519"/>
        <v>16027.399999999998</v>
      </c>
      <c r="AB118" s="428">
        <f t="shared" si="519"/>
        <v>13138.542000000001</v>
      </c>
      <c r="AC118" s="6130">
        <v>3276.8854700854699</v>
      </c>
      <c r="AD118" s="27"/>
      <c r="AE118" s="675">
        <f t="shared" si="595"/>
        <v>19304.285470085466</v>
      </c>
      <c r="AF118" s="60">
        <f t="shared" si="596"/>
        <v>13138.542000000001</v>
      </c>
      <c r="AG118" s="6292">
        <v>3171.1794871794873</v>
      </c>
      <c r="AH118" s="27"/>
      <c r="AI118" s="675">
        <f t="shared" si="597"/>
        <v>22475.464957264954</v>
      </c>
      <c r="AJ118" s="60">
        <f t="shared" si="598"/>
        <v>13138.542000000001</v>
      </c>
      <c r="AK118" s="6561">
        <v>3276.8854700854699</v>
      </c>
      <c r="AL118" s="27"/>
      <c r="AM118" s="731">
        <f t="shared" si="599"/>
        <v>9724.9504273504281</v>
      </c>
      <c r="AN118" s="81">
        <f t="shared" si="600"/>
        <v>0</v>
      </c>
      <c r="AO118" s="712">
        <f t="shared" si="611"/>
        <v>25752.350427350422</v>
      </c>
      <c r="AP118" s="712">
        <f t="shared" si="612"/>
        <v>13138.542000000001</v>
      </c>
      <c r="AQ118" s="6638">
        <v>3276.8854700854699</v>
      </c>
      <c r="AR118" s="27"/>
      <c r="AS118" s="675">
        <f t="shared" si="601"/>
        <v>29029.235897435894</v>
      </c>
      <c r="AT118" s="60">
        <f t="shared" si="602"/>
        <v>13138.542000000001</v>
      </c>
      <c r="AU118" s="6823">
        <v>2959.7675213675211</v>
      </c>
      <c r="AV118" s="27"/>
      <c r="AW118" s="5014">
        <f t="shared" si="603"/>
        <v>31989.003418803415</v>
      </c>
      <c r="AX118" s="60">
        <f t="shared" si="604"/>
        <v>13138.542000000001</v>
      </c>
      <c r="AY118" s="6969">
        <v>3276.8854700854699</v>
      </c>
      <c r="AZ118" s="27"/>
      <c r="BA118" s="731">
        <f t="shared" si="605"/>
        <v>9513.538461538461</v>
      </c>
      <c r="BB118" s="81">
        <f t="shared" si="606"/>
        <v>0</v>
      </c>
      <c r="BC118" s="2679">
        <f t="shared" si="607"/>
        <v>19238.488888888889</v>
      </c>
      <c r="BD118" s="2679">
        <f t="shared" si="608"/>
        <v>0</v>
      </c>
      <c r="BE118" s="5106">
        <f t="shared" si="609"/>
        <v>35265.888888888883</v>
      </c>
      <c r="BF118" s="5106">
        <f t="shared" si="610"/>
        <v>13138.542000000001</v>
      </c>
      <c r="BG118" s="1137">
        <f t="shared" si="284"/>
        <v>0</v>
      </c>
      <c r="BH118" s="1137">
        <f t="shared" si="285"/>
        <v>0</v>
      </c>
      <c r="BI118" s="1137"/>
      <c r="BJ118" s="1137">
        <f t="shared" si="311"/>
        <v>0</v>
      </c>
      <c r="BK118" s="1137">
        <f t="shared" si="312"/>
        <v>0</v>
      </c>
      <c r="BL118" s="25"/>
      <c r="BM118" s="25"/>
      <c r="BN118" s="25"/>
    </row>
    <row r="119" spans="1:70" ht="16.5" thickBot="1" x14ac:dyDescent="0.3">
      <c r="B119" s="1761" t="s">
        <v>134</v>
      </c>
      <c r="C119" s="1560" t="s">
        <v>50</v>
      </c>
      <c r="D119" s="129">
        <f>SUM(D115:D118)</f>
        <v>320595.90925925929</v>
      </c>
      <c r="E119" s="726">
        <f>SUM(E115:E118)</f>
        <v>26048.974358974359</v>
      </c>
      <c r="F119" s="726">
        <f>SUM(F115:F118)</f>
        <v>25595.127999999997</v>
      </c>
      <c r="G119" s="726">
        <f>SUM(G115:G118)</f>
        <v>27307.378917378919</v>
      </c>
      <c r="H119" s="726">
        <f>SUM(H115:H118)</f>
        <v>25145.46</v>
      </c>
      <c r="I119" s="726">
        <f t="shared" ref="I119:N119" si="620">SUM(I115:I118)</f>
        <v>53356.353276353278</v>
      </c>
      <c r="J119" s="726">
        <f t="shared" si="620"/>
        <v>50740.587999999996</v>
      </c>
      <c r="K119" s="726">
        <f>SUM(K115:K118)</f>
        <v>26426.495726495727</v>
      </c>
      <c r="L119" s="726">
        <f>SUM(L115:L118)</f>
        <v>24579.649999999998</v>
      </c>
      <c r="M119" s="1476">
        <f t="shared" si="620"/>
        <v>79782.849002849005</v>
      </c>
      <c r="N119" s="1476">
        <f t="shared" si="620"/>
        <v>75320.237999999998</v>
      </c>
      <c r="O119" s="726">
        <f>SUM(O115:O118)</f>
        <v>27307.378917378919</v>
      </c>
      <c r="P119" s="726">
        <f>SUM(P115:P118)</f>
        <v>25536.530000000002</v>
      </c>
      <c r="Q119" s="726">
        <f t="shared" ref="Q119:R119" si="621">SUM(Q115:Q118)</f>
        <v>107090.22792022793</v>
      </c>
      <c r="R119" s="726">
        <f t="shared" si="621"/>
        <v>100856.768</v>
      </c>
      <c r="S119" s="726">
        <f>SUM(S115:S118)</f>
        <v>27307.378917378919</v>
      </c>
      <c r="T119" s="726">
        <f>SUM(T115:T118)</f>
        <v>25411.723000000002</v>
      </c>
      <c r="U119" s="726">
        <f t="shared" ref="U119:V119" si="622">SUM(U115:U118)</f>
        <v>134397.60683760684</v>
      </c>
      <c r="V119" s="726">
        <f t="shared" si="622"/>
        <v>126268.49100000001</v>
      </c>
      <c r="W119" s="726">
        <f>SUM(W115:W118)</f>
        <v>25213.034188034184</v>
      </c>
      <c r="X119" s="726">
        <f>SUM(X115:X118)</f>
        <v>24654.53</v>
      </c>
      <c r="Y119" s="1476">
        <f t="shared" ref="Y119:Z119" si="623">SUM(Y115:Y118)</f>
        <v>79827.792022792026</v>
      </c>
      <c r="Z119" s="1476">
        <f t="shared" si="623"/>
        <v>75602.78300000001</v>
      </c>
      <c r="AA119" s="2395">
        <f t="shared" si="519"/>
        <v>159610.64102564103</v>
      </c>
      <c r="AB119" s="2395">
        <f t="shared" si="519"/>
        <v>150923.02100000001</v>
      </c>
      <c r="AC119" s="726">
        <f>SUM(AC115:AC118)</f>
        <v>27307.378917378919</v>
      </c>
      <c r="AD119" s="726">
        <f>SUM(AD115:AD118)</f>
        <v>25198.156000000003</v>
      </c>
      <c r="AE119" s="726">
        <f t="shared" ref="AE119:AF119" si="624">SUM(AE115:AE118)</f>
        <v>186918.01994301996</v>
      </c>
      <c r="AF119" s="726">
        <f t="shared" si="624"/>
        <v>176121.17700000003</v>
      </c>
      <c r="AG119" s="726">
        <f>SUM(AG115:AG118)</f>
        <v>26426.495726495727</v>
      </c>
      <c r="AH119" s="726">
        <f>SUM(AH115:AH118)</f>
        <v>24629.567999999999</v>
      </c>
      <c r="AI119" s="726">
        <f t="shared" ref="AI119:AN119" si="625">SUM(AI115:AI118)</f>
        <v>213344.51566951568</v>
      </c>
      <c r="AJ119" s="726">
        <f t="shared" si="625"/>
        <v>200750.745</v>
      </c>
      <c r="AK119" s="726">
        <f>SUM(AK115:AK118)</f>
        <v>27307.378917378919</v>
      </c>
      <c r="AL119" s="726">
        <f>SUM(AL115:AL118)</f>
        <v>25470.210989010986</v>
      </c>
      <c r="AM119" s="1476">
        <f t="shared" si="625"/>
        <v>81041.253561253558</v>
      </c>
      <c r="AN119" s="1476">
        <f t="shared" si="625"/>
        <v>75297.934989010973</v>
      </c>
      <c r="AO119" s="726">
        <f t="shared" ref="AO119:AT119" si="626">SUM(AO115:AO118)</f>
        <v>240651.8945868946</v>
      </c>
      <c r="AP119" s="726">
        <f t="shared" si="626"/>
        <v>226220.95598901104</v>
      </c>
      <c r="AQ119" s="726">
        <f>SUM(AQ115:AQ118)</f>
        <v>27307.378917378919</v>
      </c>
      <c r="AR119" s="726">
        <f>SUM(AR115:AR118)</f>
        <v>26297.195</v>
      </c>
      <c r="AS119" s="726">
        <f t="shared" si="626"/>
        <v>267959.27350427356</v>
      </c>
      <c r="AT119" s="726">
        <f t="shared" si="626"/>
        <v>252518.15098901105</v>
      </c>
      <c r="AU119" s="726">
        <f>SUM(AU115:AU118)</f>
        <v>24664.729344729345</v>
      </c>
      <c r="AV119" s="726">
        <f>SUM(AV115:AV118)</f>
        <v>23792.288</v>
      </c>
      <c r="AW119" s="726">
        <f t="shared" ref="AW119:AX119" si="627">SUM(AW115:AW118)</f>
        <v>292624.00284900289</v>
      </c>
      <c r="AX119" s="726">
        <f t="shared" si="627"/>
        <v>276310.43898901105</v>
      </c>
      <c r="AY119" s="726">
        <f>SUM(AY115:AY118)</f>
        <v>27307.378917378919</v>
      </c>
      <c r="AZ119" s="726">
        <f>SUM(AZ115:AZ118)</f>
        <v>26513.881999999998</v>
      </c>
      <c r="BA119" s="1476">
        <f t="shared" ref="BA119:BB119" si="628">SUM(BA115:BA118)</f>
        <v>79279.487179487187</v>
      </c>
      <c r="BB119" s="1476">
        <f t="shared" si="628"/>
        <v>76603.364999999991</v>
      </c>
      <c r="BC119" s="2679">
        <f>+AM119+BA119</f>
        <v>160320.74074074073</v>
      </c>
      <c r="BD119" s="2679">
        <f>+AN119+BB119</f>
        <v>151901.29998901096</v>
      </c>
      <c r="BE119" s="726">
        <f t="shared" ref="BE119:BF119" si="629">SUM(BE115:BE118)</f>
        <v>319931.38176638179</v>
      </c>
      <c r="BF119" s="726">
        <f t="shared" si="629"/>
        <v>302824.32098901103</v>
      </c>
      <c r="BG119" s="1137">
        <f t="shared" si="284"/>
        <v>0</v>
      </c>
      <c r="BH119" s="1137">
        <f t="shared" si="285"/>
        <v>0</v>
      </c>
      <c r="BI119" s="1137"/>
      <c r="BJ119" s="1137">
        <f t="shared" si="311"/>
        <v>0</v>
      </c>
      <c r="BK119" s="1137">
        <f t="shared" si="312"/>
        <v>0</v>
      </c>
      <c r="BL119" s="25"/>
      <c r="BM119" s="25"/>
      <c r="BN119" s="25"/>
    </row>
    <row r="120" spans="1:70" ht="15" customHeight="1" thickBot="1" x14ac:dyDescent="0.3">
      <c r="B120" s="1761" t="s">
        <v>12</v>
      </c>
      <c r="C120" s="1560" t="s">
        <v>50</v>
      </c>
      <c r="D120" s="201">
        <f>+D114+D119</f>
        <v>1218264.4551851852</v>
      </c>
      <c r="E120" s="1234">
        <f>+E114+E119</f>
        <v>98986.102564102577</v>
      </c>
      <c r="F120" s="89">
        <f>+F114+F119</f>
        <v>97261.486000000004</v>
      </c>
      <c r="G120" s="1234">
        <f>+G114+G119</f>
        <v>105952.63019943022</v>
      </c>
      <c r="H120" s="89">
        <f>+H114+H119</f>
        <v>99534.110000000015</v>
      </c>
      <c r="I120" s="26">
        <f t="shared" ref="I120:N120" si="630">+I114+I119</f>
        <v>204938.73276353278</v>
      </c>
      <c r="J120" s="26">
        <f t="shared" si="630"/>
        <v>196795.59599999999</v>
      </c>
      <c r="K120" s="1234">
        <f>+K114+K119</f>
        <v>102534.80341880341</v>
      </c>
      <c r="L120" s="89">
        <f>+L114+L119</f>
        <v>97294.43</v>
      </c>
      <c r="M120" s="1472">
        <f t="shared" si="630"/>
        <v>307473.53618233616</v>
      </c>
      <c r="N120" s="1403">
        <f t="shared" si="630"/>
        <v>294090.02600000001</v>
      </c>
      <c r="O120" s="1234">
        <f>+O114+O119</f>
        <v>105952.63019943022</v>
      </c>
      <c r="P120" s="89">
        <f>+P114+P119</f>
        <v>101082.12</v>
      </c>
      <c r="Q120" s="26">
        <f t="shared" ref="Q120:R120" si="631">+Q114+Q119</f>
        <v>413426.16638176644</v>
      </c>
      <c r="R120" s="26">
        <f t="shared" si="631"/>
        <v>395172.14600000001</v>
      </c>
      <c r="S120" s="1234">
        <f>+S114+S119</f>
        <v>105952.63019943022</v>
      </c>
      <c r="T120" s="89">
        <f>+T114+T119</f>
        <v>100588.07100000001</v>
      </c>
      <c r="U120" s="26">
        <f t="shared" ref="U120:V120" si="632">+U114+U119</f>
        <v>519378.7965811966</v>
      </c>
      <c r="V120" s="26">
        <f t="shared" si="632"/>
        <v>495760.21700000006</v>
      </c>
      <c r="W120" s="1234">
        <f>+W114+W119</f>
        <v>97826.572649572656</v>
      </c>
      <c r="X120" s="89">
        <f>+X114+X119</f>
        <v>97590.849000000002</v>
      </c>
      <c r="Y120" s="683">
        <f t="shared" ref="Y120:Z120" si="633">+Y114+Y119</f>
        <v>309731.83304843307</v>
      </c>
      <c r="Z120" s="683">
        <f t="shared" si="633"/>
        <v>299261.03999999998</v>
      </c>
      <c r="AA120" s="2346">
        <f t="shared" si="519"/>
        <v>617205.36923076923</v>
      </c>
      <c r="AB120" s="2346">
        <f t="shared" si="519"/>
        <v>593351.06599999999</v>
      </c>
      <c r="AC120" s="1234">
        <f>+AC114+AC119</f>
        <v>105952.63019943022</v>
      </c>
      <c r="AD120" s="89">
        <f>+AD114+AD119</f>
        <v>99237.673999999999</v>
      </c>
      <c r="AE120" s="26">
        <f t="shared" ref="AE120:AF120" si="634">+AE114+AE119</f>
        <v>723157.9994301995</v>
      </c>
      <c r="AF120" s="26">
        <f t="shared" si="634"/>
        <v>692588.74</v>
      </c>
      <c r="AG120" s="1234">
        <f>+AG114+AG119</f>
        <v>102534.80341880341</v>
      </c>
      <c r="AH120" s="89">
        <f>+AH114+AH119</f>
        <v>97492.04</v>
      </c>
      <c r="AI120" s="26">
        <f t="shared" ref="AI120:AN120" si="635">+AI114+AI119</f>
        <v>825692.80284900288</v>
      </c>
      <c r="AJ120" s="26">
        <f t="shared" si="635"/>
        <v>790080.77999999991</v>
      </c>
      <c r="AK120" s="1234">
        <f>+AK114+AK119</f>
        <v>105952.63019943022</v>
      </c>
      <c r="AL120" s="89">
        <f>+AL114+AL119</f>
        <v>100819.58516483515</v>
      </c>
      <c r="AM120" s="683">
        <f t="shared" si="635"/>
        <v>314440.06381766382</v>
      </c>
      <c r="AN120" s="683">
        <f t="shared" si="635"/>
        <v>297549.29916483513</v>
      </c>
      <c r="AO120" s="26">
        <f t="shared" ref="AO120:AT120" si="636">+AO114+AO119</f>
        <v>931645.43304843293</v>
      </c>
      <c r="AP120" s="26">
        <f t="shared" si="636"/>
        <v>890900.36516483524</v>
      </c>
      <c r="AQ120" s="1234">
        <f>+AQ114+AQ119</f>
        <v>105952.63019943022</v>
      </c>
      <c r="AR120" s="89">
        <f>+AR114+AR119</f>
        <v>99929.342000000004</v>
      </c>
      <c r="AS120" s="26">
        <f t="shared" si="636"/>
        <v>1037598.0632478632</v>
      </c>
      <c r="AT120" s="26">
        <f t="shared" si="636"/>
        <v>990829.70716483518</v>
      </c>
      <c r="AU120" s="1234">
        <f>+AU114+AU119</f>
        <v>95699.149857549855</v>
      </c>
      <c r="AV120" s="89">
        <f>+AV114+AV119</f>
        <v>90410.692999999999</v>
      </c>
      <c r="AW120" s="26">
        <f t="shared" ref="AW120:AX120" si="637">+AW114+AW119</f>
        <v>1133297.2131054131</v>
      </c>
      <c r="AX120" s="26">
        <f t="shared" si="637"/>
        <v>1081240.4001648352</v>
      </c>
      <c r="AY120" s="1234">
        <f>+AY114+AY119</f>
        <v>105952.63019943022</v>
      </c>
      <c r="AZ120" s="89">
        <f>+AZ114+AZ119</f>
        <v>100752.753</v>
      </c>
      <c r="BA120" s="683">
        <f t="shared" ref="BA120:BB120" si="638">+BA114+BA119</f>
        <v>307604.41025641025</v>
      </c>
      <c r="BB120" s="683">
        <f t="shared" si="638"/>
        <v>291092.788</v>
      </c>
      <c r="BC120" s="2679">
        <f>+AM120+BA120</f>
        <v>622044.47407407407</v>
      </c>
      <c r="BD120" s="2679">
        <f>+AN120+BB120</f>
        <v>588642.08716483507</v>
      </c>
      <c r="BE120" s="26">
        <f t="shared" ref="BE120:BF120" si="639">+BE114+BE119</f>
        <v>1239249.8433048436</v>
      </c>
      <c r="BF120" s="26">
        <f t="shared" si="639"/>
        <v>1181993.1531648352</v>
      </c>
      <c r="BG120" s="1137">
        <f t="shared" si="284"/>
        <v>0</v>
      </c>
      <c r="BH120" s="1137">
        <f t="shared" si="285"/>
        <v>0</v>
      </c>
      <c r="BI120" s="1137"/>
      <c r="BJ120" s="1137">
        <f t="shared" si="311"/>
        <v>0</v>
      </c>
      <c r="BK120" s="1137">
        <f t="shared" si="312"/>
        <v>0</v>
      </c>
      <c r="BL120" s="25"/>
      <c r="BM120" s="25"/>
      <c r="BN120" s="25"/>
    </row>
    <row r="121" spans="1:70" ht="15.75" thickBot="1" x14ac:dyDescent="0.3">
      <c r="B121" s="1756" t="s">
        <v>1140</v>
      </c>
      <c r="C121" s="7569" t="s">
        <v>50</v>
      </c>
      <c r="D121" s="5157">
        <v>63414.575457875457</v>
      </c>
      <c r="E121" s="5157">
        <v>5152.544378698225</v>
      </c>
      <c r="F121" s="27">
        <v>5119.0259999999998</v>
      </c>
      <c r="G121" s="7701"/>
      <c r="H121" s="27">
        <v>5238.6400000000003</v>
      </c>
      <c r="I121" s="8007"/>
      <c r="J121" s="60">
        <f>+F121+H121</f>
        <v>10357.666000000001</v>
      </c>
      <c r="K121" s="7701"/>
      <c r="L121" s="27">
        <v>5120.76</v>
      </c>
      <c r="M121" s="7717"/>
      <c r="N121" s="81">
        <f>+F121+H121+L121</f>
        <v>15478.426000000001</v>
      </c>
      <c r="O121" s="7701"/>
      <c r="P121" s="27">
        <v>5320.11</v>
      </c>
      <c r="Q121" s="8007"/>
      <c r="R121" s="60">
        <f>+N121+P121</f>
        <v>20798.536</v>
      </c>
      <c r="S121" s="7701"/>
      <c r="T121" s="27">
        <v>5294.1090000000004</v>
      </c>
      <c r="U121" s="8007"/>
      <c r="V121" s="60">
        <f>+R121+T121</f>
        <v>26092.645</v>
      </c>
      <c r="W121" s="7701"/>
      <c r="X121" s="27">
        <v>5136.3609999999999</v>
      </c>
      <c r="Y121" s="7743"/>
      <c r="Z121" s="81">
        <f>+P121+T121+X121</f>
        <v>15750.580000000002</v>
      </c>
      <c r="AA121" s="8009"/>
      <c r="AB121" s="428">
        <f t="shared" ref="AB121" si="640">+N121+Z121</f>
        <v>31229.006000000001</v>
      </c>
      <c r="AC121" s="7701"/>
      <c r="AD121" s="27">
        <v>5223.0360000000001</v>
      </c>
      <c r="AE121" s="8007"/>
      <c r="AF121" s="60">
        <f>+AB121+AD121</f>
        <v>36452.042000000001</v>
      </c>
      <c r="AG121" s="7701"/>
      <c r="AH121" s="27">
        <v>5131.16</v>
      </c>
      <c r="AI121" s="8007"/>
      <c r="AJ121" s="60">
        <f>+AF121+AH121</f>
        <v>41583.202000000005</v>
      </c>
      <c r="AK121" s="7701"/>
      <c r="AL121" s="27">
        <v>5306.2939560439581</v>
      </c>
      <c r="AM121" s="7743"/>
      <c r="AN121" s="81">
        <f>+AD121+AH121+AL121</f>
        <v>15660.489956043959</v>
      </c>
      <c r="AO121" s="8007"/>
      <c r="AP121" s="712">
        <f t="shared" ref="AP121" si="641">AJ121+AL121</f>
        <v>46889.49595604396</v>
      </c>
      <c r="AQ121" s="7701"/>
      <c r="AR121" s="27">
        <v>5259.4390000000003</v>
      </c>
      <c r="AS121" s="8007"/>
      <c r="AT121" s="60">
        <f>+AP121+AR121</f>
        <v>52148.934956043959</v>
      </c>
      <c r="AU121" s="8005"/>
      <c r="AV121" s="27">
        <v>4758.4579999999996</v>
      </c>
      <c r="AW121" s="8007"/>
      <c r="AX121" s="60">
        <f>+AT121+AV121</f>
        <v>56907.392956043957</v>
      </c>
      <c r="AY121" s="8005"/>
      <c r="AZ121" s="27">
        <v>5302.777</v>
      </c>
      <c r="BA121" s="7743"/>
      <c r="BB121" s="81">
        <f>+AR121+AV121+AZ121</f>
        <v>15320.674000000001</v>
      </c>
      <c r="BC121" s="8009"/>
      <c r="BD121" s="2679">
        <f>+AN121+BB121</f>
        <v>30981.163956043958</v>
      </c>
      <c r="BE121" s="8007"/>
      <c r="BF121" s="5106">
        <f t="shared" ref="BF121" si="642">AX121+AZ121</f>
        <v>62210.169956043959</v>
      </c>
      <c r="BG121" s="1137">
        <f>AY121+AU121+AQ121+AK121+AG121+AC121+W121+S121+O121+K121+G121+E121-BE121</f>
        <v>5152.544378698225</v>
      </c>
      <c r="BH121" s="1137">
        <f t="shared" si="285"/>
        <v>0</v>
      </c>
      <c r="BI121" s="1137"/>
      <c r="BJ121" s="1137">
        <f t="shared" si="311"/>
        <v>0</v>
      </c>
      <c r="BK121" s="1137">
        <f t="shared" si="312"/>
        <v>0</v>
      </c>
      <c r="BL121" s="25"/>
      <c r="BM121" s="25"/>
      <c r="BN121" s="25"/>
    </row>
    <row r="122" spans="1:70" ht="16.5" thickBot="1" x14ac:dyDescent="0.3">
      <c r="B122" s="1762" t="s">
        <v>11</v>
      </c>
      <c r="C122" s="1310" t="s">
        <v>50</v>
      </c>
      <c r="D122" s="583">
        <f t="shared" ref="D122:AI122" si="643">SUM(D120:D121)</f>
        <v>1281679.0306430606</v>
      </c>
      <c r="E122" s="1040">
        <f t="shared" si="643"/>
        <v>104138.6469428008</v>
      </c>
      <c r="F122" s="1103">
        <f t="shared" si="643"/>
        <v>102380.512</v>
      </c>
      <c r="G122" s="1040">
        <f t="shared" si="643"/>
        <v>105952.63019943022</v>
      </c>
      <c r="H122" s="1103">
        <f t="shared" si="643"/>
        <v>104772.75000000001</v>
      </c>
      <c r="I122" s="506">
        <f t="shared" si="643"/>
        <v>204938.73276353278</v>
      </c>
      <c r="J122" s="506">
        <f t="shared" si="643"/>
        <v>207153.26199999999</v>
      </c>
      <c r="K122" s="1040">
        <f t="shared" si="643"/>
        <v>102534.80341880341</v>
      </c>
      <c r="L122" s="1103">
        <f t="shared" si="643"/>
        <v>102415.18999999999</v>
      </c>
      <c r="M122" s="795">
        <f t="shared" si="643"/>
        <v>307473.53618233616</v>
      </c>
      <c r="N122" s="1477">
        <f t="shared" si="643"/>
        <v>309568.45199999999</v>
      </c>
      <c r="O122" s="1040">
        <f t="shared" si="643"/>
        <v>105952.63019943022</v>
      </c>
      <c r="P122" s="1103">
        <f t="shared" si="643"/>
        <v>106402.23</v>
      </c>
      <c r="Q122" s="506">
        <f t="shared" si="643"/>
        <v>413426.16638176644</v>
      </c>
      <c r="R122" s="506">
        <f t="shared" si="643"/>
        <v>415970.68200000003</v>
      </c>
      <c r="S122" s="1040">
        <f t="shared" si="643"/>
        <v>105952.63019943022</v>
      </c>
      <c r="T122" s="1103">
        <f t="shared" si="643"/>
        <v>105882.18000000001</v>
      </c>
      <c r="U122" s="506">
        <f t="shared" si="643"/>
        <v>519378.7965811966</v>
      </c>
      <c r="V122" s="506">
        <f t="shared" si="643"/>
        <v>521852.86200000008</v>
      </c>
      <c r="W122" s="1040">
        <f t="shared" si="643"/>
        <v>97826.572649572656</v>
      </c>
      <c r="X122" s="1103">
        <f t="shared" si="643"/>
        <v>102727.21</v>
      </c>
      <c r="Y122" s="331">
        <f t="shared" si="643"/>
        <v>309731.83304843307</v>
      </c>
      <c r="Z122" s="331">
        <f t="shared" si="643"/>
        <v>315011.62</v>
      </c>
      <c r="AA122" s="2345">
        <f t="shared" si="643"/>
        <v>617205.36923076923</v>
      </c>
      <c r="AB122" s="437">
        <f t="shared" si="643"/>
        <v>624580.07200000004</v>
      </c>
      <c r="AC122" s="1040">
        <f t="shared" si="643"/>
        <v>105952.63019943022</v>
      </c>
      <c r="AD122" s="1103">
        <f t="shared" si="643"/>
        <v>104460.70999999999</v>
      </c>
      <c r="AE122" s="506">
        <f t="shared" si="643"/>
        <v>723157.9994301995</v>
      </c>
      <c r="AF122" s="506">
        <f t="shared" si="643"/>
        <v>729040.78200000001</v>
      </c>
      <c r="AG122" s="1040">
        <f t="shared" si="643"/>
        <v>102534.80341880341</v>
      </c>
      <c r="AH122" s="1103">
        <f t="shared" si="643"/>
        <v>102623.2</v>
      </c>
      <c r="AI122" s="506">
        <f t="shared" si="643"/>
        <v>825692.80284900288</v>
      </c>
      <c r="AJ122" s="506">
        <f t="shared" ref="AJ122:BF122" si="644">SUM(AJ120:AJ121)</f>
        <v>831663.98199999996</v>
      </c>
      <c r="AK122" s="1040">
        <f t="shared" si="644"/>
        <v>105952.63019943022</v>
      </c>
      <c r="AL122" s="1103">
        <f t="shared" si="644"/>
        <v>106125.87912087911</v>
      </c>
      <c r="AM122" s="331">
        <f t="shared" si="644"/>
        <v>314440.06381766382</v>
      </c>
      <c r="AN122" s="331">
        <f t="shared" si="644"/>
        <v>313209.78912087908</v>
      </c>
      <c r="AO122" s="506">
        <f t="shared" si="644"/>
        <v>931645.43304843293</v>
      </c>
      <c r="AP122" s="506">
        <f t="shared" si="644"/>
        <v>937789.86112087918</v>
      </c>
      <c r="AQ122" s="1040">
        <f t="shared" si="644"/>
        <v>105952.63019943022</v>
      </c>
      <c r="AR122" s="1103">
        <f t="shared" si="644"/>
        <v>105188.781</v>
      </c>
      <c r="AS122" s="506">
        <f t="shared" si="644"/>
        <v>1037598.0632478632</v>
      </c>
      <c r="AT122" s="506">
        <f t="shared" si="644"/>
        <v>1042978.6421208791</v>
      </c>
      <c r="AU122" s="1040">
        <f t="shared" si="644"/>
        <v>95699.149857549855</v>
      </c>
      <c r="AV122" s="1103">
        <f t="shared" si="644"/>
        <v>95169.150999999998</v>
      </c>
      <c r="AW122" s="506">
        <f t="shared" si="644"/>
        <v>1133297.2131054131</v>
      </c>
      <c r="AX122" s="506">
        <f t="shared" si="644"/>
        <v>1138147.7931208792</v>
      </c>
      <c r="AY122" s="1040">
        <f t="shared" si="644"/>
        <v>105952.63019943022</v>
      </c>
      <c r="AZ122" s="1103">
        <f t="shared" si="644"/>
        <v>106055.53</v>
      </c>
      <c r="BA122" s="331">
        <f t="shared" si="644"/>
        <v>307604.41025641025</v>
      </c>
      <c r="BB122" s="331">
        <f t="shared" si="644"/>
        <v>306413.462</v>
      </c>
      <c r="BC122" s="2345">
        <f t="shared" si="644"/>
        <v>622044.47407407407</v>
      </c>
      <c r="BD122" s="437">
        <f t="shared" si="644"/>
        <v>619623.25112087908</v>
      </c>
      <c r="BE122" s="506">
        <f t="shared" si="644"/>
        <v>1239249.8433048436</v>
      </c>
      <c r="BF122" s="506">
        <f t="shared" si="644"/>
        <v>1244203.3231208792</v>
      </c>
      <c r="BG122" s="1137">
        <f t="shared" si="284"/>
        <v>5152.5443786978722</v>
      </c>
      <c r="BH122" s="1137">
        <f t="shared" si="285"/>
        <v>0</v>
      </c>
      <c r="BI122" s="1137"/>
      <c r="BJ122" s="1137">
        <f t="shared" si="311"/>
        <v>0</v>
      </c>
      <c r="BK122" s="1137">
        <f t="shared" si="312"/>
        <v>0</v>
      </c>
      <c r="BL122" s="25"/>
      <c r="BM122" s="25"/>
      <c r="BN122" s="25"/>
    </row>
    <row r="123" spans="1:70" ht="18.75" x14ac:dyDescent="0.3">
      <c r="B123" s="1763" t="s">
        <v>616</v>
      </c>
      <c r="C123" s="1309"/>
      <c r="D123" s="505"/>
      <c r="E123" s="730"/>
      <c r="F123" s="1233"/>
      <c r="G123" s="730"/>
      <c r="H123" s="1233"/>
      <c r="I123" s="505"/>
      <c r="J123" s="505"/>
      <c r="K123" s="730"/>
      <c r="L123" s="1233"/>
      <c r="M123" s="730"/>
      <c r="N123" s="1233"/>
      <c r="O123" s="730"/>
      <c r="P123" s="1233"/>
      <c r="Q123" s="505"/>
      <c r="R123" s="505"/>
      <c r="S123" s="730"/>
      <c r="T123" s="1233"/>
      <c r="U123" s="505"/>
      <c r="V123" s="505"/>
      <c r="W123" s="730"/>
      <c r="X123" s="1233"/>
      <c r="Y123" s="505"/>
      <c r="Z123" s="505"/>
      <c r="AA123" s="2344"/>
      <c r="AB123" s="505"/>
      <c r="AC123" s="730"/>
      <c r="AD123" s="1233"/>
      <c r="AE123" s="505"/>
      <c r="AF123" s="505"/>
      <c r="AG123" s="730"/>
      <c r="AH123" s="1233"/>
      <c r="AI123" s="505"/>
      <c r="AJ123" s="505"/>
      <c r="AK123" s="730"/>
      <c r="AL123" s="1233"/>
      <c r="AM123" s="505"/>
      <c r="AN123" s="505"/>
      <c r="AO123" s="505"/>
      <c r="AP123" s="505"/>
      <c r="AQ123" s="730"/>
      <c r="AR123" s="1233"/>
      <c r="AS123" s="505"/>
      <c r="AT123" s="505"/>
      <c r="AU123" s="730"/>
      <c r="AV123" s="1233"/>
      <c r="AW123" s="505"/>
      <c r="AX123" s="505"/>
      <c r="AY123" s="730"/>
      <c r="AZ123" s="1233"/>
      <c r="BA123" s="505"/>
      <c r="BB123" s="505"/>
      <c r="BC123" s="2344"/>
      <c r="BD123" s="505"/>
      <c r="BE123" s="505"/>
      <c r="BF123" s="505"/>
      <c r="BG123" s="1137">
        <f t="shared" si="284"/>
        <v>0</v>
      </c>
      <c r="BH123" s="1137">
        <f t="shared" si="285"/>
        <v>0</v>
      </c>
      <c r="BI123" s="1137"/>
      <c r="BJ123" s="1137">
        <f t="shared" si="311"/>
        <v>0</v>
      </c>
      <c r="BK123" s="1137">
        <f t="shared" si="312"/>
        <v>0</v>
      </c>
      <c r="BL123" s="25"/>
      <c r="BM123" s="25"/>
      <c r="BN123" s="25"/>
    </row>
    <row r="124" spans="1:70" x14ac:dyDescent="0.25">
      <c r="B124" s="1756" t="s">
        <v>1922</v>
      </c>
      <c r="C124" s="1308" t="s">
        <v>50</v>
      </c>
      <c r="D124" s="1228">
        <f>+D108+D91</f>
        <v>772767.19010484323</v>
      </c>
      <c r="E124" s="1042">
        <f>+E108+E91</f>
        <v>63368.360341880347</v>
      </c>
      <c r="F124" s="1237">
        <f>+F108+F91</f>
        <v>60588.362000000001</v>
      </c>
      <c r="G124" s="5587">
        <f>+G108+G91</f>
        <v>78035.920227920229</v>
      </c>
      <c r="H124" s="1237">
        <f>+H108+H91</f>
        <v>69677.61</v>
      </c>
      <c r="I124" s="675">
        <f>+E124+G124</f>
        <v>141404.28056980058</v>
      </c>
      <c r="J124" s="60">
        <f>+F124+H124</f>
        <v>130265.97200000001</v>
      </c>
      <c r="K124" s="5699">
        <f>+K108+K91</f>
        <v>74507.213675213687</v>
      </c>
      <c r="L124" s="1237">
        <f>+L108+L91</f>
        <v>67831.056400000001</v>
      </c>
      <c r="M124" s="1043">
        <f t="shared" ref="M124:N130" si="645">+E124+G124+K124</f>
        <v>215911.49424501427</v>
      </c>
      <c r="N124" s="1478">
        <f t="shared" si="645"/>
        <v>198097.02840000001</v>
      </c>
      <c r="O124" s="5859">
        <f>+O108+O91</f>
        <v>76990.787464387467</v>
      </c>
      <c r="P124" s="1237">
        <f>+P108+P91</f>
        <v>71415.707999999999</v>
      </c>
      <c r="Q124" s="675">
        <f>+M124+O124</f>
        <v>292902.28170940175</v>
      </c>
      <c r="R124" s="60">
        <f>+N124+P124</f>
        <v>269512.73639999999</v>
      </c>
      <c r="S124" s="5925">
        <f>+S108+S91</f>
        <v>76990.787464387467</v>
      </c>
      <c r="T124" s="1237">
        <f>+T108+T91</f>
        <v>71852.167000000001</v>
      </c>
      <c r="U124" s="4323">
        <f>+Q124+S124</f>
        <v>369893.06917378923</v>
      </c>
      <c r="V124" s="60">
        <f>+R124+T124</f>
        <v>341364.90340000001</v>
      </c>
      <c r="W124" s="6023">
        <f>+W108+W91</f>
        <v>71696.943589743591</v>
      </c>
      <c r="X124" s="1237">
        <f>+X108+X91</f>
        <v>69649.012000000002</v>
      </c>
      <c r="Y124" s="713">
        <f t="shared" ref="Y124:Y126" si="646">+O124+S124+W124</f>
        <v>225678.51851851854</v>
      </c>
      <c r="Z124" s="81">
        <f t="shared" ref="Z124:Z126" si="647">+P124+T124+X124</f>
        <v>212916.88699999999</v>
      </c>
      <c r="AA124" s="2420">
        <f t="shared" ref="AA124:AA126" si="648">+M124+Y124</f>
        <v>441590.01276353281</v>
      </c>
      <c r="AB124" s="428">
        <f t="shared" ref="AB124:AB126" si="649">+N124+Z124</f>
        <v>411013.9154</v>
      </c>
      <c r="AC124" s="6158">
        <f>+AC108+AC91</f>
        <v>76990.787464387467</v>
      </c>
      <c r="AD124" s="1237">
        <f>+AD108+AD91</f>
        <v>70852.5</v>
      </c>
      <c r="AE124" s="675">
        <f t="shared" ref="AE124:AE130" si="650">+AA124+AC124</f>
        <v>518580.80022792029</v>
      </c>
      <c r="AF124" s="60">
        <f t="shared" ref="AF124:AF130" si="651">+AB124+AD124</f>
        <v>481866.4154</v>
      </c>
      <c r="AG124" s="6320">
        <f>+AG108+AG91</f>
        <v>74507.213675213687</v>
      </c>
      <c r="AH124" s="1237">
        <f>+AH108+AH91</f>
        <v>68663.539999999994</v>
      </c>
      <c r="AI124" s="675">
        <f t="shared" ref="AI124:AI130" si="652">+AE124+AG124</f>
        <v>593088.01390313404</v>
      </c>
      <c r="AJ124" s="60">
        <f t="shared" ref="AJ124:AJ130" si="653">+AF124+AH124</f>
        <v>550529.95539999998</v>
      </c>
      <c r="AK124" s="6579">
        <f>+AK108+AK91</f>
        <v>76990.787464387467</v>
      </c>
      <c r="AL124" s="1237">
        <f>+AL108+AL91</f>
        <v>69957.238555122283</v>
      </c>
      <c r="AM124" s="713">
        <f t="shared" ref="AM124:AM130" si="654">+AC124+AG124+AK124</f>
        <v>228488.78860398865</v>
      </c>
      <c r="AN124" s="81">
        <f t="shared" ref="AN124:AN130" si="655">+AD124+AH124+AL124</f>
        <v>209473.27855512226</v>
      </c>
      <c r="AO124" s="712">
        <f t="shared" ref="AO124" si="656">AI124+AK124</f>
        <v>670078.80136752152</v>
      </c>
      <c r="AP124" s="712">
        <f t="shared" ref="AP124" si="657">AJ124+AL124</f>
        <v>620487.19395512226</v>
      </c>
      <c r="AQ124" s="6663">
        <f>+AQ108+AQ91</f>
        <v>76990.787464387467</v>
      </c>
      <c r="AR124" s="1237">
        <f>+AR108+AR91</f>
        <v>69620.782999999996</v>
      </c>
      <c r="AS124" s="675">
        <f t="shared" ref="AS124:AS130" si="658">+AO124+AQ124</f>
        <v>747069.588831909</v>
      </c>
      <c r="AT124" s="60">
        <f t="shared" ref="AT124:AT130" si="659">+AP124+AR124</f>
        <v>690107.97695512231</v>
      </c>
      <c r="AU124" s="6835">
        <f>+AU108+AU91</f>
        <v>69540.066096866096</v>
      </c>
      <c r="AV124" s="1237">
        <f>+AV108+AV91</f>
        <v>61763.122799999997</v>
      </c>
      <c r="AW124" s="5014">
        <f t="shared" ref="AW124:AW130" si="660">+AS124+AU124</f>
        <v>816609.65492877504</v>
      </c>
      <c r="AX124" s="60">
        <f t="shared" ref="AX124:AX130" si="661">+AT124+AV124</f>
        <v>751871.09975512233</v>
      </c>
      <c r="AY124" s="6979">
        <f>+AY108+AY91</f>
        <v>76990.787464387467</v>
      </c>
      <c r="AZ124" s="1237">
        <f>+AZ108+AZ91</f>
        <v>63983.343999999997</v>
      </c>
      <c r="BA124" s="713">
        <f t="shared" ref="BA124:BA126" si="662">+AQ124+AU124+AY124</f>
        <v>223521.64102564106</v>
      </c>
      <c r="BB124" s="81">
        <f t="shared" ref="BB124:BB126" si="663">+AR124+AV124+AZ124</f>
        <v>195367.24979999999</v>
      </c>
      <c r="BC124" s="2679">
        <f t="shared" ref="BC124:BC130" si="664">+AM124+BA124</f>
        <v>452010.42962962971</v>
      </c>
      <c r="BD124" s="2679">
        <f t="shared" ref="BD124:BD130" si="665">+AN124+BB124</f>
        <v>404840.52835512225</v>
      </c>
      <c r="BE124" s="5106">
        <f t="shared" ref="BE124:BE130" si="666">AW124+AY124</f>
        <v>893600.44239316252</v>
      </c>
      <c r="BF124" s="5106">
        <f t="shared" ref="BF124:BF130" si="667">AX124+AZ124</f>
        <v>815854.44375512237</v>
      </c>
      <c r="BG124" s="1137">
        <f t="shared" si="284"/>
        <v>0</v>
      </c>
      <c r="BH124" s="1137">
        <f t="shared" si="285"/>
        <v>0</v>
      </c>
      <c r="BI124" s="1137"/>
      <c r="BJ124" s="1137">
        <f t="shared" si="311"/>
        <v>0</v>
      </c>
      <c r="BK124" s="1137">
        <f t="shared" si="312"/>
        <v>0</v>
      </c>
      <c r="BL124" s="25"/>
      <c r="BM124" s="25"/>
      <c r="BN124" s="25"/>
      <c r="BP124" s="502"/>
      <c r="BQ124" s="502"/>
      <c r="BR124" s="502"/>
    </row>
    <row r="125" spans="1:70" x14ac:dyDescent="0.25">
      <c r="B125" s="1756" t="s">
        <v>583</v>
      </c>
      <c r="C125" s="1308" t="s">
        <v>50</v>
      </c>
      <c r="D125" s="1228">
        <f t="shared" ref="D125:G127" si="668">+D109+D92</f>
        <v>185547.93121424501</v>
      </c>
      <c r="E125" s="1042">
        <f t="shared" si="668"/>
        <v>15182.875555555556</v>
      </c>
      <c r="F125" s="1238">
        <f t="shared" si="668"/>
        <v>8692.8139999999985</v>
      </c>
      <c r="G125" s="5587">
        <f t="shared" si="668"/>
        <v>16877.777777777781</v>
      </c>
      <c r="H125" s="1238">
        <f>H109+H92</f>
        <v>19435.73</v>
      </c>
      <c r="I125" s="675">
        <f>+E125+G125</f>
        <v>32060.653333333335</v>
      </c>
      <c r="J125" s="60">
        <f>+F125+H125</f>
        <v>28128.543999999998</v>
      </c>
      <c r="K125" s="5699">
        <f>+K109+K92</f>
        <v>16098.119658119658</v>
      </c>
      <c r="L125" s="1238">
        <f>L109+L92</f>
        <v>17192.101999999999</v>
      </c>
      <c r="M125" s="70">
        <f t="shared" si="645"/>
        <v>48158.772991452992</v>
      </c>
      <c r="N125" s="403">
        <f t="shared" si="645"/>
        <v>45320.645999999993</v>
      </c>
      <c r="O125" s="5859">
        <f>+O109+O92</f>
        <v>16634.723646723647</v>
      </c>
      <c r="P125" s="1238">
        <f>P109+P92</f>
        <v>1716.17</v>
      </c>
      <c r="Q125" s="675">
        <f t="shared" ref="Q125:Q130" si="669">+M125+O125</f>
        <v>64793.496638176643</v>
      </c>
      <c r="R125" s="60">
        <f t="shared" ref="R125:R130" si="670">+N125+P125</f>
        <v>47036.815999999992</v>
      </c>
      <c r="S125" s="5925">
        <f>+S109+S92</f>
        <v>16634.723646723647</v>
      </c>
      <c r="T125" s="1238">
        <f>T109+T92</f>
        <v>15147.786</v>
      </c>
      <c r="U125" s="4323">
        <f t="shared" ref="U125:U130" si="671">+Q125+S125</f>
        <v>81428.220284900293</v>
      </c>
      <c r="V125" s="60">
        <f t="shared" ref="V125:V130" si="672">+R125+T125</f>
        <v>62184.601999999992</v>
      </c>
      <c r="W125" s="6023">
        <f>+W109+W92</f>
        <v>15501.008547008545</v>
      </c>
      <c r="X125" s="1238">
        <f>X109+X92</f>
        <v>17328.204999999998</v>
      </c>
      <c r="Y125" s="713">
        <f t="shared" si="646"/>
        <v>48770.455840455841</v>
      </c>
      <c r="Z125" s="81">
        <f t="shared" si="647"/>
        <v>34192.160999999993</v>
      </c>
      <c r="AA125" s="2420">
        <f t="shared" si="648"/>
        <v>96929.22883190884</v>
      </c>
      <c r="AB125" s="428">
        <f t="shared" si="649"/>
        <v>79512.806999999986</v>
      </c>
      <c r="AC125" s="6158">
        <f>+AC109+AC92</f>
        <v>16634.723646723647</v>
      </c>
      <c r="AD125" s="1238">
        <f>AD109+AD92</f>
        <v>11806.232329999999</v>
      </c>
      <c r="AE125" s="675">
        <f t="shared" si="650"/>
        <v>113563.95247863249</v>
      </c>
      <c r="AF125" s="60">
        <f t="shared" si="651"/>
        <v>91319.039329999985</v>
      </c>
      <c r="AG125" s="6320">
        <f>+AG109+AG92</f>
        <v>16098.119658119658</v>
      </c>
      <c r="AH125" s="1238">
        <f>AH109+AH92</f>
        <v>12314.784</v>
      </c>
      <c r="AI125" s="675">
        <f t="shared" si="652"/>
        <v>129662.07213675215</v>
      </c>
      <c r="AJ125" s="60">
        <f t="shared" si="653"/>
        <v>103633.82332999998</v>
      </c>
      <c r="AK125" s="6579">
        <f>+AK109+AK92</f>
        <v>16634.723646723647</v>
      </c>
      <c r="AL125" s="1238">
        <f>AL109+AL92</f>
        <v>403.56263736263736</v>
      </c>
      <c r="AM125" s="713">
        <f t="shared" si="654"/>
        <v>49367.566951566958</v>
      </c>
      <c r="AN125" s="81">
        <f t="shared" si="655"/>
        <v>24524.578967362635</v>
      </c>
      <c r="AO125" s="712">
        <f t="shared" ref="AO125:AO130" si="673">AI125+AK125</f>
        <v>146296.7957834758</v>
      </c>
      <c r="AP125" s="712">
        <f t="shared" ref="AO125:AP132" si="674">AJ125+AL125</f>
        <v>104037.38596736263</v>
      </c>
      <c r="AQ125" s="6663">
        <f>+AQ109+AQ92</f>
        <v>16634.723646723647</v>
      </c>
      <c r="AR125" s="1238">
        <f>AR109+AR92</f>
        <v>0</v>
      </c>
      <c r="AS125" s="675">
        <f t="shared" si="658"/>
        <v>162931.51943019943</v>
      </c>
      <c r="AT125" s="60">
        <f t="shared" si="659"/>
        <v>104037.38596736263</v>
      </c>
      <c r="AU125" s="6835">
        <f>+AU109+AU92</f>
        <v>15024.911680911682</v>
      </c>
      <c r="AV125" s="1238">
        <f>AV109+AV92</f>
        <v>2948.3244</v>
      </c>
      <c r="AW125" s="5014">
        <f t="shared" si="660"/>
        <v>177956.43111111113</v>
      </c>
      <c r="AX125" s="60">
        <f t="shared" si="661"/>
        <v>106985.71036736263</v>
      </c>
      <c r="AY125" s="6979">
        <f>+AY109+AY92</f>
        <v>16634.723646723647</v>
      </c>
      <c r="AZ125" s="1238">
        <f>AZ109+AZ92</f>
        <v>2555.1</v>
      </c>
      <c r="BA125" s="713">
        <f t="shared" si="662"/>
        <v>48294.358974358976</v>
      </c>
      <c r="BB125" s="81">
        <f t="shared" si="663"/>
        <v>5503.4243999999999</v>
      </c>
      <c r="BC125" s="2679">
        <f t="shared" si="664"/>
        <v>97661.925925925927</v>
      </c>
      <c r="BD125" s="2679">
        <f t="shared" si="665"/>
        <v>30028.003367362635</v>
      </c>
      <c r="BE125" s="5106">
        <f t="shared" si="666"/>
        <v>194591.15475783477</v>
      </c>
      <c r="BF125" s="5106">
        <f t="shared" si="667"/>
        <v>109540.81036736263</v>
      </c>
      <c r="BG125" s="1137">
        <f t="shared" si="284"/>
        <v>0</v>
      </c>
      <c r="BH125" s="1137">
        <f t="shared" si="285"/>
        <v>0</v>
      </c>
      <c r="BI125" s="1137"/>
      <c r="BJ125" s="1137">
        <f t="shared" si="311"/>
        <v>0</v>
      </c>
      <c r="BK125" s="1137">
        <f t="shared" si="312"/>
        <v>0</v>
      </c>
      <c r="BL125" s="25"/>
      <c r="BM125" s="25"/>
      <c r="BN125" s="25"/>
      <c r="BP125" s="502"/>
      <c r="BQ125" s="502"/>
      <c r="BR125" s="502"/>
    </row>
    <row r="126" spans="1:70" x14ac:dyDescent="0.25">
      <c r="B126" s="1757" t="s">
        <v>2326</v>
      </c>
      <c r="C126" s="1308" t="s">
        <v>50</v>
      </c>
      <c r="D126" s="1228">
        <f t="shared" si="668"/>
        <v>26140.451991452992</v>
      </c>
      <c r="E126" s="1042">
        <f t="shared" si="668"/>
        <v>2139.2119658119659</v>
      </c>
      <c r="F126" s="1238">
        <f t="shared" si="668"/>
        <v>0</v>
      </c>
      <c r="G126" s="5587">
        <f t="shared" si="668"/>
        <v>4219.4444444444453</v>
      </c>
      <c r="H126" s="1238">
        <f>H110+H93</f>
        <v>0</v>
      </c>
      <c r="I126" s="675">
        <f t="shared" ref="I126:I129" si="675">+E126+G126</f>
        <v>6358.6564102564116</v>
      </c>
      <c r="J126" s="60">
        <f>+F126+H126</f>
        <v>0</v>
      </c>
      <c r="K126" s="5699">
        <f>+K110+K93</f>
        <v>4024.5299145299145</v>
      </c>
      <c r="L126" s="1238">
        <f>L110+L93</f>
        <v>0</v>
      </c>
      <c r="M126" s="70">
        <f t="shared" si="645"/>
        <v>10383.186324786326</v>
      </c>
      <c r="N126" s="403">
        <f t="shared" si="645"/>
        <v>0</v>
      </c>
      <c r="O126" s="5859">
        <f>+O110+O93</f>
        <v>4158.6809116809118</v>
      </c>
      <c r="P126" s="1238">
        <f>P110+P93</f>
        <v>17229.134221995999</v>
      </c>
      <c r="Q126" s="675">
        <f t="shared" si="669"/>
        <v>14541.867236467238</v>
      </c>
      <c r="R126" s="60">
        <f t="shared" si="670"/>
        <v>17229.134221995999</v>
      </c>
      <c r="S126" s="5925">
        <f>+S110+S93</f>
        <v>4158.6809116809118</v>
      </c>
      <c r="T126" s="1238">
        <f>T110+T93</f>
        <v>12261.861000000001</v>
      </c>
      <c r="U126" s="4323">
        <f t="shared" si="671"/>
        <v>18700.548148148151</v>
      </c>
      <c r="V126" s="60">
        <f t="shared" si="672"/>
        <v>29490.995221996</v>
      </c>
      <c r="W126" s="6023">
        <f>+W110+W93</f>
        <v>3875.2521367521363</v>
      </c>
      <c r="X126" s="1238">
        <f>X110+X93</f>
        <v>20076.626</v>
      </c>
      <c r="Y126" s="713">
        <f t="shared" si="646"/>
        <v>12192.61396011396</v>
      </c>
      <c r="Z126" s="81">
        <f t="shared" si="647"/>
        <v>49567.621221996</v>
      </c>
      <c r="AA126" s="2420">
        <f t="shared" si="648"/>
        <v>22575.800284900288</v>
      </c>
      <c r="AB126" s="428">
        <f t="shared" si="649"/>
        <v>49567.621221996</v>
      </c>
      <c r="AC126" s="6158">
        <f>+AC110+AC93</f>
        <v>4158.6809116809118</v>
      </c>
      <c r="AD126" s="1238">
        <f>AD110+AD93</f>
        <v>15413.934999999999</v>
      </c>
      <c r="AE126" s="675">
        <f t="shared" si="650"/>
        <v>26734.4811965812</v>
      </c>
      <c r="AF126" s="60">
        <f t="shared" si="651"/>
        <v>64981.556221995997</v>
      </c>
      <c r="AG126" s="6320">
        <f>+AG110+AG93</f>
        <v>4024.5299145299145</v>
      </c>
      <c r="AH126" s="1238">
        <f>AH110+AH93</f>
        <v>10276.188</v>
      </c>
      <c r="AI126" s="675">
        <f t="shared" si="652"/>
        <v>30759.011111111115</v>
      </c>
      <c r="AJ126" s="60">
        <f t="shared" si="653"/>
        <v>75257.744221995992</v>
      </c>
      <c r="AK126" s="6579">
        <f>+AK110+AK93</f>
        <v>4158.6809116809118</v>
      </c>
      <c r="AL126" s="1238">
        <f>AL110+AL93</f>
        <v>0</v>
      </c>
      <c r="AM126" s="713">
        <f t="shared" si="654"/>
        <v>12341.891737891739</v>
      </c>
      <c r="AN126" s="81">
        <f t="shared" si="655"/>
        <v>25690.123</v>
      </c>
      <c r="AO126" s="712">
        <f t="shared" si="673"/>
        <v>34917.692022792027</v>
      </c>
      <c r="AP126" s="712">
        <f t="shared" si="674"/>
        <v>75257.744221995992</v>
      </c>
      <c r="AQ126" s="6663">
        <f>+AQ110+AQ93</f>
        <v>4158.6809116809118</v>
      </c>
      <c r="AR126" s="1238">
        <f>AR110+AR93</f>
        <v>11175.875</v>
      </c>
      <c r="AS126" s="675">
        <f t="shared" si="658"/>
        <v>39076.372934472936</v>
      </c>
      <c r="AT126" s="60">
        <f t="shared" si="659"/>
        <v>86433.619221995992</v>
      </c>
      <c r="AU126" s="6835">
        <f>+AU110+AU93</f>
        <v>3756.2279202279205</v>
      </c>
      <c r="AV126" s="1238">
        <f>AV110+AV93</f>
        <v>9662.5290000000005</v>
      </c>
      <c r="AW126" s="5014">
        <f t="shared" si="660"/>
        <v>42832.600854700853</v>
      </c>
      <c r="AX126" s="60">
        <f t="shared" si="661"/>
        <v>96096.148221995987</v>
      </c>
      <c r="AY126" s="6979">
        <f>+AY110+AY93</f>
        <v>4158.6809116809118</v>
      </c>
      <c r="AZ126" s="1238">
        <f>AZ110+AZ93</f>
        <v>0</v>
      </c>
      <c r="BA126" s="713">
        <f t="shared" si="662"/>
        <v>12073.589743589744</v>
      </c>
      <c r="BB126" s="81">
        <f t="shared" si="663"/>
        <v>20838.404000000002</v>
      </c>
      <c r="BC126" s="2679">
        <f t="shared" si="664"/>
        <v>24415.481481481482</v>
      </c>
      <c r="BD126" s="2679">
        <f t="shared" si="665"/>
        <v>46528.527000000002</v>
      </c>
      <c r="BE126" s="5106">
        <f t="shared" si="666"/>
        <v>46991.281766381762</v>
      </c>
      <c r="BF126" s="5106">
        <f t="shared" si="667"/>
        <v>96096.148221995987</v>
      </c>
      <c r="BG126" s="1137">
        <f t="shared" si="284"/>
        <v>0</v>
      </c>
      <c r="BH126" s="1137">
        <f t="shared" si="285"/>
        <v>0</v>
      </c>
      <c r="BI126" s="1137"/>
      <c r="BJ126" s="1137">
        <f t="shared" si="311"/>
        <v>0</v>
      </c>
      <c r="BK126" s="1137">
        <f t="shared" si="312"/>
        <v>0</v>
      </c>
      <c r="BL126" s="25"/>
      <c r="BM126" s="25"/>
      <c r="BN126" s="25"/>
      <c r="BP126" s="502"/>
      <c r="BQ126" s="502"/>
      <c r="BR126" s="502"/>
    </row>
    <row r="127" spans="1:70" s="4487" customFormat="1" x14ac:dyDescent="0.25">
      <c r="A127" s="137"/>
      <c r="B127" s="1757" t="s">
        <v>10</v>
      </c>
      <c r="C127" s="1308" t="s">
        <v>50</v>
      </c>
      <c r="D127" s="1228">
        <f t="shared" si="668"/>
        <v>98642.669031339028</v>
      </c>
      <c r="E127" s="5455">
        <f t="shared" si="668"/>
        <v>8091.1623931623935</v>
      </c>
      <c r="F127" s="1238">
        <f t="shared" si="668"/>
        <v>7086.0479999999989</v>
      </c>
      <c r="G127" s="5587">
        <f t="shared" si="668"/>
        <v>4219.4444444444453</v>
      </c>
      <c r="H127" s="1238">
        <f>H111+H94</f>
        <v>0</v>
      </c>
      <c r="I127" s="5646">
        <f t="shared" ref="I127" si="676">+E127+G127</f>
        <v>12310.60683760684</v>
      </c>
      <c r="J127" s="60">
        <f>+F127+H127</f>
        <v>7086.0479999999989</v>
      </c>
      <c r="K127" s="5699">
        <f>+K111+K94</f>
        <v>4024.5299145299145</v>
      </c>
      <c r="L127" s="1238">
        <f>L111+L94</f>
        <v>925.98659999999995</v>
      </c>
      <c r="M127" s="5674">
        <f t="shared" ref="M127:M129" si="677">+E127+G127+K127</f>
        <v>16335.136752136754</v>
      </c>
      <c r="N127" s="403">
        <f t="shared" ref="N127:N129" si="678">+F127+H127+L127</f>
        <v>8012.034599999999</v>
      </c>
      <c r="O127" s="5859">
        <f>+O111+O94</f>
        <v>4158.6809116809118</v>
      </c>
      <c r="P127" s="1238">
        <f>P111+P94</f>
        <v>16299.490000000002</v>
      </c>
      <c r="Q127" s="5675">
        <f t="shared" ref="Q127:Q129" si="679">+M127+O127</f>
        <v>20493.817663817666</v>
      </c>
      <c r="R127" s="60">
        <f t="shared" ref="R127:R129" si="680">+N127+P127</f>
        <v>24311.524600000001</v>
      </c>
      <c r="S127" s="5925">
        <f>+S111+S94</f>
        <v>4158.6809116809118</v>
      </c>
      <c r="T127" s="1238">
        <f>T111+T94</f>
        <v>2210.8639999999996</v>
      </c>
      <c r="U127" s="5675">
        <f t="shared" ref="U127:U129" si="681">+Q127+S127</f>
        <v>24652.498575498579</v>
      </c>
      <c r="V127" s="60">
        <f t="shared" ref="V127:V129" si="682">+R127+T127</f>
        <v>26522.388599999998</v>
      </c>
      <c r="W127" s="6023">
        <f>+W111+W94</f>
        <v>3875.2521367521363</v>
      </c>
      <c r="X127" s="1238">
        <f>X111+X94</f>
        <v>0</v>
      </c>
      <c r="Y127" s="713">
        <f t="shared" ref="Y127:Y129" si="683">+O127+S127+W127</f>
        <v>12192.61396011396</v>
      </c>
      <c r="Z127" s="81">
        <f t="shared" ref="Z127:Z129" si="684">+P127+T127+X127</f>
        <v>18510.353999999999</v>
      </c>
      <c r="AA127" s="5673">
        <f t="shared" ref="AA127:AA129" si="685">+M127+Y127</f>
        <v>28527.750712250716</v>
      </c>
      <c r="AB127" s="428">
        <f t="shared" ref="AB127:AB129" si="686">+N127+Z127</f>
        <v>26522.388599999998</v>
      </c>
      <c r="AC127" s="6158">
        <f>+AC111+AC94</f>
        <v>4158.6809116809118</v>
      </c>
      <c r="AD127" s="1238">
        <f>AD111+AD94</f>
        <v>6569.1522580645169</v>
      </c>
      <c r="AE127" s="5675">
        <f t="shared" ref="AE127:AE129" si="687">+AA127+AC127</f>
        <v>32686.431623931629</v>
      </c>
      <c r="AF127" s="60">
        <f t="shared" ref="AF127:AF129" si="688">+AB127+AD127</f>
        <v>33091.540858064516</v>
      </c>
      <c r="AG127" s="6320">
        <f>+AG111+AG94</f>
        <v>4024.5299145299145</v>
      </c>
      <c r="AH127" s="1238">
        <f>AH111+AH94</f>
        <v>6411.6359999999995</v>
      </c>
      <c r="AI127" s="5675">
        <f t="shared" ref="AI127:AI129" si="689">+AE127+AG127</f>
        <v>36710.961538461546</v>
      </c>
      <c r="AJ127" s="60">
        <f t="shared" ref="AJ127:AJ129" si="690">+AF127+AH127</f>
        <v>39503.176858064515</v>
      </c>
      <c r="AK127" s="6579">
        <f>+AK111+AK94</f>
        <v>4158.6809116809118</v>
      </c>
      <c r="AL127" s="1238">
        <f>AL111+AL94</f>
        <v>18449.338728110597</v>
      </c>
      <c r="AM127" s="713">
        <f t="shared" ref="AM127:AM129" si="691">+AC127+AG127+AK127</f>
        <v>12341.891737891739</v>
      </c>
      <c r="AN127" s="81">
        <f t="shared" ref="AN127:AN129" si="692">+AD127+AH127+AL127</f>
        <v>31430.126986175113</v>
      </c>
      <c r="AO127" s="712">
        <f t="shared" ref="AO127:AO129" si="693">AI127+AK127</f>
        <v>40869.642450142455</v>
      </c>
      <c r="AP127" s="712">
        <f t="shared" ref="AP127:AP129" si="694">AJ127+AL127</f>
        <v>57952.515586175112</v>
      </c>
      <c r="AQ127" s="6663">
        <f>+AQ111+AQ94</f>
        <v>4158.6809116809118</v>
      </c>
      <c r="AR127" s="1238">
        <f>AR111+AR94</f>
        <v>17683.025999999998</v>
      </c>
      <c r="AS127" s="5675">
        <f t="shared" ref="AS127:AS129" si="695">+AO127+AQ127</f>
        <v>45028.323361823364</v>
      </c>
      <c r="AT127" s="60">
        <f t="shared" ref="AT127:AT129" si="696">+AP127+AR127</f>
        <v>75635.54158617511</v>
      </c>
      <c r="AU127" s="6835">
        <f>+AU111+AU94</f>
        <v>3756.2279202279205</v>
      </c>
      <c r="AV127" s="1238">
        <f>AV111+AV94</f>
        <v>15873.2322</v>
      </c>
      <c r="AW127" s="5675">
        <f t="shared" ref="AW127:AW129" si="697">+AS127+AU127</f>
        <v>48784.551282051281</v>
      </c>
      <c r="AX127" s="60">
        <f t="shared" ref="AX127:AX129" si="698">+AT127+AV127</f>
        <v>91508.773786175108</v>
      </c>
      <c r="AY127" s="6979">
        <f>+AY111+AY94</f>
        <v>4158.6809116809118</v>
      </c>
      <c r="AZ127" s="1238">
        <f>AZ111+AZ94</f>
        <v>23192.352999999999</v>
      </c>
      <c r="BA127" s="713">
        <f t="shared" ref="BA127:BA129" si="699">+AQ127+AU127+AY127</f>
        <v>12073.589743589744</v>
      </c>
      <c r="BB127" s="81">
        <f t="shared" ref="BB127:BB129" si="700">+AR127+AV127+AZ127</f>
        <v>56748.611199999999</v>
      </c>
      <c r="BC127" s="2679">
        <f t="shared" ref="BC127:BC129" si="701">+AM127+BA127</f>
        <v>24415.481481481482</v>
      </c>
      <c r="BD127" s="2679">
        <f t="shared" ref="BD127:BD129" si="702">+AN127+BB127</f>
        <v>88178.73818617512</v>
      </c>
      <c r="BE127" s="5681">
        <f t="shared" ref="BE127:BE129" si="703">AW127+AY127</f>
        <v>52943.23219373219</v>
      </c>
      <c r="BF127" s="5681">
        <f t="shared" ref="BF127:BF129" si="704">AX127+AZ127</f>
        <v>114701.12678617511</v>
      </c>
      <c r="BG127" s="1137">
        <f t="shared" si="284"/>
        <v>0</v>
      </c>
      <c r="BH127" s="1137">
        <f t="shared" si="285"/>
        <v>0</v>
      </c>
      <c r="BI127" s="1137"/>
      <c r="BJ127" s="1137">
        <f t="shared" si="311"/>
        <v>0</v>
      </c>
      <c r="BK127" s="1137">
        <f t="shared" si="312"/>
        <v>0</v>
      </c>
      <c r="BL127" s="25"/>
      <c r="BM127" s="25"/>
      <c r="BN127" s="25"/>
      <c r="BP127" s="502"/>
      <c r="BQ127" s="502"/>
      <c r="BR127" s="502"/>
    </row>
    <row r="128" spans="1:70" s="4487" customFormat="1" x14ac:dyDescent="0.25">
      <c r="A128" s="137"/>
      <c r="B128" s="7562" t="s">
        <v>1923</v>
      </c>
      <c r="C128" s="1308" t="s">
        <v>50</v>
      </c>
      <c r="D128" s="1228">
        <f>+D112+D95</f>
        <v>118371.20283760683</v>
      </c>
      <c r="E128" s="7544">
        <f>+E112+E95</f>
        <v>9709.3948717948733</v>
      </c>
      <c r="F128" s="1238">
        <f>+F112+F95</f>
        <v>18245.127</v>
      </c>
      <c r="G128" s="7544"/>
      <c r="H128" s="7566"/>
      <c r="I128" s="7542"/>
      <c r="J128" s="60"/>
      <c r="K128" s="7544"/>
      <c r="L128" s="7566"/>
      <c r="M128" s="5791"/>
      <c r="N128" s="7567"/>
      <c r="O128" s="7544"/>
      <c r="P128" s="7566"/>
      <c r="Q128" s="7542"/>
      <c r="R128" s="60"/>
      <c r="S128" s="7544"/>
      <c r="T128" s="7566"/>
      <c r="U128" s="7542"/>
      <c r="V128" s="60"/>
      <c r="W128" s="7544"/>
      <c r="X128" s="7566"/>
      <c r="Y128" s="713"/>
      <c r="Z128" s="81"/>
      <c r="AA128" s="7379"/>
      <c r="AB128" s="7565"/>
      <c r="AC128" s="7544"/>
      <c r="AD128" s="7566"/>
      <c r="AE128" s="7542"/>
      <c r="AF128" s="60"/>
      <c r="AG128" s="7544"/>
      <c r="AH128" s="7566"/>
      <c r="AI128" s="7542"/>
      <c r="AJ128" s="60"/>
      <c r="AK128" s="7544"/>
      <c r="AL128" s="7566"/>
      <c r="AM128" s="713"/>
      <c r="AN128" s="81"/>
      <c r="AO128" s="712"/>
      <c r="AP128" s="712"/>
      <c r="AQ128" s="7544"/>
      <c r="AR128" s="7566"/>
      <c r="AS128" s="7542"/>
      <c r="AT128" s="60"/>
      <c r="AU128" s="7544"/>
      <c r="AV128" s="7566"/>
      <c r="AW128" s="7542"/>
      <c r="AX128" s="60"/>
      <c r="AY128" s="7544"/>
      <c r="AZ128" s="7566"/>
      <c r="BA128" s="713"/>
      <c r="BB128" s="81"/>
      <c r="BC128" s="7379"/>
      <c r="BD128" s="7379"/>
      <c r="BE128" s="7044"/>
      <c r="BF128" s="7044"/>
      <c r="BG128" s="1137"/>
      <c r="BH128" s="1137"/>
      <c r="BI128" s="1137"/>
      <c r="BJ128" s="1137"/>
      <c r="BK128" s="1137"/>
      <c r="BL128" s="25"/>
      <c r="BM128" s="25"/>
      <c r="BN128" s="25"/>
      <c r="BP128" s="502"/>
      <c r="BQ128" s="502"/>
      <c r="BR128" s="502"/>
    </row>
    <row r="129" spans="1:70" x14ac:dyDescent="0.25">
      <c r="B129" s="1757" t="s">
        <v>1924</v>
      </c>
      <c r="C129" s="1308" t="s">
        <v>50</v>
      </c>
      <c r="D129" s="1228">
        <f>D113+D96</f>
        <v>124290.34177207976</v>
      </c>
      <c r="E129" s="1042">
        <f>E113+E96</f>
        <v>10175.080341880341</v>
      </c>
      <c r="F129" s="1238">
        <f>F113+F96</f>
        <v>12616.246999999999</v>
      </c>
      <c r="G129" s="5587">
        <f>+G112+G96</f>
        <v>0</v>
      </c>
      <c r="H129" s="1238">
        <f>H96+H112</f>
        <v>0</v>
      </c>
      <c r="I129" s="675">
        <f t="shared" si="675"/>
        <v>10175.080341880341</v>
      </c>
      <c r="J129" s="60">
        <f>+F129+H129</f>
        <v>12616.246999999999</v>
      </c>
      <c r="K129" s="5699">
        <f>+K112+K96</f>
        <v>0</v>
      </c>
      <c r="L129" s="1238">
        <f>L96+L112</f>
        <v>0</v>
      </c>
      <c r="M129" s="5674">
        <f t="shared" si="677"/>
        <v>10175.080341880341</v>
      </c>
      <c r="N129" s="403">
        <f t="shared" si="678"/>
        <v>12616.246999999999</v>
      </c>
      <c r="O129" s="5859">
        <f>+O112+O96</f>
        <v>0</v>
      </c>
      <c r="P129" s="1238">
        <f>P96+P112</f>
        <v>343.23</v>
      </c>
      <c r="Q129" s="5675">
        <f t="shared" si="679"/>
        <v>10175.080341880341</v>
      </c>
      <c r="R129" s="60">
        <f t="shared" si="680"/>
        <v>12959.476999999999</v>
      </c>
      <c r="S129" s="5925">
        <f>+S112+S96</f>
        <v>0</v>
      </c>
      <c r="T129" s="1238">
        <f>T96+T112</f>
        <v>514.85</v>
      </c>
      <c r="U129" s="5675">
        <f t="shared" si="681"/>
        <v>10175.080341880341</v>
      </c>
      <c r="V129" s="60">
        <f t="shared" si="682"/>
        <v>13474.326999999999</v>
      </c>
      <c r="W129" s="6023">
        <f>+W112+W96</f>
        <v>0</v>
      </c>
      <c r="X129" s="1238">
        <f>X96+X112</f>
        <v>0</v>
      </c>
      <c r="Y129" s="713">
        <f t="shared" si="683"/>
        <v>0</v>
      </c>
      <c r="Z129" s="81">
        <f t="shared" si="684"/>
        <v>858.08</v>
      </c>
      <c r="AA129" s="5673">
        <f t="shared" si="685"/>
        <v>10175.080341880341</v>
      </c>
      <c r="AB129" s="428">
        <f t="shared" si="686"/>
        <v>13474.326999999999</v>
      </c>
      <c r="AC129" s="6158">
        <f>+AC112+AC96</f>
        <v>0</v>
      </c>
      <c r="AD129" s="1238">
        <f>AD96+AD112</f>
        <v>1020.6849999999999</v>
      </c>
      <c r="AE129" s="5675">
        <f t="shared" si="687"/>
        <v>10175.080341880341</v>
      </c>
      <c r="AF129" s="60">
        <f t="shared" si="688"/>
        <v>14495.011999999999</v>
      </c>
      <c r="AG129" s="6320">
        <f>+AG112+AG96</f>
        <v>0</v>
      </c>
      <c r="AH129" s="1238">
        <f>AH96+AH112</f>
        <v>0</v>
      </c>
      <c r="AI129" s="5675">
        <f t="shared" si="689"/>
        <v>10175.080341880341</v>
      </c>
      <c r="AJ129" s="60">
        <f t="shared" si="690"/>
        <v>14495.011999999999</v>
      </c>
      <c r="AK129" s="6579">
        <f>+AK112+AK96</f>
        <v>0</v>
      </c>
      <c r="AL129" s="1238">
        <f>AL96+AL112</f>
        <v>0</v>
      </c>
      <c r="AM129" s="713">
        <f t="shared" si="691"/>
        <v>0</v>
      </c>
      <c r="AN129" s="81">
        <f t="shared" si="692"/>
        <v>1020.6849999999999</v>
      </c>
      <c r="AO129" s="712">
        <f t="shared" si="693"/>
        <v>10175.080341880341</v>
      </c>
      <c r="AP129" s="712">
        <f t="shared" si="694"/>
        <v>14495.011999999999</v>
      </c>
      <c r="AQ129" s="6663">
        <f>+AQ112+AQ96</f>
        <v>0</v>
      </c>
      <c r="AR129" s="1238">
        <f>AR96+AR112</f>
        <v>0</v>
      </c>
      <c r="AS129" s="5675">
        <f t="shared" si="695"/>
        <v>10175.080341880341</v>
      </c>
      <c r="AT129" s="60">
        <f t="shared" si="696"/>
        <v>14495.011999999999</v>
      </c>
      <c r="AU129" s="6835">
        <f>+AU112+AU96</f>
        <v>0</v>
      </c>
      <c r="AV129" s="1238">
        <f>AV96+AV112</f>
        <v>0</v>
      </c>
      <c r="AW129" s="5675">
        <f t="shared" si="697"/>
        <v>10175.080341880341</v>
      </c>
      <c r="AX129" s="60">
        <f t="shared" si="698"/>
        <v>14495.011999999999</v>
      </c>
      <c r="AY129" s="6979">
        <f>+AY112+AY96</f>
        <v>0</v>
      </c>
      <c r="AZ129" s="1238">
        <f>AZ96+AZ112</f>
        <v>0</v>
      </c>
      <c r="BA129" s="713">
        <f t="shared" si="699"/>
        <v>0</v>
      </c>
      <c r="BB129" s="81">
        <f t="shared" si="700"/>
        <v>0</v>
      </c>
      <c r="BC129" s="2679">
        <f t="shared" si="701"/>
        <v>0</v>
      </c>
      <c r="BD129" s="2679">
        <f t="shared" si="702"/>
        <v>1020.6849999999999</v>
      </c>
      <c r="BE129" s="5681">
        <f t="shared" si="703"/>
        <v>10175.080341880341</v>
      </c>
      <c r="BF129" s="5681">
        <f t="shared" si="704"/>
        <v>14495.011999999999</v>
      </c>
      <c r="BG129" s="1137">
        <f t="shared" si="284"/>
        <v>0</v>
      </c>
      <c r="BH129" s="1137">
        <f t="shared" si="285"/>
        <v>0</v>
      </c>
      <c r="BI129" s="1137"/>
      <c r="BJ129" s="1137">
        <f t="shared" si="311"/>
        <v>0</v>
      </c>
      <c r="BK129" s="1137">
        <f t="shared" si="312"/>
        <v>0</v>
      </c>
      <c r="BL129" s="25"/>
      <c r="BM129" s="25"/>
      <c r="BN129" s="25"/>
      <c r="BP129" s="502"/>
      <c r="BQ129" s="502"/>
      <c r="BR129" s="502"/>
    </row>
    <row r="130" spans="1:70" ht="15.75" thickBot="1" x14ac:dyDescent="0.3">
      <c r="B130" s="1757" t="s">
        <v>1229</v>
      </c>
      <c r="C130" s="1308" t="s">
        <v>50</v>
      </c>
      <c r="D130" s="1228">
        <f>D97</f>
        <v>13809.394871794872</v>
      </c>
      <c r="E130" s="1042">
        <f>E97</f>
        <v>1152.5470085470085</v>
      </c>
      <c r="F130" s="1238">
        <f>F97</f>
        <v>0</v>
      </c>
      <c r="G130" s="5587">
        <f>+G113+G97</f>
        <v>15190</v>
      </c>
      <c r="H130" s="1238">
        <f>H97+H113</f>
        <v>22578.91</v>
      </c>
      <c r="I130" s="675">
        <f>+E130+G130</f>
        <v>16342.547008547008</v>
      </c>
      <c r="J130" s="60">
        <f>+F130+H130</f>
        <v>22578.91</v>
      </c>
      <c r="K130" s="5699">
        <f>+K113+K97</f>
        <v>14488.307692307691</v>
      </c>
      <c r="L130" s="1238">
        <f>L97+L113</f>
        <v>21898.656000000003</v>
      </c>
      <c r="M130" s="70">
        <f t="shared" si="645"/>
        <v>30830.854700854699</v>
      </c>
      <c r="N130" s="403">
        <f t="shared" si="645"/>
        <v>44477.566000000006</v>
      </c>
      <c r="O130" s="5859">
        <f>+O113+O97</f>
        <v>14971.251282051282</v>
      </c>
      <c r="P130" s="1238">
        <f>P97+P113</f>
        <v>5439.9497780040001</v>
      </c>
      <c r="Q130" s="675">
        <f t="shared" si="669"/>
        <v>45802.105982905981</v>
      </c>
      <c r="R130" s="60">
        <f t="shared" si="670"/>
        <v>49917.515778004003</v>
      </c>
      <c r="S130" s="5925">
        <f>+S113+S97</f>
        <v>14971.251282051282</v>
      </c>
      <c r="T130" s="1238">
        <f>T97+T113</f>
        <v>10510.65</v>
      </c>
      <c r="U130" s="4323">
        <f t="shared" si="671"/>
        <v>60773.35726495726</v>
      </c>
      <c r="V130" s="60">
        <f t="shared" si="672"/>
        <v>60428.165778004004</v>
      </c>
      <c r="W130" s="6023">
        <f>+W113+W97</f>
        <v>13950.90769230769</v>
      </c>
      <c r="X130" s="1238">
        <f>X97+X113</f>
        <v>2000.3759999999997</v>
      </c>
      <c r="Y130" s="713">
        <f t="shared" ref="Y130" si="705">+O130+S130+W130</f>
        <v>43893.41025641025</v>
      </c>
      <c r="Z130" s="81">
        <f t="shared" ref="Z130" si="706">+P130+T130+X130</f>
        <v>17950.975778003998</v>
      </c>
      <c r="AA130" s="5142">
        <f t="shared" ref="AA130" si="707">+M130+Y130</f>
        <v>74724.264957264953</v>
      </c>
      <c r="AB130" s="428">
        <f t="shared" ref="AB130" si="708">+N130+Z130</f>
        <v>62428.541778004001</v>
      </c>
      <c r="AC130" s="6158">
        <f>+AC113+AC97</f>
        <v>14971.251282051282</v>
      </c>
      <c r="AD130" s="1238">
        <f>AD97+AD113</f>
        <v>4598.4065806451608</v>
      </c>
      <c r="AE130" s="675">
        <f t="shared" si="650"/>
        <v>89695.516239316232</v>
      </c>
      <c r="AF130" s="60">
        <f t="shared" si="651"/>
        <v>67026.948358649155</v>
      </c>
      <c r="AG130" s="6320">
        <f>+AG113+AG97</f>
        <v>14488.307692307691</v>
      </c>
      <c r="AH130" s="1238">
        <f>AH97+AH113</f>
        <v>9391.7160000000003</v>
      </c>
      <c r="AI130" s="675">
        <f t="shared" si="652"/>
        <v>104183.82393162392</v>
      </c>
      <c r="AJ130" s="60">
        <f t="shared" si="653"/>
        <v>76418.664358649155</v>
      </c>
      <c r="AK130" s="6579">
        <f>+AK113+AK97</f>
        <v>14971.251282051282</v>
      </c>
      <c r="AL130" s="1238">
        <f>AL97+AL113</f>
        <v>20329.385868131874</v>
      </c>
      <c r="AM130" s="713">
        <f t="shared" si="654"/>
        <v>44430.810256410259</v>
      </c>
      <c r="AN130" s="81">
        <f t="shared" si="655"/>
        <v>34319.508448777036</v>
      </c>
      <c r="AO130" s="712">
        <f t="shared" si="673"/>
        <v>119155.0752136752</v>
      </c>
      <c r="AP130" s="712">
        <f t="shared" si="674"/>
        <v>96748.050226781023</v>
      </c>
      <c r="AQ130" s="6663">
        <f>+AQ113+AQ97</f>
        <v>14971.251282051282</v>
      </c>
      <c r="AR130" s="1238">
        <f>AR97+AR113</f>
        <v>9047.723</v>
      </c>
      <c r="AS130" s="675">
        <f t="shared" si="658"/>
        <v>134126.32649572648</v>
      </c>
      <c r="AT130" s="60">
        <f t="shared" si="659"/>
        <v>105795.77322678102</v>
      </c>
      <c r="AU130" s="6835">
        <f>+AU113+AU97</f>
        <v>13522.420512820512</v>
      </c>
      <c r="AV130" s="1238">
        <f>AV97+AV113</f>
        <v>8303.0489999999991</v>
      </c>
      <c r="AW130" s="5014">
        <f t="shared" si="660"/>
        <v>147648.74700854698</v>
      </c>
      <c r="AX130" s="60">
        <f t="shared" si="661"/>
        <v>114098.82222678102</v>
      </c>
      <c r="AY130" s="6979">
        <f>+AY113+AY97</f>
        <v>14971.251282051282</v>
      </c>
      <c r="AZ130" s="1238">
        <f>AZ97+AZ113</f>
        <v>21255.673999999999</v>
      </c>
      <c r="BA130" s="713">
        <f t="shared" ref="BA130" si="709">+AQ130+AU130+AY130</f>
        <v>43464.923076923078</v>
      </c>
      <c r="BB130" s="81">
        <f t="shared" ref="BB130" si="710">+AR130+AV130+AZ130</f>
        <v>38606.445999999996</v>
      </c>
      <c r="BC130" s="2679">
        <f t="shared" si="664"/>
        <v>87895.733333333337</v>
      </c>
      <c r="BD130" s="2679">
        <f t="shared" si="665"/>
        <v>72925.954448777033</v>
      </c>
      <c r="BE130" s="5106">
        <f t="shared" si="666"/>
        <v>162619.99829059828</v>
      </c>
      <c r="BF130" s="5106">
        <f t="shared" si="667"/>
        <v>135354.49622678102</v>
      </c>
      <c r="BG130" s="1137">
        <f t="shared" si="284"/>
        <v>0</v>
      </c>
      <c r="BH130" s="1137">
        <f t="shared" si="285"/>
        <v>0</v>
      </c>
      <c r="BI130" s="1137"/>
      <c r="BJ130" s="1137">
        <f t="shared" si="311"/>
        <v>0</v>
      </c>
      <c r="BK130" s="1137">
        <f t="shared" si="312"/>
        <v>0</v>
      </c>
      <c r="BL130" s="25"/>
      <c r="BM130" s="25"/>
      <c r="BN130" s="25"/>
      <c r="BP130" s="502"/>
      <c r="BQ130" s="502"/>
      <c r="BR130" s="502"/>
    </row>
    <row r="131" spans="1:70" ht="16.5" thickBot="1" x14ac:dyDescent="0.3">
      <c r="B131" s="1762" t="s">
        <v>13</v>
      </c>
      <c r="C131" s="1310" t="s">
        <v>50</v>
      </c>
      <c r="D131" s="129">
        <f>SUM(D124:D130)</f>
        <v>1339569.1818233617</v>
      </c>
      <c r="E131" s="506">
        <f>SUM(E124:E130)</f>
        <v>109818.6324786325</v>
      </c>
      <c r="F131" s="726">
        <f>SUM(F124:F130)</f>
        <v>107228.598</v>
      </c>
      <c r="G131" s="506">
        <f>SUM(G124:G130)</f>
        <v>118542.58689458689</v>
      </c>
      <c r="H131" s="726">
        <f>SUM(H124:H130)</f>
        <v>111692.25</v>
      </c>
      <c r="I131" s="506">
        <f t="shared" ref="I131:N131" si="711">SUM(I124:I130)</f>
        <v>218651.8245014245</v>
      </c>
      <c r="J131" s="506">
        <f t="shared" si="711"/>
        <v>200675.72100000002</v>
      </c>
      <c r="K131" s="506">
        <f>SUM(K124:K130)</f>
        <v>113142.70085470087</v>
      </c>
      <c r="L131" s="726">
        <f>SUM(L124:L130)</f>
        <v>107847.80100000001</v>
      </c>
      <c r="M131" s="331">
        <f t="shared" si="711"/>
        <v>331794.52535612538</v>
      </c>
      <c r="N131" s="1476">
        <f t="shared" si="711"/>
        <v>308523.522</v>
      </c>
      <c r="O131" s="506">
        <f>SUM(O124:O130)</f>
        <v>116914.12421652423</v>
      </c>
      <c r="P131" s="726">
        <f>SUM(P124:P130)</f>
        <v>112443.682</v>
      </c>
      <c r="Q131" s="506">
        <f t="shared" ref="Q131:R131" si="712">SUM(Q124:Q130)</f>
        <v>448708.64957264962</v>
      </c>
      <c r="R131" s="506">
        <f t="shared" si="712"/>
        <v>420967.20400000003</v>
      </c>
      <c r="S131" s="506">
        <f>SUM(S124:S130)</f>
        <v>116914.12421652423</v>
      </c>
      <c r="T131" s="726">
        <f>SUM(T124:T130)</f>
        <v>112498.17800000001</v>
      </c>
      <c r="U131" s="506">
        <f t="shared" ref="U131:V131" si="713">SUM(U124:U130)</f>
        <v>565622.77378917381</v>
      </c>
      <c r="V131" s="506">
        <f t="shared" si="713"/>
        <v>533465.38199999998</v>
      </c>
      <c r="W131" s="506">
        <f>SUM(W124:W130)</f>
        <v>108899.36410256411</v>
      </c>
      <c r="X131" s="726">
        <f>SUM(X124:X130)</f>
        <v>109054.21900000001</v>
      </c>
      <c r="Y131" s="331">
        <f t="shared" ref="Y131:AF131" si="714">SUM(Y124:Y130)</f>
        <v>342727.61253561254</v>
      </c>
      <c r="Z131" s="331">
        <f t="shared" si="714"/>
        <v>333996.07899999997</v>
      </c>
      <c r="AA131" s="2345">
        <f t="shared" si="714"/>
        <v>674522.13789173798</v>
      </c>
      <c r="AB131" s="437">
        <f t="shared" si="714"/>
        <v>642519.60100000002</v>
      </c>
      <c r="AC131" s="506">
        <f>SUM(AC124:AC130)</f>
        <v>116914.12421652423</v>
      </c>
      <c r="AD131" s="726">
        <f>SUM(AD124:AD130)</f>
        <v>110260.91116870966</v>
      </c>
      <c r="AE131" s="506">
        <f t="shared" si="714"/>
        <v>791436.26210826205</v>
      </c>
      <c r="AF131" s="506">
        <f t="shared" si="714"/>
        <v>752780.51216870965</v>
      </c>
      <c r="AG131" s="506">
        <f>SUM(AG124:AG130)</f>
        <v>113142.70085470087</v>
      </c>
      <c r="AH131" s="726">
        <f>SUM(AH124:AH130)</f>
        <v>107057.86399999999</v>
      </c>
      <c r="AI131" s="506">
        <f t="shared" ref="AI131:AN131" si="715">SUM(AI124:AI130)</f>
        <v>904578.96296296315</v>
      </c>
      <c r="AJ131" s="506">
        <f t="shared" si="715"/>
        <v>859838.3761687096</v>
      </c>
      <c r="AK131" s="506">
        <f>SUM(AK124:AK130)</f>
        <v>116914.12421652423</v>
      </c>
      <c r="AL131" s="726">
        <f>SUM(AL124:AL130)</f>
        <v>109139.52578872739</v>
      </c>
      <c r="AM131" s="331">
        <f t="shared" si="715"/>
        <v>346970.94928774936</v>
      </c>
      <c r="AN131" s="331">
        <f t="shared" si="715"/>
        <v>326458.30095743702</v>
      </c>
      <c r="AO131" s="506">
        <f t="shared" ref="AO131:AT131" si="716">SUM(AO124:AO130)</f>
        <v>1021493.0871794872</v>
      </c>
      <c r="AP131" s="506">
        <f t="shared" si="716"/>
        <v>968977.90195743716</v>
      </c>
      <c r="AQ131" s="506">
        <f>SUM(AQ124:AQ130)</f>
        <v>116914.12421652423</v>
      </c>
      <c r="AR131" s="726">
        <f>SUM(AR124:AR130)</f>
        <v>107527.40699999999</v>
      </c>
      <c r="AS131" s="506">
        <f t="shared" si="716"/>
        <v>1138407.2113960115</v>
      </c>
      <c r="AT131" s="506">
        <f t="shared" si="716"/>
        <v>1076505.3089574371</v>
      </c>
      <c r="AU131" s="506">
        <f>SUM(AU124:AU130)</f>
        <v>105599.85413105412</v>
      </c>
      <c r="AV131" s="726">
        <f>SUM(AV124:AV130)</f>
        <v>98550.257399999988</v>
      </c>
      <c r="AW131" s="506">
        <f t="shared" ref="AW131:AX131" si="717">SUM(AW124:AW130)</f>
        <v>1244007.0655270657</v>
      </c>
      <c r="AX131" s="506">
        <f t="shared" si="717"/>
        <v>1175055.5663574371</v>
      </c>
      <c r="AY131" s="506">
        <f>SUM(AY124:AY130)</f>
        <v>116914.12421652423</v>
      </c>
      <c r="AZ131" s="726">
        <f>SUM(AZ124:AZ130)</f>
        <v>110986.47100000001</v>
      </c>
      <c r="BA131" s="331">
        <f t="shared" ref="BA131:BB131" si="718">SUM(BA124:BA130)</f>
        <v>339428.10256410262</v>
      </c>
      <c r="BB131" s="331">
        <f t="shared" si="718"/>
        <v>317064.13539999997</v>
      </c>
      <c r="BC131" s="2345">
        <f>SUM(BC124:BC130)</f>
        <v>686399.05185185187</v>
      </c>
      <c r="BD131" s="437">
        <f>SUM(BD124:BD130)</f>
        <v>643522.43635743717</v>
      </c>
      <c r="BE131" s="506">
        <f t="shared" ref="BE131:BF131" si="719">SUM(BE124:BE130)</f>
        <v>1360921.1897435901</v>
      </c>
      <c r="BF131" s="506">
        <f t="shared" si="719"/>
        <v>1286042.0373574372</v>
      </c>
      <c r="BG131" s="1137">
        <f t="shared" si="284"/>
        <v>9709.3948717943858</v>
      </c>
      <c r="BH131" s="1137">
        <f t="shared" si="285"/>
        <v>18245.126999999862</v>
      </c>
      <c r="BI131" s="1137"/>
      <c r="BJ131" s="1137">
        <f t="shared" si="311"/>
        <v>0</v>
      </c>
      <c r="BK131" s="1137">
        <f t="shared" si="312"/>
        <v>0</v>
      </c>
      <c r="BL131" s="25"/>
      <c r="BM131" s="25"/>
      <c r="BN131" s="25"/>
      <c r="BP131" s="502"/>
      <c r="BQ131" s="502"/>
      <c r="BR131" s="502"/>
    </row>
    <row r="132" spans="1:70" x14ac:dyDescent="0.25">
      <c r="B132" s="1766" t="s">
        <v>1321</v>
      </c>
      <c r="C132" s="1308" t="s">
        <v>50</v>
      </c>
      <c r="D132" s="1228">
        <f t="shared" ref="D132:H133" si="720">+D115+D99</f>
        <v>373856.58381766384</v>
      </c>
      <c r="E132" s="1042">
        <f t="shared" si="720"/>
        <v>30635.829059829059</v>
      </c>
      <c r="F132" s="82">
        <f t="shared" si="720"/>
        <v>27874.712</v>
      </c>
      <c r="G132" s="5587">
        <f t="shared" si="720"/>
        <v>28692.222222222219</v>
      </c>
      <c r="H132" s="82">
        <f t="shared" si="720"/>
        <v>39673.759999999995</v>
      </c>
      <c r="I132" s="675">
        <f t="shared" ref="I132:J135" si="721">+E132+G132</f>
        <v>59328.051282051281</v>
      </c>
      <c r="J132" s="60">
        <f t="shared" si="721"/>
        <v>67548.471999999994</v>
      </c>
      <c r="K132" s="5699">
        <f>+K115+K99</f>
        <v>27366.803418803418</v>
      </c>
      <c r="L132" s="82">
        <f>+L115+L99</f>
        <v>35330.267999999996</v>
      </c>
      <c r="M132" s="1043">
        <f t="shared" ref="M132:N135" si="722">+E132+G132+K132</f>
        <v>86694.854700854703</v>
      </c>
      <c r="N132" s="1470">
        <f t="shared" si="722"/>
        <v>102878.73999999999</v>
      </c>
      <c r="O132" s="5859">
        <f>+O115+O99</f>
        <v>28279.030199430199</v>
      </c>
      <c r="P132" s="82">
        <f>+P115+P99</f>
        <v>32813.638649700006</v>
      </c>
      <c r="Q132" s="675">
        <f t="shared" ref="Q132:R135" si="723">+M132+O132</f>
        <v>114973.8849002849</v>
      </c>
      <c r="R132" s="60">
        <f t="shared" si="723"/>
        <v>135692.3786497</v>
      </c>
      <c r="S132" s="5925">
        <f>+S115+S99</f>
        <v>28279.030199430199</v>
      </c>
      <c r="T132" s="82">
        <f>+T115+T99</f>
        <v>28424.789000000001</v>
      </c>
      <c r="U132" s="4323">
        <f t="shared" ref="U132:U135" si="724">+Q132+S132</f>
        <v>143252.91509971512</v>
      </c>
      <c r="V132" s="60">
        <f t="shared" ref="V132:V135" si="725">+R132+T132</f>
        <v>164117.16764969999</v>
      </c>
      <c r="W132" s="6023">
        <f>+W115+W99</f>
        <v>26351.714529914527</v>
      </c>
      <c r="X132" s="82">
        <f>+X115+X99</f>
        <v>26345.622147800001</v>
      </c>
      <c r="Y132" s="713">
        <f t="shared" ref="Y132:Y135" si="726">+O132+S132+W132</f>
        <v>82909.774928774917</v>
      </c>
      <c r="Z132" s="81">
        <f t="shared" ref="Z132:Z135" si="727">+P132+T132+X132</f>
        <v>87584.049797500018</v>
      </c>
      <c r="AA132" s="2420">
        <f t="shared" ref="AA132:AA137" si="728">+M132+Y132</f>
        <v>169604.62962962961</v>
      </c>
      <c r="AB132" s="428">
        <f t="shared" ref="AB132:AB137" si="729">+N132+Z132</f>
        <v>190462.78979750001</v>
      </c>
      <c r="AC132" s="6158">
        <f>+AC115+AC99</f>
        <v>28279.030199430199</v>
      </c>
      <c r="AD132" s="82">
        <f>+AD115+AD99</f>
        <v>25837.684096774195</v>
      </c>
      <c r="AE132" s="675">
        <f t="shared" ref="AE132:AE135" si="730">+AA132+AC132</f>
        <v>197883.65982905979</v>
      </c>
      <c r="AF132" s="60">
        <f t="shared" ref="AF132:AF135" si="731">+AB132+AD132</f>
        <v>216300.47389427421</v>
      </c>
      <c r="AG132" s="6320">
        <f>+AG115+AG99</f>
        <v>27366.803418803418</v>
      </c>
      <c r="AH132" s="82">
        <f>+AH115+AH99</f>
        <v>26571.468999999997</v>
      </c>
      <c r="AI132" s="675">
        <f t="shared" ref="AI132:AI135" si="732">+AE132+AG132</f>
        <v>225250.4632478632</v>
      </c>
      <c r="AJ132" s="60">
        <f t="shared" ref="AJ132:AJ135" si="733">+AF132+AH132</f>
        <v>242871.94289427419</v>
      </c>
      <c r="AK132" s="6579">
        <f>+AK115+AK99</f>
        <v>28279.030199430199</v>
      </c>
      <c r="AL132" s="82">
        <f>+AL115+AL99</f>
        <v>29891.025021978017</v>
      </c>
      <c r="AM132" s="713">
        <f t="shared" ref="AM132:AM135" si="734">+AC132+AG132+AK132</f>
        <v>83924.86381766382</v>
      </c>
      <c r="AN132" s="81">
        <f t="shared" ref="AN132:AN135" si="735">+AD132+AH132+AL132</f>
        <v>82300.178118752214</v>
      </c>
      <c r="AO132" s="712">
        <f t="shared" si="674"/>
        <v>253529.49344729341</v>
      </c>
      <c r="AP132" s="712">
        <f t="shared" si="674"/>
        <v>272762.96791625221</v>
      </c>
      <c r="AQ132" s="6663">
        <f>+AQ115+AQ99</f>
        <v>28279.030199430199</v>
      </c>
      <c r="AR132" s="82">
        <f>+AR115+AR99</f>
        <v>36854.735000000001</v>
      </c>
      <c r="AS132" s="675">
        <f t="shared" ref="AS132:AS135" si="736">+AO132+AQ132</f>
        <v>281808.5236467236</v>
      </c>
      <c r="AT132" s="60">
        <f t="shared" ref="AT132:AT135" si="737">+AP132+AR132</f>
        <v>309617.70291625219</v>
      </c>
      <c r="AU132" s="6835">
        <f>+AU115+AU99</f>
        <v>25542.34985754986</v>
      </c>
      <c r="AV132" s="82">
        <f>+AV115+AV99</f>
        <v>28981.571000000004</v>
      </c>
      <c r="AW132" s="5014">
        <f t="shared" ref="AW132:AW135" si="738">+AS132+AU132</f>
        <v>307350.87350427348</v>
      </c>
      <c r="AX132" s="60">
        <f t="shared" ref="AX132:AX135" si="739">+AT132+AV132</f>
        <v>338599.27391625219</v>
      </c>
      <c r="AY132" s="6979">
        <f>+AY115+AY99</f>
        <v>28279.030199430199</v>
      </c>
      <c r="AZ132" s="82">
        <f>+AZ115+AZ99</f>
        <v>29999.494999999999</v>
      </c>
      <c r="BA132" s="713">
        <f t="shared" ref="BA132:BA135" si="740">+AQ132+AU132+AY132</f>
        <v>82100.41025641025</v>
      </c>
      <c r="BB132" s="81">
        <f t="shared" ref="BB132:BB135" si="741">+AR132+AV132+AZ132</f>
        <v>95835.801000000007</v>
      </c>
      <c r="BC132" s="2679">
        <f t="shared" ref="BC132:BC135" si="742">+AM132+BA132</f>
        <v>166025.27407407406</v>
      </c>
      <c r="BD132" s="2679">
        <f t="shared" ref="BD132:BD135" si="743">+AN132+BB132</f>
        <v>178135.97911875224</v>
      </c>
      <c r="BE132" s="5106">
        <f t="shared" ref="BE132:BE135" si="744">AW132+AY132</f>
        <v>335629.90370370366</v>
      </c>
      <c r="BF132" s="5106">
        <f t="shared" ref="BF132:BF135" si="745">AX132+AZ132</f>
        <v>368598.76891625219</v>
      </c>
      <c r="BG132" s="1137">
        <f t="shared" ref="BG132:BG192" si="746">AY132+AU132+AQ132+AK132+AG132+AC132+W132+S132+O132+K132+G132+E132-BE132</f>
        <v>0</v>
      </c>
      <c r="BH132" s="1137">
        <f t="shared" ref="BH132:BH192" si="747">AZ132+AV132+AR132+AL132+AH132+AD132+X132+T132+P132+L132+H132+F132-BF132</f>
        <v>0</v>
      </c>
      <c r="BI132" s="1137"/>
      <c r="BJ132" s="1137">
        <f t="shared" si="311"/>
        <v>0</v>
      </c>
      <c r="BK132" s="1137">
        <f t="shared" si="312"/>
        <v>0</v>
      </c>
      <c r="BL132" s="25"/>
      <c r="BM132" s="25"/>
      <c r="BN132" s="25"/>
      <c r="BP132" s="502"/>
      <c r="BQ132" s="502"/>
      <c r="BR132" s="502"/>
    </row>
    <row r="133" spans="1:70" x14ac:dyDescent="0.25">
      <c r="B133" s="1648" t="s">
        <v>597</v>
      </c>
      <c r="C133" s="1561" t="s">
        <v>50</v>
      </c>
      <c r="D133" s="1228">
        <f t="shared" si="720"/>
        <v>0</v>
      </c>
      <c r="E133" s="1042">
        <f t="shared" si="720"/>
        <v>0</v>
      </c>
      <c r="F133" s="82">
        <f t="shared" si="720"/>
        <v>0</v>
      </c>
      <c r="G133" s="5587">
        <f t="shared" si="720"/>
        <v>8438.8888888888905</v>
      </c>
      <c r="H133" s="82">
        <f t="shared" si="720"/>
        <v>341.5</v>
      </c>
      <c r="I133" s="675">
        <f t="shared" si="721"/>
        <v>8438.8888888888905</v>
      </c>
      <c r="J133" s="60">
        <f t="shared" si="721"/>
        <v>341.5</v>
      </c>
      <c r="K133" s="5699">
        <f>+K116+K100</f>
        <v>8049.0598290598291</v>
      </c>
      <c r="L133" s="82">
        <f>+L116+L100</f>
        <v>3411.53</v>
      </c>
      <c r="M133" s="1043">
        <f t="shared" si="722"/>
        <v>16487.948717948719</v>
      </c>
      <c r="N133" s="1470">
        <f t="shared" si="722"/>
        <v>3753.03</v>
      </c>
      <c r="O133" s="5859">
        <f>+O116+O100</f>
        <v>8317.3618233618236</v>
      </c>
      <c r="P133" s="82">
        <f>+P116+P100</f>
        <v>0</v>
      </c>
      <c r="Q133" s="675">
        <f t="shared" si="723"/>
        <v>24805.310541310544</v>
      </c>
      <c r="R133" s="60">
        <f t="shared" si="723"/>
        <v>3753.03</v>
      </c>
      <c r="S133" s="5925">
        <f>+S116+S100</f>
        <v>8317.3618233618236</v>
      </c>
      <c r="T133" s="82">
        <f>+T116+T100</f>
        <v>0</v>
      </c>
      <c r="U133" s="4323">
        <f t="shared" si="724"/>
        <v>33122.672364672369</v>
      </c>
      <c r="V133" s="60">
        <f t="shared" si="725"/>
        <v>3753.03</v>
      </c>
      <c r="W133" s="6023">
        <f>+W116+W100</f>
        <v>7750.5042735042725</v>
      </c>
      <c r="X133" s="82">
        <f>+X116+X100</f>
        <v>0</v>
      </c>
      <c r="Y133" s="713">
        <f t="shared" si="726"/>
        <v>24385.227920227921</v>
      </c>
      <c r="Z133" s="81">
        <f t="shared" si="727"/>
        <v>0</v>
      </c>
      <c r="AA133" s="2420">
        <f t="shared" si="728"/>
        <v>40873.176638176636</v>
      </c>
      <c r="AB133" s="428">
        <f t="shared" si="729"/>
        <v>3753.03</v>
      </c>
      <c r="AC133" s="6158">
        <f>+AC116+AC100</f>
        <v>8317.3618233618236</v>
      </c>
      <c r="AD133" s="82">
        <f>+AD116+AD100</f>
        <v>637.928</v>
      </c>
      <c r="AE133" s="675">
        <f t="shared" si="730"/>
        <v>49190.538461538461</v>
      </c>
      <c r="AF133" s="60">
        <f t="shared" si="731"/>
        <v>4390.9580000000005</v>
      </c>
      <c r="AG133" s="6320">
        <f>+AG116+AG100</f>
        <v>8049.0598290598291</v>
      </c>
      <c r="AH133" s="82">
        <f>+AH116+AH100</f>
        <v>0</v>
      </c>
      <c r="AI133" s="675">
        <f t="shared" si="732"/>
        <v>57239.598290598289</v>
      </c>
      <c r="AJ133" s="60">
        <f t="shared" si="733"/>
        <v>4390.9580000000005</v>
      </c>
      <c r="AK133" s="6579">
        <f>+AK116+AK100</f>
        <v>8317.3618233618236</v>
      </c>
      <c r="AL133" s="82">
        <f>+AL116+AL100</f>
        <v>2229.3021978021984</v>
      </c>
      <c r="AM133" s="713">
        <f t="shared" si="734"/>
        <v>24683.783475783479</v>
      </c>
      <c r="AN133" s="81">
        <f t="shared" si="735"/>
        <v>2867.2301978021983</v>
      </c>
      <c r="AO133" s="712">
        <f t="shared" ref="AO133:AO135" si="748">AI133+AK133</f>
        <v>65556.960113960115</v>
      </c>
      <c r="AP133" s="712">
        <f t="shared" ref="AP133:AP135" si="749">AJ133+AL133</f>
        <v>6620.2601978021994</v>
      </c>
      <c r="AQ133" s="6663">
        <f>+AQ116+AQ100</f>
        <v>8317.3618233618236</v>
      </c>
      <c r="AR133" s="82">
        <f>+AR116+AR100</f>
        <v>0</v>
      </c>
      <c r="AS133" s="675">
        <f t="shared" si="736"/>
        <v>73874.321937321933</v>
      </c>
      <c r="AT133" s="60">
        <f t="shared" si="737"/>
        <v>6620.2601978021994</v>
      </c>
      <c r="AU133" s="6835">
        <f>+AU116+AU100</f>
        <v>7512.4558404558411</v>
      </c>
      <c r="AV133" s="82">
        <f>+AV116+AV100</f>
        <v>0</v>
      </c>
      <c r="AW133" s="5014">
        <f t="shared" si="738"/>
        <v>81386.777777777781</v>
      </c>
      <c r="AX133" s="60">
        <f t="shared" si="739"/>
        <v>6620.2601978021994</v>
      </c>
      <c r="AY133" s="6979">
        <f>+AY116+AY100</f>
        <v>8317.3618233618236</v>
      </c>
      <c r="AZ133" s="82">
        <f>+AZ116+AZ100</f>
        <v>0</v>
      </c>
      <c r="BA133" s="713">
        <f t="shared" si="740"/>
        <v>24147.179487179488</v>
      </c>
      <c r="BB133" s="81">
        <f t="shared" si="741"/>
        <v>0</v>
      </c>
      <c r="BC133" s="2679">
        <f t="shared" si="742"/>
        <v>48830.962962962964</v>
      </c>
      <c r="BD133" s="2679">
        <f t="shared" si="743"/>
        <v>2867.2301978021983</v>
      </c>
      <c r="BE133" s="5106">
        <f t="shared" si="744"/>
        <v>89704.139601139599</v>
      </c>
      <c r="BF133" s="5106">
        <f t="shared" si="745"/>
        <v>6620.2601978021994</v>
      </c>
      <c r="BG133" s="1137">
        <f t="shared" si="746"/>
        <v>0</v>
      </c>
      <c r="BH133" s="1137">
        <f t="shared" si="747"/>
        <v>0</v>
      </c>
      <c r="BI133" s="1137"/>
      <c r="BJ133" s="1137">
        <f t="shared" si="311"/>
        <v>0</v>
      </c>
      <c r="BK133" s="1137">
        <f t="shared" si="312"/>
        <v>0</v>
      </c>
      <c r="BL133" s="25"/>
      <c r="BM133" s="25"/>
      <c r="BN133" s="25"/>
      <c r="BP133" s="502"/>
      <c r="BQ133" s="502"/>
      <c r="BR133" s="502"/>
    </row>
    <row r="134" spans="1:70" x14ac:dyDescent="0.25">
      <c r="B134" s="1648" t="s">
        <v>1307</v>
      </c>
      <c r="C134" s="1561" t="s">
        <v>50</v>
      </c>
      <c r="D134" s="1228">
        <f>+D117+D101</f>
        <v>119356.76133903133</v>
      </c>
      <c r="E134" s="1042">
        <f>+E117+E101</f>
        <v>9819.9829059829062</v>
      </c>
      <c r="F134" s="82">
        <f>F101+F117</f>
        <v>11611.916000000001</v>
      </c>
      <c r="G134" s="5587">
        <f>+G117+G101</f>
        <v>0</v>
      </c>
      <c r="H134" s="82">
        <f>H101+H117</f>
        <v>0</v>
      </c>
      <c r="I134" s="675">
        <f t="shared" si="721"/>
        <v>9819.9829059829062</v>
      </c>
      <c r="J134" s="60">
        <f t="shared" si="721"/>
        <v>11611.916000000001</v>
      </c>
      <c r="K134" s="5699">
        <f>+K117+K101</f>
        <v>0</v>
      </c>
      <c r="L134" s="82">
        <f>L101+L117</f>
        <v>0</v>
      </c>
      <c r="M134" s="1043">
        <f t="shared" ref="M134" si="750">+E134+G134+K134</f>
        <v>9819.9829059829062</v>
      </c>
      <c r="N134" s="1470">
        <f t="shared" ref="N134" si="751">+F134+H134+L134</f>
        <v>11611.916000000001</v>
      </c>
      <c r="O134" s="5859">
        <f>+O117+O101</f>
        <v>0</v>
      </c>
      <c r="P134" s="82">
        <f>P101+P117</f>
        <v>3516.6805570259999</v>
      </c>
      <c r="Q134" s="675">
        <f t="shared" ref="Q134" si="752">+M134+O134</f>
        <v>9819.9829059829062</v>
      </c>
      <c r="R134" s="60">
        <f t="shared" ref="R134" si="753">+N134+P134</f>
        <v>15128.596557026001</v>
      </c>
      <c r="S134" s="5925">
        <f>+S117+S101</f>
        <v>0</v>
      </c>
      <c r="T134" s="82">
        <f>T101+T117</f>
        <v>0</v>
      </c>
      <c r="U134" s="4323">
        <f t="shared" si="724"/>
        <v>9819.9829059829062</v>
      </c>
      <c r="V134" s="60">
        <f t="shared" si="725"/>
        <v>15128.596557026001</v>
      </c>
      <c r="W134" s="6023">
        <f>+W117+W101</f>
        <v>0</v>
      </c>
      <c r="X134" s="82">
        <f>X101+X117</f>
        <v>8978.3327800000006</v>
      </c>
      <c r="Y134" s="713">
        <f t="shared" si="726"/>
        <v>0</v>
      </c>
      <c r="Z134" s="81">
        <f t="shared" si="727"/>
        <v>12495.013337026001</v>
      </c>
      <c r="AA134" s="2420">
        <f t="shared" si="728"/>
        <v>9819.9829059829062</v>
      </c>
      <c r="AB134" s="428">
        <f t="shared" si="729"/>
        <v>24106.929337026002</v>
      </c>
      <c r="AC134" s="6158">
        <f>+AC117+AC101</f>
        <v>0</v>
      </c>
      <c r="AD134" s="82">
        <f>AD101+AD117</f>
        <v>13411.898258064517</v>
      </c>
      <c r="AE134" s="675">
        <f t="shared" si="730"/>
        <v>9819.9829059829062</v>
      </c>
      <c r="AF134" s="60">
        <f t="shared" si="731"/>
        <v>37518.827595090523</v>
      </c>
      <c r="AG134" s="6320">
        <f>+AG117+AG101</f>
        <v>0</v>
      </c>
      <c r="AH134" s="82">
        <f>AH101+AH117</f>
        <v>11949.976999999999</v>
      </c>
      <c r="AI134" s="675">
        <f t="shared" si="732"/>
        <v>9819.9829059829062</v>
      </c>
      <c r="AJ134" s="60">
        <f t="shared" si="733"/>
        <v>49468.804595090522</v>
      </c>
      <c r="AK134" s="6579">
        <f>+AK117+AK101</f>
        <v>0</v>
      </c>
      <c r="AL134" s="82">
        <f>AL101+AL117</f>
        <v>7684.0217692307697</v>
      </c>
      <c r="AM134" s="713">
        <f t="shared" si="734"/>
        <v>0</v>
      </c>
      <c r="AN134" s="81">
        <f t="shared" si="735"/>
        <v>33045.897027295287</v>
      </c>
      <c r="AO134" s="712">
        <f t="shared" si="748"/>
        <v>9819.9829059829062</v>
      </c>
      <c r="AP134" s="712">
        <f t="shared" si="749"/>
        <v>57152.826364321292</v>
      </c>
      <c r="AQ134" s="6663">
        <f>+AQ117+AQ101</f>
        <v>0</v>
      </c>
      <c r="AR134" s="82">
        <f>AR101+AR117</f>
        <v>3889.6199999999994</v>
      </c>
      <c r="AS134" s="675">
        <f t="shared" si="736"/>
        <v>9819.9829059829062</v>
      </c>
      <c r="AT134" s="60">
        <f t="shared" si="737"/>
        <v>61042.446364321295</v>
      </c>
      <c r="AU134" s="6835">
        <f>+AU117+AU101</f>
        <v>0</v>
      </c>
      <c r="AV134" s="82">
        <f>AV101+AV117</f>
        <v>7803.3330000000005</v>
      </c>
      <c r="AW134" s="5014">
        <f t="shared" si="738"/>
        <v>9819.9829059829062</v>
      </c>
      <c r="AX134" s="60">
        <f t="shared" si="739"/>
        <v>68845.779364321294</v>
      </c>
      <c r="AY134" s="6979">
        <f>+AY117+AY101</f>
        <v>0</v>
      </c>
      <c r="AZ134" s="82">
        <f>AZ101+AZ117</f>
        <v>11443.187</v>
      </c>
      <c r="BA134" s="713">
        <f t="shared" si="740"/>
        <v>0</v>
      </c>
      <c r="BB134" s="81">
        <f t="shared" si="741"/>
        <v>23136.14</v>
      </c>
      <c r="BC134" s="2679">
        <f t="shared" si="742"/>
        <v>0</v>
      </c>
      <c r="BD134" s="2679">
        <f t="shared" si="743"/>
        <v>56182.037027295286</v>
      </c>
      <c r="BE134" s="5106">
        <f t="shared" si="744"/>
        <v>9819.9829059829062</v>
      </c>
      <c r="BF134" s="5106">
        <f t="shared" si="745"/>
        <v>80288.966364321299</v>
      </c>
      <c r="BG134" s="1137">
        <f t="shared" si="746"/>
        <v>0</v>
      </c>
      <c r="BH134" s="1137">
        <f t="shared" si="747"/>
        <v>0</v>
      </c>
      <c r="BI134" s="1137"/>
      <c r="BJ134" s="1137">
        <f t="shared" si="311"/>
        <v>0</v>
      </c>
      <c r="BK134" s="1137">
        <f t="shared" si="312"/>
        <v>0</v>
      </c>
      <c r="BL134" s="25"/>
      <c r="BM134" s="25"/>
      <c r="BN134" s="25"/>
      <c r="BP134" s="502"/>
      <c r="BQ134" s="502"/>
      <c r="BR134" s="502"/>
    </row>
    <row r="135" spans="1:70" ht="15.75" thickBot="1" x14ac:dyDescent="0.3">
      <c r="B135" s="1648" t="s">
        <v>1320</v>
      </c>
      <c r="C135" s="1561" t="s">
        <v>50</v>
      </c>
      <c r="D135" s="1228">
        <f>+D118+D102</f>
        <v>0</v>
      </c>
      <c r="E135" s="1046">
        <f>+E118+E102</f>
        <v>0</v>
      </c>
      <c r="F135" s="116">
        <f>+F118+F102</f>
        <v>0</v>
      </c>
      <c r="G135" s="5577">
        <f>+G118+G102</f>
        <v>5063.333333333333</v>
      </c>
      <c r="H135" s="116">
        <f>+H118+H102</f>
        <v>0</v>
      </c>
      <c r="I135" s="675">
        <f t="shared" si="721"/>
        <v>5063.333333333333</v>
      </c>
      <c r="J135" s="60">
        <f t="shared" si="721"/>
        <v>0</v>
      </c>
      <c r="K135" s="5671">
        <f>+K118+K102</f>
        <v>4829.4358974358975</v>
      </c>
      <c r="L135" s="116">
        <f>+L118+L102</f>
        <v>0</v>
      </c>
      <c r="M135" s="70">
        <f t="shared" si="722"/>
        <v>9892.7692307692305</v>
      </c>
      <c r="N135" s="117">
        <f t="shared" si="722"/>
        <v>0</v>
      </c>
      <c r="O135" s="5829">
        <f>+O118+O102</f>
        <v>4990.4170940170934</v>
      </c>
      <c r="P135" s="116">
        <f>+P118+P102</f>
        <v>3741.8205570259997</v>
      </c>
      <c r="Q135" s="675">
        <f t="shared" si="723"/>
        <v>14883.186324786324</v>
      </c>
      <c r="R135" s="60">
        <f t="shared" si="723"/>
        <v>3741.8205570259997</v>
      </c>
      <c r="S135" s="5906">
        <f>+S118+S102</f>
        <v>4990.4170940170934</v>
      </c>
      <c r="T135" s="116">
        <f>+T118+T102</f>
        <v>11341.484</v>
      </c>
      <c r="U135" s="4323">
        <f t="shared" si="724"/>
        <v>19873.603418803417</v>
      </c>
      <c r="V135" s="60">
        <f t="shared" si="725"/>
        <v>15083.304557026</v>
      </c>
      <c r="W135" s="6000">
        <f>+W118+W102</f>
        <v>4650.3025641025642</v>
      </c>
      <c r="X135" s="116">
        <f>+X118+X102</f>
        <v>3221.8694779999996</v>
      </c>
      <c r="Y135" s="713">
        <f t="shared" si="726"/>
        <v>14631.13675213675</v>
      </c>
      <c r="Z135" s="81">
        <f t="shared" si="727"/>
        <v>18305.174035026001</v>
      </c>
      <c r="AA135" s="2420">
        <f t="shared" si="728"/>
        <v>24523.905982905981</v>
      </c>
      <c r="AB135" s="428">
        <f t="shared" si="729"/>
        <v>18305.174035026001</v>
      </c>
      <c r="AC135" s="6131">
        <f>+AC118+AC102</f>
        <v>4990.4170940170934</v>
      </c>
      <c r="AD135" s="116">
        <f>+AD118+AD102</f>
        <v>0</v>
      </c>
      <c r="AE135" s="675">
        <f t="shared" si="730"/>
        <v>29514.323076923072</v>
      </c>
      <c r="AF135" s="60">
        <f t="shared" si="731"/>
        <v>18305.174035026001</v>
      </c>
      <c r="AG135" s="6293">
        <f>+AG118+AG102</f>
        <v>4829.4358974358975</v>
      </c>
      <c r="AH135" s="116">
        <f>+AH118+AH102</f>
        <v>0</v>
      </c>
      <c r="AI135" s="675">
        <f t="shared" si="732"/>
        <v>34343.758974358971</v>
      </c>
      <c r="AJ135" s="60">
        <f t="shared" si="733"/>
        <v>18305.174035026001</v>
      </c>
      <c r="AK135" s="6562">
        <f>+AK118+AK102</f>
        <v>4990.4170940170934</v>
      </c>
      <c r="AL135" s="116">
        <f>+AL118+AL102</f>
        <v>0</v>
      </c>
      <c r="AM135" s="713">
        <f t="shared" si="734"/>
        <v>14810.270085470083</v>
      </c>
      <c r="AN135" s="81">
        <f t="shared" si="735"/>
        <v>0</v>
      </c>
      <c r="AO135" s="712">
        <f t="shared" si="748"/>
        <v>39334.176068376066</v>
      </c>
      <c r="AP135" s="712">
        <f t="shared" si="749"/>
        <v>18305.174035026001</v>
      </c>
      <c r="AQ135" s="6637">
        <f>+AQ118+AQ102</f>
        <v>4990.4170940170934</v>
      </c>
      <c r="AR135" s="116">
        <f>+AR118+AR102</f>
        <v>0</v>
      </c>
      <c r="AS135" s="675">
        <f t="shared" si="736"/>
        <v>44324.593162393161</v>
      </c>
      <c r="AT135" s="60">
        <f t="shared" si="737"/>
        <v>18305.174035026001</v>
      </c>
      <c r="AU135" s="6824">
        <f>+AU118+AU102</f>
        <v>4507.4735042735037</v>
      </c>
      <c r="AV135" s="116">
        <f>+AV118+AV102</f>
        <v>0</v>
      </c>
      <c r="AW135" s="5014">
        <f t="shared" si="738"/>
        <v>48832.066666666666</v>
      </c>
      <c r="AX135" s="60">
        <f t="shared" si="739"/>
        <v>18305.174035026001</v>
      </c>
      <c r="AY135" s="6970">
        <f>+AY118+AY102</f>
        <v>4990.4170940170934</v>
      </c>
      <c r="AZ135" s="116">
        <f>+AZ118+AZ102</f>
        <v>0</v>
      </c>
      <c r="BA135" s="713">
        <f t="shared" si="740"/>
        <v>14488.30769230769</v>
      </c>
      <c r="BB135" s="81">
        <f t="shared" si="741"/>
        <v>0</v>
      </c>
      <c r="BC135" s="2679">
        <f t="shared" si="742"/>
        <v>29298.577777777773</v>
      </c>
      <c r="BD135" s="2679">
        <f t="shared" si="743"/>
        <v>0</v>
      </c>
      <c r="BE135" s="5106">
        <f t="shared" si="744"/>
        <v>53822.483760683761</v>
      </c>
      <c r="BF135" s="5106">
        <f t="shared" si="745"/>
        <v>18305.174035026001</v>
      </c>
      <c r="BG135" s="1137">
        <f t="shared" si="746"/>
        <v>0</v>
      </c>
      <c r="BH135" s="1137">
        <f t="shared" si="747"/>
        <v>0</v>
      </c>
      <c r="BI135" s="1137"/>
      <c r="BJ135" s="1137">
        <f t="shared" ref="BJ135:BJ192" si="754">AC135+AG135+AK135+AQ135+AU135+AY135-BC135</f>
        <v>0</v>
      </c>
      <c r="BK135" s="1137">
        <f t="shared" ref="BK135:BK192" si="755">AD135+AH135+AL135+AR135+AV135+AZ135-BD135</f>
        <v>0</v>
      </c>
      <c r="BL135" s="25"/>
      <c r="BM135" s="25"/>
      <c r="BN135" s="25"/>
      <c r="BP135" s="502"/>
      <c r="BQ135" s="502"/>
      <c r="BR135" s="502"/>
    </row>
    <row r="136" spans="1:70" ht="16.5" thickBot="1" x14ac:dyDescent="0.3">
      <c r="B136" s="1761" t="s">
        <v>134</v>
      </c>
      <c r="C136" s="1562" t="s">
        <v>50</v>
      </c>
      <c r="D136" s="129">
        <f>SUM(D132:D135)</f>
        <v>493213.34515669517</v>
      </c>
      <c r="E136" s="506">
        <f>SUM(E132:E135)</f>
        <v>40455.811965811969</v>
      </c>
      <c r="F136" s="89">
        <f>SUM(F132:F135)</f>
        <v>39486.627999999997</v>
      </c>
      <c r="G136" s="506">
        <f>SUM(G132:G135)</f>
        <v>42194.444444444445</v>
      </c>
      <c r="H136" s="89">
        <f>SUM(H132:H135)</f>
        <v>40015.259999999995</v>
      </c>
      <c r="I136" s="26">
        <f t="shared" ref="I136:N136" si="756">SUM(I132:I135)</f>
        <v>82650.256410256407</v>
      </c>
      <c r="J136" s="26">
        <f t="shared" si="756"/>
        <v>79501.887999999992</v>
      </c>
      <c r="K136" s="506">
        <f>SUM(K132:K135)</f>
        <v>40245.299145299148</v>
      </c>
      <c r="L136" s="89">
        <f>SUM(L132:L135)</f>
        <v>38741.797999999995</v>
      </c>
      <c r="M136" s="331">
        <f t="shared" si="756"/>
        <v>122895.55555555556</v>
      </c>
      <c r="N136" s="1403">
        <f t="shared" si="756"/>
        <v>118243.68599999999</v>
      </c>
      <c r="O136" s="506">
        <f>SUM(O132:O135)</f>
        <v>41586.80911680912</v>
      </c>
      <c r="P136" s="89">
        <f>SUM(P132:P135)</f>
        <v>40072.139763751999</v>
      </c>
      <c r="Q136" s="26">
        <f t="shared" ref="Q136:R136" si="757">SUM(Q132:Q135)</f>
        <v>164482.3646723647</v>
      </c>
      <c r="R136" s="26">
        <f t="shared" si="757"/>
        <v>158315.82576375199</v>
      </c>
      <c r="S136" s="506">
        <f>SUM(S132:S135)</f>
        <v>41586.80911680912</v>
      </c>
      <c r="T136" s="89">
        <f>SUM(T132:T135)</f>
        <v>39766.273000000001</v>
      </c>
      <c r="U136" s="26">
        <f t="shared" ref="U136:V136" si="758">SUM(U132:U135)</f>
        <v>206069.1737891738</v>
      </c>
      <c r="V136" s="26">
        <f t="shared" si="758"/>
        <v>198082.09876375197</v>
      </c>
      <c r="W136" s="506">
        <f>SUM(W132:W135)</f>
        <v>38752.521367521367</v>
      </c>
      <c r="X136" s="89">
        <f>SUM(X132:X135)</f>
        <v>38545.824405800005</v>
      </c>
      <c r="Y136" s="683">
        <f t="shared" ref="Y136" si="759">SUM(Y132:Y135)</f>
        <v>121926.13960113958</v>
      </c>
      <c r="Z136" s="683">
        <f>SUM(Z132:Z135)</f>
        <v>118384.23716955201</v>
      </c>
      <c r="AA136" s="2345">
        <f t="shared" si="728"/>
        <v>244821.69515669515</v>
      </c>
      <c r="AB136" s="437">
        <f t="shared" si="729"/>
        <v>236627.923169552</v>
      </c>
      <c r="AC136" s="506">
        <f>SUM(AC132:AC135)</f>
        <v>41586.80911680912</v>
      </c>
      <c r="AD136" s="89">
        <f>SUM(AD132:AD135)</f>
        <v>39887.510354838712</v>
      </c>
      <c r="AE136" s="26">
        <f t="shared" ref="AE136:AF136" si="760">SUM(AE132:AE135)</f>
        <v>286408.50427350425</v>
      </c>
      <c r="AF136" s="26">
        <f t="shared" si="760"/>
        <v>276515.43352439074</v>
      </c>
      <c r="AG136" s="506">
        <f>SUM(AG132:AG135)</f>
        <v>40245.299145299148</v>
      </c>
      <c r="AH136" s="89">
        <f>SUM(AH132:AH135)</f>
        <v>38521.445999999996</v>
      </c>
      <c r="AI136" s="26">
        <f t="shared" ref="AI136:AM136" si="761">SUM(AI132:AI135)</f>
        <v>326653.80341880332</v>
      </c>
      <c r="AJ136" s="26">
        <f t="shared" si="761"/>
        <v>315036.87952439074</v>
      </c>
      <c r="AK136" s="506">
        <f>SUM(AK132:AK135)</f>
        <v>41586.80911680912</v>
      </c>
      <c r="AL136" s="89">
        <f>SUM(AL132:AL135)</f>
        <v>39804.348989010985</v>
      </c>
      <c r="AM136" s="683">
        <f t="shared" si="761"/>
        <v>123418.91737891738</v>
      </c>
      <c r="AN136" s="683">
        <f>SUM(AN132:AN135)</f>
        <v>118213.3053438497</v>
      </c>
      <c r="AO136" s="26">
        <f t="shared" ref="AO136:AT136" si="762">SUM(AO132:AO135)</f>
        <v>368240.61253561242</v>
      </c>
      <c r="AP136" s="26">
        <f t="shared" si="762"/>
        <v>354841.2285134017</v>
      </c>
      <c r="AQ136" s="506">
        <f>SUM(AQ132:AQ135)</f>
        <v>41586.80911680912</v>
      </c>
      <c r="AR136" s="89">
        <f>SUM(AR132:AR135)</f>
        <v>40744.355000000003</v>
      </c>
      <c r="AS136" s="26">
        <f t="shared" si="762"/>
        <v>409827.42165242153</v>
      </c>
      <c r="AT136" s="26">
        <f t="shared" si="762"/>
        <v>395585.58351340168</v>
      </c>
      <c r="AU136" s="506">
        <f>SUM(AU132:AU135)</f>
        <v>37562.279202279205</v>
      </c>
      <c r="AV136" s="89">
        <f>SUM(AV132:AV135)</f>
        <v>36784.904000000002</v>
      </c>
      <c r="AW136" s="26">
        <f t="shared" ref="AW136:AX136" si="763">SUM(AW132:AW135)</f>
        <v>447389.70085470076</v>
      </c>
      <c r="AX136" s="26">
        <f t="shared" si="763"/>
        <v>432370.48751340166</v>
      </c>
      <c r="AY136" s="506">
        <f>SUM(AY132:AY135)</f>
        <v>41586.80911680912</v>
      </c>
      <c r="AZ136" s="89">
        <f>SUM(AZ132:AZ135)</f>
        <v>41442.682000000001</v>
      </c>
      <c r="BA136" s="683">
        <f t="shared" ref="BA136" si="764">SUM(BA132:BA135)</f>
        <v>120735.89743589742</v>
      </c>
      <c r="BB136" s="683">
        <f>SUM(BB132:BB135)</f>
        <v>118971.94100000001</v>
      </c>
      <c r="BC136" s="2679">
        <f>+AM136+BA136</f>
        <v>244154.8148148148</v>
      </c>
      <c r="BD136" s="2679">
        <f>+AN136+BB136</f>
        <v>237185.24634384969</v>
      </c>
      <c r="BE136" s="26">
        <f t="shared" ref="BE136:BF136" si="765">SUM(BE132:BE135)</f>
        <v>488976.50997150986</v>
      </c>
      <c r="BF136" s="26">
        <f t="shared" si="765"/>
        <v>473813.16951340169</v>
      </c>
      <c r="BG136" s="1137">
        <f t="shared" si="746"/>
        <v>0</v>
      </c>
      <c r="BH136" s="1137">
        <f t="shared" si="747"/>
        <v>0</v>
      </c>
      <c r="BI136" s="1137"/>
      <c r="BJ136" s="1137">
        <f t="shared" si="754"/>
        <v>0</v>
      </c>
      <c r="BK136" s="1137">
        <f t="shared" si="755"/>
        <v>0</v>
      </c>
      <c r="BL136" s="25"/>
      <c r="BM136" s="25"/>
      <c r="BN136" s="25"/>
      <c r="BP136" s="502"/>
      <c r="BQ136" s="502"/>
      <c r="BR136" s="502"/>
    </row>
    <row r="137" spans="1:70" ht="16.5" thickBot="1" x14ac:dyDescent="0.3">
      <c r="A137" s="138"/>
      <c r="B137" s="1767" t="s">
        <v>12</v>
      </c>
      <c r="C137" s="1310" t="s">
        <v>50</v>
      </c>
      <c r="D137" s="129">
        <f>+D131+D136</f>
        <v>1832782.5269800569</v>
      </c>
      <c r="E137" s="506">
        <f>+E131+E136</f>
        <v>150274.44444444447</v>
      </c>
      <c r="F137" s="89">
        <f>+F131+F136</f>
        <v>146715.226</v>
      </c>
      <c r="G137" s="506">
        <f>+G131+G136</f>
        <v>160737.03133903132</v>
      </c>
      <c r="H137" s="89">
        <f>+H131+H136</f>
        <v>151707.51</v>
      </c>
      <c r="I137" s="26">
        <f t="shared" ref="I137:N137" si="766">+I131+I136</f>
        <v>301302.08091168094</v>
      </c>
      <c r="J137" s="26">
        <f t="shared" si="766"/>
        <v>280177.609</v>
      </c>
      <c r="K137" s="506">
        <f>+K131+K136</f>
        <v>153388.00000000003</v>
      </c>
      <c r="L137" s="89">
        <f>+L131+L136</f>
        <v>146589.59899999999</v>
      </c>
      <c r="M137" s="331">
        <f t="shared" si="766"/>
        <v>454690.08091168094</v>
      </c>
      <c r="N137" s="1403">
        <f t="shared" si="766"/>
        <v>426767.20799999998</v>
      </c>
      <c r="O137" s="506">
        <f>+O131+O136</f>
        <v>158500.93333333335</v>
      </c>
      <c r="P137" s="89">
        <f>+P131+P136</f>
        <v>152515.821763752</v>
      </c>
      <c r="Q137" s="26">
        <f t="shared" ref="Q137:R137" si="767">+Q131+Q136</f>
        <v>613191.01424501429</v>
      </c>
      <c r="R137" s="26">
        <f t="shared" si="767"/>
        <v>579283.02976375201</v>
      </c>
      <c r="S137" s="506">
        <f>+S131+S136</f>
        <v>158500.93333333335</v>
      </c>
      <c r="T137" s="89">
        <f>+T131+T136</f>
        <v>152264.451</v>
      </c>
      <c r="U137" s="26">
        <f t="shared" ref="U137:V137" si="768">+U131+U136</f>
        <v>771691.94757834764</v>
      </c>
      <c r="V137" s="26">
        <f t="shared" si="768"/>
        <v>731547.48076375201</v>
      </c>
      <c r="W137" s="506">
        <f>+W131+W136</f>
        <v>147651.88547008549</v>
      </c>
      <c r="X137" s="89">
        <f>+X131+X136</f>
        <v>147600.04340580001</v>
      </c>
      <c r="Y137" s="683">
        <f t="shared" ref="Y137:Z137" si="769">+Y131+Y136</f>
        <v>464653.75213675213</v>
      </c>
      <c r="Z137" s="683">
        <f t="shared" si="769"/>
        <v>452380.31616955198</v>
      </c>
      <c r="AA137" s="2345">
        <f t="shared" si="728"/>
        <v>919343.83304843307</v>
      </c>
      <c r="AB137" s="437">
        <f t="shared" si="729"/>
        <v>879147.52416955191</v>
      </c>
      <c r="AC137" s="506">
        <f>+AC131+AC136</f>
        <v>158500.93333333335</v>
      </c>
      <c r="AD137" s="89">
        <f>+AD131+AD136</f>
        <v>150148.42152354837</v>
      </c>
      <c r="AE137" s="26">
        <f t="shared" ref="AE137:AF137" si="770">+AE131+AE136</f>
        <v>1077844.7663817662</v>
      </c>
      <c r="AF137" s="26">
        <f t="shared" si="770"/>
        <v>1029295.9456931003</v>
      </c>
      <c r="AG137" s="506">
        <f>+AG131+AG136</f>
        <v>153388.00000000003</v>
      </c>
      <c r="AH137" s="89">
        <f>+AH131+AH136</f>
        <v>145579.31</v>
      </c>
      <c r="AI137" s="26">
        <f t="shared" ref="AI137:AJ137" si="771">+AI131+AI136</f>
        <v>1231232.7663817664</v>
      </c>
      <c r="AJ137" s="26">
        <f t="shared" si="771"/>
        <v>1174875.2556931004</v>
      </c>
      <c r="AK137" s="506">
        <f>+AK131+AK136</f>
        <v>158500.93333333335</v>
      </c>
      <c r="AL137" s="89">
        <f>+AL131+AL136</f>
        <v>148943.87477773838</v>
      </c>
      <c r="AM137" s="683">
        <f t="shared" ref="AM137:AT137" si="772">+AM131+AM136</f>
        <v>470389.86666666676</v>
      </c>
      <c r="AN137" s="683">
        <f t="shared" si="772"/>
        <v>444671.60630128672</v>
      </c>
      <c r="AO137" s="26">
        <f t="shared" si="772"/>
        <v>1389733.6997150998</v>
      </c>
      <c r="AP137" s="26">
        <f t="shared" si="772"/>
        <v>1323819.1304708389</v>
      </c>
      <c r="AQ137" s="506">
        <f>+AQ131+AQ136</f>
        <v>158500.93333333335</v>
      </c>
      <c r="AR137" s="89">
        <f>+AR131+AR136</f>
        <v>148271.76199999999</v>
      </c>
      <c r="AS137" s="26">
        <f t="shared" si="772"/>
        <v>1548234.6330484331</v>
      </c>
      <c r="AT137" s="26">
        <f t="shared" si="772"/>
        <v>1472090.8924708387</v>
      </c>
      <c r="AU137" s="506">
        <f>+AU131+AU136</f>
        <v>143162.13333333333</v>
      </c>
      <c r="AV137" s="89">
        <f>+AV131+AV136</f>
        <v>135335.16139999998</v>
      </c>
      <c r="AW137" s="26">
        <f t="shared" ref="AW137:AX137" si="773">+AW131+AW136</f>
        <v>1691396.7663817664</v>
      </c>
      <c r="AX137" s="26">
        <f t="shared" si="773"/>
        <v>1607426.0538708386</v>
      </c>
      <c r="AY137" s="506">
        <f>+AY131+AY136</f>
        <v>158500.93333333335</v>
      </c>
      <c r="AZ137" s="89">
        <f>+AZ131+AZ136</f>
        <v>152429.15299999999</v>
      </c>
      <c r="BA137" s="683">
        <f t="shared" ref="BA137:BB137" si="774">+BA131+BA136</f>
        <v>460164.00000000006</v>
      </c>
      <c r="BB137" s="683">
        <f t="shared" si="774"/>
        <v>436036.07639999996</v>
      </c>
      <c r="BC137" s="2679">
        <f>+AM137+BA137</f>
        <v>930553.86666666681</v>
      </c>
      <c r="BD137" s="2679">
        <f>+AN137+BB137</f>
        <v>880707.68270128663</v>
      </c>
      <c r="BE137" s="26">
        <f t="shared" ref="BE137:BF137" si="775">+BE131+BE136</f>
        <v>1849897.6997151</v>
      </c>
      <c r="BF137" s="26">
        <f t="shared" si="775"/>
        <v>1759855.206870839</v>
      </c>
      <c r="BG137" s="1137">
        <f t="shared" si="746"/>
        <v>9709.3948717948515</v>
      </c>
      <c r="BH137" s="1137">
        <f t="shared" si="747"/>
        <v>18245.126999999862</v>
      </c>
      <c r="BI137" s="1137"/>
      <c r="BJ137" s="1137">
        <f t="shared" si="754"/>
        <v>0</v>
      </c>
      <c r="BK137" s="1137">
        <f t="shared" si="755"/>
        <v>0</v>
      </c>
      <c r="BL137" s="25"/>
      <c r="BM137" s="25"/>
      <c r="BN137" s="25"/>
      <c r="BP137" s="502"/>
      <c r="BQ137" s="502"/>
      <c r="BR137" s="502"/>
    </row>
    <row r="138" spans="1:70" ht="15.75" thickBot="1" x14ac:dyDescent="0.3">
      <c r="B138" s="1768" t="s">
        <v>1140</v>
      </c>
      <c r="C138" s="1308" t="s">
        <v>50</v>
      </c>
      <c r="D138" s="7570">
        <v>138531.61349675967</v>
      </c>
      <c r="E138" s="7571">
        <f>E121+E105</f>
        <v>11421.89349112426</v>
      </c>
      <c r="F138" s="82">
        <f>+F105+F121</f>
        <v>11231.286</v>
      </c>
      <c r="G138" s="8006"/>
      <c r="H138" s="1237">
        <f>+H105+H121</f>
        <v>10256.740000000002</v>
      </c>
      <c r="I138" s="8007"/>
      <c r="J138" s="60">
        <f>+F138+H138</f>
        <v>21488.026000000002</v>
      </c>
      <c r="K138" s="8006"/>
      <c r="L138" s="1237">
        <f>+L105+L121</f>
        <v>10295.391</v>
      </c>
      <c r="M138" s="8008"/>
      <c r="N138" s="1478">
        <f>+F138+H138+L138</f>
        <v>31783.417000000001</v>
      </c>
      <c r="O138" s="8006"/>
      <c r="P138" s="1237">
        <f>+P105+P121</f>
        <v>9792.6059999999998</v>
      </c>
      <c r="Q138" s="8007"/>
      <c r="R138" s="60">
        <f>+N138+P138</f>
        <v>41576.023000000001</v>
      </c>
      <c r="S138" s="8006"/>
      <c r="T138" s="1237">
        <f>+T105+T121</f>
        <v>11035.929</v>
      </c>
      <c r="U138" s="8007"/>
      <c r="V138" s="60">
        <f>+R138+T138</f>
        <v>52611.952000000005</v>
      </c>
      <c r="W138" s="8006"/>
      <c r="X138" s="1237">
        <f>+X105+X121</f>
        <v>10692.960999999999</v>
      </c>
      <c r="Y138" s="8008"/>
      <c r="Z138" s="1043">
        <f t="shared" ref="Z138" si="776">+P138+T138+X138</f>
        <v>31521.495999999999</v>
      </c>
      <c r="AA138" s="8018"/>
      <c r="AB138" s="746">
        <f t="shared" ref="AB138" si="777">+N138+Z138</f>
        <v>63304.913</v>
      </c>
      <c r="AC138" s="8006"/>
      <c r="AD138" s="1237">
        <f>+AD105+AD121</f>
        <v>10879.806</v>
      </c>
      <c r="AE138" s="8007"/>
      <c r="AF138" s="60">
        <f t="shared" ref="AF138" si="778">+AB138+AD138</f>
        <v>74184.718999999997</v>
      </c>
      <c r="AG138" s="8006"/>
      <c r="AH138" s="1237">
        <f>+AH105+AH121</f>
        <v>10474.189999999999</v>
      </c>
      <c r="AI138" s="8007"/>
      <c r="AJ138" s="60">
        <f t="shared" ref="AJ138" si="779">+AF138+AH138</f>
        <v>84658.909</v>
      </c>
      <c r="AK138" s="8006"/>
      <c r="AL138" s="1237">
        <f>+AL105+AL121</f>
        <v>12313.304343140731</v>
      </c>
      <c r="AM138" s="8008"/>
      <c r="AN138" s="2539">
        <f t="shared" ref="AN138" si="780">+AD138+AH138+AL138</f>
        <v>33667.300343140727</v>
      </c>
      <c r="AO138" s="8007"/>
      <c r="AP138" s="712">
        <f t="shared" ref="AP138" si="781">AJ138+AL138</f>
        <v>96972.213343140727</v>
      </c>
      <c r="AQ138" s="8006"/>
      <c r="AR138" s="1237">
        <f>+AR105+AR121</f>
        <v>12483.019</v>
      </c>
      <c r="AS138" s="8007"/>
      <c r="AT138" s="60">
        <f t="shared" ref="AT138" si="782">+AP138+AR138</f>
        <v>109455.23234314073</v>
      </c>
      <c r="AU138" s="8006"/>
      <c r="AV138" s="1237">
        <f>+AV105+AV121</f>
        <v>9805.5895999999993</v>
      </c>
      <c r="AW138" s="8007"/>
      <c r="AX138" s="60">
        <f t="shared" ref="AX138" si="783">+AT138+AV138</f>
        <v>119260.82194314073</v>
      </c>
      <c r="AY138" s="8006"/>
      <c r="AZ138" s="1237">
        <f>+AZ105+AZ121</f>
        <v>11044.577000000001</v>
      </c>
      <c r="BA138" s="8008"/>
      <c r="BB138" s="5105">
        <f t="shared" ref="BB138" si="784">+AR138+AV138+AZ138</f>
        <v>33333.185599999997</v>
      </c>
      <c r="BC138" s="8018"/>
      <c r="BD138" s="2679">
        <f>+AN138+BB138</f>
        <v>67000.485943140724</v>
      </c>
      <c r="BE138" s="8007"/>
      <c r="BF138" s="5106">
        <f t="shared" ref="BF138" si="785">AX138+AZ138</f>
        <v>130305.39894314074</v>
      </c>
      <c r="BG138" s="1137">
        <f t="shared" si="746"/>
        <v>11421.89349112426</v>
      </c>
      <c r="BH138" s="1137">
        <f t="shared" si="747"/>
        <v>0</v>
      </c>
      <c r="BI138" s="1137"/>
      <c r="BJ138" s="1137">
        <f t="shared" si="754"/>
        <v>0</v>
      </c>
      <c r="BK138" s="1137">
        <f t="shared" si="755"/>
        <v>0</v>
      </c>
      <c r="BL138" s="25"/>
      <c r="BM138" s="25"/>
      <c r="BN138" s="25"/>
      <c r="BP138" s="502"/>
      <c r="BQ138" s="502"/>
      <c r="BR138" s="502"/>
    </row>
    <row r="139" spans="1:70" ht="16.5" thickBot="1" x14ac:dyDescent="0.3">
      <c r="A139" s="138"/>
      <c r="B139" s="1769" t="s">
        <v>11</v>
      </c>
      <c r="C139" s="1788" t="s">
        <v>50</v>
      </c>
      <c r="D139" s="201">
        <f t="shared" ref="D139:AI139" si="786">SUM(D137:D138)</f>
        <v>1971314.1404768166</v>
      </c>
      <c r="E139" s="1789">
        <f t="shared" si="786"/>
        <v>161696.33793556874</v>
      </c>
      <c r="F139" s="1330">
        <f t="shared" si="786"/>
        <v>157946.51199999999</v>
      </c>
      <c r="G139" s="1789">
        <f t="shared" si="786"/>
        <v>160737.03133903132</v>
      </c>
      <c r="H139" s="1330">
        <f t="shared" si="786"/>
        <v>161964.25</v>
      </c>
      <c r="I139" s="1330">
        <f t="shared" si="786"/>
        <v>301302.08091168094</v>
      </c>
      <c r="J139" s="1330">
        <f t="shared" si="786"/>
        <v>301665.63500000001</v>
      </c>
      <c r="K139" s="1789">
        <f t="shared" si="786"/>
        <v>153388.00000000003</v>
      </c>
      <c r="L139" s="1330">
        <f t="shared" si="786"/>
        <v>156884.99</v>
      </c>
      <c r="M139" s="1790">
        <f t="shared" si="786"/>
        <v>454690.08091168094</v>
      </c>
      <c r="N139" s="1473">
        <f t="shared" si="786"/>
        <v>458550.625</v>
      </c>
      <c r="O139" s="1789">
        <f t="shared" si="786"/>
        <v>158500.93333333335</v>
      </c>
      <c r="P139" s="1330">
        <f t="shared" si="786"/>
        <v>162308.427763752</v>
      </c>
      <c r="Q139" s="1330">
        <f t="shared" si="786"/>
        <v>613191.01424501429</v>
      </c>
      <c r="R139" s="1330">
        <f t="shared" si="786"/>
        <v>620859.05276375206</v>
      </c>
      <c r="S139" s="1789">
        <f t="shared" si="786"/>
        <v>158500.93333333335</v>
      </c>
      <c r="T139" s="1330">
        <f t="shared" si="786"/>
        <v>163300.38</v>
      </c>
      <c r="U139" s="1330">
        <f t="shared" si="786"/>
        <v>771691.94757834764</v>
      </c>
      <c r="V139" s="1330">
        <f t="shared" si="786"/>
        <v>784159.43276375206</v>
      </c>
      <c r="W139" s="1789">
        <f t="shared" si="786"/>
        <v>147651.88547008549</v>
      </c>
      <c r="X139" s="1330">
        <f t="shared" si="786"/>
        <v>158293.00440580002</v>
      </c>
      <c r="Y139" s="65">
        <f t="shared" si="786"/>
        <v>464653.75213675213</v>
      </c>
      <c r="Z139" s="65">
        <f t="shared" si="786"/>
        <v>483901.81216955197</v>
      </c>
      <c r="AA139" s="2347">
        <f t="shared" si="786"/>
        <v>919343.83304843307</v>
      </c>
      <c r="AB139" s="434">
        <f t="shared" si="786"/>
        <v>942452.43716955185</v>
      </c>
      <c r="AC139" s="1789">
        <f t="shared" si="786"/>
        <v>158500.93333333335</v>
      </c>
      <c r="AD139" s="1330">
        <f t="shared" si="786"/>
        <v>161028.22752354838</v>
      </c>
      <c r="AE139" s="1330">
        <f t="shared" si="786"/>
        <v>1077844.7663817662</v>
      </c>
      <c r="AF139" s="1330">
        <f t="shared" si="786"/>
        <v>1103480.6646931004</v>
      </c>
      <c r="AG139" s="1789">
        <f t="shared" si="786"/>
        <v>153388.00000000003</v>
      </c>
      <c r="AH139" s="1330">
        <f t="shared" si="786"/>
        <v>156053.5</v>
      </c>
      <c r="AI139" s="1330">
        <f t="shared" si="786"/>
        <v>1231232.7663817664</v>
      </c>
      <c r="AJ139" s="1330">
        <f t="shared" ref="AJ139:BF139" si="787">SUM(AJ137:AJ138)</f>
        <v>1259534.1646931004</v>
      </c>
      <c r="AK139" s="1789">
        <f t="shared" si="787"/>
        <v>158500.93333333335</v>
      </c>
      <c r="AL139" s="1330">
        <f t="shared" si="787"/>
        <v>161257.17912087913</v>
      </c>
      <c r="AM139" s="65">
        <f t="shared" si="787"/>
        <v>470389.86666666676</v>
      </c>
      <c r="AN139" s="65">
        <f t="shared" si="787"/>
        <v>478338.90664442745</v>
      </c>
      <c r="AO139" s="1330">
        <f t="shared" si="787"/>
        <v>1389733.6997150998</v>
      </c>
      <c r="AP139" s="1330">
        <f t="shared" si="787"/>
        <v>1420791.3438139795</v>
      </c>
      <c r="AQ139" s="1789">
        <f t="shared" si="787"/>
        <v>158500.93333333335</v>
      </c>
      <c r="AR139" s="1330">
        <f t="shared" si="787"/>
        <v>160754.78099999999</v>
      </c>
      <c r="AS139" s="1330">
        <f t="shared" si="787"/>
        <v>1548234.6330484331</v>
      </c>
      <c r="AT139" s="1330">
        <f t="shared" si="787"/>
        <v>1581546.1248139795</v>
      </c>
      <c r="AU139" s="1789">
        <f t="shared" si="787"/>
        <v>143162.13333333333</v>
      </c>
      <c r="AV139" s="1330">
        <f t="shared" si="787"/>
        <v>145140.75099999999</v>
      </c>
      <c r="AW139" s="1330">
        <f t="shared" si="787"/>
        <v>1691396.7663817664</v>
      </c>
      <c r="AX139" s="1330">
        <f t="shared" si="787"/>
        <v>1726686.8758139794</v>
      </c>
      <c r="AY139" s="1789">
        <f t="shared" si="787"/>
        <v>158500.93333333335</v>
      </c>
      <c r="AZ139" s="1330">
        <f t="shared" si="787"/>
        <v>163473.72999999998</v>
      </c>
      <c r="BA139" s="65">
        <f t="shared" si="787"/>
        <v>460164.00000000006</v>
      </c>
      <c r="BB139" s="65">
        <f t="shared" si="787"/>
        <v>469369.26199999999</v>
      </c>
      <c r="BC139" s="2347">
        <f t="shared" si="787"/>
        <v>930553.86666666681</v>
      </c>
      <c r="BD139" s="434">
        <f t="shared" si="787"/>
        <v>947708.16864442732</v>
      </c>
      <c r="BE139" s="1330">
        <f t="shared" si="787"/>
        <v>1849897.6997151</v>
      </c>
      <c r="BF139" s="1330">
        <f t="shared" si="787"/>
        <v>1890160.6058139796</v>
      </c>
      <c r="BG139" s="1137">
        <f t="shared" si="746"/>
        <v>21131.28836291912</v>
      </c>
      <c r="BH139" s="1137">
        <f t="shared" si="747"/>
        <v>18245.126999999862</v>
      </c>
      <c r="BI139" s="1137"/>
      <c r="BJ139" s="1137">
        <f t="shared" si="754"/>
        <v>0</v>
      </c>
      <c r="BK139" s="1137">
        <f t="shared" si="755"/>
        <v>0</v>
      </c>
      <c r="BL139" s="25"/>
      <c r="BM139" s="25"/>
      <c r="BN139" s="25"/>
      <c r="BP139" s="502"/>
      <c r="BQ139" s="502"/>
      <c r="BR139" s="502"/>
    </row>
    <row r="140" spans="1:70" ht="19.5" thickBot="1" x14ac:dyDescent="0.3">
      <c r="A140" s="138"/>
      <c r="B140" s="1773" t="s">
        <v>1093</v>
      </c>
      <c r="C140" s="1791"/>
      <c r="D140" s="1791"/>
      <c r="E140" s="1791"/>
      <c r="F140" s="1791"/>
      <c r="G140" s="1791"/>
      <c r="H140" s="1791"/>
      <c r="I140" s="1791"/>
      <c r="J140" s="1791"/>
      <c r="K140" s="1791"/>
      <c r="L140" s="1791"/>
      <c r="M140" s="1791"/>
      <c r="N140" s="1791"/>
      <c r="O140" s="1791"/>
      <c r="P140" s="1791"/>
      <c r="Q140" s="1791"/>
      <c r="R140" s="1791"/>
      <c r="S140" s="1791"/>
      <c r="T140" s="1791"/>
      <c r="U140" s="1791"/>
      <c r="V140" s="1791"/>
      <c r="W140" s="1791"/>
      <c r="X140" s="1791"/>
      <c r="Y140" s="1791"/>
      <c r="Z140" s="1791"/>
      <c r="AA140" s="2411"/>
      <c r="AB140" s="1792"/>
      <c r="AC140" s="1791"/>
      <c r="AD140" s="1791"/>
      <c r="AE140" s="1791"/>
      <c r="AF140" s="1792"/>
      <c r="AG140" s="1791"/>
      <c r="AH140" s="1791"/>
      <c r="AI140" s="1791"/>
      <c r="AJ140" s="1792"/>
      <c r="AK140" s="1791"/>
      <c r="AL140" s="1791"/>
      <c r="AM140" s="1791"/>
      <c r="AN140" s="1791"/>
      <c r="AO140" s="1791"/>
      <c r="AP140" s="1792"/>
      <c r="AQ140" s="1791"/>
      <c r="AR140" s="1791"/>
      <c r="AS140" s="1791"/>
      <c r="AT140" s="1792"/>
      <c r="AU140" s="1791"/>
      <c r="AV140" s="1791"/>
      <c r="AW140" s="1791"/>
      <c r="AX140" s="1792"/>
      <c r="AY140" s="1791"/>
      <c r="AZ140" s="1791"/>
      <c r="BA140" s="1791"/>
      <c r="BB140" s="1791"/>
      <c r="BC140" s="2411"/>
      <c r="BD140" s="1792"/>
      <c r="BE140" s="1791"/>
      <c r="BF140" s="1792"/>
      <c r="BG140" s="1137">
        <f t="shared" si="746"/>
        <v>0</v>
      </c>
      <c r="BH140" s="1137">
        <f t="shared" si="747"/>
        <v>0</v>
      </c>
      <c r="BI140" s="1137"/>
      <c r="BJ140" s="1137">
        <f t="shared" si="754"/>
        <v>0</v>
      </c>
      <c r="BK140" s="1137">
        <f t="shared" si="755"/>
        <v>0</v>
      </c>
      <c r="BL140" s="25"/>
      <c r="BM140" s="25"/>
      <c r="BN140" s="25"/>
    </row>
    <row r="141" spans="1:70" ht="19.5" thickBot="1" x14ac:dyDescent="0.3">
      <c r="B141" s="1775" t="s">
        <v>617</v>
      </c>
      <c r="C141" s="1751"/>
      <c r="D141" s="1751"/>
      <c r="E141" s="1751"/>
      <c r="F141" s="1751"/>
      <c r="G141" s="1751"/>
      <c r="H141" s="1751"/>
      <c r="I141" s="1751"/>
      <c r="J141" s="1751"/>
      <c r="K141" s="1751"/>
      <c r="L141" s="1751"/>
      <c r="M141" s="1751"/>
      <c r="N141" s="1751"/>
      <c r="O141" s="1751"/>
      <c r="P141" s="1751"/>
      <c r="Q141" s="1751"/>
      <c r="R141" s="1751"/>
      <c r="S141" s="1751"/>
      <c r="T141" s="1751"/>
      <c r="U141" s="1751"/>
      <c r="V141" s="1751"/>
      <c r="W141" s="1751"/>
      <c r="X141" s="1751"/>
      <c r="Y141" s="1777"/>
      <c r="Z141" s="1777"/>
      <c r="AA141" s="2412"/>
      <c r="AB141" s="1778"/>
      <c r="AC141" s="1751"/>
      <c r="AD141" s="1751"/>
      <c r="AE141" s="1751"/>
      <c r="AF141" s="1752"/>
      <c r="AG141" s="1751"/>
      <c r="AH141" s="1751"/>
      <c r="AI141" s="1751"/>
      <c r="AJ141" s="1752"/>
      <c r="AK141" s="1751"/>
      <c r="AL141" s="1751"/>
      <c r="AM141" s="1777"/>
      <c r="AN141" s="1777"/>
      <c r="AO141" s="1751"/>
      <c r="AP141" s="1752"/>
      <c r="AQ141" s="1751"/>
      <c r="AR141" s="1751"/>
      <c r="AS141" s="1751"/>
      <c r="AT141" s="1752"/>
      <c r="AU141" s="1751"/>
      <c r="AV141" s="1751"/>
      <c r="AW141" s="1751"/>
      <c r="AX141" s="1752"/>
      <c r="AY141" s="1751"/>
      <c r="AZ141" s="1751"/>
      <c r="BA141" s="1777"/>
      <c r="BB141" s="1777"/>
      <c r="BC141" s="2412"/>
      <c r="BD141" s="1778"/>
      <c r="BE141" s="1751"/>
      <c r="BF141" s="1752"/>
      <c r="BG141" s="1137">
        <f t="shared" si="746"/>
        <v>0</v>
      </c>
      <c r="BH141" s="1137">
        <f t="shared" si="747"/>
        <v>0</v>
      </c>
      <c r="BI141" s="1137"/>
      <c r="BJ141" s="1137">
        <f t="shared" si="754"/>
        <v>0</v>
      </c>
      <c r="BK141" s="1137">
        <f t="shared" si="755"/>
        <v>0</v>
      </c>
      <c r="BL141" s="25"/>
      <c r="BM141" s="25"/>
      <c r="BN141" s="25"/>
    </row>
    <row r="142" spans="1:70" ht="15.75" x14ac:dyDescent="0.25">
      <c r="B142" s="1807" t="s">
        <v>408</v>
      </c>
      <c r="C142" s="1784"/>
      <c r="D142" s="218"/>
      <c r="E142" s="734"/>
      <c r="F142" s="578"/>
      <c r="G142" s="734"/>
      <c r="H142" s="578"/>
      <c r="I142" s="218"/>
      <c r="J142" s="218"/>
      <c r="K142" s="734"/>
      <c r="L142" s="578"/>
      <c r="M142" s="734"/>
      <c r="N142" s="578"/>
      <c r="O142" s="734"/>
      <c r="P142" s="578"/>
      <c r="Q142" s="218"/>
      <c r="R142" s="218"/>
      <c r="S142" s="734"/>
      <c r="T142" s="578"/>
      <c r="U142" s="218"/>
      <c r="V142" s="218"/>
      <c r="W142" s="734"/>
      <c r="X142" s="578"/>
      <c r="Y142" s="218"/>
      <c r="Z142" s="218"/>
      <c r="AA142" s="2333"/>
      <c r="AB142" s="578"/>
      <c r="AC142" s="734"/>
      <c r="AD142" s="578"/>
      <c r="AE142" s="218"/>
      <c r="AF142" s="578"/>
      <c r="AG142" s="734"/>
      <c r="AH142" s="578"/>
      <c r="AI142" s="218"/>
      <c r="AJ142" s="578"/>
      <c r="AK142" s="734"/>
      <c r="AL142" s="578"/>
      <c r="AM142" s="218"/>
      <c r="AN142" s="218"/>
      <c r="AO142" s="218"/>
      <c r="AP142" s="578"/>
      <c r="AQ142" s="734"/>
      <c r="AR142" s="578"/>
      <c r="AS142" s="218"/>
      <c r="AT142" s="578"/>
      <c r="AU142" s="734"/>
      <c r="AV142" s="578"/>
      <c r="AW142" s="218"/>
      <c r="AX142" s="578"/>
      <c r="AY142" s="734"/>
      <c r="AZ142" s="578"/>
      <c r="BA142" s="218"/>
      <c r="BB142" s="218"/>
      <c r="BC142" s="2333"/>
      <c r="BD142" s="578"/>
      <c r="BE142" s="218"/>
      <c r="BF142" s="578"/>
      <c r="BG142" s="1137">
        <f t="shared" si="746"/>
        <v>0</v>
      </c>
      <c r="BH142" s="1137">
        <f t="shared" si="747"/>
        <v>0</v>
      </c>
      <c r="BI142" s="1137"/>
      <c r="BJ142" s="1137">
        <f t="shared" si="754"/>
        <v>0</v>
      </c>
      <c r="BK142" s="1137">
        <f t="shared" si="755"/>
        <v>0</v>
      </c>
      <c r="BL142" s="25"/>
      <c r="BM142" s="25"/>
      <c r="BN142" s="25"/>
    </row>
    <row r="143" spans="1:70" x14ac:dyDescent="0.25">
      <c r="B143" s="1754" t="s">
        <v>194</v>
      </c>
      <c r="C143" s="1306" t="s">
        <v>49</v>
      </c>
      <c r="D143" s="102">
        <f t="shared" ref="D143:AI143" si="788">+D98/D106*100</f>
        <v>64.077456265815826</v>
      </c>
      <c r="E143" s="721">
        <f t="shared" si="788"/>
        <v>64.07745626581584</v>
      </c>
      <c r="F143" s="113">
        <f t="shared" si="788"/>
        <v>63.999999999999993</v>
      </c>
      <c r="G143" s="721" t="e">
        <f t="shared" si="788"/>
        <v>#REF!</v>
      </c>
      <c r="H143" s="113" t="e">
        <f t="shared" si="788"/>
        <v>#REF!</v>
      </c>
      <c r="I143" s="52" t="e">
        <f t="shared" si="788"/>
        <v>#REF!</v>
      </c>
      <c r="J143" s="156" t="e">
        <f t="shared" si="788"/>
        <v>#REF!</v>
      </c>
      <c r="K143" s="721" t="e">
        <f t="shared" si="788"/>
        <v>#REF!</v>
      </c>
      <c r="L143" s="113" t="e">
        <f t="shared" si="788"/>
        <v>#REF!</v>
      </c>
      <c r="M143" s="75" t="e">
        <f t="shared" si="788"/>
        <v>#REF!</v>
      </c>
      <c r="N143" s="164" t="e">
        <f t="shared" si="788"/>
        <v>#REF!</v>
      </c>
      <c r="O143" s="721" t="e">
        <f t="shared" si="788"/>
        <v>#REF!</v>
      </c>
      <c r="P143" s="113" t="e">
        <f t="shared" si="788"/>
        <v>#REF!</v>
      </c>
      <c r="Q143" s="52" t="e">
        <f t="shared" si="788"/>
        <v>#REF!</v>
      </c>
      <c r="R143" s="156" t="e">
        <f t="shared" si="788"/>
        <v>#REF!</v>
      </c>
      <c r="S143" s="721" t="e">
        <f t="shared" si="788"/>
        <v>#REF!</v>
      </c>
      <c r="T143" s="113" t="e">
        <f t="shared" si="788"/>
        <v>#REF!</v>
      </c>
      <c r="U143" s="52" t="e">
        <f t="shared" si="788"/>
        <v>#REF!</v>
      </c>
      <c r="V143" s="156" t="e">
        <f t="shared" si="788"/>
        <v>#REF!</v>
      </c>
      <c r="W143" s="721" t="e">
        <f t="shared" si="788"/>
        <v>#REF!</v>
      </c>
      <c r="X143" s="113" t="e">
        <f t="shared" si="788"/>
        <v>#REF!</v>
      </c>
      <c r="Y143" s="367" t="e">
        <f t="shared" si="788"/>
        <v>#REF!</v>
      </c>
      <c r="Z143" s="164" t="e">
        <f t="shared" si="788"/>
        <v>#REF!</v>
      </c>
      <c r="AA143" s="457" t="e">
        <f t="shared" si="788"/>
        <v>#REF!</v>
      </c>
      <c r="AB143" s="455" t="e">
        <f t="shared" si="788"/>
        <v>#REF!</v>
      </c>
      <c r="AC143" s="721" t="e">
        <f t="shared" si="788"/>
        <v>#REF!</v>
      </c>
      <c r="AD143" s="113" t="e">
        <f t="shared" si="788"/>
        <v>#REF!</v>
      </c>
      <c r="AE143" s="52" t="e">
        <f t="shared" si="788"/>
        <v>#REF!</v>
      </c>
      <c r="AF143" s="156" t="e">
        <f t="shared" si="788"/>
        <v>#REF!</v>
      </c>
      <c r="AG143" s="721" t="e">
        <f t="shared" si="788"/>
        <v>#REF!</v>
      </c>
      <c r="AH143" s="113" t="e">
        <f t="shared" si="788"/>
        <v>#REF!</v>
      </c>
      <c r="AI143" s="52" t="e">
        <f t="shared" si="788"/>
        <v>#REF!</v>
      </c>
      <c r="AJ143" s="156" t="e">
        <f t="shared" ref="AJ143:BF143" si="789">+AJ98/AJ106*100</f>
        <v>#REF!</v>
      </c>
      <c r="AK143" s="721" t="e">
        <f t="shared" si="789"/>
        <v>#REF!</v>
      </c>
      <c r="AL143" s="113" t="e">
        <f t="shared" si="789"/>
        <v>#REF!</v>
      </c>
      <c r="AM143" s="367" t="e">
        <f t="shared" si="789"/>
        <v>#REF!</v>
      </c>
      <c r="AN143" s="164" t="e">
        <f t="shared" si="789"/>
        <v>#REF!</v>
      </c>
      <c r="AO143" s="52" t="e">
        <f t="shared" si="789"/>
        <v>#REF!</v>
      </c>
      <c r="AP143" s="156" t="e">
        <f t="shared" si="789"/>
        <v>#REF!</v>
      </c>
      <c r="AQ143" s="721" t="e">
        <f t="shared" si="789"/>
        <v>#REF!</v>
      </c>
      <c r="AR143" s="113" t="e">
        <f t="shared" si="789"/>
        <v>#REF!</v>
      </c>
      <c r="AS143" s="52" t="e">
        <f t="shared" si="789"/>
        <v>#REF!</v>
      </c>
      <c r="AT143" s="156" t="e">
        <f t="shared" si="789"/>
        <v>#REF!</v>
      </c>
      <c r="AU143" s="721" t="e">
        <f t="shared" si="789"/>
        <v>#REF!</v>
      </c>
      <c r="AV143" s="113" t="e">
        <f t="shared" si="789"/>
        <v>#REF!</v>
      </c>
      <c r="AW143" s="52" t="e">
        <f t="shared" si="789"/>
        <v>#REF!</v>
      </c>
      <c r="AX143" s="156" t="e">
        <f t="shared" si="789"/>
        <v>#REF!</v>
      </c>
      <c r="AY143" s="721" t="e">
        <f t="shared" si="789"/>
        <v>#REF!</v>
      </c>
      <c r="AZ143" s="113" t="e">
        <f t="shared" si="789"/>
        <v>#REF!</v>
      </c>
      <c r="BA143" s="367" t="e">
        <f t="shared" si="789"/>
        <v>#REF!</v>
      </c>
      <c r="BB143" s="164" t="e">
        <f t="shared" si="789"/>
        <v>#REF!</v>
      </c>
      <c r="BC143" s="457" t="e">
        <f t="shared" si="789"/>
        <v>#REF!</v>
      </c>
      <c r="BD143" s="455" t="e">
        <f t="shared" si="789"/>
        <v>#REF!</v>
      </c>
      <c r="BE143" s="52" t="e">
        <f t="shared" si="789"/>
        <v>#REF!</v>
      </c>
      <c r="BF143" s="156" t="e">
        <f t="shared" si="789"/>
        <v>#REF!</v>
      </c>
      <c r="BG143" s="1137"/>
      <c r="BH143" s="1137"/>
      <c r="BI143" s="1137"/>
      <c r="BJ143" s="1137"/>
      <c r="BK143" s="1137"/>
      <c r="BL143" s="25"/>
      <c r="BM143" s="25"/>
      <c r="BN143" s="25"/>
    </row>
    <row r="144" spans="1:70" x14ac:dyDescent="0.25">
      <c r="B144" s="1754" t="s">
        <v>195</v>
      </c>
      <c r="C144" s="1306" t="s">
        <v>49</v>
      </c>
      <c r="D144" s="102">
        <f t="shared" ref="D144:AI144" si="790">+D103/D106*100</f>
        <v>25.030256353834311</v>
      </c>
      <c r="E144" s="721">
        <f t="shared" si="790"/>
        <v>25.030256353834307</v>
      </c>
      <c r="F144" s="123">
        <f t="shared" si="790"/>
        <v>25.000000000000007</v>
      </c>
      <c r="G144" s="721" t="e">
        <f t="shared" si="790"/>
        <v>#REF!</v>
      </c>
      <c r="H144" s="123" t="e">
        <f t="shared" si="790"/>
        <v>#REF!</v>
      </c>
      <c r="I144" s="51" t="e">
        <f t="shared" si="790"/>
        <v>#REF!</v>
      </c>
      <c r="J144" s="101" t="e">
        <f t="shared" si="790"/>
        <v>#REF!</v>
      </c>
      <c r="K144" s="721" t="e">
        <f t="shared" si="790"/>
        <v>#REF!</v>
      </c>
      <c r="L144" s="123" t="e">
        <f t="shared" si="790"/>
        <v>#REF!</v>
      </c>
      <c r="M144" s="75" t="e">
        <f t="shared" si="790"/>
        <v>#REF!</v>
      </c>
      <c r="N144" s="108" t="e">
        <f t="shared" si="790"/>
        <v>#REF!</v>
      </c>
      <c r="O144" s="721" t="e">
        <f t="shared" si="790"/>
        <v>#REF!</v>
      </c>
      <c r="P144" s="123" t="e">
        <f t="shared" si="790"/>
        <v>#REF!</v>
      </c>
      <c r="Q144" s="51" t="e">
        <f t="shared" si="790"/>
        <v>#REF!</v>
      </c>
      <c r="R144" s="101" t="e">
        <f t="shared" si="790"/>
        <v>#REF!</v>
      </c>
      <c r="S144" s="721" t="e">
        <f t="shared" si="790"/>
        <v>#REF!</v>
      </c>
      <c r="T144" s="123" t="e">
        <f t="shared" si="790"/>
        <v>#REF!</v>
      </c>
      <c r="U144" s="51" t="e">
        <f t="shared" si="790"/>
        <v>#REF!</v>
      </c>
      <c r="V144" s="101" t="e">
        <f t="shared" si="790"/>
        <v>#REF!</v>
      </c>
      <c r="W144" s="721" t="e">
        <f t="shared" si="790"/>
        <v>#REF!</v>
      </c>
      <c r="X144" s="123" t="e">
        <f t="shared" si="790"/>
        <v>#REF!</v>
      </c>
      <c r="Y144" s="367" t="e">
        <f t="shared" si="790"/>
        <v>#REF!</v>
      </c>
      <c r="Z144" s="108" t="e">
        <f t="shared" si="790"/>
        <v>#REF!</v>
      </c>
      <c r="AA144" s="457" t="e">
        <f t="shared" si="790"/>
        <v>#REF!</v>
      </c>
      <c r="AB144" s="445" t="e">
        <f t="shared" si="790"/>
        <v>#REF!</v>
      </c>
      <c r="AC144" s="721" t="e">
        <f t="shared" si="790"/>
        <v>#REF!</v>
      </c>
      <c r="AD144" s="123" t="e">
        <f t="shared" si="790"/>
        <v>#REF!</v>
      </c>
      <c r="AE144" s="51" t="e">
        <f t="shared" si="790"/>
        <v>#REF!</v>
      </c>
      <c r="AF144" s="101" t="e">
        <f t="shared" si="790"/>
        <v>#REF!</v>
      </c>
      <c r="AG144" s="721" t="e">
        <f t="shared" si="790"/>
        <v>#REF!</v>
      </c>
      <c r="AH144" s="123" t="e">
        <f t="shared" si="790"/>
        <v>#REF!</v>
      </c>
      <c r="AI144" s="51" t="e">
        <f t="shared" si="790"/>
        <v>#REF!</v>
      </c>
      <c r="AJ144" s="101" t="e">
        <f t="shared" ref="AJ144:BF144" si="791">+AJ103/AJ106*100</f>
        <v>#REF!</v>
      </c>
      <c r="AK144" s="721" t="e">
        <f t="shared" si="791"/>
        <v>#REF!</v>
      </c>
      <c r="AL144" s="123" t="e">
        <f t="shared" si="791"/>
        <v>#REF!</v>
      </c>
      <c r="AM144" s="367" t="e">
        <f t="shared" si="791"/>
        <v>#REF!</v>
      </c>
      <c r="AN144" s="108" t="e">
        <f t="shared" si="791"/>
        <v>#REF!</v>
      </c>
      <c r="AO144" s="51" t="e">
        <f t="shared" si="791"/>
        <v>#REF!</v>
      </c>
      <c r="AP144" s="101" t="e">
        <f t="shared" si="791"/>
        <v>#REF!</v>
      </c>
      <c r="AQ144" s="721" t="e">
        <f t="shared" si="791"/>
        <v>#REF!</v>
      </c>
      <c r="AR144" s="123" t="e">
        <f t="shared" si="791"/>
        <v>#REF!</v>
      </c>
      <c r="AS144" s="51" t="e">
        <f t="shared" si="791"/>
        <v>#REF!</v>
      </c>
      <c r="AT144" s="101" t="e">
        <f t="shared" si="791"/>
        <v>#REF!</v>
      </c>
      <c r="AU144" s="721" t="e">
        <f t="shared" si="791"/>
        <v>#REF!</v>
      </c>
      <c r="AV144" s="123" t="e">
        <f t="shared" si="791"/>
        <v>#REF!</v>
      </c>
      <c r="AW144" s="51" t="e">
        <f t="shared" si="791"/>
        <v>#REF!</v>
      </c>
      <c r="AX144" s="101" t="e">
        <f t="shared" si="791"/>
        <v>#REF!</v>
      </c>
      <c r="AY144" s="721" t="e">
        <f t="shared" si="791"/>
        <v>#REF!</v>
      </c>
      <c r="AZ144" s="123" t="e">
        <f t="shared" si="791"/>
        <v>#REF!</v>
      </c>
      <c r="BA144" s="367" t="e">
        <f t="shared" si="791"/>
        <v>#REF!</v>
      </c>
      <c r="BB144" s="108" t="e">
        <f t="shared" si="791"/>
        <v>#REF!</v>
      </c>
      <c r="BC144" s="457" t="e">
        <f t="shared" si="791"/>
        <v>#REF!</v>
      </c>
      <c r="BD144" s="445" t="e">
        <f t="shared" si="791"/>
        <v>#REF!</v>
      </c>
      <c r="BE144" s="51" t="e">
        <f t="shared" si="791"/>
        <v>#REF!</v>
      </c>
      <c r="BF144" s="101" t="e">
        <f t="shared" si="791"/>
        <v>#REF!</v>
      </c>
      <c r="BG144" s="1137"/>
      <c r="BH144" s="1137"/>
      <c r="BI144" s="1137"/>
      <c r="BJ144" s="1137"/>
      <c r="BK144" s="1137"/>
      <c r="BL144" s="25"/>
      <c r="BM144" s="25"/>
      <c r="BN144" s="25"/>
    </row>
    <row r="145" spans="1:66" x14ac:dyDescent="0.25">
      <c r="A145" s="138"/>
      <c r="B145" s="1770" t="s">
        <v>12</v>
      </c>
      <c r="C145" s="1307" t="s">
        <v>49</v>
      </c>
      <c r="D145" s="1351">
        <f t="shared" ref="D145:J145" si="792">SUM(D143:D144)</f>
        <v>89.10771261965013</v>
      </c>
      <c r="E145" s="1282">
        <f t="shared" si="792"/>
        <v>89.107712619650144</v>
      </c>
      <c r="F145" s="135">
        <f t="shared" si="792"/>
        <v>89</v>
      </c>
      <c r="G145" s="1282" t="e">
        <f t="shared" ref="G145:H145" si="793">SUM(G143:G144)</f>
        <v>#REF!</v>
      </c>
      <c r="H145" s="135" t="e">
        <f t="shared" si="793"/>
        <v>#REF!</v>
      </c>
      <c r="I145" s="1283" t="e">
        <f t="shared" si="792"/>
        <v>#REF!</v>
      </c>
      <c r="J145" s="157" t="e">
        <f t="shared" si="792"/>
        <v>#REF!</v>
      </c>
      <c r="K145" s="1282" t="e">
        <f t="shared" ref="K145:L145" si="794">SUM(K143:K144)</f>
        <v>#REF!</v>
      </c>
      <c r="L145" s="135" t="e">
        <f t="shared" si="794"/>
        <v>#REF!</v>
      </c>
      <c r="M145" s="1284" t="e">
        <f t="shared" ref="M145:R145" si="795">SUM(M143:M144)</f>
        <v>#REF!</v>
      </c>
      <c r="N145" s="165" t="e">
        <f t="shared" si="795"/>
        <v>#REF!</v>
      </c>
      <c r="O145" s="1282" t="e">
        <f t="shared" si="795"/>
        <v>#REF!</v>
      </c>
      <c r="P145" s="135" t="e">
        <f t="shared" si="795"/>
        <v>#REF!</v>
      </c>
      <c r="Q145" s="1283" t="e">
        <f t="shared" si="795"/>
        <v>#REF!</v>
      </c>
      <c r="R145" s="157" t="e">
        <f t="shared" si="795"/>
        <v>#REF!</v>
      </c>
      <c r="S145" s="1282" t="e">
        <f t="shared" ref="S145:T145" si="796">SUM(S143:S144)</f>
        <v>#REF!</v>
      </c>
      <c r="T145" s="135" t="e">
        <f t="shared" si="796"/>
        <v>#REF!</v>
      </c>
      <c r="U145" s="1283" t="e">
        <f t="shared" ref="U145:X145" si="797">SUM(U143:U144)</f>
        <v>#REF!</v>
      </c>
      <c r="V145" s="157" t="e">
        <f t="shared" si="797"/>
        <v>#REF!</v>
      </c>
      <c r="W145" s="1282" t="e">
        <f t="shared" si="797"/>
        <v>#REF!</v>
      </c>
      <c r="X145" s="135" t="e">
        <f t="shared" si="797"/>
        <v>#REF!</v>
      </c>
      <c r="Y145" s="1285" t="e">
        <f t="shared" ref="Y145:AF145" si="798">SUM(Y143:Y144)</f>
        <v>#REF!</v>
      </c>
      <c r="Z145" s="165" t="e">
        <f t="shared" si="798"/>
        <v>#REF!</v>
      </c>
      <c r="AA145" s="457" t="e">
        <f t="shared" si="798"/>
        <v>#REF!</v>
      </c>
      <c r="AB145" s="456" t="e">
        <f t="shared" si="798"/>
        <v>#REF!</v>
      </c>
      <c r="AC145" s="1282" t="e">
        <f t="shared" si="798"/>
        <v>#REF!</v>
      </c>
      <c r="AD145" s="135" t="e">
        <f t="shared" si="798"/>
        <v>#REF!</v>
      </c>
      <c r="AE145" s="1283" t="e">
        <f t="shared" si="798"/>
        <v>#REF!</v>
      </c>
      <c r="AF145" s="157" t="e">
        <f t="shared" si="798"/>
        <v>#REF!</v>
      </c>
      <c r="AG145" s="1282" t="e">
        <f t="shared" ref="AG145:AH145" si="799">SUM(AG143:AG144)</f>
        <v>#REF!</v>
      </c>
      <c r="AH145" s="135" t="e">
        <f t="shared" si="799"/>
        <v>#REF!</v>
      </c>
      <c r="AI145" s="1283" t="e">
        <f t="shared" ref="AI145:AN145" si="800">SUM(AI143:AI144)</f>
        <v>#REF!</v>
      </c>
      <c r="AJ145" s="157" t="e">
        <f t="shared" si="800"/>
        <v>#REF!</v>
      </c>
      <c r="AK145" s="1282" t="e">
        <f t="shared" si="800"/>
        <v>#REF!</v>
      </c>
      <c r="AL145" s="135" t="e">
        <f t="shared" si="800"/>
        <v>#REF!</v>
      </c>
      <c r="AM145" s="1285" t="e">
        <f t="shared" si="800"/>
        <v>#REF!</v>
      </c>
      <c r="AN145" s="165" t="e">
        <f t="shared" si="800"/>
        <v>#REF!</v>
      </c>
      <c r="AO145" s="1283" t="e">
        <f t="shared" ref="AO145:AT145" si="801">SUM(AO143:AO144)</f>
        <v>#REF!</v>
      </c>
      <c r="AP145" s="157" t="e">
        <f t="shared" si="801"/>
        <v>#REF!</v>
      </c>
      <c r="AQ145" s="1282" t="e">
        <f t="shared" si="801"/>
        <v>#REF!</v>
      </c>
      <c r="AR145" s="135" t="e">
        <f t="shared" si="801"/>
        <v>#REF!</v>
      </c>
      <c r="AS145" s="1283" t="e">
        <f t="shared" si="801"/>
        <v>#REF!</v>
      </c>
      <c r="AT145" s="157" t="e">
        <f t="shared" si="801"/>
        <v>#REF!</v>
      </c>
      <c r="AU145" s="1282" t="e">
        <f t="shared" ref="AU145:AV145" si="802">SUM(AU143:AU144)</f>
        <v>#REF!</v>
      </c>
      <c r="AV145" s="135" t="e">
        <f t="shared" si="802"/>
        <v>#REF!</v>
      </c>
      <c r="AW145" s="1283" t="e">
        <f t="shared" ref="AW145:AZ145" si="803">SUM(AW143:AW144)</f>
        <v>#REF!</v>
      </c>
      <c r="AX145" s="157" t="e">
        <f t="shared" si="803"/>
        <v>#REF!</v>
      </c>
      <c r="AY145" s="1282" t="e">
        <f t="shared" si="803"/>
        <v>#REF!</v>
      </c>
      <c r="AZ145" s="135" t="e">
        <f t="shared" si="803"/>
        <v>#REF!</v>
      </c>
      <c r="BA145" s="1285" t="e">
        <f t="shared" ref="BA145:BF145" si="804">SUM(BA143:BA144)</f>
        <v>#REF!</v>
      </c>
      <c r="BB145" s="165" t="e">
        <f t="shared" si="804"/>
        <v>#REF!</v>
      </c>
      <c r="BC145" s="457" t="e">
        <f t="shared" si="804"/>
        <v>#REF!</v>
      </c>
      <c r="BD145" s="456" t="e">
        <f t="shared" si="804"/>
        <v>#REF!</v>
      </c>
      <c r="BE145" s="1283" t="e">
        <f t="shared" si="804"/>
        <v>#REF!</v>
      </c>
      <c r="BF145" s="157" t="e">
        <f t="shared" si="804"/>
        <v>#REF!</v>
      </c>
      <c r="BG145" s="1137"/>
      <c r="BH145" s="1137"/>
      <c r="BI145" s="1137"/>
      <c r="BJ145" s="1137"/>
      <c r="BK145" s="1137"/>
      <c r="BL145" s="25"/>
      <c r="BM145" s="25"/>
      <c r="BN145" s="25"/>
    </row>
    <row r="146" spans="1:66" x14ac:dyDescent="0.25">
      <c r="B146" s="1754" t="s">
        <v>2281</v>
      </c>
      <c r="C146" s="1306" t="s">
        <v>49</v>
      </c>
      <c r="D146" s="102">
        <f>+(D105/D106)*100</f>
        <v>10.892287380349874</v>
      </c>
      <c r="E146" s="1239">
        <f t="shared" ref="E146:F146" si="805">+(E105/E106)*100</f>
        <v>10.892287380349872</v>
      </c>
      <c r="F146" s="123">
        <f t="shared" si="805"/>
        <v>11</v>
      </c>
      <c r="G146" s="1239" t="e">
        <f>+((+#REF!+G105+#REF!)/G106)*100</f>
        <v>#REF!</v>
      </c>
      <c r="H146" s="123" t="e">
        <f>+((+#REF!+H105+#REF!)/H106)*100</f>
        <v>#REF!</v>
      </c>
      <c r="I146" s="101" t="e">
        <f>+((+#REF!+I105+#REF!)/I106)*100</f>
        <v>#REF!</v>
      </c>
      <c r="J146" s="101" t="e">
        <f>+((+#REF!+J105+#REF!)/J106)*100</f>
        <v>#REF!</v>
      </c>
      <c r="K146" s="1239" t="e">
        <f>+((+#REF!+K105+#REF!)/K106)*100</f>
        <v>#REF!</v>
      </c>
      <c r="L146" s="123" t="e">
        <f>+((+#REF!+L105+#REF!)/L106)*100</f>
        <v>#REF!</v>
      </c>
      <c r="M146" s="1479" t="e">
        <f>+((+#REF!+M105+#REF!)/M106)*100</f>
        <v>#REF!</v>
      </c>
      <c r="N146" s="108" t="e">
        <f>+((+#REF!+N105+#REF!)/N106)*100</f>
        <v>#REF!</v>
      </c>
      <c r="O146" s="1239" t="e">
        <f>+((+#REF!+O105+#REF!)/O106)*100</f>
        <v>#REF!</v>
      </c>
      <c r="P146" s="123" t="e">
        <f>+((+#REF!+P105+#REF!)/P106)*100</f>
        <v>#REF!</v>
      </c>
      <c r="Q146" s="101" t="e">
        <f>+((+#REF!+Q105+#REF!)/Q106)*100</f>
        <v>#REF!</v>
      </c>
      <c r="R146" s="101" t="e">
        <f>+((+#REF!+R105+#REF!)/R106)*100</f>
        <v>#REF!</v>
      </c>
      <c r="S146" s="1239" t="e">
        <f>+((+#REF!+S105+#REF!)/S106)*100</f>
        <v>#REF!</v>
      </c>
      <c r="T146" s="123" t="e">
        <f>+((+#REF!+T105+#REF!)/T106)*100</f>
        <v>#REF!</v>
      </c>
      <c r="U146" s="101" t="e">
        <f>+((+#REF!+U105+#REF!)/U106)*100</f>
        <v>#REF!</v>
      </c>
      <c r="V146" s="101" t="e">
        <f>+((+#REF!+V105+#REF!)/V106)*100</f>
        <v>#REF!</v>
      </c>
      <c r="W146" s="1239" t="e">
        <f>+((+#REF!+W105+#REF!)/W106)*100</f>
        <v>#REF!</v>
      </c>
      <c r="X146" s="123" t="e">
        <f>+((+#REF!+X105+#REF!)/X106)*100</f>
        <v>#REF!</v>
      </c>
      <c r="Y146" s="108" t="e">
        <f>+((+#REF!+Y105+#REF!)/Y106)*100</f>
        <v>#REF!</v>
      </c>
      <c r="Z146" s="108" t="e">
        <f>+((+#REF!+Z105+#REF!)/Z106)*100</f>
        <v>#REF!</v>
      </c>
      <c r="AA146" s="445" t="e">
        <f>+((+#REF!+AA105+#REF!)/AA106)*100</f>
        <v>#REF!</v>
      </c>
      <c r="AB146" s="445" t="e">
        <f>+((+#REF!+AB105+#REF!)/AB106)*100</f>
        <v>#REF!</v>
      </c>
      <c r="AC146" s="1239" t="e">
        <f>+((+#REF!+AC105+#REF!)/AC106)*100</f>
        <v>#REF!</v>
      </c>
      <c r="AD146" s="123" t="e">
        <f>+((+#REF!+AD105+#REF!)/AD106)*100</f>
        <v>#REF!</v>
      </c>
      <c r="AE146" s="101" t="e">
        <f>+((+#REF!+AE105+#REF!)/AE106)*100</f>
        <v>#REF!</v>
      </c>
      <c r="AF146" s="101" t="e">
        <f>+((+#REF!+AF105+#REF!)/AF106)*100</f>
        <v>#REF!</v>
      </c>
      <c r="AG146" s="1239" t="e">
        <f>+((+#REF!+AG105+#REF!)/AG106)*100</f>
        <v>#REF!</v>
      </c>
      <c r="AH146" s="123" t="e">
        <f>+((+#REF!+AH105+#REF!)/AH106)*100</f>
        <v>#REF!</v>
      </c>
      <c r="AI146" s="101" t="e">
        <f>+((+#REF!+AI105+#REF!)/AI106)*100</f>
        <v>#REF!</v>
      </c>
      <c r="AJ146" s="101" t="e">
        <f>+((+#REF!+AJ105+#REF!)/AJ106)*100</f>
        <v>#REF!</v>
      </c>
      <c r="AK146" s="1239" t="e">
        <f>+((+#REF!+AK105+#REF!)/AK106)*100</f>
        <v>#REF!</v>
      </c>
      <c r="AL146" s="123" t="e">
        <f>+((+#REF!+AL105+#REF!)/AL106)*100</f>
        <v>#REF!</v>
      </c>
      <c r="AM146" s="108" t="e">
        <f>+((+#REF!+AM105+#REF!)/AM106)*100</f>
        <v>#REF!</v>
      </c>
      <c r="AN146" s="108" t="e">
        <f>+((+#REF!+AN105+#REF!)/AN106)*100</f>
        <v>#REF!</v>
      </c>
      <c r="AO146" s="101" t="e">
        <f>+((+#REF!+AO105+#REF!)/AO106)*100</f>
        <v>#REF!</v>
      </c>
      <c r="AP146" s="101" t="e">
        <f>+((+#REF!+AP105+#REF!)/AP106)*100</f>
        <v>#REF!</v>
      </c>
      <c r="AQ146" s="1239" t="e">
        <f>+((+#REF!+AQ105+#REF!)/AQ106)*100</f>
        <v>#REF!</v>
      </c>
      <c r="AR146" s="123" t="e">
        <f>+((+#REF!+AR105+#REF!)/AR106)*100</f>
        <v>#REF!</v>
      </c>
      <c r="AS146" s="101" t="e">
        <f>+((+#REF!+AS105+#REF!)/AS106)*100</f>
        <v>#REF!</v>
      </c>
      <c r="AT146" s="101" t="e">
        <f>+((+#REF!+AT105+#REF!)/AT106)*100</f>
        <v>#REF!</v>
      </c>
      <c r="AU146" s="1239" t="e">
        <f>+((+#REF!+AU105+#REF!)/AU106)*100</f>
        <v>#REF!</v>
      </c>
      <c r="AV146" s="123" t="e">
        <f>+((+#REF!+AV105+#REF!)/AV106)*100</f>
        <v>#REF!</v>
      </c>
      <c r="AW146" s="101" t="e">
        <f>+((+#REF!+AW105+#REF!)/AW106)*100</f>
        <v>#REF!</v>
      </c>
      <c r="AX146" s="101" t="e">
        <f>+((+#REF!+AX105+#REF!)/AX106)*100</f>
        <v>#REF!</v>
      </c>
      <c r="AY146" s="1239" t="e">
        <f>+((+#REF!+AY105+#REF!)/AY106)*100</f>
        <v>#REF!</v>
      </c>
      <c r="AZ146" s="123" t="e">
        <f>+((+#REF!+AZ105+#REF!)/AZ106)*100</f>
        <v>#REF!</v>
      </c>
      <c r="BA146" s="108" t="e">
        <f>+((+#REF!+BA105+#REF!)/BA106)*100</f>
        <v>#REF!</v>
      </c>
      <c r="BB146" s="108" t="e">
        <f>+((+#REF!+BB105+#REF!)/BB106)*100</f>
        <v>#REF!</v>
      </c>
      <c r="BC146" s="445" t="e">
        <f>+((+#REF!+BC105+#REF!)/BC106)*100</f>
        <v>#REF!</v>
      </c>
      <c r="BD146" s="445" t="e">
        <f>+((+#REF!+BD105+#REF!)/BD106)*100</f>
        <v>#REF!</v>
      </c>
      <c r="BE146" s="101" t="e">
        <f>+((+#REF!+BE105+#REF!)/BE106)*100</f>
        <v>#REF!</v>
      </c>
      <c r="BF146" s="101" t="e">
        <f>+((+#REF!+BF105+#REF!)/BF106)*100</f>
        <v>#REF!</v>
      </c>
      <c r="BG146" s="1137"/>
      <c r="BH146" s="1137"/>
      <c r="BI146" s="1137"/>
      <c r="BJ146" s="1137"/>
      <c r="BK146" s="1137"/>
      <c r="BL146" s="25"/>
      <c r="BM146" s="25"/>
      <c r="BN146" s="25"/>
    </row>
    <row r="147" spans="1:66" ht="18.75" x14ac:dyDescent="0.3">
      <c r="B147" s="1806" t="s">
        <v>193</v>
      </c>
      <c r="C147" s="1311"/>
      <c r="D147" s="1286"/>
      <c r="E147" s="1287"/>
      <c r="F147" s="1288"/>
      <c r="G147" s="1287"/>
      <c r="H147" s="1288"/>
      <c r="I147" s="1289"/>
      <c r="J147" s="1286"/>
      <c r="K147" s="1287"/>
      <c r="L147" s="1288"/>
      <c r="M147" s="1287"/>
      <c r="N147" s="1288"/>
      <c r="O147" s="1287"/>
      <c r="P147" s="1288"/>
      <c r="Q147" s="1289"/>
      <c r="R147" s="1286"/>
      <c r="S147" s="1287"/>
      <c r="T147" s="1288"/>
      <c r="U147" s="1289"/>
      <c r="V147" s="1286"/>
      <c r="W147" s="1287"/>
      <c r="X147" s="1288"/>
      <c r="Y147" s="1286"/>
      <c r="Z147" s="1286"/>
      <c r="AA147" s="2348"/>
      <c r="AB147" s="1288"/>
      <c r="AC147" s="1287"/>
      <c r="AD147" s="1288"/>
      <c r="AE147" s="1289"/>
      <c r="AF147" s="1288"/>
      <c r="AG147" s="1287"/>
      <c r="AH147" s="1288"/>
      <c r="AI147" s="1289"/>
      <c r="AJ147" s="1288"/>
      <c r="AK147" s="1287"/>
      <c r="AL147" s="1288"/>
      <c r="AM147" s="1286"/>
      <c r="AN147" s="1286"/>
      <c r="AO147" s="1289"/>
      <c r="AP147" s="1288"/>
      <c r="AQ147" s="1287"/>
      <c r="AR147" s="1288"/>
      <c r="AS147" s="1289"/>
      <c r="AT147" s="1288"/>
      <c r="AU147" s="1287"/>
      <c r="AV147" s="1288"/>
      <c r="AW147" s="1289"/>
      <c r="AX147" s="1288"/>
      <c r="AY147" s="1287"/>
      <c r="AZ147" s="1288"/>
      <c r="BA147" s="1286"/>
      <c r="BB147" s="1286"/>
      <c r="BC147" s="2348"/>
      <c r="BD147" s="1288"/>
      <c r="BE147" s="1289"/>
      <c r="BF147" s="1288"/>
      <c r="BG147" s="1137"/>
      <c r="BH147" s="1137"/>
      <c r="BI147" s="1137"/>
      <c r="BJ147" s="1137"/>
      <c r="BK147" s="1137"/>
      <c r="BL147" s="25"/>
      <c r="BM147" s="25"/>
      <c r="BN147" s="25"/>
    </row>
    <row r="148" spans="1:66" x14ac:dyDescent="0.25">
      <c r="B148" s="1754" t="s">
        <v>199</v>
      </c>
      <c r="C148" s="1306" t="s">
        <v>49</v>
      </c>
      <c r="D148" s="102">
        <v>9.5</v>
      </c>
      <c r="E148" s="721">
        <f>+$D$148</f>
        <v>9.5</v>
      </c>
      <c r="F148" s="125">
        <v>8.1999999999999993</v>
      </c>
      <c r="G148" s="721">
        <f>+$D$148</f>
        <v>9.5</v>
      </c>
      <c r="H148" s="125">
        <v>8.5</v>
      </c>
      <c r="I148" s="51">
        <f>+$D$148</f>
        <v>9.5</v>
      </c>
      <c r="J148" s="103" t="e">
        <f>+((F148*F$106)+(H$106*H148))/J$106</f>
        <v>#REF!</v>
      </c>
      <c r="K148" s="721">
        <f>+$D$148</f>
        <v>9.5</v>
      </c>
      <c r="L148" s="125">
        <v>9.1999999999999993</v>
      </c>
      <c r="M148" s="75">
        <f>+$D$148</f>
        <v>9.5</v>
      </c>
      <c r="N148" s="109" t="e">
        <f>+((F148*F$106)+(H148*H$106)+(L148*L$106))/N$106</f>
        <v>#REF!</v>
      </c>
      <c r="O148" s="721">
        <f>+$D$148</f>
        <v>9.5</v>
      </c>
      <c r="P148" s="125">
        <v>9.6999999999999993</v>
      </c>
      <c r="Q148" s="51">
        <f>+$D$148</f>
        <v>9.5</v>
      </c>
      <c r="R148" s="103" t="e">
        <f>+((N148*N$106)+(P148*P$106))/R$106</f>
        <v>#REF!</v>
      </c>
      <c r="S148" s="721">
        <f>+$D$148</f>
        <v>9.5</v>
      </c>
      <c r="T148" s="125">
        <v>9.8000000000000007</v>
      </c>
      <c r="U148" s="51">
        <f>+$D$148</f>
        <v>9.5</v>
      </c>
      <c r="V148" s="103" t="e">
        <f>+((R148*R$106)+(T148*T$106))/V$106</f>
        <v>#REF!</v>
      </c>
      <c r="W148" s="721">
        <f>+$D$148</f>
        <v>9.5</v>
      </c>
      <c r="X148" s="125">
        <v>9.6</v>
      </c>
      <c r="Y148" s="75">
        <f>+$D$148</f>
        <v>9.5</v>
      </c>
      <c r="Z148" s="109" t="e">
        <f>+((P148*P$106)+(T148*T$106)+(X$106*X148))/Z$106</f>
        <v>#REF!</v>
      </c>
      <c r="AA148" s="634">
        <f>+$D$148</f>
        <v>9.5</v>
      </c>
      <c r="AB148" s="448" t="e">
        <f>+((N148*N$106)+(Z$106*Z148))/AB$106</f>
        <v>#REF!</v>
      </c>
      <c r="AC148" s="721">
        <f>+$D$148</f>
        <v>9.5</v>
      </c>
      <c r="AD148" s="125">
        <v>9.1999999999999993</v>
      </c>
      <c r="AE148" s="51">
        <f>+$D$148</f>
        <v>9.5</v>
      </c>
      <c r="AF148" s="103" t="e">
        <f>+((AB148*AB$106)+(AD148*AD$106))/AF$106</f>
        <v>#REF!</v>
      </c>
      <c r="AG148" s="721">
        <f>+$D$148</f>
        <v>9.5</v>
      </c>
      <c r="AH148" s="125">
        <v>8.8000000000000007</v>
      </c>
      <c r="AI148" s="51">
        <f>+$D$148</f>
        <v>9.5</v>
      </c>
      <c r="AJ148" s="103" t="e">
        <f>+((AF148*AF$106)+(AH148*AH$106))/AJ$106</f>
        <v>#REF!</v>
      </c>
      <c r="AK148" s="721">
        <f>+$D$148</f>
        <v>9.5</v>
      </c>
      <c r="AL148" s="125">
        <v>8.5</v>
      </c>
      <c r="AM148" s="75">
        <f>+$D$148</f>
        <v>9.5</v>
      </c>
      <c r="AN148" s="109" t="e">
        <f>+((AD148*AD$106)+(AH148*AH$106)+(AL$106*AL148))/AN$106</f>
        <v>#REF!</v>
      </c>
      <c r="AO148" s="51">
        <f>+$D$148</f>
        <v>9.5</v>
      </c>
      <c r="AP148" s="103" t="e">
        <f>+((AL148*AL$106)+(AJ148*AJ$106))/AP$106</f>
        <v>#REF!</v>
      </c>
      <c r="AQ148" s="721">
        <f>+$D$148</f>
        <v>9.5</v>
      </c>
      <c r="AR148" s="125">
        <v>8.1</v>
      </c>
      <c r="AS148" s="51">
        <f>+$D$148</f>
        <v>9.5</v>
      </c>
      <c r="AT148" s="103" t="e">
        <f>+((AP148*AP$106)+(AR148*AR$106))/AT$106</f>
        <v>#REF!</v>
      </c>
      <c r="AU148" s="721">
        <f>+$D$148</f>
        <v>9.5</v>
      </c>
      <c r="AV148" s="125">
        <v>7.6</v>
      </c>
      <c r="AW148" s="51">
        <f>+$D$148</f>
        <v>9.5</v>
      </c>
      <c r="AX148" s="103" t="e">
        <f>+((AT148*AT$106)+(AV148*AV$106))/AX$106</f>
        <v>#REF!</v>
      </c>
      <c r="AY148" s="721">
        <f>+$D$148</f>
        <v>9.5</v>
      </c>
      <c r="AZ148" s="125">
        <v>8</v>
      </c>
      <c r="BA148" s="75">
        <f>+$D$148</f>
        <v>9.5</v>
      </c>
      <c r="BB148" s="109" t="e">
        <f>+((AR148*AR$106)+(AV148*AV$106)+(AZ$106*AZ148))/BB$106</f>
        <v>#REF!</v>
      </c>
      <c r="BC148" s="634">
        <f>+$D$148</f>
        <v>9.5</v>
      </c>
      <c r="BD148" s="448" t="e">
        <f>+((AN148*AN$106)+(BB$106*BB148))/BD$106</f>
        <v>#REF!</v>
      </c>
      <c r="BE148" s="51">
        <f>+$D$148</f>
        <v>9.5</v>
      </c>
      <c r="BF148" s="103" t="e">
        <f>+((AX148*AX$106)+(AZ148*AZ$106))/BF$106</f>
        <v>#REF!</v>
      </c>
      <c r="BG148" s="1137"/>
      <c r="BH148" s="1137"/>
      <c r="BI148" s="1137"/>
      <c r="BJ148" s="1137"/>
      <c r="BK148" s="1137"/>
      <c r="BL148" s="25"/>
      <c r="BM148" s="25"/>
      <c r="BN148" s="25"/>
    </row>
    <row r="149" spans="1:66" x14ac:dyDescent="0.25">
      <c r="A149" s="138"/>
      <c r="B149" s="1754" t="s">
        <v>200</v>
      </c>
      <c r="C149" s="1306" t="s">
        <v>49</v>
      </c>
      <c r="D149" s="102" t="s">
        <v>1925</v>
      </c>
      <c r="E149" s="721" t="str">
        <f>+$D$149</f>
        <v>10.5-10.7</v>
      </c>
      <c r="F149" s="125">
        <v>10.9</v>
      </c>
      <c r="G149" s="721" t="str">
        <f>+$D$149</f>
        <v>10.5-10.7</v>
      </c>
      <c r="H149" s="125">
        <v>10.39</v>
      </c>
      <c r="I149" s="51" t="str">
        <f>+$D$149</f>
        <v>10.5-10.7</v>
      </c>
      <c r="J149" s="103" t="e">
        <f>+((F149*F$106)+(H$106*H149))/J$106</f>
        <v>#REF!</v>
      </c>
      <c r="K149" s="721" t="str">
        <f>+$D$149</f>
        <v>10.5-10.7</v>
      </c>
      <c r="L149" s="125">
        <v>10.7</v>
      </c>
      <c r="M149" s="75" t="str">
        <f>+$D$149</f>
        <v>10.5-10.7</v>
      </c>
      <c r="N149" s="109" t="e">
        <f>+((F149*F$106)+(H149*H$106)+(L149*L$106))/N$106</f>
        <v>#REF!</v>
      </c>
      <c r="O149" s="721" t="str">
        <f>+$D$149</f>
        <v>10.5-10.7</v>
      </c>
      <c r="P149" s="125">
        <v>10.5</v>
      </c>
      <c r="Q149" s="51" t="str">
        <f>+$D$149</f>
        <v>10.5-10.7</v>
      </c>
      <c r="R149" s="103" t="e">
        <f>+((N149*N$106)+(P149*P$106))/R$106</f>
        <v>#REF!</v>
      </c>
      <c r="S149" s="721" t="str">
        <f>+$D$149</f>
        <v>10.5-10.7</v>
      </c>
      <c r="T149" s="125">
        <v>10.4</v>
      </c>
      <c r="U149" s="51" t="str">
        <f>+$D$149</f>
        <v>10.5-10.7</v>
      </c>
      <c r="V149" s="103" t="e">
        <f>+((R149*R$106)+(T149*T$106))/V$106</f>
        <v>#REF!</v>
      </c>
      <c r="W149" s="721" t="str">
        <f>+$D$149</f>
        <v>10.5-10.7</v>
      </c>
      <c r="X149" s="125">
        <v>10.5</v>
      </c>
      <c r="Y149" s="75" t="str">
        <f>+$D$149</f>
        <v>10.5-10.7</v>
      </c>
      <c r="Z149" s="109" t="e">
        <f>+((P149*P$106)+(T149*T$106)+(X$106*X149))/Z$106</f>
        <v>#REF!</v>
      </c>
      <c r="AA149" s="634" t="str">
        <f>+$D$149</f>
        <v>10.5-10.7</v>
      </c>
      <c r="AB149" s="448" t="e">
        <f>+((N149*N$106)+(Z$106*Z149))/AB$106</f>
        <v>#REF!</v>
      </c>
      <c r="AC149" s="721" t="str">
        <f>+$D$149</f>
        <v>10.5-10.7</v>
      </c>
      <c r="AD149" s="125">
        <v>10.5</v>
      </c>
      <c r="AE149" s="51" t="str">
        <f>+$D$149</f>
        <v>10.5-10.7</v>
      </c>
      <c r="AF149" s="103" t="e">
        <f>+((AB149*AB$106)+(AD149*AD$106))/AF$106</f>
        <v>#REF!</v>
      </c>
      <c r="AG149" s="721" t="str">
        <f>+$D$149</f>
        <v>10.5-10.7</v>
      </c>
      <c r="AH149" s="125">
        <v>10.5</v>
      </c>
      <c r="AI149" s="51" t="str">
        <f>+$D$149</f>
        <v>10.5-10.7</v>
      </c>
      <c r="AJ149" s="103" t="e">
        <f>+((AF149*AF$106)+(AH149*AH$106))/AJ$106</f>
        <v>#REF!</v>
      </c>
      <c r="AK149" s="721" t="str">
        <f>+$D$149</f>
        <v>10.5-10.7</v>
      </c>
      <c r="AL149" s="125">
        <v>10.8</v>
      </c>
      <c r="AM149" s="75" t="str">
        <f>+$D$149</f>
        <v>10.5-10.7</v>
      </c>
      <c r="AN149" s="109" t="e">
        <f>+((AD149*AD$106)+(AH149*AH$106)+(AL$106*AL149))/AN$106</f>
        <v>#REF!</v>
      </c>
      <c r="AO149" s="51" t="str">
        <f>+$D$149</f>
        <v>10.5-10.7</v>
      </c>
      <c r="AP149" s="103" t="e">
        <f>+((AL149*AL$106)+(AJ149*AJ$106))/AP$106</f>
        <v>#REF!</v>
      </c>
      <c r="AQ149" s="721" t="str">
        <f>+$D$149</f>
        <v>10.5-10.7</v>
      </c>
      <c r="AR149" s="125">
        <v>10.9</v>
      </c>
      <c r="AS149" s="51" t="str">
        <f>+$D$149</f>
        <v>10.5-10.7</v>
      </c>
      <c r="AT149" s="103" t="e">
        <f>+((AP149*AP$106)+(AR149*AR$106))/AT$106</f>
        <v>#REF!</v>
      </c>
      <c r="AU149" s="721" t="str">
        <f>+$D$149</f>
        <v>10.5-10.7</v>
      </c>
      <c r="AV149" s="125">
        <v>10.6</v>
      </c>
      <c r="AW149" s="51" t="str">
        <f>+$D$149</f>
        <v>10.5-10.7</v>
      </c>
      <c r="AX149" s="103" t="e">
        <f>+((AT149*AT$106)+(AV149*AV$106))/AX$106</f>
        <v>#REF!</v>
      </c>
      <c r="AY149" s="721" t="str">
        <f>+$D$149</f>
        <v>10.5-10.7</v>
      </c>
      <c r="AZ149" s="125">
        <v>10.5</v>
      </c>
      <c r="BA149" s="75" t="str">
        <f>+$D$149</f>
        <v>10.5-10.7</v>
      </c>
      <c r="BB149" s="109" t="e">
        <f>+((AR149*AR$106)+(AV149*AV$106)+(AZ$106*AZ149))/BB$106</f>
        <v>#REF!</v>
      </c>
      <c r="BC149" s="634" t="str">
        <f>+$D$149</f>
        <v>10.5-10.7</v>
      </c>
      <c r="BD149" s="448" t="e">
        <f>+((AN149*AN$106)+(BB$106*BB149))/BD$106</f>
        <v>#REF!</v>
      </c>
      <c r="BE149" s="51" t="str">
        <f>+$D$149</f>
        <v>10.5-10.7</v>
      </c>
      <c r="BF149" s="103" t="e">
        <f>+((AX149*AX$106)+(AZ149*AZ$106))/BF$106</f>
        <v>#REF!</v>
      </c>
      <c r="BG149" s="1137"/>
      <c r="BH149" s="1137"/>
      <c r="BI149" s="1137"/>
      <c r="BJ149" s="1137"/>
      <c r="BK149" s="1137"/>
      <c r="BL149" s="25"/>
      <c r="BM149" s="25"/>
      <c r="BN149" s="25"/>
    </row>
    <row r="150" spans="1:66" x14ac:dyDescent="0.25">
      <c r="B150" s="1754" t="s">
        <v>201</v>
      </c>
      <c r="C150" s="1306" t="s">
        <v>49</v>
      </c>
      <c r="D150" s="102" t="s">
        <v>1630</v>
      </c>
      <c r="E150" s="721" t="str">
        <f>+$D$150</f>
        <v>25.0-25.2</v>
      </c>
      <c r="F150" s="125">
        <v>25.3</v>
      </c>
      <c r="G150" s="721" t="str">
        <f>+$D$150</f>
        <v>25.0-25.2</v>
      </c>
      <c r="H150" s="125">
        <v>25.06</v>
      </c>
      <c r="I150" s="51" t="str">
        <f>+$D$150</f>
        <v>25.0-25.2</v>
      </c>
      <c r="J150" s="103" t="e">
        <f>+((F150*F$106)+(H$106*H150))/J$106</f>
        <v>#REF!</v>
      </c>
      <c r="K150" s="721" t="str">
        <f>+$D$150</f>
        <v>25.0-25.2</v>
      </c>
      <c r="L150" s="125">
        <v>24.6</v>
      </c>
      <c r="M150" s="75" t="str">
        <f>+$D$150</f>
        <v>25.0-25.2</v>
      </c>
      <c r="N150" s="109" t="e">
        <f>+((F150*F$106)+(H150*H$106)+(L150*L$106))/N$106</f>
        <v>#REF!</v>
      </c>
      <c r="O150" s="721" t="str">
        <f>+$D$150</f>
        <v>25.0-25.2</v>
      </c>
      <c r="P150" s="125">
        <v>25.3</v>
      </c>
      <c r="Q150" s="51" t="str">
        <f>+$D$150</f>
        <v>25.0-25.2</v>
      </c>
      <c r="R150" s="103" t="e">
        <f>+((N150*N$106)+(P150*P$106))/R$106</f>
        <v>#REF!</v>
      </c>
      <c r="S150" s="721" t="str">
        <f>+$D$150</f>
        <v>25.0-25.2</v>
      </c>
      <c r="T150" s="125">
        <v>25.4</v>
      </c>
      <c r="U150" s="51" t="str">
        <f>+$D$150</f>
        <v>25.0-25.2</v>
      </c>
      <c r="V150" s="103" t="e">
        <f>+((R150*R$106)+(T150*T$106))/V$106</f>
        <v>#REF!</v>
      </c>
      <c r="W150" s="721" t="str">
        <f>+$D$150</f>
        <v>25.0-25.2</v>
      </c>
      <c r="X150" s="125">
        <v>25.4</v>
      </c>
      <c r="Y150" s="75" t="str">
        <f>+$D$150</f>
        <v>25.0-25.2</v>
      </c>
      <c r="Z150" s="109" t="e">
        <f>+((P150*P$106)+(T150*T$106)+(X$106*X150))/Z$106</f>
        <v>#REF!</v>
      </c>
      <c r="AA150" s="634" t="str">
        <f>+$D$150</f>
        <v>25.0-25.2</v>
      </c>
      <c r="AB150" s="448" t="e">
        <f>+((N150*N$106)+(Z$106*Z150))/AB$106</f>
        <v>#REF!</v>
      </c>
      <c r="AC150" s="721" t="str">
        <f>+$D$150</f>
        <v>25.0-25.2</v>
      </c>
      <c r="AD150" s="125">
        <v>25.5</v>
      </c>
      <c r="AE150" s="51" t="str">
        <f>+$D$150</f>
        <v>25.0-25.2</v>
      </c>
      <c r="AF150" s="103" t="e">
        <f>+((AB150*AB$106)+(AD150*AD$106))/AF$106</f>
        <v>#REF!</v>
      </c>
      <c r="AG150" s="721" t="str">
        <f>+$D$150</f>
        <v>25.0-25.2</v>
      </c>
      <c r="AH150" s="125">
        <v>25.4</v>
      </c>
      <c r="AI150" s="51" t="str">
        <f>+$D$150</f>
        <v>25.0-25.2</v>
      </c>
      <c r="AJ150" s="103" t="e">
        <f>+((AF150*AF$106)+(AH150*AH$106))/AJ$106</f>
        <v>#REF!</v>
      </c>
      <c r="AK150" s="721" t="str">
        <f>+$D$150</f>
        <v>25.0-25.2</v>
      </c>
      <c r="AL150" s="125">
        <v>25.1</v>
      </c>
      <c r="AM150" s="75" t="str">
        <f>+$D$150</f>
        <v>25.0-25.2</v>
      </c>
      <c r="AN150" s="109" t="e">
        <f>+((AD150*AD$106)+(AH150*AH$106)+(AL$106*AL150))/AN$106</f>
        <v>#REF!</v>
      </c>
      <c r="AO150" s="51" t="str">
        <f>+$D$150</f>
        <v>25.0-25.2</v>
      </c>
      <c r="AP150" s="103" t="e">
        <f>+((AL150*AL$106)+(AJ150*AJ$106))/AP$106</f>
        <v>#REF!</v>
      </c>
      <c r="AQ150" s="721" t="str">
        <f>+$D$150</f>
        <v>25.0-25.2</v>
      </c>
      <c r="AR150" s="125">
        <v>25.3</v>
      </c>
      <c r="AS150" s="51" t="str">
        <f>+$D$150</f>
        <v>25.0-25.2</v>
      </c>
      <c r="AT150" s="103" t="e">
        <f>+((AP150*AP$106)+(AR150*AR$106))/AT$106</f>
        <v>#REF!</v>
      </c>
      <c r="AU150" s="721" t="str">
        <f>+$D$150</f>
        <v>25.0-25.2</v>
      </c>
      <c r="AV150" s="125">
        <v>25.5</v>
      </c>
      <c r="AW150" s="51" t="str">
        <f>+$D$150</f>
        <v>25.0-25.2</v>
      </c>
      <c r="AX150" s="103" t="e">
        <f>+((AT150*AT$106)+(AV150*AV$106))/AX$106</f>
        <v>#REF!</v>
      </c>
      <c r="AY150" s="721" t="str">
        <f>+$D$150</f>
        <v>25.0-25.2</v>
      </c>
      <c r="AZ150" s="125">
        <v>25.5</v>
      </c>
      <c r="BA150" s="75" t="str">
        <f>+$D$150</f>
        <v>25.0-25.2</v>
      </c>
      <c r="BB150" s="109" t="e">
        <f>+((AR150*AR$106)+(AV150*AV$106)+(AZ$106*AZ150))/BB$106</f>
        <v>#REF!</v>
      </c>
      <c r="BC150" s="634" t="str">
        <f>+$D$150</f>
        <v>25.0-25.2</v>
      </c>
      <c r="BD150" s="448" t="e">
        <f>+((AN150*AN$106)+(BB$106*BB150))/BD$106</f>
        <v>#REF!</v>
      </c>
      <c r="BE150" s="51" t="str">
        <f>+$D$150</f>
        <v>25.0-25.2</v>
      </c>
      <c r="BF150" s="103" t="e">
        <f>+((AX150*AX$106)+(AZ150*AZ$106))/BF$106</f>
        <v>#REF!</v>
      </c>
      <c r="BG150" s="1137"/>
      <c r="BH150" s="1137"/>
      <c r="BI150" s="1137"/>
      <c r="BJ150" s="1137"/>
      <c r="BK150" s="1137"/>
      <c r="BL150" s="25"/>
      <c r="BM150" s="25"/>
      <c r="BN150" s="25"/>
    </row>
    <row r="151" spans="1:66" ht="18.75" x14ac:dyDescent="0.25">
      <c r="B151" s="1805" t="s">
        <v>197</v>
      </c>
      <c r="C151" s="1311"/>
      <c r="D151" s="1286"/>
      <c r="E151" s="1287"/>
      <c r="F151" s="1288"/>
      <c r="G151" s="1287"/>
      <c r="H151" s="1288"/>
      <c r="I151" s="1290"/>
      <c r="J151" s="1286"/>
      <c r="K151" s="1287"/>
      <c r="L151" s="1288"/>
      <c r="M151" s="1287"/>
      <c r="N151" s="1288"/>
      <c r="O151" s="1287"/>
      <c r="P151" s="1288"/>
      <c r="Q151" s="1290"/>
      <c r="R151" s="1286"/>
      <c r="S151" s="1287"/>
      <c r="T151" s="1288"/>
      <c r="U151" s="1290"/>
      <c r="V151" s="1286"/>
      <c r="W151" s="1287"/>
      <c r="X151" s="1288"/>
      <c r="Y151" s="1286"/>
      <c r="Z151" s="1286"/>
      <c r="AA151" s="2349"/>
      <c r="AB151" s="1288"/>
      <c r="AC151" s="1287"/>
      <c r="AD151" s="1288"/>
      <c r="AE151" s="1290"/>
      <c r="AF151" s="1288"/>
      <c r="AG151" s="1287"/>
      <c r="AH151" s="1288"/>
      <c r="AI151" s="1290"/>
      <c r="AJ151" s="1288"/>
      <c r="AK151" s="1287"/>
      <c r="AL151" s="1288"/>
      <c r="AM151" s="1286"/>
      <c r="AN151" s="1286"/>
      <c r="AO151" s="1290"/>
      <c r="AP151" s="1288"/>
      <c r="AQ151" s="1287"/>
      <c r="AR151" s="1288"/>
      <c r="AS151" s="1290"/>
      <c r="AT151" s="1288"/>
      <c r="AU151" s="1287"/>
      <c r="AV151" s="1288"/>
      <c r="AW151" s="1290"/>
      <c r="AX151" s="1288"/>
      <c r="AY151" s="1287"/>
      <c r="AZ151" s="1288"/>
      <c r="BA151" s="1286"/>
      <c r="BB151" s="1286"/>
      <c r="BC151" s="2349"/>
      <c r="BD151" s="1288"/>
      <c r="BE151" s="1290"/>
      <c r="BF151" s="1288"/>
      <c r="BG151" s="1137">
        <f t="shared" si="746"/>
        <v>0</v>
      </c>
      <c r="BH151" s="1137">
        <f t="shared" si="747"/>
        <v>0</v>
      </c>
      <c r="BI151" s="1137"/>
      <c r="BJ151" s="1137">
        <f t="shared" si="754"/>
        <v>0</v>
      </c>
      <c r="BK151" s="1137">
        <f t="shared" si="755"/>
        <v>0</v>
      </c>
      <c r="BL151" s="25"/>
      <c r="BM151" s="25"/>
      <c r="BN151" s="25"/>
    </row>
    <row r="152" spans="1:66" x14ac:dyDescent="0.25">
      <c r="B152" s="1754" t="s">
        <v>202</v>
      </c>
      <c r="C152" s="1306" t="s">
        <v>49</v>
      </c>
      <c r="D152" s="372" t="s">
        <v>2327</v>
      </c>
      <c r="E152" s="725" t="str">
        <f>+$D$152</f>
        <v>&lt;3.3%</v>
      </c>
      <c r="F152" s="125">
        <v>2.83</v>
      </c>
      <c r="G152" s="725" t="str">
        <f>+$D$152</f>
        <v>&lt;3.3%</v>
      </c>
      <c r="H152" s="125">
        <v>3.64</v>
      </c>
      <c r="I152" s="51" t="str">
        <f>+$D$152</f>
        <v>&lt;3.3%</v>
      </c>
      <c r="J152" s="103">
        <f t="shared" ref="J152:J157" si="806">+((F152*F$21)+(H$21*H152))/J$21</f>
        <v>3.2422893187552568</v>
      </c>
      <c r="K152" s="725" t="str">
        <f>+$D$152</f>
        <v>&lt;3.3%</v>
      </c>
      <c r="L152" s="125">
        <v>3.2</v>
      </c>
      <c r="M152" s="75" t="str">
        <f>+$D$152</f>
        <v>&lt;3.3%</v>
      </c>
      <c r="N152" s="109">
        <f t="shared" ref="N152:N157" si="807">+((F152*F$21)+(H152*H$21)+(L$21*L152))/N$21</f>
        <v>3.2284819304406938</v>
      </c>
      <c r="O152" s="725" t="str">
        <f>+$D$152</f>
        <v>&lt;3.3%</v>
      </c>
      <c r="P152" s="125">
        <v>3</v>
      </c>
      <c r="Q152" s="51" t="str">
        <f>+$D$152</f>
        <v>&lt;3.3%</v>
      </c>
      <c r="R152" s="103">
        <f t="shared" ref="R152:R157" si="808">+((N152*N$21)+(P$21*P152))/R$21</f>
        <v>3.1711336444633007</v>
      </c>
      <c r="S152" s="725" t="str">
        <f>+$D$152</f>
        <v>&lt;3.3%</v>
      </c>
      <c r="T152" s="125">
        <v>3</v>
      </c>
      <c r="U152" s="51" t="str">
        <f>+$D$152</f>
        <v>&lt;3.3%</v>
      </c>
      <c r="V152" s="103">
        <f t="shared" ref="V152:V157" si="809">+((R152*R$21)+(T$21*T152))/V$21</f>
        <v>3.1360595021250761</v>
      </c>
      <c r="W152" s="725" t="str">
        <f>+$D$152</f>
        <v>&lt;3.3%</v>
      </c>
      <c r="X152" s="125">
        <v>3.7</v>
      </c>
      <c r="Y152" s="75" t="str">
        <f>+$D$152</f>
        <v>&lt;3.3%</v>
      </c>
      <c r="Z152" s="109">
        <f t="shared" ref="Z152:Z157" si="810">+((P152*P$21)+(T152*T$21)+(X$21*X152))/Z$21</f>
        <v>3.2303043867502237</v>
      </c>
      <c r="AA152" s="634" t="str">
        <f>+$D$152</f>
        <v>&lt;3.3%</v>
      </c>
      <c r="AB152" s="448">
        <f t="shared" ref="AB152:AB157" si="811">+((N152*N$21)+(Z$21*Z152))/AB$21</f>
        <v>3.229398750211113</v>
      </c>
      <c r="AC152" s="725" t="str">
        <f>+$D$152</f>
        <v>&lt;3.3%</v>
      </c>
      <c r="AD152" s="125">
        <v>3.9</v>
      </c>
      <c r="AE152" s="51" t="str">
        <f>+$D$152</f>
        <v>&lt;3.3%</v>
      </c>
      <c r="AF152" s="103">
        <f t="shared" ref="AF152:AF157" si="812">+((AB152*AB$21)+(AD$21*AD152))/AF$21</f>
        <v>3.3257440709752286</v>
      </c>
      <c r="AG152" s="725" t="str">
        <f>+$D$152</f>
        <v>&lt;3.3%</v>
      </c>
      <c r="AH152" s="125">
        <v>3</v>
      </c>
      <c r="AI152" s="51" t="str">
        <f>+$D$152</f>
        <v>&lt;3.3%</v>
      </c>
      <c r="AJ152" s="103">
        <f t="shared" ref="AJ152:AJ157" si="813">+((AF152*AF$21)+(AH$21*AH152))/AJ$21</f>
        <v>3.2869202254706194</v>
      </c>
      <c r="AK152" s="725" t="str">
        <f>+$D$152</f>
        <v>&lt;3.3%</v>
      </c>
      <c r="AL152" s="125">
        <v>3</v>
      </c>
      <c r="AM152" s="75" t="str">
        <f>+$D$152</f>
        <v>&lt;3.3%</v>
      </c>
      <c r="AN152" s="109">
        <f t="shared" ref="AN152:AN153" si="814">+((AD152*AD$21)+(AH152*AH$21)+(AL$21*AL152))/AN$21</f>
        <v>3.3088922034661237</v>
      </c>
      <c r="AO152" s="51" t="str">
        <f>+$D$152</f>
        <v>&lt;3.3%</v>
      </c>
      <c r="AP152" s="103">
        <f t="shared" ref="AP152:AP157" si="815">+((AL152*AL$21)+(AJ$21*AJ152))/AP$21</f>
        <v>3.2554990813945826</v>
      </c>
      <c r="AQ152" s="725" t="str">
        <f>+$D$152</f>
        <v>&lt;3.3%</v>
      </c>
      <c r="AR152" s="125">
        <v>3.1</v>
      </c>
      <c r="AS152" s="51" t="str">
        <f>+$D$152</f>
        <v>&lt;3.3%</v>
      </c>
      <c r="AT152" s="103">
        <f t="shared" ref="AT152:AT157" si="816">+((AP152*AP$21)+(AR$21*AR152))/AT$21</f>
        <v>3.2400419185019214</v>
      </c>
      <c r="AU152" s="725" t="str">
        <f>+$D$152</f>
        <v>&lt;3.3%</v>
      </c>
      <c r="AV152" s="125">
        <v>3.1</v>
      </c>
      <c r="AW152" s="51" t="str">
        <f>+$D$152</f>
        <v>&lt;3.3%</v>
      </c>
      <c r="AX152" s="103">
        <f t="shared" ref="AX152:AX157" si="817">+((AT152*AT$21)+(AV$21*AV152))/AX$21</f>
        <v>3.2285501063917637</v>
      </c>
      <c r="AY152" s="725" t="str">
        <f>+$D$152</f>
        <v>&lt;3.3%</v>
      </c>
      <c r="AZ152" s="125">
        <v>2.92</v>
      </c>
      <c r="BA152" s="75" t="str">
        <f>+$D$152</f>
        <v>&lt;3.3%</v>
      </c>
      <c r="BB152" s="109">
        <f>+((AR152*AR$21)+(AV152*AV$21)+(AZ$21*AZ152))/BB$21</f>
        <v>3.0365762004175365</v>
      </c>
      <c r="BC152" s="634" t="str">
        <f>+$D$152</f>
        <v>&lt;3.3%</v>
      </c>
      <c r="BD152" s="448">
        <f t="shared" ref="BD152:BD157" si="818">+((AN152*AN$21)+(BB$21*BB152))/BD$21</f>
        <v>3.1737032983993769</v>
      </c>
      <c r="BE152" s="51" t="str">
        <f>+$D$152</f>
        <v>&lt;3.3%</v>
      </c>
      <c r="BF152" s="103">
        <f t="shared" ref="BF152:BF157" si="819">+((AX152*AX$21)+(AZ$21*AZ152))/BF$21</f>
        <v>3.2019642400887252</v>
      </c>
      <c r="BG152" s="1137"/>
      <c r="BH152" s="1137"/>
      <c r="BI152" s="1137"/>
      <c r="BJ152" s="1137"/>
      <c r="BK152" s="1137"/>
      <c r="BL152" s="25"/>
      <c r="BM152" s="25"/>
      <c r="BN152" s="25"/>
    </row>
    <row r="153" spans="1:66" x14ac:dyDescent="0.25">
      <c r="B153" s="1754" t="s">
        <v>203</v>
      </c>
      <c r="C153" s="1306" t="s">
        <v>49</v>
      </c>
      <c r="D153" s="372" t="s">
        <v>1926</v>
      </c>
      <c r="E153" s="725" t="str">
        <f>+$D$153</f>
        <v>13.4-14.1</v>
      </c>
      <c r="F153" s="125">
        <v>14</v>
      </c>
      <c r="G153" s="725" t="str">
        <f>+$D$153</f>
        <v>13.4-14.1</v>
      </c>
      <c r="H153" s="125">
        <v>13.68</v>
      </c>
      <c r="I153" s="51" t="str">
        <f>+$D$153</f>
        <v>13.4-14.1</v>
      </c>
      <c r="J153" s="103">
        <f t="shared" si="806"/>
        <v>13.837120269133724</v>
      </c>
      <c r="K153" s="725" t="str">
        <f>+$D$153</f>
        <v>13.4-14.1</v>
      </c>
      <c r="L153" s="125">
        <v>13.9</v>
      </c>
      <c r="M153" s="75" t="str">
        <f>+$D$153</f>
        <v>13.4-14.1</v>
      </c>
      <c r="N153" s="109">
        <f t="shared" si="807"/>
        <v>13.857650390846265</v>
      </c>
      <c r="O153" s="725" t="str">
        <f>+$D$153</f>
        <v>13.4-14.1</v>
      </c>
      <c r="P153" s="125">
        <v>13.7</v>
      </c>
      <c r="Q153" s="51" t="str">
        <f>+$D$153</f>
        <v>13.4-14.1</v>
      </c>
      <c r="R153" s="103">
        <f t="shared" si="808"/>
        <v>13.818080610946115</v>
      </c>
      <c r="S153" s="725" t="str">
        <f>+$D$153</f>
        <v>13.4-14.1</v>
      </c>
      <c r="T153" s="125">
        <v>13.6</v>
      </c>
      <c r="U153" s="51" t="str">
        <f>+$D$153</f>
        <v>13.4-14.1</v>
      </c>
      <c r="V153" s="103">
        <f t="shared" si="809"/>
        <v>13.773384605005733</v>
      </c>
      <c r="W153" s="725" t="str">
        <f>+$D$153</f>
        <v>13.4-14.1</v>
      </c>
      <c r="X153" s="125">
        <v>13.6</v>
      </c>
      <c r="Y153" s="75" t="str">
        <f>+$D$153</f>
        <v>13.4-14.1</v>
      </c>
      <c r="Z153" s="109">
        <f t="shared" si="810"/>
        <v>13.633102059086838</v>
      </c>
      <c r="AA153" s="634" t="str">
        <f>+$D$153</f>
        <v>13.4-14.1</v>
      </c>
      <c r="AB153" s="448">
        <f t="shared" si="811"/>
        <v>13.744687271294261</v>
      </c>
      <c r="AC153" s="725" t="str">
        <f>+$D$153</f>
        <v>13.4-14.1</v>
      </c>
      <c r="AD153" s="125">
        <v>13.7</v>
      </c>
      <c r="AE153" s="51" t="str">
        <f>+$D$153</f>
        <v>13.4-14.1</v>
      </c>
      <c r="AF153" s="103">
        <f t="shared" si="812"/>
        <v>13.738267048414757</v>
      </c>
      <c r="AG153" s="725" t="str">
        <f>+$D$153</f>
        <v>13.4-14.1</v>
      </c>
      <c r="AH153" s="125">
        <v>13.7</v>
      </c>
      <c r="AI153" s="51" t="str">
        <f>+$D$153</f>
        <v>13.4-14.1</v>
      </c>
      <c r="AJ153" s="103">
        <f t="shared" si="813"/>
        <v>13.733706185737736</v>
      </c>
      <c r="AK153" s="725" t="str">
        <f>+$D$153</f>
        <v>13.4-14.1</v>
      </c>
      <c r="AL153" s="125">
        <v>14</v>
      </c>
      <c r="AM153" s="75" t="str">
        <f>+$D$153</f>
        <v>13.4-14.1</v>
      </c>
      <c r="AN153" s="109">
        <f t="shared" si="814"/>
        <v>13.800061597173242</v>
      </c>
      <c r="AO153" s="51" t="str">
        <f>+$D$153</f>
        <v>13.4-14.1</v>
      </c>
      <c r="AP153" s="103">
        <f t="shared" si="815"/>
        <v>13.762868494845669</v>
      </c>
      <c r="AQ153" s="725" t="str">
        <f>+$D$153</f>
        <v>13.4-14.1</v>
      </c>
      <c r="AR153" s="125">
        <v>14.2</v>
      </c>
      <c r="AS153" s="51" t="str">
        <f>+$D$153</f>
        <v>13.4-14.1</v>
      </c>
      <c r="AT153" s="103">
        <f t="shared" si="816"/>
        <v>13.806320924404009</v>
      </c>
      <c r="AU153" s="725" t="str">
        <f>+$D$153</f>
        <v>13.4-14.1</v>
      </c>
      <c r="AV153" s="125">
        <v>14</v>
      </c>
      <c r="AW153" s="51" t="str">
        <f>+$D$153</f>
        <v>13.4-14.1</v>
      </c>
      <c r="AX153" s="103">
        <f t="shared" si="817"/>
        <v>13.82221419100752</v>
      </c>
      <c r="AY153" s="725" t="str">
        <f>+$D$153</f>
        <v>13.4-14.1</v>
      </c>
      <c r="AZ153" s="125">
        <v>14</v>
      </c>
      <c r="BA153" s="75" t="str">
        <f>+$D$153</f>
        <v>13.4-14.1</v>
      </c>
      <c r="BB153" s="109">
        <f>+((AR153*AR$21)+(AV153*AV$21)+(AZ$21*AZ153))/BB$21</f>
        <v>14.068197633959638</v>
      </c>
      <c r="BC153" s="634" t="str">
        <f>+$D$153</f>
        <v>13.4-14.1</v>
      </c>
      <c r="BD153" s="448">
        <f t="shared" si="818"/>
        <v>13.933175394439216</v>
      </c>
      <c r="BE153" s="51" t="str">
        <f>+$D$153</f>
        <v>13.4-14.1</v>
      </c>
      <c r="BF153" s="103">
        <f t="shared" si="819"/>
        <v>13.837532901487725</v>
      </c>
      <c r="BG153" s="1137"/>
      <c r="BH153" s="1137"/>
      <c r="BI153" s="1137"/>
      <c r="BJ153" s="1137"/>
      <c r="BK153" s="1137"/>
      <c r="BL153" s="25"/>
      <c r="BM153" s="25"/>
      <c r="BN153" s="25"/>
    </row>
    <row r="154" spans="1:66" x14ac:dyDescent="0.25">
      <c r="B154" s="1754" t="s">
        <v>204</v>
      </c>
      <c r="C154" s="1306" t="s">
        <v>49</v>
      </c>
      <c r="D154" s="372" t="s">
        <v>1927</v>
      </c>
      <c r="E154" s="725" t="str">
        <f>+$D$154</f>
        <v>85.0-86.5</v>
      </c>
      <c r="F154" s="125">
        <v>86.8</v>
      </c>
      <c r="G154" s="725" t="str">
        <f>+$D$154</f>
        <v>85.0-86.5</v>
      </c>
      <c r="H154" s="125">
        <v>86.48</v>
      </c>
      <c r="I154" s="51" t="str">
        <f>+$D$154</f>
        <v>85.0-86.5</v>
      </c>
      <c r="J154" s="103">
        <f t="shared" si="806"/>
        <v>86.637120269133732</v>
      </c>
      <c r="K154" s="725" t="str">
        <f>+$D$154</f>
        <v>85.0-86.5</v>
      </c>
      <c r="L154" s="125">
        <v>86.8</v>
      </c>
      <c r="M154" s="75" t="str">
        <f>+$D$154</f>
        <v>85.0-86.5</v>
      </c>
      <c r="N154" s="109">
        <f t="shared" si="807"/>
        <v>86.690300215248683</v>
      </c>
      <c r="O154" s="725" t="str">
        <f>+$D$154</f>
        <v>85.0-86.5</v>
      </c>
      <c r="P154" s="125">
        <v>86.6</v>
      </c>
      <c r="Q154" s="51" t="str">
        <f>+$D$154</f>
        <v>85.0-86.5</v>
      </c>
      <c r="R154" s="103">
        <f t="shared" si="808"/>
        <v>86.667635129401788</v>
      </c>
      <c r="S154" s="725" t="str">
        <f>+$D$154</f>
        <v>85.0-86.5</v>
      </c>
      <c r="T154" s="125">
        <v>86.4</v>
      </c>
      <c r="U154" s="51" t="str">
        <f>+$D$154</f>
        <v>85.0-86.5</v>
      </c>
      <c r="V154" s="103">
        <f t="shared" si="809"/>
        <v>86.6127828374823</v>
      </c>
      <c r="W154" s="725" t="str">
        <f>+$D$154</f>
        <v>85.0-86.5</v>
      </c>
      <c r="X154" s="125">
        <v>86.2</v>
      </c>
      <c r="Y154" s="75" t="str">
        <f>+$D$154</f>
        <v>85.0-86.5</v>
      </c>
      <c r="Z154" s="109">
        <f>+((P154*P$21)+(T154*T$21)+(X154*X$21))/Z$21</f>
        <v>86.400402864816485</v>
      </c>
      <c r="AA154" s="634" t="str">
        <f>+$D$154</f>
        <v>85.0-86.5</v>
      </c>
      <c r="AB154" s="448">
        <f t="shared" si="811"/>
        <v>86.544462084107423</v>
      </c>
      <c r="AC154" s="725" t="str">
        <f>+$D$154</f>
        <v>85.0-86.5</v>
      </c>
      <c r="AD154" s="125">
        <v>86.2</v>
      </c>
      <c r="AE154" s="51" t="str">
        <f>+$D$154</f>
        <v>85.0-86.5</v>
      </c>
      <c r="AF154" s="103">
        <f t="shared" si="812"/>
        <v>86.494973196344617</v>
      </c>
      <c r="AG154" s="725" t="str">
        <f>+$D$154</f>
        <v>85.0-86.5</v>
      </c>
      <c r="AH154" s="125">
        <v>86.3</v>
      </c>
      <c r="AI154" s="51" t="str">
        <f>+$D$154</f>
        <v>85.0-86.5</v>
      </c>
      <c r="AJ154" s="103">
        <f t="shared" si="813"/>
        <v>86.471735292950825</v>
      </c>
      <c r="AK154" s="725" t="str">
        <f>+$D$154</f>
        <v>85.0-86.5</v>
      </c>
      <c r="AL154" s="125">
        <v>86.3</v>
      </c>
      <c r="AM154" s="75" t="str">
        <f>+$D$154</f>
        <v>85.0-86.5</v>
      </c>
      <c r="AN154" s="109">
        <f>+((AD154*AD$21)+(AH154*AH$21)+(AL154*AL$21))/AN$21</f>
        <v>86.265678644059307</v>
      </c>
      <c r="AO154" s="51" t="str">
        <f>+$D$154</f>
        <v>85.0-86.5</v>
      </c>
      <c r="AP154" s="103">
        <f t="shared" si="815"/>
        <v>86.452928255650136</v>
      </c>
      <c r="AQ154" s="725" t="str">
        <f>+$D$154</f>
        <v>85.0-86.5</v>
      </c>
      <c r="AR154" s="125">
        <v>86.5</v>
      </c>
      <c r="AS154" s="51" t="str">
        <f>+$D$154</f>
        <v>85.0-86.5</v>
      </c>
      <c r="AT154" s="103">
        <f t="shared" si="816"/>
        <v>86.457607354803201</v>
      </c>
      <c r="AU154" s="725" t="str">
        <f>+$D$154</f>
        <v>85.0-86.5</v>
      </c>
      <c r="AV154" s="125">
        <v>86.5</v>
      </c>
      <c r="AW154" s="51" t="str">
        <f>+$D$154</f>
        <v>85.0-86.5</v>
      </c>
      <c r="AX154" s="103">
        <f t="shared" si="817"/>
        <v>86.461086086876179</v>
      </c>
      <c r="AY154" s="725" t="str">
        <f>+$D$154</f>
        <v>85.0-86.5</v>
      </c>
      <c r="AZ154" s="125">
        <v>86.9</v>
      </c>
      <c r="BA154" s="75" t="str">
        <f>+$D$154</f>
        <v>85.0-86.5</v>
      </c>
      <c r="BB154" s="109">
        <f>+((AR154*AR$21)+(AV154*AV$21)+(AZ154*AZ$21))/BB$21</f>
        <v>86.640941776849914</v>
      </c>
      <c r="BC154" s="634" t="str">
        <f>+$D$154</f>
        <v>85.0-86.5</v>
      </c>
      <c r="BD154" s="448">
        <f t="shared" si="818"/>
        <v>86.451974753968159</v>
      </c>
      <c r="BE154" s="51" t="str">
        <f>+$D$154</f>
        <v>85.0-86.5</v>
      </c>
      <c r="BF154" s="103">
        <f t="shared" si="819"/>
        <v>86.498904601182701</v>
      </c>
      <c r="BG154" s="1137"/>
      <c r="BH154" s="1137"/>
      <c r="BI154" s="1137"/>
      <c r="BJ154" s="1137"/>
      <c r="BK154" s="1137"/>
      <c r="BL154" s="25"/>
      <c r="BM154" s="25"/>
      <c r="BN154" s="25"/>
    </row>
    <row r="155" spans="1:66" x14ac:dyDescent="0.25">
      <c r="B155" s="1754" t="s">
        <v>205</v>
      </c>
      <c r="C155" s="1306" t="s">
        <v>49</v>
      </c>
      <c r="D155" s="372" t="s">
        <v>1928</v>
      </c>
      <c r="E155" s="725" t="str">
        <f>+$D$155</f>
        <v>7.5-8.0</v>
      </c>
      <c r="F155" s="125">
        <v>7.6</v>
      </c>
      <c r="G155" s="725" t="str">
        <f>+$D$155</f>
        <v>7.5-8.0</v>
      </c>
      <c r="H155" s="125">
        <v>7.64</v>
      </c>
      <c r="I155" s="51" t="str">
        <f>+$D$155</f>
        <v>7.5-8.0</v>
      </c>
      <c r="J155" s="103">
        <f t="shared" si="806"/>
        <v>7.6203599663582846</v>
      </c>
      <c r="K155" s="725" t="str">
        <f>+$D$155</f>
        <v>7.5-8.0</v>
      </c>
      <c r="L155" s="125">
        <v>7.7</v>
      </c>
      <c r="M155" s="75" t="str">
        <f>+$D$155</f>
        <v>7.5-8.0</v>
      </c>
      <c r="N155" s="109">
        <f t="shared" si="807"/>
        <v>7.6463622974963181</v>
      </c>
      <c r="O155" s="725" t="str">
        <f>+$D$155</f>
        <v>7.5-8.0</v>
      </c>
      <c r="P155" s="125">
        <v>7.8</v>
      </c>
      <c r="Q155" s="51" t="str">
        <f>+$D$155</f>
        <v>7.5-8.0</v>
      </c>
      <c r="R155" s="103">
        <f t="shared" si="808"/>
        <v>7.6849249045396686</v>
      </c>
      <c r="S155" s="725" t="str">
        <f>+$D$155</f>
        <v>7.5-8.0</v>
      </c>
      <c r="T155" s="125">
        <v>7.9</v>
      </c>
      <c r="U155" s="51" t="str">
        <f>+$D$155</f>
        <v>7.5-8.0</v>
      </c>
      <c r="V155" s="103">
        <f t="shared" si="809"/>
        <v>7.7290049247790602</v>
      </c>
      <c r="W155" s="725" t="str">
        <f>+$D$155</f>
        <v>7.5-8.0</v>
      </c>
      <c r="X155" s="125">
        <v>7.9</v>
      </c>
      <c r="Y155" s="75" t="str">
        <f>+$D$155</f>
        <v>7.5-8.0</v>
      </c>
      <c r="Z155" s="109">
        <f t="shared" si="810"/>
        <v>7.8668979409131605</v>
      </c>
      <c r="AA155" s="634" t="str">
        <f>+$D$155</f>
        <v>7.5-8.0</v>
      </c>
      <c r="AB155" s="448">
        <f t="shared" si="811"/>
        <v>7.7573067612452853</v>
      </c>
      <c r="AC155" s="725" t="str">
        <f>+$D$155</f>
        <v>7.5-8.0</v>
      </c>
      <c r="AD155" s="125">
        <v>7.8</v>
      </c>
      <c r="AE155" s="51" t="str">
        <f>+$D$155</f>
        <v>7.5-8.0</v>
      </c>
      <c r="AF155" s="103">
        <f t="shared" si="812"/>
        <v>7.7634405013532515</v>
      </c>
      <c r="AG155" s="725" t="str">
        <f>+$D$155</f>
        <v>7.5-8.0</v>
      </c>
      <c r="AH155" s="125">
        <v>7.8</v>
      </c>
      <c r="AI155" s="51" t="str">
        <f>+$D$155</f>
        <v>7.5-8.0</v>
      </c>
      <c r="AJ155" s="103">
        <f t="shared" si="813"/>
        <v>7.7677978495098507</v>
      </c>
      <c r="AK155" s="725" t="str">
        <f>+$D$155</f>
        <v>7.5-8.0</v>
      </c>
      <c r="AL155" s="125">
        <v>7.7</v>
      </c>
      <c r="AM155" s="75" t="str">
        <f>+$D$155</f>
        <v>7.5-8.0</v>
      </c>
      <c r="AN155" s="109">
        <f t="shared" ref="AN155:AN157" si="820">+((AD155*AD$21)+(AH155*AH$21)+(AL$21*AL155))/AN$21</f>
        <v>7.766646134275585</v>
      </c>
      <c r="AO155" s="51" t="str">
        <f>+$D$155</f>
        <v>7.5-8.0</v>
      </c>
      <c r="AP155" s="103">
        <f t="shared" si="815"/>
        <v>7.7603731864558609</v>
      </c>
      <c r="AQ155" s="725" t="str">
        <f>+$D$155</f>
        <v>7.5-8.0</v>
      </c>
      <c r="AR155" s="125">
        <v>7.7</v>
      </c>
      <c r="AS155" s="51" t="str">
        <f>+$D$155</f>
        <v>7.5-8.0</v>
      </c>
      <c r="AT155" s="103">
        <f t="shared" si="816"/>
        <v>7.7543718765508247</v>
      </c>
      <c r="AU155" s="725" t="str">
        <f>+$D$155</f>
        <v>7.5-8.0</v>
      </c>
      <c r="AV155" s="125">
        <v>7.6</v>
      </c>
      <c r="AW155" s="51" t="str">
        <f>+$D$155</f>
        <v>7.5-8.0</v>
      </c>
      <c r="AX155" s="103">
        <f t="shared" si="817"/>
        <v>7.7417041509198716</v>
      </c>
      <c r="AY155" s="725" t="str">
        <f>+$D$155</f>
        <v>7.5-8.0</v>
      </c>
      <c r="AZ155" s="125">
        <v>7.5</v>
      </c>
      <c r="BA155" s="75" t="str">
        <f>+$D$155</f>
        <v>7.5-8.0</v>
      </c>
      <c r="BB155" s="109">
        <f>+((AR155*AR$21)+(AV155*AV$21)+(AZ$21*AZ155))/BB$21</f>
        <v>7.5988633727673385</v>
      </c>
      <c r="BC155" s="634" t="str">
        <f>+$D$155</f>
        <v>7.5-8.0</v>
      </c>
      <c r="BD155" s="448">
        <f t="shared" si="818"/>
        <v>7.6833518454220293</v>
      </c>
      <c r="BE155" s="51" t="str">
        <f>+$D$155</f>
        <v>7.5-8.0</v>
      </c>
      <c r="BF155" s="103">
        <f t="shared" si="819"/>
        <v>7.7208779897611848</v>
      </c>
      <c r="BG155" s="1137"/>
      <c r="BH155" s="1137"/>
      <c r="BI155" s="1137"/>
      <c r="BJ155" s="1137"/>
      <c r="BK155" s="1137"/>
      <c r="BL155" s="25"/>
      <c r="BM155" s="25"/>
      <c r="BN155" s="25"/>
    </row>
    <row r="156" spans="1:66" x14ac:dyDescent="0.25">
      <c r="A156" s="138"/>
      <c r="B156" s="1754" t="s">
        <v>206</v>
      </c>
      <c r="C156" s="1306" t="s">
        <v>49</v>
      </c>
      <c r="D156" s="372" t="s">
        <v>1929</v>
      </c>
      <c r="E156" s="725" t="str">
        <f>+$D$156</f>
        <v>64.0-65.5</v>
      </c>
      <c r="F156" s="125">
        <v>65.400000000000006</v>
      </c>
      <c r="G156" s="725" t="str">
        <f>+$D$156</f>
        <v>64.0-65.5</v>
      </c>
      <c r="H156" s="125">
        <v>65.19</v>
      </c>
      <c r="I156" s="51" t="str">
        <f>+$D$156</f>
        <v>64.0-65.5</v>
      </c>
      <c r="J156" s="103">
        <f t="shared" si="806"/>
        <v>65.293110176618995</v>
      </c>
      <c r="K156" s="725" t="str">
        <f>+$D$156</f>
        <v>64.0-65.5</v>
      </c>
      <c r="L156" s="125">
        <v>65.099999999999994</v>
      </c>
      <c r="M156" s="75" t="str">
        <f>+$D$156</f>
        <v>64.0-65.5</v>
      </c>
      <c r="N156" s="109">
        <f t="shared" si="807"/>
        <v>65.230060043049733</v>
      </c>
      <c r="O156" s="725" t="str">
        <f>+$D$156</f>
        <v>64.0-65.5</v>
      </c>
      <c r="P156" s="125">
        <v>65.7</v>
      </c>
      <c r="Q156" s="51" t="str">
        <f>+$D$156</f>
        <v>64.0-65.5</v>
      </c>
      <c r="R156" s="103">
        <f t="shared" si="808"/>
        <v>65.348013576580399</v>
      </c>
      <c r="S156" s="725" t="str">
        <f>+$D$156</f>
        <v>64.0-65.5</v>
      </c>
      <c r="T156" s="125">
        <v>65.5</v>
      </c>
      <c r="U156" s="51" t="str">
        <f>+$D$156</f>
        <v>64.0-65.5</v>
      </c>
      <c r="V156" s="103">
        <f t="shared" si="809"/>
        <v>65.379163462187137</v>
      </c>
      <c r="W156" s="725" t="str">
        <f>+$D$156</f>
        <v>64.0-65.5</v>
      </c>
      <c r="X156" s="125">
        <v>65.7</v>
      </c>
      <c r="Y156" s="75" t="str">
        <f>+$D$156</f>
        <v>64.0-65.5</v>
      </c>
      <c r="Z156" s="109">
        <f t="shared" si="810"/>
        <v>65.63200537153088</v>
      </c>
      <c r="AA156" s="634" t="str">
        <f>+$D$156</f>
        <v>64.0-65.5</v>
      </c>
      <c r="AB156" s="448">
        <f t="shared" si="811"/>
        <v>65.432265946067673</v>
      </c>
      <c r="AC156" s="725" t="str">
        <f>+$D$156</f>
        <v>64.0-65.5</v>
      </c>
      <c r="AD156" s="125">
        <v>66</v>
      </c>
      <c r="AE156" s="51" t="str">
        <f>+$D$156</f>
        <v>64.0-65.5</v>
      </c>
      <c r="AF156" s="103">
        <f t="shared" si="812"/>
        <v>65.513832330788915</v>
      </c>
      <c r="AG156" s="725" t="str">
        <f>+$D$156</f>
        <v>64.0-65.5</v>
      </c>
      <c r="AH156" s="125">
        <v>65.599999999999994</v>
      </c>
      <c r="AI156" s="51" t="str">
        <f>+$D$156</f>
        <v>64.0-65.5</v>
      </c>
      <c r="AJ156" s="103">
        <f t="shared" si="813"/>
        <v>65.524102234603063</v>
      </c>
      <c r="AK156" s="725" t="str">
        <f>+$D$156</f>
        <v>64.0-65.5</v>
      </c>
      <c r="AL156" s="125">
        <v>65</v>
      </c>
      <c r="AM156" s="75" t="str">
        <f>+$D$156</f>
        <v>64.0-65.5</v>
      </c>
      <c r="AN156" s="109">
        <f t="shared" si="820"/>
        <v>65.537162229416225</v>
      </c>
      <c r="AO156" s="51" t="str">
        <f>+$D$156</f>
        <v>64.0-65.5</v>
      </c>
      <c r="AP156" s="103">
        <f t="shared" si="815"/>
        <v>65.466706866963776</v>
      </c>
      <c r="AQ156" s="725" t="str">
        <f>+$D$156</f>
        <v>64.0-65.5</v>
      </c>
      <c r="AR156" s="125">
        <v>65.400000000000006</v>
      </c>
      <c r="AS156" s="51" t="str">
        <f>+$D$156</f>
        <v>64.0-65.5</v>
      </c>
      <c r="AT156" s="103">
        <f t="shared" si="816"/>
        <v>65.460075966642876</v>
      </c>
      <c r="AU156" s="725" t="str">
        <f>+$D$156</f>
        <v>64.0-65.5</v>
      </c>
      <c r="AV156" s="125">
        <v>65.400000000000006</v>
      </c>
      <c r="AW156" s="51" t="str">
        <f>+$D$156</f>
        <v>64.0-65.5</v>
      </c>
      <c r="AX156" s="103">
        <f t="shared" si="817"/>
        <v>65.455146144712558</v>
      </c>
      <c r="AY156" s="725" t="str">
        <f>+$D$156</f>
        <v>64.0-65.5</v>
      </c>
      <c r="AZ156" s="125">
        <v>65.599999999999994</v>
      </c>
      <c r="BA156" s="75" t="str">
        <f>+$D$156</f>
        <v>64.0-65.5</v>
      </c>
      <c r="BB156" s="109">
        <f>+((AR156*AR$21)+(AV156*AV$21)+(AZ$21*AZ156))/BB$21</f>
        <v>65.47047088842497</v>
      </c>
      <c r="BC156" s="634" t="str">
        <f>+$D$156</f>
        <v>64.0-65.5</v>
      </c>
      <c r="BD156" s="448">
        <f t="shared" si="818"/>
        <v>65.504053894742142</v>
      </c>
      <c r="BE156" s="51" t="str">
        <f>+$D$156</f>
        <v>64.0-65.5</v>
      </c>
      <c r="BF156" s="103">
        <f t="shared" si="819"/>
        <v>65.467627311143474</v>
      </c>
      <c r="BG156" s="1137"/>
      <c r="BH156" s="1137"/>
      <c r="BI156" s="1137"/>
      <c r="BJ156" s="1137"/>
      <c r="BK156" s="1137"/>
      <c r="BL156" s="25"/>
      <c r="BM156" s="25"/>
      <c r="BN156" s="25"/>
    </row>
    <row r="157" spans="1:66" x14ac:dyDescent="0.25">
      <c r="B157" s="1754" t="s">
        <v>207</v>
      </c>
      <c r="C157" s="1306" t="s">
        <v>49</v>
      </c>
      <c r="D157" s="372" t="s">
        <v>1930</v>
      </c>
      <c r="E157" s="725" t="str">
        <f>+$D$157</f>
        <v>22.5-24.0</v>
      </c>
      <c r="F157" s="125">
        <v>23.7</v>
      </c>
      <c r="G157" s="725" t="str">
        <f>+$D$157</f>
        <v>22.5-24.0</v>
      </c>
      <c r="H157" s="125">
        <v>23.19</v>
      </c>
      <c r="I157" s="51" t="str">
        <f>+$D$157</f>
        <v>22.5-24.0</v>
      </c>
      <c r="J157" s="103">
        <f t="shared" si="806"/>
        <v>23.440410428931877</v>
      </c>
      <c r="K157" s="725" t="str">
        <f>+$D$157</f>
        <v>22.5-24.0</v>
      </c>
      <c r="L157" s="125">
        <v>23.8</v>
      </c>
      <c r="M157" s="75" t="str">
        <f>+$D$157</f>
        <v>22.5-24.0</v>
      </c>
      <c r="N157" s="109">
        <f t="shared" si="807"/>
        <v>23.557815792454967</v>
      </c>
      <c r="O157" s="725" t="str">
        <f>+$D$157</f>
        <v>22.5-24.0</v>
      </c>
      <c r="P157" s="125">
        <v>23.2</v>
      </c>
      <c r="Q157" s="51" t="str">
        <f>+$D$157</f>
        <v>22.5-24.0</v>
      </c>
      <c r="R157" s="103">
        <f t="shared" si="808"/>
        <v>23.468005091217648</v>
      </c>
      <c r="S157" s="725" t="str">
        <f>+$D$157</f>
        <v>22.5-24.0</v>
      </c>
      <c r="T157" s="125">
        <v>22.8</v>
      </c>
      <c r="U157" s="51" t="str">
        <f>+$D$157</f>
        <v>22.5-24.0</v>
      </c>
      <c r="V157" s="103">
        <f t="shared" si="809"/>
        <v>23.331096269311203</v>
      </c>
      <c r="W157" s="725" t="str">
        <f>+$D$157</f>
        <v>22.5-24.0</v>
      </c>
      <c r="X157" s="125">
        <v>23.5</v>
      </c>
      <c r="Y157" s="75" t="str">
        <f>+$D$157</f>
        <v>22.5-24.0</v>
      </c>
      <c r="Z157" s="109">
        <f t="shared" si="810"/>
        <v>23.16271262309758</v>
      </c>
      <c r="AA157" s="634" t="str">
        <f>+$D$157</f>
        <v>22.5-24.0</v>
      </c>
      <c r="AB157" s="448">
        <f t="shared" si="811"/>
        <v>23.359051961943365</v>
      </c>
      <c r="AC157" s="725" t="str">
        <f>+$D$157</f>
        <v>22.5-24.0</v>
      </c>
      <c r="AD157" s="125">
        <v>23.3</v>
      </c>
      <c r="AE157" s="51" t="str">
        <f>+$D$157</f>
        <v>22.5-24.0</v>
      </c>
      <c r="AF157" s="103">
        <f t="shared" si="812"/>
        <v>23.350567963118468</v>
      </c>
      <c r="AG157" s="725" t="str">
        <f>+$D$157</f>
        <v>22.5-24.0</v>
      </c>
      <c r="AH157" s="125">
        <v>23.6</v>
      </c>
      <c r="AI157" s="51" t="str">
        <f>+$D$157</f>
        <v>22.5-24.0</v>
      </c>
      <c r="AJ157" s="103">
        <f t="shared" si="813"/>
        <v>23.380296549842384</v>
      </c>
      <c r="AK157" s="725" t="str">
        <f>+$D$157</f>
        <v>22.5-24.0</v>
      </c>
      <c r="AL157" s="125">
        <v>23.5</v>
      </c>
      <c r="AM157" s="75" t="str">
        <f>+$D$157</f>
        <v>22.5-24.0</v>
      </c>
      <c r="AN157" s="109">
        <f t="shared" si="820"/>
        <v>23.463682066453543</v>
      </c>
      <c r="AO157" s="51" t="str">
        <f>+$D$157</f>
        <v>22.5-24.0</v>
      </c>
      <c r="AP157" s="103">
        <f t="shared" si="815"/>
        <v>23.393405487518816</v>
      </c>
      <c r="AQ157" s="725" t="str">
        <f>+$D$157</f>
        <v>22.5-24.0</v>
      </c>
      <c r="AR157" s="125">
        <v>23.5</v>
      </c>
      <c r="AS157" s="51" t="str">
        <f>+$D$157</f>
        <v>22.5-24.0</v>
      </c>
      <c r="AT157" s="103">
        <f t="shared" si="816"/>
        <v>23.404001361964561</v>
      </c>
      <c r="AU157" s="725" t="str">
        <f>+$D$157</f>
        <v>22.5-24.0</v>
      </c>
      <c r="AV157" s="125">
        <v>23.2</v>
      </c>
      <c r="AW157" s="51" t="str">
        <f>+$D$157</f>
        <v>22.5-24.0</v>
      </c>
      <c r="AX157" s="103">
        <f t="shared" si="817"/>
        <v>23.387261050585003</v>
      </c>
      <c r="AY157" s="725" t="str">
        <f>+$D$157</f>
        <v>22.5-24.0</v>
      </c>
      <c r="AZ157" s="125">
        <v>23.1</v>
      </c>
      <c r="BA157" s="75" t="str">
        <f>+$D$157</f>
        <v>22.5-24.0</v>
      </c>
      <c r="BB157" s="109">
        <f>+((AR157*AR$21)+(AV157*AV$21)+(AZ$21*AZ157))/BB$21</f>
        <v>23.26706100672698</v>
      </c>
      <c r="BC157" s="634" t="str">
        <f>+$D$157</f>
        <v>22.5-24.0</v>
      </c>
      <c r="BD157" s="448">
        <f t="shared" si="818"/>
        <v>23.366071255924886</v>
      </c>
      <c r="BE157" s="51" t="str">
        <f>+$D$157</f>
        <v>22.5-24.0</v>
      </c>
      <c r="BF157" s="103">
        <f t="shared" si="819"/>
        <v>23.362509531377206</v>
      </c>
      <c r="BG157" s="1137"/>
      <c r="BH157" s="1137"/>
      <c r="BI157" s="1137"/>
      <c r="BJ157" s="1137"/>
      <c r="BK157" s="1137"/>
      <c r="BL157" s="25"/>
      <c r="BM157" s="25"/>
      <c r="BN157" s="25"/>
    </row>
    <row r="158" spans="1:66" x14ac:dyDescent="0.25">
      <c r="B158" s="1804" t="s">
        <v>5</v>
      </c>
      <c r="C158" s="1312"/>
      <c r="D158" s="390"/>
      <c r="E158" s="932"/>
      <c r="F158" s="652"/>
      <c r="G158" s="932"/>
      <c r="H158" s="652"/>
      <c r="I158" s="390"/>
      <c r="J158" s="390"/>
      <c r="K158" s="932"/>
      <c r="L158" s="652"/>
      <c r="M158" s="932"/>
      <c r="N158" s="652"/>
      <c r="O158" s="932"/>
      <c r="P158" s="652"/>
      <c r="Q158" s="390"/>
      <c r="R158" s="390"/>
      <c r="S158" s="932"/>
      <c r="T158" s="652"/>
      <c r="U158" s="390"/>
      <c r="V158" s="390"/>
      <c r="W158" s="932"/>
      <c r="X158" s="652"/>
      <c r="Y158" s="390"/>
      <c r="Z158" s="390"/>
      <c r="AA158" s="2350"/>
      <c r="AB158" s="652"/>
      <c r="AC158" s="932"/>
      <c r="AD158" s="652"/>
      <c r="AE158" s="390"/>
      <c r="AF158" s="652"/>
      <c r="AG158" s="932"/>
      <c r="AH158" s="652"/>
      <c r="AI158" s="390"/>
      <c r="AJ158" s="652"/>
      <c r="AK158" s="932"/>
      <c r="AL158" s="652"/>
      <c r="AM158" s="390"/>
      <c r="AN158" s="390"/>
      <c r="AO158" s="390"/>
      <c r="AP158" s="652"/>
      <c r="AQ158" s="932"/>
      <c r="AR158" s="652"/>
      <c r="AS158" s="390"/>
      <c r="AT158" s="652"/>
      <c r="AU158" s="932"/>
      <c r="AV158" s="652"/>
      <c r="AW158" s="390"/>
      <c r="AX158" s="652"/>
      <c r="AY158" s="932"/>
      <c r="AZ158" s="652"/>
      <c r="BA158" s="390"/>
      <c r="BB158" s="390"/>
      <c r="BC158" s="2350"/>
      <c r="BD158" s="652"/>
      <c r="BE158" s="390"/>
      <c r="BF158" s="652"/>
      <c r="BG158" s="1137">
        <f t="shared" si="746"/>
        <v>0</v>
      </c>
      <c r="BH158" s="1137">
        <f t="shared" si="747"/>
        <v>0</v>
      </c>
      <c r="BI158" s="1137"/>
      <c r="BJ158" s="1137">
        <f t="shared" si="754"/>
        <v>0</v>
      </c>
      <c r="BK158" s="1137">
        <f t="shared" si="755"/>
        <v>0</v>
      </c>
      <c r="BL158" s="25"/>
      <c r="BM158" s="25"/>
      <c r="BN158" s="25"/>
    </row>
    <row r="159" spans="1:66" x14ac:dyDescent="0.25">
      <c r="B159" s="1771" t="s">
        <v>214</v>
      </c>
      <c r="C159" s="1306" t="s">
        <v>210</v>
      </c>
      <c r="D159" s="372">
        <f>+(D160*D17)/1000000</f>
        <v>187.82503200000002</v>
      </c>
      <c r="E159" s="725">
        <f>+(E160*E17)/1000000</f>
        <v>15.676080000000004</v>
      </c>
      <c r="F159" s="125">
        <v>14.776</v>
      </c>
      <c r="G159" s="725">
        <f>+(G160*G17)/1000000</f>
        <v>16.198616000000001</v>
      </c>
      <c r="H159" s="125">
        <f>16165.26/1000</f>
        <v>16.16526</v>
      </c>
      <c r="I159" s="51">
        <f>+(I160*I17)/1000000</f>
        <v>31.874696000000007</v>
      </c>
      <c r="J159" s="103">
        <f>+F159+H159</f>
        <v>30.94126</v>
      </c>
      <c r="K159" s="725">
        <f>+(K160*K17)/1000000</f>
        <v>15.036240000000001</v>
      </c>
      <c r="L159" s="125">
        <v>15.39714</v>
      </c>
      <c r="M159" s="7197">
        <f>+(M160*M17)/1000000</f>
        <v>46.910936000000007</v>
      </c>
      <c r="N159" s="7198">
        <f>+L159+H159+F159</f>
        <v>46.3384</v>
      </c>
      <c r="O159" s="725">
        <f>+(O160*O17)/1000000</f>
        <v>15.537448000000001</v>
      </c>
      <c r="P159" s="125">
        <v>15.742000000000001</v>
      </c>
      <c r="Q159" s="51">
        <f>+(Q160*Q17)/1000000</f>
        <v>62.448384000000004</v>
      </c>
      <c r="R159" s="103">
        <f>+N159+P159</f>
        <v>62.080399999999997</v>
      </c>
      <c r="S159" s="725">
        <f>+(S160*S17)/1000000</f>
        <v>15.537448000000001</v>
      </c>
      <c r="T159" s="125">
        <v>15.956017725097499</v>
      </c>
      <c r="U159" s="51">
        <f>+(U160*U17)/1000000</f>
        <v>77.985832000000016</v>
      </c>
      <c r="V159" s="103">
        <f>+R159+T159</f>
        <v>78.036417725097493</v>
      </c>
      <c r="W159" s="725">
        <f>+(W160*W17)/1000000</f>
        <v>14.732316000000003</v>
      </c>
      <c r="X159" s="125">
        <v>15.46</v>
      </c>
      <c r="Y159" s="7197">
        <f>+(Y160*Y17)/1000000</f>
        <v>45.807212</v>
      </c>
      <c r="Z159" s="7199">
        <f>+P159+T159+X159</f>
        <v>47.158017725097501</v>
      </c>
      <c r="AA159" s="634">
        <f>+(AA160*AA17)/1000000</f>
        <v>92.718148000000014</v>
      </c>
      <c r="AB159" s="448">
        <f>+N159+Z159</f>
        <v>93.496417725097501</v>
      </c>
      <c r="AC159" s="725">
        <f>+(AC160*AC17)/1000000</f>
        <v>15.537448000000001</v>
      </c>
      <c r="AD159" s="125">
        <v>15.529</v>
      </c>
      <c r="AE159" s="51">
        <f>+(AE160*AE17)/1000000</f>
        <v>108.25559600000001</v>
      </c>
      <c r="AF159" s="103">
        <f>+AB159+AD159</f>
        <v>109.0254177250975</v>
      </c>
      <c r="AG159" s="725">
        <f>+(AG160*AG17)/1000000</f>
        <v>15.036240000000001</v>
      </c>
      <c r="AH159" s="125">
        <v>15.076000000000001</v>
      </c>
      <c r="AI159" s="51">
        <f>+(AI160*AI17)/1000000</f>
        <v>123.29183600000002</v>
      </c>
      <c r="AJ159" s="103">
        <f>+AF159+AH159</f>
        <v>124.10141772509749</v>
      </c>
      <c r="AK159" s="725">
        <f>+(AK160*AK17)/1000000</f>
        <v>15.537448000000001</v>
      </c>
      <c r="AL159" s="125">
        <f>15200.621/1000</f>
        <v>15.200621</v>
      </c>
      <c r="AM159" s="75">
        <f>+(AM160*AM17)/1000000</f>
        <v>46.111136000000002</v>
      </c>
      <c r="AN159" s="115">
        <f>+AD159+AH159+AL159</f>
        <v>45.805621000000002</v>
      </c>
      <c r="AO159" s="51">
        <f>+(AO160*AO17)/1000000</f>
        <v>138.829284</v>
      </c>
      <c r="AP159" s="103">
        <f>+AL159+AJ159</f>
        <v>139.3020387250975</v>
      </c>
      <c r="AQ159" s="725">
        <f>+(AQ160*AQ17)/1000000</f>
        <v>15.537448000000001</v>
      </c>
      <c r="AR159" s="125">
        <v>14.797000000000001</v>
      </c>
      <c r="AS159" s="51">
        <f>+(AS160*AS17)/1000000</f>
        <v>154.36673200000001</v>
      </c>
      <c r="AT159" s="103">
        <f>+AP159+AR159</f>
        <v>154.0990387250975</v>
      </c>
      <c r="AU159" s="725">
        <f>+(AU160*AU17)/1000000</f>
        <v>14.033824000000005</v>
      </c>
      <c r="AV159" s="125">
        <v>12.972</v>
      </c>
      <c r="AW159" s="51">
        <f>+(AW160*AW17)/1000000</f>
        <v>168.40055600000002</v>
      </c>
      <c r="AX159" s="103">
        <f>+AT159+AV159</f>
        <v>167.07103872509751</v>
      </c>
      <c r="AY159" s="725">
        <f>+(AY160*AY17)/1000000</f>
        <v>15.537448000000001</v>
      </c>
      <c r="AZ159" s="125">
        <v>14.377599999999999</v>
      </c>
      <c r="BA159" s="75">
        <f>+(BA160*BA17)/1000000</f>
        <v>45.108720000000005</v>
      </c>
      <c r="BB159" s="115">
        <f>+AR159+AV159+AZ159</f>
        <v>42.146599999999999</v>
      </c>
      <c r="BC159" s="634">
        <f>+(BC160*BC17)/1000000</f>
        <v>91.219856000000021</v>
      </c>
      <c r="BD159" s="448">
        <f>+AN159+BB159</f>
        <v>87.952221000000009</v>
      </c>
      <c r="BE159" s="51">
        <f>+(BE160*BE17)/1000000</f>
        <v>183.93800400000003</v>
      </c>
      <c r="BF159" s="103">
        <f>+AX159+AZ159</f>
        <v>181.44863872509751</v>
      </c>
      <c r="BG159" s="1137">
        <f t="shared" si="746"/>
        <v>0</v>
      </c>
      <c r="BH159" s="1137">
        <f t="shared" si="747"/>
        <v>0</v>
      </c>
      <c r="BI159" s="1137"/>
      <c r="BJ159" s="1137">
        <f t="shared" si="754"/>
        <v>0</v>
      </c>
      <c r="BK159" s="1137">
        <f t="shared" si="755"/>
        <v>0</v>
      </c>
      <c r="BL159" s="25"/>
      <c r="BM159" s="25"/>
      <c r="BN159" s="25"/>
    </row>
    <row r="160" spans="1:66" x14ac:dyDescent="0.25">
      <c r="B160" s="1772" t="s">
        <v>215</v>
      </c>
      <c r="C160" s="1306" t="s">
        <v>211</v>
      </c>
      <c r="D160" s="3044">
        <v>310.00000000000006</v>
      </c>
      <c r="E160" s="3042">
        <f>+$D$160</f>
        <v>310.00000000000006</v>
      </c>
      <c r="F160" s="170">
        <f>+(F159*1000000)/F17</f>
        <v>292.20060117070085</v>
      </c>
      <c r="G160" s="5576">
        <f>+$D$160</f>
        <v>310.00000000000006</v>
      </c>
      <c r="H160" s="170">
        <f>+(H159*1000000)/H17</f>
        <v>310.58846585407093</v>
      </c>
      <c r="I160" s="2403">
        <f>+$D$160</f>
        <v>310.00000000000006</v>
      </c>
      <c r="J160" s="37">
        <f>+(J159*1000000)/J17</f>
        <v>301.5270642166073</v>
      </c>
      <c r="K160" s="5672">
        <f>+$D$160</f>
        <v>310.00000000000006</v>
      </c>
      <c r="L160" s="170">
        <f>+(L159*1000000)/L17</f>
        <v>310.61157464938759</v>
      </c>
      <c r="M160" s="2405">
        <f>+$D$160</f>
        <v>310.00000000000006</v>
      </c>
      <c r="N160" s="67">
        <f>+(N159*1000000)/N17</f>
        <v>304.48610118171501</v>
      </c>
      <c r="O160" s="5828">
        <f>+$D$160</f>
        <v>310.00000000000006</v>
      </c>
      <c r="P160" s="170">
        <f>+(P159*1000000)/P17</f>
        <v>309.40924886394015</v>
      </c>
      <c r="Q160" s="2403">
        <f>+$D$160</f>
        <v>310.00000000000006</v>
      </c>
      <c r="R160" s="37">
        <f>+(R159*1000000)/R17</f>
        <v>305.71959862742244</v>
      </c>
      <c r="S160" s="5905">
        <f>+$D$160</f>
        <v>310.00000000000006</v>
      </c>
      <c r="T160" s="170">
        <f>+(T159*1000000)/T17</f>
        <v>305.35729069571283</v>
      </c>
      <c r="U160" s="4321">
        <f>+$D$160</f>
        <v>310.00000000000006</v>
      </c>
      <c r="V160" s="37">
        <f>+(V159*1000000)/V17</f>
        <v>305.64544802808706</v>
      </c>
      <c r="W160" s="5999">
        <f>+$D$160</f>
        <v>310.00000000000006</v>
      </c>
      <c r="X160" s="170">
        <f>+(X159*1000000)/X17</f>
        <v>305.72694193956653</v>
      </c>
      <c r="Y160" s="2405">
        <f>+$D$160</f>
        <v>310.00000000000006</v>
      </c>
      <c r="Z160" s="67">
        <f>+(Z159*1000000)/Z17</f>
        <v>306.82018985848657</v>
      </c>
      <c r="AA160" s="608">
        <f>+$D$160</f>
        <v>310.00000000000006</v>
      </c>
      <c r="AB160" s="428">
        <f>+(AB159*1000000)/AB17</f>
        <v>305.65892036837892</v>
      </c>
      <c r="AC160" s="6130">
        <f>+$D$160</f>
        <v>310.00000000000006</v>
      </c>
      <c r="AD160" s="170">
        <f>+(AD159*1000000)/AD17</f>
        <v>301.65347050093629</v>
      </c>
      <c r="AE160" s="2428">
        <f>+$D$160</f>
        <v>310.00000000000006</v>
      </c>
      <c r="AF160" s="37">
        <f>+(AF159*1000000)/AF17</f>
        <v>305.0819212129062</v>
      </c>
      <c r="AG160" s="6292">
        <f>+$D$160</f>
        <v>310.00000000000006</v>
      </c>
      <c r="AH160" s="170">
        <f>+(AH159*1000000)/AH17</f>
        <v>310.05009830455492</v>
      </c>
      <c r="AI160" s="2475">
        <f>+$D$160</f>
        <v>310.00000000000006</v>
      </c>
      <c r="AJ160" s="37">
        <f>+(AJ159*1000000)/AJ17</f>
        <v>305.67694903183906</v>
      </c>
      <c r="AK160" s="6561">
        <f>+$D$160</f>
        <v>310.00000000000006</v>
      </c>
      <c r="AL160" s="170">
        <f>+(AL159*1000000)/AL17</f>
        <v>302.96778707018206</v>
      </c>
      <c r="AM160" s="2532">
        <f>+$D$160</f>
        <v>310.00000000000006</v>
      </c>
      <c r="AN160" s="67">
        <f>+(AN159*1000000)/AN17</f>
        <v>304.80914501545152</v>
      </c>
      <c r="AO160" s="2530">
        <f>+$D$160</f>
        <v>310.00000000000006</v>
      </c>
      <c r="AP160" s="37">
        <f>+(AP159*1000000)/AP17</f>
        <v>305.37897288304555</v>
      </c>
      <c r="AQ160" s="6638">
        <f>+$D$160</f>
        <v>310.00000000000006</v>
      </c>
      <c r="AR160" s="170">
        <f>+(AR159*1000000)/AR17</f>
        <v>292.61588356272739</v>
      </c>
      <c r="AS160" s="2591">
        <f>+$D$160</f>
        <v>310.00000000000006</v>
      </c>
      <c r="AT160" s="37">
        <f>+(AT159*1000000)/AT17</f>
        <v>304.10530659195786</v>
      </c>
      <c r="AU160" s="6823">
        <f>+$D$160</f>
        <v>310.00000000000006</v>
      </c>
      <c r="AV160" s="170">
        <f>+(AV159*1000000)/AV17</f>
        <v>285.24434436899691</v>
      </c>
      <c r="AW160" s="5012">
        <f>+$D$160</f>
        <v>310.00000000000006</v>
      </c>
      <c r="AX160" s="37">
        <f>+(AX159*1000000)/AX17</f>
        <v>302.55201632198401</v>
      </c>
      <c r="AY160" s="6969">
        <f>+$D$160</f>
        <v>310.00000000000006</v>
      </c>
      <c r="AZ160" s="170">
        <f>+(AZ159*1000000)/AZ17</f>
        <v>275.15042025812579</v>
      </c>
      <c r="BA160" s="2797">
        <f>+$D$160</f>
        <v>310.00000000000006</v>
      </c>
      <c r="BB160" s="67">
        <f>+(BB159*1000000)/BB17</f>
        <v>284.20131302832669</v>
      </c>
      <c r="BC160" s="608">
        <f>+$D$160</f>
        <v>310.00000000000006</v>
      </c>
      <c r="BD160" s="428">
        <f>+(BD159*1000000)/BD17</f>
        <v>294.57349046202165</v>
      </c>
      <c r="BE160" s="2796">
        <f>+$D$160</f>
        <v>310.00000000000006</v>
      </c>
      <c r="BF160" s="37">
        <f>+(BF159*1000000)/BF17</f>
        <v>300.18323594347333</v>
      </c>
      <c r="BG160" s="1137"/>
      <c r="BH160" s="1137"/>
      <c r="BI160" s="1137"/>
      <c r="BJ160" s="1137"/>
      <c r="BK160" s="1137"/>
      <c r="BL160" s="25"/>
      <c r="BM160" s="25"/>
      <c r="BN160" s="25"/>
    </row>
    <row r="161" spans="1:66" x14ac:dyDescent="0.25">
      <c r="B161" s="1771" t="s">
        <v>216</v>
      </c>
      <c r="C161" s="1306" t="s">
        <v>212</v>
      </c>
      <c r="D161" s="3044">
        <v>4225</v>
      </c>
      <c r="E161" s="3042">
        <f>+$D$161</f>
        <v>4225</v>
      </c>
      <c r="F161" s="170">
        <v>4232.3</v>
      </c>
      <c r="G161" s="5576">
        <f>+$D$161</f>
        <v>4225</v>
      </c>
      <c r="H161" s="170">
        <v>4217.0200000000004</v>
      </c>
      <c r="I161" s="2403">
        <f>+$D$161</f>
        <v>4225</v>
      </c>
      <c r="J161" s="37">
        <f>+((F161*F159)+(H159*H161))/J159</f>
        <v>4224.3169646355709</v>
      </c>
      <c r="K161" s="5672">
        <f>+$D$161</f>
        <v>4225</v>
      </c>
      <c r="L161" s="170">
        <v>4228.26</v>
      </c>
      <c r="M161" s="2405">
        <f>+$D$161</f>
        <v>4225</v>
      </c>
      <c r="N161" s="67">
        <f>+((F161*F159)+(H161*H159)+(L159*L161))/N159</f>
        <v>4225.6271408076236</v>
      </c>
      <c r="O161" s="5828">
        <f>+$D$161</f>
        <v>4225</v>
      </c>
      <c r="P161" s="170">
        <v>4223.92</v>
      </c>
      <c r="Q161" s="2403">
        <f>+$D$161</f>
        <v>4225</v>
      </c>
      <c r="R161" s="37">
        <f>+((N161*N159)+(P159*P161))/R159</f>
        <v>4225.1942536066135</v>
      </c>
      <c r="S161" s="5905">
        <f>+$D$161</f>
        <v>4225</v>
      </c>
      <c r="T161" s="170">
        <v>4231.1400000000003</v>
      </c>
      <c r="U161" s="4321">
        <f>+$D$161</f>
        <v>4225</v>
      </c>
      <c r="V161" s="37">
        <f>+((R161*R159)+(T159*T161))/V159</f>
        <v>4226.409973620518</v>
      </c>
      <c r="W161" s="5999">
        <f>+$D$161</f>
        <v>4225</v>
      </c>
      <c r="X161" s="170">
        <v>4223.79</v>
      </c>
      <c r="Y161" s="2405">
        <f>+$D$161</f>
        <v>4225</v>
      </c>
      <c r="Z161" s="67">
        <f>+((P161*P159)+(T161*T159)+(X159*X161))/Z159</f>
        <v>4226.3202842662949</v>
      </c>
      <c r="AA161" s="608">
        <f>+$D$161</f>
        <v>4225</v>
      </c>
      <c r="AB161" s="428">
        <f>+((N161*N159)+(Z159*Z161))/AB159</f>
        <v>4225.9767506890012</v>
      </c>
      <c r="AC161" s="6130">
        <f>+$D$161</f>
        <v>4225</v>
      </c>
      <c r="AD161" s="170">
        <v>4232.1400000000003</v>
      </c>
      <c r="AE161" s="2428">
        <f>+$D$161</f>
        <v>4225</v>
      </c>
      <c r="AF161" s="37">
        <f>+((AB161*AB159)+(AD159*AD161))/AF159</f>
        <v>4226.8546111049254</v>
      </c>
      <c r="AG161" s="6292">
        <f>+$D$161</f>
        <v>4225</v>
      </c>
      <c r="AH161" s="170">
        <v>4229.91</v>
      </c>
      <c r="AI161" s="2475">
        <f>+$D$161</f>
        <v>4225</v>
      </c>
      <c r="AJ161" s="37">
        <f>+((AF161*AF159)+(AH159*AH161))/AJ159</f>
        <v>4227.2257836815688</v>
      </c>
      <c r="AK161" s="6561">
        <f>+$D$161</f>
        <v>4225</v>
      </c>
      <c r="AL161" s="170">
        <v>4227.93</v>
      </c>
      <c r="AM161" s="2532">
        <f>+$D$161</f>
        <v>4225</v>
      </c>
      <c r="AN161" s="67">
        <f>+((AD161*AD159)+(AH161*AH159)+(AL159*AL161))/AN159</f>
        <v>4230.0089494372323</v>
      </c>
      <c r="AO161" s="2530">
        <f>+$D$161</f>
        <v>4225</v>
      </c>
      <c r="AP161" s="37">
        <f>+((AL161*AL159)+(AJ159*AJ161))/AP159</f>
        <v>4227.302627677941</v>
      </c>
      <c r="AQ161" s="6638">
        <f>+$D$161</f>
        <v>4225</v>
      </c>
      <c r="AR161" s="170">
        <v>4230.49</v>
      </c>
      <c r="AS161" s="2591">
        <f>+$D$161</f>
        <v>4225</v>
      </c>
      <c r="AT161" s="37">
        <f>+((AP161*AP159)+(AR159*AR161))/AT159</f>
        <v>4227.6086876549516</v>
      </c>
      <c r="AU161" s="6823">
        <f>+$D$161</f>
        <v>4225</v>
      </c>
      <c r="AV161" s="170">
        <v>4232.8100000000004</v>
      </c>
      <c r="AW161" s="5012">
        <f>+$D$161</f>
        <v>4225</v>
      </c>
      <c r="AX161" s="37">
        <f>+((AT161*AT159)+(AV159*AV161))/AX159</f>
        <v>4228.012536366582</v>
      </c>
      <c r="AY161" s="6969">
        <f>+$D$161</f>
        <v>4225</v>
      </c>
      <c r="AZ161" s="170">
        <v>4228.6000000000004</v>
      </c>
      <c r="BA161" s="2797">
        <f>+$D$161</f>
        <v>4225</v>
      </c>
      <c r="BB161" s="67">
        <f>+((AR161*AR159)+(AV161*AV159)+(AZ161*AZ159))/BB159</f>
        <v>4230.5593146303618</v>
      </c>
      <c r="BC161" s="608">
        <f>+$D$161</f>
        <v>4225</v>
      </c>
      <c r="BD161" s="428">
        <f>+((AN161*AN159)+(BB159*BB161))/BD159</f>
        <v>4230.2726837850969</v>
      </c>
      <c r="BE161" s="2796">
        <f>+$D$161</f>
        <v>4225</v>
      </c>
      <c r="BF161" s="37">
        <f>+((AX161*AX159)+(AZ161*AZ159))/BF159</f>
        <v>4228.0590857217885</v>
      </c>
      <c r="BG161" s="1137"/>
      <c r="BH161" s="1137"/>
      <c r="BI161" s="1137"/>
      <c r="BJ161" s="1137"/>
      <c r="BK161" s="1137"/>
      <c r="BL161" s="25"/>
      <c r="BM161" s="25"/>
      <c r="BN161" s="25"/>
    </row>
    <row r="162" spans="1:66" x14ac:dyDescent="0.25">
      <c r="B162" s="1771" t="s">
        <v>547</v>
      </c>
      <c r="C162" s="1306" t="s">
        <v>299</v>
      </c>
      <c r="D162" s="372">
        <v>13.860532822179625</v>
      </c>
      <c r="E162" s="725">
        <f>+(EMD!D21)/(E2*24)</f>
        <v>13.860532822179625</v>
      </c>
      <c r="F162" s="1232">
        <f>+(EMD!E21)/(F2*24)</f>
        <v>14.518958333333332</v>
      </c>
      <c r="G162" s="725">
        <f>+(EMD!F21)/(G2*24)</f>
        <v>14.236886666666667</v>
      </c>
      <c r="H162" s="1232">
        <f>+(EMD!G21)/(H2*24)</f>
        <v>13.080887096774196</v>
      </c>
      <c r="I162" s="51">
        <f>+(EMD!H21)/(I2*24)</f>
        <v>14.051794612000908</v>
      </c>
      <c r="J162" s="366">
        <f>+(EMD!I21)/(J2*24)</f>
        <v>13.788135245901641</v>
      </c>
      <c r="K162" s="725">
        <f>+(EMD!J21)/(K2*24)</f>
        <v>13.365993333333334</v>
      </c>
      <c r="L162" s="1232">
        <f>+(EMD!K21)/(L2*24)</f>
        <v>13.019152777777778</v>
      </c>
      <c r="M162" s="75">
        <f>+(EMD!L21)/(M2*24)</f>
        <v>13.825706278374234</v>
      </c>
      <c r="N162" s="108">
        <f>+(EMD!M21)/(N2*24)</f>
        <v>13.534624542124543</v>
      </c>
      <c r="O162" s="725">
        <f>+(EMD!N21)/(O2*24)</f>
        <v>13.365993333333334</v>
      </c>
      <c r="P162" s="1232">
        <f>+(EMD!O21)/(P2*24)</f>
        <v>13.345645161290328</v>
      </c>
      <c r="Q162" s="51">
        <f>+(EMD!P21)/(Q2*24)</f>
        <v>13.70889397266712</v>
      </c>
      <c r="R162" s="366">
        <f>+(EMD!Q21)/(R2*24)</f>
        <v>13.486605191256833</v>
      </c>
      <c r="S162" s="725">
        <f>+(EMD!R21)/(S2*24)</f>
        <v>13.365993333333334</v>
      </c>
      <c r="T162" s="1232">
        <f>+(EMD!S21)/(T2*24)</f>
        <v>13.589717741935486</v>
      </c>
      <c r="U162" s="51">
        <f>+(EMD!T21)/(U2*24)</f>
        <v>13.639417372540665</v>
      </c>
      <c r="V162" s="366">
        <f>+(EMD!U21)/(V2*24)</f>
        <v>13.507497276688454</v>
      </c>
      <c r="W162" s="725">
        <f>+(EMD!V21)/(W2*24)</f>
        <v>12.952319000000001</v>
      </c>
      <c r="X162" s="1232">
        <f>+(EMD!W21)/(X2*24)</f>
        <v>13.582527777777777</v>
      </c>
      <c r="Y162" s="75">
        <f>+(EMD!X21)/(Y2*24)</f>
        <v>13.231099528985508</v>
      </c>
      <c r="Z162" s="367">
        <f>+((P162*P2)+(T162*T2)+(X162*X2))/Z2</f>
        <v>13.505131340579712</v>
      </c>
      <c r="AA162" s="634">
        <f>+(EMD!Z21)/(AA2*24)</f>
        <v>13.526778295074983</v>
      </c>
      <c r="AB162" s="445">
        <f>+((N162*N2)+(Z162*Z2))/AB2</f>
        <v>13.519797358834246</v>
      </c>
      <c r="AC162" s="725">
        <f>+(EMD!AB21)/(AC2*24)</f>
        <v>13.365993333333334</v>
      </c>
      <c r="AD162" s="1232">
        <f>+(EMD!AC21)/(AD2*24)</f>
        <v>13.59274193548387</v>
      </c>
      <c r="AE162" s="51">
        <f>+(EMD!AD21)/(AE2*24)</f>
        <v>13.503487015570352</v>
      </c>
      <c r="AF162" s="101">
        <f>+(EMD!AE21)/(AF2*24)</f>
        <v>13.53036409657321</v>
      </c>
      <c r="AG162" s="725">
        <f>+(EMD!AF21)/(AG2*24)</f>
        <v>13.365993333333334</v>
      </c>
      <c r="AH162" s="1232">
        <f>+(EMD!AG21)/(AH2*24)</f>
        <v>13.542083333333332</v>
      </c>
      <c r="AI162" s="51">
        <f>+(EMD!AH21)/(AI2*24)</f>
        <v>13.48658205463957</v>
      </c>
      <c r="AJ162" s="101">
        <f>+(EMD!AI21)/(AJ2*24)</f>
        <v>13.5318049863388</v>
      </c>
      <c r="AK162" s="725">
        <f>+(EMD!AJ21)/(AK2*24)</f>
        <v>13.365993333333334</v>
      </c>
      <c r="AL162" s="1232">
        <f>+(EMD!AK21)/(AL2*24)</f>
        <v>13.422594086021505</v>
      </c>
      <c r="AM162" s="75">
        <f>+(EMD!AL21)/(AM2*24)</f>
        <v>13.365993333333332</v>
      </c>
      <c r="AN162" s="109">
        <f>+(EMD!AM21)/(AN2*24)</f>
        <v>13.518890398550724</v>
      </c>
      <c r="AO162" s="51">
        <f>+(EMD!AN21)/(AO2*24)</f>
        <v>13.472988416965048</v>
      </c>
      <c r="AP162" s="103">
        <f>+(EMD!AO21)/(AP2*24)</f>
        <v>13.519493939393943</v>
      </c>
      <c r="AQ162" s="725">
        <f>+(EMD!AP21)/(AQ2*24)</f>
        <v>13.365993333333334</v>
      </c>
      <c r="AR162" s="1232">
        <f>+(EMD!AQ21)/(AR2*24)</f>
        <v>13.924408602150537</v>
      </c>
      <c r="AS162" s="51">
        <f>+(EMD!AR21)/(AS2*24)</f>
        <v>13.462149045747456</v>
      </c>
      <c r="AT162" s="101">
        <f>+(EMD!AS21)/(AT2*24)</f>
        <v>13.560514705882355</v>
      </c>
      <c r="AU162" s="725">
        <f>+(EMD!AT21)/(AU2*24)</f>
        <v>13.365993333333332</v>
      </c>
      <c r="AV162" s="1232">
        <f>+(EMD!AU21)/(AV2*24)</f>
        <v>14.532633928571428</v>
      </c>
      <c r="AW162" s="51">
        <f>+(EMD!AV21)/(AW2*24)</f>
        <v>13.454088087820525</v>
      </c>
      <c r="AX162" s="101">
        <f>+(EMD!AW21)/(AX2*24)</f>
        <v>13.642009730538923</v>
      </c>
      <c r="AY162" s="725">
        <f>+(EMD!AX21)/(AY2*24)</f>
        <v>13.365993333333334</v>
      </c>
      <c r="AZ162" s="1232">
        <f>+(EMD!AY21)/(AZ2*24)</f>
        <v>14.55869623655914</v>
      </c>
      <c r="BA162" s="75">
        <f>+(EMD!AZ21)/(BA2*24)</f>
        <v>13.365993333333332</v>
      </c>
      <c r="BB162" s="109">
        <f>+(EMD!BA21)/(BB2*24)</f>
        <v>14.332111111111111</v>
      </c>
      <c r="BC162" s="634">
        <f>+(EMD!BB21)/(BC2*24)</f>
        <v>13.365993333333332</v>
      </c>
      <c r="BD162" s="448">
        <f>+(EMD!BC21)/(BD2*24)</f>
        <v>13.921032509157509</v>
      </c>
      <c r="BE162" s="51">
        <f>+(EMD!BD21)/(BE2*24)</f>
        <v>13.446606067576406</v>
      </c>
      <c r="BF162" s="103">
        <f>+(EMD!BE21)/(BF2*24)</f>
        <v>13.719865296803654</v>
      </c>
      <c r="BG162" s="1137"/>
      <c r="BH162" s="1137"/>
      <c r="BI162" s="1137"/>
      <c r="BJ162" s="1137"/>
      <c r="BK162" s="1137"/>
      <c r="BL162" s="25"/>
      <c r="BM162" s="25"/>
      <c r="BN162" s="25"/>
    </row>
    <row r="163" spans="1:66" x14ac:dyDescent="0.25">
      <c r="A163" s="1440">
        <v>0.77013299999999996</v>
      </c>
      <c r="B163" s="1802" t="s">
        <v>749</v>
      </c>
      <c r="C163" s="1306" t="s">
        <v>213</v>
      </c>
      <c r="D163" s="3407">
        <v>13715923.279999999</v>
      </c>
      <c r="E163" s="7644">
        <f>+'POWER DISTRIBUTION'!I35</f>
        <v>1144859.52</v>
      </c>
      <c r="F163" s="470">
        <f>+'POWER DISTRIBUTION'!J35</f>
        <v>1090654.0000000007</v>
      </c>
      <c r="G163" s="5576">
        <f>+'POWER DISTRIBUTION'!K35</f>
        <v>1243635.68</v>
      </c>
      <c r="H163" s="470">
        <f>+'POWER DISTRIBUTION'!L35</f>
        <v>1231879.1000000001</v>
      </c>
      <c r="I163" s="2403">
        <f>+'POWER DISTRIBUTION'!M35</f>
        <v>2388495.2000000002</v>
      </c>
      <c r="J163" s="37">
        <f>+'POWER DISTRIBUTION'!N35</f>
        <v>2322533.1000000006</v>
      </c>
      <c r="K163" s="5672">
        <f>+'POWER DISTRIBUTION'!O35</f>
        <v>1154395.2</v>
      </c>
      <c r="L163" s="470">
        <f>+'POWER DISTRIBUTION'!P35</f>
        <v>1198690</v>
      </c>
      <c r="M163" s="2405">
        <f>+'POWER DISTRIBUTION'!Q35</f>
        <v>3542890.4000000004</v>
      </c>
      <c r="N163" s="117">
        <f>+L163+H163+F163</f>
        <v>3521223.1000000006</v>
      </c>
      <c r="O163" s="5828">
        <f>+'POWER DISTRIBUTION'!S35</f>
        <v>1192875.04</v>
      </c>
      <c r="P163" s="470">
        <f>+'POWER DISTRIBUTION'!T35</f>
        <v>1201692</v>
      </c>
      <c r="Q163" s="2403">
        <f>+'POWER DISTRIBUTION'!U35</f>
        <v>4735765.4400000004</v>
      </c>
      <c r="R163" s="37">
        <f>+'POWER DISTRIBUTION'!V35</f>
        <v>4722915.1000000006</v>
      </c>
      <c r="S163" s="5905">
        <f>+'POWER DISTRIBUTION'!W35</f>
        <v>1192875.04</v>
      </c>
      <c r="T163" s="470">
        <f>+'POWER DISTRIBUTION'!X35</f>
        <v>1172043</v>
      </c>
      <c r="U163" s="4321">
        <f>+'POWER DISTRIBUTION'!Y35</f>
        <v>5928640.4800000004</v>
      </c>
      <c r="V163" s="37">
        <f>+'POWER DISTRIBUTION'!Z35</f>
        <v>5894958.1000000006</v>
      </c>
      <c r="W163" s="5999">
        <f>+'POWER DISTRIBUTION'!AA35</f>
        <v>1131061.68</v>
      </c>
      <c r="X163" s="470">
        <f>+'POWER DISTRIBUTION'!AB35</f>
        <v>1117056.9999999995</v>
      </c>
      <c r="Y163" s="2405">
        <f>+'POWER DISTRIBUTION'!AC35</f>
        <v>3516811.76</v>
      </c>
      <c r="Z163" s="81">
        <f>+P163+T163+X163</f>
        <v>3490791.9999999995</v>
      </c>
      <c r="AA163" s="608">
        <f>+'POWER DISTRIBUTION'!AE35</f>
        <v>7059702.1600000001</v>
      </c>
      <c r="AB163" s="428">
        <f>+N163+Z163</f>
        <v>7012015.0999999996</v>
      </c>
      <c r="AC163" s="6130">
        <f>+'POWER DISTRIBUTION'!AG35</f>
        <v>1192875.04</v>
      </c>
      <c r="AD163" s="470">
        <f>+'POWER DISTRIBUTION'!AH35</f>
        <v>1136315.9999999995</v>
      </c>
      <c r="AE163" s="2428">
        <f>+'POWER DISTRIBUTION'!AI35</f>
        <v>8252577.2000000002</v>
      </c>
      <c r="AF163" s="37">
        <f>+'POWER DISTRIBUTION'!AJ35</f>
        <v>8148331.0999999996</v>
      </c>
      <c r="AG163" s="6292">
        <f>+'POWER DISTRIBUTION'!AK35</f>
        <v>1154395.2</v>
      </c>
      <c r="AH163" s="470">
        <f>+'POWER DISTRIBUTION'!AL35</f>
        <v>1129714.0000000007</v>
      </c>
      <c r="AI163" s="2475">
        <f>+'POWER DISTRIBUTION'!AM35</f>
        <v>9406972.4000000004</v>
      </c>
      <c r="AJ163" s="37">
        <f>+'POWER DISTRIBUTION'!AN35</f>
        <v>9278045.0999999996</v>
      </c>
      <c r="AK163" s="6561">
        <f>+'POWER DISTRIBUTION'!AO35</f>
        <v>1192875.04</v>
      </c>
      <c r="AL163" s="470">
        <f>+'POWER DISTRIBUTION'!AP35</f>
        <v>1098775.9999999995</v>
      </c>
      <c r="AM163" s="2532">
        <f>+'POWER DISTRIBUTION'!AQ35</f>
        <v>3540145.2800000003</v>
      </c>
      <c r="AN163" s="2532">
        <f>+'POWER DISTRIBUTION'!AR35</f>
        <v>3364805.9999999995</v>
      </c>
      <c r="AO163" s="2530">
        <f>+'POWER DISTRIBUTION'!AS35</f>
        <v>10599847.440000001</v>
      </c>
      <c r="AP163" s="37">
        <f>+'POWER DISTRIBUTION'!AT35</f>
        <v>10376821.1</v>
      </c>
      <c r="AQ163" s="6638">
        <f>+'POWER DISTRIBUTION'!AU35</f>
        <v>1192875.04</v>
      </c>
      <c r="AR163" s="470">
        <f>+'POWER DISTRIBUTION'!AV35</f>
        <v>1079565.9999999998</v>
      </c>
      <c r="AS163" s="2591">
        <f>+'POWER DISTRIBUTION'!AW35</f>
        <v>11792722.48</v>
      </c>
      <c r="AT163" s="37">
        <f>+'POWER DISTRIBUTION'!AX35</f>
        <v>11456387.1</v>
      </c>
      <c r="AU163" s="6823">
        <f>+'POWER DISTRIBUTION'!AY35</f>
        <v>1077435.52</v>
      </c>
      <c r="AV163" s="470">
        <f>+'POWER DISTRIBUTION'!AZ35</f>
        <v>916298.00000000081</v>
      </c>
      <c r="AW163" s="5012">
        <f>+'POWER DISTRIBUTION'!BA35</f>
        <v>12870158</v>
      </c>
      <c r="AX163" s="37">
        <f>+'POWER DISTRIBUTION'!BB35</f>
        <v>12372685.1</v>
      </c>
      <c r="AY163" s="6969">
        <f>+'POWER DISTRIBUTION'!BC35</f>
        <v>1192875.04</v>
      </c>
      <c r="AZ163" s="470">
        <f>+'POWER DISTRIBUTION'!BD35</f>
        <v>1084823.9999999988</v>
      </c>
      <c r="BA163" s="2877">
        <f>+'POWER DISTRIBUTION'!BE35</f>
        <v>3463185.6</v>
      </c>
      <c r="BB163" s="67">
        <f>+'POWER DISTRIBUTION'!BF35</f>
        <v>3080687.9999999991</v>
      </c>
      <c r="BC163" s="608">
        <f>+'POWER DISTRIBUTION'!BG35</f>
        <v>7003330.8800000008</v>
      </c>
      <c r="BD163" s="428">
        <f>+'POWER DISTRIBUTION'!BH35</f>
        <v>6445493.9999999981</v>
      </c>
      <c r="BE163" s="2876">
        <f>+'POWER DISTRIBUTION'!BI35</f>
        <v>14063033.039999999</v>
      </c>
      <c r="BF163" s="37">
        <f>+'POWER DISTRIBUTION'!BJ35</f>
        <v>13457509.099999998</v>
      </c>
      <c r="BG163" s="1137">
        <f t="shared" si="746"/>
        <v>0</v>
      </c>
      <c r="BH163" s="1137">
        <f t="shared" si="747"/>
        <v>0</v>
      </c>
      <c r="BI163" s="1137"/>
      <c r="BJ163" s="1137">
        <f t="shared" si="754"/>
        <v>0</v>
      </c>
      <c r="BK163" s="1137">
        <f t="shared" si="755"/>
        <v>0</v>
      </c>
      <c r="BL163" s="25"/>
      <c r="BM163" s="25"/>
      <c r="BN163" s="25"/>
    </row>
    <row r="164" spans="1:66" x14ac:dyDescent="0.25">
      <c r="A164" s="138"/>
      <c r="B164" s="1802" t="s">
        <v>750</v>
      </c>
      <c r="C164" s="1306" t="s">
        <v>1711</v>
      </c>
      <c r="D164" s="372">
        <f t="shared" ref="D164:AI164" si="821">+D163/D17</f>
        <v>22.637750525180266</v>
      </c>
      <c r="E164" s="725">
        <f t="shared" si="821"/>
        <v>22.64</v>
      </c>
      <c r="F164" s="125">
        <f t="shared" si="821"/>
        <v>21.568066761588369</v>
      </c>
      <c r="G164" s="725">
        <f t="shared" si="821"/>
        <v>23.8</v>
      </c>
      <c r="H164" s="125">
        <f t="shared" si="821"/>
        <v>23.668498977850877</v>
      </c>
      <c r="I164" s="51">
        <f t="shared" si="821"/>
        <v>23.229508196721312</v>
      </c>
      <c r="J164" s="103">
        <f t="shared" si="821"/>
        <v>22.633421754282022</v>
      </c>
      <c r="K164" s="725">
        <f t="shared" si="821"/>
        <v>23.8</v>
      </c>
      <c r="L164" s="125">
        <f t="shared" si="821"/>
        <v>24.181568032535548</v>
      </c>
      <c r="M164" s="75">
        <f t="shared" si="821"/>
        <v>23.412366446919755</v>
      </c>
      <c r="N164" s="109">
        <f t="shared" si="821"/>
        <v>23.137689111190554</v>
      </c>
      <c r="O164" s="725">
        <f t="shared" si="821"/>
        <v>23.800000000000004</v>
      </c>
      <c r="P164" s="125">
        <f t="shared" si="821"/>
        <v>23.61927449407991</v>
      </c>
      <c r="Q164" s="51">
        <f t="shared" si="821"/>
        <v>23.508811475409839</v>
      </c>
      <c r="R164" s="103">
        <f t="shared" si="821"/>
        <v>23.25835060217706</v>
      </c>
      <c r="S164" s="725">
        <f t="shared" si="821"/>
        <v>23.800000000000004</v>
      </c>
      <c r="T164" s="125">
        <f t="shared" si="821"/>
        <v>22.429899566728416</v>
      </c>
      <c r="U164" s="51">
        <f t="shared" si="821"/>
        <v>23.566826199917958</v>
      </c>
      <c r="V164" s="103">
        <f t="shared" si="821"/>
        <v>23.088798308611111</v>
      </c>
      <c r="W164" s="725">
        <f t="shared" si="821"/>
        <v>23.8</v>
      </c>
      <c r="X164" s="125">
        <f t="shared" si="821"/>
        <v>22.090195380477763</v>
      </c>
      <c r="Y164" s="75">
        <f t="shared" si="821"/>
        <v>23.8</v>
      </c>
      <c r="Z164" s="109">
        <f t="shared" si="821"/>
        <v>22.711842351814447</v>
      </c>
      <c r="AA164" s="634">
        <f t="shared" si="821"/>
        <v>23.603876013571799</v>
      </c>
      <c r="AB164" s="448">
        <f t="shared" si="821"/>
        <v>22.923712129533733</v>
      </c>
      <c r="AC164" s="725">
        <f t="shared" si="821"/>
        <v>23.800000000000004</v>
      </c>
      <c r="AD164" s="125">
        <f t="shared" si="821"/>
        <v>22.073131881366592</v>
      </c>
      <c r="AE164" s="51">
        <f t="shared" si="821"/>
        <v>23.63202482391765</v>
      </c>
      <c r="AF164" s="103">
        <f t="shared" si="821"/>
        <v>22.801183050130344</v>
      </c>
      <c r="AG164" s="725">
        <f t="shared" si="821"/>
        <v>23.8</v>
      </c>
      <c r="AH164" s="125">
        <f t="shared" si="821"/>
        <v>23.233479487664642</v>
      </c>
      <c r="AI164" s="51">
        <f t="shared" si="821"/>
        <v>23.652510487393506</v>
      </c>
      <c r="AJ164" s="103">
        <f t="shared" ref="AJ164:BF164" si="822">+AJ163/AJ17</f>
        <v>22.852958258947044</v>
      </c>
      <c r="AK164" s="725">
        <f t="shared" si="822"/>
        <v>23.800000000000004</v>
      </c>
      <c r="AL164" s="125">
        <f t="shared" si="822"/>
        <v>21.900008769761854</v>
      </c>
      <c r="AM164" s="75">
        <f t="shared" si="822"/>
        <v>23.800000000000004</v>
      </c>
      <c r="AN164" s="109">
        <f t="shared" si="822"/>
        <v>22.3907812537431</v>
      </c>
      <c r="AO164" s="51">
        <f t="shared" si="822"/>
        <v>23.66901716787649</v>
      </c>
      <c r="AP164" s="103">
        <f t="shared" si="822"/>
        <v>22.748144954020642</v>
      </c>
      <c r="AQ164" s="725">
        <f t="shared" si="822"/>
        <v>23.800000000000004</v>
      </c>
      <c r="AR164" s="125">
        <f t="shared" si="822"/>
        <v>21.348797658598318</v>
      </c>
      <c r="AS164" s="51">
        <f t="shared" si="822"/>
        <v>23.682200960243172</v>
      </c>
      <c r="AT164" s="103">
        <f t="shared" si="822"/>
        <v>22.608499964083382</v>
      </c>
      <c r="AU164" s="725">
        <f t="shared" si="822"/>
        <v>23.8</v>
      </c>
      <c r="AV164" s="125">
        <f t="shared" si="822"/>
        <v>20.148691200788111</v>
      </c>
      <c r="AW164" s="51">
        <f t="shared" si="822"/>
        <v>23.692017857708262</v>
      </c>
      <c r="AX164" s="103">
        <f t="shared" si="822"/>
        <v>22.4059229707754</v>
      </c>
      <c r="AY164" s="725">
        <f t="shared" si="822"/>
        <v>23.800000000000004</v>
      </c>
      <c r="AZ164" s="125">
        <f t="shared" si="822"/>
        <v>20.760751412342859</v>
      </c>
      <c r="BA164" s="75">
        <f t="shared" si="822"/>
        <v>23.8</v>
      </c>
      <c r="BB164" s="109">
        <f t="shared" si="822"/>
        <v>20.77357543978896</v>
      </c>
      <c r="BC164" s="634">
        <f t="shared" si="822"/>
        <v>23.800000000000004</v>
      </c>
      <c r="BD164" s="448">
        <f t="shared" si="822"/>
        <v>21.58753518381323</v>
      </c>
      <c r="BE164" s="51">
        <f t="shared" si="822"/>
        <v>23.701139229498214</v>
      </c>
      <c r="BF164" s="103">
        <f t="shared" si="822"/>
        <v>22.263703149060746</v>
      </c>
      <c r="BG164" s="1137"/>
      <c r="BH164" s="1137"/>
      <c r="BI164" s="1137"/>
      <c r="BJ164" s="1137"/>
      <c r="BK164" s="1137"/>
      <c r="BL164" s="25"/>
      <c r="BM164" s="25"/>
      <c r="BN164" s="25"/>
    </row>
    <row r="165" spans="1:66" ht="15.75" thickBot="1" x14ac:dyDescent="0.3">
      <c r="A165" s="138"/>
      <c r="B165" s="1803" t="s">
        <v>217</v>
      </c>
      <c r="C165" s="1325" t="s">
        <v>1048</v>
      </c>
      <c r="D165" s="7649">
        <v>0.74</v>
      </c>
      <c r="E165" s="741">
        <v>0.74</v>
      </c>
      <c r="F165" s="364">
        <v>0.77600000000000002</v>
      </c>
      <c r="G165" s="741">
        <v>0.85644299240626509</v>
      </c>
      <c r="H165" s="364">
        <v>0.7</v>
      </c>
      <c r="I165" s="368">
        <f>+((E165*E17)+(G165*G17))/I17</f>
        <v>0.79917594696056082</v>
      </c>
      <c r="J165" s="368">
        <f>+((F165*F17)+(H165*H17))/J17</f>
        <v>0.73745222929936294</v>
      </c>
      <c r="K165" s="741">
        <v>0.8382680133597229</v>
      </c>
      <c r="L165" s="364">
        <v>0.71</v>
      </c>
      <c r="M165" s="1480">
        <f>+((E165*E17)+(G165*G17)+(K165*K17))/M17</f>
        <v>0.81170602507440914</v>
      </c>
      <c r="N165" s="1480">
        <f>+((F165*F17)+(H165*H17)+(L165*L17))/N17</f>
        <v>0.72851039783001814</v>
      </c>
      <c r="O165" s="741">
        <v>0.8382680133597229</v>
      </c>
      <c r="P165" s="364">
        <v>0.73199999999999998</v>
      </c>
      <c r="Q165" s="368">
        <f>+((M165*M17)+(O165*O17))/Q17</f>
        <v>0.81831477113515072</v>
      </c>
      <c r="R165" s="368">
        <f>+((N165*N17)+(P165*P17))/R17</f>
        <v>0.72938471963408436</v>
      </c>
      <c r="S165" s="741">
        <v>0.8382680133597229</v>
      </c>
      <c r="T165" s="364">
        <v>0.72699999999999998</v>
      </c>
      <c r="U165" s="368">
        <f>+((Q165*Q17)+(S165*S17))/U17</f>
        <v>0.82229014019315727</v>
      </c>
      <c r="V165" s="368">
        <f>+((R165*R17)+(T165*T17))/V17</f>
        <v>0.72889665858259234</v>
      </c>
      <c r="W165" s="741">
        <v>0.82908185402621015</v>
      </c>
      <c r="X165" s="364">
        <v>0.72499999999999998</v>
      </c>
      <c r="Y165" s="369">
        <f>+((O165*O17)+(S165*S17)+(W165*W17))/Y17</f>
        <v>0.83531360080722672</v>
      </c>
      <c r="Z165" s="369">
        <f>+((P165*P17)+(T165*T17)+(X165*X17))/Z17</f>
        <v>0.72799709042076988</v>
      </c>
      <c r="AA165" s="2413">
        <f>+((M165*M17)+(Y165*Y17))/AA17</f>
        <v>0.82336929973773854</v>
      </c>
      <c r="AB165" s="2413">
        <f>+((N165*N17)+(Z165*Z17))/AB17-0.001</f>
        <v>0.72725247413405303</v>
      </c>
      <c r="AC165" s="741">
        <v>0.8382680133597229</v>
      </c>
      <c r="AD165" s="364">
        <v>0.73799999999999999</v>
      </c>
      <c r="AE165" s="1776">
        <f>+((AA165*AA17)+(AC165*AC17))/AE17</f>
        <v>0.82550764636111751</v>
      </c>
      <c r="AF165" s="1776">
        <f>+((AB165*AB17)+(AD165*AD17))/AF17</f>
        <v>0.72880069307407236</v>
      </c>
      <c r="AG165" s="741">
        <v>0.8382680133597229</v>
      </c>
      <c r="AH165" s="364">
        <v>0.753</v>
      </c>
      <c r="AI165" s="1776">
        <f>+((AE165*AE17)+(AG165*AG17))/AI17</f>
        <v>0.82706385597648169</v>
      </c>
      <c r="AJ165" s="1776">
        <f>+((AF165*AF17)+(AH165*AH17))/AJ17+0.001</f>
        <v>0.73269899169632269</v>
      </c>
      <c r="AK165" s="741">
        <v>0.8382680133597229</v>
      </c>
      <c r="AL165" s="364">
        <v>0.74650000000000005</v>
      </c>
      <c r="AM165" s="371">
        <f>+$D$165</f>
        <v>0.74</v>
      </c>
      <c r="AN165" s="369">
        <f>+((AD165*AD17)+(AH165*AH17)+(AL165*AL17))/AN17</f>
        <v>0.74569137003548125</v>
      </c>
      <c r="AO165" s="1776">
        <f>+((AK165*AK17)+(AI165*AI17))/AO17</f>
        <v>0.82831779900427926</v>
      </c>
      <c r="AP165" s="1776">
        <f>+((AL165*AL17)+(AJ165*AJ17))/AP17-0.001</f>
        <v>0.73321694129180648</v>
      </c>
      <c r="AQ165" s="741">
        <v>0.8382680133597229</v>
      </c>
      <c r="AR165" s="364">
        <v>0.86699999999999999</v>
      </c>
      <c r="AS165" s="1776">
        <f>+((AO165*AO17)+(AQ165*AQ17))/AS17</f>
        <v>0.82931931621030885</v>
      </c>
      <c r="AT165" s="1776">
        <f>+((AP165*AP17)+(AR165*AR17))/AT17</f>
        <v>0.74656754692644522</v>
      </c>
      <c r="AU165" s="741">
        <v>0.83799999999999997</v>
      </c>
      <c r="AV165" s="364">
        <v>0.90900000000000003</v>
      </c>
      <c r="AW165" s="1776">
        <f>+((AS165*AS17)+(AU165*AU17))/AW17</f>
        <v>0.83004272943053703</v>
      </c>
      <c r="AX165" s="1776">
        <f>+((AT165*AT17)+(AV165*AV17))/AX17</f>
        <v>0.7599446347920884</v>
      </c>
      <c r="AY165" s="741">
        <v>0.8382680133597229</v>
      </c>
      <c r="AZ165" s="364">
        <v>0.877</v>
      </c>
      <c r="BA165" s="369">
        <f>+((AQ165*AQ17)+(AU165*AU17)+(AY165*AY17))/BA17</f>
        <v>0.83818463142558686</v>
      </c>
      <c r="BB165" s="369">
        <f>+((AR165*AR17)+(AV165*AV17)+(AZ165*AZ17))/BB17</f>
        <v>0.88340315472048259</v>
      </c>
      <c r="BC165" s="2413">
        <f>+((AM165*AM17)+(BA165*BA17))/BC17</f>
        <v>0.78855283971594947</v>
      </c>
      <c r="BD165" s="2413">
        <f>+((AN165*AN17)+(BB165*BB17))/BD17</f>
        <v>0.81409110547842611</v>
      </c>
      <c r="BE165" s="1776">
        <f>+((AW165*AW17)+(AY165*AY17))/BE17</f>
        <v>0.8307375283223144</v>
      </c>
      <c r="BF165" s="1776">
        <f>+((AX165*AX17)+(AZ165*AZ17))/BF17</f>
        <v>0.77006369689554111</v>
      </c>
      <c r="BG165" s="1137"/>
      <c r="BH165" s="1137"/>
      <c r="BI165" s="1137"/>
      <c r="BJ165" s="1137"/>
      <c r="BK165" s="1137"/>
      <c r="BL165" s="25"/>
      <c r="BM165" s="25"/>
      <c r="BN165" s="25"/>
    </row>
    <row r="166" spans="1:66" ht="19.5" thickBot="1" x14ac:dyDescent="0.3">
      <c r="B166" s="1775" t="s">
        <v>208</v>
      </c>
      <c r="C166" s="1751"/>
      <c r="D166" s="1751"/>
      <c r="E166" s="1751"/>
      <c r="F166" s="1751"/>
      <c r="G166" s="1751"/>
      <c r="H166" s="1751"/>
      <c r="I166" s="1751"/>
      <c r="J166" s="1751"/>
      <c r="K166" s="1751"/>
      <c r="L166" s="1751"/>
      <c r="M166" s="1751"/>
      <c r="N166" s="1751"/>
      <c r="O166" s="1751"/>
      <c r="P166" s="1751"/>
      <c r="Q166" s="1751"/>
      <c r="R166" s="1751"/>
      <c r="S166" s="1751"/>
      <c r="T166" s="1751"/>
      <c r="U166" s="1751"/>
      <c r="V166" s="1751"/>
      <c r="W166" s="1751"/>
      <c r="X166" s="1751"/>
      <c r="Y166" s="1777"/>
      <c r="Z166" s="1777"/>
      <c r="AA166" s="2412"/>
      <c r="AB166" s="1778"/>
      <c r="AC166" s="1751"/>
      <c r="AD166" s="1751"/>
      <c r="AE166" s="1751"/>
      <c r="AF166" s="1752"/>
      <c r="AG166" s="1751"/>
      <c r="AH166" s="1751"/>
      <c r="AI166" s="1751"/>
      <c r="AJ166" s="1752"/>
      <c r="AK166" s="1751"/>
      <c r="AL166" s="1751"/>
      <c r="AM166" s="1777"/>
      <c r="AN166" s="1777"/>
      <c r="AO166" s="1751"/>
      <c r="AP166" s="1752"/>
      <c r="AQ166" s="1751"/>
      <c r="AR166" s="1751"/>
      <c r="AS166" s="1751"/>
      <c r="AT166" s="1752"/>
      <c r="AU166" s="1751"/>
      <c r="AV166" s="1751"/>
      <c r="AW166" s="1751"/>
      <c r="AX166" s="1752"/>
      <c r="AY166" s="1751"/>
      <c r="AZ166" s="1751"/>
      <c r="BA166" s="1777"/>
      <c r="BB166" s="1777"/>
      <c r="BC166" s="2412"/>
      <c r="BD166" s="1778"/>
      <c r="BE166" s="1751"/>
      <c r="BF166" s="1752"/>
      <c r="BG166" s="1137"/>
      <c r="BH166" s="1137"/>
      <c r="BI166" s="1137"/>
      <c r="BJ166" s="1137"/>
      <c r="BK166" s="1137"/>
      <c r="BL166" s="25"/>
      <c r="BM166" s="25"/>
      <c r="BN166" s="25"/>
    </row>
    <row r="167" spans="1:66" ht="21" thickBot="1" x14ac:dyDescent="0.3">
      <c r="B167" s="1815" t="s">
        <v>196</v>
      </c>
      <c r="C167" s="1751"/>
      <c r="D167" s="1751"/>
      <c r="E167" s="1751"/>
      <c r="F167" s="1751"/>
      <c r="G167" s="1751"/>
      <c r="H167" s="1751"/>
      <c r="I167" s="1751"/>
      <c r="J167" s="1751"/>
      <c r="K167" s="1751"/>
      <c r="L167" s="1751"/>
      <c r="M167" s="1751"/>
      <c r="N167" s="1751"/>
      <c r="O167" s="1751"/>
      <c r="P167" s="1751"/>
      <c r="Q167" s="1751"/>
      <c r="R167" s="1751"/>
      <c r="S167" s="1751"/>
      <c r="T167" s="1751"/>
      <c r="U167" s="1751"/>
      <c r="V167" s="1751"/>
      <c r="W167" s="1751"/>
      <c r="X167" s="1751"/>
      <c r="Y167" s="1751"/>
      <c r="Z167" s="1751"/>
      <c r="AA167" s="2351"/>
      <c r="AB167" s="1752"/>
      <c r="AC167" s="1751"/>
      <c r="AD167" s="1751"/>
      <c r="AE167" s="1751"/>
      <c r="AF167" s="1752"/>
      <c r="AG167" s="1751"/>
      <c r="AH167" s="1751"/>
      <c r="AI167" s="1751"/>
      <c r="AJ167" s="1752"/>
      <c r="AK167" s="1751"/>
      <c r="AL167" s="1751"/>
      <c r="AM167" s="1751"/>
      <c r="AN167" s="1751"/>
      <c r="AO167" s="1751"/>
      <c r="AP167" s="1752"/>
      <c r="AQ167" s="1751"/>
      <c r="AR167" s="1751"/>
      <c r="AS167" s="1751"/>
      <c r="AT167" s="1752"/>
      <c r="AU167" s="1751"/>
      <c r="AV167" s="1751"/>
      <c r="AW167" s="1751"/>
      <c r="AX167" s="1752"/>
      <c r="AY167" s="1751"/>
      <c r="AZ167" s="1751"/>
      <c r="BA167" s="1751"/>
      <c r="BB167" s="1751"/>
      <c r="BC167" s="2351"/>
      <c r="BD167" s="1752"/>
      <c r="BE167" s="1751"/>
      <c r="BF167" s="1752"/>
      <c r="BG167" s="1137"/>
      <c r="BH167" s="1137"/>
      <c r="BI167" s="1137"/>
      <c r="BJ167" s="1137"/>
      <c r="BK167" s="1137"/>
      <c r="BL167" s="25"/>
      <c r="BM167" s="25"/>
      <c r="BN167" s="25"/>
    </row>
    <row r="168" spans="1:66" x14ac:dyDescent="0.25">
      <c r="B168" s="1797" t="s">
        <v>194</v>
      </c>
      <c r="C168" s="1243" t="s">
        <v>49</v>
      </c>
      <c r="D168" s="1798">
        <f t="shared" ref="D168:AI168" si="823">+D114/D122*100</f>
        <v>70.038482682792733</v>
      </c>
      <c r="E168" s="719">
        <f t="shared" si="823"/>
        <v>70.038482682792747</v>
      </c>
      <c r="F168" s="1799">
        <f t="shared" si="823"/>
        <v>69.999999609300659</v>
      </c>
      <c r="G168" s="719">
        <f t="shared" si="823"/>
        <v>74.226804123711332</v>
      </c>
      <c r="H168" s="1799">
        <f t="shared" si="823"/>
        <v>70.99999761388338</v>
      </c>
      <c r="I168" s="720">
        <f t="shared" si="823"/>
        <v>73.964729577049667</v>
      </c>
      <c r="J168" s="1800">
        <f t="shared" si="823"/>
        <v>70.50577267762263</v>
      </c>
      <c r="K168" s="719">
        <f t="shared" si="823"/>
        <v>74.226804123711347</v>
      </c>
      <c r="L168" s="1799">
        <f t="shared" si="823"/>
        <v>70.999995215553483</v>
      </c>
      <c r="M168" s="1467">
        <f t="shared" si="823"/>
        <v>74.052124942701852</v>
      </c>
      <c r="N168" s="1801">
        <f t="shared" si="823"/>
        <v>70.669277371972001</v>
      </c>
      <c r="O168" s="719">
        <f t="shared" si="823"/>
        <v>74.226804123711332</v>
      </c>
      <c r="P168" s="1799">
        <f t="shared" si="823"/>
        <v>71.000006296860505</v>
      </c>
      <c r="Q168" s="720">
        <f t="shared" si="823"/>
        <v>74.096891626995244</v>
      </c>
      <c r="R168" s="1800">
        <f t="shared" si="823"/>
        <v>70.753875389708355</v>
      </c>
      <c r="S168" s="719">
        <f t="shared" si="823"/>
        <v>74.226804123711332</v>
      </c>
      <c r="T168" s="1799">
        <f t="shared" si="823"/>
        <v>71.000000188889203</v>
      </c>
      <c r="U168" s="720">
        <f t="shared" si="823"/>
        <v>74.12339361516544</v>
      </c>
      <c r="V168" s="1800">
        <f t="shared" si="823"/>
        <v>70.803813278693866</v>
      </c>
      <c r="W168" s="719">
        <f t="shared" si="823"/>
        <v>74.226804123711347</v>
      </c>
      <c r="X168" s="1799">
        <f t="shared" si="823"/>
        <v>70.999999902654807</v>
      </c>
      <c r="Y168" s="330">
        <f t="shared" si="823"/>
        <v>74.226804123711332</v>
      </c>
      <c r="Z168" s="330">
        <f t="shared" si="823"/>
        <v>71.000002158650517</v>
      </c>
      <c r="AA168" s="440">
        <f t="shared" si="823"/>
        <v>74.139784100620233</v>
      </c>
      <c r="AB168" s="448">
        <f t="shared" si="823"/>
        <v>70.8360808860389</v>
      </c>
      <c r="AC168" s="719">
        <f t="shared" si="823"/>
        <v>74.226804123711332</v>
      </c>
      <c r="AD168" s="1799">
        <f t="shared" si="823"/>
        <v>70.877862116770984</v>
      </c>
      <c r="AE168" s="720">
        <f t="shared" si="823"/>
        <v>74.152533735324937</v>
      </c>
      <c r="AF168" s="1800">
        <f t="shared" si="823"/>
        <v>70.84206751550424</v>
      </c>
      <c r="AG168" s="719">
        <f t="shared" si="823"/>
        <v>74.226804123711347</v>
      </c>
      <c r="AH168" s="1799">
        <f t="shared" si="823"/>
        <v>71</v>
      </c>
      <c r="AI168" s="720">
        <f t="shared" si="823"/>
        <v>74.161756656545464</v>
      </c>
      <c r="AJ168" s="1800">
        <f t="shared" ref="AJ168:BF168" si="824">+AJ114/AJ122*100</f>
        <v>70.861555598785074</v>
      </c>
      <c r="AK168" s="719">
        <f t="shared" si="824"/>
        <v>74.226804123711332</v>
      </c>
      <c r="AL168" s="1799">
        <f t="shared" si="824"/>
        <v>71</v>
      </c>
      <c r="AM168" s="330">
        <f t="shared" si="824"/>
        <v>74.226804123711347</v>
      </c>
      <c r="AN168" s="330">
        <f t="shared" si="824"/>
        <v>70.959264970498495</v>
      </c>
      <c r="AO168" s="720">
        <f t="shared" si="824"/>
        <v>74.169154267256104</v>
      </c>
      <c r="AP168" s="1800">
        <f t="shared" si="824"/>
        <v>70.877222790762133</v>
      </c>
      <c r="AQ168" s="719">
        <f t="shared" si="824"/>
        <v>74.226804123711332</v>
      </c>
      <c r="AR168" s="1799">
        <f t="shared" si="824"/>
        <v>70.000000285201509</v>
      </c>
      <c r="AS168" s="720">
        <f t="shared" si="824"/>
        <v>74.175041088115165</v>
      </c>
      <c r="AT168" s="1800">
        <f t="shared" si="824"/>
        <v>70.788751213014322</v>
      </c>
      <c r="AU168" s="719">
        <f t="shared" si="824"/>
        <v>74.226804123711332</v>
      </c>
      <c r="AV168" s="1799">
        <f t="shared" si="824"/>
        <v>69.999999264467533</v>
      </c>
      <c r="AW168" s="720">
        <f t="shared" si="824"/>
        <v>74.179412120218061</v>
      </c>
      <c r="AX168" s="1800">
        <f t="shared" si="824"/>
        <v>70.722797692964917</v>
      </c>
      <c r="AY168" s="719">
        <f t="shared" si="824"/>
        <v>74.226804123711332</v>
      </c>
      <c r="AZ168" s="1799">
        <f t="shared" si="824"/>
        <v>70</v>
      </c>
      <c r="BA168" s="330">
        <f t="shared" si="824"/>
        <v>74.226804123711332</v>
      </c>
      <c r="BB168" s="330">
        <f t="shared" si="824"/>
        <v>69.99999986945744</v>
      </c>
      <c r="BC168" s="440">
        <f t="shared" si="824"/>
        <v>74.226804123711361</v>
      </c>
      <c r="BD168" s="448">
        <f t="shared" si="824"/>
        <v>70.484893261473601</v>
      </c>
      <c r="BE168" s="720">
        <f t="shared" si="824"/>
        <v>74.183464012939808</v>
      </c>
      <c r="BF168" s="1800">
        <f t="shared" si="824"/>
        <v>70.661186627485748</v>
      </c>
      <c r="BG168" s="1137"/>
      <c r="BH168" s="1137"/>
      <c r="BI168" s="1137"/>
      <c r="BJ168" s="1137"/>
      <c r="BK168" s="1137"/>
      <c r="BL168" s="25"/>
      <c r="BM168" s="25"/>
      <c r="BN168" s="25"/>
    </row>
    <row r="169" spans="1:66" x14ac:dyDescent="0.25">
      <c r="B169" s="1756" t="s">
        <v>195</v>
      </c>
      <c r="C169" s="1306" t="s">
        <v>49</v>
      </c>
      <c r="D169" s="102">
        <f t="shared" ref="D169:AI169" si="825">+D119/D122*100</f>
        <v>25.013743815283128</v>
      </c>
      <c r="E169" s="721">
        <f t="shared" si="825"/>
        <v>25.013743815283117</v>
      </c>
      <c r="F169" s="123">
        <f t="shared" si="825"/>
        <v>24.999999999999996</v>
      </c>
      <c r="G169" s="721">
        <f t="shared" si="825"/>
        <v>25.773195876288657</v>
      </c>
      <c r="H169" s="123">
        <f t="shared" si="825"/>
        <v>23.999999999999996</v>
      </c>
      <c r="I169" s="51">
        <f t="shared" si="825"/>
        <v>26.035270422950337</v>
      </c>
      <c r="J169" s="101">
        <f t="shared" si="825"/>
        <v>24.494225922447697</v>
      </c>
      <c r="K169" s="721">
        <f t="shared" si="825"/>
        <v>25.773195876288664</v>
      </c>
      <c r="L169" s="123">
        <f t="shared" si="825"/>
        <v>24.000004296237698</v>
      </c>
      <c r="M169" s="75">
        <f t="shared" si="825"/>
        <v>25.947875057298148</v>
      </c>
      <c r="N169" s="108">
        <f t="shared" si="825"/>
        <v>24.330721529724869</v>
      </c>
      <c r="O169" s="721">
        <f t="shared" si="825"/>
        <v>25.773195876288657</v>
      </c>
      <c r="P169" s="123">
        <f t="shared" si="825"/>
        <v>23.999995112884385</v>
      </c>
      <c r="Q169" s="51">
        <f t="shared" si="825"/>
        <v>25.903108373004756</v>
      </c>
      <c r="R169" s="101">
        <f t="shared" si="825"/>
        <v>24.246124153528683</v>
      </c>
      <c r="S169" s="721">
        <f t="shared" si="825"/>
        <v>25.773195876288657</v>
      </c>
      <c r="T169" s="123">
        <f t="shared" si="825"/>
        <v>23.999999811110804</v>
      </c>
      <c r="U169" s="51">
        <f t="shared" si="825"/>
        <v>25.876606384834567</v>
      </c>
      <c r="V169" s="101">
        <f t="shared" si="825"/>
        <v>24.196186357218828</v>
      </c>
      <c r="W169" s="721">
        <f t="shared" si="825"/>
        <v>25.77319587628865</v>
      </c>
      <c r="X169" s="123">
        <f t="shared" si="825"/>
        <v>23.999999610619231</v>
      </c>
      <c r="Y169" s="330">
        <f t="shared" si="825"/>
        <v>25.773195876288657</v>
      </c>
      <c r="Z169" s="330">
        <f t="shared" si="825"/>
        <v>23.999998158798082</v>
      </c>
      <c r="AA169" s="440">
        <f t="shared" si="825"/>
        <v>25.860215899379774</v>
      </c>
      <c r="AB169" s="448">
        <f t="shared" si="825"/>
        <v>24.163918729702921</v>
      </c>
      <c r="AC169" s="721">
        <f t="shared" si="825"/>
        <v>25.773195876288657</v>
      </c>
      <c r="AD169" s="123">
        <f t="shared" si="825"/>
        <v>24.122137404580158</v>
      </c>
      <c r="AE169" s="51">
        <f t="shared" si="825"/>
        <v>25.847466264675074</v>
      </c>
      <c r="AF169" s="101">
        <f t="shared" si="825"/>
        <v>24.157932086712815</v>
      </c>
      <c r="AG169" s="721">
        <f t="shared" si="825"/>
        <v>25.773195876288664</v>
      </c>
      <c r="AH169" s="123">
        <f t="shared" si="825"/>
        <v>24</v>
      </c>
      <c r="AI169" s="51">
        <f t="shared" si="825"/>
        <v>25.838243343454536</v>
      </c>
      <c r="AJ169" s="101">
        <f t="shared" ref="AJ169:BF169" si="826">+AJ119/AJ122*100</f>
        <v>24.138444052516391</v>
      </c>
      <c r="AK169" s="721">
        <f t="shared" si="826"/>
        <v>25.773195876288657</v>
      </c>
      <c r="AL169" s="123">
        <f t="shared" si="826"/>
        <v>24</v>
      </c>
      <c r="AM169" s="330">
        <f t="shared" si="826"/>
        <v>25.773195876288657</v>
      </c>
      <c r="AN169" s="330">
        <f t="shared" si="826"/>
        <v>24.040734869864096</v>
      </c>
      <c r="AO169" s="51">
        <f t="shared" si="826"/>
        <v>25.830845732743906</v>
      </c>
      <c r="AP169" s="101">
        <f t="shared" si="826"/>
        <v>24.122776900000162</v>
      </c>
      <c r="AQ169" s="721">
        <f t="shared" si="826"/>
        <v>25.773195876288657</v>
      </c>
      <c r="AR169" s="123">
        <f t="shared" si="826"/>
        <v>24.999999762332067</v>
      </c>
      <c r="AS169" s="51">
        <f t="shared" si="826"/>
        <v>25.824958911884842</v>
      </c>
      <c r="AT169" s="101">
        <f t="shared" si="826"/>
        <v>24.211248513729842</v>
      </c>
      <c r="AU169" s="721">
        <f t="shared" si="826"/>
        <v>25.773195876288664</v>
      </c>
      <c r="AV169" s="123">
        <f t="shared" si="826"/>
        <v>25.000000262690165</v>
      </c>
      <c r="AW169" s="51">
        <f t="shared" si="826"/>
        <v>25.820587879781947</v>
      </c>
      <c r="AX169" s="101">
        <f t="shared" si="826"/>
        <v>24.277202017090318</v>
      </c>
      <c r="AY169" s="721">
        <f t="shared" si="826"/>
        <v>25.773195876288657</v>
      </c>
      <c r="AZ169" s="123">
        <f t="shared" si="826"/>
        <v>24.999999528548862</v>
      </c>
      <c r="BA169" s="330">
        <f t="shared" si="826"/>
        <v>25.773195876288664</v>
      </c>
      <c r="BB169" s="330">
        <f t="shared" si="826"/>
        <v>24.999999836821786</v>
      </c>
      <c r="BC169" s="440">
        <f t="shared" si="826"/>
        <v>25.773195876288657</v>
      </c>
      <c r="BD169" s="448">
        <f t="shared" si="826"/>
        <v>24.515106512582648</v>
      </c>
      <c r="BE169" s="51">
        <f t="shared" si="826"/>
        <v>25.816535987060174</v>
      </c>
      <c r="BF169" s="101">
        <f t="shared" si="826"/>
        <v>24.338813067097913</v>
      </c>
      <c r="BG169" s="1137"/>
      <c r="BH169" s="1137"/>
      <c r="BI169" s="1137"/>
      <c r="BJ169" s="1137"/>
      <c r="BK169" s="1137"/>
      <c r="BL169" s="25"/>
      <c r="BM169" s="25"/>
      <c r="BN169" s="25"/>
    </row>
    <row r="170" spans="1:66" ht="15.75" thickBot="1" x14ac:dyDescent="0.3">
      <c r="A170" s="138"/>
      <c r="B170" s="1786" t="s">
        <v>12</v>
      </c>
      <c r="C170" s="1307" t="s">
        <v>49</v>
      </c>
      <c r="D170" s="509">
        <f t="shared" ref="D170:J170" si="827">SUM(D168:D169)</f>
        <v>95.052226498075868</v>
      </c>
      <c r="E170" s="1291">
        <f t="shared" si="827"/>
        <v>95.052226498075868</v>
      </c>
      <c r="F170" s="507">
        <f t="shared" si="827"/>
        <v>94.999999609300659</v>
      </c>
      <c r="G170" s="1291">
        <f t="shared" ref="G170:H170" si="828">SUM(G168:G169)</f>
        <v>99.999999999999986</v>
      </c>
      <c r="H170" s="507">
        <f t="shared" si="828"/>
        <v>94.99999761388338</v>
      </c>
      <c r="I170" s="1292">
        <f t="shared" si="827"/>
        <v>100</v>
      </c>
      <c r="J170" s="508">
        <f t="shared" si="827"/>
        <v>94.999998600070327</v>
      </c>
      <c r="K170" s="1291">
        <f t="shared" ref="K170:L170" si="829">SUM(K168:K169)</f>
        <v>100.00000000000001</v>
      </c>
      <c r="L170" s="507">
        <f t="shared" si="829"/>
        <v>94.999999511791174</v>
      </c>
      <c r="M170" s="1293">
        <f t="shared" ref="M170" si="830">SUM(M168:M169)</f>
        <v>100</v>
      </c>
      <c r="N170" s="510">
        <f t="shared" ref="N170:P170" si="831">SUM(N168:N169)</f>
        <v>94.99999890169687</v>
      </c>
      <c r="O170" s="1291">
        <f t="shared" si="831"/>
        <v>99.999999999999986</v>
      </c>
      <c r="P170" s="507">
        <f t="shared" si="831"/>
        <v>95.000001409744897</v>
      </c>
      <c r="Q170" s="1292">
        <f t="shared" ref="Q170" si="832">SUM(Q168:Q169)</f>
        <v>100</v>
      </c>
      <c r="R170" s="508">
        <f t="shared" ref="R170:U170" si="833">SUM(R168:R169)</f>
        <v>94.999999543237038</v>
      </c>
      <c r="S170" s="1291">
        <f t="shared" si="833"/>
        <v>99.999999999999986</v>
      </c>
      <c r="T170" s="507">
        <f t="shared" si="833"/>
        <v>95</v>
      </c>
      <c r="U170" s="1292">
        <f t="shared" si="833"/>
        <v>100</v>
      </c>
      <c r="V170" s="508">
        <f t="shared" ref="V170:X170" si="834">SUM(V168:V169)</f>
        <v>94.999999635912701</v>
      </c>
      <c r="W170" s="1291">
        <f t="shared" si="834"/>
        <v>100</v>
      </c>
      <c r="X170" s="507">
        <f t="shared" si="834"/>
        <v>94.999999513274034</v>
      </c>
      <c r="Y170" s="588">
        <f t="shared" ref="Y170:AF170" si="835">SUM(Y168:Y169)</f>
        <v>99.999999999999986</v>
      </c>
      <c r="Z170" s="588">
        <f t="shared" si="835"/>
        <v>95.000000317448595</v>
      </c>
      <c r="AA170" s="440">
        <f t="shared" si="835"/>
        <v>100</v>
      </c>
      <c r="AB170" s="2294">
        <f t="shared" si="835"/>
        <v>94.999999615741814</v>
      </c>
      <c r="AC170" s="1291">
        <f t="shared" si="835"/>
        <v>99.999999999999986</v>
      </c>
      <c r="AD170" s="507">
        <f t="shared" si="835"/>
        <v>94.999999521351143</v>
      </c>
      <c r="AE170" s="1292">
        <f t="shared" si="835"/>
        <v>100.00000000000001</v>
      </c>
      <c r="AF170" s="508">
        <f t="shared" si="835"/>
        <v>94.999999602217059</v>
      </c>
      <c r="AG170" s="1291">
        <f t="shared" ref="AG170:AH170" si="836">SUM(AG168:AG169)</f>
        <v>100.00000000000001</v>
      </c>
      <c r="AH170" s="507">
        <f t="shared" si="836"/>
        <v>95</v>
      </c>
      <c r="AI170" s="1292">
        <f t="shared" ref="AI170:AN170" si="837">SUM(AI168:AI169)</f>
        <v>100</v>
      </c>
      <c r="AJ170" s="508">
        <f t="shared" si="837"/>
        <v>94.999999651301465</v>
      </c>
      <c r="AK170" s="1291">
        <f t="shared" si="837"/>
        <v>99.999999999999986</v>
      </c>
      <c r="AL170" s="507">
        <f t="shared" si="837"/>
        <v>95</v>
      </c>
      <c r="AM170" s="588">
        <f t="shared" si="837"/>
        <v>100</v>
      </c>
      <c r="AN170" s="588">
        <f t="shared" si="837"/>
        <v>94.999999840362591</v>
      </c>
      <c r="AO170" s="1292">
        <f t="shared" ref="AO170:AT170" si="838">SUM(AO168:AO169)</f>
        <v>100.00000000000001</v>
      </c>
      <c r="AP170" s="508">
        <f t="shared" si="838"/>
        <v>94.999999690762294</v>
      </c>
      <c r="AQ170" s="1291">
        <f t="shared" si="838"/>
        <v>99.999999999999986</v>
      </c>
      <c r="AR170" s="507">
        <f t="shared" si="838"/>
        <v>95.000000047533575</v>
      </c>
      <c r="AS170" s="1292">
        <f t="shared" si="838"/>
        <v>100</v>
      </c>
      <c r="AT170" s="508">
        <f t="shared" si="838"/>
        <v>94.999999726744164</v>
      </c>
      <c r="AU170" s="1291">
        <f t="shared" ref="AU170:AV170" si="839">SUM(AU168:AU169)</f>
        <v>100</v>
      </c>
      <c r="AV170" s="507">
        <f t="shared" si="839"/>
        <v>94.999999527157698</v>
      </c>
      <c r="AW170" s="1292">
        <f t="shared" ref="AW170:AZ170" si="840">SUM(AW168:AW169)</f>
        <v>100</v>
      </c>
      <c r="AX170" s="508">
        <f t="shared" si="840"/>
        <v>94.999999710055235</v>
      </c>
      <c r="AY170" s="1291">
        <f t="shared" si="840"/>
        <v>99.999999999999986</v>
      </c>
      <c r="AZ170" s="507">
        <f t="shared" si="840"/>
        <v>94.999999528548869</v>
      </c>
      <c r="BA170" s="588">
        <f t="shared" ref="BA170:BF170" si="841">SUM(BA168:BA169)</f>
        <v>100</v>
      </c>
      <c r="BB170" s="588">
        <f t="shared" si="841"/>
        <v>94.999999706279226</v>
      </c>
      <c r="BC170" s="440">
        <f t="shared" si="841"/>
        <v>100.00000000000001</v>
      </c>
      <c r="BD170" s="2294">
        <f t="shared" si="841"/>
        <v>94.999999774056249</v>
      </c>
      <c r="BE170" s="1292">
        <f t="shared" si="841"/>
        <v>99.999999999999986</v>
      </c>
      <c r="BF170" s="508">
        <f t="shared" si="841"/>
        <v>94.999999694583664</v>
      </c>
      <c r="BG170" s="1137"/>
      <c r="BH170" s="1137"/>
      <c r="BI170" s="1137"/>
      <c r="BJ170" s="1137"/>
      <c r="BK170" s="1137"/>
      <c r="BL170" s="25"/>
      <c r="BM170" s="25"/>
      <c r="BN170" s="25"/>
    </row>
    <row r="171" spans="1:66" ht="15.75" thickBot="1" x14ac:dyDescent="0.3">
      <c r="B171" s="1787" t="s">
        <v>2281</v>
      </c>
      <c r="C171" s="1325" t="s">
        <v>49</v>
      </c>
      <c r="D171" s="1746">
        <f>+(D121/D122)*100</f>
        <v>4.9477735019241349</v>
      </c>
      <c r="E171" s="1747">
        <f t="shared" ref="E171:F171" si="842">+(E121/E122)*100</f>
        <v>4.947773501924134</v>
      </c>
      <c r="F171" s="1748">
        <f t="shared" si="842"/>
        <v>5.0000003906993546</v>
      </c>
      <c r="G171" s="1747" t="e">
        <f>+((+#REF!+G121+#REF!)/G122)*100</f>
        <v>#REF!</v>
      </c>
      <c r="H171" s="1748" t="e">
        <f>+((+#REF!+H121+#REF!)/H122)*100</f>
        <v>#REF!</v>
      </c>
      <c r="I171" s="561" t="e">
        <f>+((+#REF!+I121+#REF!)/I122)*100</f>
        <v>#REF!</v>
      </c>
      <c r="J171" s="561" t="e">
        <f>+((+#REF!+J121+#REF!)/J122)*100</f>
        <v>#REF!</v>
      </c>
      <c r="K171" s="1747" t="e">
        <f>+((+#REF!+K121+#REF!)/K122)*100</f>
        <v>#REF!</v>
      </c>
      <c r="L171" s="1748" t="e">
        <f>+((+#REF!+L121+#REF!)/L122)*100</f>
        <v>#REF!</v>
      </c>
      <c r="M171" s="1749" t="e">
        <f>+((+#REF!+M121+#REF!)/M122)*100</f>
        <v>#REF!</v>
      </c>
      <c r="N171" s="166" t="e">
        <f>+((+#REF!+N121+#REF!)/N122)*100</f>
        <v>#REF!</v>
      </c>
      <c r="O171" s="1747" t="e">
        <f>+((+#REF!+O121+#REF!)/O122)*100</f>
        <v>#REF!</v>
      </c>
      <c r="P171" s="1748" t="e">
        <f>+((+#REF!+P121+#REF!)/P122)*100</f>
        <v>#REF!</v>
      </c>
      <c r="Q171" s="561" t="e">
        <f>+((+#REF!+Q121+#REF!)/Q122)*100</f>
        <v>#REF!</v>
      </c>
      <c r="R171" s="561" t="e">
        <f>+((+#REF!+R121+#REF!)/R122)*100</f>
        <v>#REF!</v>
      </c>
      <c r="S171" s="1747" t="e">
        <f>+((+#REF!+S121+#REF!)/S122)*100</f>
        <v>#REF!</v>
      </c>
      <c r="T171" s="1748" t="e">
        <f>+((+#REF!+T121+#REF!)/T122)*100</f>
        <v>#REF!</v>
      </c>
      <c r="U171" s="561" t="e">
        <f>+((+#REF!+U121+#REF!)/U122)*100</f>
        <v>#REF!</v>
      </c>
      <c r="V171" s="561" t="e">
        <f>+((+#REF!+V121+#REF!)/V122)*100</f>
        <v>#REF!</v>
      </c>
      <c r="W171" s="1747" t="e">
        <f>+((+#REF!+W121+#REF!)/W122)*100</f>
        <v>#REF!</v>
      </c>
      <c r="X171" s="1748" t="e">
        <f>+((+#REF!+X121+#REF!)/X122)*100</f>
        <v>#REF!</v>
      </c>
      <c r="Y171" s="330" t="e">
        <f>+((+#REF!+Y121+#REF!)/Y122)*100</f>
        <v>#REF!</v>
      </c>
      <c r="Z171" s="330" t="e">
        <f>+((+#REF!+Z121+#REF!)/Z122)*100</f>
        <v>#REF!</v>
      </c>
      <c r="AA171" s="440" t="e">
        <f>+((+#REF!+AA121+#REF!)/AA122)*100</f>
        <v>#REF!</v>
      </c>
      <c r="AB171" s="448" t="e">
        <f>+((+#REF!+AB121+#REF!)/AB122)*100</f>
        <v>#REF!</v>
      </c>
      <c r="AC171" s="1747" t="e">
        <f>+((+#REF!+AC121+#REF!)/AC122)*100</f>
        <v>#REF!</v>
      </c>
      <c r="AD171" s="1748" t="e">
        <f>+((+#REF!+AD121+#REF!)/AD122)*100</f>
        <v>#REF!</v>
      </c>
      <c r="AE171" s="561" t="e">
        <f>+((+#REF!+AE121+#REF!)/AE122)*100</f>
        <v>#REF!</v>
      </c>
      <c r="AF171" s="122" t="e">
        <f>+((+#REF!+AF121+#REF!)/AF122)*100</f>
        <v>#REF!</v>
      </c>
      <c r="AG171" s="1747" t="e">
        <f>+((+#REF!+AG121+#REF!)/AG122)*100</f>
        <v>#REF!</v>
      </c>
      <c r="AH171" s="1748" t="e">
        <f>+((+#REF!+AH121+#REF!)/AH122)*100</f>
        <v>#REF!</v>
      </c>
      <c r="AI171" s="561" t="e">
        <f>+((+#REF!+AI121+#REF!)/AI122)*100</f>
        <v>#REF!</v>
      </c>
      <c r="AJ171" s="122" t="e">
        <f>+((+#REF!+AJ121+#REF!)/AJ122)*100</f>
        <v>#REF!</v>
      </c>
      <c r="AK171" s="1747" t="e">
        <f>+((+#REF!+AK121+#REF!)/AK122)*100</f>
        <v>#REF!</v>
      </c>
      <c r="AL171" s="1748" t="e">
        <f>+((+#REF!+AL121+#REF!)/AL122)*100</f>
        <v>#REF!</v>
      </c>
      <c r="AM171" s="330" t="e">
        <f>+((+#REF!+AM121+#REF!)/AM122)*100</f>
        <v>#REF!</v>
      </c>
      <c r="AN171" s="330" t="e">
        <f>+((+#REF!+AN121+#REF!)/AN122)*100</f>
        <v>#REF!</v>
      </c>
      <c r="AO171" s="561" t="e">
        <f>+((+#REF!+AO121+#REF!)/AO122)*100</f>
        <v>#REF!</v>
      </c>
      <c r="AP171" s="122" t="e">
        <f>+((+#REF!+AP121+#REF!)/AP122)*100</f>
        <v>#REF!</v>
      </c>
      <c r="AQ171" s="1747" t="e">
        <f>+((+#REF!+AQ121+#REF!)/AQ122)*100</f>
        <v>#REF!</v>
      </c>
      <c r="AR171" s="1748" t="e">
        <f>+((+#REF!+AR121+#REF!)/AR122)*100</f>
        <v>#REF!</v>
      </c>
      <c r="AS171" s="561" t="e">
        <f>+((+#REF!+AS121+#REF!)/AS122)*100</f>
        <v>#REF!</v>
      </c>
      <c r="AT171" s="122" t="e">
        <f>+((+#REF!+AT121+#REF!)/AT122)*100</f>
        <v>#REF!</v>
      </c>
      <c r="AU171" s="1747" t="e">
        <f>+((+#REF!+AU121+#REF!)/AU122)*100</f>
        <v>#REF!</v>
      </c>
      <c r="AV171" s="1748" t="e">
        <f>+((+#REF!+AV121+#REF!)/AV122)*100</f>
        <v>#REF!</v>
      </c>
      <c r="AW171" s="561" t="e">
        <f>+((+#REF!+AW121+#REF!)/AW122)*100</f>
        <v>#REF!</v>
      </c>
      <c r="AX171" s="122" t="e">
        <f>+((+#REF!+AX121+#REF!)/AX122)*100</f>
        <v>#REF!</v>
      </c>
      <c r="AY171" s="1747" t="e">
        <f>+((+#REF!+AY121+#REF!)/AY122)*100</f>
        <v>#REF!</v>
      </c>
      <c r="AZ171" s="1748" t="e">
        <f>+((+#REF!+AZ121+#REF!)/AZ122)*100</f>
        <v>#REF!</v>
      </c>
      <c r="BA171" s="330" t="e">
        <f>+((+#REF!+BA121+#REF!)/BA122)*100</f>
        <v>#REF!</v>
      </c>
      <c r="BB171" s="330" t="e">
        <f>+((+#REF!+BB121+#REF!)/BB122)*100</f>
        <v>#REF!</v>
      </c>
      <c r="BC171" s="440" t="e">
        <f>+((+#REF!+BC121+#REF!)/BC122)*100</f>
        <v>#REF!</v>
      </c>
      <c r="BD171" s="448" t="e">
        <f>+((+#REF!+BD121+#REF!)/BD122)*100</f>
        <v>#REF!</v>
      </c>
      <c r="BE171" s="561" t="e">
        <f>+((+#REF!+BE121+#REF!)/BE122)*100</f>
        <v>#REF!</v>
      </c>
      <c r="BF171" s="122" t="e">
        <f>+((+#REF!+BF121+#REF!)/BF122)*100</f>
        <v>#REF!</v>
      </c>
      <c r="BG171" s="1137"/>
      <c r="BH171" s="1137"/>
      <c r="BI171" s="1137"/>
      <c r="BJ171" s="1137"/>
      <c r="BK171" s="1137"/>
      <c r="BL171" s="25"/>
      <c r="BM171" s="25"/>
      <c r="BN171" s="25"/>
    </row>
    <row r="172" spans="1:66" ht="18.75" x14ac:dyDescent="0.3">
      <c r="B172" s="1808" t="s">
        <v>193</v>
      </c>
      <c r="C172" s="1774"/>
      <c r="D172" s="1794"/>
      <c r="E172" s="1795"/>
      <c r="F172" s="1796"/>
      <c r="G172" s="1795"/>
      <c r="H172" s="1796"/>
      <c r="I172" s="1289"/>
      <c r="J172" s="1794"/>
      <c r="K172" s="1795"/>
      <c r="L172" s="1796"/>
      <c r="M172" s="1795"/>
      <c r="N172" s="1796"/>
      <c r="O172" s="1795"/>
      <c r="P172" s="1796"/>
      <c r="Q172" s="1289"/>
      <c r="R172" s="1794"/>
      <c r="S172" s="1795"/>
      <c r="T172" s="1796"/>
      <c r="U172" s="1289"/>
      <c r="V172" s="1794"/>
      <c r="W172" s="1795"/>
      <c r="X172" s="1796"/>
      <c r="Y172" s="1286"/>
      <c r="Z172" s="1286"/>
      <c r="AA172" s="2348"/>
      <c r="AB172" s="1288"/>
      <c r="AC172" s="1795"/>
      <c r="AD172" s="1796"/>
      <c r="AE172" s="1289"/>
      <c r="AF172" s="1796"/>
      <c r="AG172" s="1795"/>
      <c r="AH172" s="1796"/>
      <c r="AI172" s="1289"/>
      <c r="AJ172" s="1796"/>
      <c r="AK172" s="1795"/>
      <c r="AL172" s="1796"/>
      <c r="AM172" s="1286"/>
      <c r="AN172" s="1286"/>
      <c r="AO172" s="1289"/>
      <c r="AP172" s="1796"/>
      <c r="AQ172" s="1795"/>
      <c r="AR172" s="1796"/>
      <c r="AS172" s="1289"/>
      <c r="AT172" s="1796"/>
      <c r="AU172" s="1795"/>
      <c r="AV172" s="1796"/>
      <c r="AW172" s="1289"/>
      <c r="AX172" s="1796"/>
      <c r="AY172" s="1795"/>
      <c r="AZ172" s="1796"/>
      <c r="BA172" s="1286"/>
      <c r="BB172" s="1286"/>
      <c r="BC172" s="2348"/>
      <c r="BD172" s="1288"/>
      <c r="BE172" s="1289"/>
      <c r="BF172" s="1796"/>
      <c r="BG172" s="1137"/>
      <c r="BH172" s="1137"/>
      <c r="BI172" s="1137"/>
      <c r="BJ172" s="1137"/>
      <c r="BK172" s="1137"/>
      <c r="BL172" s="25"/>
      <c r="BM172" s="25"/>
      <c r="BN172" s="25"/>
    </row>
    <row r="173" spans="1:66" x14ac:dyDescent="0.25">
      <c r="B173" s="1754" t="s">
        <v>199</v>
      </c>
      <c r="C173" s="1306" t="s">
        <v>49</v>
      </c>
      <c r="D173" s="102">
        <v>9.6999999999999993</v>
      </c>
      <c r="E173" s="721">
        <f>+$D$173</f>
        <v>9.6999999999999993</v>
      </c>
      <c r="F173" s="125">
        <v>8.8000000000000007</v>
      </c>
      <c r="G173" s="721">
        <f>+$D$173</f>
        <v>9.6999999999999993</v>
      </c>
      <c r="H173" s="125">
        <v>8.82</v>
      </c>
      <c r="I173" s="51">
        <f>+$D$173</f>
        <v>9.6999999999999993</v>
      </c>
      <c r="J173" s="103">
        <f>+((F173*F$122)+(H$122*H173))/J$122</f>
        <v>8.8101154815510476</v>
      </c>
      <c r="K173" s="721">
        <f>+$D$173</f>
        <v>9.6999999999999993</v>
      </c>
      <c r="L173" s="125">
        <v>9.1999999999999993</v>
      </c>
      <c r="M173" s="75">
        <f>+$D$173</f>
        <v>9.6999999999999993</v>
      </c>
      <c r="N173" s="109">
        <f>+((F173*F$122)+(H173*H$122)+(L$122*L173))/N$122</f>
        <v>8.9391018067952235</v>
      </c>
      <c r="O173" s="721">
        <f>+$D$173</f>
        <v>9.6999999999999993</v>
      </c>
      <c r="P173" s="125">
        <v>11.1</v>
      </c>
      <c r="Q173" s="51">
        <f>+$D$173</f>
        <v>9.6999999999999993</v>
      </c>
      <c r="R173" s="103">
        <f>+((N173*N$122)+(P$122*P173))/R$122</f>
        <v>9.4918436141131703</v>
      </c>
      <c r="S173" s="721">
        <f>+$D$173</f>
        <v>9.6999999999999993</v>
      </c>
      <c r="T173" s="125">
        <v>10.9</v>
      </c>
      <c r="U173" s="51">
        <f>+$D$173</f>
        <v>9.6999999999999993</v>
      </c>
      <c r="V173" s="103">
        <f>+((R173*R$122)+(T$122*T173))/V$122</f>
        <v>9.7775537802837622</v>
      </c>
      <c r="W173" s="721">
        <f>+$D$173</f>
        <v>9.6999999999999993</v>
      </c>
      <c r="X173" s="125">
        <v>10.8</v>
      </c>
      <c r="Y173" s="75">
        <f>+$D$173</f>
        <v>9.6999999999999993</v>
      </c>
      <c r="Z173" s="109">
        <f>+((P173*P$122)+(T173*T$122)+(X$122*X173))/Z$122</f>
        <v>10.934943869689635</v>
      </c>
      <c r="AA173" s="634">
        <f>+$D$173</f>
        <v>9.6999999999999993</v>
      </c>
      <c r="AB173" s="448">
        <f>+((N173*N$122)+(Z$122*Z173))/AB$122</f>
        <v>9.9457196444141438</v>
      </c>
      <c r="AC173" s="721">
        <f>+$D$173</f>
        <v>9.6999999999999993</v>
      </c>
      <c r="AD173" s="125">
        <v>10.4</v>
      </c>
      <c r="AE173" s="51">
        <f>+$D$173</f>
        <v>9.6999999999999993</v>
      </c>
      <c r="AF173" s="103">
        <f>+((AB173*AB$122)+(AD$122*AD173))/AF$122</f>
        <v>10.010811268442868</v>
      </c>
      <c r="AG173" s="721">
        <f>+$D$173</f>
        <v>9.6999999999999993</v>
      </c>
      <c r="AH173" s="125">
        <v>9.6999999999999993</v>
      </c>
      <c r="AI173" s="51">
        <f>+$D$173</f>
        <v>9.6999999999999993</v>
      </c>
      <c r="AJ173" s="103">
        <f>+((AF173*AF$122)+(AH$122*AH173))/AJ$122</f>
        <v>9.9724587033997594</v>
      </c>
      <c r="AK173" s="721">
        <f>+$D$173</f>
        <v>9.6999999999999993</v>
      </c>
      <c r="AL173" s="125">
        <v>8.9</v>
      </c>
      <c r="AM173" s="75">
        <f>+$D$173</f>
        <v>9.6999999999999993</v>
      </c>
      <c r="AN173" s="109">
        <f>+((AD173*AD$122)+(AH173*AH$122)+(AL$122*AL173))/AN$122</f>
        <v>9.662395152687397</v>
      </c>
      <c r="AO173" s="51">
        <f>+$D$173</f>
        <v>9.6999999999999993</v>
      </c>
      <c r="AP173" s="103">
        <f>+((AL173*AL$122)+(AJ$122*AJ173))/AP$122</f>
        <v>9.8510928970099325</v>
      </c>
      <c r="AQ173" s="721">
        <f>+$D$173</f>
        <v>9.6999999999999993</v>
      </c>
      <c r="AR173" s="125">
        <v>9</v>
      </c>
      <c r="AS173" s="51">
        <f>+$D$173</f>
        <v>9.6999999999999993</v>
      </c>
      <c r="AT173" s="103">
        <f>+((AP173*AP$122)+(AR$122*AR173))/AT$122</f>
        <v>9.7652566001398586</v>
      </c>
      <c r="AU173" s="721">
        <f>+$D$173</f>
        <v>9.6999999999999993</v>
      </c>
      <c r="AV173" s="125">
        <v>8.9</v>
      </c>
      <c r="AW173" s="51">
        <f>+$D$173</f>
        <v>9.6999999999999993</v>
      </c>
      <c r="AX173" s="103">
        <f>+((AT173*AT$122)+(AV$122*AV173))/AX$122</f>
        <v>9.6929059471489509</v>
      </c>
      <c r="AY173" s="721">
        <f>+$D$173</f>
        <v>9.6999999999999993</v>
      </c>
      <c r="AZ173" s="125">
        <v>8.6999999999999993</v>
      </c>
      <c r="BA173" s="75">
        <f>+$D$173</f>
        <v>9.6999999999999993</v>
      </c>
      <c r="BB173" s="109">
        <f>+((AR173*AR$122)+(AV173*AV$122)+(AZ$122*AZ173))/BB$122</f>
        <v>8.8651052279811395</v>
      </c>
      <c r="BC173" s="634">
        <f>+$D$173</f>
        <v>9.6999999999999993</v>
      </c>
      <c r="BD173" s="448">
        <f>+((AN173*AN$122)+(BB$122*BB173))/BD$122</f>
        <v>9.2681227208426726</v>
      </c>
      <c r="BE173" s="51">
        <f>+$D$173</f>
        <v>9.6999999999999993</v>
      </c>
      <c r="BF173" s="103">
        <f>+((AX173*AX$122)+(AZ$122*AZ173))/BF$122</f>
        <v>9.6082709325109104</v>
      </c>
      <c r="BG173" s="1137"/>
      <c r="BH173" s="1137"/>
      <c r="BI173" s="1137"/>
      <c r="BJ173" s="1137"/>
      <c r="BK173" s="1137"/>
      <c r="BL173" s="25"/>
      <c r="BM173" s="25"/>
      <c r="BN173" s="25"/>
    </row>
    <row r="174" spans="1:66" x14ac:dyDescent="0.25">
      <c r="A174" s="138"/>
      <c r="B174" s="1754" t="s">
        <v>200</v>
      </c>
      <c r="C174" s="1306" t="s">
        <v>49</v>
      </c>
      <c r="D174" s="102" t="s">
        <v>1931</v>
      </c>
      <c r="E174" s="721" t="str">
        <f>+$D$174</f>
        <v>10.0-10.2</v>
      </c>
      <c r="F174" s="125">
        <v>10.5</v>
      </c>
      <c r="G174" s="721" t="str">
        <f>+$D$174</f>
        <v>10.0-10.2</v>
      </c>
      <c r="H174" s="125">
        <v>10.25</v>
      </c>
      <c r="I174" s="51" t="str">
        <f>+$D$174</f>
        <v>10.0-10.2</v>
      </c>
      <c r="J174" s="103">
        <f>+((F174*F$122)+(H$122*H174))/J$122</f>
        <v>10.373556480611926</v>
      </c>
      <c r="K174" s="721" t="str">
        <f>+$D$174</f>
        <v>10.0-10.2</v>
      </c>
      <c r="L174" s="125">
        <v>10.199999999999999</v>
      </c>
      <c r="M174" s="75" t="str">
        <f>+$D$174</f>
        <v>10.0-10.2</v>
      </c>
      <c r="N174" s="109">
        <f>+((F174*F$122)+(H174*H$122)+(L$122*L174))/N$122</f>
        <v>10.316138420655346</v>
      </c>
      <c r="O174" s="721" t="str">
        <f>+$D$174</f>
        <v>10.0-10.2</v>
      </c>
      <c r="P174" s="125">
        <v>10.5</v>
      </c>
      <c r="Q174" s="51" t="str">
        <f>+$D$174</f>
        <v>10.0-10.2</v>
      </c>
      <c r="R174" s="103">
        <f>+((N174*N$122)+(P$122*P174))/R$122</f>
        <v>10.363168855491599</v>
      </c>
      <c r="S174" s="721" t="str">
        <f>+$D$174</f>
        <v>10.0-10.2</v>
      </c>
      <c r="T174" s="125">
        <v>10.1</v>
      </c>
      <c r="U174" s="51" t="str">
        <f>+$D$174</f>
        <v>10.0-10.2</v>
      </c>
      <c r="V174" s="103">
        <f>+((R174*R$122)+(T$122*T174))/V$122</f>
        <v>10.309772785149542</v>
      </c>
      <c r="W174" s="721" t="str">
        <f>+$D$174</f>
        <v>10.0-10.2</v>
      </c>
      <c r="X174" s="125">
        <v>10.1</v>
      </c>
      <c r="Y174" s="75" t="str">
        <f>+$D$174</f>
        <v>10.0-10.2</v>
      </c>
      <c r="Z174" s="109">
        <f>+((P174*P$122)+(T174*T$122)+(X$122*X174))/Z$122</f>
        <v>10.235108958837774</v>
      </c>
      <c r="AA174" s="634" t="str">
        <f>+$D$174</f>
        <v>10.0-10.2</v>
      </c>
      <c r="AB174" s="448">
        <f>+((N174*N$122)+(Z$122*Z174))/AB$122</f>
        <v>10.275270606936688</v>
      </c>
      <c r="AC174" s="721" t="str">
        <f>+$D$174</f>
        <v>10.0-10.2</v>
      </c>
      <c r="AD174" s="125">
        <v>10.1</v>
      </c>
      <c r="AE174" s="51" t="str">
        <f>+$D$174</f>
        <v>10.0-10.2</v>
      </c>
      <c r="AF174" s="103">
        <f>+((AB174*AB$122)+(AD$122*AD174))/AF$122</f>
        <v>10.250156933607592</v>
      </c>
      <c r="AG174" s="721" t="str">
        <f>+$D$174</f>
        <v>10.0-10.2</v>
      </c>
      <c r="AH174" s="125">
        <v>10.1</v>
      </c>
      <c r="AI174" s="51" t="str">
        <f>+$D$174</f>
        <v>10.0-10.2</v>
      </c>
      <c r="AJ174" s="103">
        <f>+((AF174*AF$122)+(AH$122*AH174))/AJ$122</f>
        <v>10.231628314643066</v>
      </c>
      <c r="AK174" s="721" t="str">
        <f>+$D$174</f>
        <v>10.0-10.2</v>
      </c>
      <c r="AL174" s="125">
        <v>10.5</v>
      </c>
      <c r="AM174" s="75" t="str">
        <f>+$D$174</f>
        <v>10.0-10.2</v>
      </c>
      <c r="AN174" s="109">
        <f>+((AD174*AD$122)+(AH174*AH$122)+(AL$122*AL174))/AN$122</f>
        <v>10.235533285110602</v>
      </c>
      <c r="AO174" s="51" t="str">
        <f>+$D$174</f>
        <v>10.0-10.2</v>
      </c>
      <c r="AP174" s="103">
        <f>+((AL174*AL$122)+(AJ$122*AJ174))/AP$122</f>
        <v>10.261998850965151</v>
      </c>
      <c r="AQ174" s="721" t="str">
        <f>+$D$174</f>
        <v>10.0-10.2</v>
      </c>
      <c r="AR174" s="125">
        <v>10.6</v>
      </c>
      <c r="AS174" s="51" t="str">
        <f>+$D$174</f>
        <v>10.0-10.2</v>
      </c>
      <c r="AT174" s="103">
        <f>+((AP174*AP$122)+(AR$122*AR174))/AT$122</f>
        <v>10.296087687886372</v>
      </c>
      <c r="AU174" s="721" t="str">
        <f>+$D$174</f>
        <v>10.0-10.2</v>
      </c>
      <c r="AV174" s="125">
        <v>10.6</v>
      </c>
      <c r="AW174" s="51" t="str">
        <f>+$D$174</f>
        <v>10.0-10.2</v>
      </c>
      <c r="AX174" s="103">
        <f>+((AT174*AT$122)+(AV$122*AV174))/AX$122</f>
        <v>10.321500096447998</v>
      </c>
      <c r="AY174" s="721" t="str">
        <f>+$D$174</f>
        <v>10.0-10.2</v>
      </c>
      <c r="AZ174" s="125">
        <v>10.5</v>
      </c>
      <c r="BA174" s="75" t="str">
        <f>+$D$174</f>
        <v>10.0-10.2</v>
      </c>
      <c r="BB174" s="109">
        <f>+((AR174*AR$122)+(AV174*AV$122)+(AZ$122*AZ174))/BB$122</f>
        <v>10.565388097080406</v>
      </c>
      <c r="BC174" s="634" t="str">
        <f>+$D$174</f>
        <v>10.0-10.2</v>
      </c>
      <c r="BD174" s="448">
        <f>+((AN174*AN$122)+(BB$122*BB174))/BD$122</f>
        <v>10.398651687640188</v>
      </c>
      <c r="BE174" s="51" t="str">
        <f>+$D$174</f>
        <v>10.0-10.2</v>
      </c>
      <c r="BF174" s="103">
        <f>+((AX174*AX$122)+(AZ$122*AZ174))/BF$122</f>
        <v>10.33671537639812</v>
      </c>
      <c r="BG174" s="1137"/>
      <c r="BH174" s="1137"/>
      <c r="BI174" s="1137"/>
      <c r="BJ174" s="1137"/>
      <c r="BK174" s="1137"/>
      <c r="BL174" s="25"/>
      <c r="BM174" s="25"/>
      <c r="BN174" s="25"/>
    </row>
    <row r="175" spans="1:66" x14ac:dyDescent="0.25">
      <c r="B175" s="1754" t="s">
        <v>201</v>
      </c>
      <c r="C175" s="1306" t="s">
        <v>49</v>
      </c>
      <c r="D175" s="102" t="s">
        <v>2328</v>
      </c>
      <c r="E175" s="721" t="str">
        <f>+$D$175</f>
        <v>24.8-25.2</v>
      </c>
      <c r="F175" s="125">
        <v>24.9</v>
      </c>
      <c r="G175" s="721" t="str">
        <f>+$D$175</f>
        <v>24.8-25.2</v>
      </c>
      <c r="H175" s="125">
        <v>24.23</v>
      </c>
      <c r="I175" s="51" t="str">
        <f>+$D$175</f>
        <v>24.8-25.2</v>
      </c>
      <c r="J175" s="103">
        <f>+((F175*F$122)+(H$122*H175))/J$122</f>
        <v>24.561131368039959</v>
      </c>
      <c r="K175" s="721" t="str">
        <f>+$D$175</f>
        <v>24.8-25.2</v>
      </c>
      <c r="L175" s="125">
        <v>24.5</v>
      </c>
      <c r="M175" s="75" t="str">
        <f>+$D$175</f>
        <v>24.8-25.2</v>
      </c>
      <c r="N175" s="109">
        <f>+((F175*F$122)+(H175*H$122)+(L$122*L175))/N$122</f>
        <v>24.540907147411776</v>
      </c>
      <c r="O175" s="721" t="str">
        <f>+$D$175</f>
        <v>24.8-25.2</v>
      </c>
      <c r="P175" s="125">
        <v>24.9</v>
      </c>
      <c r="Q175" s="51" t="str">
        <f>+$D$175</f>
        <v>24.8-25.2</v>
      </c>
      <c r="R175" s="103">
        <f>+((N175*N$122)+(P$122*P175))/R$122</f>
        <v>24.632760448487566</v>
      </c>
      <c r="S175" s="721" t="str">
        <f>+$D$175</f>
        <v>24.8-25.2</v>
      </c>
      <c r="T175" s="125">
        <v>25.2</v>
      </c>
      <c r="U175" s="51" t="str">
        <f>+$D$175</f>
        <v>24.8-25.2</v>
      </c>
      <c r="V175" s="103">
        <f>+((R175*R$122)+(T$122*T175))/V$122</f>
        <v>24.747851434222849</v>
      </c>
      <c r="W175" s="721" t="str">
        <f>+$D$175</f>
        <v>24.8-25.2</v>
      </c>
      <c r="X175" s="125">
        <v>24.6</v>
      </c>
      <c r="Y175" s="75" t="str">
        <f>+$D$175</f>
        <v>24.8-25.2</v>
      </c>
      <c r="Z175" s="109">
        <f>+((P175*P$122)+(T175*T$122)+(X$122*X175))/Z$122</f>
        <v>24.903004622496148</v>
      </c>
      <c r="AA175" s="634" t="str">
        <f>+$D$175</f>
        <v>24.8-25.2</v>
      </c>
      <c r="AB175" s="448">
        <f>+((N175*N$122)+(Z$122*Z175))/AB$122</f>
        <v>24.723533710982693</v>
      </c>
      <c r="AC175" s="721" t="str">
        <f>+$D$175</f>
        <v>24.8-25.2</v>
      </c>
      <c r="AD175" s="125">
        <v>25</v>
      </c>
      <c r="AE175" s="51" t="str">
        <f>+$D$175</f>
        <v>24.8-25.2</v>
      </c>
      <c r="AF175" s="103">
        <f>+((AB175*AB$122)+(AD$122*AD175))/AF$122</f>
        <v>24.763147221714686</v>
      </c>
      <c r="AG175" s="721" t="str">
        <f>+$D$175</f>
        <v>24.8-25.2</v>
      </c>
      <c r="AH175" s="125">
        <v>25.2</v>
      </c>
      <c r="AI175" s="51" t="str">
        <f>+$D$175</f>
        <v>24.8-25.2</v>
      </c>
      <c r="AJ175" s="103">
        <f>+((AF175*AF$122)+(AH$122*AH175))/AJ$122</f>
        <v>24.817052682341608</v>
      </c>
      <c r="AK175" s="721" t="str">
        <f>+$D$175</f>
        <v>24.8-25.2</v>
      </c>
      <c r="AL175" s="125">
        <v>24.4</v>
      </c>
      <c r="AM175" s="75" t="str">
        <f>+$D$175</f>
        <v>24.8-25.2</v>
      </c>
      <c r="AN175" s="109">
        <f>+((AD175*AD$122)+(AH175*AH$122)+(AL$122*AL175))/AN$122</f>
        <v>24.862230080376342</v>
      </c>
      <c r="AO175" s="51" t="str">
        <f>+$D$175</f>
        <v>24.8-25.2</v>
      </c>
      <c r="AP175" s="103">
        <f>+((AL175*AL$122)+(AJ$122*AJ175))/AP$122</f>
        <v>24.769856519972858</v>
      </c>
      <c r="AQ175" s="721" t="str">
        <f>+$D$175</f>
        <v>24.8-25.2</v>
      </c>
      <c r="AR175" s="125">
        <v>24</v>
      </c>
      <c r="AS175" s="51" t="str">
        <f>+$D$175</f>
        <v>24.8-25.2</v>
      </c>
      <c r="AT175" s="103">
        <f>+((AP175*AP$122)+(AR$122*AR175))/AT$122</f>
        <v>24.692213253264949</v>
      </c>
      <c r="AU175" s="721" t="str">
        <f>+$D$175</f>
        <v>24.8-25.2</v>
      </c>
      <c r="AV175" s="125">
        <v>24.2</v>
      </c>
      <c r="AW175" s="51" t="str">
        <f>+$D$175</f>
        <v>24.8-25.2</v>
      </c>
      <c r="AX175" s="103">
        <f>+((AT175*AT$122)+(AV$122*AV175))/AX$122</f>
        <v>24.651055577866988</v>
      </c>
      <c r="AY175" s="721" t="str">
        <f>+$D$175</f>
        <v>24.8-25.2</v>
      </c>
      <c r="AZ175" s="125">
        <v>24.8</v>
      </c>
      <c r="BA175" s="75" t="str">
        <f>+$D$175</f>
        <v>24.8-25.2</v>
      </c>
      <c r="BB175" s="109">
        <f>+((AR175*AR$122)+(AV175*AV$122)+(AZ$122*AZ175))/BB$122</f>
        <v>24.339013349876904</v>
      </c>
      <c r="BC175" s="634" t="str">
        <f>+$D$175</f>
        <v>24.8-25.2</v>
      </c>
      <c r="BD175" s="448">
        <f>+((AN175*AN$122)+(BB$122*BB175))/BD$122</f>
        <v>24.603491162043891</v>
      </c>
      <c r="BE175" s="51" t="str">
        <f>+$D$175</f>
        <v>24.8-25.2</v>
      </c>
      <c r="BF175" s="103">
        <f>+((AX175*AX$122)+(AZ$122*AZ175))/BF$122</f>
        <v>24.663751557162588</v>
      </c>
      <c r="BG175" s="1137"/>
      <c r="BH175" s="1137"/>
      <c r="BI175" s="1137"/>
      <c r="BJ175" s="1137"/>
      <c r="BK175" s="1137"/>
      <c r="BL175" s="25"/>
      <c r="BM175" s="25"/>
      <c r="BN175" s="25"/>
    </row>
    <row r="176" spans="1:66" ht="18.75" x14ac:dyDescent="0.25">
      <c r="B176" s="1809" t="s">
        <v>197</v>
      </c>
      <c r="C176" s="1311"/>
      <c r="D176" s="1290"/>
      <c r="E176" s="1294"/>
      <c r="F176" s="1288"/>
      <c r="G176" s="1294"/>
      <c r="H176" s="1288"/>
      <c r="I176" s="1294"/>
      <c r="J176" s="1286"/>
      <c r="K176" s="1294"/>
      <c r="L176" s="1288"/>
      <c r="M176" s="1294"/>
      <c r="N176" s="1288"/>
      <c r="O176" s="1294"/>
      <c r="P176" s="1288"/>
      <c r="Q176" s="1294"/>
      <c r="R176" s="1286"/>
      <c r="S176" s="1294"/>
      <c r="T176" s="1288"/>
      <c r="U176" s="1294"/>
      <c r="V176" s="1286"/>
      <c r="W176" s="1294"/>
      <c r="X176" s="1288"/>
      <c r="Y176" s="1294"/>
      <c r="Z176" s="1286"/>
      <c r="AA176" s="2352"/>
      <c r="AB176" s="1288"/>
      <c r="AC176" s="1294"/>
      <c r="AD176" s="1288"/>
      <c r="AE176" s="1294"/>
      <c r="AF176" s="1288"/>
      <c r="AG176" s="1294"/>
      <c r="AH176" s="1288"/>
      <c r="AI176" s="1294"/>
      <c r="AJ176" s="1288"/>
      <c r="AK176" s="1294"/>
      <c r="AL176" s="1288"/>
      <c r="AM176" s="1294"/>
      <c r="AN176" s="1286"/>
      <c r="AO176" s="1294"/>
      <c r="AP176" s="1288"/>
      <c r="AQ176" s="1294"/>
      <c r="AR176" s="1288"/>
      <c r="AS176" s="1294"/>
      <c r="AT176" s="1288"/>
      <c r="AU176" s="1294"/>
      <c r="AV176" s="1288"/>
      <c r="AW176" s="1294"/>
      <c r="AX176" s="1288"/>
      <c r="AY176" s="1294"/>
      <c r="AZ176" s="1288"/>
      <c r="BA176" s="1294"/>
      <c r="BB176" s="1286"/>
      <c r="BC176" s="2352"/>
      <c r="BD176" s="1288"/>
      <c r="BE176" s="1294"/>
      <c r="BF176" s="1288"/>
      <c r="BG176" s="1137"/>
      <c r="BH176" s="1137"/>
      <c r="BI176" s="1137"/>
      <c r="BJ176" s="1137"/>
      <c r="BK176" s="1137"/>
      <c r="BL176" s="25"/>
      <c r="BM176" s="25"/>
      <c r="BN176" s="25"/>
    </row>
    <row r="177" spans="1:68" ht="15.75" customHeight="1" x14ac:dyDescent="0.25">
      <c r="B177" s="1754" t="s">
        <v>202</v>
      </c>
      <c r="C177" s="1306" t="s">
        <v>49</v>
      </c>
      <c r="D177" s="102" t="s">
        <v>2329</v>
      </c>
      <c r="E177" s="721" t="str">
        <f>+$D$177</f>
        <v>&lt;=0.50</v>
      </c>
      <c r="F177" s="2044">
        <v>0.57999999999999996</v>
      </c>
      <c r="G177" s="721" t="str">
        <f>+$D$177</f>
        <v>&lt;=0.50</v>
      </c>
      <c r="H177" s="2044">
        <v>0.33</v>
      </c>
      <c r="I177" s="51" t="str">
        <f>+$D$177</f>
        <v>&lt;=0.50</v>
      </c>
      <c r="J177" s="103">
        <f t="shared" ref="J177:J182" si="843">+((F177*F$22)+(H$22*H177))/J$22</f>
        <v>0.45310853497163323</v>
      </c>
      <c r="K177" s="721" t="str">
        <f>+$D$177</f>
        <v>&lt;=0.50</v>
      </c>
      <c r="L177" s="2044">
        <v>0.4</v>
      </c>
      <c r="M177" s="75" t="str">
        <f>+$D$177</f>
        <v>&lt;=0.50</v>
      </c>
      <c r="N177" s="109">
        <f t="shared" ref="N177:N182" si="844">+((F177*F$22)+(H177*H$22)+(L$22*L177))/N$22</f>
        <v>0.43549692207645369</v>
      </c>
      <c r="O177" s="721" t="str">
        <f>+$D$177</f>
        <v>&lt;=0.50</v>
      </c>
      <c r="P177" s="125">
        <v>0.5</v>
      </c>
      <c r="Q177" s="51" t="str">
        <f>+$D$177</f>
        <v>&lt;=0.50</v>
      </c>
      <c r="R177" s="103">
        <f t="shared" ref="R177:R182" si="845">+((N177*N$22)+(P$22*P177))/R$22</f>
        <v>0.4520253917210918</v>
      </c>
      <c r="S177" s="721" t="str">
        <f>+$D$177</f>
        <v>&lt;=0.50</v>
      </c>
      <c r="T177" s="125">
        <v>0.6</v>
      </c>
      <c r="U177" s="51" t="str">
        <f>+$D$177</f>
        <v>&lt;=0.50</v>
      </c>
      <c r="V177" s="103">
        <f t="shared" ref="V177:V182" si="846">+((R177*R$22)+(T$22*T177))/V$22</f>
        <v>0.48209107234759618</v>
      </c>
      <c r="W177" s="721" t="str">
        <f>+$D$177</f>
        <v>&lt;=0.50</v>
      </c>
      <c r="X177" s="125">
        <v>0.6</v>
      </c>
      <c r="Y177" s="75" t="str">
        <f>+$D$177</f>
        <v>&lt;=0.50</v>
      </c>
      <c r="Z177" s="109">
        <f t="shared" ref="Z177:Z182" si="847">+((P177*P$22)+(T177*T$22)+(X$22*X177))/Z$22</f>
        <v>0.56614278433356735</v>
      </c>
      <c r="AA177" s="634" t="str">
        <f>+$D$177</f>
        <v>&lt;=0.50</v>
      </c>
      <c r="AB177" s="448">
        <f t="shared" ref="AB177:AB182" si="848">+((N177*N$22)+(Z$22*Z177))/AB$22</f>
        <v>0.50138914426250658</v>
      </c>
      <c r="AC177" s="721" t="str">
        <f>+$D$177</f>
        <v>&lt;=0.50</v>
      </c>
      <c r="AD177" s="125">
        <v>0.65</v>
      </c>
      <c r="AE177" s="51" t="str">
        <f>+$D$177</f>
        <v>&lt;=0.50</v>
      </c>
      <c r="AF177" s="103">
        <f t="shared" ref="AF177:AF182" si="849">+((AB177*AB$22)+(AD$22*AD177))/AF$22</f>
        <v>0.52264768962098918</v>
      </c>
      <c r="AG177" s="721" t="str">
        <f>+$D$177</f>
        <v>&lt;=0.50</v>
      </c>
      <c r="AH177" s="125">
        <v>0.57999999999999996</v>
      </c>
      <c r="AI177" s="51" t="str">
        <f>+$D$177</f>
        <v>&lt;=0.50</v>
      </c>
      <c r="AJ177" s="103">
        <f t="shared" ref="AJ177:AJ182" si="850">+((AF177*AF$22)+(AH$22*AH177))/AJ$22</f>
        <v>0.52969664222427137</v>
      </c>
      <c r="AK177" s="721" t="str">
        <f>+$D$177</f>
        <v>&lt;=0.50</v>
      </c>
      <c r="AL177" s="125">
        <v>0.56999999999999995</v>
      </c>
      <c r="AM177" s="75" t="str">
        <f>+$D$177</f>
        <v>&lt;=0.50</v>
      </c>
      <c r="AN177" s="109">
        <f t="shared" ref="AN177:AN182" si="851">+((AD177*AD$22)+(AH177*AH$22)+(AL$22*AL177))/AN$22</f>
        <v>0.60000591917839263</v>
      </c>
      <c r="AO177" s="51" t="str">
        <f>+$D$177</f>
        <v>&lt;=0.50</v>
      </c>
      <c r="AP177" s="103">
        <f t="shared" ref="AP177:AP182" si="852">+((AL177*AL$22)+(AJ$22*AJ177))/AP$22</f>
        <v>0.53424153980183298</v>
      </c>
      <c r="AQ177" s="721" t="str">
        <f>+$D$177</f>
        <v>&lt;=0.50</v>
      </c>
      <c r="AR177" s="125">
        <v>0.61</v>
      </c>
      <c r="AS177" s="51" t="str">
        <f>+$D$177</f>
        <v>&lt;=0.50</v>
      </c>
      <c r="AT177" s="103">
        <f t="shared" ref="AT177:AT182" si="853">+((AP177*AP$22)+(AR$22*AR177))/AT$22</f>
        <v>0.54185794978747015</v>
      </c>
      <c r="AU177" s="721" t="str">
        <f>+$D$177</f>
        <v>&lt;=0.50</v>
      </c>
      <c r="AV177" s="125">
        <v>0.61</v>
      </c>
      <c r="AW177" s="51" t="str">
        <f>+$D$177</f>
        <v>&lt;=0.50</v>
      </c>
      <c r="AX177" s="103">
        <f t="shared" ref="AX177:AX182" si="854">+((AT177*AT$22)+(AV$22*AV177))/AX$22</f>
        <v>0.54753931478611051</v>
      </c>
      <c r="AY177" s="721" t="str">
        <f>+$D$177</f>
        <v>&lt;=0.50</v>
      </c>
      <c r="AZ177" s="125">
        <v>0.56000000000000005</v>
      </c>
      <c r="BA177" s="75" t="str">
        <f>+$D$177</f>
        <v>&lt;=0.50</v>
      </c>
      <c r="BB177" s="109">
        <f t="shared" ref="BB177:BB182" si="855">+((AR177*AR$22)+(AV177*AV$22)+(AZ$22*AZ177))/BB$22</f>
        <v>0.59269404842724593</v>
      </c>
      <c r="BC177" s="634" t="str">
        <f>+$D$177</f>
        <v>&lt;=0.50</v>
      </c>
      <c r="BD177" s="448">
        <f t="shared" ref="BD177:BD182" si="856">+((AN177*AN$22)+(BB$22*BB177))/BD$22</f>
        <v>0.59639183134619222</v>
      </c>
      <c r="BE177" s="51" t="str">
        <f>+$D$177</f>
        <v>&lt;=0.50</v>
      </c>
      <c r="BF177" s="103">
        <f t="shared" ref="BF177:BF182" si="857">+((AX177*AX$22)+(AZ$22*AZ177))/BF$22</f>
        <v>0.54859864440290962</v>
      </c>
      <c r="BG177" s="1137"/>
      <c r="BH177" s="1137"/>
      <c r="BI177" s="1137"/>
      <c r="BJ177" s="1137"/>
      <c r="BK177" s="1137"/>
      <c r="BL177" s="25"/>
      <c r="BM177" s="25"/>
      <c r="BN177" s="25"/>
    </row>
    <row r="178" spans="1:68" x14ac:dyDescent="0.25">
      <c r="B178" s="1754" t="s">
        <v>203</v>
      </c>
      <c r="C178" s="1306" t="s">
        <v>49</v>
      </c>
      <c r="D178" s="102" t="s">
        <v>1932</v>
      </c>
      <c r="E178" s="721" t="str">
        <f>+$D$178</f>
        <v>12.5-13.5</v>
      </c>
      <c r="F178" s="125">
        <v>13.5</v>
      </c>
      <c r="G178" s="721" t="str">
        <f>+$D$178</f>
        <v>12.5-13.5</v>
      </c>
      <c r="H178" s="125">
        <v>13.15</v>
      </c>
      <c r="I178" s="51" t="str">
        <f>+$D$178</f>
        <v>12.5-13.5</v>
      </c>
      <c r="J178" s="103">
        <f t="shared" si="843"/>
        <v>13.322351948960286</v>
      </c>
      <c r="K178" s="721" t="str">
        <f>+$D$178</f>
        <v>12.5-13.5</v>
      </c>
      <c r="L178" s="125">
        <v>13.1</v>
      </c>
      <c r="M178" s="75" t="str">
        <f>+$D$178</f>
        <v>12.5-13.5</v>
      </c>
      <c r="N178" s="109">
        <f t="shared" si="844"/>
        <v>13.248616598255001</v>
      </c>
      <c r="O178" s="721" t="str">
        <f>+$D$178</f>
        <v>12.5-13.5</v>
      </c>
      <c r="P178" s="125">
        <v>13.3</v>
      </c>
      <c r="Q178" s="51" t="str">
        <f>+$D$178</f>
        <v>12.5-13.5</v>
      </c>
      <c r="R178" s="103">
        <f t="shared" si="845"/>
        <v>13.261783241201668</v>
      </c>
      <c r="S178" s="721" t="str">
        <f>+$D$178</f>
        <v>12.5-13.5</v>
      </c>
      <c r="T178" s="125">
        <v>13</v>
      </c>
      <c r="U178" s="51" t="str">
        <f>+$D$178</f>
        <v>12.5-13.5</v>
      </c>
      <c r="V178" s="103">
        <f t="shared" si="846"/>
        <v>13.2085937689342</v>
      </c>
      <c r="W178" s="721" t="str">
        <f>+$D$178</f>
        <v>12.5-13.5</v>
      </c>
      <c r="X178" s="125">
        <v>13.1</v>
      </c>
      <c r="Y178" s="75" t="str">
        <f>+$D$178</f>
        <v>12.5-13.5</v>
      </c>
      <c r="Z178" s="109">
        <f t="shared" si="847"/>
        <v>13.134022695703901</v>
      </c>
      <c r="AA178" s="634" t="str">
        <f>+$D$178</f>
        <v>12.5-13.5</v>
      </c>
      <c r="AB178" s="448">
        <f t="shared" si="848"/>
        <v>13.190820302546808</v>
      </c>
      <c r="AC178" s="721" t="str">
        <f>+$D$178</f>
        <v>12.5-13.5</v>
      </c>
      <c r="AD178" s="125">
        <v>13</v>
      </c>
      <c r="AE178" s="51" t="str">
        <f>+$D$178</f>
        <v>12.5-13.5</v>
      </c>
      <c r="AF178" s="103">
        <f t="shared" si="849"/>
        <v>13.163523763294144</v>
      </c>
      <c r="AG178" s="721" t="str">
        <f>+$D$178</f>
        <v>12.5-13.5</v>
      </c>
      <c r="AH178" s="125">
        <v>13</v>
      </c>
      <c r="AI178" s="51" t="str">
        <f>+$D$178</f>
        <v>12.5-13.5</v>
      </c>
      <c r="AJ178" s="103">
        <f t="shared" si="850"/>
        <v>13.143425684431175</v>
      </c>
      <c r="AK178" s="721" t="str">
        <f>+$D$178</f>
        <v>12.5-13.5</v>
      </c>
      <c r="AL178" s="125">
        <v>13.4</v>
      </c>
      <c r="AM178" s="75" t="str">
        <f>+$D$178</f>
        <v>12.5-13.5</v>
      </c>
      <c r="AN178" s="109">
        <f t="shared" si="851"/>
        <v>13.135402478671866</v>
      </c>
      <c r="AO178" s="51" t="str">
        <f>+$D$178</f>
        <v>12.5-13.5</v>
      </c>
      <c r="AP178" s="103">
        <f t="shared" si="852"/>
        <v>13.172358856495453</v>
      </c>
      <c r="AQ178" s="721" t="str">
        <f>+$D$178</f>
        <v>12.5-13.5</v>
      </c>
      <c r="AR178" s="125">
        <v>13.6</v>
      </c>
      <c r="AS178" s="51" t="str">
        <f>+$D$178</f>
        <v>12.5-13.5</v>
      </c>
      <c r="AT178" s="103">
        <f t="shared" si="853"/>
        <v>13.215351946206324</v>
      </c>
      <c r="AU178" s="721" t="str">
        <f>+$D$178</f>
        <v>12.5-13.5</v>
      </c>
      <c r="AV178" s="125">
        <v>13.6</v>
      </c>
      <c r="AW178" s="51" t="str">
        <f>+$D$178</f>
        <v>12.5-13.5</v>
      </c>
      <c r="AX178" s="103">
        <f t="shared" si="854"/>
        <v>13.247422099405451</v>
      </c>
      <c r="AY178" s="721" t="str">
        <f>+$D$178</f>
        <v>12.5-13.5</v>
      </c>
      <c r="AZ178" s="125">
        <v>13.5</v>
      </c>
      <c r="BA178" s="75" t="str">
        <f>+$D$178</f>
        <v>12.5-13.5</v>
      </c>
      <c r="BB178" s="109">
        <f t="shared" si="855"/>
        <v>13.565388096854491</v>
      </c>
      <c r="BC178" s="634" t="str">
        <f>+$D$178</f>
        <v>12.5-13.5</v>
      </c>
      <c r="BD178" s="448">
        <f t="shared" si="856"/>
        <v>13.34793437968383</v>
      </c>
      <c r="BE178" s="51" t="str">
        <f>+$D$178</f>
        <v>12.5-13.5</v>
      </c>
      <c r="BF178" s="103">
        <f t="shared" si="857"/>
        <v>13.268894694696641</v>
      </c>
      <c r="BG178" s="1137"/>
      <c r="BH178" s="1137"/>
      <c r="BI178" s="1137"/>
      <c r="BJ178" s="1137"/>
      <c r="BK178" s="1137"/>
      <c r="BL178" s="25"/>
      <c r="BM178" s="25"/>
      <c r="BN178" s="25"/>
    </row>
    <row r="179" spans="1:68" x14ac:dyDescent="0.25">
      <c r="B179" s="1754" t="s">
        <v>204</v>
      </c>
      <c r="C179" s="1306" t="s">
        <v>49</v>
      </c>
      <c r="D179" s="102" t="s">
        <v>1933</v>
      </c>
      <c r="E179" s="721" t="str">
        <f>+$D$179</f>
        <v>89.0-90.5</v>
      </c>
      <c r="F179" s="125">
        <v>89.8</v>
      </c>
      <c r="G179" s="721" t="str">
        <f>+$D$179</f>
        <v>89.0-90.5</v>
      </c>
      <c r="H179" s="125">
        <v>89.66</v>
      </c>
      <c r="I179" s="51" t="str">
        <f>+$D$179</f>
        <v>89.0-90.5</v>
      </c>
      <c r="J179" s="103">
        <f t="shared" si="843"/>
        <v>89.728940779584107</v>
      </c>
      <c r="K179" s="721" t="str">
        <f>+$D$179</f>
        <v>89.0-90.5</v>
      </c>
      <c r="L179" s="125">
        <v>89.6</v>
      </c>
      <c r="M179" s="75" t="str">
        <f>+$D$179</f>
        <v>89.0-90.5</v>
      </c>
      <c r="N179" s="109">
        <f t="shared" si="844"/>
        <v>89.68618201966629</v>
      </c>
      <c r="O179" s="721" t="str">
        <f>+$D$179</f>
        <v>89.0-90.5</v>
      </c>
      <c r="P179" s="125">
        <v>89.5</v>
      </c>
      <c r="Q179" s="51" t="str">
        <f>+$D$179</f>
        <v>89.0-90.5</v>
      </c>
      <c r="R179" s="103">
        <f t="shared" si="845"/>
        <v>89.638474158902213</v>
      </c>
      <c r="S179" s="721" t="str">
        <f>+$D$179</f>
        <v>89.0-90.5</v>
      </c>
      <c r="T179" s="125">
        <v>89.3</v>
      </c>
      <c r="U179" s="51" t="str">
        <f>+$D$179</f>
        <v>89.0-90.5</v>
      </c>
      <c r="V179" s="103">
        <f t="shared" si="846"/>
        <v>89.569702522469186</v>
      </c>
      <c r="W179" s="721" t="str">
        <f>+$D$179</f>
        <v>89.0-90.5</v>
      </c>
      <c r="X179" s="125">
        <v>89.5</v>
      </c>
      <c r="Y179" s="75" t="str">
        <f>+$D$179</f>
        <v>89.0-90.5</v>
      </c>
      <c r="Z179" s="109">
        <f t="shared" si="847"/>
        <v>89.432616528742074</v>
      </c>
      <c r="AA179" s="634" t="str">
        <f>+$D$179</f>
        <v>89.0-90.5</v>
      </c>
      <c r="AB179" s="448">
        <f t="shared" si="848"/>
        <v>89.558294359253352</v>
      </c>
      <c r="AC179" s="721" t="str">
        <f>+$D$179</f>
        <v>89.0-90.5</v>
      </c>
      <c r="AD179" s="125">
        <v>89.4</v>
      </c>
      <c r="AE179" s="51" t="str">
        <f>+$D$179</f>
        <v>89.0-90.5</v>
      </c>
      <c r="AF179" s="103">
        <f t="shared" si="849"/>
        <v>89.535650604196022</v>
      </c>
      <c r="AG179" s="721" t="str">
        <f>+$D$179</f>
        <v>89.0-90.5</v>
      </c>
      <c r="AH179" s="125">
        <v>89.4</v>
      </c>
      <c r="AI179" s="51" t="str">
        <f>+$D$179</f>
        <v>89.0-90.5</v>
      </c>
      <c r="AJ179" s="103">
        <f t="shared" si="850"/>
        <v>89.518978308463474</v>
      </c>
      <c r="AK179" s="721" t="str">
        <f>+$D$179</f>
        <v>89.0-90.5</v>
      </c>
      <c r="AL179" s="125">
        <v>89.6</v>
      </c>
      <c r="AM179" s="75" t="str">
        <f>+$D$179</f>
        <v>89.0-90.5</v>
      </c>
      <c r="AN179" s="109">
        <f t="shared" si="851"/>
        <v>89.467701239335952</v>
      </c>
      <c r="AO179" s="51" t="str">
        <f>+$D$179</f>
        <v>89.0-90.5</v>
      </c>
      <c r="AP179" s="103">
        <f t="shared" si="852"/>
        <v>89.528114899306445</v>
      </c>
      <c r="AQ179" s="721" t="str">
        <f>+$D$179</f>
        <v>89.0-90.5</v>
      </c>
      <c r="AR179" s="125">
        <v>86.7</v>
      </c>
      <c r="AS179" s="51" t="str">
        <f>+$D$179</f>
        <v>89.0-90.5</v>
      </c>
      <c r="AT179" s="103">
        <f t="shared" si="853"/>
        <v>89.243789128913775</v>
      </c>
      <c r="AU179" s="721" t="str">
        <f>+$D$179</f>
        <v>89.0-90.5</v>
      </c>
      <c r="AV179" s="125">
        <v>89.7</v>
      </c>
      <c r="AW179" s="51" t="str">
        <f>+$D$179</f>
        <v>89.0-90.5</v>
      </c>
      <c r="AX179" s="103">
        <f t="shared" si="854"/>
        <v>89.28182585464927</v>
      </c>
      <c r="AY179" s="721" t="str">
        <f>+$D$179</f>
        <v>89.0-90.5</v>
      </c>
      <c r="AZ179" s="125">
        <v>89.7</v>
      </c>
      <c r="BA179" s="75" t="str">
        <f>+$D$179</f>
        <v>89.0-90.5</v>
      </c>
      <c r="BB179" s="109">
        <f t="shared" si="855"/>
        <v>88.670128988458927</v>
      </c>
      <c r="BC179" s="634" t="str">
        <f>+$D$179</f>
        <v>89.0-90.5</v>
      </c>
      <c r="BD179" s="448">
        <f t="shared" si="856"/>
        <v>89.073479806094213</v>
      </c>
      <c r="BE179" s="51" t="str">
        <f>+$D$179</f>
        <v>89.0-90.5</v>
      </c>
      <c r="BF179" s="103">
        <f t="shared" si="857"/>
        <v>89.317376408214017</v>
      </c>
      <c r="BG179" s="1137"/>
      <c r="BH179" s="1137"/>
      <c r="BI179" s="1137"/>
      <c r="BJ179" s="1137"/>
      <c r="BK179" s="1137"/>
      <c r="BL179" s="25"/>
      <c r="BM179" s="25"/>
      <c r="BN179" s="25"/>
    </row>
    <row r="180" spans="1:68" x14ac:dyDescent="0.25">
      <c r="B180" s="1754" t="s">
        <v>205</v>
      </c>
      <c r="C180" s="1306" t="s">
        <v>49</v>
      </c>
      <c r="D180" s="102" t="s">
        <v>1934</v>
      </c>
      <c r="E180" s="721" t="str">
        <f>+$D$180</f>
        <v>5.5-5.9</v>
      </c>
      <c r="F180" s="125">
        <v>5.7</v>
      </c>
      <c r="G180" s="721" t="str">
        <f>+$D$180</f>
        <v>5.5-5.9</v>
      </c>
      <c r="H180" s="125">
        <v>5.62</v>
      </c>
      <c r="I180" s="51" t="str">
        <f>+$D$180</f>
        <v>5.5-5.9</v>
      </c>
      <c r="J180" s="103">
        <f t="shared" si="843"/>
        <v>5.6593947311909218</v>
      </c>
      <c r="K180" s="721" t="str">
        <f>+$D$180</f>
        <v>5.5-5.9</v>
      </c>
      <c r="L180" s="125">
        <v>5.7</v>
      </c>
      <c r="M180" s="75" t="str">
        <f>+$D$180</f>
        <v>5.5-5.9</v>
      </c>
      <c r="N180" s="109">
        <f t="shared" si="844"/>
        <v>5.672860067339851</v>
      </c>
      <c r="O180" s="721" t="str">
        <f>+$D$180</f>
        <v>5.5-5.9</v>
      </c>
      <c r="P180" s="125">
        <v>5.7</v>
      </c>
      <c r="Q180" s="51" t="str">
        <f>+$D$180</f>
        <v>5.5-5.9</v>
      </c>
      <c r="R180" s="103">
        <f t="shared" si="845"/>
        <v>5.6798144882383772</v>
      </c>
      <c r="S180" s="721" t="str">
        <f>+$D$180</f>
        <v>5.5-5.9</v>
      </c>
      <c r="T180" s="125">
        <v>5.8</v>
      </c>
      <c r="U180" s="51" t="str">
        <f>+$D$180</f>
        <v>5.5-5.9</v>
      </c>
      <c r="V180" s="103">
        <f t="shared" si="846"/>
        <v>5.7042339427284823</v>
      </c>
      <c r="W180" s="721" t="str">
        <f>+$D$180</f>
        <v>5.5-5.9</v>
      </c>
      <c r="X180" s="125">
        <v>5.7</v>
      </c>
      <c r="Y180" s="75" t="str">
        <f>+$D$180</f>
        <v>5.5-5.9</v>
      </c>
      <c r="Z180" s="109">
        <f t="shared" si="847"/>
        <v>5.7336917356289616</v>
      </c>
      <c r="AA180" s="634" t="str">
        <f>+$D$180</f>
        <v>5.5-5.9</v>
      </c>
      <c r="AB180" s="448">
        <f t="shared" si="848"/>
        <v>5.7035409762764528</v>
      </c>
      <c r="AC180" s="721" t="str">
        <f>+$D$180</f>
        <v>5.5-5.9</v>
      </c>
      <c r="AD180" s="125">
        <v>5.7</v>
      </c>
      <c r="AE180" s="51" t="str">
        <f>+$D$180</f>
        <v>5.5-5.9</v>
      </c>
      <c r="AF180" s="103">
        <f t="shared" si="849"/>
        <v>5.7030344452803643</v>
      </c>
      <c r="AG180" s="721" t="str">
        <f>+$D$180</f>
        <v>5.5-5.9</v>
      </c>
      <c r="AH180" s="125">
        <v>5.7</v>
      </c>
      <c r="AI180" s="51" t="str">
        <f>+$D$180</f>
        <v>5.5-5.9</v>
      </c>
      <c r="AJ180" s="103">
        <f t="shared" si="850"/>
        <v>5.7026614932437827</v>
      </c>
      <c r="AK180" s="721" t="str">
        <f>+$D$180</f>
        <v>5.5-5.9</v>
      </c>
      <c r="AL180" s="125">
        <v>5.7</v>
      </c>
      <c r="AM180" s="75" t="str">
        <f>+$D$180</f>
        <v>5.5-5.9</v>
      </c>
      <c r="AN180" s="109">
        <f t="shared" si="851"/>
        <v>5.700000000000002</v>
      </c>
      <c r="AO180" s="51" t="str">
        <f>+$D$180</f>
        <v>5.5-5.9</v>
      </c>
      <c r="AP180" s="103">
        <f t="shared" si="852"/>
        <v>5.702361364051975</v>
      </c>
      <c r="AQ180" s="721" t="str">
        <f>+$D$180</f>
        <v>5.5-5.9</v>
      </c>
      <c r="AR180" s="125">
        <v>5.7</v>
      </c>
      <c r="AS180" s="51" t="str">
        <f>+$D$180</f>
        <v>5.5-5.9</v>
      </c>
      <c r="AT180" s="103">
        <f t="shared" si="853"/>
        <v>5.7021239632825012</v>
      </c>
      <c r="AU180" s="721" t="str">
        <f>+$D$180</f>
        <v>5.5-5.9</v>
      </c>
      <c r="AV180" s="125">
        <v>5.7</v>
      </c>
      <c r="AW180" s="51" t="str">
        <f>+$D$180</f>
        <v>5.5-5.9</v>
      </c>
      <c r="AX180" s="103">
        <f t="shared" si="854"/>
        <v>5.7019468771717374</v>
      </c>
      <c r="AY180" s="721" t="str">
        <f>+$D$180</f>
        <v>5.5-5.9</v>
      </c>
      <c r="AZ180" s="125">
        <v>5.7</v>
      </c>
      <c r="BA180" s="75" t="str">
        <f>+$D$180</f>
        <v>5.5-5.9</v>
      </c>
      <c r="BB180" s="109">
        <f t="shared" si="855"/>
        <v>5.6999999999999993</v>
      </c>
      <c r="BC180" s="634" t="str">
        <f>+$D$180</f>
        <v>5.5-5.9</v>
      </c>
      <c r="BD180" s="448">
        <f t="shared" si="856"/>
        <v>5.7000000000000011</v>
      </c>
      <c r="BE180" s="51" t="str">
        <f>+$D$180</f>
        <v>5.5-5.9</v>
      </c>
      <c r="BF180" s="103">
        <f t="shared" si="857"/>
        <v>5.7017813658364549</v>
      </c>
      <c r="BG180" s="1137"/>
      <c r="BH180" s="1137"/>
      <c r="BI180" s="1137"/>
      <c r="BJ180" s="1137"/>
      <c r="BK180" s="1137"/>
      <c r="BL180" s="25"/>
      <c r="BM180" s="25"/>
      <c r="BN180" s="25"/>
    </row>
    <row r="181" spans="1:68" x14ac:dyDescent="0.25">
      <c r="A181" s="138"/>
      <c r="B181" s="1754" t="s">
        <v>206</v>
      </c>
      <c r="C181" s="1306" t="s">
        <v>49</v>
      </c>
      <c r="D181" s="102" t="s">
        <v>1935</v>
      </c>
      <c r="E181" s="721" t="str">
        <f>+$D$181</f>
        <v>67.0-68.4</v>
      </c>
      <c r="F181" s="125">
        <v>68.400000000000006</v>
      </c>
      <c r="G181" s="721" t="str">
        <f>+$D$181</f>
        <v>67.0-68.4</v>
      </c>
      <c r="H181" s="125">
        <v>68.13</v>
      </c>
      <c r="I181" s="51" t="str">
        <f>+$D$181</f>
        <v>67.0-68.4</v>
      </c>
      <c r="J181" s="103">
        <f t="shared" si="843"/>
        <v>68.262957217769355</v>
      </c>
      <c r="K181" s="721" t="str">
        <f>+$D$181</f>
        <v>67.0-68.4</v>
      </c>
      <c r="L181" s="125">
        <v>68.3</v>
      </c>
      <c r="M181" s="75" t="str">
        <f>+$D$181</f>
        <v>67.0-68.4</v>
      </c>
      <c r="N181" s="109">
        <f t="shared" si="844"/>
        <v>68.275241178182782</v>
      </c>
      <c r="O181" s="721" t="str">
        <f>+$D$181</f>
        <v>67.0-68.4</v>
      </c>
      <c r="P181" s="125">
        <v>68.5</v>
      </c>
      <c r="Q181" s="51" t="str">
        <f>+$D$181</f>
        <v>67.0-68.4</v>
      </c>
      <c r="R181" s="103">
        <f t="shared" si="845"/>
        <v>68.332834078914956</v>
      </c>
      <c r="S181" s="721" t="str">
        <f>+$D$181</f>
        <v>67.0-68.4</v>
      </c>
      <c r="T181" s="125">
        <v>68.599999999999994</v>
      </c>
      <c r="U181" s="51" t="str">
        <f>+$D$181</f>
        <v>67.0-68.4</v>
      </c>
      <c r="V181" s="103">
        <f t="shared" si="846"/>
        <v>68.387117211345966</v>
      </c>
      <c r="W181" s="721" t="str">
        <f>+$D$181</f>
        <v>67.0-68.4</v>
      </c>
      <c r="X181" s="125">
        <v>68.5</v>
      </c>
      <c r="Y181" s="75" t="str">
        <f>+$D$181</f>
        <v>67.0-68.4</v>
      </c>
      <c r="Z181" s="109">
        <f t="shared" si="847"/>
        <v>68.533691735628963</v>
      </c>
      <c r="AA181" s="634" t="str">
        <f>+$D$181</f>
        <v>67.0-68.4</v>
      </c>
      <c r="AB181" s="448">
        <f t="shared" si="848"/>
        <v>68.40559265859811</v>
      </c>
      <c r="AC181" s="721" t="str">
        <f>+$D$181</f>
        <v>67.0-68.4</v>
      </c>
      <c r="AD181" s="125">
        <v>68.7</v>
      </c>
      <c r="AE181" s="51" t="str">
        <f>+$D$181</f>
        <v>67.0-68.4</v>
      </c>
      <c r="AF181" s="103">
        <f t="shared" si="849"/>
        <v>68.447707158174893</v>
      </c>
      <c r="AG181" s="721" t="str">
        <f>+$D$181</f>
        <v>67.0-68.4</v>
      </c>
      <c r="AH181" s="125">
        <v>68.3</v>
      </c>
      <c r="AI181" s="51" t="str">
        <f>+$D$181</f>
        <v>67.0-68.4</v>
      </c>
      <c r="AJ181" s="103">
        <f t="shared" si="850"/>
        <v>68.429553037612706</v>
      </c>
      <c r="AK181" s="721" t="str">
        <f>+$D$181</f>
        <v>67.0-68.4</v>
      </c>
      <c r="AL181" s="125">
        <v>68.099999999999994</v>
      </c>
      <c r="AM181" s="75" t="str">
        <f>+$D$181</f>
        <v>67.0-68.4</v>
      </c>
      <c r="AN181" s="109">
        <f t="shared" si="851"/>
        <v>68.365961510065162</v>
      </c>
      <c r="AO181" s="51" t="str">
        <f>+$D$181</f>
        <v>67.0-68.4</v>
      </c>
      <c r="AP181" s="103">
        <f t="shared" si="852"/>
        <v>68.392390258008618</v>
      </c>
      <c r="AQ181" s="721" t="str">
        <f>+$D$181</f>
        <v>67.0-68.4</v>
      </c>
      <c r="AR181" s="125">
        <v>68.400000000000006</v>
      </c>
      <c r="AS181" s="51" t="str">
        <f>+$D$181</f>
        <v>67.0-68.4</v>
      </c>
      <c r="AT181" s="103">
        <f t="shared" si="853"/>
        <v>68.393155306753528</v>
      </c>
      <c r="AU181" s="721" t="str">
        <f>+$D$181</f>
        <v>67.0-68.4</v>
      </c>
      <c r="AV181" s="125">
        <v>68.7</v>
      </c>
      <c r="AW181" s="51" t="str">
        <f>+$D$181</f>
        <v>67.0-68.4</v>
      </c>
      <c r="AX181" s="103">
        <f t="shared" si="854"/>
        <v>68.418738580147732</v>
      </c>
      <c r="AY181" s="721" t="str">
        <f>+$D$181</f>
        <v>67.0-68.4</v>
      </c>
      <c r="AZ181" s="125">
        <v>69.099999999999994</v>
      </c>
      <c r="BA181" s="75" t="str">
        <f>+$D$181</f>
        <v>67.0-68.4</v>
      </c>
      <c r="BB181" s="109">
        <f t="shared" si="855"/>
        <v>68.735460511427917</v>
      </c>
      <c r="BC181" s="634" t="str">
        <f>+$D$181</f>
        <v>67.0-68.4</v>
      </c>
      <c r="BD181" s="448">
        <f t="shared" si="856"/>
        <v>68.548596281696746</v>
      </c>
      <c r="BE181" s="51" t="str">
        <f>+$D$181</f>
        <v>67.0-68.4</v>
      </c>
      <c r="BF181" s="103">
        <f t="shared" si="857"/>
        <v>68.476655170322701</v>
      </c>
      <c r="BG181" s="1137"/>
      <c r="BH181" s="1137"/>
      <c r="BI181" s="1137"/>
      <c r="BJ181" s="1137"/>
      <c r="BK181" s="1137"/>
      <c r="BL181" s="25"/>
      <c r="BM181" s="25"/>
      <c r="BN181" s="25"/>
    </row>
    <row r="182" spans="1:68" x14ac:dyDescent="0.25">
      <c r="B182" s="1754" t="s">
        <v>207</v>
      </c>
      <c r="C182" s="1306" t="s">
        <v>49</v>
      </c>
      <c r="D182" s="102" t="s">
        <v>1936</v>
      </c>
      <c r="E182" s="721" t="str">
        <f>+$D$182</f>
        <v>21.0-22.5</v>
      </c>
      <c r="F182" s="125">
        <v>21.2</v>
      </c>
      <c r="G182" s="721" t="str">
        <f>+$D$182</f>
        <v>21.0-22.5</v>
      </c>
      <c r="H182" s="125">
        <v>22.14</v>
      </c>
      <c r="I182" s="51" t="str">
        <f>+$D$182</f>
        <v>21.0-22.5</v>
      </c>
      <c r="J182" s="103">
        <f t="shared" si="843"/>
        <v>21.677111908506657</v>
      </c>
      <c r="K182" s="721" t="str">
        <f>+$D$182</f>
        <v>21.0-22.5</v>
      </c>
      <c r="L182" s="125">
        <v>21.5</v>
      </c>
      <c r="M182" s="75" t="str">
        <f>+$D$182</f>
        <v>21.0-22.5</v>
      </c>
      <c r="N182" s="109">
        <f t="shared" si="844"/>
        <v>21.618378856024378</v>
      </c>
      <c r="O182" s="721" t="str">
        <f>+$D$182</f>
        <v>21.0-22.5</v>
      </c>
      <c r="P182" s="125">
        <v>21.3</v>
      </c>
      <c r="Q182" s="51" t="str">
        <f>+$D$182</f>
        <v>21.0-22.5</v>
      </c>
      <c r="R182" s="103">
        <f t="shared" si="845"/>
        <v>21.536796466056405</v>
      </c>
      <c r="S182" s="721" t="str">
        <f>+$D$182</f>
        <v>21.0-22.5</v>
      </c>
      <c r="T182" s="125">
        <v>21.2</v>
      </c>
      <c r="U182" s="51" t="str">
        <f>+$D$182</f>
        <v>21.0-22.5</v>
      </c>
      <c r="V182" s="103">
        <f t="shared" si="846"/>
        <v>21.468365705520103</v>
      </c>
      <c r="W182" s="721" t="str">
        <f>+$D$182</f>
        <v>21.0-22.5</v>
      </c>
      <c r="X182" s="125">
        <v>21.4</v>
      </c>
      <c r="Y182" s="75" t="str">
        <f>+$D$182</f>
        <v>21.0-22.5</v>
      </c>
      <c r="Z182" s="109">
        <f t="shared" si="847"/>
        <v>21.298759313075639</v>
      </c>
      <c r="AA182" s="634" t="str">
        <f>+$D$182</f>
        <v>21.0-22.5</v>
      </c>
      <c r="AB182" s="448">
        <f t="shared" si="848"/>
        <v>21.457176338201538</v>
      </c>
      <c r="AC182" s="721" t="str">
        <f>+$D$182</f>
        <v>21.0-22.5</v>
      </c>
      <c r="AD182" s="125">
        <v>21.2</v>
      </c>
      <c r="AE182" s="51" t="str">
        <f>+$D$182</f>
        <v>21.0-22.5</v>
      </c>
      <c r="AF182" s="103">
        <f t="shared" si="849"/>
        <v>21.420387674118725</v>
      </c>
      <c r="AG182" s="721" t="str">
        <f>+$D$182</f>
        <v>21.0-22.5</v>
      </c>
      <c r="AH182" s="125">
        <v>21.8</v>
      </c>
      <c r="AI182" s="51" t="str">
        <f>+$D$182</f>
        <v>21.0-22.5</v>
      </c>
      <c r="AJ182" s="103">
        <f t="shared" si="850"/>
        <v>21.467044369813728</v>
      </c>
      <c r="AK182" s="721" t="str">
        <f>+$D$182</f>
        <v>21.0-22.5</v>
      </c>
      <c r="AL182" s="125">
        <v>21.9</v>
      </c>
      <c r="AM182" s="75" t="str">
        <f>+$D$182</f>
        <v>21.0-22.5</v>
      </c>
      <c r="AN182" s="109">
        <f t="shared" si="851"/>
        <v>21.633356495566346</v>
      </c>
      <c r="AO182" s="51" t="str">
        <f>+$D$182</f>
        <v>21.0-22.5</v>
      </c>
      <c r="AP182" s="103">
        <f t="shared" si="852"/>
        <v>21.515867572232118</v>
      </c>
      <c r="AQ182" s="721" t="str">
        <f>+$D$182</f>
        <v>21.0-22.5</v>
      </c>
      <c r="AR182" s="125">
        <v>21.3</v>
      </c>
      <c r="AS182" s="51" t="str">
        <f>+$D$182</f>
        <v>21.0-22.5</v>
      </c>
      <c r="AT182" s="103">
        <f t="shared" si="853"/>
        <v>21.494165231286654</v>
      </c>
      <c r="AU182" s="721" t="str">
        <f>+$D$182</f>
        <v>21.0-22.5</v>
      </c>
      <c r="AV182" s="125">
        <v>21.1</v>
      </c>
      <c r="AW182" s="51" t="str">
        <f>+$D$182</f>
        <v>21.0-22.5</v>
      </c>
      <c r="AX182" s="103">
        <f t="shared" si="854"/>
        <v>21.46130158040253</v>
      </c>
      <c r="AY182" s="721" t="str">
        <f>+$D$182</f>
        <v>21.0-22.5</v>
      </c>
      <c r="AZ182" s="125">
        <v>20.7</v>
      </c>
      <c r="BA182" s="75" t="str">
        <f>+$D$182</f>
        <v>21.0-22.5</v>
      </c>
      <c r="BB182" s="109">
        <f t="shared" si="855"/>
        <v>21.030210454854036</v>
      </c>
      <c r="BC182" s="634" t="str">
        <f>+$D$182</f>
        <v>21.0-22.5</v>
      </c>
      <c r="BD182" s="448">
        <f t="shared" si="856"/>
        <v>21.335235420814534</v>
      </c>
      <c r="BE182" s="51" t="str">
        <f>+$D$182</f>
        <v>21.0-22.5</v>
      </c>
      <c r="BF182" s="103">
        <f t="shared" si="857"/>
        <v>21.396580475776812</v>
      </c>
      <c r="BG182" s="1137"/>
      <c r="BH182" s="1137"/>
      <c r="BI182" s="1137"/>
      <c r="BJ182" s="1137"/>
      <c r="BK182" s="1137"/>
      <c r="BL182" s="25"/>
      <c r="BM182" s="25"/>
      <c r="BN182" s="25"/>
    </row>
    <row r="183" spans="1:68" x14ac:dyDescent="0.25">
      <c r="B183" s="1804" t="s">
        <v>5</v>
      </c>
      <c r="C183" s="1312"/>
      <c r="D183" s="1295"/>
      <c r="E183" s="1296"/>
      <c r="F183" s="1297"/>
      <c r="G183" s="1296"/>
      <c r="H183" s="1297"/>
      <c r="I183" s="1298"/>
      <c r="J183" s="1295"/>
      <c r="K183" s="1296"/>
      <c r="L183" s="1297"/>
      <c r="M183" s="1296"/>
      <c r="N183" s="1297"/>
      <c r="O183" s="1296"/>
      <c r="P183" s="1297"/>
      <c r="Q183" s="1298"/>
      <c r="R183" s="1295"/>
      <c r="S183" s="1296"/>
      <c r="T183" s="1297"/>
      <c r="U183" s="1298"/>
      <c r="V183" s="1295"/>
      <c r="W183" s="1296"/>
      <c r="X183" s="1297"/>
      <c r="Y183" s="1295"/>
      <c r="Z183" s="1295"/>
      <c r="AA183" s="2353"/>
      <c r="AB183" s="1297"/>
      <c r="AC183" s="1296"/>
      <c r="AD183" s="1297"/>
      <c r="AE183" s="1298"/>
      <c r="AF183" s="1297"/>
      <c r="AG183" s="1296"/>
      <c r="AH183" s="1297"/>
      <c r="AI183" s="1298"/>
      <c r="AJ183" s="1297"/>
      <c r="AK183" s="1296"/>
      <c r="AL183" s="1297"/>
      <c r="AM183" s="1295"/>
      <c r="AN183" s="1295"/>
      <c r="AO183" s="1298"/>
      <c r="AP183" s="1297"/>
      <c r="AQ183" s="1296"/>
      <c r="AR183" s="1297"/>
      <c r="AS183" s="1298"/>
      <c r="AT183" s="1297"/>
      <c r="AU183" s="1296"/>
      <c r="AV183" s="1297"/>
      <c r="AW183" s="1298"/>
      <c r="AX183" s="1297"/>
      <c r="AY183" s="1296"/>
      <c r="AZ183" s="1297"/>
      <c r="BA183" s="1295"/>
      <c r="BB183" s="1295"/>
      <c r="BC183" s="2353"/>
      <c r="BD183" s="1297"/>
      <c r="BE183" s="1298"/>
      <c r="BF183" s="1297"/>
      <c r="BG183" s="1137">
        <f t="shared" si="746"/>
        <v>0</v>
      </c>
      <c r="BH183" s="1137">
        <f t="shared" si="747"/>
        <v>0</v>
      </c>
      <c r="BI183" s="1137"/>
      <c r="BJ183" s="1137">
        <f t="shared" si="754"/>
        <v>0</v>
      </c>
      <c r="BK183" s="1137">
        <f t="shared" si="755"/>
        <v>0</v>
      </c>
      <c r="BL183" s="25"/>
      <c r="BM183" s="25"/>
      <c r="BN183" s="25"/>
    </row>
    <row r="184" spans="1:68" x14ac:dyDescent="0.25">
      <c r="B184" s="1771" t="s">
        <v>214</v>
      </c>
      <c r="C184" s="1306" t="s">
        <v>210</v>
      </c>
      <c r="D184" s="3047">
        <f>+(D185*D18)/1000000</f>
        <v>382.59915811000002</v>
      </c>
      <c r="E184" s="895">
        <f>+(E185*E18)/1000000</f>
        <v>31.086846000000005</v>
      </c>
      <c r="F184" s="339">
        <v>30.9542</v>
      </c>
      <c r="G184" s="895">
        <f>+(G185*G18)/1000000</f>
        <v>32.588626000000005</v>
      </c>
      <c r="H184" s="386">
        <f>32246.7759158506/1000</f>
        <v>32.246775915850598</v>
      </c>
      <c r="I184" s="52">
        <f>+(I185*I18)/1000000</f>
        <v>63.675472000000006</v>
      </c>
      <c r="J184" s="119">
        <f>+F184+H184</f>
        <v>63.200975915850599</v>
      </c>
      <c r="K184" s="895">
        <f>+(K185*K18)/1000000</f>
        <v>31.537380000000002</v>
      </c>
      <c r="L184" s="386">
        <v>30.995259999999998</v>
      </c>
      <c r="M184" s="220">
        <f>+(M185*M18)/1000000</f>
        <v>95.212852000000012</v>
      </c>
      <c r="N184" s="115">
        <f>+L184+H184+F184</f>
        <v>94.196235915850593</v>
      </c>
      <c r="O184" s="895">
        <f>+(O185*O18)/1000000</f>
        <v>32.588626000000005</v>
      </c>
      <c r="P184" s="386">
        <v>32.070999999999998</v>
      </c>
      <c r="Q184" s="52">
        <f>+(Q185*Q18)/1000000</f>
        <v>127.80147800000003</v>
      </c>
      <c r="R184" s="119">
        <f>+N184+P184</f>
        <v>126.26723591585059</v>
      </c>
      <c r="S184" s="895">
        <f>+(S185*S18)/1000000</f>
        <v>32.588626000000005</v>
      </c>
      <c r="T184" s="386">
        <v>31.417210000000001</v>
      </c>
      <c r="U184" s="52">
        <f>+(U185*U18)/1000000</f>
        <v>160.39010400000004</v>
      </c>
      <c r="V184" s="119">
        <f>+R184+T184</f>
        <v>157.6844459158506</v>
      </c>
      <c r="W184" s="895">
        <f>+(W185*W18)/1000000</f>
        <v>30.089235000000002</v>
      </c>
      <c r="X184" s="386">
        <v>30.898</v>
      </c>
      <c r="Y184" s="220">
        <f>+(Y185*Y18)/1000000</f>
        <v>95.266487000000026</v>
      </c>
      <c r="Z184" s="220">
        <f>+P184+T184+X184</f>
        <v>94.386209999999991</v>
      </c>
      <c r="AA184" s="436">
        <f>+(AA185*AA18)/1000000</f>
        <v>190.47933900000007</v>
      </c>
      <c r="AB184" s="454">
        <f>+N184+Z184</f>
        <v>188.5824459158506</v>
      </c>
      <c r="AC184" s="895">
        <f>+(AC185*AC18)/1000000</f>
        <v>32.588626000000005</v>
      </c>
      <c r="AD184" s="386">
        <v>31.082999999999998</v>
      </c>
      <c r="AE184" s="52">
        <f>+(AE185*AE18)/1000000</f>
        <v>223.0679650000001</v>
      </c>
      <c r="AF184" s="119">
        <f>+AB184+AD184</f>
        <v>219.6654459158506</v>
      </c>
      <c r="AG184" s="895">
        <f>+(AG185*AG18)/1000000</f>
        <v>31.537380000000002</v>
      </c>
      <c r="AH184" s="386">
        <v>30.731999999999999</v>
      </c>
      <c r="AI184" s="52">
        <f>+(AI185*AI18)/1000000</f>
        <v>254.60534500000009</v>
      </c>
      <c r="AJ184" s="119">
        <f>+AF184+AH184</f>
        <v>250.3974459158506</v>
      </c>
      <c r="AK184" s="895">
        <f>+(AK185*AK18)/1000000</f>
        <v>32.588626000000005</v>
      </c>
      <c r="AL184" s="386">
        <v>31.358499999999999</v>
      </c>
      <c r="AM184" s="220">
        <f>+(AM185*AM18)/1000000</f>
        <v>96.714632000000023</v>
      </c>
      <c r="AN184" s="220">
        <f>+AD184+AH184+AL184</f>
        <v>93.17349999999999</v>
      </c>
      <c r="AO184" s="52">
        <f>+(AO185*AO18)/1000000</f>
        <v>287.19397100000015</v>
      </c>
      <c r="AP184" s="119">
        <f>+AL184+AJ184</f>
        <v>281.75594591585059</v>
      </c>
      <c r="AQ184" s="895">
        <f>+(AQ185*AQ18)/1000000</f>
        <v>32.588626000000005</v>
      </c>
      <c r="AR184" s="386">
        <v>31.363</v>
      </c>
      <c r="AS184" s="52">
        <f>+(AS185*AS18)/1000000</f>
        <v>319.78259700000012</v>
      </c>
      <c r="AT184" s="119">
        <f>+AP184+AR184</f>
        <v>313.11894591585059</v>
      </c>
      <c r="AU184" s="895">
        <f>+(AU185*AU18)/1000000</f>
        <v>29.434888000000004</v>
      </c>
      <c r="AV184" s="386">
        <v>28.876999999999999</v>
      </c>
      <c r="AW184" s="52">
        <f>+(AW185*AW18)/1000000</f>
        <v>349.21748500000012</v>
      </c>
      <c r="AX184" s="119">
        <f>+AT184+AV184</f>
        <v>341.9959459158506</v>
      </c>
      <c r="AY184" s="895">
        <f>+(AY185*AY18)/1000000</f>
        <v>32.588626000000005</v>
      </c>
      <c r="AZ184" s="386">
        <v>31.378</v>
      </c>
      <c r="BA184" s="75">
        <f>+(BA185*BA18)/1000000</f>
        <v>94.612140000000011</v>
      </c>
      <c r="BB184" s="109">
        <f>+AR184+AV184+AZ184</f>
        <v>91.617999999999995</v>
      </c>
      <c r="BC184" s="634">
        <f>+(BC185*BC18)/1000000</f>
        <v>191.32677200000006</v>
      </c>
      <c r="BD184" s="448">
        <f>+AN184+BB184</f>
        <v>184.79149999999998</v>
      </c>
      <c r="BE184" s="51">
        <f>+(BE185*BE18)/1000000</f>
        <v>381.8061110000001</v>
      </c>
      <c r="BF184" s="103">
        <f>+AX184+AZ184</f>
        <v>373.37394591585058</v>
      </c>
      <c r="BG184" s="1137">
        <f t="shared" si="746"/>
        <v>0</v>
      </c>
      <c r="BH184" s="1137">
        <f t="shared" si="747"/>
        <v>0</v>
      </c>
      <c r="BI184" s="1137"/>
      <c r="BJ184" s="1137">
        <f t="shared" si="754"/>
        <v>0</v>
      </c>
      <c r="BK184" s="1137">
        <f t="shared" si="755"/>
        <v>0</v>
      </c>
      <c r="BL184" s="25"/>
      <c r="BM184" s="25"/>
      <c r="BN184" s="25"/>
    </row>
    <row r="185" spans="1:68" x14ac:dyDescent="0.25">
      <c r="B185" s="1772" t="s">
        <v>215</v>
      </c>
      <c r="C185" s="1306" t="s">
        <v>211</v>
      </c>
      <c r="D185" s="3044">
        <v>340.00000000000006</v>
      </c>
      <c r="E185" s="3042">
        <f>+$D$185</f>
        <v>340.00000000000006</v>
      </c>
      <c r="F185" s="470">
        <f>+(F184*1000000)/F18</f>
        <v>332.2437146569365</v>
      </c>
      <c r="G185" s="5576">
        <f>+$D$185</f>
        <v>340.00000000000006</v>
      </c>
      <c r="H185" s="470">
        <f>+(H184*1000000)/H18</f>
        <v>338.21469724765979</v>
      </c>
      <c r="I185" s="2403">
        <f>+$D$185</f>
        <v>340.00000000000006</v>
      </c>
      <c r="J185" s="86">
        <f>+(J184*1000000)/J18</f>
        <v>335.26368275554165</v>
      </c>
      <c r="K185" s="5672">
        <f>+$D$185</f>
        <v>340.00000000000006</v>
      </c>
      <c r="L185" s="470">
        <f>+(L184*1000000)/L18</f>
        <v>332.57180625910019</v>
      </c>
      <c r="M185" s="2405">
        <f>+$D$185</f>
        <v>340.00000000000006</v>
      </c>
      <c r="N185" s="117">
        <f>+(N184*1000000)/N18</f>
        <v>334.37312354728897</v>
      </c>
      <c r="O185" s="5828">
        <f>+$D$185</f>
        <v>340.00000000000006</v>
      </c>
      <c r="P185" s="470">
        <f>+(P184*1000000)/P18</f>
        <v>331.21976887633031</v>
      </c>
      <c r="Q185" s="2403">
        <f>+$D$185</f>
        <v>340.00000000000006</v>
      </c>
      <c r="R185" s="86">
        <f>+(R184*1000000)/R18</f>
        <v>333.56651865604272</v>
      </c>
      <c r="S185" s="5905">
        <f>+$D$185</f>
        <v>340.00000000000006</v>
      </c>
      <c r="T185" s="470">
        <f>+(T184*1000000)/T18</f>
        <v>326.06127216702629</v>
      </c>
      <c r="U185" s="4321">
        <f>+$D$185</f>
        <v>340.00000000000006</v>
      </c>
      <c r="V185" s="86">
        <f>+(V184*1000000)/V18</f>
        <v>332.0437294733789</v>
      </c>
      <c r="W185" s="5999">
        <f>+$D$185</f>
        <v>340.00000000000006</v>
      </c>
      <c r="X185" s="470">
        <f>+(X184*1000000)/X18</f>
        <v>330.52122506154882</v>
      </c>
      <c r="Y185" s="2405">
        <f>+$D$185</f>
        <v>340.00000000000006</v>
      </c>
      <c r="Z185" s="117">
        <f>+(Z184*1000000)/Z18</f>
        <v>329.2580877984729</v>
      </c>
      <c r="AA185" s="608">
        <f>+$D$185</f>
        <v>340.00000000000006</v>
      </c>
      <c r="AB185" s="458">
        <f>+(AB184*1000000)/AB18</f>
        <v>331.7933170075309</v>
      </c>
      <c r="AC185" s="6130">
        <f>+$D$185</f>
        <v>340.00000000000006</v>
      </c>
      <c r="AD185" s="470">
        <f>+(AD184*1000000)/AD18</f>
        <v>326.98244216951059</v>
      </c>
      <c r="AE185" s="2428">
        <f>+$D$185</f>
        <v>340.00000000000006</v>
      </c>
      <c r="AF185" s="86">
        <f>+(AF184*1000000)/AF18</f>
        <v>331.10399011543677</v>
      </c>
      <c r="AG185" s="6292">
        <f>+$D$185</f>
        <v>340.00000000000006</v>
      </c>
      <c r="AH185" s="470">
        <f>+(AH184*1000000)/AH18</f>
        <v>329.07868248597248</v>
      </c>
      <c r="AI185" s="2475">
        <f>+$D$185</f>
        <v>340.00000000000006</v>
      </c>
      <c r="AJ185" s="86">
        <f>+(AJ184*1000000)/AJ18</f>
        <v>330.85407721802079</v>
      </c>
      <c r="AK185" s="6561">
        <f>+$D$185</f>
        <v>340.00000000000006</v>
      </c>
      <c r="AL185" s="470">
        <f>+(AL184*1000000)/AL18</f>
        <v>324.70769990644533</v>
      </c>
      <c r="AM185" s="2532">
        <f>+$D$185</f>
        <v>340.00000000000006</v>
      </c>
      <c r="AN185" s="117">
        <f>+(AN184*1000000)/AN18</f>
        <v>326.89852422280745</v>
      </c>
      <c r="AO185" s="2530">
        <f>+$D$185</f>
        <v>340.00000000000006</v>
      </c>
      <c r="AP185" s="86">
        <f>+(AP184*1000000)/AP18</f>
        <v>330.15852244887094</v>
      </c>
      <c r="AQ185" s="6638">
        <f>+$D$185</f>
        <v>340.00000000000006</v>
      </c>
      <c r="AR185" s="470">
        <f>+(AR184*1000000)/AR18</f>
        <v>327.64433096851633</v>
      </c>
      <c r="AS185" s="2591">
        <f>+$D$185</f>
        <v>340.00000000000006</v>
      </c>
      <c r="AT185" s="86">
        <f>+(AT184*1000000)/AT18</f>
        <v>329.90495541927294</v>
      </c>
      <c r="AU185" s="6823">
        <f>+$D$185</f>
        <v>340.00000000000006</v>
      </c>
      <c r="AV185" s="470">
        <f>+(AV184*1000000)/AV18</f>
        <v>333.43436705261547</v>
      </c>
      <c r="AW185" s="5012">
        <f>+$D$185</f>
        <v>340.00000000000006</v>
      </c>
      <c r="AX185" s="86">
        <f>+(AX184*1000000)/AX18</f>
        <v>330.2000765029066</v>
      </c>
      <c r="AY185" s="6969">
        <f>+$D$185</f>
        <v>340.00000000000006</v>
      </c>
      <c r="AZ185" s="470">
        <f>+(AZ184*1000000)/AZ18</f>
        <v>325.12204510449277</v>
      </c>
      <c r="BA185" s="2797">
        <f>+$D$185</f>
        <v>340.00000000000006</v>
      </c>
      <c r="BB185" s="117">
        <f>+(BB184*1000000)/BB18</f>
        <v>328.56965079119158</v>
      </c>
      <c r="BC185" s="608">
        <f>+$D$185</f>
        <v>340.00000000000006</v>
      </c>
      <c r="BD185" s="458">
        <f>+(BD184*1000000)/BD18</f>
        <v>327.72492398843963</v>
      </c>
      <c r="BE185" s="2796">
        <f>+$D$185</f>
        <v>340.00000000000006</v>
      </c>
      <c r="BF185" s="86">
        <f>+(BF184*1000000)/BF18</f>
        <v>329.76722622153039</v>
      </c>
      <c r="BG185" s="1137"/>
      <c r="BH185" s="1137"/>
      <c r="BI185" s="1137"/>
      <c r="BJ185" s="1137"/>
      <c r="BK185" s="1137"/>
      <c r="BL185" s="25"/>
      <c r="BM185" s="25"/>
      <c r="BN185" s="25"/>
    </row>
    <row r="186" spans="1:68" x14ac:dyDescent="0.25">
      <c r="B186" s="1771" t="s">
        <v>216</v>
      </c>
      <c r="C186" s="1306" t="s">
        <v>212</v>
      </c>
      <c r="D186" s="3407">
        <v>4225</v>
      </c>
      <c r="E186" s="3042">
        <f>+$D$186</f>
        <v>4225</v>
      </c>
      <c r="F186" s="170">
        <v>4265.7</v>
      </c>
      <c r="G186" s="5576">
        <f>+$D$186</f>
        <v>4225</v>
      </c>
      <c r="H186" s="170">
        <v>4266.08</v>
      </c>
      <c r="I186" s="2403">
        <f>+$D$186</f>
        <v>4225</v>
      </c>
      <c r="J186" s="37">
        <f>+((F186*F184)+(H184*H186))/J184</f>
        <v>4265.8938858486035</v>
      </c>
      <c r="K186" s="5672">
        <f>+$D$186</f>
        <v>4225</v>
      </c>
      <c r="L186" s="170">
        <v>4267.9799999999996</v>
      </c>
      <c r="M186" s="2405">
        <f>+$D$186</f>
        <v>4225</v>
      </c>
      <c r="N186" s="67">
        <f>+((J186*J184)+(L184*L186))/N184</f>
        <v>4266.5803214570287</v>
      </c>
      <c r="O186" s="5828">
        <f>+$D$186</f>
        <v>4225</v>
      </c>
      <c r="P186" s="170">
        <v>4266.47</v>
      </c>
      <c r="Q186" s="2403">
        <f>+$D$186</f>
        <v>4225</v>
      </c>
      <c r="R186" s="37">
        <f>+((N186*N184)+(P184*P186))/R184</f>
        <v>4266.5523005739969</v>
      </c>
      <c r="S186" s="5905">
        <f>+$D$186</f>
        <v>4225</v>
      </c>
      <c r="T186" s="170">
        <v>4264.1099999999997</v>
      </c>
      <c r="U186" s="4395">
        <f>+$D$161</f>
        <v>4225</v>
      </c>
      <c r="V186" s="37">
        <f>+((R186*R184)+(T184*T186))/V184</f>
        <v>4266.065694114046</v>
      </c>
      <c r="W186" s="5999">
        <f>+$D$186</f>
        <v>4225</v>
      </c>
      <c r="X186" s="170">
        <v>4266.33</v>
      </c>
      <c r="Y186" s="2405">
        <f>+$D$186</f>
        <v>4225</v>
      </c>
      <c r="Z186" s="67">
        <f>+((P186*P184)+(T186*T184)+(X184*X186))/Z184</f>
        <v>4265.638624997232</v>
      </c>
      <c r="AA186" s="608">
        <f>+$D$186</f>
        <v>4225</v>
      </c>
      <c r="AB186" s="428">
        <f>+((N186*N184)+(Z184*Z186))/AB184</f>
        <v>4266.1089989042912</v>
      </c>
      <c r="AC186" s="6130">
        <f>+$D$186</f>
        <v>4225</v>
      </c>
      <c r="AD186" s="170">
        <v>4264.92</v>
      </c>
      <c r="AE186" s="2428">
        <f>+$D$186</f>
        <v>4225</v>
      </c>
      <c r="AF186" s="37">
        <f>+((AB186*AB184)+(AD184*AD186))/AF184</f>
        <v>4265.9407537222232</v>
      </c>
      <c r="AG186" s="6292">
        <f>+$D$186</f>
        <v>4225</v>
      </c>
      <c r="AH186" s="170">
        <v>4261.79</v>
      </c>
      <c r="AI186" s="2475">
        <f>+$D$186</f>
        <v>4225</v>
      </c>
      <c r="AJ186" s="37">
        <f>+((AF186*AF184)+(AH184*AH186))/AJ184</f>
        <v>4265.4313197584506</v>
      </c>
      <c r="AK186" s="6561">
        <f>+$D$186</f>
        <v>4225</v>
      </c>
      <c r="AL186" s="170">
        <v>4257.7700000000004</v>
      </c>
      <c r="AM186" s="2532">
        <f>+$D$186</f>
        <v>4225</v>
      </c>
      <c r="AN186" s="67">
        <f>+((AD186*AD184)+(AH186*AH184)+(AL184*AL186))/AN184</f>
        <v>4261.4812064052549</v>
      </c>
      <c r="AO186" s="2530">
        <f>+$D$186</f>
        <v>4225</v>
      </c>
      <c r="AP186" s="37">
        <f>+((AL186*AL184)+(AJ184*AJ186))/AP184</f>
        <v>4264.5786403416441</v>
      </c>
      <c r="AQ186" s="6638">
        <f>+$D$186</f>
        <v>4225</v>
      </c>
      <c r="AR186" s="170">
        <v>4259.25</v>
      </c>
      <c r="AS186" s="2591">
        <f>+$D$186</f>
        <v>4225</v>
      </c>
      <c r="AT186" s="37">
        <f>+((AP186*AP184)+(AR184*AR186))/AT184</f>
        <v>4264.0449065985576</v>
      </c>
      <c r="AU186" s="6823">
        <f>+$D$186</f>
        <v>4225</v>
      </c>
      <c r="AV186" s="170">
        <v>4264.04</v>
      </c>
      <c r="AW186" s="5012">
        <f>+$D$186</f>
        <v>4225</v>
      </c>
      <c r="AX186" s="37">
        <f>+((AT186*AT184)+(AV184*AV186))/AX184</f>
        <v>4264.0444923016967</v>
      </c>
      <c r="AY186" s="6969">
        <f>+$D$186</f>
        <v>4225</v>
      </c>
      <c r="AZ186" s="170">
        <v>4264.3</v>
      </c>
      <c r="BA186" s="2797">
        <f>+$D$186</f>
        <v>4225</v>
      </c>
      <c r="BB186" s="67">
        <f>+((AR186*AR184)+(AV186*AV184)+(AZ186*AZ184))/BB184</f>
        <v>4262.4893168373028</v>
      </c>
      <c r="BC186" s="608">
        <f>+$D$186</f>
        <v>4225</v>
      </c>
      <c r="BD186" s="428">
        <f>+((AN186*AN184)+(BB184*BB186))/BD184</f>
        <v>4261.9810186886298</v>
      </c>
      <c r="BE186" s="2796">
        <f>+$D$186</f>
        <v>4225</v>
      </c>
      <c r="BF186" s="37">
        <f>+((AX186*AX184)+(AZ186*AZ184))/BF184</f>
        <v>4264.065964931604</v>
      </c>
      <c r="BG186" s="1137"/>
      <c r="BH186" s="1137"/>
      <c r="BI186" s="1137"/>
      <c r="BJ186" s="1137"/>
      <c r="BK186" s="1137"/>
      <c r="BL186" s="25"/>
      <c r="BM186" s="25"/>
      <c r="BN186" s="25"/>
    </row>
    <row r="187" spans="1:68" x14ac:dyDescent="0.25">
      <c r="A187" s="137">
        <v>30.467097599999999</v>
      </c>
      <c r="B187" s="1771" t="s">
        <v>547</v>
      </c>
      <c r="C187" s="1306" t="s">
        <v>299</v>
      </c>
      <c r="D187" s="372">
        <v>2.7544166666666672</v>
      </c>
      <c r="E187" s="725">
        <f>+(EMD!D23)/(24*E2)</f>
        <v>5.1176000000000004</v>
      </c>
      <c r="F187" s="125">
        <f>+(EMD!E23)/(24*F2)</f>
        <v>3.7768194444444445</v>
      </c>
      <c r="G187" s="725">
        <f>+(EMD!F23)/(24*G2)</f>
        <v>3.0229881656804669</v>
      </c>
      <c r="H187" s="125">
        <f>+(EMD!G23)/(24*H2)</f>
        <v>3.2312822713198526</v>
      </c>
      <c r="I187" s="51">
        <f>+(EMD!H23)/(24*I2)</f>
        <v>4.0531251333785976</v>
      </c>
      <c r="J187" s="51">
        <f>+(EMD!I23)/(24*J2)</f>
        <v>3.4995792417089961</v>
      </c>
      <c r="K187" s="725">
        <f>+(EMD!J23)/(24*K2)</f>
        <v>3.0229881656804674</v>
      </c>
      <c r="L187" s="125">
        <f>+(EMD!K23)/(24*L2)</f>
        <v>2.4660706434818951</v>
      </c>
      <c r="M187" s="75">
        <f>+(EMD!L23)/(24*M2)</f>
        <v>3.7135195396319616</v>
      </c>
      <c r="N187" s="109">
        <f>+((F187*F$2)+(H187*H$2)+(L187*L$2))/N$2</f>
        <v>3.1588621214143475</v>
      </c>
      <c r="O187" s="725">
        <f>+(EMD!N23)/(24*O2)</f>
        <v>3.0229881656804669</v>
      </c>
      <c r="P187" s="125">
        <f>+(EMD!O23)/(24*P2)</f>
        <v>2.3550810876015635</v>
      </c>
      <c r="Q187" s="51">
        <f>+(EMD!P23)/(24*Q2)</f>
        <v>3.5380566495295329</v>
      </c>
      <c r="R187" s="51">
        <f>+(EMD!Q23)/(24*R2)</f>
        <v>2.954622678396345</v>
      </c>
      <c r="S187" s="725">
        <f>+(EMD!R23)/(24*S2)</f>
        <v>3.0293934911242606</v>
      </c>
      <c r="T187" s="125">
        <f>+(EMD!S23)/(24*T2)</f>
        <v>2.9080478264353409</v>
      </c>
      <c r="U187" s="51">
        <f>+(EMD!T23)/(24*U2)</f>
        <v>3.4349941795258503</v>
      </c>
      <c r="V187" s="51">
        <f>+(EMD!U23)/(24*V2)</f>
        <v>2.9451859436852916</v>
      </c>
      <c r="W187" s="725">
        <f>+(EMD!V23)/(24*W2)</f>
        <v>10.7</v>
      </c>
      <c r="X187" s="125">
        <f>+(EMD!W23)/(24*X2)</f>
        <v>2.6607083333333335</v>
      </c>
      <c r="Y187" s="75">
        <f>+(EMD!X23)/(24*Y2)</f>
        <v>5.5285199060972445</v>
      </c>
      <c r="Z187" s="75">
        <f>+((P187*P$2)+(T187*T$2)+(X187*X$2))/Z$2</f>
        <v>2.6410678949472177</v>
      </c>
      <c r="AA187" s="634">
        <f>+(EMD!Z23)/(24*AA2)</f>
        <v>4.6259787402593169</v>
      </c>
      <c r="AB187" s="2295">
        <f>+((N187*N$2)+(Z187*Z$2))/AB$2</f>
        <v>2.8985502698571017</v>
      </c>
      <c r="AC187" s="725">
        <f>+(EMD!AB23)/(24*AC2)</f>
        <v>3.0293934911242606</v>
      </c>
      <c r="AD187" s="125">
        <f>+(EMD!AC23)/(24*AD2)</f>
        <v>5.6063575268817205</v>
      </c>
      <c r="AE187" s="51">
        <f>+(EMD!AD23)/(24*AE2)</f>
        <v>4.3946976994967617</v>
      </c>
      <c r="AF187" s="1779">
        <f>+(EMD!AE23)/(24*AF2)</f>
        <v>3.2908027229774905</v>
      </c>
      <c r="AG187" s="725">
        <f>+(EMD!AF23)/(24*AG2)</f>
        <v>3.029393491124261</v>
      </c>
      <c r="AH187" s="125">
        <f>+(EMD!AG23)/(24*AH2)</f>
        <v>3.2409722222222221</v>
      </c>
      <c r="AI187" s="51">
        <f>+(EMD!AH23)/(24*AI2)</f>
        <v>4.2268324279755527</v>
      </c>
      <c r="AJ187" s="1779">
        <f>+(EMD!AI23)/(24*AJ2)</f>
        <v>3.2846760220649576</v>
      </c>
      <c r="AK187" s="725">
        <f>+(EMD!AJ23)/(24*AK2)</f>
        <v>3.0293934911242606</v>
      </c>
      <c r="AL187" s="125">
        <f>+(EMD!AK23)/(24*AL2)</f>
        <v>2.8040322580645158</v>
      </c>
      <c r="AM187" s="75">
        <f>+(EMD!AL23)/(24*AM2)</f>
        <v>3.0293934911242606</v>
      </c>
      <c r="AN187" s="108">
        <f>+(EMD!AM23)/(24*AN2)</f>
        <v>3.890774456521739</v>
      </c>
      <c r="AO187" s="51">
        <f>+(EMD!AN23)/(24*AO2)</f>
        <v>4.0918484023668613</v>
      </c>
      <c r="AP187" s="101">
        <f>+(EMD!AO23)/(24*AP2)</f>
        <v>3.230494361395817</v>
      </c>
      <c r="AQ187" s="725">
        <f>+(EMD!AP23)/(24*AQ2)</f>
        <v>3.0293934911242606</v>
      </c>
      <c r="AR187" s="125">
        <f>+(EMD!AQ23)/(24*AR2)</f>
        <v>2.8295967741935479</v>
      </c>
      <c r="AS187" s="51">
        <f>+(EMD!AR23)/(24*AS2)</f>
        <v>3.9842140812932643</v>
      </c>
      <c r="AT187" s="1779">
        <f>+(EMD!AS23)/(24*AT2)</f>
        <v>3.1898805535419923</v>
      </c>
      <c r="AU187" s="725">
        <f>+(EMD!AT23)/(24*AU2)</f>
        <v>3.0293934911242544</v>
      </c>
      <c r="AV187" s="125">
        <f>+(EMD!AU23)/(24*AV2)</f>
        <v>4.2283333333333335</v>
      </c>
      <c r="AW187" s="51">
        <f>+(EMD!AV23)/(24*AW2)</f>
        <v>3.9041692413988565</v>
      </c>
      <c r="AX187" s="1779">
        <f>+(EMD!AW23)/(24*AX2)</f>
        <v>3.2769364752011465</v>
      </c>
      <c r="AY187" s="725">
        <f>+(EMD!AX23)/(24*AY2)</f>
        <v>3.0293934911242606</v>
      </c>
      <c r="AZ187" s="125">
        <f>+(EMD!AY23)/(24*AZ2)</f>
        <v>4.4349999999999996</v>
      </c>
      <c r="BA187" s="75">
        <f>+(EMD!AZ23)/(24*BA2)</f>
        <v>3.0293934911242588</v>
      </c>
      <c r="BB187" s="109">
        <f>+(EMD!BA23)/(24*BB2)</f>
        <v>3.8177314814814811</v>
      </c>
      <c r="BC187" s="634">
        <f>+(EMD!BB23)/(24*BC2)</f>
        <v>3.0293934911242597</v>
      </c>
      <c r="BD187" s="448">
        <f>+(EMD!BC23)/(24*BD2)</f>
        <v>3.8546543040293035</v>
      </c>
      <c r="BE187" s="51">
        <f>+(EMD!BD23)/(24*BE2)</f>
        <v>3.8298732187727951</v>
      </c>
      <c r="BF187" s="103">
        <f>+(EMD!BE23)/(24*BF2)</f>
        <v>3.3752925553895423</v>
      </c>
      <c r="BG187" s="1137"/>
      <c r="BH187" s="1137"/>
      <c r="BI187" s="1137"/>
      <c r="BJ187" s="1137"/>
      <c r="BK187" s="1137"/>
      <c r="BL187" s="25"/>
      <c r="BM187" s="25"/>
      <c r="BN187" s="25"/>
      <c r="BP187" s="4487"/>
    </row>
    <row r="188" spans="1:68" x14ac:dyDescent="0.25">
      <c r="B188" s="1771" t="s">
        <v>548</v>
      </c>
      <c r="C188" s="1306" t="s">
        <v>299</v>
      </c>
      <c r="D188" s="372">
        <v>87.5</v>
      </c>
      <c r="E188" s="725">
        <f>+(EMD!D59)/(24*E2)</f>
        <v>75</v>
      </c>
      <c r="F188" s="125">
        <f>+(EMD!E59)/(24*F2)</f>
        <v>88.077777777777783</v>
      </c>
      <c r="G188" s="725">
        <f>+(EMD!F59)/(24*G2)</f>
        <v>86.5</v>
      </c>
      <c r="H188" s="125">
        <f>+(EMD!G59)/(24*H2)</f>
        <v>86.924731182795696</v>
      </c>
      <c r="I188" s="51">
        <f>+(EMD!H59)/(24*I2)</f>
        <v>80.844262295081961</v>
      </c>
      <c r="J188" s="51">
        <f>+(EMD!I59)/(24*J2)</f>
        <v>87.491803278688522</v>
      </c>
      <c r="K188" s="725">
        <f>+(EMD!J59)/(24*K2)</f>
        <v>86.5</v>
      </c>
      <c r="L188" s="125">
        <f>+(EMD!K59)/(24*L2)</f>
        <v>91.350462962962951</v>
      </c>
      <c r="M188" s="75">
        <f>+(EMD!L59)/(24*M2)</f>
        <v>82.708791208791212</v>
      </c>
      <c r="N188" s="109">
        <f>+((F188*F$2)+(H188*H$2)+(L188*L$2))/N$2</f>
        <v>88.763888888888886</v>
      </c>
      <c r="O188" s="725">
        <f>+(EMD!N59)/(24*O2)</f>
        <v>86.5</v>
      </c>
      <c r="P188" s="125">
        <f>+(EMD!O59)/(24*P2)</f>
        <v>92.540322580645167</v>
      </c>
      <c r="Q188" s="51">
        <f>+(EMD!P59)/(24*Q2)</f>
        <v>83.672131147540981</v>
      </c>
      <c r="R188" s="51">
        <f>+(EMD!Q59)/(24*R2)</f>
        <v>89.723474499089249</v>
      </c>
      <c r="S188" s="725">
        <f>+(EMD!R59)/(24*S2)</f>
        <v>86.5</v>
      </c>
      <c r="T188" s="125">
        <f>+(EMD!S59)/(24*T2)</f>
        <v>88.795698924731184</v>
      </c>
      <c r="U188" s="51">
        <f>+(EMD!T59)/(24*U2)</f>
        <v>84.245098039215691</v>
      </c>
      <c r="V188" s="51">
        <f>+(EMD!U59)/(24*V2)</f>
        <v>89.535493827160494</v>
      </c>
      <c r="W188" s="725">
        <f>+(EMD!V59)/(24*W2)</f>
        <v>45</v>
      </c>
      <c r="X188" s="125">
        <f>+(EMD!W59)/(24*X2)</f>
        <v>90.990555555555545</v>
      </c>
      <c r="Y188" s="75">
        <f>+(EMD!X59)/(24*Y2)</f>
        <v>72.967391304347828</v>
      </c>
      <c r="Z188" s="75">
        <f>+((P188*P$2)+(T188*T$2)+(X188*X$2))/Z$2</f>
        <v>90.773188405797086</v>
      </c>
      <c r="AA188" s="634">
        <f>+(EMD!Z59)/(24*AA2)</f>
        <v>77.811475409836063</v>
      </c>
      <c r="AB188" s="2295">
        <f>+((N188*N$2)+(Z188*Z$2))/AB$2</f>
        <v>89.774028536733454</v>
      </c>
      <c r="AC188" s="725">
        <f>+(EMD!AB59)/(24*AC2)</f>
        <v>86.5</v>
      </c>
      <c r="AD188" s="125">
        <f>+(EMD!AC59)/(24*AD2)</f>
        <v>74.58064516129032</v>
      </c>
      <c r="AE188" s="51">
        <f>+(EMD!AD59)/(24*AE2)</f>
        <v>79.070093457943926</v>
      </c>
      <c r="AF188" s="1779">
        <f>+(EMD!AE59)/(24*AF2)</f>
        <v>87.573117860851511</v>
      </c>
      <c r="AG188" s="725">
        <f>+(EMD!AF59)/(24*AG2)</f>
        <v>86.5</v>
      </c>
      <c r="AH188" s="125">
        <f>+(EMD!AG59)/(24*AH2)</f>
        <v>87.845833333333331</v>
      </c>
      <c r="AI188" s="51">
        <f>+(EMD!AH59)/(24*AI2)</f>
        <v>79.983606557377044</v>
      </c>
      <c r="AJ188" s="1779">
        <f>+(EMD!AI59)/(24*AJ2)</f>
        <v>87.606648451730422</v>
      </c>
      <c r="AK188" s="725">
        <f>+(EMD!AJ59)/(24*AK2)</f>
        <v>86.5</v>
      </c>
      <c r="AL188" s="125">
        <f>+(EMD!AK59)/(24*AL2)</f>
        <v>90.130241935483866</v>
      </c>
      <c r="AM188" s="75">
        <f>+(EMD!AL59)/(24*AM2)</f>
        <v>86.5</v>
      </c>
      <c r="AN188" s="108">
        <f>+(EMD!AM59)/(24*AN2)</f>
        <v>84.145788043478262</v>
      </c>
      <c r="AO188" s="51">
        <f>+(EMD!AN59)/(24*AO2)</f>
        <v>80.718181818181819</v>
      </c>
      <c r="AP188" s="101">
        <f>+(EMD!AO59)/(24*AP2)</f>
        <v>87.891126262626258</v>
      </c>
      <c r="AQ188" s="725">
        <f>+(EMD!AP59)/(24*AQ2)</f>
        <v>86.5</v>
      </c>
      <c r="AR188" s="125">
        <f>+(EMD!AQ59)/(24*AR2)</f>
        <v>89.588709677419359</v>
      </c>
      <c r="AS188" s="51">
        <f>+(EMD!AR59)/(24*AS2)</f>
        <v>81.303921568627445</v>
      </c>
      <c r="AT188" s="1779">
        <f>+(EMD!AS59)/(24*AT2)</f>
        <v>88.06310366739288</v>
      </c>
      <c r="AU188" s="725">
        <f>+(EMD!AT59)/(24*AU2)</f>
        <v>86.5</v>
      </c>
      <c r="AV188" s="125">
        <f>+(EMD!AU59)/(24*AV2)</f>
        <v>87.126488095238102</v>
      </c>
      <c r="AW188" s="51">
        <f>+(EMD!AV59)/(24*AW2)</f>
        <v>81.73952095808383</v>
      </c>
      <c r="AX188" s="1779">
        <f>+(EMD!AW59)/(24*AX2)</f>
        <v>87.98458499667332</v>
      </c>
      <c r="AY188" s="725">
        <f>+(EMD!AX59)/(24*AY2)</f>
        <v>86.5</v>
      </c>
      <c r="AZ188" s="125">
        <f>+(EMD!AY59)/(24*AZ2)</f>
        <v>88.23521505376344</v>
      </c>
      <c r="BA188" s="2877">
        <f>+(EMD!AZ59)/(24*BA2)</f>
        <v>86.5</v>
      </c>
      <c r="BB188" s="67">
        <f>+(EMD!BA59)/(24*BB2)</f>
        <v>88.356481481481481</v>
      </c>
      <c r="BC188" s="608">
        <f>+(EMD!BB59)/(24*BC2)</f>
        <v>86.5</v>
      </c>
      <c r="BD188" s="428">
        <f>+(EMD!BC59)/(24*BD2)</f>
        <v>86.227999084249092</v>
      </c>
      <c r="BE188" s="2876">
        <f>+(EMD!BD59)/(24*BE2)</f>
        <v>82.143835616438352</v>
      </c>
      <c r="BF188" s="37">
        <f>+(EMD!BE59)/(24*BF2)</f>
        <v>88.005871385083722</v>
      </c>
      <c r="BG188" s="1137"/>
      <c r="BH188" s="1137"/>
      <c r="BI188" s="1137"/>
      <c r="BJ188" s="1137"/>
      <c r="BK188" s="1137"/>
      <c r="BL188" s="25"/>
      <c r="BM188" s="25"/>
      <c r="BN188" s="25"/>
      <c r="BP188" s="4487"/>
    </row>
    <row r="189" spans="1:68" x14ac:dyDescent="0.25">
      <c r="B189" s="1802" t="s">
        <v>747</v>
      </c>
      <c r="C189" s="1306" t="s">
        <v>213</v>
      </c>
      <c r="D189" s="3407">
        <v>58606118.423650004</v>
      </c>
      <c r="E189" s="3042">
        <f>+'POWER DISTRIBUTION'!I19</f>
        <v>4761773.352</v>
      </c>
      <c r="F189" s="470">
        <f>+'POWER DISTRIBUTION'!J19</f>
        <v>4800473.7999999989</v>
      </c>
      <c r="G189" s="5576">
        <f>+'POWER DISTRIBUTION'!K19</f>
        <v>5443259.0310000004</v>
      </c>
      <c r="H189" s="470">
        <f>+'POWER DISTRIBUTION'!L19</f>
        <v>5230424.8400000054</v>
      </c>
      <c r="I189" s="2403">
        <f>+'POWER DISTRIBUTION'!M19</f>
        <v>10205032.383000001</v>
      </c>
      <c r="J189" s="37">
        <f>+'POWER DISTRIBUTION'!N19</f>
        <v>10030898.640000004</v>
      </c>
      <c r="K189" s="5672">
        <f>+'POWER DISTRIBUTION'!O19</f>
        <v>5267670.03</v>
      </c>
      <c r="L189" s="470">
        <f>+'POWER DISTRIBUTION'!P19</f>
        <v>4982808.9399999864</v>
      </c>
      <c r="M189" s="2405">
        <f>+'POWER DISTRIBUTION'!Q19</f>
        <v>15472702.413000003</v>
      </c>
      <c r="N189" s="117">
        <f>+L189+H189+F189</f>
        <v>15013707.579999991</v>
      </c>
      <c r="O189" s="5828">
        <f>+'POWER DISTRIBUTION'!S19</f>
        <v>5443259.0310000004</v>
      </c>
      <c r="P189" s="470">
        <f>+'POWER DISTRIBUTION'!T19</f>
        <v>5165082.3400000138</v>
      </c>
      <c r="Q189" s="2403">
        <f>+'POWER DISTRIBUTION'!U19</f>
        <v>20915961.444000002</v>
      </c>
      <c r="R189" s="37">
        <f>+'POWER DISTRIBUTION'!V19</f>
        <v>20178789.920000006</v>
      </c>
      <c r="S189" s="5905">
        <f>+'POWER DISTRIBUTION'!W19</f>
        <v>5443259.0310000004</v>
      </c>
      <c r="T189" s="470">
        <f>+'POWER DISTRIBUTION'!X19</f>
        <v>4967620.5999999903</v>
      </c>
      <c r="U189" s="4321">
        <f>+'POWER DISTRIBUTION'!Y19</f>
        <v>26359220.475000001</v>
      </c>
      <c r="V189" s="37">
        <f>+'POWER DISTRIBUTION'!Z19</f>
        <v>25146410.519999996</v>
      </c>
      <c r="W189" s="5999">
        <f>+'POWER DISTRIBUTION'!AA19</f>
        <v>5025787.2224999992</v>
      </c>
      <c r="X189" s="470">
        <f>+'POWER DISTRIBUTION'!AB19</f>
        <v>4729684.800000011</v>
      </c>
      <c r="Y189" s="2405">
        <f>+'POWER DISTRIBUTION'!AC19</f>
        <v>15912305.284499999</v>
      </c>
      <c r="Z189" s="2408">
        <f>+P189+T189+X189</f>
        <v>14862387.740000017</v>
      </c>
      <c r="AA189" s="608">
        <f>+'POWER DISTRIBUTION'!AE19</f>
        <v>31385007.697500002</v>
      </c>
      <c r="AB189" s="428">
        <f>+N189+Z189</f>
        <v>29876095.320000008</v>
      </c>
      <c r="AC189" s="6130">
        <f>+'POWER DISTRIBUTION'!AG19</f>
        <v>5443259.0310000004</v>
      </c>
      <c r="AD189" s="470">
        <f>+'POWER DISTRIBUTION'!AH19</f>
        <v>4972368.8999999939</v>
      </c>
      <c r="AE189" s="2428">
        <f>+'POWER DISTRIBUTION'!AI19</f>
        <v>36828266.728500001</v>
      </c>
      <c r="AF189" s="37">
        <f>+'POWER DISTRIBUTION'!AJ19</f>
        <v>34848464.219999999</v>
      </c>
      <c r="AG189" s="6292">
        <f>+'POWER DISTRIBUTION'!AK19</f>
        <v>5267670.03</v>
      </c>
      <c r="AH189" s="470">
        <f>+'POWER DISTRIBUTION'!AL19</f>
        <v>5090430.7000000188</v>
      </c>
      <c r="AI189" s="2475">
        <f>+'POWER DISTRIBUTION'!AM19</f>
        <v>42095936.758500002</v>
      </c>
      <c r="AJ189" s="37">
        <f>+'POWER DISTRIBUTION'!AN19</f>
        <v>39938894.920000017</v>
      </c>
      <c r="AK189" s="6561">
        <f>+'POWER DISTRIBUTION'!AO19</f>
        <v>5443259.0310000004</v>
      </c>
      <c r="AL189" s="470">
        <f>+'POWER DISTRIBUTION'!AP19</f>
        <v>5200091.999999986</v>
      </c>
      <c r="AM189" s="2532">
        <f>+'POWER DISTRIBUTION'!AQ19</f>
        <v>16154188.092</v>
      </c>
      <c r="AN189" s="2532">
        <f>+'POWER DISTRIBUTION'!AR19</f>
        <v>15262891.599999998</v>
      </c>
      <c r="AO189" s="2530">
        <f>+'POWER DISTRIBUTION'!AS19</f>
        <v>47539195.789500006</v>
      </c>
      <c r="AP189" s="37">
        <f>+'POWER DISTRIBUTION'!AT19</f>
        <v>45138986.920000002</v>
      </c>
      <c r="AQ189" s="6638">
        <f>+'POWER DISTRIBUTION'!AU19</f>
        <v>5443259.0310000004</v>
      </c>
      <c r="AR189" s="470">
        <f>+'POWER DISTRIBUTION'!AV19</f>
        <v>5008155.8999999892</v>
      </c>
      <c r="AS189" s="2591">
        <f>+'POWER DISTRIBUTION'!AW19</f>
        <v>52982454.820500009</v>
      </c>
      <c r="AT189" s="37">
        <f>+'POWER DISTRIBUTION'!AX19</f>
        <v>50147142.819999993</v>
      </c>
      <c r="AU189" s="6823">
        <f>+'POWER DISTRIBUTION'!AY19</f>
        <v>4916492.0280000009</v>
      </c>
      <c r="AV189" s="470">
        <f>+'POWER DISTRIBUTION'!AZ19</f>
        <v>4650549.8000000147</v>
      </c>
      <c r="AW189" s="5012">
        <f>+'POWER DISTRIBUTION'!BA19</f>
        <v>57898946.848500013</v>
      </c>
      <c r="AX189" s="37">
        <f>+'POWER DISTRIBUTION'!BB19</f>
        <v>54797692.620000005</v>
      </c>
      <c r="AY189" s="6969">
        <f>+'POWER DISTRIBUTION'!BC19</f>
        <v>5443259.0310000004</v>
      </c>
      <c r="AZ189" s="470">
        <f>+'POWER DISTRIBUTION'!BD19</f>
        <v>5022713.2999999952</v>
      </c>
      <c r="BA189" s="2877">
        <f>+'POWER DISTRIBUTION'!BE19</f>
        <v>15803010.09</v>
      </c>
      <c r="BB189" s="67">
        <f>+'POWER DISTRIBUTION'!BF19</f>
        <v>14681418.999999998</v>
      </c>
      <c r="BC189" s="608">
        <f>+'POWER DISTRIBUTION'!BG19</f>
        <v>31957198.182</v>
      </c>
      <c r="BD189" s="428">
        <f>+'POWER DISTRIBUTION'!BH19</f>
        <v>29944310.599999994</v>
      </c>
      <c r="BE189" s="2876">
        <f>+'POWER DISTRIBUTION'!BI19</f>
        <v>63342205.879500017</v>
      </c>
      <c r="BF189" s="37">
        <f>+'POWER DISTRIBUTION'!BJ19</f>
        <v>59820405.920000002</v>
      </c>
      <c r="BG189" s="1137">
        <f t="shared" si="746"/>
        <v>0</v>
      </c>
      <c r="BH189" s="1137">
        <f t="shared" si="747"/>
        <v>0</v>
      </c>
      <c r="BI189" s="1137"/>
      <c r="BJ189" s="1137">
        <f t="shared" si="754"/>
        <v>0</v>
      </c>
      <c r="BK189" s="1137">
        <f t="shared" si="755"/>
        <v>0</v>
      </c>
      <c r="BL189" s="25"/>
      <c r="BM189" s="25"/>
      <c r="BN189" s="25"/>
    </row>
    <row r="190" spans="1:68" x14ac:dyDescent="0.25">
      <c r="A190" s="502"/>
      <c r="B190" s="1802" t="s">
        <v>748</v>
      </c>
      <c r="C190" s="1306" t="s">
        <v>1711</v>
      </c>
      <c r="D190" s="372">
        <f t="shared" ref="D190:AI190" si="858">+D189/D18</f>
        <v>52.080826216329811</v>
      </c>
      <c r="E190" s="725">
        <f t="shared" si="858"/>
        <v>52.080000000000005</v>
      </c>
      <c r="F190" s="1232">
        <f t="shared" si="858"/>
        <v>51.52539065539731</v>
      </c>
      <c r="G190" s="725">
        <f t="shared" si="858"/>
        <v>56.79</v>
      </c>
      <c r="H190" s="1232">
        <f t="shared" si="858"/>
        <v>54.85840067712639</v>
      </c>
      <c r="I190" s="51">
        <f t="shared" si="858"/>
        <v>54.490542452830198</v>
      </c>
      <c r="J190" s="101">
        <f t="shared" si="858"/>
        <v>53.211140661366386</v>
      </c>
      <c r="K190" s="725">
        <f t="shared" si="858"/>
        <v>56.790000000000006</v>
      </c>
      <c r="L190" s="1232">
        <f t="shared" si="858"/>
        <v>53.464360983575808</v>
      </c>
      <c r="M190" s="75">
        <f t="shared" si="858"/>
        <v>55.252192429022095</v>
      </c>
      <c r="N190" s="108">
        <f t="shared" si="858"/>
        <v>53.294914077404755</v>
      </c>
      <c r="O190" s="725">
        <f t="shared" si="858"/>
        <v>56.79</v>
      </c>
      <c r="P190" s="1232">
        <f t="shared" si="858"/>
        <v>53.343437338468405</v>
      </c>
      <c r="Q190" s="51">
        <f t="shared" si="858"/>
        <v>55.64432432432433</v>
      </c>
      <c r="R190" s="101">
        <f t="shared" si="858"/>
        <v>53.307325970070565</v>
      </c>
      <c r="S190" s="725">
        <f t="shared" si="858"/>
        <v>56.79</v>
      </c>
      <c r="T190" s="1232">
        <f t="shared" si="858"/>
        <v>51.556095925740166</v>
      </c>
      <c r="U190" s="51">
        <f t="shared" si="858"/>
        <v>55.87710674157303</v>
      </c>
      <c r="V190" s="101">
        <f t="shared" si="858"/>
        <v>52.952007304419155</v>
      </c>
      <c r="W190" s="725">
        <f t="shared" si="858"/>
        <v>56.789999999999992</v>
      </c>
      <c r="X190" s="1232">
        <f t="shared" si="858"/>
        <v>50.594252516376145</v>
      </c>
      <c r="Y190" s="75">
        <f t="shared" si="858"/>
        <v>56.789999999999985</v>
      </c>
      <c r="Z190" s="108">
        <f t="shared" si="858"/>
        <v>51.84614751870928</v>
      </c>
      <c r="AA190" s="634">
        <f t="shared" si="858"/>
        <v>56.021312721743534</v>
      </c>
      <c r="AB190" s="445">
        <f t="shared" si="858"/>
        <v>52.564217826929763</v>
      </c>
      <c r="AC190" s="725">
        <f t="shared" si="858"/>
        <v>56.79</v>
      </c>
      <c r="AD190" s="1232">
        <f t="shared" si="858"/>
        <v>52.30760628928099</v>
      </c>
      <c r="AE190" s="51">
        <f t="shared" si="858"/>
        <v>56.133612406828554</v>
      </c>
      <c r="AF190" s="101">
        <f t="shared" si="858"/>
        <v>52.527449205903707</v>
      </c>
      <c r="AG190" s="725">
        <f t="shared" si="858"/>
        <v>56.790000000000006</v>
      </c>
      <c r="AH190" s="1232">
        <f t="shared" si="858"/>
        <v>54.508402578489942</v>
      </c>
      <c r="AI190" s="51">
        <f t="shared" si="858"/>
        <v>56.214917632188744</v>
      </c>
      <c r="AJ190" s="101">
        <f t="shared" ref="AJ190:BF190" si="859">+AJ189/AJ18</f>
        <v>52.771889008423933</v>
      </c>
      <c r="AK190" s="725">
        <f t="shared" si="859"/>
        <v>56.79</v>
      </c>
      <c r="AL190" s="1232">
        <f t="shared" si="859"/>
        <v>53.845366092826588</v>
      </c>
      <c r="AM190" s="75">
        <f t="shared" si="859"/>
        <v>56.789999999999992</v>
      </c>
      <c r="AN190" s="108">
        <f t="shared" si="859"/>
        <v>53.549740424183746</v>
      </c>
      <c r="AO190" s="51">
        <f t="shared" si="859"/>
        <v>56.280173682441266</v>
      </c>
      <c r="AP190" s="101">
        <f t="shared" si="859"/>
        <v>52.893369039307018</v>
      </c>
      <c r="AQ190" s="725">
        <f t="shared" si="859"/>
        <v>56.79</v>
      </c>
      <c r="AR190" s="1232">
        <f t="shared" si="859"/>
        <v>52.319417442257567</v>
      </c>
      <c r="AS190" s="51">
        <f t="shared" si="859"/>
        <v>56.332129415316494</v>
      </c>
      <c r="AT190" s="101">
        <f t="shared" si="859"/>
        <v>52.835483550976463</v>
      </c>
      <c r="AU190" s="725">
        <f t="shared" si="859"/>
        <v>56.790000000000013</v>
      </c>
      <c r="AV190" s="1232">
        <f t="shared" si="859"/>
        <v>53.698553485807821</v>
      </c>
      <c r="AW190" s="51">
        <f t="shared" si="859"/>
        <v>56.370722469666724</v>
      </c>
      <c r="AX190" s="101">
        <f t="shared" si="859"/>
        <v>52.907651425081248</v>
      </c>
      <c r="AY190" s="725">
        <f t="shared" si="859"/>
        <v>56.79</v>
      </c>
      <c r="AZ190" s="1232">
        <f t="shared" si="859"/>
        <v>52.042667476242407</v>
      </c>
      <c r="BA190" s="75">
        <f t="shared" si="859"/>
        <v>56.79</v>
      </c>
      <c r="BB190" s="108">
        <f t="shared" si="859"/>
        <v>52.651975746569065</v>
      </c>
      <c r="BC190" s="634">
        <f t="shared" si="859"/>
        <v>56.789999999999992</v>
      </c>
      <c r="BD190" s="445">
        <f t="shared" si="859"/>
        <v>53.105780922126968</v>
      </c>
      <c r="BE190" s="51">
        <f t="shared" si="859"/>
        <v>56.406509426010743</v>
      </c>
      <c r="BF190" s="101">
        <f t="shared" si="859"/>
        <v>52.83392038321378</v>
      </c>
      <c r="BG190" s="1137"/>
      <c r="BH190" s="1137"/>
      <c r="BI190" s="1137"/>
      <c r="BJ190" s="1137"/>
      <c r="BK190" s="1137"/>
      <c r="BL190" s="25"/>
      <c r="BM190" s="25"/>
      <c r="BN190" s="25"/>
    </row>
    <row r="191" spans="1:68" ht="15.75" thickBot="1" x14ac:dyDescent="0.3">
      <c r="B191" s="1803" t="s">
        <v>217</v>
      </c>
      <c r="C191" s="1325" t="s">
        <v>1048</v>
      </c>
      <c r="D191" s="7649">
        <v>0.64700000000000002</v>
      </c>
      <c r="E191" s="741">
        <v>0.64700000000000002</v>
      </c>
      <c r="F191" s="364">
        <v>0.69199999999999995</v>
      </c>
      <c r="G191" s="741">
        <v>0.68999999999999972</v>
      </c>
      <c r="H191" s="364">
        <v>0.68300000000000005</v>
      </c>
      <c r="I191" s="370">
        <f>+((E191*E18)+(G191*G18))/I18</f>
        <v>0.66900707547169802</v>
      </c>
      <c r="J191" s="370">
        <f>+((F191*F18)+(H191*H18))/J18</f>
        <v>0.68744803347280325</v>
      </c>
      <c r="K191" s="741">
        <v>0.68999999999999984</v>
      </c>
      <c r="L191" s="364">
        <v>0.68300000000000005</v>
      </c>
      <c r="M191" s="1480">
        <f>+((E191*E18)+(G191*G18)+(K191*K18))/M18</f>
        <v>0.67596056782334379</v>
      </c>
      <c r="N191" s="1480">
        <f>+((F191*F18)+(H191*H18)+(L191*L18))/N18</f>
        <v>0.68597648112890575</v>
      </c>
      <c r="O191" s="741">
        <v>0.68999999999999972</v>
      </c>
      <c r="P191" s="364">
        <v>0.68100000000000005</v>
      </c>
      <c r="Q191" s="370">
        <f>+((M191*M18)+(O191*O18))/Q18</f>
        <v>0.67954054054054036</v>
      </c>
      <c r="R191" s="370">
        <f>+((N191*N18)+(P191*P18))/R18</f>
        <v>0.68470353392232042</v>
      </c>
      <c r="S191" s="741">
        <v>0.69021006500857063</v>
      </c>
      <c r="T191" s="364">
        <v>0.67900000000000005</v>
      </c>
      <c r="U191" s="370">
        <f>+((Q191*Q18)+(S191*S18))/U18</f>
        <v>0.68170841208507471</v>
      </c>
      <c r="V191" s="370">
        <f>+((R191*R18)+(T191*T18))/V18</f>
        <v>0.68354630613871914</v>
      </c>
      <c r="W191" s="741">
        <v>0.6899768638185716</v>
      </c>
      <c r="X191" s="364">
        <v>0.68500000000000005</v>
      </c>
      <c r="Y191" s="371">
        <f>+((O191*O18)+(S191*S18)+(W191*W18))/Y18</f>
        <v>0.69006455134637201</v>
      </c>
      <c r="Z191" s="371">
        <f>+((P191*P18)+(T191*T18)+(X191*X18))/Z18</f>
        <v>0.68163218137794401</v>
      </c>
      <c r="AA191" s="2296">
        <f>+((M191*M18)+(Y191*Y18))/AA18</f>
        <v>0.68301454527831995</v>
      </c>
      <c r="AB191" s="2296">
        <f>+((N191*N18)+(Z191*Z18))/AB18</f>
        <v>0.68378540105467678</v>
      </c>
      <c r="AC191" s="741">
        <v>0.69021006500857063</v>
      </c>
      <c r="AD191" s="364">
        <v>0.67800000000000005</v>
      </c>
      <c r="AE191" s="1780">
        <f>+((AA191*AA18)+(AC191*AC18))/AE18</f>
        <v>0.68406575898067645</v>
      </c>
      <c r="AF191" s="1780">
        <f>+((AB191*AB18)+(AD191*AD18))/AF18</f>
        <v>0.68295643903366943</v>
      </c>
      <c r="AG191" s="741">
        <v>0.69021006500857085</v>
      </c>
      <c r="AH191" s="364">
        <v>0.68300000000000005</v>
      </c>
      <c r="AI191" s="1780">
        <f>+((AE191*AE18)+(AG191*AG18))/AI18</f>
        <v>0.68482684007281924</v>
      </c>
      <c r="AJ191" s="1780">
        <f>+((AF191*AF18)+(AH191*AH18))/AJ18</f>
        <v>0.68296181424045366</v>
      </c>
      <c r="AK191" s="741">
        <v>0.69021006500857063</v>
      </c>
      <c r="AL191" s="364">
        <v>0.68600000000000005</v>
      </c>
      <c r="AM191" s="371">
        <f>+((AC191*AC18)+(AG191*AG18)+(AK191*AK18))/AM18</f>
        <v>0.69021006500857063</v>
      </c>
      <c r="AN191" s="371">
        <f>+((AD191*AD18)+(AH191*AH18)+(AL191*AL18))/AN18</f>
        <v>0.68234890413991589</v>
      </c>
      <c r="AO191" s="1780">
        <f>+((AK191*AK18)+(AI191*AI18))/AO18</f>
        <v>0.68543768821665119</v>
      </c>
      <c r="AP191" s="1780">
        <f>+((AL191*AL18)+(AJ191*AJ18))/AP18</f>
        <v>0.68330563052238535</v>
      </c>
      <c r="AQ191" s="741">
        <v>0.69021006500857063</v>
      </c>
      <c r="AR191" s="364">
        <v>0.73099999999999998</v>
      </c>
      <c r="AS191" s="1780">
        <f>+((AO191*AO18)+(AQ191*AQ18))/AS18</f>
        <v>0.68592403489049136</v>
      </c>
      <c r="AT191" s="1780">
        <f>+((AP191*AP18)+(AR191*AR18))/AT18</f>
        <v>0.68811581291759472</v>
      </c>
      <c r="AU191" s="741">
        <v>0.69</v>
      </c>
      <c r="AV191" s="364">
        <v>0.73599999999999999</v>
      </c>
      <c r="AW191" s="1780">
        <f>+((AS191*AS18)+(AU191*AU18))/AW18</f>
        <v>0.68626759035848384</v>
      </c>
      <c r="AX191" s="1780">
        <f>+((AT191*AT18)+(AV191*AV18))/AX18</f>
        <v>0.69211977580114536</v>
      </c>
      <c r="AY191" s="741">
        <v>0.69</v>
      </c>
      <c r="AZ191" s="364">
        <v>0.755</v>
      </c>
      <c r="BA191" s="708">
        <f>+((AQ191*AQ18)+(AU191*AU18)+(AY191*AY18))/BA18</f>
        <v>0.69007235572517434</v>
      </c>
      <c r="BB191" s="708">
        <f>+((AR191*AR18)+(AV191*AV18)+(AZ191*AZ18))/BB18</f>
        <v>0.7408598099117446</v>
      </c>
      <c r="BC191" s="5210">
        <f>+((AM191*AM18)+(BA191*BA18))/BC18</f>
        <v>0.69014196701128672</v>
      </c>
      <c r="BD191" s="5210">
        <f>+((AN191*AN18)+(BB191*BB18))/BD18</f>
        <v>0.71128351611459251</v>
      </c>
      <c r="BE191" s="1780">
        <f>+((AW191*AW18)+(AY191*AY18))/BE18</f>
        <v>0.68658616593488719</v>
      </c>
      <c r="BF191" s="1780">
        <f>+((AX191*AX18)+(AZ191*AZ18))/BF18</f>
        <v>0.6974796723047344</v>
      </c>
      <c r="BG191" s="1137"/>
      <c r="BH191" s="1137"/>
      <c r="BI191" s="1137"/>
      <c r="BJ191" s="1137"/>
      <c r="BK191" s="1137"/>
      <c r="BL191" s="25"/>
      <c r="BM191" s="25"/>
      <c r="BN191" s="25"/>
    </row>
    <row r="192" spans="1:68" ht="15.75" thickBot="1" x14ac:dyDescent="0.3">
      <c r="B192" s="1793"/>
      <c r="C192" s="1777"/>
      <c r="D192" s="1777"/>
      <c r="E192" s="1777"/>
      <c r="F192" s="1777"/>
      <c r="G192" s="1777"/>
      <c r="H192" s="1777"/>
      <c r="I192" s="1777"/>
      <c r="J192" s="1777"/>
      <c r="K192" s="1777"/>
      <c r="L192" s="1777"/>
      <c r="M192" s="1777"/>
      <c r="N192" s="1777"/>
      <c r="O192" s="1777"/>
      <c r="P192" s="1777"/>
      <c r="Q192" s="1777"/>
      <c r="R192" s="1777"/>
      <c r="S192" s="1777"/>
      <c r="T192" s="1777"/>
      <c r="U192" s="1777"/>
      <c r="V192" s="1777"/>
      <c r="W192" s="1777"/>
      <c r="X192" s="1777"/>
      <c r="Y192" s="1777"/>
      <c r="Z192" s="1777"/>
      <c r="AA192" s="2412"/>
      <c r="AB192" s="1778"/>
      <c r="AC192" s="1777"/>
      <c r="AD192" s="1777"/>
      <c r="AE192" s="1777"/>
      <c r="AF192" s="1778"/>
      <c r="AG192" s="1777"/>
      <c r="AH192" s="1777"/>
      <c r="AI192" s="1777"/>
      <c r="AJ192" s="1778"/>
      <c r="AK192" s="1777"/>
      <c r="AL192" s="1777"/>
      <c r="AM192" s="1777"/>
      <c r="AN192" s="1777"/>
      <c r="AO192" s="1777"/>
      <c r="AP192" s="1778"/>
      <c r="AQ192" s="1777"/>
      <c r="AR192" s="1777"/>
      <c r="AS192" s="1777"/>
      <c r="AT192" s="1778"/>
      <c r="AU192" s="1777"/>
      <c r="AV192" s="1777"/>
      <c r="AW192" s="1777"/>
      <c r="AX192" s="1778"/>
      <c r="AY192" s="1777"/>
      <c r="AZ192" s="1777"/>
      <c r="BA192" s="1777"/>
      <c r="BB192" s="1777"/>
      <c r="BC192" s="2412"/>
      <c r="BD192" s="1778"/>
      <c r="BE192" s="1777"/>
      <c r="BF192" s="1778"/>
      <c r="BG192" s="1137">
        <f t="shared" si="746"/>
        <v>0</v>
      </c>
      <c r="BH192" s="1137">
        <f t="shared" si="747"/>
        <v>0</v>
      </c>
      <c r="BI192" s="1137"/>
      <c r="BJ192" s="1137">
        <f t="shared" si="754"/>
        <v>0</v>
      </c>
      <c r="BK192" s="1137">
        <f t="shared" si="755"/>
        <v>0</v>
      </c>
      <c r="BL192" s="25"/>
      <c r="BM192" s="25"/>
      <c r="BN192" s="25"/>
    </row>
    <row r="193" spans="1:72" ht="15.75" thickBot="1" x14ac:dyDescent="0.3">
      <c r="B193" s="1785" t="s">
        <v>470</v>
      </c>
      <c r="C193" s="1243" t="s">
        <v>49</v>
      </c>
      <c r="D193" s="1352">
        <v>9.93</v>
      </c>
      <c r="E193" s="1240">
        <f>+$D$193</f>
        <v>9.93</v>
      </c>
      <c r="F193" s="91">
        <f>+((F148*F106)+(F173*F122))/F139</f>
        <v>8.5889184156216132</v>
      </c>
      <c r="G193" s="1240">
        <f>+$D$193</f>
        <v>9.93</v>
      </c>
      <c r="H193" s="91" t="e">
        <f>+((H148*H106)+(H173*H122))/H139</f>
        <v>#REF!</v>
      </c>
      <c r="I193" s="1280">
        <f>+$D$193</f>
        <v>9.93</v>
      </c>
      <c r="J193" s="541" t="e">
        <f>+((J148*J106)+(J173*J122))/J139</f>
        <v>#REF!</v>
      </c>
      <c r="K193" s="1240">
        <f>+$D$193</f>
        <v>9.93</v>
      </c>
      <c r="L193" s="91" t="e">
        <f>+((L148*L106)+(L173*L122))/L139</f>
        <v>#REF!</v>
      </c>
      <c r="M193" s="1481">
        <f>+$D$193</f>
        <v>9.93</v>
      </c>
      <c r="N193" s="92" t="e">
        <f>+((N148*N106)+(N173*N122))/N139</f>
        <v>#REF!</v>
      </c>
      <c r="O193" s="1240">
        <f>+$D$193</f>
        <v>9.93</v>
      </c>
      <c r="P193" s="91" t="e">
        <f>+((P148*P106)+(P173*P122))/P139</f>
        <v>#REF!</v>
      </c>
      <c r="Q193" s="1280">
        <f>+$D$193</f>
        <v>9.93</v>
      </c>
      <c r="R193" s="541" t="e">
        <f>+((R148*R106)+(R173*R122))/R139</f>
        <v>#REF!</v>
      </c>
      <c r="S193" s="1240">
        <f>+$D$193</f>
        <v>9.93</v>
      </c>
      <c r="T193" s="91" t="e">
        <f>+((T148*T106)+(T173*T122))/T139</f>
        <v>#REF!</v>
      </c>
      <c r="U193" s="1280">
        <f>+$D$193</f>
        <v>9.93</v>
      </c>
      <c r="V193" s="541" t="e">
        <f>+((V148*V106)+(V173*V122))/V139</f>
        <v>#REF!</v>
      </c>
      <c r="W193" s="1240">
        <f>+$D$193</f>
        <v>9.93</v>
      </c>
      <c r="X193" s="91" t="e">
        <f>+((X148*X106)+(X173*X122))/X139</f>
        <v>#REF!</v>
      </c>
      <c r="Y193" s="1481">
        <f>+$D$193</f>
        <v>9.93</v>
      </c>
      <c r="Z193" s="2057" t="e">
        <f>+((Z148*Z106)+(Z173*Z122))/Z139</f>
        <v>#REF!</v>
      </c>
      <c r="AA193" s="1507">
        <f>+$D$193</f>
        <v>9.93</v>
      </c>
      <c r="AB193" s="2058" t="e">
        <f>+((AB148*AB106)+(AB173*AB122))/AB139</f>
        <v>#REF!</v>
      </c>
      <c r="AC193" s="1240">
        <f>+$D$193</f>
        <v>9.93</v>
      </c>
      <c r="AD193" s="91" t="e">
        <f>+((AD148*AD106)+(AD173*AD122))/AD139</f>
        <v>#REF!</v>
      </c>
      <c r="AE193" s="1280">
        <f>+$D$193</f>
        <v>9.93</v>
      </c>
      <c r="AF193" s="541" t="e">
        <f>+((AF148*AF106)+(AF173*AF122))/AF139</f>
        <v>#REF!</v>
      </c>
      <c r="AG193" s="1240">
        <f>+$D$193</f>
        <v>9.93</v>
      </c>
      <c r="AH193" s="91" t="e">
        <f>+((AH148*AH106)+(AH173*AH122))/AH139</f>
        <v>#REF!</v>
      </c>
      <c r="AI193" s="1280">
        <f>+$D$193</f>
        <v>9.93</v>
      </c>
      <c r="AJ193" s="541" t="e">
        <f>+((AJ148*AJ106)+(AJ173*AJ122))/AJ139</f>
        <v>#REF!</v>
      </c>
      <c r="AK193" s="1240">
        <f>+$D$193</f>
        <v>9.93</v>
      </c>
      <c r="AL193" s="91" t="e">
        <f>+((AL148*AL106)+(AL173*AL122))/AL139</f>
        <v>#REF!</v>
      </c>
      <c r="AM193" s="1481">
        <f>+$D$193</f>
        <v>9.93</v>
      </c>
      <c r="AN193" s="2057" t="e">
        <f>+((AN148*AN106)+(AN173*AN122))/AN139</f>
        <v>#REF!</v>
      </c>
      <c r="AO193" s="1280">
        <f>+$D$193</f>
        <v>9.93</v>
      </c>
      <c r="AP193" s="541" t="e">
        <f>+((AP148*AP106)+(AP173*AP122))/AP139</f>
        <v>#REF!</v>
      </c>
      <c r="AQ193" s="1240">
        <f>+$D$193</f>
        <v>9.93</v>
      </c>
      <c r="AR193" s="91" t="e">
        <f>+((AR148*AR106)+(AR173*AR122))/AR139</f>
        <v>#REF!</v>
      </c>
      <c r="AS193" s="1280">
        <f>+$D$193</f>
        <v>9.93</v>
      </c>
      <c r="AT193" s="541" t="e">
        <f>+((AT148*AT106)+(AT173*AT122))/AT139</f>
        <v>#REF!</v>
      </c>
      <c r="AU193" s="1240">
        <f>+$D$193</f>
        <v>9.93</v>
      </c>
      <c r="AV193" s="91" t="e">
        <f>+((AV148*AV106)+(AV173*AV122))/AV139</f>
        <v>#REF!</v>
      </c>
      <c r="AW193" s="1280">
        <f>+$D$193</f>
        <v>9.93</v>
      </c>
      <c r="AX193" s="541" t="e">
        <f>+((AX148*AX106)+(AX173*AX122))/AX139</f>
        <v>#REF!</v>
      </c>
      <c r="AY193" s="1240">
        <f>+$D$193</f>
        <v>9.93</v>
      </c>
      <c r="AZ193" s="91" t="e">
        <f>+((AZ148*AZ106)+(AZ173*AZ122))/AZ139</f>
        <v>#REF!</v>
      </c>
      <c r="BA193" s="1481">
        <f>+$D$193</f>
        <v>9.93</v>
      </c>
      <c r="BB193" s="2057" t="e">
        <f>+((BB148*BB106)+(BB173*BB122))/BB139</f>
        <v>#REF!</v>
      </c>
      <c r="BC193" s="1507">
        <f>+$D$193</f>
        <v>9.93</v>
      </c>
      <c r="BD193" s="2297" t="e">
        <f>+((BD148*BD106)+(BD173*BD122))/BD139</f>
        <v>#REF!</v>
      </c>
      <c r="BE193" s="1280">
        <f>+$D$193</f>
        <v>9.93</v>
      </c>
      <c r="BF193" s="541" t="e">
        <f>+((BF148*BF106)+(BF173*BF122))/BF139</f>
        <v>#REF!</v>
      </c>
      <c r="BG193" s="1137"/>
      <c r="BH193" s="1137"/>
      <c r="BI193" s="1137"/>
      <c r="BJ193" s="1137"/>
      <c r="BK193" s="1137"/>
      <c r="BL193" s="25"/>
      <c r="BM193" s="25"/>
      <c r="BN193" s="25"/>
    </row>
    <row r="194" spans="1:72" ht="15.75" thickBot="1" x14ac:dyDescent="0.3">
      <c r="A194" s="138"/>
      <c r="B194" s="1632" t="s">
        <v>670</v>
      </c>
      <c r="C194" s="1306" t="s">
        <v>49</v>
      </c>
      <c r="D194" s="3045" t="s">
        <v>1937</v>
      </c>
      <c r="E194" s="3046" t="str">
        <f>$D$194</f>
        <v>&lt;=2</v>
      </c>
      <c r="F194" s="1241">
        <f>+((F152*F21)+(F22*F177))/(F21+F22)</f>
        <v>1.3715809041838409</v>
      </c>
      <c r="G194" s="3046" t="str">
        <f>$D$194</f>
        <v>&lt;=2</v>
      </c>
      <c r="H194" s="1241">
        <f>+((H152*H21)+(H22*H177))/(H21+H22)</f>
        <v>1.4988358268093165</v>
      </c>
      <c r="I194" s="1281" t="str">
        <f>+$D$194</f>
        <v>&lt;=2</v>
      </c>
      <c r="J194" s="542">
        <f>+((J152*J21)+(J22*J177))/(J21+J22)</f>
        <v>1.4362354485637876</v>
      </c>
      <c r="K194" s="3046" t="str">
        <f>$D$194</f>
        <v>&lt;=2</v>
      </c>
      <c r="L194" s="1241">
        <f>+((L152*L21)+(L22*L177))/(L21+L22)</f>
        <v>1.3721789939139493</v>
      </c>
      <c r="M194" s="1482" t="str">
        <f>+$D$194</f>
        <v>&lt;=2</v>
      </c>
      <c r="N194" s="1483">
        <f>+((N152*N21)+(N22*N177))/(N21+N22)</f>
        <v>1.4151083058981515</v>
      </c>
      <c r="O194" s="3046" t="str">
        <f>$D$194</f>
        <v>&lt;=2</v>
      </c>
      <c r="P194" s="1241">
        <f>+((P152*P21)+(P22*P177))/(P21+P22)</f>
        <v>1.3611379947334052</v>
      </c>
      <c r="Q194" s="1281" t="str">
        <f>+$D$194</f>
        <v>&lt;=2</v>
      </c>
      <c r="R194" s="542">
        <f>+((R152*R21)+(R22*R177))/(R21+R22)</f>
        <v>1.4013776385192604</v>
      </c>
      <c r="S194" s="3046" t="str">
        <f>$D$194</f>
        <v>&lt;=2</v>
      </c>
      <c r="T194" s="1241">
        <f>+((T152*T21)+(T22*T177))/(T21+T22)</f>
        <v>1.4438928639440998</v>
      </c>
      <c r="U194" s="1281" t="str">
        <f>+$D$194</f>
        <v>&lt;=2</v>
      </c>
      <c r="V194" s="542">
        <f>+((V152*V21)+(V22*V177))/(V21+V22)</f>
        <v>1.4100422571561635</v>
      </c>
      <c r="W194" s="3046" t="str">
        <f>$D$194</f>
        <v>&lt;=2</v>
      </c>
      <c r="X194" s="1241">
        <f>+((X152*X21)+(X22*X177))/(X21+X22)</f>
        <v>1.693373546646967</v>
      </c>
      <c r="Y194" s="1482" t="str">
        <f>+$D$194</f>
        <v>&lt;=2</v>
      </c>
      <c r="Z194" s="611">
        <f>+((Z152*Z21)+(Z22*Z177))/(Z21+Z22)</f>
        <v>1.4974439985086738</v>
      </c>
      <c r="AA194" s="1508" t="str">
        <f>+$D$194</f>
        <v>&lt;=2</v>
      </c>
      <c r="AB194" s="2297">
        <f>+((AB152*AB21)+(AB22*AB177))/(AB21+AB22)</f>
        <v>1.4565977598141397</v>
      </c>
      <c r="AC194" s="3046" t="str">
        <f>$D$194</f>
        <v>&lt;=2</v>
      </c>
      <c r="AD194" s="1241">
        <f>+((AD152*AD21)+(AD22*AD177))/(AD21+AD22)</f>
        <v>1.7917291212793798</v>
      </c>
      <c r="AE194" s="1281" t="str">
        <f>+$D$194</f>
        <v>&lt;=2</v>
      </c>
      <c r="AF194" s="1781">
        <f>+((AF152*AF21)+(AF22*AF177))/(AF21+AF22)</f>
        <v>1.5046107485794129</v>
      </c>
      <c r="AG194" s="3046" t="str">
        <f>$D$194</f>
        <v>&lt;=2</v>
      </c>
      <c r="AH194" s="1241">
        <f>+((AH152*AH21)+(AH22*AH177))/(AH21+AH22)</f>
        <v>1.4085969957553002</v>
      </c>
      <c r="AI194" s="1281" t="str">
        <f>+$D$194</f>
        <v>&lt;=2</v>
      </c>
      <c r="AJ194" s="1781">
        <f>+((AJ152*AJ21)+(AJ22*AJ177))/(AJ21+AJ22)</f>
        <v>1.4929348794940631</v>
      </c>
      <c r="AK194" s="3046" t="str">
        <f>$D$194</f>
        <v>&lt;=2</v>
      </c>
      <c r="AL194" s="1241">
        <f>+((AL152*AL21)+(AL22*AL177))/(AL21+AL22)</f>
        <v>1.4008106710224639</v>
      </c>
      <c r="AM194" s="1482" t="str">
        <f>+$D$194</f>
        <v>&lt;=2</v>
      </c>
      <c r="AN194" s="611">
        <f>+((AN152*AN21)+(AN22*AN177))/(AN21+AN22)</f>
        <v>1.5351987842495163</v>
      </c>
      <c r="AO194" s="1281" t="str">
        <f>+$D$194</f>
        <v>&lt;=2</v>
      </c>
      <c r="AP194" s="1781">
        <f>+((AP152*AP21)+(AP22*AP177))/(AP21+AP22)</f>
        <v>1.4826508111795114</v>
      </c>
      <c r="AQ194" s="3046" t="str">
        <f>$D$194</f>
        <v>&lt;=2</v>
      </c>
      <c r="AR194" s="1241">
        <f>+((AR152*AR21)+(AR22*AR177))/(AR21+AR22)</f>
        <v>1.4707130870246707</v>
      </c>
      <c r="AS194" s="1281" t="str">
        <f>+$D$194</f>
        <v>&lt;=2</v>
      </c>
      <c r="AT194" s="1781">
        <f>+((AT152*AT21)+(AT22*AT177))/(AT21+AT22)</f>
        <v>1.4814553521797125</v>
      </c>
      <c r="AU194" s="3046" t="str">
        <f>$D$194</f>
        <v>&lt;=2</v>
      </c>
      <c r="AV194" s="1241">
        <f>+((AV152*AV21)+(AV22*AV177))/(AV21+AV22)</f>
        <v>1.4673281582476885</v>
      </c>
      <c r="AW194" s="1281" t="str">
        <f>+$D$194</f>
        <v>&lt;=2</v>
      </c>
      <c r="AX194" s="1781">
        <f>+((AX152*AX21)+(AX22*AX177))/(AX21+AX22)</f>
        <v>1.4802839586177521</v>
      </c>
      <c r="AY194" s="3046" t="str">
        <f>$D$194</f>
        <v>&lt;=2</v>
      </c>
      <c r="AZ194" s="1241">
        <f>+((AZ152*AZ21)+(AZ22*AZ177))/(AZ21+AZ22)</f>
        <v>1.3889480358457851</v>
      </c>
      <c r="BA194" s="1482" t="str">
        <f>+$D$194</f>
        <v>&lt;=2</v>
      </c>
      <c r="BB194" s="2057">
        <f>+((BB152*BB21)+(BB22*BB177))/(BB21+BB22)</f>
        <v>1.4411889303509666</v>
      </c>
      <c r="BC194" s="1508" t="str">
        <f>+$D$194</f>
        <v>&lt;=2</v>
      </c>
      <c r="BD194" s="2297">
        <f>+((BD152*BD21)+(BD22*BD177))/(BD21+BD22)</f>
        <v>1.4886614505888121</v>
      </c>
      <c r="BE194" s="1281" t="str">
        <f>+$D$194</f>
        <v>&lt;=2</v>
      </c>
      <c r="BF194" s="1781">
        <f>+((BF152*BF21)+(BF22*BF177))/(BF21+BF22)</f>
        <v>1.4724825728879709</v>
      </c>
      <c r="BG194" s="1137"/>
      <c r="BH194" s="1137"/>
      <c r="BI194" s="1137"/>
      <c r="BJ194" s="1137"/>
      <c r="BK194" s="1137"/>
      <c r="BL194" s="25"/>
      <c r="BM194" s="25"/>
      <c r="BN194" s="25"/>
    </row>
    <row r="195" spans="1:72" ht="15.75" thickBot="1" x14ac:dyDescent="0.3">
      <c r="A195" s="138"/>
      <c r="B195" s="1810" t="s">
        <v>471</v>
      </c>
      <c r="C195" s="1325" t="s">
        <v>49</v>
      </c>
      <c r="D195" s="1347">
        <v>2.5000000000000004</v>
      </c>
      <c r="E195" s="706">
        <f>+$D$195</f>
        <v>2.5000000000000004</v>
      </c>
      <c r="F195" s="126">
        <f>+((F137*2.5)+(F138*2.5))/F139</f>
        <v>2.5000000000000004</v>
      </c>
      <c r="G195" s="706">
        <f>+$D$195</f>
        <v>2.5000000000000004</v>
      </c>
      <c r="H195" s="126" t="e">
        <f>+((H137*2.5)+((+#REF!+H138+#REF!)*2.5))/H139</f>
        <v>#REF!</v>
      </c>
      <c r="I195" s="707">
        <f>+$D$195</f>
        <v>2.5000000000000004</v>
      </c>
      <c r="J195" s="1782" t="e">
        <f>+((J137*2.5)+((+#REF!+J138+#REF!)*2.5))/J139</f>
        <v>#REF!</v>
      </c>
      <c r="K195" s="706">
        <f>+$D$195</f>
        <v>2.5000000000000004</v>
      </c>
      <c r="L195" s="126" t="e">
        <f>+((L137*2.5)+((+#REF!+L138+#REF!)*2.5))/L139</f>
        <v>#REF!</v>
      </c>
      <c r="M195" s="708">
        <f>+$D$195</f>
        <v>2.5000000000000004</v>
      </c>
      <c r="N195" s="160" t="e">
        <f>+((N137*2.5)+((+#REF!+N138+#REF!)*2.5))/N139</f>
        <v>#REF!</v>
      </c>
      <c r="O195" s="706">
        <f>+$D$195</f>
        <v>2.5000000000000004</v>
      </c>
      <c r="P195" s="126" t="e">
        <f>+((P137*2.5)+((+#REF!+P138+#REF!)*2.5))/P139</f>
        <v>#REF!</v>
      </c>
      <c r="Q195" s="707">
        <f>+$D$195</f>
        <v>2.5000000000000004</v>
      </c>
      <c r="R195" s="1782" t="e">
        <f>+((R137*2.5)+((+#REF!+R138+#REF!)*2.5))/R139</f>
        <v>#REF!</v>
      </c>
      <c r="S195" s="706">
        <f>+$D$195</f>
        <v>2.5000000000000004</v>
      </c>
      <c r="T195" s="126" t="e">
        <f>+((T137*2.5)+((+#REF!+T138+#REF!)*2.5))/T139</f>
        <v>#REF!</v>
      </c>
      <c r="U195" s="707">
        <f>+$D$195</f>
        <v>2.5000000000000004</v>
      </c>
      <c r="V195" s="1782" t="e">
        <f>+((V137*2.5)+((+#REF!+V138+#REF!)*2.5))/V139</f>
        <v>#REF!</v>
      </c>
      <c r="W195" s="706">
        <f>+$D$195</f>
        <v>2.5000000000000004</v>
      </c>
      <c r="X195" s="126" t="e">
        <f>+((X137*2.5)+((+#REF!+X138+#REF!)*2.5))/X139</f>
        <v>#REF!</v>
      </c>
      <c r="Y195" s="708">
        <f>+$D$195</f>
        <v>2.5000000000000004</v>
      </c>
      <c r="Z195" s="2064" t="e">
        <f>+((Z137*2.5)+((+#REF!+Z138+#REF!)*2.5))/Z139</f>
        <v>#REF!</v>
      </c>
      <c r="AA195" s="709">
        <f>+$D$195</f>
        <v>2.5000000000000004</v>
      </c>
      <c r="AB195" s="450" t="e">
        <f>+((AB137*2.5)+((+#REF!+AB138+#REF!)*2.5))/AB139</f>
        <v>#REF!</v>
      </c>
      <c r="AC195" s="706">
        <f>+$D$195</f>
        <v>2.5000000000000004</v>
      </c>
      <c r="AD195" s="126" t="e">
        <f>+((AD137*2.5)+((+#REF!+AD138+#REF!)*2.5))/AD139</f>
        <v>#REF!</v>
      </c>
      <c r="AE195" s="707">
        <f>+$D$195</f>
        <v>2.5000000000000004</v>
      </c>
      <c r="AF195" s="1783" t="e">
        <f>+((AF137*2.5)+((+#REF!+AF138+#REF!)*2.5))/AF139</f>
        <v>#REF!</v>
      </c>
      <c r="AG195" s="706">
        <f>+$D$195</f>
        <v>2.5000000000000004</v>
      </c>
      <c r="AH195" s="126" t="e">
        <f>+((AH137*2.5)+((+#REF!+AH138+#REF!)*2.5))/AH139</f>
        <v>#REF!</v>
      </c>
      <c r="AI195" s="707">
        <f>+$D$195</f>
        <v>2.5000000000000004</v>
      </c>
      <c r="AJ195" s="1783" t="e">
        <f>+((AJ137*2.5)+((+#REF!+AJ138+#REF!)*2.5))/AJ139</f>
        <v>#REF!</v>
      </c>
      <c r="AK195" s="706">
        <f>+$D$195</f>
        <v>2.5000000000000004</v>
      </c>
      <c r="AL195" s="126" t="e">
        <f>+((AL137*2.5)+((+#REF!+AL138+#REF!)*2.5))/AL139</f>
        <v>#REF!</v>
      </c>
      <c r="AM195" s="708">
        <f>+$D$195</f>
        <v>2.5000000000000004</v>
      </c>
      <c r="AN195" s="2064" t="e">
        <f>+((AN137*2.5)+((+#REF!+AN138+#REF!)*2.5))/AN139</f>
        <v>#REF!</v>
      </c>
      <c r="AO195" s="707">
        <f>+$D$195</f>
        <v>2.5000000000000004</v>
      </c>
      <c r="AP195" s="1783" t="e">
        <f>+((AP137*2.5)+((+#REF!+AP138+#REF!)*2.5))/AP139</f>
        <v>#REF!</v>
      </c>
      <c r="AQ195" s="706">
        <f>+$D$195</f>
        <v>2.5000000000000004</v>
      </c>
      <c r="AR195" s="126" t="e">
        <f>+((AR137*2.5)+((+#REF!+AR138+#REF!)*2.5))/AR139</f>
        <v>#REF!</v>
      </c>
      <c r="AS195" s="707">
        <f>+$D$195</f>
        <v>2.5000000000000004</v>
      </c>
      <c r="AT195" s="1783" t="e">
        <f>+((AT137*2.5)+((+#REF!+AT138+#REF!)*2.5))/AT139</f>
        <v>#REF!</v>
      </c>
      <c r="AU195" s="706">
        <f>+$D$195</f>
        <v>2.5000000000000004</v>
      </c>
      <c r="AV195" s="126" t="e">
        <f>+((AV137*2.5)+((+#REF!+AV138+#REF!)*2.5))/AV139</f>
        <v>#REF!</v>
      </c>
      <c r="AW195" s="707">
        <f>+$D$195</f>
        <v>2.5000000000000004</v>
      </c>
      <c r="AX195" s="1783" t="e">
        <f>+((AX137*2.5)+((+#REF!+AX138+#REF!)*2.5))/AX139</f>
        <v>#REF!</v>
      </c>
      <c r="AY195" s="706">
        <f>+$D$195</f>
        <v>2.5000000000000004</v>
      </c>
      <c r="AZ195" s="126" t="e">
        <f>+((AZ137*2.5)+((+#REF!+AZ138+#REF!)*2.5))/AZ139</f>
        <v>#REF!</v>
      </c>
      <c r="BA195" s="708">
        <f>+$D$195</f>
        <v>2.5000000000000004</v>
      </c>
      <c r="BB195" s="2064" t="e">
        <f>+((BB137*2.5)+((+#REF!+BB138+#REF!)*2.5))/BB139</f>
        <v>#REF!</v>
      </c>
      <c r="BC195" s="709">
        <f>+$D$195</f>
        <v>2.5000000000000004</v>
      </c>
      <c r="BD195" s="450" t="e">
        <f>+((BD137*2.5)+((+#REF!+BD138+#REF!)*2.5))/BD139</f>
        <v>#REF!</v>
      </c>
      <c r="BE195" s="707">
        <f>+$D$195</f>
        <v>2.5000000000000004</v>
      </c>
      <c r="BF195" s="1783" t="e">
        <f>+((BF137*2.5)+((+#REF!+BF138+#REF!)*2.5))/BF139</f>
        <v>#REF!</v>
      </c>
      <c r="BG195" s="1137"/>
      <c r="BH195" s="1137"/>
      <c r="BI195" s="1137"/>
      <c r="BJ195" s="1137"/>
      <c r="BK195" s="1137"/>
      <c r="BL195" s="25"/>
      <c r="BM195" s="25"/>
      <c r="BN195" s="25"/>
    </row>
    <row r="196" spans="1:72" x14ac:dyDescent="0.25">
      <c r="A196" s="138"/>
      <c r="B196" s="1793"/>
      <c r="C196" s="1777"/>
      <c r="D196" s="1777"/>
      <c r="E196" s="1777"/>
      <c r="F196" s="1777"/>
      <c r="G196" s="1777"/>
      <c r="H196" s="1777"/>
      <c r="I196" s="1777"/>
      <c r="J196" s="1777"/>
      <c r="K196" s="1777"/>
      <c r="L196" s="1777"/>
      <c r="M196" s="1777"/>
      <c r="N196" s="1777"/>
      <c r="O196" s="1777"/>
      <c r="P196" s="1777"/>
      <c r="Q196" s="1777"/>
      <c r="R196" s="1777"/>
      <c r="S196" s="1777"/>
      <c r="T196" s="1777"/>
      <c r="U196" s="1777"/>
      <c r="V196" s="1777"/>
      <c r="W196" s="1777"/>
      <c r="X196" s="1777"/>
      <c r="Y196" s="1777"/>
      <c r="Z196" s="1777"/>
      <c r="AA196" s="2412"/>
      <c r="AB196" s="1778"/>
      <c r="AC196" s="1777"/>
      <c r="AD196" s="1777"/>
      <c r="AE196" s="1777"/>
      <c r="AF196" s="1777"/>
      <c r="AG196" s="1777"/>
      <c r="AH196" s="1777"/>
      <c r="AI196" s="1777"/>
      <c r="AJ196" s="1777"/>
      <c r="AK196" s="1777"/>
      <c r="AL196" s="1777"/>
      <c r="AM196" s="1777"/>
      <c r="AN196" s="1777"/>
      <c r="AO196" s="1777"/>
      <c r="AP196" s="1777"/>
      <c r="AQ196" s="1777"/>
      <c r="AR196" s="1777"/>
      <c r="AS196" s="1777"/>
      <c r="AT196" s="1777"/>
      <c r="AU196" s="1777"/>
      <c r="AV196" s="1777"/>
      <c r="AW196" s="1777"/>
      <c r="AX196" s="1777"/>
      <c r="AY196" s="1777"/>
      <c r="AZ196" s="1777"/>
      <c r="BA196" s="1777"/>
      <c r="BB196" s="1777"/>
      <c r="BC196" s="2412"/>
      <c r="BD196" s="1778"/>
      <c r="BE196" s="1777"/>
      <c r="BF196" s="1777"/>
      <c r="BG196" s="1137"/>
      <c r="BH196" s="1137"/>
      <c r="BI196" s="1137"/>
      <c r="BJ196" s="1137"/>
      <c r="BK196" s="1137"/>
      <c r="BL196" s="25"/>
      <c r="BM196" s="25"/>
      <c r="BN196" s="25"/>
    </row>
    <row r="197" spans="1:72" ht="15.75" thickBot="1" x14ac:dyDescent="0.3">
      <c r="B197" s="1793"/>
      <c r="C197" s="1777"/>
      <c r="D197" s="1777"/>
      <c r="E197" s="1777"/>
      <c r="F197" s="1777"/>
      <c r="G197" s="1777"/>
      <c r="H197" s="1777"/>
      <c r="I197" s="1777"/>
      <c r="J197" s="1777"/>
      <c r="K197" s="1777"/>
      <c r="L197" s="1777"/>
      <c r="M197" s="1777"/>
      <c r="N197" s="1777"/>
      <c r="O197" s="1777"/>
      <c r="P197" s="1777"/>
      <c r="Q197" s="1777"/>
      <c r="R197" s="1777"/>
      <c r="S197" s="1777"/>
      <c r="T197" s="1777"/>
      <c r="U197" s="1777"/>
      <c r="V197" s="1777"/>
      <c r="W197" s="1777"/>
      <c r="X197" s="1777"/>
      <c r="Y197" s="1777"/>
      <c r="Z197" s="1777"/>
      <c r="AA197" s="2412"/>
      <c r="AB197" s="1778"/>
      <c r="AC197" s="1777"/>
      <c r="AD197" s="1777"/>
      <c r="AE197" s="1777"/>
      <c r="AF197" s="1777"/>
      <c r="AG197" s="1777"/>
      <c r="AH197" s="1777"/>
      <c r="AI197" s="1777"/>
      <c r="AJ197" s="1777"/>
      <c r="AK197" s="1777"/>
      <c r="AL197" s="1777"/>
      <c r="AM197" s="1777"/>
      <c r="AN197" s="1777"/>
      <c r="AO197" s="1777"/>
      <c r="AP197" s="1777"/>
      <c r="AQ197" s="1777"/>
      <c r="AR197" s="1777"/>
      <c r="AS197" s="1777"/>
      <c r="AT197" s="1777"/>
      <c r="AU197" s="1777"/>
      <c r="AV197" s="1777"/>
      <c r="AW197" s="1777"/>
      <c r="AX197" s="1777"/>
      <c r="AY197" s="1777"/>
      <c r="AZ197" s="1777"/>
      <c r="BA197" s="1777"/>
      <c r="BB197" s="1777"/>
      <c r="BC197" s="2412"/>
      <c r="BD197" s="1778"/>
      <c r="BE197" s="1777"/>
      <c r="BF197" s="1777"/>
      <c r="BG197" s="1137"/>
      <c r="BH197" s="1137"/>
      <c r="BI197" s="1137"/>
      <c r="BJ197" s="1137"/>
      <c r="BK197" s="1137"/>
      <c r="BL197" s="25"/>
      <c r="BM197" s="25"/>
      <c r="BN197" s="25"/>
    </row>
    <row r="198" spans="1:72" ht="19.5" thickBot="1" x14ac:dyDescent="0.3">
      <c r="B198" s="1775" t="s">
        <v>618</v>
      </c>
      <c r="C198" s="1813"/>
      <c r="D198" s="1777"/>
      <c r="E198" s="1777"/>
      <c r="F198" s="1777"/>
      <c r="G198" s="1777"/>
      <c r="H198" s="1777"/>
      <c r="I198" s="1777"/>
      <c r="J198" s="1777"/>
      <c r="K198" s="1777"/>
      <c r="L198" s="1777"/>
      <c r="M198" s="1777"/>
      <c r="N198" s="1777"/>
      <c r="O198" s="1777"/>
      <c r="P198" s="1777"/>
      <c r="Q198" s="1777"/>
      <c r="R198" s="1777"/>
      <c r="S198" s="1777"/>
      <c r="T198" s="1777"/>
      <c r="U198" s="1777"/>
      <c r="V198" s="1777"/>
      <c r="W198" s="1777"/>
      <c r="X198" s="1777"/>
      <c r="Y198" s="1777"/>
      <c r="Z198" s="1777"/>
      <c r="AA198" s="2412"/>
      <c r="AB198" s="1778"/>
      <c r="AC198" s="1777"/>
      <c r="AD198" s="1777"/>
      <c r="AE198" s="1777"/>
      <c r="AF198" s="1777"/>
      <c r="AG198" s="1777"/>
      <c r="AH198" s="1777"/>
      <c r="AI198" s="1777"/>
      <c r="AJ198" s="1777"/>
      <c r="AK198" s="1777"/>
      <c r="AL198" s="1777"/>
      <c r="AM198" s="1777"/>
      <c r="AN198" s="1777"/>
      <c r="AO198" s="1777"/>
      <c r="AP198" s="1777"/>
      <c r="AQ198" s="1777"/>
      <c r="AR198" s="1777"/>
      <c r="AS198" s="1777"/>
      <c r="AT198" s="1777"/>
      <c r="AU198" s="1777"/>
      <c r="AV198" s="1777"/>
      <c r="AW198" s="1777"/>
      <c r="AX198" s="1777"/>
      <c r="AY198" s="1777"/>
      <c r="AZ198" s="1777"/>
      <c r="BA198" s="1777"/>
      <c r="BB198" s="1777"/>
      <c r="BC198" s="2412"/>
      <c r="BD198" s="1778"/>
      <c r="BE198" s="1777"/>
      <c r="BF198" s="1777"/>
      <c r="BG198" s="1137"/>
      <c r="BH198" s="1137"/>
      <c r="BI198" s="1137"/>
      <c r="BJ198" s="1137"/>
      <c r="BK198" s="1137"/>
      <c r="BL198" s="25"/>
      <c r="BM198" s="25"/>
      <c r="BN198" s="25"/>
    </row>
    <row r="199" spans="1:72" x14ac:dyDescent="0.25">
      <c r="B199" s="1814" t="s">
        <v>1922</v>
      </c>
      <c r="C199" s="1243" t="s">
        <v>49</v>
      </c>
      <c r="D199" s="1798">
        <f t="shared" ref="D199:AI199" si="860">+D124/D$139*100</f>
        <v>39.200611117106291</v>
      </c>
      <c r="E199" s="719">
        <f t="shared" si="860"/>
        <v>39.189731289480896</v>
      </c>
      <c r="F199" s="134">
        <f t="shared" si="860"/>
        <v>38.360050648032043</v>
      </c>
      <c r="G199" s="719">
        <f t="shared" si="860"/>
        <v>48.548812664907658</v>
      </c>
      <c r="H199" s="134">
        <f t="shared" si="860"/>
        <v>43.020364061822285</v>
      </c>
      <c r="I199" s="1361">
        <f t="shared" si="860"/>
        <v>46.931066702871419</v>
      </c>
      <c r="J199" s="155">
        <f t="shared" si="860"/>
        <v>43.182237844227764</v>
      </c>
      <c r="K199" s="719">
        <f t="shared" si="860"/>
        <v>48.574343283186217</v>
      </c>
      <c r="L199" s="134">
        <f t="shared" si="860"/>
        <v>43.236167080101168</v>
      </c>
      <c r="M199" s="1467">
        <f t="shared" si="860"/>
        <v>47.485419917693996</v>
      </c>
      <c r="N199" s="163">
        <f t="shared" si="860"/>
        <v>43.200688778910731</v>
      </c>
      <c r="O199" s="719">
        <f t="shared" si="860"/>
        <v>48.574343283186217</v>
      </c>
      <c r="P199" s="134">
        <f t="shared" si="860"/>
        <v>43.999999866888686</v>
      </c>
      <c r="Q199" s="720">
        <f t="shared" si="860"/>
        <v>47.766890724913011</v>
      </c>
      <c r="R199" s="155">
        <f t="shared" si="860"/>
        <v>43.409649130549823</v>
      </c>
      <c r="S199" s="719">
        <f t="shared" si="860"/>
        <v>48.574343283186217</v>
      </c>
      <c r="T199" s="134">
        <f t="shared" si="860"/>
        <v>43.999999877526307</v>
      </c>
      <c r="U199" s="720">
        <f t="shared" si="860"/>
        <v>47.932736674854972</v>
      </c>
      <c r="V199" s="155">
        <f t="shared" si="860"/>
        <v>43.53258905486441</v>
      </c>
      <c r="W199" s="719">
        <f t="shared" si="860"/>
        <v>48.558095524130309</v>
      </c>
      <c r="X199" s="134">
        <f t="shared" si="860"/>
        <v>44.000056895406296</v>
      </c>
      <c r="Y199" s="1438">
        <f t="shared" si="860"/>
        <v>48.569180272561134</v>
      </c>
      <c r="Z199" s="1438">
        <f t="shared" si="860"/>
        <v>44.000018525534493</v>
      </c>
      <c r="AA199" s="2298">
        <f t="shared" si="860"/>
        <v>48.033172888023159</v>
      </c>
      <c r="AB199" s="452">
        <f t="shared" si="860"/>
        <v>43.611104305103147</v>
      </c>
      <c r="AC199" s="719">
        <f t="shared" si="860"/>
        <v>48.574343283186217</v>
      </c>
      <c r="AD199" s="134">
        <f t="shared" si="860"/>
        <v>44.000049612195291</v>
      </c>
      <c r="AE199" s="1361">
        <f t="shared" si="860"/>
        <v>48.112753932901882</v>
      </c>
      <c r="AF199" s="155">
        <f t="shared" si="860"/>
        <v>43.667862140023679</v>
      </c>
      <c r="AG199" s="719">
        <f t="shared" si="860"/>
        <v>48.574343283186217</v>
      </c>
      <c r="AH199" s="134">
        <f t="shared" si="860"/>
        <v>43.999999999999993</v>
      </c>
      <c r="AI199" s="1361">
        <f t="shared" si="860"/>
        <v>48.170259117294819</v>
      </c>
      <c r="AJ199" s="155">
        <f t="shared" ref="AJ199:BF199" si="861">+AJ124/AJ$139*100</f>
        <v>43.709013286999074</v>
      </c>
      <c r="AK199" s="719">
        <f t="shared" si="861"/>
        <v>48.574343283186217</v>
      </c>
      <c r="AL199" s="134">
        <f t="shared" si="861"/>
        <v>43.382402530235268</v>
      </c>
      <c r="AM199" s="1438">
        <f t="shared" si="861"/>
        <v>48.574343283186217</v>
      </c>
      <c r="AN199" s="1438">
        <f t="shared" si="861"/>
        <v>43.791812801636461</v>
      </c>
      <c r="AO199" s="1361">
        <f t="shared" si="861"/>
        <v>48.216345441208631</v>
      </c>
      <c r="AP199" s="155">
        <f t="shared" si="861"/>
        <v>43.671943572620826</v>
      </c>
      <c r="AQ199" s="719">
        <f t="shared" si="861"/>
        <v>48.574343283186217</v>
      </c>
      <c r="AR199" s="134">
        <f t="shared" si="861"/>
        <v>43.308685792679476</v>
      </c>
      <c r="AS199" s="1361">
        <f t="shared" si="861"/>
        <v>48.252995565726934</v>
      </c>
      <c r="AT199" s="155">
        <f t="shared" si="861"/>
        <v>43.635020574331492</v>
      </c>
      <c r="AU199" s="719">
        <f t="shared" si="861"/>
        <v>48.574343283186217</v>
      </c>
      <c r="AV199" s="134">
        <f t="shared" si="861"/>
        <v>42.553950130794078</v>
      </c>
      <c r="AW199" s="1361">
        <f t="shared" si="861"/>
        <v>48.280194875603627</v>
      </c>
      <c r="AX199" s="155">
        <f t="shared" si="861"/>
        <v>43.54414864019175</v>
      </c>
      <c r="AY199" s="719">
        <f t="shared" si="861"/>
        <v>48.574343283186217</v>
      </c>
      <c r="AZ199" s="134">
        <f t="shared" si="861"/>
        <v>39.139832436685701</v>
      </c>
      <c r="BA199" s="1438">
        <f t="shared" si="861"/>
        <v>48.574343283186217</v>
      </c>
      <c r="BB199" s="1438">
        <f t="shared" si="861"/>
        <v>41.623358327201238</v>
      </c>
      <c r="BC199" s="2298">
        <f t="shared" si="861"/>
        <v>48.574343283186217</v>
      </c>
      <c r="BD199" s="452">
        <f t="shared" si="861"/>
        <v>42.717847302529186</v>
      </c>
      <c r="BE199" s="1361">
        <f t="shared" si="861"/>
        <v>48.305397781227825</v>
      </c>
      <c r="BF199" s="155">
        <f t="shared" si="861"/>
        <v>43.163233920208718</v>
      </c>
      <c r="BG199" s="1137"/>
      <c r="BH199" s="1137"/>
      <c r="BI199" s="1137"/>
      <c r="BJ199" s="1137"/>
      <c r="BK199" s="1137"/>
      <c r="BL199" s="25"/>
      <c r="BM199" s="25"/>
      <c r="BN199" s="25"/>
      <c r="BP199" s="502"/>
      <c r="BQ199" s="502"/>
      <c r="BS199" s="502"/>
      <c r="BT199" s="502"/>
    </row>
    <row r="200" spans="1:72" x14ac:dyDescent="0.25">
      <c r="B200" s="1754" t="s">
        <v>583</v>
      </c>
      <c r="C200" s="1306" t="s">
        <v>49</v>
      </c>
      <c r="D200" s="132">
        <f t="shared" ref="D200:AI200" si="862">+D125/D$139*100</f>
        <v>9.4123979230101362</v>
      </c>
      <c r="E200" s="1277">
        <f t="shared" si="862"/>
        <v>9.3897460816988261</v>
      </c>
      <c r="F200" s="649">
        <f t="shared" si="862"/>
        <v>5.5036441703758543</v>
      </c>
      <c r="G200" s="1277">
        <f t="shared" si="862"/>
        <v>10.500242313284156</v>
      </c>
      <c r="H200" s="649">
        <f t="shared" si="862"/>
        <v>12.000012348404047</v>
      </c>
      <c r="I200" s="325">
        <f t="shared" si="862"/>
        <v>10.640700932540556</v>
      </c>
      <c r="J200" s="119">
        <f t="shared" si="862"/>
        <v>9.3244111149750264</v>
      </c>
      <c r="K200" s="1277">
        <f t="shared" si="862"/>
        <v>10.495031983023219</v>
      </c>
      <c r="L200" s="649">
        <f t="shared" si="862"/>
        <v>10.958410999038213</v>
      </c>
      <c r="M200" s="220">
        <f t="shared" si="862"/>
        <v>10.591560056663598</v>
      </c>
      <c r="N200" s="115">
        <f t="shared" si="862"/>
        <v>9.8834552891515504</v>
      </c>
      <c r="O200" s="1277">
        <f t="shared" si="862"/>
        <v>10.495031983023221</v>
      </c>
      <c r="P200" s="649">
        <f t="shared" si="862"/>
        <v>1.0573511330526661</v>
      </c>
      <c r="Q200" s="52">
        <f t="shared" si="862"/>
        <v>10.566608957561623</v>
      </c>
      <c r="R200" s="119">
        <f t="shared" si="862"/>
        <v>7.5760860360521054</v>
      </c>
      <c r="S200" s="1277">
        <f t="shared" si="862"/>
        <v>10.495031983023221</v>
      </c>
      <c r="T200" s="649">
        <f t="shared" si="862"/>
        <v>9.2760261794859264</v>
      </c>
      <c r="U200" s="52">
        <f t="shared" si="862"/>
        <v>10.551907472979446</v>
      </c>
      <c r="V200" s="119">
        <f t="shared" si="862"/>
        <v>7.9300967892245815</v>
      </c>
      <c r="W200" s="1277">
        <f t="shared" si="862"/>
        <v>10.4983478522183</v>
      </c>
      <c r="X200" s="649">
        <f t="shared" si="862"/>
        <v>10.946917752333137</v>
      </c>
      <c r="Y200" s="426">
        <f t="shared" si="862"/>
        <v>10.496085658660993</v>
      </c>
      <c r="Z200" s="426">
        <f t="shared" si="862"/>
        <v>7.065929521259898</v>
      </c>
      <c r="AA200" s="446">
        <f t="shared" si="862"/>
        <v>10.543305491102631</v>
      </c>
      <c r="AB200" s="454">
        <f t="shared" si="862"/>
        <v>8.4367978546269313</v>
      </c>
      <c r="AC200" s="1277">
        <f t="shared" si="862"/>
        <v>10.495031983023221</v>
      </c>
      <c r="AD200" s="649">
        <f t="shared" si="862"/>
        <v>7.3317781059680884</v>
      </c>
      <c r="AE200" s="325">
        <f t="shared" si="862"/>
        <v>10.536206698841902</v>
      </c>
      <c r="AF200" s="119">
        <f t="shared" si="862"/>
        <v>8.275545032354291</v>
      </c>
      <c r="AG200" s="1277">
        <f t="shared" si="862"/>
        <v>10.495031983023219</v>
      </c>
      <c r="AH200" s="649">
        <f t="shared" si="862"/>
        <v>7.8913859669920887</v>
      </c>
      <c r="AI200" s="325">
        <f t="shared" si="862"/>
        <v>10.531077118568824</v>
      </c>
      <c r="AJ200" s="119">
        <f t="shared" ref="AJ200:BF200" si="863">+AJ125/AJ$139*100</f>
        <v>8.2279485729751141</v>
      </c>
      <c r="AK200" s="1277">
        <f t="shared" si="863"/>
        <v>10.495031983023221</v>
      </c>
      <c r="AL200" s="649">
        <f t="shared" si="863"/>
        <v>0.25026026100836413</v>
      </c>
      <c r="AM200" s="426">
        <f t="shared" si="863"/>
        <v>10.495031983023221</v>
      </c>
      <c r="AN200" s="426">
        <f t="shared" si="863"/>
        <v>5.1270299418886589</v>
      </c>
      <c r="AO200" s="325">
        <f t="shared" si="863"/>
        <v>10.526966124047158</v>
      </c>
      <c r="AP200" s="119">
        <f t="shared" si="863"/>
        <v>7.3224957640918715</v>
      </c>
      <c r="AQ200" s="1277">
        <f t="shared" si="863"/>
        <v>10.495031983023221</v>
      </c>
      <c r="AR200" s="649">
        <f t="shared" si="863"/>
        <v>0</v>
      </c>
      <c r="AS200" s="325">
        <f t="shared" si="863"/>
        <v>10.523696857845867</v>
      </c>
      <c r="AT200" s="119">
        <f t="shared" si="863"/>
        <v>6.5782075106787952</v>
      </c>
      <c r="AU200" s="1277">
        <f t="shared" si="863"/>
        <v>10.495031983023221</v>
      </c>
      <c r="AV200" s="649">
        <f t="shared" si="863"/>
        <v>2.0313553427872231</v>
      </c>
      <c r="AW200" s="325">
        <f t="shared" si="863"/>
        <v>10.521270623674852</v>
      </c>
      <c r="AX200" s="119">
        <f t="shared" si="863"/>
        <v>6.1960110930320456</v>
      </c>
      <c r="AY200" s="1277">
        <f t="shared" si="863"/>
        <v>10.495031983023221</v>
      </c>
      <c r="AZ200" s="649">
        <f t="shared" si="863"/>
        <v>1.5630034256880296</v>
      </c>
      <c r="BA200" s="426">
        <f t="shared" si="863"/>
        <v>10.495031983023221</v>
      </c>
      <c r="BB200" s="426">
        <f t="shared" si="863"/>
        <v>1.1725148716704845</v>
      </c>
      <c r="BC200" s="446">
        <f t="shared" si="863"/>
        <v>10.495031983023219</v>
      </c>
      <c r="BD200" s="454">
        <f t="shared" si="863"/>
        <v>3.1684862873255351</v>
      </c>
      <c r="BE200" s="325">
        <f t="shared" si="863"/>
        <v>10.519022472853685</v>
      </c>
      <c r="BF200" s="119">
        <f t="shared" si="863"/>
        <v>5.7953176058385747</v>
      </c>
      <c r="BG200" s="1137"/>
      <c r="BH200" s="1137"/>
      <c r="BI200" s="1137"/>
      <c r="BJ200" s="1137"/>
      <c r="BK200" s="1137"/>
      <c r="BL200" s="25"/>
      <c r="BM200" s="25"/>
      <c r="BN200" s="25"/>
      <c r="BP200" s="502"/>
      <c r="BQ200" s="502"/>
      <c r="BS200" s="502"/>
      <c r="BT200" s="502"/>
    </row>
    <row r="201" spans="1:72" s="4487" customFormat="1" x14ac:dyDescent="0.25">
      <c r="A201" s="137"/>
      <c r="B201" s="7572" t="s">
        <v>2326</v>
      </c>
      <c r="C201" s="1306" t="s">
        <v>49</v>
      </c>
      <c r="D201" s="132">
        <f t="shared" ref="D201:F205" si="864">+D126/D$139*100</f>
        <v>1.3260419257749658</v>
      </c>
      <c r="E201" s="1277">
        <f t="shared" si="864"/>
        <v>1.3229810848680934</v>
      </c>
      <c r="F201" s="649">
        <f t="shared" si="864"/>
        <v>0</v>
      </c>
      <c r="G201" s="1277"/>
      <c r="H201" s="649"/>
      <c r="I201" s="325"/>
      <c r="J201" s="119"/>
      <c r="K201" s="1277"/>
      <c r="L201" s="649"/>
      <c r="M201" s="220"/>
      <c r="N201" s="115"/>
      <c r="O201" s="1277"/>
      <c r="P201" s="649"/>
      <c r="Q201" s="52"/>
      <c r="R201" s="119"/>
      <c r="S201" s="1277"/>
      <c r="T201" s="649"/>
      <c r="U201" s="52"/>
      <c r="V201" s="119"/>
      <c r="W201" s="1277"/>
      <c r="X201" s="649"/>
      <c r="Y201" s="426"/>
      <c r="Z201" s="426"/>
      <c r="AA201" s="446"/>
      <c r="AB201" s="454"/>
      <c r="AC201" s="1277"/>
      <c r="AD201" s="649"/>
      <c r="AE201" s="325"/>
      <c r="AF201" s="119"/>
      <c r="AG201" s="1277"/>
      <c r="AH201" s="649"/>
      <c r="AI201" s="325"/>
      <c r="AJ201" s="119"/>
      <c r="AK201" s="1277"/>
      <c r="AL201" s="649"/>
      <c r="AM201" s="426"/>
      <c r="AN201" s="426"/>
      <c r="AO201" s="325"/>
      <c r="AP201" s="119"/>
      <c r="AQ201" s="1277"/>
      <c r="AR201" s="649"/>
      <c r="AS201" s="325"/>
      <c r="AT201" s="119"/>
      <c r="AU201" s="1277"/>
      <c r="AV201" s="649"/>
      <c r="AW201" s="325"/>
      <c r="AX201" s="119"/>
      <c r="AY201" s="1277"/>
      <c r="AZ201" s="649"/>
      <c r="BA201" s="426"/>
      <c r="BB201" s="426"/>
      <c r="BC201" s="446"/>
      <c r="BD201" s="454"/>
      <c r="BE201" s="325"/>
      <c r="BF201" s="119"/>
      <c r="BG201" s="1137"/>
      <c r="BH201" s="1137"/>
      <c r="BI201" s="1137"/>
      <c r="BJ201" s="1137"/>
      <c r="BK201" s="1137"/>
      <c r="BL201" s="25"/>
      <c r="BM201" s="25"/>
      <c r="BN201" s="25"/>
      <c r="BP201" s="502"/>
      <c r="BQ201" s="502"/>
      <c r="BS201" s="502"/>
      <c r="BT201" s="502"/>
    </row>
    <row r="202" spans="1:72" x14ac:dyDescent="0.25">
      <c r="B202" s="1755" t="s">
        <v>10</v>
      </c>
      <c r="C202" s="1306" t="s">
        <v>49</v>
      </c>
      <c r="D202" s="132">
        <f t="shared" si="864"/>
        <v>5.0039040965576183</v>
      </c>
      <c r="E202" s="1277">
        <f t="shared" si="864"/>
        <v>5.0039243290633371</v>
      </c>
      <c r="F202" s="649">
        <f t="shared" si="864"/>
        <v>4.4863592809190997</v>
      </c>
      <c r="G202" s="1277">
        <f t="shared" ref="G202:AL202" si="865">+G126/G$139*100</f>
        <v>2.625060578321039</v>
      </c>
      <c r="H202" s="649">
        <f t="shared" si="865"/>
        <v>0</v>
      </c>
      <c r="I202" s="325">
        <f t="shared" si="865"/>
        <v>2.1103924642725218</v>
      </c>
      <c r="J202" s="119">
        <f t="shared" si="865"/>
        <v>0</v>
      </c>
      <c r="K202" s="1277">
        <f t="shared" si="865"/>
        <v>2.6237579957558048</v>
      </c>
      <c r="L202" s="649">
        <f t="shared" si="865"/>
        <v>0</v>
      </c>
      <c r="M202" s="220">
        <f t="shared" si="865"/>
        <v>2.2835744083018952</v>
      </c>
      <c r="N202" s="115">
        <f t="shared" si="865"/>
        <v>0</v>
      </c>
      <c r="O202" s="1277">
        <f t="shared" si="865"/>
        <v>2.6237579957558053</v>
      </c>
      <c r="P202" s="649">
        <f t="shared" si="865"/>
        <v>10.615058293259954</v>
      </c>
      <c r="Q202" s="52">
        <f t="shared" si="865"/>
        <v>2.3715069038269871</v>
      </c>
      <c r="R202" s="119">
        <f t="shared" si="865"/>
        <v>2.7750475966003179</v>
      </c>
      <c r="S202" s="1277">
        <f t="shared" si="865"/>
        <v>2.6237579957558053</v>
      </c>
      <c r="T202" s="649">
        <f t="shared" si="865"/>
        <v>7.5087767707582795</v>
      </c>
      <c r="U202" s="52">
        <f t="shared" si="865"/>
        <v>2.4233177768450846</v>
      </c>
      <c r="V202" s="119">
        <f t="shared" si="865"/>
        <v>3.7608417357240298</v>
      </c>
      <c r="W202" s="1277">
        <f t="shared" si="865"/>
        <v>2.6245869630545751</v>
      </c>
      <c r="X202" s="649">
        <f t="shared" si="865"/>
        <v>12.683204842414611</v>
      </c>
      <c r="Y202" s="426">
        <f t="shared" si="865"/>
        <v>2.6240214146652483</v>
      </c>
      <c r="Z202" s="426">
        <f t="shared" si="865"/>
        <v>10.243322090438514</v>
      </c>
      <c r="AA202" s="446">
        <f t="shared" si="865"/>
        <v>2.4556427609941824</v>
      </c>
      <c r="AB202" s="454">
        <f t="shared" si="865"/>
        <v>5.2594294700814208</v>
      </c>
      <c r="AC202" s="1277">
        <f t="shared" si="865"/>
        <v>2.6237579957558053</v>
      </c>
      <c r="AD202" s="649">
        <f t="shared" si="865"/>
        <v>9.5721944140171953</v>
      </c>
      <c r="AE202" s="325">
        <f t="shared" si="865"/>
        <v>2.4803647083917841</v>
      </c>
      <c r="AF202" s="119">
        <f t="shared" si="865"/>
        <v>5.8887806829011042</v>
      </c>
      <c r="AG202" s="1277">
        <f t="shared" si="865"/>
        <v>2.6237579957558048</v>
      </c>
      <c r="AH202" s="649">
        <f t="shared" si="865"/>
        <v>6.585041668402182</v>
      </c>
      <c r="AI202" s="325">
        <f t="shared" si="865"/>
        <v>2.4982287631527926</v>
      </c>
      <c r="AJ202" s="119">
        <f t="shared" si="865"/>
        <v>5.9750458805802529</v>
      </c>
      <c r="AK202" s="1277">
        <f t="shared" si="865"/>
        <v>2.6237579957558053</v>
      </c>
      <c r="AL202" s="649">
        <f t="shared" si="865"/>
        <v>0</v>
      </c>
      <c r="AM202" s="426">
        <f t="shared" ref="AM202:BF202" si="866">+AM126/AM$139*100</f>
        <v>2.6237579957558053</v>
      </c>
      <c r="AN202" s="426">
        <f t="shared" si="866"/>
        <v>5.3706948448365956</v>
      </c>
      <c r="AO202" s="325">
        <f t="shared" si="866"/>
        <v>2.5125455351590222</v>
      </c>
      <c r="AP202" s="119">
        <f t="shared" si="866"/>
        <v>5.2968892687629783</v>
      </c>
      <c r="AQ202" s="1277">
        <f t="shared" si="866"/>
        <v>2.6237579957558053</v>
      </c>
      <c r="AR202" s="649">
        <f t="shared" si="866"/>
        <v>6.9521260459432312</v>
      </c>
      <c r="AS202" s="325">
        <f t="shared" si="866"/>
        <v>2.5239309404629835</v>
      </c>
      <c r="AT202" s="119">
        <f t="shared" si="866"/>
        <v>5.4651342674031884</v>
      </c>
      <c r="AU202" s="1277">
        <f t="shared" si="866"/>
        <v>2.6237579957558053</v>
      </c>
      <c r="AV202" s="649">
        <f t="shared" si="866"/>
        <v>6.6573508359482041</v>
      </c>
      <c r="AW202" s="325">
        <f t="shared" si="866"/>
        <v>2.5323804388208861</v>
      </c>
      <c r="AX202" s="119">
        <f t="shared" si="866"/>
        <v>5.5653488520722778</v>
      </c>
      <c r="AY202" s="1277">
        <f t="shared" si="866"/>
        <v>2.6237579957558053</v>
      </c>
      <c r="AZ202" s="649">
        <f t="shared" si="866"/>
        <v>0</v>
      </c>
      <c r="BA202" s="426">
        <f t="shared" si="866"/>
        <v>2.6237579957558053</v>
      </c>
      <c r="BB202" s="426">
        <f t="shared" si="866"/>
        <v>4.4396609848729298</v>
      </c>
      <c r="BC202" s="446">
        <f t="shared" si="866"/>
        <v>2.6237579957558048</v>
      </c>
      <c r="BD202" s="454">
        <f t="shared" si="866"/>
        <v>4.9095838296458894</v>
      </c>
      <c r="BE202" s="325">
        <f t="shared" si="866"/>
        <v>2.5402097517943192</v>
      </c>
      <c r="BF202" s="119">
        <f t="shared" si="866"/>
        <v>5.0840202640141845</v>
      </c>
      <c r="BG202" s="1137"/>
      <c r="BH202" s="1137"/>
      <c r="BI202" s="1137"/>
      <c r="BJ202" s="1137"/>
      <c r="BK202" s="1137"/>
      <c r="BL202" s="25"/>
      <c r="BM202" s="25"/>
      <c r="BN202" s="25"/>
      <c r="BP202" s="502"/>
      <c r="BQ202" s="502"/>
      <c r="BS202" s="502"/>
      <c r="BT202" s="502"/>
    </row>
    <row r="203" spans="1:72" x14ac:dyDescent="0.25">
      <c r="B203" s="1755" t="s">
        <v>1923</v>
      </c>
      <c r="C203" s="1306" t="s">
        <v>49</v>
      </c>
      <c r="D203" s="132">
        <f t="shared" si="864"/>
        <v>6.0046849158691424</v>
      </c>
      <c r="E203" s="1277">
        <f t="shared" si="864"/>
        <v>6.0047091948760043</v>
      </c>
      <c r="F203" s="649">
        <f t="shared" si="864"/>
        <v>11.551459268692177</v>
      </c>
      <c r="G203" s="1277">
        <f t="shared" ref="G203:AL203" si="867">+G127/G$139*100</f>
        <v>2.625060578321039</v>
      </c>
      <c r="H203" s="649">
        <f t="shared" si="867"/>
        <v>0</v>
      </c>
      <c r="I203" s="325">
        <f t="shared" si="867"/>
        <v>4.0858021293305908</v>
      </c>
      <c r="J203" s="119">
        <f t="shared" si="867"/>
        <v>2.3489742210775844</v>
      </c>
      <c r="K203" s="1277">
        <f t="shared" si="867"/>
        <v>2.6237579957558048</v>
      </c>
      <c r="L203" s="649">
        <f t="shared" si="867"/>
        <v>0.59023275585510127</v>
      </c>
      <c r="M203" s="220">
        <f t="shared" si="867"/>
        <v>3.5925870033020786</v>
      </c>
      <c r="N203" s="115">
        <f t="shared" si="867"/>
        <v>1.7472519201124193</v>
      </c>
      <c r="O203" s="1277">
        <f t="shared" si="867"/>
        <v>2.6237579957558053</v>
      </c>
      <c r="P203" s="649">
        <f t="shared" si="867"/>
        <v>10.042294306321986</v>
      </c>
      <c r="Q203" s="52">
        <f t="shared" si="867"/>
        <v>3.3421588359461669</v>
      </c>
      <c r="R203" s="119">
        <f t="shared" si="867"/>
        <v>3.9157880507302472</v>
      </c>
      <c r="S203" s="1277">
        <f t="shared" si="867"/>
        <v>2.6237579957558053</v>
      </c>
      <c r="T203" s="649">
        <f t="shared" si="867"/>
        <v>1.3538633529205502</v>
      </c>
      <c r="U203" s="52">
        <f t="shared" si="867"/>
        <v>3.1946035789100526</v>
      </c>
      <c r="V203" s="119">
        <f t="shared" si="867"/>
        <v>3.3822699175501141</v>
      </c>
      <c r="W203" s="1277">
        <f t="shared" si="867"/>
        <v>2.6245869630545751</v>
      </c>
      <c r="X203" s="649">
        <f t="shared" si="867"/>
        <v>0</v>
      </c>
      <c r="Y203" s="426">
        <f t="shared" si="867"/>
        <v>2.6240214146652483</v>
      </c>
      <c r="Z203" s="426">
        <f t="shared" si="867"/>
        <v>3.8252293201816423</v>
      </c>
      <c r="AA203" s="446">
        <f t="shared" si="867"/>
        <v>3.1030556454222511</v>
      </c>
      <c r="AB203" s="454">
        <f t="shared" si="867"/>
        <v>2.8141885525442691</v>
      </c>
      <c r="AC203" s="1277">
        <f t="shared" si="867"/>
        <v>2.6237579957558053</v>
      </c>
      <c r="AD203" s="649">
        <f t="shared" si="867"/>
        <v>4.0795035498380923</v>
      </c>
      <c r="AE203" s="325">
        <f t="shared" si="867"/>
        <v>3.0325732093738527</v>
      </c>
      <c r="AF203" s="119">
        <f t="shared" si="867"/>
        <v>2.9988328673858482</v>
      </c>
      <c r="AG203" s="1277">
        <f t="shared" si="867"/>
        <v>2.6237579957558048</v>
      </c>
      <c r="AH203" s="649">
        <f t="shared" si="867"/>
        <v>4.1086140330079104</v>
      </c>
      <c r="AI203" s="325">
        <f t="shared" si="867"/>
        <v>2.981642670731087</v>
      </c>
      <c r="AJ203" s="119">
        <f t="shared" si="867"/>
        <v>3.136332301687895</v>
      </c>
      <c r="AK203" s="1277">
        <f t="shared" si="867"/>
        <v>2.6237579957558053</v>
      </c>
      <c r="AL203" s="649">
        <f t="shared" si="867"/>
        <v>11.440941004109273</v>
      </c>
      <c r="AM203" s="426">
        <f t="shared" ref="AM203:BF203" si="868">+AM127/AM$139*100</f>
        <v>2.6237579957558053</v>
      </c>
      <c r="AN203" s="426">
        <f t="shared" si="868"/>
        <v>6.5706816965107659</v>
      </c>
      <c r="AO203" s="325">
        <f t="shared" si="868"/>
        <v>2.9408254587566578</v>
      </c>
      <c r="AP203" s="119">
        <f t="shared" si="868"/>
        <v>4.078889967798303</v>
      </c>
      <c r="AQ203" s="1277">
        <f t="shared" si="868"/>
        <v>2.6237579957558053</v>
      </c>
      <c r="AR203" s="649">
        <f t="shared" si="868"/>
        <v>11.000000055985893</v>
      </c>
      <c r="AS203" s="325">
        <f t="shared" si="868"/>
        <v>2.9083655926985554</v>
      </c>
      <c r="AT203" s="119">
        <f t="shared" si="868"/>
        <v>4.7823797484927173</v>
      </c>
      <c r="AU203" s="1277">
        <f t="shared" si="868"/>
        <v>2.6237579957558053</v>
      </c>
      <c r="AV203" s="649">
        <f t="shared" si="868"/>
        <v>10.936440724355906</v>
      </c>
      <c r="AW203" s="325">
        <f t="shared" si="868"/>
        <v>2.8842760168219503</v>
      </c>
      <c r="AX203" s="119">
        <f t="shared" si="868"/>
        <v>5.2996739054402591</v>
      </c>
      <c r="AY203" s="1277">
        <f t="shared" si="868"/>
        <v>2.6237579957558053</v>
      </c>
      <c r="AZ203" s="649">
        <f t="shared" si="868"/>
        <v>14.187204879952272</v>
      </c>
      <c r="BA203" s="426">
        <f t="shared" si="868"/>
        <v>2.6237579957558053</v>
      </c>
      <c r="BB203" s="426">
        <f t="shared" si="868"/>
        <v>12.090397858221912</v>
      </c>
      <c r="BC203" s="446">
        <f t="shared" si="868"/>
        <v>2.6237579957558048</v>
      </c>
      <c r="BD203" s="454">
        <f t="shared" si="868"/>
        <v>9.3044189238448034</v>
      </c>
      <c r="BE203" s="325">
        <f t="shared" si="868"/>
        <v>2.8619545935910886</v>
      </c>
      <c r="BF203" s="119">
        <f t="shared" si="868"/>
        <v>6.0683270211728999</v>
      </c>
      <c r="BG203" s="1137"/>
      <c r="BH203" s="1137"/>
      <c r="BI203" s="1137"/>
      <c r="BJ203" s="1137"/>
      <c r="BK203" s="1137"/>
      <c r="BL203" s="25"/>
      <c r="BM203" s="25"/>
      <c r="BN203" s="25"/>
      <c r="BP203" s="502"/>
      <c r="BQ203" s="502"/>
      <c r="BS203" s="502"/>
      <c r="BT203" s="502"/>
    </row>
    <row r="204" spans="1:72" x14ac:dyDescent="0.25">
      <c r="B204" s="1754" t="s">
        <v>1924</v>
      </c>
      <c r="C204" s="1306" t="s">
        <v>49</v>
      </c>
      <c r="D204" s="132">
        <f t="shared" si="864"/>
        <v>6.3049485224113857</v>
      </c>
      <c r="E204" s="1277">
        <f t="shared" si="864"/>
        <v>6.2927092052850409</v>
      </c>
      <c r="F204" s="649">
        <f t="shared" si="864"/>
        <v>7.9876705349466652</v>
      </c>
      <c r="G204" s="1277">
        <f t="shared" ref="G204:AL204" si="869">+G129/G$139*100</f>
        <v>0</v>
      </c>
      <c r="H204" s="649">
        <f t="shared" si="869"/>
        <v>0</v>
      </c>
      <c r="I204" s="325">
        <f t="shared" si="869"/>
        <v>3.3770361993825415</v>
      </c>
      <c r="J204" s="119">
        <f t="shared" si="869"/>
        <v>4.1821956286137798</v>
      </c>
      <c r="K204" s="1277">
        <f t="shared" si="869"/>
        <v>0</v>
      </c>
      <c r="L204" s="649">
        <f t="shared" si="869"/>
        <v>0</v>
      </c>
      <c r="M204" s="220">
        <f t="shared" si="869"/>
        <v>2.2378056546733314</v>
      </c>
      <c r="N204" s="115">
        <f t="shared" si="869"/>
        <v>2.751331327920445</v>
      </c>
      <c r="O204" s="1277">
        <f t="shared" si="869"/>
        <v>0</v>
      </c>
      <c r="P204" s="649">
        <f t="shared" si="869"/>
        <v>0.21146776216672394</v>
      </c>
      <c r="Q204" s="52">
        <f t="shared" si="869"/>
        <v>1.6593655330074126</v>
      </c>
      <c r="R204" s="119">
        <f t="shared" si="869"/>
        <v>2.087346063862793</v>
      </c>
      <c r="S204" s="1277">
        <f t="shared" si="869"/>
        <v>0</v>
      </c>
      <c r="T204" s="649">
        <f t="shared" si="869"/>
        <v>0.31527789463808964</v>
      </c>
      <c r="U204" s="52">
        <f t="shared" si="869"/>
        <v>1.3185417281871137</v>
      </c>
      <c r="V204" s="119">
        <f t="shared" si="869"/>
        <v>1.7183147249163402</v>
      </c>
      <c r="W204" s="1277">
        <f t="shared" si="869"/>
        <v>0</v>
      </c>
      <c r="X204" s="649">
        <f t="shared" si="869"/>
        <v>0</v>
      </c>
      <c r="Y204" s="426">
        <f t="shared" si="869"/>
        <v>0</v>
      </c>
      <c r="Z204" s="426">
        <f t="shared" si="869"/>
        <v>0.17732522970989445</v>
      </c>
      <c r="AA204" s="446">
        <f t="shared" si="869"/>
        <v>1.1067763742038714</v>
      </c>
      <c r="AB204" s="454">
        <f t="shared" si="869"/>
        <v>1.4297089665837324</v>
      </c>
      <c r="AC204" s="1277">
        <f t="shared" si="869"/>
        <v>0</v>
      </c>
      <c r="AD204" s="649">
        <f t="shared" si="869"/>
        <v>0.63385470715110337</v>
      </c>
      <c r="AE204" s="325">
        <f t="shared" si="869"/>
        <v>0.94402094431809747</v>
      </c>
      <c r="AF204" s="119">
        <f t="shared" si="869"/>
        <v>1.3135719060407229</v>
      </c>
      <c r="AG204" s="1277">
        <f t="shared" si="869"/>
        <v>0</v>
      </c>
      <c r="AH204" s="649">
        <f t="shared" si="869"/>
        <v>0</v>
      </c>
      <c r="AI204" s="325">
        <f t="shared" si="869"/>
        <v>0.826414031506157</v>
      </c>
      <c r="AJ204" s="119">
        <f t="shared" si="869"/>
        <v>1.1508232492869195</v>
      </c>
      <c r="AK204" s="1277">
        <f t="shared" si="869"/>
        <v>0</v>
      </c>
      <c r="AL204" s="649">
        <f t="shared" si="869"/>
        <v>0</v>
      </c>
      <c r="AM204" s="426">
        <f t="shared" ref="AM204:BF204" si="870">+AM129/AM$139*100</f>
        <v>0</v>
      </c>
      <c r="AN204" s="426">
        <f t="shared" si="870"/>
        <v>0.2133811374784792</v>
      </c>
      <c r="AO204" s="325">
        <f t="shared" si="870"/>
        <v>0.7321604379289548</v>
      </c>
      <c r="AP204" s="119">
        <f t="shared" si="870"/>
        <v>1.0202069475655389</v>
      </c>
      <c r="AQ204" s="1277">
        <f t="shared" si="870"/>
        <v>0</v>
      </c>
      <c r="AR204" s="649">
        <f t="shared" si="870"/>
        <v>0</v>
      </c>
      <c r="AS204" s="325">
        <f t="shared" si="870"/>
        <v>0.65720531789460601</v>
      </c>
      <c r="AT204" s="119">
        <f t="shared" si="870"/>
        <v>0.91650896376511903</v>
      </c>
      <c r="AU204" s="1277">
        <f t="shared" si="870"/>
        <v>0</v>
      </c>
      <c r="AV204" s="649">
        <f t="shared" si="870"/>
        <v>0</v>
      </c>
      <c r="AW204" s="325">
        <f t="shared" si="870"/>
        <v>0.60157856182064595</v>
      </c>
      <c r="AX204" s="119">
        <f t="shared" si="870"/>
        <v>0.83946963418986364</v>
      </c>
      <c r="AY204" s="1277">
        <f t="shared" si="870"/>
        <v>0</v>
      </c>
      <c r="AZ204" s="649">
        <f t="shared" si="870"/>
        <v>0</v>
      </c>
      <c r="BA204" s="426">
        <f t="shared" si="870"/>
        <v>0</v>
      </c>
      <c r="BB204" s="426">
        <f t="shared" si="870"/>
        <v>0</v>
      </c>
      <c r="BC204" s="446">
        <f t="shared" si="870"/>
        <v>0</v>
      </c>
      <c r="BD204" s="454">
        <f t="shared" si="870"/>
        <v>0.10770034845852985</v>
      </c>
      <c r="BE204" s="325">
        <f t="shared" si="870"/>
        <v>0.55003475832460302</v>
      </c>
      <c r="BF204" s="119">
        <f t="shared" si="870"/>
        <v>0.76686668611199105</v>
      </c>
      <c r="BG204" s="1137"/>
      <c r="BH204" s="1137"/>
      <c r="BI204" s="1137"/>
      <c r="BJ204" s="1137"/>
      <c r="BK204" s="1137"/>
      <c r="BL204" s="25"/>
      <c r="BM204" s="25"/>
      <c r="BN204" s="25"/>
      <c r="BP204" s="502"/>
      <c r="BQ204" s="502"/>
      <c r="BS204" s="502"/>
      <c r="BT204" s="502"/>
    </row>
    <row r="205" spans="1:72" ht="15.75" thickBot="1" x14ac:dyDescent="0.3">
      <c r="B205" s="1755" t="s">
        <v>1229</v>
      </c>
      <c r="C205" s="1317" t="s">
        <v>49</v>
      </c>
      <c r="D205" s="132">
        <f t="shared" si="864"/>
        <v>0.70051721276927936</v>
      </c>
      <c r="E205" s="1277">
        <f t="shared" si="864"/>
        <v>0.71278485540363001</v>
      </c>
      <c r="F205" s="1318">
        <f t="shared" si="864"/>
        <v>0</v>
      </c>
      <c r="G205" s="1277">
        <f t="shared" ref="G205:AL205" si="871">+G130/G$139*100</f>
        <v>9.4502180819557378</v>
      </c>
      <c r="H205" s="1318">
        <f t="shared" si="871"/>
        <v>13.940675179862222</v>
      </c>
      <c r="I205" s="2407">
        <f t="shared" si="871"/>
        <v>5.4239741587902977</v>
      </c>
      <c r="J205" s="1321">
        <f t="shared" si="871"/>
        <v>7.4847471439695141</v>
      </c>
      <c r="K205" s="1277">
        <f t="shared" si="871"/>
        <v>9.4455287847208975</v>
      </c>
      <c r="L205" s="1318">
        <f t="shared" si="871"/>
        <v>13.95841373989953</v>
      </c>
      <c r="M205" s="2410">
        <f t="shared" si="871"/>
        <v>6.7806305866705916</v>
      </c>
      <c r="N205" s="1463">
        <f t="shared" si="871"/>
        <v>9.6995977270775739</v>
      </c>
      <c r="O205" s="1277">
        <f t="shared" si="871"/>
        <v>9.4455287847208975</v>
      </c>
      <c r="P205" s="1318">
        <f t="shared" si="871"/>
        <v>3.3516126383296116</v>
      </c>
      <c r="Q205" s="2409">
        <f t="shared" si="871"/>
        <v>7.4694679013356708</v>
      </c>
      <c r="R205" s="1321">
        <f t="shared" si="871"/>
        <v>8.040072147743734</v>
      </c>
      <c r="S205" s="1277">
        <f t="shared" si="871"/>
        <v>9.4455287847208975</v>
      </c>
      <c r="T205" s="1318">
        <f t="shared" si="871"/>
        <v>6.4363904113389072</v>
      </c>
      <c r="U205" s="4330">
        <f t="shared" si="871"/>
        <v>7.8753390463216038</v>
      </c>
      <c r="V205" s="1321">
        <f t="shared" si="871"/>
        <v>7.7061071069471563</v>
      </c>
      <c r="W205" s="1277">
        <f t="shared" si="871"/>
        <v>9.4485130669964708</v>
      </c>
      <c r="X205" s="1318">
        <f t="shared" si="871"/>
        <v>1.2637172485979449</v>
      </c>
      <c r="Y205" s="426">
        <f t="shared" si="871"/>
        <v>9.4464770927948933</v>
      </c>
      <c r="Z205" s="426">
        <f t="shared" si="871"/>
        <v>3.7096318564135164</v>
      </c>
      <c r="AA205" s="446">
        <f t="shared" si="871"/>
        <v>8.1279998049792006</v>
      </c>
      <c r="AB205" s="454">
        <f t="shared" si="871"/>
        <v>6.6240522402906992</v>
      </c>
      <c r="AC205" s="1277">
        <f t="shared" si="871"/>
        <v>9.4455287847208975</v>
      </c>
      <c r="AD205" s="1318">
        <f t="shared" si="871"/>
        <v>2.8556524848866642</v>
      </c>
      <c r="AE205" s="2431">
        <f t="shared" si="871"/>
        <v>8.3217471603463355</v>
      </c>
      <c r="AF205" s="1321">
        <f t="shared" si="871"/>
        <v>6.0741389045806855</v>
      </c>
      <c r="AG205" s="1277">
        <f t="shared" si="871"/>
        <v>9.4455287847208975</v>
      </c>
      <c r="AH205" s="1318">
        <f t="shared" si="871"/>
        <v>6.018266812343203</v>
      </c>
      <c r="AI205" s="2478">
        <f t="shared" si="871"/>
        <v>8.4617488078870533</v>
      </c>
      <c r="AJ205" s="1321">
        <f t="shared" si="871"/>
        <v>6.0672164758047211</v>
      </c>
      <c r="AK205" s="1277">
        <f t="shared" si="871"/>
        <v>9.4455287847208975</v>
      </c>
      <c r="AL205" s="1318">
        <f t="shared" si="871"/>
        <v>12.606809804661703</v>
      </c>
      <c r="AM205" s="426">
        <f t="shared" ref="AM205:BF205" si="872">+AM130/AM$139*100</f>
        <v>9.4455287847208975</v>
      </c>
      <c r="AN205" s="426">
        <f t="shared" si="872"/>
        <v>7.174726532184093</v>
      </c>
      <c r="AO205" s="2537">
        <f t="shared" si="872"/>
        <v>8.5739501919038457</v>
      </c>
      <c r="AP205" s="1321">
        <f t="shared" si="872"/>
        <v>6.8094481746397788</v>
      </c>
      <c r="AQ205" s="1277">
        <f t="shared" si="872"/>
        <v>9.4455287847208975</v>
      </c>
      <c r="AR205" s="1318">
        <f t="shared" si="872"/>
        <v>5.6282761506172561</v>
      </c>
      <c r="AS205" s="2594">
        <f t="shared" si="872"/>
        <v>8.6631782827151511</v>
      </c>
      <c r="AT205" s="1321">
        <f t="shared" si="872"/>
        <v>6.6893890457494347</v>
      </c>
      <c r="AU205" s="1277">
        <f t="shared" si="872"/>
        <v>9.4455287847208975</v>
      </c>
      <c r="AV205" s="1318">
        <f t="shared" si="872"/>
        <v>5.7206876378915794</v>
      </c>
      <c r="AW205" s="5018">
        <f t="shared" si="872"/>
        <v>8.7293974981634239</v>
      </c>
      <c r="AX205" s="1321">
        <f t="shared" si="872"/>
        <v>6.6079625567892011</v>
      </c>
      <c r="AY205" s="1277">
        <f t="shared" si="872"/>
        <v>9.4455287847208975</v>
      </c>
      <c r="AZ205" s="1318">
        <f t="shared" si="872"/>
        <v>13.002501380497039</v>
      </c>
      <c r="BA205" s="426">
        <f t="shared" si="872"/>
        <v>9.4455287847208975</v>
      </c>
      <c r="BB205" s="426">
        <f t="shared" si="872"/>
        <v>8.225175597459554</v>
      </c>
      <c r="BC205" s="446">
        <f t="shared" si="872"/>
        <v>9.4455287847208975</v>
      </c>
      <c r="BD205" s="454">
        <f t="shared" si="872"/>
        <v>7.6949800436022491</v>
      </c>
      <c r="BE205" s="325">
        <f t="shared" si="872"/>
        <v>8.7907562842876743</v>
      </c>
      <c r="BF205" s="119">
        <f t="shared" si="872"/>
        <v>7.1610050389602682</v>
      </c>
      <c r="BG205" s="1137"/>
      <c r="BH205" s="1137"/>
      <c r="BI205" s="1137"/>
      <c r="BJ205" s="1137"/>
      <c r="BK205" s="1137"/>
      <c r="BL205" s="25"/>
      <c r="BM205" s="25"/>
      <c r="BN205" s="25"/>
      <c r="BP205" s="502"/>
      <c r="BQ205" s="502"/>
      <c r="BS205" s="502"/>
      <c r="BT205" s="502"/>
    </row>
    <row r="206" spans="1:72" ht="19.5" thickBot="1" x14ac:dyDescent="0.3">
      <c r="B206" s="1811" t="s">
        <v>13</v>
      </c>
      <c r="C206" s="689" t="s">
        <v>49</v>
      </c>
      <c r="D206" s="1353">
        <f t="shared" ref="D206:AX206" si="873">SUM(D199:D205)</f>
        <v>67.953105713498815</v>
      </c>
      <c r="E206" s="1300">
        <f t="shared" si="873"/>
        <v>67.916586040675824</v>
      </c>
      <c r="F206" s="133">
        <f t="shared" si="873"/>
        <v>67.88918390296584</v>
      </c>
      <c r="G206" s="1300">
        <f t="shared" ref="G206:H206" si="874">SUM(G199:G205)</f>
        <v>73.749394216789625</v>
      </c>
      <c r="H206" s="133">
        <f t="shared" si="874"/>
        <v>68.961051590088559</v>
      </c>
      <c r="I206" s="572">
        <f t="shared" si="873"/>
        <v>72.568972587187929</v>
      </c>
      <c r="J206" s="158">
        <f t="shared" si="873"/>
        <v>66.522565952863673</v>
      </c>
      <c r="K206" s="1300">
        <f t="shared" ref="K206:L206" si="875">SUM(K199:K205)</f>
        <v>73.762420042441931</v>
      </c>
      <c r="L206" s="133">
        <f t="shared" si="875"/>
        <v>68.743224574894015</v>
      </c>
      <c r="M206" s="1484">
        <f t="shared" si="873"/>
        <v>72.971577627305493</v>
      </c>
      <c r="N206" s="1485">
        <f t="shared" si="873"/>
        <v>67.282325043172719</v>
      </c>
      <c r="O206" s="1300">
        <f t="shared" ref="O206:P206" si="876">SUM(O199:O205)</f>
        <v>73.762420042441931</v>
      </c>
      <c r="P206" s="133">
        <f t="shared" si="876"/>
        <v>69.277784000019622</v>
      </c>
      <c r="Q206" s="1601">
        <f t="shared" si="873"/>
        <v>73.175998856590894</v>
      </c>
      <c r="R206" s="158">
        <f t="shared" si="873"/>
        <v>67.803989025539025</v>
      </c>
      <c r="S206" s="1300">
        <f t="shared" ref="S206:T206" si="877">SUM(S199:S205)</f>
        <v>73.762420042441931</v>
      </c>
      <c r="T206" s="133">
        <f t="shared" si="877"/>
        <v>68.890334486668053</v>
      </c>
      <c r="U206" s="1601">
        <f t="shared" si="873"/>
        <v>73.296446278098259</v>
      </c>
      <c r="V206" s="158">
        <f t="shared" si="873"/>
        <v>68.030219329226625</v>
      </c>
      <c r="W206" s="1300">
        <f t="shared" ref="W206:X206" si="878">SUM(W199:W205)</f>
        <v>73.754130369454231</v>
      </c>
      <c r="X206" s="133">
        <f t="shared" si="878"/>
        <v>68.893896738751977</v>
      </c>
      <c r="Y206" s="1299">
        <f t="shared" si="873"/>
        <v>73.759785853347523</v>
      </c>
      <c r="Z206" s="332">
        <f t="shared" si="873"/>
        <v>69.021456543537965</v>
      </c>
      <c r="AA206" s="2354">
        <f t="shared" si="873"/>
        <v>73.369952964725286</v>
      </c>
      <c r="AB206" s="2299">
        <f t="shared" si="873"/>
        <v>68.175281389230193</v>
      </c>
      <c r="AC206" s="1300">
        <f t="shared" ref="AC206:AD206" si="879">SUM(AC199:AC205)</f>
        <v>73.762420042441931</v>
      </c>
      <c r="AD206" s="133">
        <f t="shared" si="879"/>
        <v>68.473032874056429</v>
      </c>
      <c r="AE206" s="572">
        <f t="shared" si="873"/>
        <v>73.427666654173848</v>
      </c>
      <c r="AF206" s="158">
        <f t="shared" si="873"/>
        <v>68.218731533286331</v>
      </c>
      <c r="AG206" s="1300">
        <f t="shared" ref="AG206:AH206" si="880">SUM(AG199:AG205)</f>
        <v>73.762420042441931</v>
      </c>
      <c r="AH206" s="133">
        <f t="shared" si="880"/>
        <v>68.603308480745383</v>
      </c>
      <c r="AI206" s="572">
        <f t="shared" si="873"/>
        <v>73.469370509140731</v>
      </c>
      <c r="AJ206" s="158">
        <f t="shared" si="873"/>
        <v>68.266379767333987</v>
      </c>
      <c r="AK206" s="1300">
        <f t="shared" ref="AK206:AL206" si="881">SUM(AK199:AK205)</f>
        <v>73.762420042441931</v>
      </c>
      <c r="AL206" s="133">
        <f t="shared" si="881"/>
        <v>67.680413600014617</v>
      </c>
      <c r="AM206" s="1299">
        <f t="shared" si="873"/>
        <v>73.762420042441931</v>
      </c>
      <c r="AN206" s="332">
        <f t="shared" si="873"/>
        <v>68.248326954535045</v>
      </c>
      <c r="AO206" s="572">
        <f t="shared" si="873"/>
        <v>73.502793189004265</v>
      </c>
      <c r="AP206" s="158">
        <f t="shared" si="873"/>
        <v>68.199873695479297</v>
      </c>
      <c r="AQ206" s="1300">
        <f t="shared" ref="AQ206:AR206" si="882">SUM(AQ199:AQ205)</f>
        <v>73.762420042441931</v>
      </c>
      <c r="AR206" s="133">
        <f t="shared" si="882"/>
        <v>66.889088045225861</v>
      </c>
      <c r="AS206" s="572">
        <f t="shared" si="873"/>
        <v>73.52937255734409</v>
      </c>
      <c r="AT206" s="158">
        <f t="shared" si="873"/>
        <v>68.066640110420735</v>
      </c>
      <c r="AU206" s="1300">
        <f t="shared" ref="AU206:AV206" si="883">SUM(AU199:AU205)</f>
        <v>73.762420042441931</v>
      </c>
      <c r="AV206" s="133">
        <f t="shared" si="883"/>
        <v>67.899784671776985</v>
      </c>
      <c r="AW206" s="572">
        <f t="shared" si="873"/>
        <v>73.549098014905383</v>
      </c>
      <c r="AX206" s="158">
        <f t="shared" si="873"/>
        <v>68.052614681715397</v>
      </c>
      <c r="AY206" s="1300">
        <f t="shared" ref="AY206:AZ206" si="884">SUM(AY199:AY205)</f>
        <v>73.762420042441931</v>
      </c>
      <c r="AZ206" s="133">
        <f t="shared" si="884"/>
        <v>67.892542122823045</v>
      </c>
      <c r="BA206" s="1299">
        <f t="shared" ref="BA206:BF206" si="885">SUM(BA199:BA205)</f>
        <v>73.762420042441931</v>
      </c>
      <c r="BB206" s="332">
        <f t="shared" si="885"/>
        <v>67.551107639426121</v>
      </c>
      <c r="BC206" s="2354">
        <f t="shared" si="885"/>
        <v>73.762420042441931</v>
      </c>
      <c r="BD206" s="2299">
        <f t="shared" si="885"/>
        <v>67.903016735406197</v>
      </c>
      <c r="BE206" s="572">
        <f t="shared" si="885"/>
        <v>73.567375642079185</v>
      </c>
      <c r="BF206" s="158">
        <f t="shared" si="885"/>
        <v>68.038770536306629</v>
      </c>
      <c r="BG206" s="1137"/>
      <c r="BH206" s="1137"/>
      <c r="BI206" s="1137"/>
      <c r="BJ206" s="1137"/>
      <c r="BK206" s="1137"/>
      <c r="BL206" s="25"/>
      <c r="BM206" s="25"/>
      <c r="BN206" s="25"/>
      <c r="BP206" s="502"/>
      <c r="BQ206" s="502"/>
      <c r="BS206" s="502"/>
      <c r="BT206" s="502"/>
    </row>
    <row r="207" spans="1:72" ht="14.25" customHeight="1" x14ac:dyDescent="0.25">
      <c r="B207" s="1764" t="s">
        <v>1321</v>
      </c>
      <c r="C207" s="1320" t="s">
        <v>49</v>
      </c>
      <c r="D207" s="132">
        <f t="shared" ref="D207:AI207" si="886">+D132/D$139*100</f>
        <v>18.964840567076557</v>
      </c>
      <c r="E207" s="1277">
        <f t="shared" si="886"/>
        <v>18.946520033147902</v>
      </c>
      <c r="F207" s="649">
        <f t="shared" si="886"/>
        <v>17.648197258069239</v>
      </c>
      <c r="G207" s="1277">
        <f t="shared" si="886"/>
        <v>17.850411932583061</v>
      </c>
      <c r="H207" s="649">
        <f t="shared" si="886"/>
        <v>24.495380925111558</v>
      </c>
      <c r="I207" s="325">
        <f t="shared" si="886"/>
        <v>19.690554775637871</v>
      </c>
      <c r="J207" s="119">
        <f t="shared" si="886"/>
        <v>22.391835251635474</v>
      </c>
      <c r="K207" s="1277">
        <f t="shared" si="886"/>
        <v>17.841554371139473</v>
      </c>
      <c r="L207" s="649">
        <f t="shared" si="886"/>
        <v>22.51985228159813</v>
      </c>
      <c r="M207" s="220">
        <f t="shared" si="886"/>
        <v>19.066801397344388</v>
      </c>
      <c r="N207" s="115">
        <f t="shared" si="886"/>
        <v>22.435634015328183</v>
      </c>
      <c r="O207" s="1277">
        <f t="shared" si="886"/>
        <v>17.841554371139473</v>
      </c>
      <c r="P207" s="649">
        <f t="shared" si="886"/>
        <v>20.216842157735574</v>
      </c>
      <c r="Q207" s="52">
        <f t="shared" si="886"/>
        <v>18.750092912213567</v>
      </c>
      <c r="R207" s="119">
        <f t="shared" si="886"/>
        <v>21.855585103521616</v>
      </c>
      <c r="S207" s="1277">
        <f t="shared" si="886"/>
        <v>17.841554371139473</v>
      </c>
      <c r="T207" s="649">
        <f t="shared" si="886"/>
        <v>17.40644387967744</v>
      </c>
      <c r="U207" s="52">
        <f t="shared" si="886"/>
        <v>18.563484503014209</v>
      </c>
      <c r="V207" s="119">
        <f t="shared" si="886"/>
        <v>20.929056106775732</v>
      </c>
      <c r="W207" s="1277">
        <f t="shared" si="886"/>
        <v>17.847191348771112</v>
      </c>
      <c r="X207" s="649">
        <f t="shared" si="886"/>
        <v>16.643579573649607</v>
      </c>
      <c r="Y207" s="330">
        <f t="shared" si="886"/>
        <v>17.843345619723685</v>
      </c>
      <c r="Z207" s="333">
        <f t="shared" si="886"/>
        <v>18.099549866288136</v>
      </c>
      <c r="AA207" s="440">
        <f t="shared" si="886"/>
        <v>18.448443719608271</v>
      </c>
      <c r="AB207" s="448">
        <f t="shared" si="886"/>
        <v>20.209273411134998</v>
      </c>
      <c r="AC207" s="1277">
        <f t="shared" si="886"/>
        <v>17.841554371139473</v>
      </c>
      <c r="AD207" s="649">
        <f t="shared" si="886"/>
        <v>16.045437805614394</v>
      </c>
      <c r="AE207" s="325">
        <f t="shared" si="886"/>
        <v>18.359198467265237</v>
      </c>
      <c r="AF207" s="119">
        <f t="shared" si="886"/>
        <v>19.601655091476534</v>
      </c>
      <c r="AG207" s="1277">
        <f t="shared" si="886"/>
        <v>17.841554371139473</v>
      </c>
      <c r="AH207" s="649">
        <f t="shared" si="886"/>
        <v>17.027153508251978</v>
      </c>
      <c r="AI207" s="325">
        <f t="shared" si="886"/>
        <v>18.294709936108063</v>
      </c>
      <c r="AJ207" s="119">
        <f t="shared" ref="AJ207:BF207" si="887">+AJ132/AJ$139*100</f>
        <v>19.282680033808582</v>
      </c>
      <c r="AK207" s="1277">
        <f t="shared" si="887"/>
        <v>17.841554371139473</v>
      </c>
      <c r="AL207" s="649">
        <f t="shared" si="887"/>
        <v>18.53624451632728</v>
      </c>
      <c r="AM207" s="330">
        <f t="shared" si="887"/>
        <v>17.841554371139473</v>
      </c>
      <c r="AN207" s="333">
        <f t="shared" si="887"/>
        <v>17.205411681038509</v>
      </c>
      <c r="AO207" s="325">
        <f t="shared" si="887"/>
        <v>18.243026955399287</v>
      </c>
      <c r="AP207" s="119">
        <f t="shared" si="887"/>
        <v>19.197960988701261</v>
      </c>
      <c r="AQ207" s="1277">
        <f t="shared" si="887"/>
        <v>17.841554371139473</v>
      </c>
      <c r="AR207" s="649">
        <f t="shared" si="887"/>
        <v>22.92605841688777</v>
      </c>
      <c r="AS207" s="325">
        <f t="shared" si="887"/>
        <v>18.201926092549037</v>
      </c>
      <c r="AT207" s="119">
        <f t="shared" si="887"/>
        <v>19.576899975185309</v>
      </c>
      <c r="AU207" s="1277">
        <f t="shared" si="887"/>
        <v>17.84155437113948</v>
      </c>
      <c r="AV207" s="649">
        <f t="shared" si="887"/>
        <v>19.967907565808314</v>
      </c>
      <c r="AW207" s="325">
        <f t="shared" si="887"/>
        <v>18.171423737657843</v>
      </c>
      <c r="AX207" s="119">
        <f t="shared" si="887"/>
        <v>19.609767043409811</v>
      </c>
      <c r="AY207" s="1277">
        <f t="shared" si="887"/>
        <v>17.841554371139473</v>
      </c>
      <c r="AZ207" s="649">
        <f t="shared" si="887"/>
        <v>18.351263533290641</v>
      </c>
      <c r="BA207" s="330">
        <f t="shared" si="887"/>
        <v>17.841554371139473</v>
      </c>
      <c r="BB207" s="333">
        <f t="shared" si="887"/>
        <v>20.417996822297241</v>
      </c>
      <c r="BC207" s="440">
        <f t="shared" si="887"/>
        <v>17.84155437113947</v>
      </c>
      <c r="BD207" s="448">
        <f t="shared" si="887"/>
        <v>18.79650139278133</v>
      </c>
      <c r="BE207" s="325">
        <f t="shared" si="887"/>
        <v>18.143160227476013</v>
      </c>
      <c r="BF207" s="119">
        <f t="shared" si="887"/>
        <v>19.500923243372679</v>
      </c>
      <c r="BG207" s="1137"/>
      <c r="BH207" s="1137"/>
      <c r="BI207" s="1137"/>
      <c r="BJ207" s="1137"/>
      <c r="BK207" s="1137"/>
      <c r="BL207" s="25"/>
      <c r="BM207" s="25"/>
      <c r="BN207" s="25"/>
      <c r="BP207" s="502"/>
      <c r="BQ207" s="502"/>
      <c r="BS207" s="502"/>
      <c r="BT207" s="502"/>
    </row>
    <row r="208" spans="1:72" x14ac:dyDescent="0.25">
      <c r="B208" s="1758" t="s">
        <v>597</v>
      </c>
      <c r="C208" s="1563" t="s">
        <v>49</v>
      </c>
      <c r="D208" s="132">
        <f t="shared" ref="D208:AI208" si="888">+D133/D$139*100</f>
        <v>0</v>
      </c>
      <c r="E208" s="1277">
        <f t="shared" si="888"/>
        <v>0</v>
      </c>
      <c r="F208" s="97">
        <f t="shared" si="888"/>
        <v>0</v>
      </c>
      <c r="G208" s="1277">
        <f t="shared" si="888"/>
        <v>5.250121156642078</v>
      </c>
      <c r="H208" s="97">
        <f t="shared" si="888"/>
        <v>0.21084899908467455</v>
      </c>
      <c r="I208" s="245">
        <f t="shared" si="888"/>
        <v>2.800806706463649</v>
      </c>
      <c r="J208" s="103">
        <f t="shared" si="888"/>
        <v>0.11320480703743402</v>
      </c>
      <c r="K208" s="1277">
        <f t="shared" si="888"/>
        <v>5.2475159915116096</v>
      </c>
      <c r="L208" s="97">
        <f t="shared" si="888"/>
        <v>2.1745420004807348</v>
      </c>
      <c r="M208" s="220">
        <f t="shared" si="888"/>
        <v>3.6261949424736497</v>
      </c>
      <c r="N208" s="115">
        <f t="shared" si="888"/>
        <v>0.81845488706944847</v>
      </c>
      <c r="O208" s="1277">
        <f t="shared" si="888"/>
        <v>5.2475159915116105</v>
      </c>
      <c r="P208" s="97">
        <f t="shared" si="888"/>
        <v>0</v>
      </c>
      <c r="Q208" s="52">
        <f t="shared" si="888"/>
        <v>4.0452827854713185</v>
      </c>
      <c r="R208" s="119">
        <f t="shared" si="888"/>
        <v>0.60448985696405644</v>
      </c>
      <c r="S208" s="1277">
        <f t="shared" si="888"/>
        <v>5.2475159915116105</v>
      </c>
      <c r="T208" s="97">
        <f t="shared" si="888"/>
        <v>0</v>
      </c>
      <c r="U208" s="52">
        <f t="shared" si="888"/>
        <v>4.2922143309405882</v>
      </c>
      <c r="V208" s="119">
        <f t="shared" si="888"/>
        <v>0.47860547781368018</v>
      </c>
      <c r="W208" s="1277">
        <f t="shared" si="888"/>
        <v>5.2491739261091501</v>
      </c>
      <c r="X208" s="97">
        <f t="shared" si="888"/>
        <v>0</v>
      </c>
      <c r="Y208" s="330">
        <f t="shared" si="888"/>
        <v>5.2480428293304966</v>
      </c>
      <c r="Z208" s="333">
        <f t="shared" si="888"/>
        <v>0</v>
      </c>
      <c r="AA208" s="440">
        <f t="shared" si="888"/>
        <v>4.445907523265384</v>
      </c>
      <c r="AB208" s="448">
        <f t="shared" si="888"/>
        <v>0.39821956546384435</v>
      </c>
      <c r="AC208" s="1277">
        <f t="shared" si="888"/>
        <v>5.2475159915116105</v>
      </c>
      <c r="AD208" s="97">
        <f t="shared" si="888"/>
        <v>0.39615911434329792</v>
      </c>
      <c r="AE208" s="245">
        <f t="shared" si="888"/>
        <v>4.5637869195827658</v>
      </c>
      <c r="AF208" s="103">
        <f t="shared" si="888"/>
        <v>0.39791888888431154</v>
      </c>
      <c r="AG208" s="1277">
        <f t="shared" si="888"/>
        <v>5.2475159915116096</v>
      </c>
      <c r="AH208" s="97">
        <f t="shared" si="888"/>
        <v>0</v>
      </c>
      <c r="AI208" s="245">
        <f t="shared" si="888"/>
        <v>4.6489664548815375</v>
      </c>
      <c r="AJ208" s="103">
        <f t="shared" ref="AJ208:BF208" si="889">+AJ133/AJ$139*100</f>
        <v>0.34861761777378281</v>
      </c>
      <c r="AK208" s="1277">
        <f t="shared" si="889"/>
        <v>5.2475159915116105</v>
      </c>
      <c r="AL208" s="97">
        <f t="shared" si="889"/>
        <v>1.3824514418245548</v>
      </c>
      <c r="AM208" s="330">
        <f t="shared" si="889"/>
        <v>5.2475159915116105</v>
      </c>
      <c r="AN208" s="333">
        <f t="shared" si="889"/>
        <v>0.59941396319107065</v>
      </c>
      <c r="AO208" s="245">
        <f t="shared" si="889"/>
        <v>4.7172318068849819</v>
      </c>
      <c r="AP208" s="103">
        <f t="shared" si="889"/>
        <v>0.46595583697960458</v>
      </c>
      <c r="AQ208" s="1277">
        <f t="shared" si="889"/>
        <v>5.2475159915116105</v>
      </c>
      <c r="AR208" s="97">
        <f t="shared" si="889"/>
        <v>0</v>
      </c>
      <c r="AS208" s="245">
        <f t="shared" si="889"/>
        <v>4.7715197916652556</v>
      </c>
      <c r="AT208" s="103">
        <f t="shared" si="889"/>
        <v>0.41859419045276786</v>
      </c>
      <c r="AU208" s="1277">
        <f t="shared" si="889"/>
        <v>5.2475159915116105</v>
      </c>
      <c r="AV208" s="97">
        <f t="shared" si="889"/>
        <v>0</v>
      </c>
      <c r="AW208" s="245">
        <f t="shared" si="889"/>
        <v>4.811808760393947</v>
      </c>
      <c r="AX208" s="103">
        <f t="shared" si="889"/>
        <v>0.3834082653046943</v>
      </c>
      <c r="AY208" s="1277">
        <f t="shared" si="889"/>
        <v>5.2475159915116105</v>
      </c>
      <c r="AZ208" s="97">
        <f t="shared" si="889"/>
        <v>0</v>
      </c>
      <c r="BA208" s="330">
        <f t="shared" si="889"/>
        <v>5.2475159915116105</v>
      </c>
      <c r="BB208" s="333">
        <f t="shared" si="889"/>
        <v>0</v>
      </c>
      <c r="BC208" s="440">
        <f t="shared" si="889"/>
        <v>5.2475159915116096</v>
      </c>
      <c r="BD208" s="448">
        <f t="shared" si="889"/>
        <v>0.30254357751325456</v>
      </c>
      <c r="BE208" s="245">
        <f t="shared" si="889"/>
        <v>4.8491405559861391</v>
      </c>
      <c r="BF208" s="103">
        <f t="shared" si="889"/>
        <v>0.35024855440531455</v>
      </c>
      <c r="BG208" s="1137"/>
      <c r="BH208" s="1137"/>
      <c r="BI208" s="1137"/>
      <c r="BJ208" s="1137"/>
      <c r="BK208" s="1137"/>
      <c r="BL208" s="25"/>
      <c r="BM208" s="25"/>
      <c r="BN208" s="25"/>
      <c r="BP208" s="502"/>
      <c r="BQ208" s="502"/>
      <c r="BS208" s="502"/>
      <c r="BT208" s="502"/>
    </row>
    <row r="209" spans="2:72" x14ac:dyDescent="0.25">
      <c r="B209" s="1758" t="s">
        <v>1307</v>
      </c>
      <c r="C209" s="1564" t="s">
        <v>49</v>
      </c>
      <c r="D209" s="132">
        <f t="shared" ref="D209:AI209" si="890">+D134/D$139*100</f>
        <v>6.0546799157115379</v>
      </c>
      <c r="E209" s="1277">
        <f t="shared" si="890"/>
        <v>6.0731016121687817</v>
      </c>
      <c r="F209" s="97">
        <f t="shared" si="890"/>
        <v>7.3518027419307632</v>
      </c>
      <c r="G209" s="1277">
        <f t="shared" si="890"/>
        <v>0</v>
      </c>
      <c r="H209" s="97">
        <f t="shared" si="890"/>
        <v>0</v>
      </c>
      <c r="I209" s="245">
        <f t="shared" si="890"/>
        <v>3.2591819068323611</v>
      </c>
      <c r="J209" s="103">
        <f t="shared" si="890"/>
        <v>3.8492670867200376</v>
      </c>
      <c r="K209" s="1277">
        <f t="shared" si="890"/>
        <v>0</v>
      </c>
      <c r="L209" s="97">
        <f t="shared" si="890"/>
        <v>0</v>
      </c>
      <c r="M209" s="220">
        <f t="shared" si="890"/>
        <v>2.1597090673922885</v>
      </c>
      <c r="N209" s="115">
        <f t="shared" si="890"/>
        <v>2.5323084010625876</v>
      </c>
      <c r="O209" s="1277">
        <f t="shared" si="890"/>
        <v>0</v>
      </c>
      <c r="P209" s="97">
        <f t="shared" si="890"/>
        <v>2.1666654070142948</v>
      </c>
      <c r="Q209" s="52">
        <f t="shared" si="890"/>
        <v>1.601455774441455</v>
      </c>
      <c r="R209" s="119">
        <f t="shared" si="890"/>
        <v>2.4367199752795909</v>
      </c>
      <c r="S209" s="1277">
        <f t="shared" si="890"/>
        <v>0</v>
      </c>
      <c r="T209" s="97">
        <f t="shared" si="890"/>
        <v>0</v>
      </c>
      <c r="U209" s="52">
        <f t="shared" si="890"/>
        <v>1.2725262893825793</v>
      </c>
      <c r="V209" s="119">
        <f t="shared" si="890"/>
        <v>1.9292755943399937</v>
      </c>
      <c r="W209" s="1277">
        <f t="shared" si="890"/>
        <v>0</v>
      </c>
      <c r="X209" s="97">
        <f t="shared" si="890"/>
        <v>5.6719706683835147</v>
      </c>
      <c r="Y209" s="330">
        <f t="shared" si="890"/>
        <v>0</v>
      </c>
      <c r="Z209" s="333">
        <f t="shared" si="890"/>
        <v>2.5821381575334823</v>
      </c>
      <c r="AA209" s="440">
        <f t="shared" si="890"/>
        <v>1.0681512784418241</v>
      </c>
      <c r="AB209" s="448">
        <f t="shared" si="890"/>
        <v>2.5578934688126913</v>
      </c>
      <c r="AC209" s="1277">
        <f t="shared" si="890"/>
        <v>0</v>
      </c>
      <c r="AD209" s="97">
        <f t="shared" si="890"/>
        <v>8.3289113122127567</v>
      </c>
      <c r="AE209" s="245">
        <f t="shared" si="890"/>
        <v>0.91107580722850845</v>
      </c>
      <c r="AF209" s="103">
        <f t="shared" si="890"/>
        <v>3.4000439514293843</v>
      </c>
      <c r="AG209" s="1277">
        <f t="shared" si="890"/>
        <v>0</v>
      </c>
      <c r="AH209" s="97">
        <f t="shared" si="890"/>
        <v>7.6576154972493402</v>
      </c>
      <c r="AI209" s="245">
        <f t="shared" si="890"/>
        <v>0.79757322694074884</v>
      </c>
      <c r="AJ209" s="103">
        <f t="shared" ref="AJ209:BF209" si="891">+AJ134/AJ$139*100</f>
        <v>3.9275476586333133</v>
      </c>
      <c r="AK209" s="1277">
        <f t="shared" si="891"/>
        <v>0</v>
      </c>
      <c r="AL209" s="97">
        <f t="shared" si="891"/>
        <v>4.7650726690876759</v>
      </c>
      <c r="AM209" s="330">
        <f t="shared" si="891"/>
        <v>0</v>
      </c>
      <c r="AN209" s="333">
        <f t="shared" si="891"/>
        <v>6.9084694069972254</v>
      </c>
      <c r="AO209" s="245">
        <f t="shared" si="891"/>
        <v>0.70660896458048306</v>
      </c>
      <c r="AP209" s="103">
        <f t="shared" si="891"/>
        <v>4.0226051920403707</v>
      </c>
      <c r="AQ209" s="1277">
        <f t="shared" si="891"/>
        <v>0</v>
      </c>
      <c r="AR209" s="97">
        <f t="shared" si="891"/>
        <v>2.4195983321951711</v>
      </c>
      <c r="AS209" s="245">
        <f t="shared" si="891"/>
        <v>0.63426968344246504</v>
      </c>
      <c r="AT209" s="103">
        <f t="shared" si="891"/>
        <v>3.859669054641139</v>
      </c>
      <c r="AU209" s="1277">
        <f t="shared" si="891"/>
        <v>0</v>
      </c>
      <c r="AV209" s="97">
        <f t="shared" si="891"/>
        <v>5.3763901221649331</v>
      </c>
      <c r="AW209" s="245">
        <f t="shared" si="891"/>
        <v>0.58058423080645938</v>
      </c>
      <c r="AX209" s="103">
        <f t="shared" si="891"/>
        <v>3.9871606328082287</v>
      </c>
      <c r="AY209" s="1277">
        <f t="shared" si="891"/>
        <v>0</v>
      </c>
      <c r="AZ209" s="97">
        <f t="shared" si="891"/>
        <v>7.000015843524217</v>
      </c>
      <c r="BA209" s="330">
        <f t="shared" si="891"/>
        <v>0</v>
      </c>
      <c r="BB209" s="333">
        <f t="shared" si="891"/>
        <v>4.929197941385433</v>
      </c>
      <c r="BC209" s="440">
        <f t="shared" si="891"/>
        <v>0</v>
      </c>
      <c r="BD209" s="448">
        <f t="shared" si="891"/>
        <v>5.9282001449514095</v>
      </c>
      <c r="BE209" s="245">
        <f t="shared" si="891"/>
        <v>0.53083924086695533</v>
      </c>
      <c r="BF209" s="103">
        <f t="shared" si="891"/>
        <v>4.2477325004742452</v>
      </c>
      <c r="BG209" s="1137"/>
      <c r="BH209" s="1137"/>
      <c r="BI209" s="1137"/>
      <c r="BJ209" s="1137"/>
      <c r="BK209" s="1137"/>
      <c r="BL209" s="25"/>
      <c r="BM209" s="25"/>
      <c r="BN209" s="25"/>
      <c r="BP209" s="502"/>
      <c r="BQ209" s="502"/>
      <c r="BS209" s="502"/>
      <c r="BT209" s="502"/>
    </row>
    <row r="210" spans="2:72" ht="15.75" thickBot="1" x14ac:dyDescent="0.3">
      <c r="B210" s="1758" t="s">
        <v>1320</v>
      </c>
      <c r="C210" s="1564" t="s">
        <v>49</v>
      </c>
      <c r="D210" s="132">
        <f t="shared" ref="D210:AI210" si="892">+D135/D$139*100</f>
        <v>0</v>
      </c>
      <c r="E210" s="1277">
        <f t="shared" si="892"/>
        <v>0</v>
      </c>
      <c r="F210" s="124">
        <f t="shared" si="892"/>
        <v>0</v>
      </c>
      <c r="G210" s="1277">
        <f t="shared" si="892"/>
        <v>3.1500726939852459</v>
      </c>
      <c r="H210" s="124">
        <f t="shared" si="892"/>
        <v>0</v>
      </c>
      <c r="I210" s="571">
        <f t="shared" si="892"/>
        <v>1.6804840238781891</v>
      </c>
      <c r="J210" s="104">
        <f t="shared" si="892"/>
        <v>0</v>
      </c>
      <c r="K210" s="1277">
        <f t="shared" si="892"/>
        <v>3.1485095949069652</v>
      </c>
      <c r="L210" s="124">
        <f t="shared" si="892"/>
        <v>0</v>
      </c>
      <c r="M210" s="1468">
        <f t="shared" si="892"/>
        <v>2.1757169654841895</v>
      </c>
      <c r="N210" s="110">
        <f t="shared" si="892"/>
        <v>0</v>
      </c>
      <c r="O210" s="1277">
        <f t="shared" si="892"/>
        <v>3.1485095949069652</v>
      </c>
      <c r="P210" s="124">
        <f t="shared" si="892"/>
        <v>2.3053766268208857</v>
      </c>
      <c r="Q210" s="722">
        <f t="shared" si="892"/>
        <v>2.4271696712827908</v>
      </c>
      <c r="R210" s="104">
        <f t="shared" si="892"/>
        <v>0.60268438389829349</v>
      </c>
      <c r="S210" s="1277">
        <f t="shared" si="892"/>
        <v>3.1485095949069652</v>
      </c>
      <c r="T210" s="124">
        <f t="shared" si="892"/>
        <v>6.9451669371498088</v>
      </c>
      <c r="U210" s="722">
        <f t="shared" si="892"/>
        <v>2.5753285985643521</v>
      </c>
      <c r="V210" s="104">
        <f t="shared" si="892"/>
        <v>1.9234997280929513</v>
      </c>
      <c r="W210" s="1277">
        <f t="shared" si="892"/>
        <v>3.1495043556654911</v>
      </c>
      <c r="X210" s="124">
        <f t="shared" si="892"/>
        <v>2.0353833639675027</v>
      </c>
      <c r="Y210" s="330">
        <f t="shared" si="892"/>
        <v>3.1488256975982973</v>
      </c>
      <c r="Z210" s="333">
        <f t="shared" si="892"/>
        <v>3.7828281636217849</v>
      </c>
      <c r="AA210" s="440">
        <f t="shared" si="892"/>
        <v>2.6675445139592302</v>
      </c>
      <c r="AB210" s="448">
        <f t="shared" si="892"/>
        <v>1.9422915484203698</v>
      </c>
      <c r="AC210" s="1277">
        <f t="shared" si="892"/>
        <v>3.1485095949069652</v>
      </c>
      <c r="AD210" s="124">
        <f t="shared" si="892"/>
        <v>0</v>
      </c>
      <c r="AE210" s="571">
        <f t="shared" si="892"/>
        <v>2.7382721517496589</v>
      </c>
      <c r="AF210" s="104">
        <f t="shared" si="892"/>
        <v>1.6588577055056084</v>
      </c>
      <c r="AG210" s="1277">
        <f t="shared" si="892"/>
        <v>3.1485095949069652</v>
      </c>
      <c r="AH210" s="124">
        <f t="shared" si="892"/>
        <v>0</v>
      </c>
      <c r="AI210" s="571">
        <f t="shared" si="892"/>
        <v>2.7893798729289223</v>
      </c>
      <c r="AJ210" s="104">
        <f t="shared" ref="AJ210:BF210" si="893">+AJ135/AJ$139*100</f>
        <v>1.4533289011248267</v>
      </c>
      <c r="AK210" s="1277">
        <f t="shared" si="893"/>
        <v>3.1485095949069652</v>
      </c>
      <c r="AL210" s="124">
        <f t="shared" si="893"/>
        <v>0</v>
      </c>
      <c r="AM210" s="330">
        <f t="shared" si="893"/>
        <v>3.1485095949069652</v>
      </c>
      <c r="AN210" s="333">
        <f t="shared" si="893"/>
        <v>0</v>
      </c>
      <c r="AO210" s="571">
        <f t="shared" si="893"/>
        <v>2.8303390841309892</v>
      </c>
      <c r="AP210" s="104">
        <f t="shared" si="893"/>
        <v>1.2883787696712381</v>
      </c>
      <c r="AQ210" s="1277">
        <f t="shared" si="893"/>
        <v>3.1485095949069652</v>
      </c>
      <c r="AR210" s="124">
        <f t="shared" si="893"/>
        <v>0</v>
      </c>
      <c r="AS210" s="571">
        <f t="shared" si="893"/>
        <v>2.8629118749991536</v>
      </c>
      <c r="AT210" s="104">
        <f t="shared" si="893"/>
        <v>1.1574227110941229</v>
      </c>
      <c r="AU210" s="1277">
        <f t="shared" si="893"/>
        <v>3.1485095949069661</v>
      </c>
      <c r="AV210" s="124">
        <f t="shared" si="893"/>
        <v>0</v>
      </c>
      <c r="AW210" s="571">
        <f t="shared" si="893"/>
        <v>2.887085256236368</v>
      </c>
      <c r="AX210" s="104">
        <f t="shared" si="893"/>
        <v>1.0601328064416276</v>
      </c>
      <c r="AY210" s="1277">
        <f t="shared" si="893"/>
        <v>3.1485095949069652</v>
      </c>
      <c r="AZ210" s="124">
        <f t="shared" si="893"/>
        <v>0</v>
      </c>
      <c r="BA210" s="330">
        <f t="shared" si="893"/>
        <v>3.1485095949069652</v>
      </c>
      <c r="BB210" s="333">
        <f t="shared" si="893"/>
        <v>0</v>
      </c>
      <c r="BC210" s="440">
        <f t="shared" si="893"/>
        <v>3.1485095949069652</v>
      </c>
      <c r="BD210" s="448">
        <f t="shared" si="893"/>
        <v>0</v>
      </c>
      <c r="BE210" s="571">
        <f t="shared" si="893"/>
        <v>2.9094843335916836</v>
      </c>
      <c r="BF210" s="104">
        <f t="shared" si="893"/>
        <v>0.96844543150041218</v>
      </c>
      <c r="BG210" s="1137"/>
      <c r="BH210" s="1137"/>
      <c r="BI210" s="1137"/>
      <c r="BJ210" s="1137"/>
      <c r="BK210" s="1137"/>
      <c r="BL210" s="25"/>
      <c r="BM210" s="25"/>
      <c r="BN210" s="25"/>
      <c r="BP210" s="502"/>
      <c r="BQ210" s="502"/>
      <c r="BS210" s="502"/>
      <c r="BT210" s="502"/>
    </row>
    <row r="211" spans="2:72" ht="19.5" thickBot="1" x14ac:dyDescent="0.3">
      <c r="B211" s="1812" t="s">
        <v>134</v>
      </c>
      <c r="C211" s="689" t="s">
        <v>49</v>
      </c>
      <c r="D211" s="1353">
        <f>SUM(D207:D210)</f>
        <v>25.019520482788096</v>
      </c>
      <c r="E211" s="1300">
        <f>SUM(E207:E210)</f>
        <v>25.019621645316683</v>
      </c>
      <c r="F211" s="133">
        <f>SUM(F207:F210)</f>
        <v>25</v>
      </c>
      <c r="G211" s="1300">
        <f>SUM(G207:G210)</f>
        <v>26.250605783210382</v>
      </c>
      <c r="H211" s="133">
        <f>SUM(H207:H210)</f>
        <v>24.706229924196233</v>
      </c>
      <c r="I211" s="572">
        <f t="shared" ref="I211:N211" si="894">SUM(I207:I210)</f>
        <v>27.431027412812071</v>
      </c>
      <c r="J211" s="158">
        <f t="shared" si="894"/>
        <v>26.354307145392944</v>
      </c>
      <c r="K211" s="1300">
        <f>SUM(K207:K210)</f>
        <v>26.237579957558047</v>
      </c>
      <c r="L211" s="133">
        <f>SUM(L207:L210)</f>
        <v>24.694394282078864</v>
      </c>
      <c r="M211" s="1484">
        <f t="shared" si="894"/>
        <v>27.028422372694514</v>
      </c>
      <c r="N211" s="1485">
        <f t="shared" si="894"/>
        <v>25.78639730346022</v>
      </c>
      <c r="O211" s="1300">
        <f>SUM(O207:O210)</f>
        <v>26.237579957558051</v>
      </c>
      <c r="P211" s="133">
        <f>SUM(P207:P210)</f>
        <v>24.688884191570757</v>
      </c>
      <c r="Q211" s="1601">
        <f t="shared" ref="Q211:R211" si="895">SUM(Q207:Q210)</f>
        <v>26.824001143409131</v>
      </c>
      <c r="R211" s="158">
        <f t="shared" si="895"/>
        <v>25.499479319663557</v>
      </c>
      <c r="S211" s="1300">
        <f>SUM(S207:S210)</f>
        <v>26.237579957558051</v>
      </c>
      <c r="T211" s="133">
        <f>SUM(T207:T210)</f>
        <v>24.351610816827247</v>
      </c>
      <c r="U211" s="1601">
        <f t="shared" ref="U211:V211" si="896">SUM(U207:U210)</f>
        <v>26.703553721901727</v>
      </c>
      <c r="V211" s="158">
        <f t="shared" si="896"/>
        <v>25.26043690702236</v>
      </c>
      <c r="W211" s="1300">
        <f>SUM(W207:W210)</f>
        <v>26.245869630545755</v>
      </c>
      <c r="X211" s="133">
        <f>SUM(X207:X210)</f>
        <v>24.350933606000623</v>
      </c>
      <c r="Y211" s="573">
        <f t="shared" ref="Y211:AF211" si="897">SUM(Y207:Y210)</f>
        <v>26.24021414665248</v>
      </c>
      <c r="Z211" s="332">
        <f t="shared" si="897"/>
        <v>24.464516187443401</v>
      </c>
      <c r="AA211" s="2355">
        <f t="shared" si="897"/>
        <v>26.630047035274707</v>
      </c>
      <c r="AB211" s="2299">
        <f t="shared" si="897"/>
        <v>25.107677993831903</v>
      </c>
      <c r="AC211" s="1300">
        <f>SUM(AC207:AC210)</f>
        <v>26.237579957558051</v>
      </c>
      <c r="AD211" s="133">
        <f>SUM(AD207:AD210)</f>
        <v>24.77050823217045</v>
      </c>
      <c r="AE211" s="572">
        <f t="shared" si="897"/>
        <v>26.572333345826173</v>
      </c>
      <c r="AF211" s="158">
        <f t="shared" si="897"/>
        <v>25.058475637295839</v>
      </c>
      <c r="AG211" s="1300">
        <f>SUM(AG207:AG210)</f>
        <v>26.237579957558047</v>
      </c>
      <c r="AH211" s="133">
        <f>SUM(AH207:AH210)</f>
        <v>24.684769005501316</v>
      </c>
      <c r="AI211" s="572">
        <f t="shared" ref="AI211:AN211" si="898">SUM(AI207:AI210)</f>
        <v>26.530629490859273</v>
      </c>
      <c r="AJ211" s="158">
        <f t="shared" si="898"/>
        <v>25.012174211340504</v>
      </c>
      <c r="AK211" s="1300">
        <f>SUM(AK207:AK210)</f>
        <v>26.237579957558051</v>
      </c>
      <c r="AL211" s="133">
        <f>SUM(AL207:AL210)</f>
        <v>24.683768627239509</v>
      </c>
      <c r="AM211" s="573">
        <f t="shared" si="898"/>
        <v>26.237579957558051</v>
      </c>
      <c r="AN211" s="332">
        <f t="shared" si="898"/>
        <v>24.713295051226808</v>
      </c>
      <c r="AO211" s="572">
        <f t="shared" ref="AO211:AT211" si="899">SUM(AO207:AO210)</f>
        <v>26.497206810995742</v>
      </c>
      <c r="AP211" s="158">
        <f t="shared" si="899"/>
        <v>24.974900787392471</v>
      </c>
      <c r="AQ211" s="1300">
        <f>SUM(AQ207:AQ210)</f>
        <v>26.237579957558051</v>
      </c>
      <c r="AR211" s="133">
        <f>SUM(AR207:AR210)</f>
        <v>25.345656749082941</v>
      </c>
      <c r="AS211" s="572">
        <f t="shared" si="899"/>
        <v>26.47062744265591</v>
      </c>
      <c r="AT211" s="158">
        <f t="shared" si="899"/>
        <v>25.012585931373341</v>
      </c>
      <c r="AU211" s="1300">
        <f>SUM(AU207:AU210)</f>
        <v>26.237579957558058</v>
      </c>
      <c r="AV211" s="133">
        <f>SUM(AV207:AV210)</f>
        <v>25.344297687973246</v>
      </c>
      <c r="AW211" s="572">
        <f t="shared" ref="AW211:AX211" si="900">SUM(AW207:AW210)</f>
        <v>26.450901985094617</v>
      </c>
      <c r="AX211" s="158">
        <f t="shared" si="900"/>
        <v>25.040468747964361</v>
      </c>
      <c r="AY211" s="1300">
        <f>SUM(AY207:AY210)</f>
        <v>26.237579957558051</v>
      </c>
      <c r="AZ211" s="133">
        <f>SUM(AZ207:AZ210)</f>
        <v>25.351279376814858</v>
      </c>
      <c r="BA211" s="573">
        <f t="shared" ref="BA211:BF211" si="901">SUM(BA207:BA210)</f>
        <v>26.237579957558051</v>
      </c>
      <c r="BB211" s="332">
        <f t="shared" si="901"/>
        <v>25.347194763682673</v>
      </c>
      <c r="BC211" s="2355">
        <f t="shared" si="901"/>
        <v>26.237579957558044</v>
      </c>
      <c r="BD211" s="2299">
        <f t="shared" si="901"/>
        <v>25.027245115245996</v>
      </c>
      <c r="BE211" s="572">
        <f t="shared" si="901"/>
        <v>26.432624357920794</v>
      </c>
      <c r="BF211" s="158">
        <f t="shared" si="901"/>
        <v>25.067349729752653</v>
      </c>
      <c r="BG211" s="1137"/>
      <c r="BH211" s="1137"/>
      <c r="BI211" s="1137"/>
      <c r="BJ211" s="1137"/>
      <c r="BK211" s="1137"/>
      <c r="BL211" s="25"/>
      <c r="BM211" s="25"/>
      <c r="BN211" s="25"/>
      <c r="BP211" s="502"/>
      <c r="BQ211" s="502"/>
      <c r="BS211" s="502"/>
      <c r="BT211" s="502"/>
    </row>
    <row r="212" spans="2:72" ht="19.5" thickBot="1" x14ac:dyDescent="0.3">
      <c r="B212" s="1811" t="s">
        <v>12</v>
      </c>
      <c r="C212" s="689" t="s">
        <v>49</v>
      </c>
      <c r="D212" s="1353">
        <f>+D206+D211</f>
        <v>92.97262619628691</v>
      </c>
      <c r="E212" s="1300">
        <f>+E206+E211</f>
        <v>92.936207685992514</v>
      </c>
      <c r="F212" s="133">
        <f>+F206+F211</f>
        <v>92.88918390296584</v>
      </c>
      <c r="G212" s="1300">
        <f>+G206+G211</f>
        <v>100</v>
      </c>
      <c r="H212" s="133">
        <f>+H206+H211</f>
        <v>93.667281514284795</v>
      </c>
      <c r="I212" s="572">
        <f t="shared" ref="I212:N212" si="902">+I206+I211</f>
        <v>100</v>
      </c>
      <c r="J212" s="158">
        <f t="shared" si="902"/>
        <v>92.876873098256624</v>
      </c>
      <c r="K212" s="1300">
        <f>+K206+K211</f>
        <v>99.999999999999972</v>
      </c>
      <c r="L212" s="133">
        <f>+L206+L211</f>
        <v>93.437618856972875</v>
      </c>
      <c r="M212" s="1484">
        <f t="shared" si="902"/>
        <v>100</v>
      </c>
      <c r="N212" s="1485">
        <f t="shared" si="902"/>
        <v>93.068722346632939</v>
      </c>
      <c r="O212" s="1300">
        <f>+O206+O211</f>
        <v>99.999999999999986</v>
      </c>
      <c r="P212" s="133">
        <f>+P206+P211</f>
        <v>93.966668191590372</v>
      </c>
      <c r="Q212" s="1601">
        <f t="shared" ref="Q212:R212" si="903">+Q206+Q211</f>
        <v>100.00000000000003</v>
      </c>
      <c r="R212" s="158">
        <f t="shared" si="903"/>
        <v>93.303468345202589</v>
      </c>
      <c r="S212" s="1300">
        <f>+S206+S211</f>
        <v>99.999999999999986</v>
      </c>
      <c r="T212" s="133">
        <f>+T206+T211</f>
        <v>93.241945303495299</v>
      </c>
      <c r="U212" s="1601">
        <f t="shared" ref="U212:V212" si="904">+U206+U211</f>
        <v>99.999999999999986</v>
      </c>
      <c r="V212" s="158">
        <f t="shared" si="904"/>
        <v>93.290656236248992</v>
      </c>
      <c r="W212" s="1300">
        <f>+W206+W211</f>
        <v>99.999999999999986</v>
      </c>
      <c r="X212" s="133">
        <f>+X206+X211</f>
        <v>93.2448303447526</v>
      </c>
      <c r="Y212" s="573">
        <f t="shared" ref="Y212:AF212" si="905">+Y206+Y211</f>
        <v>100</v>
      </c>
      <c r="Z212" s="332">
        <f t="shared" si="905"/>
        <v>93.485972730981359</v>
      </c>
      <c r="AA212" s="2355">
        <f t="shared" si="905"/>
        <v>100</v>
      </c>
      <c r="AB212" s="2299">
        <f t="shared" si="905"/>
        <v>93.282959383062092</v>
      </c>
      <c r="AC212" s="1300">
        <f>+AC206+AC211</f>
        <v>99.999999999999986</v>
      </c>
      <c r="AD212" s="133">
        <f>+AD206+AD211</f>
        <v>93.243541106226871</v>
      </c>
      <c r="AE212" s="572">
        <f t="shared" si="905"/>
        <v>100.00000000000003</v>
      </c>
      <c r="AF212" s="158">
        <f t="shared" si="905"/>
        <v>93.277207170582173</v>
      </c>
      <c r="AG212" s="1300">
        <f>+AG206+AG211</f>
        <v>99.999999999999972</v>
      </c>
      <c r="AH212" s="133">
        <f>+AH206+AH211</f>
        <v>93.288077486246692</v>
      </c>
      <c r="AI212" s="572">
        <f t="shared" ref="AI212:AN212" si="906">+AI206+AI211</f>
        <v>100</v>
      </c>
      <c r="AJ212" s="158">
        <f t="shared" si="906"/>
        <v>93.278553978674495</v>
      </c>
      <c r="AK212" s="1300">
        <f>+AK206+AK211</f>
        <v>99.999999999999986</v>
      </c>
      <c r="AL212" s="133">
        <f>+AL206+AL211</f>
        <v>92.364182227254133</v>
      </c>
      <c r="AM212" s="573">
        <f t="shared" si="906"/>
        <v>99.999999999999986</v>
      </c>
      <c r="AN212" s="332">
        <f t="shared" si="906"/>
        <v>92.961622005761853</v>
      </c>
      <c r="AO212" s="572">
        <f t="shared" ref="AO212:AT212" si="907">+AO206+AO211</f>
        <v>100</v>
      </c>
      <c r="AP212" s="158">
        <f t="shared" si="907"/>
        <v>93.174774482871769</v>
      </c>
      <c r="AQ212" s="1300">
        <f>+AQ206+AQ211</f>
        <v>99.999999999999986</v>
      </c>
      <c r="AR212" s="133">
        <f>+AR206+AR211</f>
        <v>92.234744794308796</v>
      </c>
      <c r="AS212" s="572">
        <f t="shared" si="907"/>
        <v>100</v>
      </c>
      <c r="AT212" s="158">
        <f t="shared" si="907"/>
        <v>93.079226041794072</v>
      </c>
      <c r="AU212" s="1300">
        <f>+AU206+AU211</f>
        <v>99.999999999999986</v>
      </c>
      <c r="AV212" s="133">
        <f>+AV206+AV211</f>
        <v>93.244082359750223</v>
      </c>
      <c r="AW212" s="572">
        <f t="shared" ref="AW212:AX212" si="908">+AW206+AW211</f>
        <v>100</v>
      </c>
      <c r="AX212" s="158">
        <f t="shared" si="908"/>
        <v>93.093083429679751</v>
      </c>
      <c r="AY212" s="1300">
        <f>+AY206+AY211</f>
        <v>99.999999999999986</v>
      </c>
      <c r="AZ212" s="133">
        <f>+AZ206+AZ211</f>
        <v>93.243821499637903</v>
      </c>
      <c r="BA212" s="573">
        <f t="shared" ref="BA212:BF212" si="909">+BA206+BA211</f>
        <v>99.999999999999986</v>
      </c>
      <c r="BB212" s="332">
        <f t="shared" si="909"/>
        <v>92.898302403108801</v>
      </c>
      <c r="BC212" s="2355">
        <f t="shared" si="909"/>
        <v>99.999999999999972</v>
      </c>
      <c r="BD212" s="2299">
        <f t="shared" si="909"/>
        <v>92.930261850652187</v>
      </c>
      <c r="BE212" s="572">
        <f t="shared" si="909"/>
        <v>99.999999999999972</v>
      </c>
      <c r="BF212" s="158">
        <f t="shared" si="909"/>
        <v>93.106120266059278</v>
      </c>
      <c r="BG212" s="1137"/>
      <c r="BH212" s="1137"/>
      <c r="BI212" s="1137"/>
      <c r="BJ212" s="1137"/>
      <c r="BK212" s="1137"/>
      <c r="BL212" s="25"/>
      <c r="BM212" s="25"/>
      <c r="BN212" s="25"/>
      <c r="BP212" s="502"/>
      <c r="BQ212" s="502"/>
      <c r="BS212" s="502"/>
      <c r="BT212" s="502"/>
    </row>
    <row r="213" spans="2:72" ht="15.75" thickBot="1" x14ac:dyDescent="0.3">
      <c r="B213" s="1765" t="s">
        <v>1140</v>
      </c>
      <c r="C213" s="1320" t="s">
        <v>49</v>
      </c>
      <c r="D213" s="7574">
        <f>+D138/D$139*100</f>
        <v>7.0273738037130897</v>
      </c>
      <c r="E213" s="7575">
        <f>+E138/E$139*100</f>
        <v>7.0637923140074763</v>
      </c>
      <c r="F213" s="649">
        <f>+F138/F$139*100</f>
        <v>7.1108160970341654</v>
      </c>
      <c r="G213" s="7554" t="e">
        <f>+#REF!/G$139*100</f>
        <v>#REF!</v>
      </c>
      <c r="H213" s="649" t="e">
        <f>+#REF!/H$139*100</f>
        <v>#REF!</v>
      </c>
      <c r="I213" s="7555" t="e">
        <f>+#REF!/I$139*100</f>
        <v>#REF!</v>
      </c>
      <c r="J213" s="119" t="e">
        <f>+#REF!/J$139*100</f>
        <v>#REF!</v>
      </c>
      <c r="K213" s="7554" t="e">
        <f>+#REF!/K$139*100</f>
        <v>#REF!</v>
      </c>
      <c r="L213" s="649" t="e">
        <f>+#REF!/L$139*100</f>
        <v>#REF!</v>
      </c>
      <c r="M213" s="7557" t="e">
        <f>+#REF!/M$139*100</f>
        <v>#REF!</v>
      </c>
      <c r="N213" s="115" t="e">
        <f>+#REF!/N$139*100</f>
        <v>#REF!</v>
      </c>
      <c r="O213" s="7554" t="e">
        <f>+#REF!/O$139*100</f>
        <v>#REF!</v>
      </c>
      <c r="P213" s="649" t="e">
        <f>+#REF!/P$139*100</f>
        <v>#REF!</v>
      </c>
      <c r="Q213" s="7556" t="e">
        <f>+#REF!/Q$139*100</f>
        <v>#REF!</v>
      </c>
      <c r="R213" s="119" t="e">
        <f>+#REF!/R$139*100</f>
        <v>#REF!</v>
      </c>
      <c r="S213" s="7554" t="e">
        <f>+#REF!/S$139*100</f>
        <v>#REF!</v>
      </c>
      <c r="T213" s="649" t="e">
        <f>+#REF!/T$139*100</f>
        <v>#REF!</v>
      </c>
      <c r="U213" s="7556" t="e">
        <f>+#REF!/U$139*100</f>
        <v>#REF!</v>
      </c>
      <c r="V213" s="119" t="e">
        <f>+#REF!/V$139*100</f>
        <v>#REF!</v>
      </c>
      <c r="W213" s="7554" t="e">
        <f>+#REF!/W$139*100</f>
        <v>#REF!</v>
      </c>
      <c r="X213" s="649" t="e">
        <f>+#REF!/X$139*100</f>
        <v>#REF!</v>
      </c>
      <c r="Y213" s="7552" t="e">
        <f>+#REF!/Y$139*100</f>
        <v>#REF!</v>
      </c>
      <c r="Z213" s="333" t="e">
        <f>+#REF!/Z$139*100</f>
        <v>#REF!</v>
      </c>
      <c r="AA213" s="7553" t="e">
        <f>+#REF!/AA$139*100</f>
        <v>#REF!</v>
      </c>
      <c r="AB213" s="448" t="e">
        <f>+#REF!/AB$139*100</f>
        <v>#REF!</v>
      </c>
      <c r="AC213" s="7554" t="e">
        <f>+#REF!/AC$139*100</f>
        <v>#REF!</v>
      </c>
      <c r="AD213" s="649" t="e">
        <f>+#REF!/AD$139*100</f>
        <v>#REF!</v>
      </c>
      <c r="AE213" s="7550" t="e">
        <f>+#REF!/AE$139*100</f>
        <v>#REF!</v>
      </c>
      <c r="AF213" s="119" t="e">
        <f>+#REF!/AF$139*100</f>
        <v>#REF!</v>
      </c>
      <c r="AG213" s="7554" t="e">
        <f>+#REF!/AG$139*100</f>
        <v>#REF!</v>
      </c>
      <c r="AH213" s="649" t="e">
        <f>+#REF!/AH$139*100</f>
        <v>#REF!</v>
      </c>
      <c r="AI213" s="7550" t="e">
        <f>+#REF!/AI$139*100</f>
        <v>#REF!</v>
      </c>
      <c r="AJ213" s="119" t="e">
        <f>+#REF!/AJ$139*100</f>
        <v>#REF!</v>
      </c>
      <c r="AK213" s="7554" t="e">
        <f>+#REF!/AK$139*100</f>
        <v>#REF!</v>
      </c>
      <c r="AL213" s="649" t="e">
        <f>+#REF!/AL$139*100</f>
        <v>#REF!</v>
      </c>
      <c r="AM213" s="7552" t="e">
        <f>+#REF!/AM$139*100</f>
        <v>#REF!</v>
      </c>
      <c r="AN213" s="333" t="e">
        <f>+#REF!/AN$139*100</f>
        <v>#REF!</v>
      </c>
      <c r="AO213" s="7550" t="e">
        <f>+#REF!/AO$139*100</f>
        <v>#REF!</v>
      </c>
      <c r="AP213" s="119" t="e">
        <f>+#REF!/AP$139*100</f>
        <v>#REF!</v>
      </c>
      <c r="AQ213" s="7554" t="e">
        <f>+#REF!/AQ$139*100</f>
        <v>#REF!</v>
      </c>
      <c r="AR213" s="649" t="e">
        <f>+#REF!/AR$139*100</f>
        <v>#REF!</v>
      </c>
      <c r="AS213" s="7550" t="e">
        <f>+#REF!/AS$139*100</f>
        <v>#REF!</v>
      </c>
      <c r="AT213" s="119" t="e">
        <f>+#REF!/AT$139*100</f>
        <v>#REF!</v>
      </c>
      <c r="AU213" s="7554" t="e">
        <f>+#REF!/AU$139*100</f>
        <v>#REF!</v>
      </c>
      <c r="AV213" s="649" t="e">
        <f>+#REF!/AV$139*100</f>
        <v>#REF!</v>
      </c>
      <c r="AW213" s="7550" t="e">
        <f>+#REF!/AW$139*100</f>
        <v>#REF!</v>
      </c>
      <c r="AX213" s="119" t="e">
        <f>+#REF!/AX$139*100</f>
        <v>#REF!</v>
      </c>
      <c r="AY213" s="7554" t="e">
        <f>+#REF!/AY$139*100</f>
        <v>#REF!</v>
      </c>
      <c r="AZ213" s="649" t="e">
        <f>+#REF!/AZ$139*100</f>
        <v>#REF!</v>
      </c>
      <c r="BA213" s="7552" t="e">
        <f>+#REF!/BA$139*100</f>
        <v>#REF!</v>
      </c>
      <c r="BB213" s="333" t="e">
        <f>+#REF!/BB$139*100</f>
        <v>#REF!</v>
      </c>
      <c r="BC213" s="7553" t="e">
        <f>+#REF!/BC$139*100</f>
        <v>#REF!</v>
      </c>
      <c r="BD213" s="448" t="e">
        <f>+#REF!/BD$139*100</f>
        <v>#REF!</v>
      </c>
      <c r="BE213" s="7550" t="e">
        <f>+#REF!/BE$139*100</f>
        <v>#REF!</v>
      </c>
      <c r="BF213" s="119" t="e">
        <f>+#REF!/BF$139*100</f>
        <v>#REF!</v>
      </c>
      <c r="BG213" s="1137"/>
      <c r="BH213" s="1137"/>
      <c r="BI213" s="1137"/>
      <c r="BJ213" s="1137"/>
      <c r="BK213" s="1137"/>
      <c r="BL213" s="25"/>
      <c r="BM213" s="25"/>
      <c r="BN213" s="25"/>
      <c r="BP213" s="502"/>
      <c r="BQ213" s="502"/>
      <c r="BS213" s="502"/>
      <c r="BT213" s="502"/>
    </row>
    <row r="214" spans="2:72" ht="19.5" thickBot="1" x14ac:dyDescent="0.3">
      <c r="B214" s="1811" t="s">
        <v>581</v>
      </c>
      <c r="C214" s="689" t="s">
        <v>49</v>
      </c>
      <c r="D214" s="1353">
        <f t="shared" ref="D214:AI214" si="910">SUM(D213:D213)</f>
        <v>7.0273738037130897</v>
      </c>
      <c r="E214" s="1300">
        <f t="shared" si="910"/>
        <v>7.0637923140074763</v>
      </c>
      <c r="F214" s="133">
        <f t="shared" si="910"/>
        <v>7.1108160970341654</v>
      </c>
      <c r="G214" s="1300" t="e">
        <f t="shared" si="910"/>
        <v>#REF!</v>
      </c>
      <c r="H214" s="133" t="e">
        <f t="shared" si="910"/>
        <v>#REF!</v>
      </c>
      <c r="I214" s="572" t="e">
        <f t="shared" si="910"/>
        <v>#REF!</v>
      </c>
      <c r="J214" s="158" t="e">
        <f t="shared" si="910"/>
        <v>#REF!</v>
      </c>
      <c r="K214" s="1300" t="e">
        <f t="shared" si="910"/>
        <v>#REF!</v>
      </c>
      <c r="L214" s="133" t="e">
        <f t="shared" si="910"/>
        <v>#REF!</v>
      </c>
      <c r="M214" s="1484" t="e">
        <f t="shared" si="910"/>
        <v>#REF!</v>
      </c>
      <c r="N214" s="1485" t="e">
        <f t="shared" si="910"/>
        <v>#REF!</v>
      </c>
      <c r="O214" s="1300" t="e">
        <f t="shared" si="910"/>
        <v>#REF!</v>
      </c>
      <c r="P214" s="133" t="e">
        <f t="shared" si="910"/>
        <v>#REF!</v>
      </c>
      <c r="Q214" s="1601" t="e">
        <f t="shared" si="910"/>
        <v>#REF!</v>
      </c>
      <c r="R214" s="158" t="e">
        <f t="shared" si="910"/>
        <v>#REF!</v>
      </c>
      <c r="S214" s="1300" t="e">
        <f t="shared" si="910"/>
        <v>#REF!</v>
      </c>
      <c r="T214" s="133" t="e">
        <f t="shared" si="910"/>
        <v>#REF!</v>
      </c>
      <c r="U214" s="1601" t="e">
        <f t="shared" si="910"/>
        <v>#REF!</v>
      </c>
      <c r="V214" s="158" t="e">
        <f t="shared" si="910"/>
        <v>#REF!</v>
      </c>
      <c r="W214" s="1300" t="e">
        <f t="shared" si="910"/>
        <v>#REF!</v>
      </c>
      <c r="X214" s="133" t="e">
        <f t="shared" si="910"/>
        <v>#REF!</v>
      </c>
      <c r="Y214" s="573" t="e">
        <f t="shared" si="910"/>
        <v>#REF!</v>
      </c>
      <c r="Z214" s="332" t="e">
        <f t="shared" si="910"/>
        <v>#REF!</v>
      </c>
      <c r="AA214" s="2355" t="e">
        <f t="shared" si="910"/>
        <v>#REF!</v>
      </c>
      <c r="AB214" s="2299" t="e">
        <f t="shared" si="910"/>
        <v>#REF!</v>
      </c>
      <c r="AC214" s="1300" t="e">
        <f t="shared" si="910"/>
        <v>#REF!</v>
      </c>
      <c r="AD214" s="133" t="e">
        <f t="shared" si="910"/>
        <v>#REF!</v>
      </c>
      <c r="AE214" s="572" t="e">
        <f t="shared" si="910"/>
        <v>#REF!</v>
      </c>
      <c r="AF214" s="158" t="e">
        <f t="shared" si="910"/>
        <v>#REF!</v>
      </c>
      <c r="AG214" s="1300" t="e">
        <f t="shared" si="910"/>
        <v>#REF!</v>
      </c>
      <c r="AH214" s="133" t="e">
        <f t="shared" si="910"/>
        <v>#REF!</v>
      </c>
      <c r="AI214" s="572" t="e">
        <f t="shared" si="910"/>
        <v>#REF!</v>
      </c>
      <c r="AJ214" s="158" t="e">
        <f t="shared" ref="AJ214:BF214" si="911">SUM(AJ213:AJ213)</f>
        <v>#REF!</v>
      </c>
      <c r="AK214" s="1300" t="e">
        <f t="shared" si="911"/>
        <v>#REF!</v>
      </c>
      <c r="AL214" s="133" t="e">
        <f t="shared" si="911"/>
        <v>#REF!</v>
      </c>
      <c r="AM214" s="573" t="e">
        <f t="shared" si="911"/>
        <v>#REF!</v>
      </c>
      <c r="AN214" s="332" t="e">
        <f t="shared" si="911"/>
        <v>#REF!</v>
      </c>
      <c r="AO214" s="572" t="e">
        <f t="shared" si="911"/>
        <v>#REF!</v>
      </c>
      <c r="AP214" s="158" t="e">
        <f t="shared" si="911"/>
        <v>#REF!</v>
      </c>
      <c r="AQ214" s="1300" t="e">
        <f t="shared" si="911"/>
        <v>#REF!</v>
      </c>
      <c r="AR214" s="133" t="e">
        <f t="shared" si="911"/>
        <v>#REF!</v>
      </c>
      <c r="AS214" s="572" t="e">
        <f t="shared" si="911"/>
        <v>#REF!</v>
      </c>
      <c r="AT214" s="158" t="e">
        <f t="shared" si="911"/>
        <v>#REF!</v>
      </c>
      <c r="AU214" s="1300" t="e">
        <f t="shared" si="911"/>
        <v>#REF!</v>
      </c>
      <c r="AV214" s="133" t="e">
        <f t="shared" si="911"/>
        <v>#REF!</v>
      </c>
      <c r="AW214" s="572" t="e">
        <f t="shared" si="911"/>
        <v>#REF!</v>
      </c>
      <c r="AX214" s="158" t="e">
        <f t="shared" si="911"/>
        <v>#REF!</v>
      </c>
      <c r="AY214" s="1300" t="e">
        <f t="shared" si="911"/>
        <v>#REF!</v>
      </c>
      <c r="AZ214" s="133" t="e">
        <f t="shared" si="911"/>
        <v>#REF!</v>
      </c>
      <c r="BA214" s="573" t="e">
        <f t="shared" si="911"/>
        <v>#REF!</v>
      </c>
      <c r="BB214" s="332" t="e">
        <f t="shared" si="911"/>
        <v>#REF!</v>
      </c>
      <c r="BC214" s="2355" t="e">
        <f t="shared" si="911"/>
        <v>#REF!</v>
      </c>
      <c r="BD214" s="2299" t="e">
        <f t="shared" si="911"/>
        <v>#REF!</v>
      </c>
      <c r="BE214" s="572" t="e">
        <f t="shared" si="911"/>
        <v>#REF!</v>
      </c>
      <c r="BF214" s="158" t="e">
        <f t="shared" si="911"/>
        <v>#REF!</v>
      </c>
      <c r="BG214" s="1137"/>
      <c r="BH214" s="1137"/>
      <c r="BI214" s="1137"/>
      <c r="BJ214" s="1137"/>
      <c r="BK214" s="1137"/>
      <c r="BL214" s="25"/>
      <c r="BM214" s="25"/>
      <c r="BN214" s="25"/>
      <c r="BP214" s="502"/>
      <c r="BQ214" s="502"/>
      <c r="BS214" s="502"/>
      <c r="BT214" s="502"/>
    </row>
    <row r="215" spans="2:72" ht="19.5" thickBot="1" x14ac:dyDescent="0.3">
      <c r="B215" s="1811" t="s">
        <v>11</v>
      </c>
      <c r="C215" s="689" t="s">
        <v>49</v>
      </c>
      <c r="D215" s="4760">
        <f t="shared" ref="D215:AI215" si="912">+D212+D214</f>
        <v>100</v>
      </c>
      <c r="E215" s="4761">
        <f t="shared" si="912"/>
        <v>99.999999999999986</v>
      </c>
      <c r="F215" s="130">
        <f t="shared" si="912"/>
        <v>100</v>
      </c>
      <c r="G215" s="4761" t="e">
        <f t="shared" si="912"/>
        <v>#REF!</v>
      </c>
      <c r="H215" s="130" t="e">
        <f t="shared" si="912"/>
        <v>#REF!</v>
      </c>
      <c r="I215" s="4762" t="e">
        <f t="shared" si="912"/>
        <v>#REF!</v>
      </c>
      <c r="J215" s="4763" t="e">
        <f t="shared" si="912"/>
        <v>#REF!</v>
      </c>
      <c r="K215" s="4761" t="e">
        <f t="shared" si="912"/>
        <v>#REF!</v>
      </c>
      <c r="L215" s="130" t="e">
        <f t="shared" si="912"/>
        <v>#REF!</v>
      </c>
      <c r="M215" s="4764" t="e">
        <f t="shared" si="912"/>
        <v>#REF!</v>
      </c>
      <c r="N215" s="4765" t="e">
        <f t="shared" si="912"/>
        <v>#REF!</v>
      </c>
      <c r="O215" s="4761" t="e">
        <f t="shared" si="912"/>
        <v>#REF!</v>
      </c>
      <c r="P215" s="130" t="e">
        <f t="shared" si="912"/>
        <v>#REF!</v>
      </c>
      <c r="Q215" s="4766" t="e">
        <f t="shared" si="912"/>
        <v>#REF!</v>
      </c>
      <c r="R215" s="4763" t="e">
        <f t="shared" si="912"/>
        <v>#REF!</v>
      </c>
      <c r="S215" s="4761" t="e">
        <f t="shared" si="912"/>
        <v>#REF!</v>
      </c>
      <c r="T215" s="130" t="e">
        <f t="shared" si="912"/>
        <v>#REF!</v>
      </c>
      <c r="U215" s="4766" t="e">
        <f t="shared" si="912"/>
        <v>#REF!</v>
      </c>
      <c r="V215" s="4763" t="e">
        <f t="shared" si="912"/>
        <v>#REF!</v>
      </c>
      <c r="W215" s="4761" t="e">
        <f t="shared" si="912"/>
        <v>#REF!</v>
      </c>
      <c r="X215" s="130" t="e">
        <f t="shared" si="912"/>
        <v>#REF!</v>
      </c>
      <c r="Y215" s="4767" t="e">
        <f t="shared" si="912"/>
        <v>#REF!</v>
      </c>
      <c r="Z215" s="4768" t="e">
        <f t="shared" si="912"/>
        <v>#REF!</v>
      </c>
      <c r="AA215" s="4769" t="e">
        <f t="shared" si="912"/>
        <v>#REF!</v>
      </c>
      <c r="AB215" s="4770" t="e">
        <f t="shared" si="912"/>
        <v>#REF!</v>
      </c>
      <c r="AC215" s="4761" t="e">
        <f t="shared" si="912"/>
        <v>#REF!</v>
      </c>
      <c r="AD215" s="130" t="e">
        <f t="shared" si="912"/>
        <v>#REF!</v>
      </c>
      <c r="AE215" s="4762" t="e">
        <f t="shared" si="912"/>
        <v>#REF!</v>
      </c>
      <c r="AF215" s="4763" t="e">
        <f t="shared" si="912"/>
        <v>#REF!</v>
      </c>
      <c r="AG215" s="4761" t="e">
        <f t="shared" si="912"/>
        <v>#REF!</v>
      </c>
      <c r="AH215" s="130" t="e">
        <f t="shared" si="912"/>
        <v>#REF!</v>
      </c>
      <c r="AI215" s="4762" t="e">
        <f t="shared" si="912"/>
        <v>#REF!</v>
      </c>
      <c r="AJ215" s="4763" t="e">
        <f t="shared" ref="AJ215:BF215" si="913">+AJ212+AJ214</f>
        <v>#REF!</v>
      </c>
      <c r="AK215" s="4761" t="e">
        <f t="shared" si="913"/>
        <v>#REF!</v>
      </c>
      <c r="AL215" s="130" t="e">
        <f t="shared" si="913"/>
        <v>#REF!</v>
      </c>
      <c r="AM215" s="573" t="e">
        <f t="shared" si="913"/>
        <v>#REF!</v>
      </c>
      <c r="AN215" s="332" t="e">
        <f t="shared" si="913"/>
        <v>#REF!</v>
      </c>
      <c r="AO215" s="572" t="e">
        <f t="shared" si="913"/>
        <v>#REF!</v>
      </c>
      <c r="AP215" s="158" t="e">
        <f t="shared" si="913"/>
        <v>#REF!</v>
      </c>
      <c r="AQ215" s="1300" t="e">
        <f t="shared" si="913"/>
        <v>#REF!</v>
      </c>
      <c r="AR215" s="133" t="e">
        <f t="shared" si="913"/>
        <v>#REF!</v>
      </c>
      <c r="AS215" s="572" t="e">
        <f t="shared" si="913"/>
        <v>#REF!</v>
      </c>
      <c r="AT215" s="158" t="e">
        <f t="shared" si="913"/>
        <v>#REF!</v>
      </c>
      <c r="AU215" s="1300" t="e">
        <f t="shared" si="913"/>
        <v>#REF!</v>
      </c>
      <c r="AV215" s="133" t="e">
        <f t="shared" si="913"/>
        <v>#REF!</v>
      </c>
      <c r="AW215" s="572" t="e">
        <f t="shared" si="913"/>
        <v>#REF!</v>
      </c>
      <c r="AX215" s="158" t="e">
        <f t="shared" si="913"/>
        <v>#REF!</v>
      </c>
      <c r="AY215" s="1300" t="e">
        <f t="shared" si="913"/>
        <v>#REF!</v>
      </c>
      <c r="AZ215" s="133" t="e">
        <f t="shared" si="913"/>
        <v>#REF!</v>
      </c>
      <c r="BA215" s="573" t="e">
        <f t="shared" si="913"/>
        <v>#REF!</v>
      </c>
      <c r="BB215" s="332" t="e">
        <f t="shared" si="913"/>
        <v>#REF!</v>
      </c>
      <c r="BC215" s="1301" t="e">
        <f t="shared" si="913"/>
        <v>#REF!</v>
      </c>
      <c r="BD215" s="2299" t="e">
        <f t="shared" si="913"/>
        <v>#REF!</v>
      </c>
      <c r="BE215" s="572" t="e">
        <f t="shared" si="913"/>
        <v>#REF!</v>
      </c>
      <c r="BF215" s="158" t="e">
        <f t="shared" si="913"/>
        <v>#REF!</v>
      </c>
      <c r="BG215" s="1137"/>
      <c r="BH215" s="1137"/>
      <c r="BI215" s="1137"/>
      <c r="BJ215" s="1137"/>
      <c r="BK215" s="1137"/>
      <c r="BL215" s="25"/>
      <c r="BM215" s="25"/>
      <c r="BN215" s="25"/>
    </row>
    <row r="216" spans="2:72" x14ac:dyDescent="0.25">
      <c r="B216" s="4"/>
      <c r="C216" s="4"/>
      <c r="D216" s="43"/>
      <c r="E216" s="107"/>
      <c r="F216" s="43"/>
      <c r="G216" s="107"/>
      <c r="H216" s="43"/>
      <c r="I216" s="107"/>
      <c r="J216" s="43"/>
      <c r="K216" s="107"/>
      <c r="L216" s="43"/>
      <c r="M216" s="107"/>
      <c r="N216" s="43"/>
      <c r="O216" s="107"/>
      <c r="P216" s="43"/>
      <c r="Q216" s="107"/>
      <c r="R216" s="43"/>
      <c r="S216" s="107"/>
      <c r="T216" s="43"/>
      <c r="U216" s="107"/>
      <c r="V216" s="43"/>
      <c r="W216" s="107"/>
      <c r="X216" s="43"/>
      <c r="Y216" s="107"/>
      <c r="Z216" s="43"/>
      <c r="AA216" s="107"/>
      <c r="AB216" s="43"/>
      <c r="AC216" s="107"/>
      <c r="AD216" s="43"/>
      <c r="AE216" s="107"/>
      <c r="AF216" s="43"/>
      <c r="AG216" s="107"/>
      <c r="AH216" s="43"/>
      <c r="AI216" s="107"/>
      <c r="AJ216" s="43"/>
      <c r="AK216" s="107"/>
      <c r="AL216" s="43"/>
      <c r="AM216" s="107"/>
      <c r="AN216" s="43"/>
      <c r="AO216" s="107"/>
      <c r="AP216" s="43"/>
      <c r="AQ216" s="107"/>
      <c r="AR216" s="43"/>
      <c r="AS216" s="107"/>
      <c r="AT216" s="43"/>
      <c r="AU216" s="107"/>
      <c r="AV216" s="43"/>
      <c r="AW216" s="107"/>
      <c r="AX216" s="43"/>
      <c r="AY216" s="107"/>
      <c r="AZ216" s="43"/>
      <c r="BA216" s="107"/>
      <c r="BB216" s="43"/>
      <c r="BC216" s="107"/>
      <c r="BD216" s="43"/>
      <c r="BE216" s="107"/>
      <c r="BF216" s="43"/>
      <c r="BG216" s="1137"/>
      <c r="BH216" s="1137"/>
      <c r="BI216" s="1137"/>
      <c r="BJ216" s="1137"/>
      <c r="BK216" s="1137"/>
      <c r="BL216" s="25"/>
      <c r="BM216" s="25"/>
      <c r="BN216" s="25"/>
    </row>
    <row r="217" spans="2:72" x14ac:dyDescent="0.25">
      <c r="B217" s="2385" t="s">
        <v>132</v>
      </c>
      <c r="C217" s="2384" t="s">
        <v>175</v>
      </c>
      <c r="D217" s="4279">
        <v>75.92</v>
      </c>
      <c r="E217" s="4279">
        <f t="shared" ref="E217:AJ217" si="914">E12</f>
        <v>77.7</v>
      </c>
      <c r="F217" s="4279">
        <f t="shared" si="914"/>
        <v>77.83</v>
      </c>
      <c r="G217" s="4279">
        <f t="shared" si="914"/>
        <v>78</v>
      </c>
      <c r="H217" s="4279">
        <f t="shared" si="914"/>
        <v>77.83</v>
      </c>
      <c r="I217" s="4279">
        <f t="shared" si="914"/>
        <v>77.852459016393439</v>
      </c>
      <c r="J217" s="4279">
        <f t="shared" si="914"/>
        <v>77.83</v>
      </c>
      <c r="K217" s="4279">
        <f t="shared" si="914"/>
        <v>74</v>
      </c>
      <c r="L217" s="4279">
        <f t="shared" si="914"/>
        <v>76</v>
      </c>
      <c r="M217" s="4279">
        <f t="shared" si="914"/>
        <v>76.582417582417577</v>
      </c>
      <c r="N217" s="4279">
        <f t="shared" si="914"/>
        <v>77.226703296703292</v>
      </c>
      <c r="O217" s="4279">
        <f t="shared" si="914"/>
        <v>74</v>
      </c>
      <c r="P217" s="4279">
        <f t="shared" si="914"/>
        <v>74.930000000000007</v>
      </c>
      <c r="Q217" s="4279">
        <f t="shared" si="914"/>
        <v>75.926229508196727</v>
      </c>
      <c r="R217" s="4279">
        <f t="shared" si="914"/>
        <v>76.643114754098349</v>
      </c>
      <c r="S217" s="4279">
        <f t="shared" si="914"/>
        <v>74</v>
      </c>
      <c r="T217" s="4279">
        <f t="shared" si="914"/>
        <v>77.7</v>
      </c>
      <c r="U217" s="4279">
        <f t="shared" si="914"/>
        <v>75.535947712418306</v>
      </c>
      <c r="V217" s="4279">
        <f t="shared" si="914"/>
        <v>76.857254901960786</v>
      </c>
      <c r="W217" s="4279">
        <f t="shared" si="914"/>
        <v>74</v>
      </c>
      <c r="X217" s="4279">
        <f t="shared" si="914"/>
        <v>77.8</v>
      </c>
      <c r="Y217" s="4279">
        <f t="shared" si="914"/>
        <v>74</v>
      </c>
      <c r="Z217" s="4279">
        <f t="shared" si="914"/>
        <v>76.799239130434785</v>
      </c>
      <c r="AA217" s="4279">
        <f t="shared" si="914"/>
        <v>75.284153005464475</v>
      </c>
      <c r="AB217" s="4279">
        <f t="shared" si="914"/>
        <v>77.011803278688518</v>
      </c>
      <c r="AC217" s="4279">
        <f t="shared" si="914"/>
        <v>74</v>
      </c>
      <c r="AD217" s="4279">
        <f t="shared" si="914"/>
        <v>77.58</v>
      </c>
      <c r="AE217" s="4279">
        <f t="shared" si="914"/>
        <v>75.098130841121488</v>
      </c>
      <c r="AF217" s="4279">
        <f t="shared" si="914"/>
        <v>77.094112149532705</v>
      </c>
      <c r="AG217" s="4279">
        <f t="shared" si="914"/>
        <v>74</v>
      </c>
      <c r="AH217" s="4279">
        <f t="shared" si="914"/>
        <v>73.66</v>
      </c>
      <c r="AI217" s="4279">
        <f t="shared" si="914"/>
        <v>74.963114754098356</v>
      </c>
      <c r="AJ217" s="4279">
        <f t="shared" si="914"/>
        <v>76.671885245901635</v>
      </c>
      <c r="AK217" s="4279">
        <f t="shared" ref="AK217:BF217" si="915">AK12</f>
        <v>74</v>
      </c>
      <c r="AL217" s="4279">
        <f t="shared" si="915"/>
        <v>75.09</v>
      </c>
      <c r="AM217" s="4279">
        <f t="shared" si="915"/>
        <v>74</v>
      </c>
      <c r="AN217" s="4279">
        <f t="shared" si="915"/>
        <v>75.462717391304338</v>
      </c>
      <c r="AO217" s="4279">
        <f t="shared" si="915"/>
        <v>74.854545454545459</v>
      </c>
      <c r="AP217" s="4279">
        <f t="shared" si="915"/>
        <v>76.493563636363632</v>
      </c>
      <c r="AQ217" s="4279">
        <f t="shared" si="915"/>
        <v>74</v>
      </c>
      <c r="AR217" s="4279">
        <f t="shared" si="915"/>
        <v>75.58</v>
      </c>
      <c r="AS217" s="4279">
        <f t="shared" si="915"/>
        <v>74.767973856209153</v>
      </c>
      <c r="AT217" s="4279">
        <f t="shared" si="915"/>
        <v>76.40101307189542</v>
      </c>
      <c r="AU217" s="4279">
        <f t="shared" si="915"/>
        <v>74</v>
      </c>
      <c r="AV217" s="4279">
        <f t="shared" si="915"/>
        <v>74.709999999999994</v>
      </c>
      <c r="AW217" s="4279">
        <f t="shared" si="915"/>
        <v>74.703592814371262</v>
      </c>
      <c r="AX217" s="4279">
        <f t="shared" si="915"/>
        <v>76.259251497005991</v>
      </c>
      <c r="AY217" s="4279">
        <f t="shared" si="915"/>
        <v>74</v>
      </c>
      <c r="AZ217" s="4279">
        <f t="shared" si="915"/>
        <v>77.739999999999995</v>
      </c>
      <c r="BA217" s="4279">
        <f t="shared" si="915"/>
        <v>74</v>
      </c>
      <c r="BB217" s="4279">
        <f t="shared" si="915"/>
        <v>76.053333333333327</v>
      </c>
      <c r="BC217" s="4279">
        <f t="shared" si="915"/>
        <v>74</v>
      </c>
      <c r="BD217" s="4279">
        <f t="shared" si="915"/>
        <v>75.754780219780216</v>
      </c>
      <c r="BE217" s="4279">
        <f t="shared" si="915"/>
        <v>74.643835616438352</v>
      </c>
      <c r="BF217" s="4279">
        <f t="shared" si="915"/>
        <v>76.385013698630132</v>
      </c>
      <c r="BG217" s="1137"/>
      <c r="BH217" s="1137"/>
      <c r="BI217" s="1137"/>
      <c r="BJ217" s="1137"/>
      <c r="BK217" s="1137"/>
      <c r="BL217" s="25"/>
      <c r="BM217" s="25"/>
      <c r="BN217" s="25"/>
    </row>
    <row r="218" spans="2:72" x14ac:dyDescent="0.25">
      <c r="B218" s="2385" t="s">
        <v>133</v>
      </c>
      <c r="C218" s="2384" t="s">
        <v>175</v>
      </c>
      <c r="D218" s="4279">
        <v>73.5</v>
      </c>
      <c r="E218" s="4279">
        <f t="shared" ref="E218:AJ218" si="916">E13</f>
        <v>73.5</v>
      </c>
      <c r="F218" s="4279">
        <f t="shared" si="916"/>
        <v>74</v>
      </c>
      <c r="G218" s="4279">
        <f t="shared" si="916"/>
        <v>73.3</v>
      </c>
      <c r="H218" s="4279">
        <f t="shared" si="916"/>
        <v>74</v>
      </c>
      <c r="I218" s="4279">
        <f t="shared" si="916"/>
        <v>73.39836065573769</v>
      </c>
      <c r="J218" s="4279">
        <f t="shared" si="916"/>
        <v>74</v>
      </c>
      <c r="K218" s="4279">
        <f t="shared" si="916"/>
        <v>73.3</v>
      </c>
      <c r="L218" s="4279">
        <f t="shared" si="916"/>
        <v>74</v>
      </c>
      <c r="M218" s="4279">
        <f t="shared" si="916"/>
        <v>73.365934065934056</v>
      </c>
      <c r="N218" s="4279">
        <f t="shared" si="916"/>
        <v>74</v>
      </c>
      <c r="O218" s="4279">
        <f t="shared" si="916"/>
        <v>73.3</v>
      </c>
      <c r="P218" s="4279">
        <f t="shared" si="916"/>
        <v>74</v>
      </c>
      <c r="Q218" s="4279">
        <f t="shared" si="916"/>
        <v>73.349180327868837</v>
      </c>
      <c r="R218" s="4279">
        <f t="shared" si="916"/>
        <v>74</v>
      </c>
      <c r="S218" s="4279">
        <f t="shared" si="916"/>
        <v>73.3</v>
      </c>
      <c r="T218" s="4279">
        <f t="shared" si="916"/>
        <v>74</v>
      </c>
      <c r="U218" s="4279">
        <f t="shared" si="916"/>
        <v>73.3392156862745</v>
      </c>
      <c r="V218" s="4279">
        <f t="shared" si="916"/>
        <v>74</v>
      </c>
      <c r="W218" s="4279">
        <f t="shared" si="916"/>
        <v>73.3</v>
      </c>
      <c r="X218" s="4279">
        <f t="shared" si="916"/>
        <v>74</v>
      </c>
      <c r="Y218" s="4279">
        <f t="shared" si="916"/>
        <v>73.3</v>
      </c>
      <c r="Z218" s="4279">
        <f t="shared" si="916"/>
        <v>74</v>
      </c>
      <c r="AA218" s="4279">
        <f t="shared" si="916"/>
        <v>73.332786885245895</v>
      </c>
      <c r="AB218" s="4279">
        <f t="shared" si="916"/>
        <v>74</v>
      </c>
      <c r="AC218" s="4279">
        <f t="shared" si="916"/>
        <v>73.3</v>
      </c>
      <c r="AD218" s="4279">
        <f t="shared" si="916"/>
        <v>74</v>
      </c>
      <c r="AE218" s="4279">
        <f t="shared" si="916"/>
        <v>73.328037383177559</v>
      </c>
      <c r="AF218" s="4279">
        <f t="shared" si="916"/>
        <v>74</v>
      </c>
      <c r="AG218" s="4279">
        <f t="shared" si="916"/>
        <v>73.3</v>
      </c>
      <c r="AH218" s="4279">
        <f t="shared" si="916"/>
        <v>74</v>
      </c>
      <c r="AI218" s="4279">
        <f t="shared" si="916"/>
        <v>73.324590163934417</v>
      </c>
      <c r="AJ218" s="4279">
        <f t="shared" si="916"/>
        <v>74</v>
      </c>
      <c r="AK218" s="4279">
        <f t="shared" ref="AK218:BF218" si="917">AK13</f>
        <v>73.3</v>
      </c>
      <c r="AL218" s="4279">
        <f t="shared" si="917"/>
        <v>74</v>
      </c>
      <c r="AM218" s="4279">
        <f t="shared" si="917"/>
        <v>73.299999999999983</v>
      </c>
      <c r="AN218" s="4279">
        <f t="shared" si="917"/>
        <v>74</v>
      </c>
      <c r="AO218" s="4279">
        <f t="shared" si="917"/>
        <v>73.321818181818173</v>
      </c>
      <c r="AP218" s="4279">
        <f t="shared" si="917"/>
        <v>74</v>
      </c>
      <c r="AQ218" s="4279">
        <f t="shared" si="917"/>
        <v>73.3</v>
      </c>
      <c r="AR218" s="4279">
        <f t="shared" si="917"/>
        <v>74</v>
      </c>
      <c r="AS218" s="4279">
        <f t="shared" si="917"/>
        <v>73.319607843137234</v>
      </c>
      <c r="AT218" s="4279">
        <f t="shared" si="917"/>
        <v>74</v>
      </c>
      <c r="AU218" s="4279">
        <f t="shared" si="917"/>
        <v>73.3</v>
      </c>
      <c r="AV218" s="4279">
        <f t="shared" si="917"/>
        <v>74</v>
      </c>
      <c r="AW218" s="4279">
        <f t="shared" si="917"/>
        <v>73.317964071856267</v>
      </c>
      <c r="AX218" s="4279">
        <f t="shared" si="917"/>
        <v>74</v>
      </c>
      <c r="AY218" s="4279">
        <f t="shared" si="917"/>
        <v>73.3</v>
      </c>
      <c r="AZ218" s="4279">
        <f t="shared" si="917"/>
        <v>74</v>
      </c>
      <c r="BA218" s="4279">
        <f t="shared" si="917"/>
        <v>73.3</v>
      </c>
      <c r="BB218" s="4279">
        <f t="shared" si="917"/>
        <v>74</v>
      </c>
      <c r="BC218" s="4279">
        <f t="shared" si="917"/>
        <v>73.3</v>
      </c>
      <c r="BD218" s="4279">
        <f t="shared" si="917"/>
        <v>74</v>
      </c>
      <c r="BE218" s="4279">
        <f t="shared" si="917"/>
        <v>73.316438356164369</v>
      </c>
      <c r="BF218" s="4279">
        <f t="shared" si="917"/>
        <v>74</v>
      </c>
      <c r="BG218" s="1137"/>
      <c r="BH218" s="1137"/>
      <c r="BI218" s="1137"/>
      <c r="BJ218" s="1137"/>
      <c r="BK218" s="1137"/>
    </row>
    <row r="219" spans="2:72" ht="15.75" thickBot="1" x14ac:dyDescent="0.3">
      <c r="E219"/>
      <c r="F219"/>
      <c r="G219" s="4487"/>
      <c r="H219" s="4487"/>
      <c r="K219" s="4487"/>
      <c r="L219" s="4487"/>
      <c r="O219" s="4487"/>
      <c r="P219" s="4487"/>
      <c r="S219" s="4487"/>
      <c r="T219" s="4487"/>
      <c r="V219" s="90"/>
      <c r="W219" s="4487"/>
      <c r="X219" s="4487"/>
      <c r="AC219" s="4487"/>
      <c r="AD219" s="4487"/>
      <c r="AG219" s="4487"/>
      <c r="AH219" s="4487"/>
      <c r="AK219" s="4487"/>
      <c r="AL219" s="4487"/>
      <c r="AQ219" s="4487"/>
      <c r="AR219" s="4487"/>
      <c r="AU219" s="4487"/>
      <c r="AV219" s="4487"/>
      <c r="AW219" s="4487"/>
      <c r="AX219" s="4487"/>
      <c r="AY219" s="4487"/>
      <c r="AZ219" s="4487"/>
      <c r="BG219" s="1137"/>
      <c r="BH219" s="1137"/>
      <c r="BI219" s="1137"/>
      <c r="BJ219" s="1137"/>
      <c r="BK219" s="1137"/>
    </row>
    <row r="220" spans="2:72" ht="19.5" thickBot="1" x14ac:dyDescent="0.3">
      <c r="B220" s="2943" t="s">
        <v>1712</v>
      </c>
      <c r="C220" s="2943" t="s">
        <v>175</v>
      </c>
      <c r="D220" s="4756"/>
      <c r="E220" s="4757"/>
      <c r="F220" s="4755">
        <v>0</v>
      </c>
      <c r="G220" s="4757"/>
      <c r="H220" s="4755">
        <v>12</v>
      </c>
      <c r="I220" s="4758"/>
      <c r="J220" s="4755">
        <f>F220+H220</f>
        <v>12</v>
      </c>
      <c r="K220" s="4757"/>
      <c r="L220" s="4755">
        <v>0</v>
      </c>
      <c r="M220" s="4758"/>
      <c r="N220" s="4755">
        <f>+L220+H220+F220</f>
        <v>12</v>
      </c>
      <c r="O220" s="4757"/>
      <c r="P220" s="4755">
        <v>0</v>
      </c>
      <c r="Q220" s="4758"/>
      <c r="R220" s="4759">
        <f>N220+P220</f>
        <v>12</v>
      </c>
      <c r="S220" s="4757"/>
      <c r="T220" s="4755">
        <v>0</v>
      </c>
      <c r="U220" s="4758"/>
      <c r="V220" s="4759">
        <f>R220+T220</f>
        <v>12</v>
      </c>
      <c r="W220" s="4757"/>
      <c r="X220" s="4755">
        <v>89</v>
      </c>
      <c r="Y220" s="4757"/>
      <c r="Z220" s="4757">
        <f>+P220+T220+X220</f>
        <v>89</v>
      </c>
      <c r="AA220" s="4757"/>
      <c r="AB220" s="4757">
        <f>+N220+Z220</f>
        <v>101</v>
      </c>
      <c r="AC220" s="4757"/>
      <c r="AD220" s="4755">
        <v>106</v>
      </c>
      <c r="AE220" s="4757"/>
      <c r="AF220" s="4757">
        <f t="shared" ref="AF220" si="918">+AB220+AD220</f>
        <v>207</v>
      </c>
      <c r="AG220" s="4757"/>
      <c r="AH220" s="4755">
        <v>3</v>
      </c>
      <c r="AI220" s="4757"/>
      <c r="AJ220" s="4757">
        <f>+AB220+AD220+AH220</f>
        <v>210</v>
      </c>
      <c r="AK220" s="4757"/>
      <c r="AL220" s="4755">
        <v>2</v>
      </c>
      <c r="AM220" s="4757"/>
      <c r="AN220" s="4757">
        <f>+AD220+AH220+AL220</f>
        <v>111</v>
      </c>
      <c r="AO220" s="2944"/>
      <c r="AP220" s="4757">
        <f>AJ220+AL220</f>
        <v>212</v>
      </c>
      <c r="AQ220" s="4757"/>
      <c r="AR220" s="4755">
        <v>0</v>
      </c>
      <c r="AS220" s="2944"/>
      <c r="AT220" s="4757">
        <f>AP220+AR220</f>
        <v>212</v>
      </c>
      <c r="AU220" s="4757"/>
      <c r="AV220" s="4755">
        <v>0</v>
      </c>
      <c r="AW220" s="2944"/>
      <c r="AX220" s="4757">
        <f>AT220+AV220</f>
        <v>212</v>
      </c>
      <c r="AY220" s="4757"/>
      <c r="AZ220" s="4755">
        <v>0</v>
      </c>
      <c r="BA220" s="2944"/>
      <c r="BB220" s="4755">
        <f>+AR220+AV220+AZ220</f>
        <v>0</v>
      </c>
      <c r="BC220" s="4755"/>
      <c r="BD220" s="4755">
        <f>+AN220+BB220</f>
        <v>111</v>
      </c>
      <c r="BE220" s="2944"/>
      <c r="BF220" s="4755">
        <f>AZ220+AX220</f>
        <v>212</v>
      </c>
      <c r="BG220" s="1137">
        <f t="shared" ref="BG220" si="919">AY220+AU220+AQ220+AK220+AG220+AC220+W220+S220+O220+K220+G220+E220-BE220</f>
        <v>0</v>
      </c>
      <c r="BH220" s="1137">
        <f t="shared" ref="BH220" si="920">AZ220+AV220+AR220+AL220+AH220+AD220+X220+T220+P220+L220+H220+F220-BF220</f>
        <v>0</v>
      </c>
      <c r="BI220" s="1137"/>
      <c r="BJ220" s="1137">
        <f t="shared" ref="BJ220" si="921">AC220+AG220+AK220+AQ220+AU220+AY220-BC220</f>
        <v>0</v>
      </c>
      <c r="BK220" s="1137">
        <f t="shared" ref="BK220" si="922">AD220+AH220+AL220+AR220+AV220+AZ220-BD220</f>
        <v>0</v>
      </c>
    </row>
    <row r="221" spans="2:72" x14ac:dyDescent="0.25">
      <c r="E221"/>
      <c r="F221"/>
      <c r="G221"/>
      <c r="H221"/>
      <c r="K221"/>
      <c r="L221"/>
      <c r="T221" s="1659"/>
      <c r="V221" s="90"/>
      <c r="W221" s="84"/>
      <c r="X221" s="90"/>
    </row>
    <row r="222" spans="2:72" x14ac:dyDescent="0.25">
      <c r="E222"/>
      <c r="F222"/>
      <c r="G222"/>
      <c r="H222"/>
      <c r="K222"/>
      <c r="L222"/>
      <c r="T222" s="1659"/>
      <c r="V222" s="90"/>
      <c r="W222" s="84"/>
      <c r="X222" s="90"/>
    </row>
    <row r="223" spans="2:72" x14ac:dyDescent="0.25">
      <c r="E223"/>
      <c r="F223"/>
      <c r="G223"/>
      <c r="H223"/>
      <c r="K223"/>
      <c r="L223"/>
      <c r="T223" s="1659"/>
      <c r="V223" s="90"/>
      <c r="W223" s="84"/>
      <c r="X223" s="90"/>
    </row>
    <row r="224" spans="2:72" x14ac:dyDescent="0.25">
      <c r="E224"/>
      <c r="F224"/>
      <c r="G224"/>
      <c r="H224"/>
      <c r="K224"/>
      <c r="L224"/>
      <c r="T224" s="1659"/>
      <c r="V224" s="90"/>
      <c r="W224" s="84"/>
      <c r="X224" s="90"/>
    </row>
    <row r="225" spans="5:24" x14ac:dyDescent="0.25">
      <c r="E225"/>
      <c r="F225"/>
      <c r="G225"/>
      <c r="H225"/>
      <c r="K225"/>
      <c r="L225"/>
      <c r="T225" s="1659"/>
      <c r="V225" s="90"/>
      <c r="W225" s="84"/>
      <c r="X225" s="90"/>
    </row>
    <row r="226" spans="5:24" x14ac:dyDescent="0.25">
      <c r="E226"/>
      <c r="F226"/>
      <c r="G226"/>
      <c r="H226"/>
      <c r="K226"/>
      <c r="L226"/>
      <c r="T226" s="1659"/>
      <c r="V226" s="90"/>
      <c r="W226" s="84"/>
      <c r="X226" s="90"/>
    </row>
    <row r="227" spans="5:24" x14ac:dyDescent="0.25">
      <c r="E227"/>
      <c r="F227"/>
      <c r="G227"/>
      <c r="H227"/>
      <c r="K227"/>
      <c r="L227"/>
      <c r="T227" s="1659"/>
      <c r="V227" s="90"/>
      <c r="W227" s="84"/>
      <c r="X227" s="90"/>
    </row>
    <row r="228" spans="5:24" x14ac:dyDescent="0.25">
      <c r="E228"/>
      <c r="F228"/>
      <c r="G228"/>
      <c r="H228"/>
      <c r="K228"/>
      <c r="L228"/>
      <c r="T228" s="1659"/>
      <c r="V228" s="90"/>
      <c r="W228" s="84"/>
      <c r="X228" s="90"/>
    </row>
    <row r="229" spans="5:24" x14ac:dyDescent="0.25">
      <c r="E229"/>
      <c r="F229"/>
      <c r="G229"/>
      <c r="H229"/>
      <c r="T229" s="1659"/>
      <c r="V229" s="90"/>
      <c r="W229" s="84"/>
      <c r="X229" s="90"/>
    </row>
    <row r="230" spans="5:24" x14ac:dyDescent="0.25">
      <c r="E230"/>
      <c r="F230"/>
      <c r="G230"/>
      <c r="H230"/>
      <c r="T230" s="1659"/>
      <c r="V230" s="90"/>
      <c r="W230" s="84"/>
      <c r="X230" s="90"/>
    </row>
    <row r="231" spans="5:24" x14ac:dyDescent="0.25">
      <c r="E231"/>
      <c r="F231"/>
      <c r="G231"/>
      <c r="H231"/>
      <c r="T231" s="1659"/>
      <c r="V231" s="90"/>
      <c r="W231" s="84"/>
      <c r="X231" s="90"/>
    </row>
    <row r="232" spans="5:24" x14ac:dyDescent="0.25">
      <c r="E232"/>
      <c r="F232"/>
      <c r="G232"/>
      <c r="H232"/>
      <c r="T232" s="1659"/>
      <c r="V232" s="90"/>
      <c r="W232" s="84"/>
      <c r="X232" s="90"/>
    </row>
    <row r="233" spans="5:24" x14ac:dyDescent="0.25">
      <c r="E233"/>
      <c r="F233"/>
      <c r="G233"/>
      <c r="H233"/>
      <c r="T233" s="1659"/>
      <c r="V233" s="90"/>
      <c r="W233" s="84"/>
      <c r="X233" s="90"/>
    </row>
    <row r="234" spans="5:24" x14ac:dyDescent="0.25">
      <c r="T234" s="1659"/>
      <c r="V234" s="90"/>
      <c r="W234" s="84"/>
      <c r="X234" s="90"/>
    </row>
    <row r="235" spans="5:24" x14ac:dyDescent="0.25">
      <c r="T235" s="1659"/>
      <c r="V235" s="90"/>
      <c r="W235" s="84"/>
      <c r="X235" s="90"/>
    </row>
    <row r="236" spans="5:24" x14ac:dyDescent="0.25">
      <c r="T236" s="1659"/>
      <c r="V236" s="90"/>
      <c r="W236" s="84"/>
      <c r="X236" s="90"/>
    </row>
    <row r="237" spans="5:24" x14ac:dyDescent="0.25">
      <c r="T237" s="1659"/>
      <c r="V237" s="90"/>
      <c r="W237" s="84"/>
      <c r="X237" s="90"/>
    </row>
    <row r="238" spans="5:24" x14ac:dyDescent="0.25">
      <c r="T238" s="1659"/>
      <c r="V238" s="90"/>
    </row>
    <row r="239" spans="5:24" x14ac:dyDescent="0.25">
      <c r="T239" s="1659"/>
      <c r="V239" s="90"/>
    </row>
    <row r="240" spans="5:24" x14ac:dyDescent="0.25">
      <c r="T240" s="1659"/>
      <c r="V240" s="90"/>
    </row>
  </sheetData>
  <mergeCells count="82">
    <mergeCell ref="BE3:BF3"/>
    <mergeCell ref="BE121"/>
    <mergeCell ref="BE138"/>
    <mergeCell ref="BA3:BB3"/>
    <mergeCell ref="BC3:BD3"/>
    <mergeCell ref="BA121"/>
    <mergeCell ref="BC121"/>
    <mergeCell ref="BA138"/>
    <mergeCell ref="BC138"/>
    <mergeCell ref="AO3:AP3"/>
    <mergeCell ref="AO121"/>
    <mergeCell ref="AO138"/>
    <mergeCell ref="AM3:AN3"/>
    <mergeCell ref="AM121"/>
    <mergeCell ref="AM138"/>
    <mergeCell ref="AK3:AL3"/>
    <mergeCell ref="AK121"/>
    <mergeCell ref="AK138"/>
    <mergeCell ref="G138"/>
    <mergeCell ref="I138"/>
    <mergeCell ref="G121"/>
    <mergeCell ref="I121"/>
    <mergeCell ref="AA138"/>
    <mergeCell ref="M121"/>
    <mergeCell ref="O121"/>
    <mergeCell ref="AE138"/>
    <mergeCell ref="W121"/>
    <mergeCell ref="W138"/>
    <mergeCell ref="S121"/>
    <mergeCell ref="U121"/>
    <mergeCell ref="S138"/>
    <mergeCell ref="B3:B4"/>
    <mergeCell ref="K3:L3"/>
    <mergeCell ref="M3:N3"/>
    <mergeCell ref="E3:F3"/>
    <mergeCell ref="G3:H3"/>
    <mergeCell ref="I3:J3"/>
    <mergeCell ref="C3:C4"/>
    <mergeCell ref="D3:D4"/>
    <mergeCell ref="AA3:AB3"/>
    <mergeCell ref="S3:T3"/>
    <mergeCell ref="U3:V3"/>
    <mergeCell ref="Y121"/>
    <mergeCell ref="AA121"/>
    <mergeCell ref="Y138"/>
    <mergeCell ref="K121"/>
    <mergeCell ref="Q3:R3"/>
    <mergeCell ref="Y3:Z3"/>
    <mergeCell ref="W3:X3"/>
    <mergeCell ref="Q121"/>
    <mergeCell ref="O3:P3"/>
    <mergeCell ref="K138"/>
    <mergeCell ref="M138"/>
    <mergeCell ref="O138"/>
    <mergeCell ref="Q138"/>
    <mergeCell ref="U138"/>
    <mergeCell ref="AE3:AF3"/>
    <mergeCell ref="AC121"/>
    <mergeCell ref="AE121"/>
    <mergeCell ref="AG138"/>
    <mergeCell ref="AI138"/>
    <mergeCell ref="AG3:AH3"/>
    <mergeCell ref="AI3:AJ3"/>
    <mergeCell ref="AG121"/>
    <mergeCell ref="AI121"/>
    <mergeCell ref="AC3:AD3"/>
    <mergeCell ref="AC138"/>
    <mergeCell ref="AQ3:AR3"/>
    <mergeCell ref="AS3:AT3"/>
    <mergeCell ref="AQ121"/>
    <mergeCell ref="AS121"/>
    <mergeCell ref="AQ138"/>
    <mergeCell ref="AS138"/>
    <mergeCell ref="AY3:AZ3"/>
    <mergeCell ref="AY121"/>
    <mergeCell ref="AY138"/>
    <mergeCell ref="AU3:AV3"/>
    <mergeCell ref="AW3:AX3"/>
    <mergeCell ref="AU121"/>
    <mergeCell ref="AW121"/>
    <mergeCell ref="AU138"/>
    <mergeCell ref="AW13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29" sqref="E29"/>
    </sheetView>
  </sheetViews>
  <sheetFormatPr defaultRowHeight="15" x14ac:dyDescent="0.25"/>
  <cols>
    <col min="1" max="1" width="3.5703125" style="1995" customWidth="1"/>
    <col min="2" max="2" width="32.140625" bestFit="1" customWidth="1"/>
    <col min="3" max="3" width="53.5703125" style="240" bestFit="1" customWidth="1"/>
    <col min="4" max="4" width="7.28515625" style="240" hidden="1" customWidth="1"/>
    <col min="5" max="5" width="15" style="240" customWidth="1"/>
    <col min="6" max="6" width="6.7109375" style="240" hidden="1" customWidth="1"/>
    <col min="7" max="7" width="13.140625" style="240" hidden="1" customWidth="1"/>
    <col min="8" max="8" width="6.7109375" style="240" hidden="1" customWidth="1"/>
    <col min="9" max="9" width="15.5703125" style="240" hidden="1" customWidth="1"/>
    <col min="10" max="10" width="6.7109375" style="240" hidden="1" customWidth="1"/>
    <col min="11" max="11" width="9.85546875" style="240" hidden="1" customWidth="1"/>
    <col min="12" max="12" width="6.7109375" style="240" hidden="1" customWidth="1"/>
    <col min="13" max="13" width="10.28515625" hidden="1" customWidth="1"/>
    <col min="14" max="14" width="6.7109375" hidden="1" customWidth="1"/>
    <col min="15" max="15" width="11" hidden="1" customWidth="1"/>
    <col min="16" max="16" width="6.7109375" hidden="1" customWidth="1"/>
    <col min="17" max="17" width="15.5703125" hidden="1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233" hidden="1" customWidth="1"/>
    <col min="25" max="25" width="10.28515625" style="4233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4487" hidden="1" customWidth="1"/>
    <col min="39" max="39" width="10.28515625" style="4487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487" hidden="1" customWidth="1"/>
    <col min="53" max="53" width="10.28515625" style="4487" hidden="1" customWidth="1"/>
    <col min="54" max="54" width="9.140625" style="4487" hidden="1" customWidth="1"/>
    <col min="55" max="55" width="10.28515625" style="4487" hidden="1" customWidth="1"/>
    <col min="56" max="56" width="9.140625" hidden="1" customWidth="1"/>
    <col min="57" max="57" width="10.28515625" hidden="1" customWidth="1"/>
    <col min="58" max="58" width="12" hidden="1" customWidth="1"/>
    <col min="59" max="61" width="9.140625" hidden="1" customWidth="1"/>
    <col min="62" max="63" width="9.140625" customWidth="1"/>
  </cols>
  <sheetData>
    <row r="1" spans="1:71" x14ac:dyDescent="0.25">
      <c r="B1" s="1995"/>
      <c r="C1" s="2005"/>
      <c r="D1" s="2005"/>
      <c r="E1" s="4312"/>
      <c r="F1" s="4312"/>
      <c r="G1" s="4312"/>
      <c r="H1" s="4312"/>
      <c r="I1" s="4312"/>
      <c r="J1" s="4312"/>
      <c r="K1" s="4312"/>
      <c r="L1" s="4312"/>
      <c r="M1" s="4312"/>
      <c r="N1" s="4312"/>
      <c r="O1" s="4312"/>
      <c r="P1" s="4312"/>
      <c r="Q1" s="4312"/>
      <c r="R1" s="2005"/>
      <c r="S1" s="2005"/>
      <c r="T1" s="2005"/>
      <c r="U1" s="2005"/>
      <c r="V1" s="2005"/>
      <c r="W1" s="2005"/>
      <c r="X1" s="2005"/>
      <c r="Y1" s="2005"/>
      <c r="Z1" s="2005"/>
      <c r="AA1" s="1995"/>
      <c r="AB1" s="1995"/>
      <c r="AC1" s="1995"/>
      <c r="AD1" s="1995"/>
      <c r="AE1" s="1995"/>
      <c r="AF1" s="1995"/>
      <c r="AG1" s="1995"/>
      <c r="AH1" s="1995"/>
      <c r="AI1" s="1995"/>
      <c r="BF1" s="4487"/>
      <c r="BG1" s="4487"/>
      <c r="BH1" s="4487"/>
      <c r="BI1" s="4487"/>
      <c r="BJ1" s="4487"/>
      <c r="BK1" s="4487"/>
      <c r="BL1" s="4487"/>
      <c r="BM1" s="4487"/>
      <c r="BN1" s="4487"/>
      <c r="BO1" s="4487"/>
      <c r="BP1" s="4487"/>
      <c r="BQ1" s="4487"/>
      <c r="BR1" s="4487"/>
      <c r="BS1" s="4487"/>
    </row>
    <row r="2" spans="1:71" x14ac:dyDescent="0.25">
      <c r="B2" s="1995"/>
      <c r="C2" s="1995"/>
      <c r="D2" s="1995"/>
      <c r="E2" s="2005"/>
      <c r="F2" s="1995"/>
      <c r="G2" s="2005"/>
      <c r="H2" s="1995"/>
      <c r="I2" s="1995"/>
      <c r="J2" s="1995"/>
      <c r="K2" s="2005"/>
      <c r="L2" s="1995"/>
      <c r="M2" s="1995"/>
      <c r="N2" s="1995"/>
      <c r="O2" s="2005"/>
      <c r="P2" s="1995"/>
      <c r="Q2" s="1995"/>
      <c r="R2" s="1995"/>
      <c r="S2" s="1995"/>
      <c r="T2" s="1995"/>
      <c r="U2" s="1995"/>
      <c r="V2" s="1995"/>
      <c r="W2" s="1995"/>
      <c r="Z2" s="1995"/>
      <c r="AA2" s="1995"/>
      <c r="AB2" s="1995"/>
      <c r="AC2" s="1995"/>
      <c r="AD2" s="1995"/>
      <c r="AE2" s="1995"/>
      <c r="AF2" s="1995"/>
      <c r="AG2" s="1995"/>
      <c r="AH2" s="1995"/>
      <c r="AI2" s="1995"/>
      <c r="BF2" s="4487"/>
      <c r="BG2" s="4487"/>
      <c r="BH2" s="4487"/>
      <c r="BI2" s="4487"/>
      <c r="BJ2" s="4487"/>
      <c r="BK2" s="4487"/>
      <c r="BL2" s="4487"/>
      <c r="BM2" s="4487"/>
      <c r="BN2" s="4487"/>
      <c r="BO2" s="4487"/>
      <c r="BP2" s="4487"/>
      <c r="BQ2" s="4487"/>
      <c r="BR2" s="4487"/>
      <c r="BS2" s="4487"/>
    </row>
    <row r="3" spans="1:71" s="139" customFormat="1" ht="18.75" x14ac:dyDescent="0.25">
      <c r="B3" s="173"/>
      <c r="C3" s="2026" t="s">
        <v>171</v>
      </c>
      <c r="D3" s="8025" t="s">
        <v>2319</v>
      </c>
      <c r="E3" s="8026"/>
      <c r="F3" s="8022" t="s">
        <v>1956</v>
      </c>
      <c r="G3" s="8022"/>
      <c r="H3" s="8020" t="s">
        <v>14</v>
      </c>
      <c r="I3" s="8020"/>
      <c r="J3" s="8022" t="s">
        <v>1986</v>
      </c>
      <c r="K3" s="8022"/>
      <c r="L3" s="8023" t="s">
        <v>607</v>
      </c>
      <c r="M3" s="8023"/>
      <c r="N3" s="8019" t="s">
        <v>2009</v>
      </c>
      <c r="O3" s="8019"/>
      <c r="P3" s="8020" t="s">
        <v>17</v>
      </c>
      <c r="Q3" s="8020"/>
      <c r="R3" s="8019" t="s">
        <v>2011</v>
      </c>
      <c r="S3" s="8019"/>
      <c r="T3" s="8020" t="s">
        <v>18</v>
      </c>
      <c r="U3" s="8020"/>
      <c r="V3" s="8019" t="s">
        <v>2042</v>
      </c>
      <c r="W3" s="8019"/>
      <c r="X3" s="3586"/>
      <c r="Y3" s="4402" t="s">
        <v>1820</v>
      </c>
      <c r="Z3" s="8021" t="s">
        <v>626</v>
      </c>
      <c r="AA3" s="8021"/>
      <c r="AB3" s="8019" t="s">
        <v>2067</v>
      </c>
      <c r="AC3" s="8019"/>
      <c r="AD3" s="8020" t="s">
        <v>24</v>
      </c>
      <c r="AE3" s="8020"/>
      <c r="AF3" s="8019" t="s">
        <v>2170</v>
      </c>
      <c r="AG3" s="8019"/>
      <c r="AH3" s="8020" t="s">
        <v>27</v>
      </c>
      <c r="AI3" s="8020"/>
      <c r="AJ3" s="8019" t="s">
        <v>2194</v>
      </c>
      <c r="AK3" s="8019"/>
      <c r="AL3" s="3586"/>
      <c r="AM3" s="4939" t="s">
        <v>1821</v>
      </c>
      <c r="AN3" s="8020" t="s">
        <v>1575</v>
      </c>
      <c r="AO3" s="8020"/>
      <c r="AP3" s="8019" t="s">
        <v>2206</v>
      </c>
      <c r="AQ3" s="8019"/>
      <c r="AR3" s="8020" t="s">
        <v>28</v>
      </c>
      <c r="AS3" s="8020"/>
      <c r="AT3" s="8019" t="s">
        <v>2243</v>
      </c>
      <c r="AU3" s="8019"/>
      <c r="AV3" s="8020" t="s">
        <v>30</v>
      </c>
      <c r="AW3" s="8020"/>
      <c r="AX3" s="8019" t="s">
        <v>2261</v>
      </c>
      <c r="AY3" s="8019"/>
      <c r="AZ3" s="3586"/>
      <c r="BA3" s="5111" t="s">
        <v>1858</v>
      </c>
      <c r="BB3" s="8021" t="s">
        <v>638</v>
      </c>
      <c r="BC3" s="8021"/>
      <c r="BD3" s="8020" t="s">
        <v>1984</v>
      </c>
      <c r="BE3" s="8020"/>
      <c r="BF3" s="4487"/>
      <c r="BG3" s="4487"/>
      <c r="BH3" s="4487"/>
      <c r="BI3" s="4487"/>
      <c r="BJ3" s="4487"/>
      <c r="BK3" s="4487"/>
      <c r="BL3" s="4487"/>
      <c r="BM3" s="4487"/>
      <c r="BN3" s="4487"/>
      <c r="BO3" s="4487"/>
      <c r="BP3" s="4487"/>
      <c r="BQ3" s="4487"/>
      <c r="BR3" s="4487"/>
      <c r="BS3" s="4487"/>
    </row>
    <row r="4" spans="1:71" ht="18.75" x14ac:dyDescent="0.3">
      <c r="B4" s="8036" t="s">
        <v>1497</v>
      </c>
      <c r="C4" s="2020"/>
      <c r="D4" s="1993" t="s">
        <v>173</v>
      </c>
      <c r="E4" s="1993" t="s">
        <v>174</v>
      </c>
      <c r="F4" s="1993" t="s">
        <v>173</v>
      </c>
      <c r="G4" s="1993" t="s">
        <v>174</v>
      </c>
      <c r="H4" s="1996" t="s">
        <v>173</v>
      </c>
      <c r="I4" s="1996" t="s">
        <v>174</v>
      </c>
      <c r="J4" s="249" t="s">
        <v>173</v>
      </c>
      <c r="K4" s="1993" t="s">
        <v>174</v>
      </c>
      <c r="L4" s="1994" t="s">
        <v>173</v>
      </c>
      <c r="M4" s="1994" t="s">
        <v>174</v>
      </c>
      <c r="N4" s="249" t="s">
        <v>173</v>
      </c>
      <c r="O4" s="1993" t="s">
        <v>174</v>
      </c>
      <c r="P4" s="1996" t="s">
        <v>173</v>
      </c>
      <c r="Q4" s="1996" t="s">
        <v>174</v>
      </c>
      <c r="R4" s="4342" t="s">
        <v>173</v>
      </c>
      <c r="S4" s="4344" t="s">
        <v>174</v>
      </c>
      <c r="T4" s="4343" t="s">
        <v>173</v>
      </c>
      <c r="U4" s="4343" t="s">
        <v>174</v>
      </c>
      <c r="V4" s="4401" t="s">
        <v>173</v>
      </c>
      <c r="W4" s="4400" t="s">
        <v>174</v>
      </c>
      <c r="X4" s="3251"/>
      <c r="Y4" s="4402" t="s">
        <v>174</v>
      </c>
      <c r="Z4" s="5002" t="s">
        <v>173</v>
      </c>
      <c r="AA4" s="5002" t="s">
        <v>174</v>
      </c>
      <c r="AB4" s="4568" t="s">
        <v>173</v>
      </c>
      <c r="AC4" s="4566" t="s">
        <v>174</v>
      </c>
      <c r="AD4" s="4567" t="s">
        <v>173</v>
      </c>
      <c r="AE4" s="4567" t="s">
        <v>174</v>
      </c>
      <c r="AF4" s="4628" t="s">
        <v>173</v>
      </c>
      <c r="AG4" s="4626" t="s">
        <v>174</v>
      </c>
      <c r="AH4" s="4627" t="s">
        <v>173</v>
      </c>
      <c r="AI4" s="4627" t="s">
        <v>174</v>
      </c>
      <c r="AJ4" s="4920" t="s">
        <v>173</v>
      </c>
      <c r="AK4" s="4922" t="s">
        <v>174</v>
      </c>
      <c r="AL4" s="3251"/>
      <c r="AM4" s="4939" t="s">
        <v>174</v>
      </c>
      <c r="AN4" s="4921" t="s">
        <v>173</v>
      </c>
      <c r="AO4" s="4921" t="s">
        <v>174</v>
      </c>
      <c r="AP4" s="4966" t="s">
        <v>173</v>
      </c>
      <c r="AQ4" s="4968" t="s">
        <v>174</v>
      </c>
      <c r="AR4" s="4967" t="s">
        <v>173</v>
      </c>
      <c r="AS4" s="4967" t="s">
        <v>174</v>
      </c>
      <c r="AT4" s="5019" t="s">
        <v>173</v>
      </c>
      <c r="AU4" s="5021" t="s">
        <v>174</v>
      </c>
      <c r="AV4" s="5020" t="s">
        <v>173</v>
      </c>
      <c r="AW4" s="5020" t="s">
        <v>174</v>
      </c>
      <c r="AX4" s="5108" t="s">
        <v>173</v>
      </c>
      <c r="AY4" s="5110" t="s">
        <v>174</v>
      </c>
      <c r="AZ4" s="3251"/>
      <c r="BA4" s="5111" t="s">
        <v>174</v>
      </c>
      <c r="BB4" s="5112" t="s">
        <v>173</v>
      </c>
      <c r="BC4" s="5112" t="s">
        <v>174</v>
      </c>
      <c r="BD4" s="5109" t="s">
        <v>173</v>
      </c>
      <c r="BE4" s="5109" t="s">
        <v>174</v>
      </c>
      <c r="BF4" s="4487"/>
      <c r="BG4" s="4487"/>
      <c r="BH4" s="4487"/>
      <c r="BI4" s="4487"/>
      <c r="BJ4" s="4487"/>
      <c r="BK4" s="4487"/>
      <c r="BL4" s="4487"/>
      <c r="BM4" s="4487"/>
      <c r="BN4" s="4487"/>
      <c r="BO4" s="4487"/>
      <c r="BP4" s="4487"/>
      <c r="BQ4" s="4487"/>
      <c r="BR4" s="4487"/>
      <c r="BS4" s="4487"/>
    </row>
    <row r="5" spans="1:71" ht="18.75" x14ac:dyDescent="0.25">
      <c r="B5" s="8031"/>
      <c r="C5" s="2012" t="s">
        <v>752</v>
      </c>
      <c r="D5" s="1594"/>
      <c r="E5" s="1990">
        <v>257934</v>
      </c>
      <c r="F5" s="1990"/>
      <c r="G5" s="3782">
        <v>268159</v>
      </c>
      <c r="H5" s="1992">
        <f>+D5+F5</f>
        <v>0</v>
      </c>
      <c r="I5" s="3113">
        <f>+E5+G5</f>
        <v>526093</v>
      </c>
      <c r="J5" s="1990"/>
      <c r="K5" s="3782">
        <v>280950</v>
      </c>
      <c r="L5" s="1991">
        <f>+H5+J5</f>
        <v>0</v>
      </c>
      <c r="M5" s="2221">
        <f t="shared" ref="M5:M24" si="0">E5+G5+K5</f>
        <v>807043</v>
      </c>
      <c r="N5" s="2022"/>
      <c r="O5" s="3782">
        <v>294654</v>
      </c>
      <c r="P5" s="1992">
        <f>+L5+N5</f>
        <v>0</v>
      </c>
      <c r="Q5" s="1992">
        <f>+M5+O5</f>
        <v>1101697</v>
      </c>
      <c r="R5" s="2022"/>
      <c r="S5" s="3782">
        <v>284181</v>
      </c>
      <c r="T5" s="3117">
        <f>+P5+R5</f>
        <v>0</v>
      </c>
      <c r="U5" s="3117">
        <f>+Q5+S5</f>
        <v>1385878</v>
      </c>
      <c r="V5" s="2022"/>
      <c r="W5" s="3782">
        <v>287145</v>
      </c>
      <c r="X5" s="4197"/>
      <c r="Y5" s="2864">
        <f>O5+S5+W5</f>
        <v>865980</v>
      </c>
      <c r="Z5" s="5003">
        <f>+T5+V5</f>
        <v>0</v>
      </c>
      <c r="AA5" s="5003">
        <f>+U5+W5</f>
        <v>1673023</v>
      </c>
      <c r="AB5" s="2022"/>
      <c r="AC5" s="3782">
        <v>243307</v>
      </c>
      <c r="AD5" s="3117">
        <f>+Z5+AB5</f>
        <v>0</v>
      </c>
      <c r="AE5" s="3117">
        <f>+AA5+AC5</f>
        <v>1916330</v>
      </c>
      <c r="AF5" s="2022"/>
      <c r="AG5" s="3782">
        <v>275399</v>
      </c>
      <c r="AH5" s="3117">
        <f>+AD5+AF5</f>
        <v>0</v>
      </c>
      <c r="AI5" s="3117">
        <f>+AE5+AG5</f>
        <v>2191729</v>
      </c>
      <c r="AJ5" s="2022"/>
      <c r="AK5" s="3782">
        <v>267547</v>
      </c>
      <c r="AL5" s="4488"/>
      <c r="AM5" s="2864">
        <f>AC5+AG5+AK5</f>
        <v>786253</v>
      </c>
      <c r="AN5" s="3117">
        <f>+AH5+AJ5</f>
        <v>0</v>
      </c>
      <c r="AO5" s="3117">
        <f>+AI5+AK5</f>
        <v>2459276</v>
      </c>
      <c r="AP5" s="2022"/>
      <c r="AQ5" s="3782">
        <v>268050</v>
      </c>
      <c r="AR5" s="3117">
        <f>+AN5+AP5</f>
        <v>0</v>
      </c>
      <c r="AS5" s="3117">
        <f>+AO5+AQ5</f>
        <v>2727326</v>
      </c>
      <c r="AT5" s="2022"/>
      <c r="AU5" s="3782">
        <v>240017</v>
      </c>
      <c r="AV5" s="3117">
        <f>+AR5+AT5</f>
        <v>0</v>
      </c>
      <c r="AW5" s="3117">
        <f>+AS5+AU5</f>
        <v>2967343</v>
      </c>
      <c r="AX5" s="2022"/>
      <c r="AY5" s="3782">
        <v>281675</v>
      </c>
      <c r="AZ5" s="4488"/>
      <c r="BA5" s="2864">
        <f>AQ5+AU5+AY5</f>
        <v>789742</v>
      </c>
      <c r="BB5" s="5003">
        <f>+AV5+AX5</f>
        <v>0</v>
      </c>
      <c r="BC5" s="5003">
        <f>AM5+BA5</f>
        <v>1575995</v>
      </c>
      <c r="BD5" s="3117">
        <f>+AV5+AX5</f>
        <v>0</v>
      </c>
      <c r="BE5" s="3117">
        <f>+AW5+AY5</f>
        <v>3249018</v>
      </c>
      <c r="BF5" s="502">
        <f>AY5+AU5+AQ5+AK5+AG5+AC5+W5+S5+O5+K5+G5+E5-BE5</f>
        <v>0</v>
      </c>
      <c r="BG5" s="502"/>
      <c r="BH5" s="4487"/>
      <c r="BI5" s="4487">
        <f>BC5+AA5-BE5</f>
        <v>0</v>
      </c>
      <c r="BJ5" s="4487"/>
      <c r="BK5" s="4487"/>
      <c r="BL5" s="4487"/>
      <c r="BM5" s="4487"/>
      <c r="BN5" s="4487"/>
      <c r="BO5" s="4487"/>
      <c r="BP5" s="4487"/>
      <c r="BQ5" s="4487"/>
      <c r="BR5" s="4487"/>
      <c r="BS5" s="4487"/>
    </row>
    <row r="6" spans="1:71" ht="18.75" x14ac:dyDescent="0.25">
      <c r="B6" s="8031"/>
      <c r="C6" s="2012" t="s">
        <v>1141</v>
      </c>
      <c r="D6" s="1594"/>
      <c r="E6" s="1990">
        <v>10245</v>
      </c>
      <c r="F6" s="1990"/>
      <c r="G6" s="3782">
        <v>6799</v>
      </c>
      <c r="H6" s="1992">
        <f t="shared" ref="H6:H64" si="1">+D6+F6</f>
        <v>0</v>
      </c>
      <c r="I6" s="3113">
        <f t="shared" ref="I6:I64" si="2">+E6+G6</f>
        <v>17044</v>
      </c>
      <c r="J6" s="1990"/>
      <c r="K6" s="3782">
        <v>8611</v>
      </c>
      <c r="L6" s="1991">
        <f t="shared" ref="L6:L64" si="3">+H6+J6</f>
        <v>0</v>
      </c>
      <c r="M6" s="2221">
        <f t="shared" si="0"/>
        <v>25655</v>
      </c>
      <c r="N6" s="2022"/>
      <c r="O6" s="3782">
        <v>7621</v>
      </c>
      <c r="P6" s="1992">
        <f t="shared" ref="P6:P64" si="4">+L6+N6</f>
        <v>0</v>
      </c>
      <c r="Q6" s="3117">
        <f t="shared" ref="Q6:Q7" si="5">+M6+O6</f>
        <v>33276</v>
      </c>
      <c r="R6" s="2022"/>
      <c r="S6" s="3782">
        <v>7950</v>
      </c>
      <c r="T6" s="3117">
        <f t="shared" ref="T6:T19" si="6">+P6+R6</f>
        <v>0</v>
      </c>
      <c r="U6" s="3117">
        <f t="shared" ref="U6:U24" si="7">+Q6+S6</f>
        <v>41226</v>
      </c>
      <c r="V6" s="2022"/>
      <c r="W6" s="3782">
        <v>5111</v>
      </c>
      <c r="X6" s="4197"/>
      <c r="Y6" s="2864">
        <f t="shared" ref="Y6:Y64" si="8">O6+S6+W6</f>
        <v>20682</v>
      </c>
      <c r="Z6" s="5003">
        <f t="shared" ref="Z6:Z19" si="9">+T6+V6</f>
        <v>0</v>
      </c>
      <c r="AA6" s="5003">
        <f t="shared" ref="AA6:AA24" si="10">+U6+W6</f>
        <v>46337</v>
      </c>
      <c r="AB6" s="2022"/>
      <c r="AC6" s="3782">
        <v>6124</v>
      </c>
      <c r="AD6" s="3117">
        <f t="shared" ref="AD6:AD19" si="11">+Z6+AB6</f>
        <v>0</v>
      </c>
      <c r="AE6" s="3117">
        <f t="shared" ref="AE6:AE24" si="12">+AA6+AC6</f>
        <v>52461</v>
      </c>
      <c r="AF6" s="2022"/>
      <c r="AG6" s="3782">
        <v>10121</v>
      </c>
      <c r="AH6" s="3117">
        <f t="shared" ref="AH6:AH19" si="13">+AD6+AF6</f>
        <v>0</v>
      </c>
      <c r="AI6" s="3117">
        <f t="shared" ref="AI6:AI24" si="14">+AE6+AG6</f>
        <v>62582</v>
      </c>
      <c r="AJ6" s="2022"/>
      <c r="AK6" s="3782">
        <v>13032</v>
      </c>
      <c r="AL6" s="4488"/>
      <c r="AM6" s="2864">
        <f t="shared" ref="AM6:AM43" si="15">AC6+AG6+AK6</f>
        <v>29277</v>
      </c>
      <c r="AN6" s="3117">
        <f t="shared" ref="AN6:AN19" si="16">+AH6+AJ6</f>
        <v>0</v>
      </c>
      <c r="AO6" s="3117">
        <f t="shared" ref="AO6:AO24" si="17">+AI6+AK6</f>
        <v>75614</v>
      </c>
      <c r="AP6" s="2022"/>
      <c r="AQ6" s="3782">
        <v>14778</v>
      </c>
      <c r="AR6" s="3117">
        <f t="shared" ref="AR6:AR21" si="18">+AN6+AP6</f>
        <v>0</v>
      </c>
      <c r="AS6" s="3117">
        <f t="shared" ref="AS6:AS24" si="19">+AO6+AQ6</f>
        <v>90392</v>
      </c>
      <c r="AT6" s="2022"/>
      <c r="AU6" s="3782">
        <v>9877</v>
      </c>
      <c r="AV6" s="3117">
        <f t="shared" ref="AV6:AV24" si="20">+AR6+AT6</f>
        <v>0</v>
      </c>
      <c r="AW6" s="3117">
        <f t="shared" ref="AW6:AW24" si="21">+AS6+AU6</f>
        <v>100269</v>
      </c>
      <c r="AX6" s="2022"/>
      <c r="AY6" s="3782">
        <v>9345</v>
      </c>
      <c r="AZ6" s="4488"/>
      <c r="BA6" s="2864">
        <f t="shared" ref="BA6:BA43" si="22">AQ6+AU6+AY6</f>
        <v>34000</v>
      </c>
      <c r="BB6" s="5003">
        <f t="shared" ref="BB6:BB19" si="23">+AV6+AX6</f>
        <v>0</v>
      </c>
      <c r="BC6" s="5003">
        <f t="shared" ref="BC6:BC7" si="24">AM6+BA6</f>
        <v>63277</v>
      </c>
      <c r="BD6" s="3117">
        <f t="shared" ref="BD6:BD24" si="25">+AV6+AX6</f>
        <v>0</v>
      </c>
      <c r="BE6" s="3117">
        <f t="shared" ref="BE6:BE24" si="26">+AW6+AY6</f>
        <v>109614</v>
      </c>
      <c r="BF6" s="502">
        <f t="shared" ref="BF6:BF65" si="27">AY6+AU6+AQ6+AK6+AG6+AC6+W6+S6+O6+K6+G6+E6-BE6</f>
        <v>0</v>
      </c>
      <c r="BG6" s="502"/>
      <c r="BH6" s="4487"/>
      <c r="BI6" s="4487">
        <f t="shared" ref="BI6:BI65" si="28">BC6+AA6-BE6</f>
        <v>0</v>
      </c>
      <c r="BJ6" s="4487"/>
      <c r="BK6" s="4487"/>
      <c r="BL6" s="4487"/>
      <c r="BM6" s="4487"/>
      <c r="BN6" s="4487"/>
      <c r="BO6" s="4487"/>
      <c r="BP6" s="4487"/>
      <c r="BQ6" s="4487"/>
      <c r="BR6" s="4487"/>
      <c r="BS6" s="4487"/>
    </row>
    <row r="7" spans="1:71" ht="18.75" x14ac:dyDescent="0.25">
      <c r="B7" s="8031"/>
      <c r="C7" s="2012" t="s">
        <v>1142</v>
      </c>
      <c r="D7" s="1594"/>
      <c r="E7" s="1990">
        <v>1125</v>
      </c>
      <c r="F7" s="1990"/>
      <c r="G7" s="3782">
        <v>1101</v>
      </c>
      <c r="H7" s="1992">
        <f t="shared" si="1"/>
        <v>0</v>
      </c>
      <c r="I7" s="3113">
        <f t="shared" si="2"/>
        <v>2226</v>
      </c>
      <c r="J7" s="1990"/>
      <c r="K7" s="3782">
        <v>2455</v>
      </c>
      <c r="L7" s="1991">
        <f t="shared" si="3"/>
        <v>0</v>
      </c>
      <c r="M7" s="2221">
        <f t="shared" si="0"/>
        <v>4681</v>
      </c>
      <c r="N7" s="2022"/>
      <c r="O7" s="3782">
        <v>2024</v>
      </c>
      <c r="P7" s="1992">
        <f t="shared" si="4"/>
        <v>0</v>
      </c>
      <c r="Q7" s="3117">
        <f t="shared" si="5"/>
        <v>6705</v>
      </c>
      <c r="R7" s="2022"/>
      <c r="S7" s="3782">
        <v>1124</v>
      </c>
      <c r="T7" s="3117">
        <f t="shared" si="6"/>
        <v>0</v>
      </c>
      <c r="U7" s="3117">
        <f t="shared" si="7"/>
        <v>7829</v>
      </c>
      <c r="V7" s="2022"/>
      <c r="W7" s="3782">
        <v>1147</v>
      </c>
      <c r="X7" s="4197"/>
      <c r="Y7" s="2864">
        <f t="shared" si="8"/>
        <v>4295</v>
      </c>
      <c r="Z7" s="5003">
        <f t="shared" si="9"/>
        <v>0</v>
      </c>
      <c r="AA7" s="5003">
        <f t="shared" si="10"/>
        <v>8976</v>
      </c>
      <c r="AB7" s="2022"/>
      <c r="AC7" s="3782">
        <v>788</v>
      </c>
      <c r="AD7" s="3117">
        <f t="shared" si="11"/>
        <v>0</v>
      </c>
      <c r="AE7" s="3117">
        <f t="shared" si="12"/>
        <v>9764</v>
      </c>
      <c r="AF7" s="2022"/>
      <c r="AG7" s="3782">
        <v>989</v>
      </c>
      <c r="AH7" s="3117">
        <f t="shared" si="13"/>
        <v>0</v>
      </c>
      <c r="AI7" s="3117">
        <f t="shared" si="14"/>
        <v>10753</v>
      </c>
      <c r="AJ7" s="2022"/>
      <c r="AK7" s="3782">
        <v>1141</v>
      </c>
      <c r="AL7" s="4488"/>
      <c r="AM7" s="2864">
        <f t="shared" si="15"/>
        <v>2918</v>
      </c>
      <c r="AN7" s="3117">
        <f t="shared" si="16"/>
        <v>0</v>
      </c>
      <c r="AO7" s="3117">
        <f t="shared" si="17"/>
        <v>11894</v>
      </c>
      <c r="AP7" s="2022"/>
      <c r="AQ7" s="3782">
        <v>1818</v>
      </c>
      <c r="AR7" s="3117">
        <f t="shared" si="18"/>
        <v>0</v>
      </c>
      <c r="AS7" s="3117">
        <f t="shared" si="19"/>
        <v>13712</v>
      </c>
      <c r="AT7" s="2022"/>
      <c r="AU7" s="3782">
        <v>924</v>
      </c>
      <c r="AV7" s="3117">
        <f t="shared" si="20"/>
        <v>0</v>
      </c>
      <c r="AW7" s="3117">
        <f t="shared" si="21"/>
        <v>14636</v>
      </c>
      <c r="AX7" s="2022"/>
      <c r="AY7" s="3782">
        <v>1124</v>
      </c>
      <c r="AZ7" s="4488"/>
      <c r="BA7" s="2864">
        <f t="shared" si="22"/>
        <v>3866</v>
      </c>
      <c r="BB7" s="5003">
        <f t="shared" si="23"/>
        <v>0</v>
      </c>
      <c r="BC7" s="5003">
        <f t="shared" si="24"/>
        <v>6784</v>
      </c>
      <c r="BD7" s="3117">
        <f t="shared" si="25"/>
        <v>0</v>
      </c>
      <c r="BE7" s="3117">
        <f t="shared" si="26"/>
        <v>15760</v>
      </c>
      <c r="BF7" s="502">
        <f t="shared" si="27"/>
        <v>0</v>
      </c>
      <c r="BG7" s="502"/>
      <c r="BH7" s="4487"/>
      <c r="BI7" s="4487">
        <f t="shared" si="28"/>
        <v>0</v>
      </c>
      <c r="BJ7" s="4487"/>
      <c r="BK7" s="4487"/>
      <c r="BL7" s="4487"/>
      <c r="BM7" s="4487"/>
      <c r="BN7" s="4487"/>
      <c r="BO7" s="4487"/>
      <c r="BP7" s="4487"/>
      <c r="BQ7" s="4487"/>
      <c r="BR7" s="4487"/>
      <c r="BS7" s="4487"/>
    </row>
    <row r="8" spans="1:71" ht="18.75" x14ac:dyDescent="0.25">
      <c r="B8" s="8031"/>
      <c r="C8" s="2013" t="s">
        <v>1202</v>
      </c>
      <c r="D8" s="2008"/>
      <c r="E8" s="2021">
        <f>SUM(E5:E7)</f>
        <v>269304</v>
      </c>
      <c r="F8" s="2021">
        <f t="shared" ref="F8:N8" si="29">SUM(F5:F7)</f>
        <v>0</v>
      </c>
      <c r="G8" s="2021">
        <f>SUM(G5:G7)</f>
        <v>276059</v>
      </c>
      <c r="H8" s="2027">
        <f t="shared" si="1"/>
        <v>0</v>
      </c>
      <c r="I8" s="3487">
        <f t="shared" si="2"/>
        <v>545363</v>
      </c>
      <c r="J8" s="2021">
        <f t="shared" si="29"/>
        <v>0</v>
      </c>
      <c r="K8" s="2021">
        <f>SUM(K5:K7)</f>
        <v>292016</v>
      </c>
      <c r="L8" s="2028">
        <f t="shared" si="3"/>
        <v>0</v>
      </c>
      <c r="M8" s="2028">
        <f t="shared" si="0"/>
        <v>837379</v>
      </c>
      <c r="N8" s="2021">
        <f t="shared" si="29"/>
        <v>0</v>
      </c>
      <c r="O8" s="2021">
        <f>SUM(O5:O7)</f>
        <v>304299</v>
      </c>
      <c r="P8" s="2027">
        <f t="shared" si="4"/>
        <v>0</v>
      </c>
      <c r="Q8" s="2027">
        <f t="shared" ref="Q8:Q64" si="30">+M8+O8</f>
        <v>1141678</v>
      </c>
      <c r="R8" s="2021">
        <f t="shared" ref="R8" si="31">SUM(R5:R7)</f>
        <v>0</v>
      </c>
      <c r="S8" s="2021">
        <f>SUM(S5:S7)</f>
        <v>293255</v>
      </c>
      <c r="T8" s="2027">
        <f t="shared" si="6"/>
        <v>0</v>
      </c>
      <c r="U8" s="2027">
        <f t="shared" si="7"/>
        <v>1434933</v>
      </c>
      <c r="V8" s="2021">
        <f t="shared" ref="V8" si="32">SUM(V5:V7)</f>
        <v>0</v>
      </c>
      <c r="W8" s="2021">
        <f>SUM(W5:W7)</f>
        <v>293403</v>
      </c>
      <c r="X8" s="4403"/>
      <c r="Y8" s="4410">
        <f t="shared" si="8"/>
        <v>890957</v>
      </c>
      <c r="Z8" s="5004">
        <f t="shared" si="9"/>
        <v>0</v>
      </c>
      <c r="AA8" s="5004">
        <f t="shared" si="10"/>
        <v>1728336</v>
      </c>
      <c r="AB8" s="2021">
        <f t="shared" ref="AB8" si="33">SUM(AB5:AB7)</f>
        <v>0</v>
      </c>
      <c r="AC8" s="2021">
        <f>SUM(AC5:AC7)</f>
        <v>250219</v>
      </c>
      <c r="AD8" s="2027">
        <f t="shared" si="11"/>
        <v>0</v>
      </c>
      <c r="AE8" s="2027">
        <f t="shared" si="12"/>
        <v>1978555</v>
      </c>
      <c r="AF8" s="2021">
        <f t="shared" ref="AF8" si="34">SUM(AF5:AF7)</f>
        <v>0</v>
      </c>
      <c r="AG8" s="2021">
        <f>SUM(AG5:AG7)</f>
        <v>286509</v>
      </c>
      <c r="AH8" s="2027">
        <f t="shared" si="13"/>
        <v>0</v>
      </c>
      <c r="AI8" s="2027">
        <f t="shared" si="14"/>
        <v>2265064</v>
      </c>
      <c r="AJ8" s="2021">
        <f t="shared" ref="AJ8" si="35">SUM(AJ5:AJ7)</f>
        <v>0</v>
      </c>
      <c r="AK8" s="2021">
        <f>SUM(AK5:AK7)</f>
        <v>281720</v>
      </c>
      <c r="AL8" s="4403"/>
      <c r="AM8" s="4410">
        <f t="shared" si="15"/>
        <v>818448</v>
      </c>
      <c r="AN8" s="2027">
        <f t="shared" si="16"/>
        <v>0</v>
      </c>
      <c r="AO8" s="2027">
        <f t="shared" si="17"/>
        <v>2546784</v>
      </c>
      <c r="AP8" s="2021">
        <f t="shared" ref="AP8" si="36">SUM(AP5:AP7)</f>
        <v>0</v>
      </c>
      <c r="AQ8" s="2021">
        <f>SUM(AQ5:AQ7)</f>
        <v>284646</v>
      </c>
      <c r="AR8" s="2027">
        <f t="shared" si="18"/>
        <v>0</v>
      </c>
      <c r="AS8" s="2027">
        <f t="shared" si="19"/>
        <v>2831430</v>
      </c>
      <c r="AT8" s="2021">
        <f t="shared" ref="AT8" si="37">SUM(AT5:AT7)</f>
        <v>0</v>
      </c>
      <c r="AU8" s="2021">
        <f>SUM(AU5:AU7)</f>
        <v>250818</v>
      </c>
      <c r="AV8" s="2027">
        <f t="shared" si="20"/>
        <v>0</v>
      </c>
      <c r="AW8" s="2027">
        <f t="shared" si="21"/>
        <v>3082248</v>
      </c>
      <c r="AX8" s="2021">
        <f t="shared" ref="AX8" si="38">SUM(AX5:AX7)</f>
        <v>0</v>
      </c>
      <c r="AY8" s="2021">
        <f>SUM(AY5:AY7)</f>
        <v>292144</v>
      </c>
      <c r="AZ8" s="4403"/>
      <c r="BA8" s="4410">
        <f t="shared" si="22"/>
        <v>827608</v>
      </c>
      <c r="BB8" s="5004">
        <f t="shared" si="23"/>
        <v>0</v>
      </c>
      <c r="BC8" s="5004">
        <f>SUM(BC5:BC7)</f>
        <v>1646056</v>
      </c>
      <c r="BD8" s="2027">
        <f t="shared" si="25"/>
        <v>0</v>
      </c>
      <c r="BE8" s="2027">
        <f t="shared" si="26"/>
        <v>3374392</v>
      </c>
      <c r="BF8" s="502">
        <f t="shared" si="27"/>
        <v>0</v>
      </c>
      <c r="BG8" s="502"/>
      <c r="BH8" s="4487"/>
      <c r="BI8" s="4487">
        <f t="shared" si="28"/>
        <v>0</v>
      </c>
      <c r="BJ8" s="4487"/>
      <c r="BK8" s="4487"/>
      <c r="BL8" s="4487"/>
      <c r="BM8" s="4487"/>
      <c r="BN8" s="4487"/>
      <c r="BO8" s="4487"/>
      <c r="BP8" s="4487"/>
      <c r="BQ8" s="4487"/>
    </row>
    <row r="9" spans="1:71" ht="18.75" x14ac:dyDescent="0.25">
      <c r="B9" s="8031"/>
      <c r="C9" s="2012" t="s">
        <v>754</v>
      </c>
      <c r="D9" s="1594"/>
      <c r="E9" s="1990">
        <v>5524</v>
      </c>
      <c r="F9" s="1990"/>
      <c r="G9" s="3782">
        <v>17898</v>
      </c>
      <c r="H9" s="1992">
        <f t="shared" si="1"/>
        <v>0</v>
      </c>
      <c r="I9" s="3113">
        <f t="shared" si="2"/>
        <v>23422</v>
      </c>
      <c r="J9" s="1990"/>
      <c r="K9" s="3782">
        <v>13125</v>
      </c>
      <c r="L9" s="1991">
        <f t="shared" si="3"/>
        <v>0</v>
      </c>
      <c r="M9" s="2221">
        <f t="shared" si="0"/>
        <v>36547</v>
      </c>
      <c r="N9" s="2022"/>
      <c r="O9" s="3782">
        <v>14258</v>
      </c>
      <c r="P9" s="1992">
        <f t="shared" si="4"/>
        <v>0</v>
      </c>
      <c r="Q9" s="1992">
        <f t="shared" si="30"/>
        <v>50805</v>
      </c>
      <c r="R9" s="2022"/>
      <c r="S9" s="3782">
        <v>11784</v>
      </c>
      <c r="T9" s="3117">
        <f t="shared" si="6"/>
        <v>0</v>
      </c>
      <c r="U9" s="3117">
        <f t="shared" si="7"/>
        <v>62589</v>
      </c>
      <c r="V9" s="2022"/>
      <c r="W9" s="3782">
        <v>15189</v>
      </c>
      <c r="X9" s="4197"/>
      <c r="Y9" s="2864">
        <f t="shared" si="8"/>
        <v>41231</v>
      </c>
      <c r="Z9" s="5003">
        <f t="shared" si="9"/>
        <v>0</v>
      </c>
      <c r="AA9" s="5003">
        <f t="shared" si="10"/>
        <v>77778</v>
      </c>
      <c r="AB9" s="2022"/>
      <c r="AC9" s="3782">
        <v>13084</v>
      </c>
      <c r="AD9" s="3117">
        <f t="shared" si="11"/>
        <v>0</v>
      </c>
      <c r="AE9" s="3117">
        <f t="shared" si="12"/>
        <v>90862</v>
      </c>
      <c r="AF9" s="2022"/>
      <c r="AG9" s="3782">
        <v>12524</v>
      </c>
      <c r="AH9" s="3117">
        <f t="shared" si="13"/>
        <v>0</v>
      </c>
      <c r="AI9" s="3117">
        <f t="shared" si="14"/>
        <v>103386</v>
      </c>
      <c r="AJ9" s="2022"/>
      <c r="AK9" s="3782">
        <v>14550</v>
      </c>
      <c r="AL9" s="4488"/>
      <c r="AM9" s="2864">
        <f t="shared" si="15"/>
        <v>40158</v>
      </c>
      <c r="AN9" s="3117">
        <f t="shared" si="16"/>
        <v>0</v>
      </c>
      <c r="AO9" s="3117">
        <f t="shared" si="17"/>
        <v>117936</v>
      </c>
      <c r="AP9" s="2022"/>
      <c r="AQ9" s="3782">
        <v>11173</v>
      </c>
      <c r="AR9" s="3117">
        <f t="shared" si="18"/>
        <v>0</v>
      </c>
      <c r="AS9" s="3117">
        <f t="shared" si="19"/>
        <v>129109</v>
      </c>
      <c r="AT9" s="2022"/>
      <c r="AU9" s="3782">
        <v>11241</v>
      </c>
      <c r="AV9" s="3117">
        <f t="shared" si="20"/>
        <v>0</v>
      </c>
      <c r="AW9" s="3117">
        <f t="shared" si="21"/>
        <v>140350</v>
      </c>
      <c r="AX9" s="2022"/>
      <c r="AY9" s="3782">
        <v>13834</v>
      </c>
      <c r="AZ9" s="4488"/>
      <c r="BA9" s="2864">
        <f t="shared" si="22"/>
        <v>36248</v>
      </c>
      <c r="BB9" s="5003">
        <f t="shared" si="23"/>
        <v>0</v>
      </c>
      <c r="BC9" s="5003">
        <f t="shared" ref="BC9:BC24" si="39">AM9+BA9</f>
        <v>76406</v>
      </c>
      <c r="BD9" s="3117">
        <f t="shared" si="25"/>
        <v>0</v>
      </c>
      <c r="BE9" s="3117">
        <f t="shared" si="26"/>
        <v>154184</v>
      </c>
      <c r="BF9" s="502">
        <f t="shared" si="27"/>
        <v>0</v>
      </c>
      <c r="BG9" s="502"/>
      <c r="BH9" s="4487"/>
      <c r="BI9" s="4487">
        <f t="shared" si="28"/>
        <v>0</v>
      </c>
      <c r="BJ9" s="4487"/>
      <c r="BK9" s="4487"/>
      <c r="BL9" s="4487"/>
      <c r="BM9" s="4487"/>
      <c r="BN9" s="4487"/>
      <c r="BO9" s="4487"/>
      <c r="BP9" s="4487"/>
      <c r="BQ9" s="4487"/>
    </row>
    <row r="10" spans="1:71" ht="18.75" x14ac:dyDescent="0.25">
      <c r="B10" s="8031"/>
      <c r="C10" s="2012" t="s">
        <v>753</v>
      </c>
      <c r="D10" s="1594"/>
      <c r="E10" s="1990">
        <v>37624</v>
      </c>
      <c r="F10" s="1990"/>
      <c r="G10" s="3782">
        <v>32714</v>
      </c>
      <c r="H10" s="1992">
        <f t="shared" si="1"/>
        <v>0</v>
      </c>
      <c r="I10" s="3113">
        <f t="shared" si="2"/>
        <v>70338</v>
      </c>
      <c r="J10" s="1990"/>
      <c r="K10" s="3782">
        <v>32552</v>
      </c>
      <c r="L10" s="1991">
        <f t="shared" si="3"/>
        <v>0</v>
      </c>
      <c r="M10" s="2221">
        <f t="shared" si="0"/>
        <v>102890</v>
      </c>
      <c r="N10" s="2022"/>
      <c r="O10" s="3782">
        <v>35815</v>
      </c>
      <c r="P10" s="1992">
        <f t="shared" si="4"/>
        <v>0</v>
      </c>
      <c r="Q10" s="3117">
        <f t="shared" si="30"/>
        <v>138705</v>
      </c>
      <c r="R10" s="2022"/>
      <c r="S10" s="3782">
        <v>36757</v>
      </c>
      <c r="T10" s="3117">
        <f t="shared" si="6"/>
        <v>0</v>
      </c>
      <c r="U10" s="3117">
        <f t="shared" si="7"/>
        <v>175462</v>
      </c>
      <c r="V10" s="2022"/>
      <c r="W10" s="3782">
        <v>34597</v>
      </c>
      <c r="X10" s="4197"/>
      <c r="Y10" s="2864">
        <f t="shared" si="8"/>
        <v>107169</v>
      </c>
      <c r="Z10" s="5003">
        <f t="shared" si="9"/>
        <v>0</v>
      </c>
      <c r="AA10" s="5003">
        <f t="shared" si="10"/>
        <v>210059</v>
      </c>
      <c r="AB10" s="2022"/>
      <c r="AC10" s="3782">
        <v>30274</v>
      </c>
      <c r="AD10" s="3117">
        <f t="shared" si="11"/>
        <v>0</v>
      </c>
      <c r="AE10" s="3117">
        <f t="shared" si="12"/>
        <v>240333</v>
      </c>
      <c r="AF10" s="2022"/>
      <c r="AG10" s="3782">
        <v>31941</v>
      </c>
      <c r="AH10" s="3117">
        <f t="shared" si="13"/>
        <v>0</v>
      </c>
      <c r="AI10" s="3117">
        <f t="shared" si="14"/>
        <v>272274</v>
      </c>
      <c r="AJ10" s="2022"/>
      <c r="AK10" s="3782">
        <v>30174</v>
      </c>
      <c r="AL10" s="4488"/>
      <c r="AM10" s="2864">
        <f t="shared" si="15"/>
        <v>92389</v>
      </c>
      <c r="AN10" s="3117">
        <f t="shared" si="16"/>
        <v>0</v>
      </c>
      <c r="AO10" s="3117">
        <f t="shared" si="17"/>
        <v>302448</v>
      </c>
      <c r="AP10" s="2022"/>
      <c r="AQ10" s="3782">
        <v>35212</v>
      </c>
      <c r="AR10" s="3117">
        <f t="shared" si="18"/>
        <v>0</v>
      </c>
      <c r="AS10" s="3117">
        <f t="shared" si="19"/>
        <v>337660</v>
      </c>
      <c r="AT10" s="2022"/>
      <c r="AU10" s="3782">
        <v>33381</v>
      </c>
      <c r="AV10" s="3117">
        <f t="shared" si="20"/>
        <v>0</v>
      </c>
      <c r="AW10" s="3117">
        <f t="shared" si="21"/>
        <v>371041</v>
      </c>
      <c r="AX10" s="2022"/>
      <c r="AY10" s="3782">
        <v>39754</v>
      </c>
      <c r="AZ10" s="4488"/>
      <c r="BA10" s="2864">
        <f t="shared" si="22"/>
        <v>108347</v>
      </c>
      <c r="BB10" s="5003">
        <f t="shared" si="23"/>
        <v>0</v>
      </c>
      <c r="BC10" s="5003">
        <f t="shared" si="39"/>
        <v>200736</v>
      </c>
      <c r="BD10" s="3117">
        <f t="shared" si="25"/>
        <v>0</v>
      </c>
      <c r="BE10" s="3117">
        <f t="shared" si="26"/>
        <v>410795</v>
      </c>
      <c r="BF10" s="502">
        <f t="shared" si="27"/>
        <v>0</v>
      </c>
      <c r="BG10" s="502"/>
      <c r="BH10" s="4487"/>
      <c r="BI10" s="4487">
        <f t="shared" si="28"/>
        <v>0</v>
      </c>
      <c r="BJ10" s="4487"/>
      <c r="BK10" s="4487"/>
      <c r="BL10" s="4487"/>
      <c r="BM10" s="4487"/>
      <c r="BN10" s="4487"/>
      <c r="BO10" s="4487"/>
      <c r="BP10" s="4487"/>
      <c r="BQ10" s="4487"/>
    </row>
    <row r="11" spans="1:71" ht="18.75" x14ac:dyDescent="0.25">
      <c r="B11" s="8031"/>
      <c r="C11" s="2012" t="s">
        <v>26</v>
      </c>
      <c r="D11" s="1594"/>
      <c r="E11" s="1990">
        <v>11328</v>
      </c>
      <c r="F11" s="1990"/>
      <c r="G11" s="3782">
        <v>14494</v>
      </c>
      <c r="H11" s="1992">
        <f t="shared" si="1"/>
        <v>0</v>
      </c>
      <c r="I11" s="3113">
        <f t="shared" si="2"/>
        <v>25822</v>
      </c>
      <c r="J11" s="1990"/>
      <c r="K11" s="3782">
        <v>13879</v>
      </c>
      <c r="L11" s="1991">
        <f t="shared" si="3"/>
        <v>0</v>
      </c>
      <c r="M11" s="2221">
        <f t="shared" si="0"/>
        <v>39701</v>
      </c>
      <c r="N11" s="2022"/>
      <c r="O11" s="3782">
        <v>14787</v>
      </c>
      <c r="P11" s="1992">
        <f t="shared" si="4"/>
        <v>0</v>
      </c>
      <c r="Q11" s="3117">
        <f t="shared" si="30"/>
        <v>54488</v>
      </c>
      <c r="R11" s="2022"/>
      <c r="S11" s="3782">
        <v>16050</v>
      </c>
      <c r="T11" s="3117">
        <f t="shared" si="6"/>
        <v>0</v>
      </c>
      <c r="U11" s="3117">
        <f t="shared" si="7"/>
        <v>70538</v>
      </c>
      <c r="V11" s="2022"/>
      <c r="W11" s="3782">
        <v>13280</v>
      </c>
      <c r="X11" s="4197"/>
      <c r="Y11" s="2864">
        <f t="shared" si="8"/>
        <v>44117</v>
      </c>
      <c r="Z11" s="5003">
        <f t="shared" si="9"/>
        <v>0</v>
      </c>
      <c r="AA11" s="5003">
        <f t="shared" si="10"/>
        <v>83818</v>
      </c>
      <c r="AB11" s="2022"/>
      <c r="AC11" s="3782">
        <v>12362</v>
      </c>
      <c r="AD11" s="3117">
        <f t="shared" si="11"/>
        <v>0</v>
      </c>
      <c r="AE11" s="3117">
        <f t="shared" si="12"/>
        <v>96180</v>
      </c>
      <c r="AF11" s="2022"/>
      <c r="AG11" s="3782">
        <v>15264</v>
      </c>
      <c r="AH11" s="3117">
        <f t="shared" si="13"/>
        <v>0</v>
      </c>
      <c r="AI11" s="3117">
        <f t="shared" si="14"/>
        <v>111444</v>
      </c>
      <c r="AJ11" s="2022"/>
      <c r="AK11" s="3782">
        <v>14002</v>
      </c>
      <c r="AL11" s="4488"/>
      <c r="AM11" s="2864">
        <f t="shared" si="15"/>
        <v>41628</v>
      </c>
      <c r="AN11" s="3117">
        <f t="shared" si="16"/>
        <v>0</v>
      </c>
      <c r="AO11" s="3117">
        <f t="shared" si="17"/>
        <v>125446</v>
      </c>
      <c r="AP11" s="2022"/>
      <c r="AQ11" s="3782">
        <v>14102</v>
      </c>
      <c r="AR11" s="3117">
        <f t="shared" si="18"/>
        <v>0</v>
      </c>
      <c r="AS11" s="3117">
        <f t="shared" si="19"/>
        <v>139548</v>
      </c>
      <c r="AT11" s="2022"/>
      <c r="AU11" s="3782">
        <v>12491</v>
      </c>
      <c r="AV11" s="3117">
        <f t="shared" si="20"/>
        <v>0</v>
      </c>
      <c r="AW11" s="3117">
        <f t="shared" si="21"/>
        <v>152039</v>
      </c>
      <c r="AX11" s="2022"/>
      <c r="AY11" s="3782">
        <v>15688</v>
      </c>
      <c r="AZ11" s="4488"/>
      <c r="BA11" s="2864">
        <f t="shared" si="22"/>
        <v>42281</v>
      </c>
      <c r="BB11" s="5003">
        <f t="shared" si="23"/>
        <v>0</v>
      </c>
      <c r="BC11" s="5003">
        <f t="shared" si="39"/>
        <v>83909</v>
      </c>
      <c r="BD11" s="3117">
        <f t="shared" si="25"/>
        <v>0</v>
      </c>
      <c r="BE11" s="3117">
        <f t="shared" si="26"/>
        <v>167727</v>
      </c>
      <c r="BF11" s="502">
        <f t="shared" si="27"/>
        <v>0</v>
      </c>
      <c r="BG11" s="502"/>
      <c r="BH11" s="4487"/>
      <c r="BI11" s="4487">
        <f t="shared" si="28"/>
        <v>0</v>
      </c>
      <c r="BJ11" s="4487"/>
      <c r="BK11" s="4487"/>
      <c r="BL11" s="4487"/>
      <c r="BM11" s="4487"/>
      <c r="BN11" s="4487"/>
      <c r="BO11" s="4487"/>
      <c r="BP11" s="4487"/>
      <c r="BQ11" s="4487"/>
    </row>
    <row r="12" spans="1:71" ht="18.75" x14ac:dyDescent="0.25">
      <c r="B12" s="8031"/>
      <c r="C12" s="2012" t="s">
        <v>755</v>
      </c>
      <c r="D12" s="1594"/>
      <c r="E12" s="1990">
        <v>0</v>
      </c>
      <c r="F12" s="1990"/>
      <c r="G12" s="3782">
        <v>0</v>
      </c>
      <c r="H12" s="1992">
        <f t="shared" si="1"/>
        <v>0</v>
      </c>
      <c r="I12" s="3113">
        <f t="shared" si="2"/>
        <v>0</v>
      </c>
      <c r="J12" s="1990"/>
      <c r="K12" s="3782">
        <v>0</v>
      </c>
      <c r="L12" s="1991">
        <f t="shared" si="3"/>
        <v>0</v>
      </c>
      <c r="M12" s="2221">
        <f t="shared" si="0"/>
        <v>0</v>
      </c>
      <c r="N12" s="2022"/>
      <c r="O12" s="3782">
        <v>0</v>
      </c>
      <c r="P12" s="1992">
        <f t="shared" si="4"/>
        <v>0</v>
      </c>
      <c r="Q12" s="3117">
        <f t="shared" si="30"/>
        <v>0</v>
      </c>
      <c r="R12" s="2022"/>
      <c r="S12" s="3782">
        <v>0</v>
      </c>
      <c r="T12" s="3117">
        <f t="shared" si="6"/>
        <v>0</v>
      </c>
      <c r="U12" s="3117">
        <f t="shared" si="7"/>
        <v>0</v>
      </c>
      <c r="V12" s="2022"/>
      <c r="W12" s="3782">
        <v>0</v>
      </c>
      <c r="X12" s="4197"/>
      <c r="Y12" s="2864">
        <f t="shared" si="8"/>
        <v>0</v>
      </c>
      <c r="Z12" s="5003">
        <f t="shared" si="9"/>
        <v>0</v>
      </c>
      <c r="AA12" s="5003">
        <f t="shared" si="10"/>
        <v>0</v>
      </c>
      <c r="AB12" s="2022"/>
      <c r="AC12" s="3782">
        <v>0</v>
      </c>
      <c r="AD12" s="3117">
        <f t="shared" si="11"/>
        <v>0</v>
      </c>
      <c r="AE12" s="3117">
        <f t="shared" si="12"/>
        <v>0</v>
      </c>
      <c r="AF12" s="2022"/>
      <c r="AG12" s="3782">
        <v>629</v>
      </c>
      <c r="AH12" s="3117">
        <f t="shared" si="13"/>
        <v>0</v>
      </c>
      <c r="AI12" s="3117">
        <f t="shared" si="14"/>
        <v>629</v>
      </c>
      <c r="AJ12" s="2022"/>
      <c r="AK12" s="3782">
        <v>2070</v>
      </c>
      <c r="AL12" s="4488"/>
      <c r="AM12" s="2864">
        <f t="shared" si="15"/>
        <v>2699</v>
      </c>
      <c r="AN12" s="3117">
        <f t="shared" si="16"/>
        <v>0</v>
      </c>
      <c r="AO12" s="3117">
        <f t="shared" si="17"/>
        <v>2699</v>
      </c>
      <c r="AP12" s="2022"/>
      <c r="AQ12" s="3782">
        <v>688</v>
      </c>
      <c r="AR12" s="3117">
        <f t="shared" si="18"/>
        <v>0</v>
      </c>
      <c r="AS12" s="3117">
        <f t="shared" si="19"/>
        <v>3387</v>
      </c>
      <c r="AT12" s="2022"/>
      <c r="AU12" s="3782">
        <v>0</v>
      </c>
      <c r="AV12" s="3117">
        <f t="shared" si="20"/>
        <v>0</v>
      </c>
      <c r="AW12" s="3117">
        <f t="shared" si="21"/>
        <v>3387</v>
      </c>
      <c r="AX12" s="2022"/>
      <c r="AY12" s="3782">
        <v>0</v>
      </c>
      <c r="AZ12" s="4488"/>
      <c r="BA12" s="2864">
        <f t="shared" si="22"/>
        <v>688</v>
      </c>
      <c r="BB12" s="5003">
        <f t="shared" si="23"/>
        <v>0</v>
      </c>
      <c r="BC12" s="5003">
        <f t="shared" si="39"/>
        <v>3387</v>
      </c>
      <c r="BD12" s="3117">
        <f t="shared" si="25"/>
        <v>0</v>
      </c>
      <c r="BE12" s="3117">
        <f t="shared" si="26"/>
        <v>3387</v>
      </c>
      <c r="BF12" s="502">
        <f t="shared" si="27"/>
        <v>0</v>
      </c>
      <c r="BG12" s="502"/>
      <c r="BH12" s="4487"/>
      <c r="BI12" s="4487">
        <f t="shared" si="28"/>
        <v>0</v>
      </c>
      <c r="BJ12" s="4487"/>
      <c r="BK12" s="4487"/>
      <c r="BL12" s="4487"/>
      <c r="BM12" s="4487"/>
      <c r="BN12" s="4487"/>
      <c r="BO12" s="4487"/>
      <c r="BP12" s="4487"/>
      <c r="BQ12" s="4487"/>
    </row>
    <row r="13" spans="1:71" s="1609" customFormat="1" ht="18.75" x14ac:dyDescent="0.25">
      <c r="A13" s="1995"/>
      <c r="B13" s="8031"/>
      <c r="C13" s="2012" t="s">
        <v>41</v>
      </c>
      <c r="D13" s="1594"/>
      <c r="E13" s="1990">
        <v>3178</v>
      </c>
      <c r="F13" s="1990"/>
      <c r="G13" s="3782">
        <v>0</v>
      </c>
      <c r="H13" s="1992">
        <f t="shared" si="1"/>
        <v>0</v>
      </c>
      <c r="I13" s="3113">
        <f t="shared" si="2"/>
        <v>3178</v>
      </c>
      <c r="J13" s="1990"/>
      <c r="K13" s="3782">
        <v>1740</v>
      </c>
      <c r="L13" s="1991">
        <f t="shared" si="3"/>
        <v>0</v>
      </c>
      <c r="M13" s="2221">
        <f t="shared" si="0"/>
        <v>4918</v>
      </c>
      <c r="N13" s="2022"/>
      <c r="O13" s="3782">
        <v>2300</v>
      </c>
      <c r="P13" s="1992">
        <f t="shared" si="4"/>
        <v>0</v>
      </c>
      <c r="Q13" s="3117">
        <f t="shared" si="30"/>
        <v>7218</v>
      </c>
      <c r="R13" s="2022"/>
      <c r="S13" s="3782">
        <v>3716</v>
      </c>
      <c r="T13" s="3117">
        <f t="shared" si="6"/>
        <v>0</v>
      </c>
      <c r="U13" s="3117">
        <f t="shared" si="7"/>
        <v>10934</v>
      </c>
      <c r="V13" s="2022"/>
      <c r="W13" s="3782">
        <v>3244</v>
      </c>
      <c r="X13" s="4197"/>
      <c r="Y13" s="2864">
        <f t="shared" si="8"/>
        <v>9260</v>
      </c>
      <c r="Z13" s="5003">
        <f t="shared" si="9"/>
        <v>0</v>
      </c>
      <c r="AA13" s="5003">
        <f t="shared" si="10"/>
        <v>14178</v>
      </c>
      <c r="AB13" s="2022"/>
      <c r="AC13" s="3782">
        <v>3998</v>
      </c>
      <c r="AD13" s="3117">
        <f t="shared" si="11"/>
        <v>0</v>
      </c>
      <c r="AE13" s="3117">
        <f t="shared" si="12"/>
        <v>18176</v>
      </c>
      <c r="AF13" s="2022"/>
      <c r="AG13" s="3782">
        <v>3564</v>
      </c>
      <c r="AH13" s="3117">
        <f t="shared" si="13"/>
        <v>0</v>
      </c>
      <c r="AI13" s="3117">
        <f t="shared" si="14"/>
        <v>21740</v>
      </c>
      <c r="AJ13" s="2022"/>
      <c r="AK13" s="3782">
        <v>3964</v>
      </c>
      <c r="AL13" s="4488"/>
      <c r="AM13" s="2864">
        <f t="shared" si="15"/>
        <v>11526</v>
      </c>
      <c r="AN13" s="3117">
        <f t="shared" si="16"/>
        <v>0</v>
      </c>
      <c r="AO13" s="3117">
        <f t="shared" si="17"/>
        <v>25704</v>
      </c>
      <c r="AP13" s="2022"/>
      <c r="AQ13" s="3782">
        <v>3608</v>
      </c>
      <c r="AR13" s="3117">
        <f t="shared" si="18"/>
        <v>0</v>
      </c>
      <c r="AS13" s="3117">
        <f t="shared" si="19"/>
        <v>29312</v>
      </c>
      <c r="AT13" s="2022"/>
      <c r="AU13" s="3782">
        <v>4151</v>
      </c>
      <c r="AV13" s="3117">
        <f t="shared" si="20"/>
        <v>0</v>
      </c>
      <c r="AW13" s="3117">
        <f t="shared" si="21"/>
        <v>33463</v>
      </c>
      <c r="AX13" s="2022"/>
      <c r="AY13" s="3782">
        <v>3325</v>
      </c>
      <c r="AZ13" s="4488"/>
      <c r="BA13" s="2864">
        <f t="shared" si="22"/>
        <v>11084</v>
      </c>
      <c r="BB13" s="5003">
        <f t="shared" si="23"/>
        <v>0</v>
      </c>
      <c r="BC13" s="5003">
        <f t="shared" si="39"/>
        <v>22610</v>
      </c>
      <c r="BD13" s="3117">
        <f t="shared" si="25"/>
        <v>0</v>
      </c>
      <c r="BE13" s="3117">
        <f t="shared" si="26"/>
        <v>36788</v>
      </c>
      <c r="BF13" s="502">
        <f t="shared" si="27"/>
        <v>0</v>
      </c>
      <c r="BG13" s="502"/>
      <c r="BH13" s="4487"/>
      <c r="BI13" s="4487">
        <f t="shared" si="28"/>
        <v>0</v>
      </c>
      <c r="BJ13" s="4487"/>
      <c r="BK13" s="4487"/>
      <c r="BL13" s="4487"/>
      <c r="BM13" s="4487"/>
      <c r="BN13" s="4487"/>
      <c r="BO13" s="4487"/>
      <c r="BP13" s="4487"/>
      <c r="BQ13" s="4487"/>
    </row>
    <row r="14" spans="1:71" ht="18.75" x14ac:dyDescent="0.25">
      <c r="B14" s="8031"/>
      <c r="C14" s="2012" t="s">
        <v>1472</v>
      </c>
      <c r="D14" s="1594"/>
      <c r="E14" s="1990">
        <v>620</v>
      </c>
      <c r="F14" s="1990"/>
      <c r="G14" s="3782">
        <v>690</v>
      </c>
      <c r="H14" s="1992">
        <f t="shared" si="1"/>
        <v>0</v>
      </c>
      <c r="I14" s="3113">
        <f t="shared" si="2"/>
        <v>1310</v>
      </c>
      <c r="J14" s="1990"/>
      <c r="K14" s="3782">
        <v>301</v>
      </c>
      <c r="L14" s="1991">
        <f t="shared" si="3"/>
        <v>0</v>
      </c>
      <c r="M14" s="2221">
        <f t="shared" si="0"/>
        <v>1611</v>
      </c>
      <c r="N14" s="2022"/>
      <c r="O14" s="3782">
        <v>1020</v>
      </c>
      <c r="P14" s="1992">
        <f t="shared" si="4"/>
        <v>0</v>
      </c>
      <c r="Q14" s="3117">
        <f t="shared" si="30"/>
        <v>2631</v>
      </c>
      <c r="R14" s="2022"/>
      <c r="S14" s="3782">
        <v>600</v>
      </c>
      <c r="T14" s="3117">
        <f t="shared" si="6"/>
        <v>0</v>
      </c>
      <c r="U14" s="3117">
        <f t="shared" si="7"/>
        <v>3231</v>
      </c>
      <c r="V14" s="2022"/>
      <c r="W14" s="3782">
        <v>550</v>
      </c>
      <c r="X14" s="4197"/>
      <c r="Y14" s="2864">
        <f t="shared" si="8"/>
        <v>2170</v>
      </c>
      <c r="Z14" s="5003">
        <f t="shared" si="9"/>
        <v>0</v>
      </c>
      <c r="AA14" s="5003">
        <f t="shared" si="10"/>
        <v>3781</v>
      </c>
      <c r="AB14" s="2022"/>
      <c r="AC14" s="3782">
        <v>628</v>
      </c>
      <c r="AD14" s="3117">
        <f t="shared" si="11"/>
        <v>0</v>
      </c>
      <c r="AE14" s="3117">
        <f t="shared" si="12"/>
        <v>4409</v>
      </c>
      <c r="AF14" s="2022"/>
      <c r="AG14" s="3782">
        <v>440</v>
      </c>
      <c r="AH14" s="3117">
        <f t="shared" si="13"/>
        <v>0</v>
      </c>
      <c r="AI14" s="3117">
        <f t="shared" si="14"/>
        <v>4849</v>
      </c>
      <c r="AJ14" s="2022"/>
      <c r="AK14" s="3782">
        <v>620</v>
      </c>
      <c r="AL14" s="4488"/>
      <c r="AM14" s="2864">
        <f t="shared" si="15"/>
        <v>1688</v>
      </c>
      <c r="AN14" s="3117">
        <f t="shared" si="16"/>
        <v>0</v>
      </c>
      <c r="AO14" s="3117">
        <f t="shared" si="17"/>
        <v>5469</v>
      </c>
      <c r="AP14" s="2022"/>
      <c r="AQ14" s="3782">
        <v>0</v>
      </c>
      <c r="AR14" s="3117">
        <f t="shared" si="18"/>
        <v>0</v>
      </c>
      <c r="AS14" s="3117">
        <f t="shared" si="19"/>
        <v>5469</v>
      </c>
      <c r="AT14" s="2022"/>
      <c r="AU14" s="3782">
        <v>620</v>
      </c>
      <c r="AV14" s="3117">
        <f t="shared" si="20"/>
        <v>0</v>
      </c>
      <c r="AW14" s="3117">
        <f t="shared" si="21"/>
        <v>6089</v>
      </c>
      <c r="AX14" s="2022"/>
      <c r="AY14" s="3782">
        <v>645</v>
      </c>
      <c r="AZ14" s="4488"/>
      <c r="BA14" s="2864">
        <f t="shared" si="22"/>
        <v>1265</v>
      </c>
      <c r="BB14" s="5003">
        <f t="shared" si="23"/>
        <v>0</v>
      </c>
      <c r="BC14" s="5003">
        <f t="shared" si="39"/>
        <v>2953</v>
      </c>
      <c r="BD14" s="3117">
        <f t="shared" si="25"/>
        <v>0</v>
      </c>
      <c r="BE14" s="3117">
        <f t="shared" si="26"/>
        <v>6734</v>
      </c>
      <c r="BF14" s="502">
        <f t="shared" si="27"/>
        <v>0</v>
      </c>
      <c r="BG14" s="502"/>
      <c r="BH14" s="4487"/>
      <c r="BI14" s="4487">
        <f t="shared" si="28"/>
        <v>0</v>
      </c>
      <c r="BJ14" s="4487"/>
      <c r="BK14" s="4487"/>
      <c r="BL14" s="4487"/>
      <c r="BM14" s="4487"/>
      <c r="BN14" s="4487"/>
      <c r="BO14" s="4487"/>
      <c r="BP14" s="4487"/>
      <c r="BQ14" s="4487"/>
    </row>
    <row r="15" spans="1:71" ht="18.75" x14ac:dyDescent="0.25">
      <c r="B15" s="8031"/>
      <c r="C15" s="2012" t="s">
        <v>573</v>
      </c>
      <c r="D15" s="1594"/>
      <c r="E15" s="1990">
        <v>6380</v>
      </c>
      <c r="F15" s="1990"/>
      <c r="G15" s="3782">
        <v>9999</v>
      </c>
      <c r="H15" s="1992">
        <f t="shared" si="1"/>
        <v>0</v>
      </c>
      <c r="I15" s="3113">
        <f t="shared" si="2"/>
        <v>16379</v>
      </c>
      <c r="J15" s="1990"/>
      <c r="K15" s="3782">
        <v>2890</v>
      </c>
      <c r="L15" s="1991">
        <f t="shared" si="3"/>
        <v>0</v>
      </c>
      <c r="M15" s="2221">
        <f t="shared" si="0"/>
        <v>19269</v>
      </c>
      <c r="N15" s="2022"/>
      <c r="O15" s="3782">
        <v>1258</v>
      </c>
      <c r="P15" s="1992">
        <f t="shared" si="4"/>
        <v>0</v>
      </c>
      <c r="Q15" s="3117">
        <f t="shared" si="30"/>
        <v>20527</v>
      </c>
      <c r="R15" s="2022"/>
      <c r="S15" s="3782">
        <v>4201</v>
      </c>
      <c r="T15" s="3117">
        <f t="shared" si="6"/>
        <v>0</v>
      </c>
      <c r="U15" s="3117">
        <f t="shared" si="7"/>
        <v>24728</v>
      </c>
      <c r="V15" s="2022"/>
      <c r="W15" s="3782">
        <v>200</v>
      </c>
      <c r="X15" s="4197"/>
      <c r="Y15" s="2864">
        <f t="shared" si="8"/>
        <v>5659</v>
      </c>
      <c r="Z15" s="5003">
        <f t="shared" si="9"/>
        <v>0</v>
      </c>
      <c r="AA15" s="5003">
        <f t="shared" si="10"/>
        <v>24928</v>
      </c>
      <c r="AB15" s="2022"/>
      <c r="AC15" s="3782">
        <v>1686</v>
      </c>
      <c r="AD15" s="3117">
        <f t="shared" si="11"/>
        <v>0</v>
      </c>
      <c r="AE15" s="3117">
        <f t="shared" si="12"/>
        <v>26614</v>
      </c>
      <c r="AF15" s="2022"/>
      <c r="AG15" s="3782">
        <v>7527</v>
      </c>
      <c r="AH15" s="3117">
        <f t="shared" si="13"/>
        <v>0</v>
      </c>
      <c r="AI15" s="3117">
        <f t="shared" si="14"/>
        <v>34141</v>
      </c>
      <c r="AJ15" s="2022"/>
      <c r="AK15" s="3782">
        <v>10404</v>
      </c>
      <c r="AL15" s="4488"/>
      <c r="AM15" s="2864">
        <f t="shared" si="15"/>
        <v>19617</v>
      </c>
      <c r="AN15" s="3117">
        <f t="shared" si="16"/>
        <v>0</v>
      </c>
      <c r="AO15" s="3117">
        <f t="shared" si="17"/>
        <v>44545</v>
      </c>
      <c r="AP15" s="2022"/>
      <c r="AQ15" s="3782">
        <v>8608</v>
      </c>
      <c r="AR15" s="3117">
        <f t="shared" si="18"/>
        <v>0</v>
      </c>
      <c r="AS15" s="3117">
        <f t="shared" si="19"/>
        <v>53153</v>
      </c>
      <c r="AT15" s="2022"/>
      <c r="AU15" s="3782">
        <v>6201</v>
      </c>
      <c r="AV15" s="3117">
        <f t="shared" si="20"/>
        <v>0</v>
      </c>
      <c r="AW15" s="3117">
        <f t="shared" si="21"/>
        <v>59354</v>
      </c>
      <c r="AX15" s="2022"/>
      <c r="AY15" s="3782">
        <v>10593</v>
      </c>
      <c r="AZ15" s="4488"/>
      <c r="BA15" s="2864">
        <f t="shared" si="22"/>
        <v>25402</v>
      </c>
      <c r="BB15" s="5003">
        <f t="shared" si="23"/>
        <v>0</v>
      </c>
      <c r="BC15" s="5003">
        <f t="shared" si="39"/>
        <v>45019</v>
      </c>
      <c r="BD15" s="3117">
        <f t="shared" si="25"/>
        <v>0</v>
      </c>
      <c r="BE15" s="3117">
        <f t="shared" si="26"/>
        <v>69947</v>
      </c>
      <c r="BF15" s="502">
        <f t="shared" si="27"/>
        <v>0</v>
      </c>
      <c r="BG15" s="502"/>
      <c r="BH15" s="4487"/>
      <c r="BI15" s="4487">
        <f t="shared" si="28"/>
        <v>0</v>
      </c>
      <c r="BJ15" s="4487"/>
      <c r="BK15" s="4487"/>
      <c r="BL15" s="4487"/>
      <c r="BM15" s="4487"/>
      <c r="BN15" s="4487"/>
      <c r="BO15" s="4487"/>
      <c r="BP15" s="4487"/>
      <c r="BQ15" s="4487"/>
    </row>
    <row r="16" spans="1:71" ht="18.75" x14ac:dyDescent="0.25">
      <c r="B16" s="8031"/>
      <c r="C16" s="2012" t="s">
        <v>756</v>
      </c>
      <c r="D16" s="1594"/>
      <c r="E16" s="1990">
        <v>5517</v>
      </c>
      <c r="F16" s="1990"/>
      <c r="G16" s="3782">
        <v>5463</v>
      </c>
      <c r="H16" s="1992">
        <f t="shared" si="1"/>
        <v>0</v>
      </c>
      <c r="I16" s="3113">
        <f t="shared" si="2"/>
        <v>10980</v>
      </c>
      <c r="J16" s="1990"/>
      <c r="K16" s="3782">
        <v>6700</v>
      </c>
      <c r="L16" s="1991">
        <f t="shared" si="3"/>
        <v>0</v>
      </c>
      <c r="M16" s="2221">
        <f t="shared" si="0"/>
        <v>17680</v>
      </c>
      <c r="N16" s="2022"/>
      <c r="O16" s="3782">
        <v>5501</v>
      </c>
      <c r="P16" s="1992">
        <f t="shared" si="4"/>
        <v>0</v>
      </c>
      <c r="Q16" s="3117">
        <f t="shared" si="30"/>
        <v>23181</v>
      </c>
      <c r="R16" s="2022"/>
      <c r="S16" s="3782">
        <v>6298</v>
      </c>
      <c r="T16" s="3117">
        <f t="shared" si="6"/>
        <v>0</v>
      </c>
      <c r="U16" s="3117">
        <f t="shared" si="7"/>
        <v>29479</v>
      </c>
      <c r="V16" s="2022"/>
      <c r="W16" s="3782">
        <v>5358</v>
      </c>
      <c r="X16" s="4197"/>
      <c r="Y16" s="2864">
        <f t="shared" si="8"/>
        <v>17157</v>
      </c>
      <c r="Z16" s="5003">
        <f t="shared" si="9"/>
        <v>0</v>
      </c>
      <c r="AA16" s="5003">
        <f t="shared" si="10"/>
        <v>34837</v>
      </c>
      <c r="AB16" s="2022"/>
      <c r="AC16" s="3782">
        <v>3638</v>
      </c>
      <c r="AD16" s="3117">
        <f t="shared" si="11"/>
        <v>0</v>
      </c>
      <c r="AE16" s="3117">
        <f t="shared" si="12"/>
        <v>38475</v>
      </c>
      <c r="AF16" s="2022"/>
      <c r="AG16" s="3782">
        <v>5946</v>
      </c>
      <c r="AH16" s="3117">
        <f t="shared" si="13"/>
        <v>0</v>
      </c>
      <c r="AI16" s="3117">
        <f t="shared" si="14"/>
        <v>44421</v>
      </c>
      <c r="AJ16" s="2022"/>
      <c r="AK16" s="3782">
        <v>5859</v>
      </c>
      <c r="AL16" s="4488"/>
      <c r="AM16" s="2864">
        <f t="shared" si="15"/>
        <v>15443</v>
      </c>
      <c r="AN16" s="3117">
        <f t="shared" si="16"/>
        <v>0</v>
      </c>
      <c r="AO16" s="3117">
        <f t="shared" si="17"/>
        <v>50280</v>
      </c>
      <c r="AP16" s="2022"/>
      <c r="AQ16" s="3782">
        <v>5778</v>
      </c>
      <c r="AR16" s="3117">
        <f t="shared" si="18"/>
        <v>0</v>
      </c>
      <c r="AS16" s="3117">
        <f t="shared" si="19"/>
        <v>56058</v>
      </c>
      <c r="AT16" s="2022"/>
      <c r="AU16" s="3782">
        <v>4480</v>
      </c>
      <c r="AV16" s="3117">
        <f t="shared" si="20"/>
        <v>0</v>
      </c>
      <c r="AW16" s="3117">
        <f t="shared" si="21"/>
        <v>60538</v>
      </c>
      <c r="AX16" s="2022"/>
      <c r="AY16" s="3782">
        <v>5908</v>
      </c>
      <c r="AZ16" s="4488"/>
      <c r="BA16" s="2864">
        <f t="shared" si="22"/>
        <v>16166</v>
      </c>
      <c r="BB16" s="5003">
        <f t="shared" si="23"/>
        <v>0</v>
      </c>
      <c r="BC16" s="5003">
        <f t="shared" si="39"/>
        <v>31609</v>
      </c>
      <c r="BD16" s="3117">
        <f t="shared" si="25"/>
        <v>0</v>
      </c>
      <c r="BE16" s="3117">
        <f t="shared" si="26"/>
        <v>66446</v>
      </c>
      <c r="BF16" s="502">
        <f t="shared" si="27"/>
        <v>0</v>
      </c>
      <c r="BG16" s="502"/>
      <c r="BH16" s="4487"/>
      <c r="BI16" s="4487">
        <f t="shared" si="28"/>
        <v>0</v>
      </c>
      <c r="BJ16" s="4487"/>
      <c r="BK16" s="4487"/>
      <c r="BL16" s="4487"/>
      <c r="BM16" s="4487"/>
      <c r="BN16" s="4487"/>
      <c r="BO16" s="4487"/>
      <c r="BP16" s="4487"/>
      <c r="BQ16" s="4487"/>
    </row>
    <row r="17" spans="2:73" ht="18.75" x14ac:dyDescent="0.25">
      <c r="B17" s="8031"/>
      <c r="C17" s="2012" t="s">
        <v>98</v>
      </c>
      <c r="D17" s="1594"/>
      <c r="E17" s="1990">
        <v>73247</v>
      </c>
      <c r="F17" s="1990"/>
      <c r="G17" s="3782">
        <v>64874</v>
      </c>
      <c r="H17" s="1992">
        <f t="shared" si="1"/>
        <v>0</v>
      </c>
      <c r="I17" s="3113">
        <f t="shared" si="2"/>
        <v>138121</v>
      </c>
      <c r="J17" s="1990"/>
      <c r="K17" s="3782">
        <v>72124</v>
      </c>
      <c r="L17" s="1991">
        <f t="shared" si="3"/>
        <v>0</v>
      </c>
      <c r="M17" s="2221">
        <f t="shared" si="0"/>
        <v>210245</v>
      </c>
      <c r="N17" s="2022"/>
      <c r="O17" s="3782">
        <v>77578</v>
      </c>
      <c r="P17" s="1992">
        <f t="shared" si="4"/>
        <v>0</v>
      </c>
      <c r="Q17" s="3117">
        <f t="shared" si="30"/>
        <v>287823</v>
      </c>
      <c r="R17" s="2022"/>
      <c r="S17" s="3782">
        <v>74857</v>
      </c>
      <c r="T17" s="3117">
        <f t="shared" si="6"/>
        <v>0</v>
      </c>
      <c r="U17" s="3117">
        <f t="shared" si="7"/>
        <v>362680</v>
      </c>
      <c r="V17" s="2022"/>
      <c r="W17" s="3782">
        <v>77679</v>
      </c>
      <c r="X17" s="4197"/>
      <c r="Y17" s="2864">
        <f t="shared" si="8"/>
        <v>230114</v>
      </c>
      <c r="Z17" s="5003">
        <f t="shared" si="9"/>
        <v>0</v>
      </c>
      <c r="AA17" s="5003">
        <f t="shared" si="10"/>
        <v>440359</v>
      </c>
      <c r="AB17" s="2022"/>
      <c r="AC17" s="3782">
        <v>62985</v>
      </c>
      <c r="AD17" s="3117">
        <f t="shared" si="11"/>
        <v>0</v>
      </c>
      <c r="AE17" s="3117">
        <f t="shared" si="12"/>
        <v>503344</v>
      </c>
      <c r="AF17" s="2022"/>
      <c r="AG17" s="3782">
        <v>71795</v>
      </c>
      <c r="AH17" s="3117">
        <f t="shared" si="13"/>
        <v>0</v>
      </c>
      <c r="AI17" s="3117">
        <f t="shared" si="14"/>
        <v>575139</v>
      </c>
      <c r="AJ17" s="2022"/>
      <c r="AK17" s="3782">
        <v>70956</v>
      </c>
      <c r="AL17" s="4488"/>
      <c r="AM17" s="2864">
        <f t="shared" si="15"/>
        <v>205736</v>
      </c>
      <c r="AN17" s="3117">
        <f t="shared" si="16"/>
        <v>0</v>
      </c>
      <c r="AO17" s="3117">
        <f t="shared" si="17"/>
        <v>646095</v>
      </c>
      <c r="AP17" s="2022"/>
      <c r="AQ17" s="3782">
        <v>76157</v>
      </c>
      <c r="AR17" s="3117">
        <f t="shared" si="18"/>
        <v>0</v>
      </c>
      <c r="AS17" s="3117">
        <f t="shared" si="19"/>
        <v>722252</v>
      </c>
      <c r="AT17" s="2022"/>
      <c r="AU17" s="3782">
        <v>65445</v>
      </c>
      <c r="AV17" s="3117">
        <f t="shared" si="20"/>
        <v>0</v>
      </c>
      <c r="AW17" s="3117">
        <f t="shared" si="21"/>
        <v>787697</v>
      </c>
      <c r="AX17" s="2022"/>
      <c r="AY17" s="3782">
        <v>81524</v>
      </c>
      <c r="AZ17" s="4488"/>
      <c r="BA17" s="2864">
        <f t="shared" si="22"/>
        <v>223126</v>
      </c>
      <c r="BB17" s="5003">
        <f t="shared" si="23"/>
        <v>0</v>
      </c>
      <c r="BC17" s="5003">
        <f t="shared" si="39"/>
        <v>428862</v>
      </c>
      <c r="BD17" s="3117">
        <f t="shared" si="25"/>
        <v>0</v>
      </c>
      <c r="BE17" s="3117">
        <f t="shared" si="26"/>
        <v>869221</v>
      </c>
      <c r="BF17" s="502">
        <f t="shared" si="27"/>
        <v>0</v>
      </c>
      <c r="BG17" s="502"/>
      <c r="BH17" s="4487"/>
      <c r="BI17" s="4487">
        <f t="shared" si="28"/>
        <v>0</v>
      </c>
      <c r="BJ17" s="4487"/>
      <c r="BK17" s="4487"/>
      <c r="BL17" s="4487"/>
      <c r="BM17" s="4487"/>
      <c r="BN17" s="4487"/>
      <c r="BO17" s="4487"/>
      <c r="BP17" s="4487"/>
      <c r="BQ17" s="4487"/>
    </row>
    <row r="18" spans="2:73" ht="18.75" x14ac:dyDescent="0.25">
      <c r="B18" s="8031"/>
      <c r="C18" s="2012" t="s">
        <v>1256</v>
      </c>
      <c r="D18" s="1594"/>
      <c r="E18" s="1990">
        <v>798</v>
      </c>
      <c r="F18" s="1990"/>
      <c r="G18" s="3782">
        <v>1293</v>
      </c>
      <c r="H18" s="1992">
        <f t="shared" si="1"/>
        <v>0</v>
      </c>
      <c r="I18" s="3113">
        <f t="shared" si="2"/>
        <v>2091</v>
      </c>
      <c r="J18" s="1990"/>
      <c r="K18" s="3782">
        <v>901</v>
      </c>
      <c r="L18" s="1991">
        <f t="shared" si="3"/>
        <v>0</v>
      </c>
      <c r="M18" s="2221">
        <f t="shared" si="0"/>
        <v>2992</v>
      </c>
      <c r="N18" s="2022"/>
      <c r="O18" s="3782">
        <v>855</v>
      </c>
      <c r="P18" s="1992">
        <f t="shared" si="4"/>
        <v>0</v>
      </c>
      <c r="Q18" s="3117">
        <f t="shared" si="30"/>
        <v>3847</v>
      </c>
      <c r="R18" s="2022"/>
      <c r="S18" s="3782">
        <v>912</v>
      </c>
      <c r="T18" s="3117">
        <f t="shared" si="6"/>
        <v>0</v>
      </c>
      <c r="U18" s="3117">
        <f t="shared" si="7"/>
        <v>4759</v>
      </c>
      <c r="V18" s="2022"/>
      <c r="W18" s="3782">
        <v>798</v>
      </c>
      <c r="X18" s="4197"/>
      <c r="Y18" s="2864">
        <f t="shared" si="8"/>
        <v>2565</v>
      </c>
      <c r="Z18" s="5003">
        <f t="shared" si="9"/>
        <v>0</v>
      </c>
      <c r="AA18" s="5003">
        <f t="shared" si="10"/>
        <v>5557</v>
      </c>
      <c r="AB18" s="2022"/>
      <c r="AC18" s="3782">
        <v>998</v>
      </c>
      <c r="AD18" s="3117">
        <f t="shared" si="11"/>
        <v>0</v>
      </c>
      <c r="AE18" s="3117">
        <f t="shared" si="12"/>
        <v>6555</v>
      </c>
      <c r="AF18" s="2022"/>
      <c r="AG18" s="3782">
        <v>1047</v>
      </c>
      <c r="AH18" s="3117">
        <f t="shared" si="13"/>
        <v>0</v>
      </c>
      <c r="AI18" s="3117">
        <f t="shared" si="14"/>
        <v>7602</v>
      </c>
      <c r="AJ18" s="2022"/>
      <c r="AK18" s="3782">
        <v>1269</v>
      </c>
      <c r="AL18" s="4488"/>
      <c r="AM18" s="2864">
        <f t="shared" si="15"/>
        <v>3314</v>
      </c>
      <c r="AN18" s="3117">
        <f t="shared" si="16"/>
        <v>0</v>
      </c>
      <c r="AO18" s="3117">
        <f t="shared" si="17"/>
        <v>8871</v>
      </c>
      <c r="AP18" s="2022"/>
      <c r="AQ18" s="3782">
        <v>988</v>
      </c>
      <c r="AR18" s="3117">
        <f t="shared" si="18"/>
        <v>0</v>
      </c>
      <c r="AS18" s="3117">
        <f t="shared" si="19"/>
        <v>9859</v>
      </c>
      <c r="AT18" s="2022"/>
      <c r="AU18" s="3782">
        <v>655</v>
      </c>
      <c r="AV18" s="3117">
        <f t="shared" si="20"/>
        <v>0</v>
      </c>
      <c r="AW18" s="3117">
        <f t="shared" si="21"/>
        <v>10514</v>
      </c>
      <c r="AX18" s="2022"/>
      <c r="AY18" s="3782">
        <v>925</v>
      </c>
      <c r="AZ18" s="4488"/>
      <c r="BA18" s="2864">
        <f t="shared" si="22"/>
        <v>2568</v>
      </c>
      <c r="BB18" s="5003">
        <f t="shared" si="23"/>
        <v>0</v>
      </c>
      <c r="BC18" s="5003">
        <f t="shared" si="39"/>
        <v>5882</v>
      </c>
      <c r="BD18" s="3117">
        <f t="shared" si="25"/>
        <v>0</v>
      </c>
      <c r="BE18" s="3117">
        <f t="shared" si="26"/>
        <v>11439</v>
      </c>
      <c r="BF18" s="502">
        <f t="shared" si="27"/>
        <v>0</v>
      </c>
      <c r="BG18" s="502"/>
      <c r="BH18" s="4487"/>
      <c r="BI18" s="4487">
        <f t="shared" si="28"/>
        <v>0</v>
      </c>
      <c r="BJ18" s="4487"/>
      <c r="BK18" s="4487"/>
      <c r="BL18" s="4487"/>
      <c r="BM18" s="4487"/>
      <c r="BN18" s="4487"/>
      <c r="BO18" s="4487"/>
      <c r="BP18" s="4487"/>
      <c r="BQ18" s="4487"/>
    </row>
    <row r="19" spans="2:73" s="139" customFormat="1" ht="18.75" x14ac:dyDescent="0.25">
      <c r="B19" s="8031"/>
      <c r="C19" s="2012" t="s">
        <v>177</v>
      </c>
      <c r="D19" s="1594"/>
      <c r="E19" s="1990">
        <v>0</v>
      </c>
      <c r="F19" s="1990"/>
      <c r="G19" s="3782">
        <v>513</v>
      </c>
      <c r="H19" s="1992">
        <f t="shared" si="1"/>
        <v>0</v>
      </c>
      <c r="I19" s="3779">
        <f t="shared" si="2"/>
        <v>513</v>
      </c>
      <c r="J19" s="1990"/>
      <c r="K19" s="3782">
        <v>390</v>
      </c>
      <c r="L19" s="1991">
        <f t="shared" si="3"/>
        <v>0</v>
      </c>
      <c r="M19" s="2221">
        <f t="shared" si="0"/>
        <v>903</v>
      </c>
      <c r="N19" s="2022"/>
      <c r="O19" s="3782">
        <v>910</v>
      </c>
      <c r="P19" s="1992">
        <f t="shared" si="4"/>
        <v>0</v>
      </c>
      <c r="Q19" s="3117">
        <f t="shared" si="30"/>
        <v>1813</v>
      </c>
      <c r="R19" s="2022"/>
      <c r="S19" s="3782">
        <v>712</v>
      </c>
      <c r="T19" s="3117">
        <f t="shared" si="6"/>
        <v>0</v>
      </c>
      <c r="U19" s="3117">
        <f t="shared" si="7"/>
        <v>2525</v>
      </c>
      <c r="V19" s="2022"/>
      <c r="W19" s="3782">
        <v>0</v>
      </c>
      <c r="X19" s="4197"/>
      <c r="Y19" s="2864">
        <f t="shared" si="8"/>
        <v>1622</v>
      </c>
      <c r="Z19" s="5003">
        <f t="shared" si="9"/>
        <v>0</v>
      </c>
      <c r="AA19" s="5003">
        <f t="shared" si="10"/>
        <v>2525</v>
      </c>
      <c r="AB19" s="2022"/>
      <c r="AC19" s="3782">
        <v>510</v>
      </c>
      <c r="AD19" s="3117">
        <f t="shared" si="11"/>
        <v>0</v>
      </c>
      <c r="AE19" s="3117">
        <f t="shared" si="12"/>
        <v>3035</v>
      </c>
      <c r="AF19" s="2022"/>
      <c r="AG19" s="3782">
        <v>250</v>
      </c>
      <c r="AH19" s="3117">
        <f t="shared" si="13"/>
        <v>0</v>
      </c>
      <c r="AI19" s="3117">
        <f t="shared" si="14"/>
        <v>3285</v>
      </c>
      <c r="AJ19" s="2022"/>
      <c r="AK19" s="3782">
        <v>0</v>
      </c>
      <c r="AL19" s="4488"/>
      <c r="AM19" s="2864">
        <f t="shared" si="15"/>
        <v>760</v>
      </c>
      <c r="AN19" s="3117">
        <f t="shared" si="16"/>
        <v>0</v>
      </c>
      <c r="AO19" s="3117">
        <f t="shared" si="17"/>
        <v>3285</v>
      </c>
      <c r="AP19" s="2022"/>
      <c r="AQ19" s="3782">
        <v>0</v>
      </c>
      <c r="AR19" s="3117">
        <f t="shared" si="18"/>
        <v>0</v>
      </c>
      <c r="AS19" s="3117">
        <f t="shared" si="19"/>
        <v>3285</v>
      </c>
      <c r="AT19" s="2022"/>
      <c r="AU19" s="3782">
        <v>0</v>
      </c>
      <c r="AV19" s="3117">
        <f t="shared" si="20"/>
        <v>0</v>
      </c>
      <c r="AW19" s="3117">
        <f t="shared" si="21"/>
        <v>3285</v>
      </c>
      <c r="AX19" s="2022"/>
      <c r="AY19" s="3782">
        <v>0</v>
      </c>
      <c r="AZ19" s="4488"/>
      <c r="BA19" s="2864">
        <f t="shared" si="22"/>
        <v>0</v>
      </c>
      <c r="BB19" s="5003">
        <f t="shared" si="23"/>
        <v>0</v>
      </c>
      <c r="BC19" s="5003">
        <f t="shared" si="39"/>
        <v>760</v>
      </c>
      <c r="BD19" s="3117">
        <f t="shared" si="25"/>
        <v>0</v>
      </c>
      <c r="BE19" s="3117">
        <f t="shared" si="26"/>
        <v>3285</v>
      </c>
      <c r="BF19" s="502">
        <f t="shared" si="27"/>
        <v>0</v>
      </c>
      <c r="BG19" s="502"/>
      <c r="BH19" s="4487"/>
      <c r="BI19" s="4487">
        <f t="shared" si="28"/>
        <v>0</v>
      </c>
      <c r="BJ19" s="4487"/>
      <c r="BK19" s="4487"/>
    </row>
    <row r="20" spans="2:73" s="139" customFormat="1" ht="18.75" x14ac:dyDescent="0.25">
      <c r="B20" s="8031"/>
      <c r="C20" s="5640" t="s">
        <v>1601</v>
      </c>
      <c r="D20" s="5641"/>
      <c r="E20" s="5642">
        <v>452</v>
      </c>
      <c r="F20" s="5642"/>
      <c r="G20" s="5642">
        <v>315</v>
      </c>
      <c r="H20" s="5643">
        <v>0</v>
      </c>
      <c r="I20" s="3779">
        <f t="shared" si="2"/>
        <v>767</v>
      </c>
      <c r="J20" s="5642"/>
      <c r="K20" s="5642">
        <v>140</v>
      </c>
      <c r="L20" s="5644"/>
      <c r="M20" s="2864">
        <f t="shared" si="0"/>
        <v>907</v>
      </c>
      <c r="N20" s="5645"/>
      <c r="O20" s="5642">
        <v>306</v>
      </c>
      <c r="P20" s="5643"/>
      <c r="Q20" s="3117">
        <f t="shared" si="30"/>
        <v>1213</v>
      </c>
      <c r="R20" s="5645"/>
      <c r="S20" s="5642">
        <v>80</v>
      </c>
      <c r="T20" s="5643"/>
      <c r="U20" s="3117">
        <f t="shared" si="7"/>
        <v>1293</v>
      </c>
      <c r="V20" s="5645"/>
      <c r="W20" s="5642">
        <v>0</v>
      </c>
      <c r="X20" s="5642"/>
      <c r="Y20" s="2864">
        <f t="shared" ref="Y20" si="40">O20+S20+W20</f>
        <v>386</v>
      </c>
      <c r="Z20" s="5003">
        <f t="shared" ref="Z20" si="41">+T20+V20</f>
        <v>0</v>
      </c>
      <c r="AA20" s="5003">
        <f t="shared" ref="AA20" si="42">+U20+W20</f>
        <v>1293</v>
      </c>
      <c r="AB20" s="5645"/>
      <c r="AC20" s="5642">
        <v>0</v>
      </c>
      <c r="AD20" s="5643"/>
      <c r="AE20" s="3117">
        <f t="shared" si="12"/>
        <v>1293</v>
      </c>
      <c r="AF20" s="5645"/>
      <c r="AG20" s="5642">
        <v>307</v>
      </c>
      <c r="AH20" s="5643"/>
      <c r="AI20" s="3117">
        <f t="shared" si="14"/>
        <v>1600</v>
      </c>
      <c r="AJ20" s="5645"/>
      <c r="AK20" s="5642">
        <v>278</v>
      </c>
      <c r="AL20" s="5642"/>
      <c r="AM20" s="2864">
        <f t="shared" ref="AM20" si="43">AC20+AG20+AK20</f>
        <v>585</v>
      </c>
      <c r="AN20" s="3117">
        <f t="shared" ref="AN20" si="44">+AH20+AJ20</f>
        <v>0</v>
      </c>
      <c r="AO20" s="3117">
        <f t="shared" ref="AO20" si="45">+AI20+AK20</f>
        <v>1878</v>
      </c>
      <c r="AP20" s="5645"/>
      <c r="AQ20" s="5642">
        <v>440</v>
      </c>
      <c r="AR20" s="5643"/>
      <c r="AS20" s="3117">
        <f t="shared" si="19"/>
        <v>2318</v>
      </c>
      <c r="AT20" s="5645"/>
      <c r="AU20" s="5642">
        <v>228</v>
      </c>
      <c r="AV20" s="5643"/>
      <c r="AW20" s="3117">
        <f t="shared" si="21"/>
        <v>2546</v>
      </c>
      <c r="AX20" s="5645"/>
      <c r="AY20" s="5642">
        <v>1254</v>
      </c>
      <c r="AZ20" s="5642"/>
      <c r="BA20" s="2864">
        <f t="shared" ref="BA20" si="46">AQ20+AU20+AY20</f>
        <v>1922</v>
      </c>
      <c r="BB20" s="5003">
        <f t="shared" ref="BB20" si="47">+AV20+AX20</f>
        <v>0</v>
      </c>
      <c r="BC20" s="5003">
        <f t="shared" ref="BC20" si="48">AM20+BA20</f>
        <v>2507</v>
      </c>
      <c r="BD20" s="3117">
        <f t="shared" ref="BD20" si="49">+AV20+AX20</f>
        <v>0</v>
      </c>
      <c r="BE20" s="3117">
        <f t="shared" ref="BE20" si="50">+AW20+AY20</f>
        <v>3800</v>
      </c>
      <c r="BF20" s="502">
        <f t="shared" si="27"/>
        <v>0</v>
      </c>
      <c r="BG20" s="502"/>
      <c r="BH20" s="4487"/>
      <c r="BI20" s="4487">
        <f t="shared" si="28"/>
        <v>0</v>
      </c>
      <c r="BJ20" s="4487"/>
      <c r="BK20" s="4487"/>
    </row>
    <row r="21" spans="2:73" s="139" customFormat="1" ht="18.75" x14ac:dyDescent="0.25">
      <c r="B21" s="8031"/>
      <c r="C21" s="2012" t="s">
        <v>1966</v>
      </c>
      <c r="D21" s="2665"/>
      <c r="E21" s="2666">
        <v>0</v>
      </c>
      <c r="F21" s="2666"/>
      <c r="G21" s="3114">
        <v>1700</v>
      </c>
      <c r="H21" s="3117">
        <f t="shared" si="1"/>
        <v>0</v>
      </c>
      <c r="I21" s="3779">
        <f t="shared" si="2"/>
        <v>1700</v>
      </c>
      <c r="J21" s="2666"/>
      <c r="K21" s="3114">
        <v>0</v>
      </c>
      <c r="L21" s="2668"/>
      <c r="M21" s="2864">
        <f t="shared" si="0"/>
        <v>1700</v>
      </c>
      <c r="N21" s="2669"/>
      <c r="O21" s="3114">
        <v>0</v>
      </c>
      <c r="P21" s="2667"/>
      <c r="Q21" s="3117">
        <f t="shared" si="30"/>
        <v>1700</v>
      </c>
      <c r="R21" s="2669"/>
      <c r="S21" s="3114">
        <v>0</v>
      </c>
      <c r="T21" s="2667"/>
      <c r="U21" s="3117">
        <f t="shared" si="7"/>
        <v>1700</v>
      </c>
      <c r="V21" s="2669"/>
      <c r="W21" s="3114">
        <v>0</v>
      </c>
      <c r="X21" s="4197"/>
      <c r="Y21" s="2864">
        <f t="shared" si="8"/>
        <v>0</v>
      </c>
      <c r="Z21" s="5005"/>
      <c r="AA21" s="5003">
        <f t="shared" si="10"/>
        <v>1700</v>
      </c>
      <c r="AB21" s="2669"/>
      <c r="AC21" s="3114">
        <v>0</v>
      </c>
      <c r="AD21" s="2667"/>
      <c r="AE21" s="3117">
        <f t="shared" si="12"/>
        <v>1700</v>
      </c>
      <c r="AF21" s="2669"/>
      <c r="AG21" s="3114">
        <v>0</v>
      </c>
      <c r="AH21" s="2667"/>
      <c r="AI21" s="3117">
        <f t="shared" si="14"/>
        <v>1700</v>
      </c>
      <c r="AJ21" s="2669"/>
      <c r="AK21" s="3114">
        <v>0</v>
      </c>
      <c r="AL21" s="4488"/>
      <c r="AM21" s="2864">
        <f t="shared" si="15"/>
        <v>0</v>
      </c>
      <c r="AN21" s="2667"/>
      <c r="AO21" s="3117">
        <f t="shared" si="17"/>
        <v>1700</v>
      </c>
      <c r="AP21" s="2669"/>
      <c r="AQ21" s="3114">
        <v>0</v>
      </c>
      <c r="AR21" s="3117">
        <f t="shared" si="18"/>
        <v>0</v>
      </c>
      <c r="AS21" s="3117">
        <f t="shared" si="19"/>
        <v>1700</v>
      </c>
      <c r="AT21" s="2669"/>
      <c r="AU21" s="3114">
        <v>0</v>
      </c>
      <c r="AV21" s="3117">
        <f t="shared" si="20"/>
        <v>0</v>
      </c>
      <c r="AW21" s="3117">
        <f t="shared" si="21"/>
        <v>1700</v>
      </c>
      <c r="AX21" s="2669"/>
      <c r="AY21" s="3114">
        <v>2160</v>
      </c>
      <c r="AZ21" s="4488"/>
      <c r="BA21" s="2864">
        <f t="shared" si="22"/>
        <v>2160</v>
      </c>
      <c r="BB21" s="5005"/>
      <c r="BC21" s="5003">
        <f t="shared" si="39"/>
        <v>2160</v>
      </c>
      <c r="BD21" s="3117">
        <f t="shared" si="25"/>
        <v>0</v>
      </c>
      <c r="BE21" s="3117">
        <f t="shared" si="26"/>
        <v>3860</v>
      </c>
      <c r="BF21" s="502">
        <f t="shared" si="27"/>
        <v>0</v>
      </c>
      <c r="BG21" s="502"/>
      <c r="BH21" s="4487"/>
      <c r="BI21" s="4487">
        <f t="shared" si="28"/>
        <v>0</v>
      </c>
      <c r="BJ21" s="4487"/>
      <c r="BK21" s="4487"/>
    </row>
    <row r="22" spans="2:73" s="139" customFormat="1" ht="18.75" x14ac:dyDescent="0.25">
      <c r="B22" s="8027" t="s">
        <v>944</v>
      </c>
      <c r="C22" s="2014" t="s">
        <v>1498</v>
      </c>
      <c r="D22" s="2009"/>
      <c r="E22" s="2655">
        <f>SUM(E8:E21)</f>
        <v>413972</v>
      </c>
      <c r="F22" s="249">
        <f>SUM(F8:F19)</f>
        <v>0</v>
      </c>
      <c r="G22" s="5592">
        <f>SUM(G8:G21)</f>
        <v>426012</v>
      </c>
      <c r="H22" s="1992">
        <f t="shared" si="1"/>
        <v>0</v>
      </c>
      <c r="I22" s="3113">
        <f t="shared" si="2"/>
        <v>839984</v>
      </c>
      <c r="J22" s="249">
        <f>SUM(J8:J19)</f>
        <v>0</v>
      </c>
      <c r="K22" s="5687">
        <f>SUM(K8:K21)</f>
        <v>436758</v>
      </c>
      <c r="L22" s="1991">
        <f t="shared" si="3"/>
        <v>0</v>
      </c>
      <c r="M22" s="2221">
        <f t="shared" si="0"/>
        <v>1276742</v>
      </c>
      <c r="N22" s="249">
        <f>SUM(N8:N19)</f>
        <v>0</v>
      </c>
      <c r="O22" s="5843">
        <f>SUM(O8:O21)</f>
        <v>458887</v>
      </c>
      <c r="P22" s="1992">
        <f t="shared" si="4"/>
        <v>0</v>
      </c>
      <c r="Q22" s="3117">
        <f t="shared" si="30"/>
        <v>1735629</v>
      </c>
      <c r="R22" s="4342">
        <f>SUM(R8:R19)</f>
        <v>0</v>
      </c>
      <c r="S22" s="5912">
        <f>SUM(S8:S21)</f>
        <v>449222</v>
      </c>
      <c r="T22" s="3117">
        <f t="shared" ref="T22:T24" si="51">+P22+R22</f>
        <v>0</v>
      </c>
      <c r="U22" s="3117">
        <f t="shared" si="7"/>
        <v>2184851</v>
      </c>
      <c r="V22" s="4401">
        <f>SUM(V8:V19)</f>
        <v>0</v>
      </c>
      <c r="W22" s="6012">
        <f>SUM(W8:W21)</f>
        <v>444298</v>
      </c>
      <c r="X22" s="3586"/>
      <c r="Y22" s="2864">
        <f t="shared" si="8"/>
        <v>1352407</v>
      </c>
      <c r="Z22" s="5003">
        <f t="shared" ref="Z22:Z24" si="52">+T22+V22</f>
        <v>0</v>
      </c>
      <c r="AA22" s="5003">
        <f t="shared" si="10"/>
        <v>2629149</v>
      </c>
      <c r="AB22" s="4568">
        <f>SUM(AB8:AB19)</f>
        <v>0</v>
      </c>
      <c r="AC22" s="6143">
        <f>SUM(AC8:AC21)</f>
        <v>380382</v>
      </c>
      <c r="AD22" s="3117">
        <f t="shared" ref="AD22:AD24" si="53">+Z22+AB22</f>
        <v>0</v>
      </c>
      <c r="AE22" s="3117">
        <f t="shared" si="12"/>
        <v>3009531</v>
      </c>
      <c r="AF22" s="4628">
        <f>SUM(AF8:AF19)</f>
        <v>0</v>
      </c>
      <c r="AG22" s="6305">
        <f>SUM(AG8:AG21)</f>
        <v>437743</v>
      </c>
      <c r="AH22" s="3117">
        <f t="shared" ref="AH22:AH24" si="54">+AD22+AF22</f>
        <v>0</v>
      </c>
      <c r="AI22" s="3117">
        <f t="shared" si="14"/>
        <v>3447274</v>
      </c>
      <c r="AJ22" s="4920">
        <f>SUM(AJ8:AJ19)</f>
        <v>0</v>
      </c>
      <c r="AK22" s="6567">
        <f>SUM(AK8:AK21)</f>
        <v>435866</v>
      </c>
      <c r="AL22" s="3586"/>
      <c r="AM22" s="2864">
        <f t="shared" si="15"/>
        <v>1253991</v>
      </c>
      <c r="AN22" s="3117">
        <f t="shared" ref="AN22:AN24" si="55">+AH22+AJ22</f>
        <v>0</v>
      </c>
      <c r="AO22" s="3117">
        <f t="shared" si="17"/>
        <v>3883140</v>
      </c>
      <c r="AP22" s="6650">
        <f>SUM(AP8:AP19)</f>
        <v>0</v>
      </c>
      <c r="AQ22" s="6650">
        <f>SUM(AQ8:AQ21)</f>
        <v>441400</v>
      </c>
      <c r="AR22" s="3117">
        <f t="shared" ref="AR22:AR24" si="56">+AN22+AP22</f>
        <v>0</v>
      </c>
      <c r="AS22" s="3117">
        <f t="shared" si="19"/>
        <v>4324540</v>
      </c>
      <c r="AT22" s="5019">
        <f>SUM(AT8:AT19)</f>
        <v>0</v>
      </c>
      <c r="AU22" s="6828">
        <f>SUM(AU8:AU21)</f>
        <v>389711</v>
      </c>
      <c r="AV22" s="3117">
        <f t="shared" si="20"/>
        <v>0</v>
      </c>
      <c r="AW22" s="3117">
        <f t="shared" si="21"/>
        <v>4714251</v>
      </c>
      <c r="AX22" s="5108">
        <f>SUM(AX8:AX19)</f>
        <v>0</v>
      </c>
      <c r="AY22" s="6983">
        <f>SUM(AY8:AY21)</f>
        <v>467754</v>
      </c>
      <c r="AZ22" s="3586"/>
      <c r="BA22" s="2864">
        <f t="shared" si="22"/>
        <v>1298865</v>
      </c>
      <c r="BB22" s="5003">
        <f t="shared" ref="BB22:BB24" si="57">+AV22+AX22</f>
        <v>0</v>
      </c>
      <c r="BC22" s="5003">
        <f t="shared" si="39"/>
        <v>2552856</v>
      </c>
      <c r="BD22" s="3117">
        <f t="shared" si="25"/>
        <v>0</v>
      </c>
      <c r="BE22" s="3117">
        <f t="shared" si="26"/>
        <v>5182005</v>
      </c>
      <c r="BF22" s="502">
        <f t="shared" si="27"/>
        <v>0</v>
      </c>
      <c r="BG22" s="502"/>
      <c r="BH22" s="4487"/>
      <c r="BI22" s="4487">
        <f t="shared" si="28"/>
        <v>0</v>
      </c>
      <c r="BJ22" s="4487"/>
      <c r="BK22" s="4487"/>
    </row>
    <row r="23" spans="2:73" ht="18.75" x14ac:dyDescent="0.25">
      <c r="B23" s="8028"/>
      <c r="C23" s="2014" t="s">
        <v>1499</v>
      </c>
      <c r="D23" s="2009"/>
      <c r="E23" s="249">
        <f>+E46+E47+E48</f>
        <v>23229</v>
      </c>
      <c r="F23" s="2009"/>
      <c r="G23" s="5592">
        <f>+G46+G47+G48</f>
        <v>12422</v>
      </c>
      <c r="H23" s="1992">
        <f t="shared" si="1"/>
        <v>0</v>
      </c>
      <c r="I23" s="3113">
        <f t="shared" si="2"/>
        <v>35651</v>
      </c>
      <c r="J23" s="2009"/>
      <c r="K23" s="5687">
        <f>+K46+K47+K48</f>
        <v>17423</v>
      </c>
      <c r="L23" s="1991">
        <f t="shared" si="3"/>
        <v>0</v>
      </c>
      <c r="M23" s="2221">
        <f t="shared" si="0"/>
        <v>53074</v>
      </c>
      <c r="N23" s="173"/>
      <c r="O23" s="5843">
        <f>+O46+O47+O48</f>
        <v>26940</v>
      </c>
      <c r="P23" s="1992">
        <f t="shared" si="4"/>
        <v>0</v>
      </c>
      <c r="Q23" s="3117">
        <f t="shared" si="30"/>
        <v>80014</v>
      </c>
      <c r="R23" s="173"/>
      <c r="S23" s="5912">
        <f>+S46+S47+S48</f>
        <v>20134</v>
      </c>
      <c r="T23" s="3117">
        <f t="shared" si="51"/>
        <v>0</v>
      </c>
      <c r="U23" s="3117">
        <f t="shared" si="7"/>
        <v>100148</v>
      </c>
      <c r="V23" s="173"/>
      <c r="W23" s="6012">
        <f>+W46+W47+W48</f>
        <v>25770</v>
      </c>
      <c r="X23" s="3586"/>
      <c r="Y23" s="2864">
        <f t="shared" si="8"/>
        <v>72844</v>
      </c>
      <c r="Z23" s="5003">
        <f t="shared" si="52"/>
        <v>0</v>
      </c>
      <c r="AA23" s="5003">
        <f t="shared" si="10"/>
        <v>125918</v>
      </c>
      <c r="AB23" s="173"/>
      <c r="AC23" s="6143">
        <f>+AC46+AC47+AC48</f>
        <v>29022</v>
      </c>
      <c r="AD23" s="3117">
        <f t="shared" si="53"/>
        <v>0</v>
      </c>
      <c r="AE23" s="3117">
        <f t="shared" si="12"/>
        <v>154940</v>
      </c>
      <c r="AF23" s="173"/>
      <c r="AG23" s="6305">
        <f>+AG46+AG47+AG48</f>
        <v>25512</v>
      </c>
      <c r="AH23" s="3117">
        <f t="shared" si="54"/>
        <v>0</v>
      </c>
      <c r="AI23" s="3117">
        <f t="shared" si="14"/>
        <v>180452</v>
      </c>
      <c r="AJ23" s="173"/>
      <c r="AK23" s="6685">
        <f>+AK46+AK47+AK48</f>
        <v>22853</v>
      </c>
      <c r="AL23" s="3586"/>
      <c r="AM23" s="2864">
        <f t="shared" si="15"/>
        <v>77387</v>
      </c>
      <c r="AN23" s="3117">
        <f t="shared" si="55"/>
        <v>0</v>
      </c>
      <c r="AO23" s="3117">
        <f t="shared" si="17"/>
        <v>203305</v>
      </c>
      <c r="AP23" s="173"/>
      <c r="AQ23" s="6650">
        <f>+AQ46+AQ47+AQ48</f>
        <v>24050</v>
      </c>
      <c r="AR23" s="3117">
        <f t="shared" si="56"/>
        <v>0</v>
      </c>
      <c r="AS23" s="3117">
        <f t="shared" si="19"/>
        <v>227355</v>
      </c>
      <c r="AT23" s="173"/>
      <c r="AU23" s="6828">
        <f>+AU46+AU47+AU48</f>
        <v>17230</v>
      </c>
      <c r="AV23" s="3117">
        <f t="shared" si="20"/>
        <v>0</v>
      </c>
      <c r="AW23" s="3117">
        <f t="shared" si="21"/>
        <v>244585</v>
      </c>
      <c r="AX23" s="173"/>
      <c r="AY23" s="6983">
        <f>+AY46+AY47+AY48</f>
        <v>12584</v>
      </c>
      <c r="AZ23" s="3586"/>
      <c r="BA23" s="2864">
        <f t="shared" si="22"/>
        <v>53864</v>
      </c>
      <c r="BB23" s="5003">
        <f t="shared" si="57"/>
        <v>0</v>
      </c>
      <c r="BC23" s="5003">
        <f t="shared" si="39"/>
        <v>131251</v>
      </c>
      <c r="BD23" s="3117">
        <f t="shared" si="25"/>
        <v>0</v>
      </c>
      <c r="BE23" s="3117">
        <f t="shared" si="26"/>
        <v>257169</v>
      </c>
      <c r="BF23" s="502">
        <f t="shared" si="27"/>
        <v>0</v>
      </c>
      <c r="BG23" s="502"/>
      <c r="BH23" s="4487"/>
      <c r="BI23" s="4487">
        <f t="shared" si="28"/>
        <v>0</v>
      </c>
      <c r="BJ23" s="4487"/>
      <c r="BK23" s="4487"/>
      <c r="BL23" s="4487"/>
      <c r="BM23" s="4487"/>
      <c r="BN23" s="4487"/>
      <c r="BO23" s="4487"/>
      <c r="BP23" s="4487"/>
      <c r="BQ23" s="4487"/>
    </row>
    <row r="24" spans="2:73" ht="18.75" x14ac:dyDescent="0.25">
      <c r="B24" s="8029"/>
      <c r="C24" s="5239" t="s">
        <v>1500</v>
      </c>
      <c r="D24" s="2009"/>
      <c r="E24" s="249">
        <f>SUM(E22:E23)</f>
        <v>437201</v>
      </c>
      <c r="F24" s="2009"/>
      <c r="G24" s="5592">
        <f>SUM(G22:G23)</f>
        <v>438434</v>
      </c>
      <c r="H24" s="1992">
        <f t="shared" si="1"/>
        <v>0</v>
      </c>
      <c r="I24" s="3113">
        <f t="shared" si="2"/>
        <v>875635</v>
      </c>
      <c r="J24" s="249">
        <f t="shared" ref="J24:N24" si="58">SUM(J22:J23)</f>
        <v>0</v>
      </c>
      <c r="K24" s="5687">
        <f>SUM(K22:K23)</f>
        <v>454181</v>
      </c>
      <c r="L24" s="1991">
        <f t="shared" si="3"/>
        <v>0</v>
      </c>
      <c r="M24" s="2221">
        <f t="shared" si="0"/>
        <v>1329816</v>
      </c>
      <c r="N24" s="249">
        <f t="shared" si="58"/>
        <v>0</v>
      </c>
      <c r="O24" s="5843">
        <f>SUM(O22:O23)</f>
        <v>485827</v>
      </c>
      <c r="P24" s="1992">
        <f t="shared" si="4"/>
        <v>0</v>
      </c>
      <c r="Q24" s="3117">
        <f t="shared" si="30"/>
        <v>1815643</v>
      </c>
      <c r="R24" s="4342">
        <f t="shared" ref="R24" si="59">SUM(R22:R23)</f>
        <v>0</v>
      </c>
      <c r="S24" s="5912">
        <f>SUM(S22:S23)</f>
        <v>469356</v>
      </c>
      <c r="T24" s="3117">
        <f t="shared" si="51"/>
        <v>0</v>
      </c>
      <c r="U24" s="3117">
        <f t="shared" si="7"/>
        <v>2284999</v>
      </c>
      <c r="V24" s="4401">
        <f t="shared" ref="V24" si="60">SUM(V22:V23)</f>
        <v>0</v>
      </c>
      <c r="W24" s="6012">
        <f>SUM(W22:W23)</f>
        <v>470068</v>
      </c>
      <c r="X24" s="3586"/>
      <c r="Y24" s="2864">
        <f t="shared" si="8"/>
        <v>1425251</v>
      </c>
      <c r="Z24" s="5003">
        <f t="shared" si="52"/>
        <v>0</v>
      </c>
      <c r="AA24" s="5003">
        <f t="shared" si="10"/>
        <v>2755067</v>
      </c>
      <c r="AB24" s="4568">
        <f t="shared" ref="AB24" si="61">SUM(AB22:AB23)</f>
        <v>0</v>
      </c>
      <c r="AC24" s="6143">
        <f>SUM(AC22:AC23)</f>
        <v>409404</v>
      </c>
      <c r="AD24" s="3117">
        <f t="shared" si="53"/>
        <v>0</v>
      </c>
      <c r="AE24" s="3117">
        <f t="shared" si="12"/>
        <v>3164471</v>
      </c>
      <c r="AF24" s="4628">
        <f t="shared" ref="AF24" si="62">SUM(AF22:AF23)</f>
        <v>0</v>
      </c>
      <c r="AG24" s="6305">
        <f>SUM(AG22:AG23)</f>
        <v>463255</v>
      </c>
      <c r="AH24" s="3117">
        <f t="shared" si="54"/>
        <v>0</v>
      </c>
      <c r="AI24" s="3117">
        <f t="shared" si="14"/>
        <v>3627726</v>
      </c>
      <c r="AJ24" s="4920">
        <f t="shared" ref="AJ24" si="63">SUM(AJ22:AJ23)</f>
        <v>0</v>
      </c>
      <c r="AK24" s="6567">
        <f>SUM(AK22:AK23)</f>
        <v>458719</v>
      </c>
      <c r="AL24" s="3586"/>
      <c r="AM24" s="2864">
        <f t="shared" si="15"/>
        <v>1331378</v>
      </c>
      <c r="AN24" s="3117">
        <f t="shared" si="55"/>
        <v>0</v>
      </c>
      <c r="AO24" s="3117">
        <f t="shared" si="17"/>
        <v>4086445</v>
      </c>
      <c r="AP24" s="6650">
        <f t="shared" ref="AP24" si="64">SUM(AP22:AP23)</f>
        <v>0</v>
      </c>
      <c r="AQ24" s="6650">
        <f>SUM(AQ22:AQ23)</f>
        <v>465450</v>
      </c>
      <c r="AR24" s="3117">
        <f t="shared" si="56"/>
        <v>0</v>
      </c>
      <c r="AS24" s="3117">
        <f t="shared" si="19"/>
        <v>4551895</v>
      </c>
      <c r="AT24" s="5019">
        <f t="shared" ref="AT24" si="65">SUM(AT22:AT23)</f>
        <v>0</v>
      </c>
      <c r="AU24" s="6828">
        <f>SUM(AU22:AU23)</f>
        <v>406941</v>
      </c>
      <c r="AV24" s="3117">
        <f t="shared" si="20"/>
        <v>0</v>
      </c>
      <c r="AW24" s="3117">
        <f t="shared" si="21"/>
        <v>4958836</v>
      </c>
      <c r="AX24" s="5108">
        <f t="shared" ref="AX24" si="66">SUM(AX22:AX23)</f>
        <v>0</v>
      </c>
      <c r="AY24" s="6983">
        <f>SUM(AY22:AY23)</f>
        <v>480338</v>
      </c>
      <c r="AZ24" s="3586"/>
      <c r="BA24" s="2864">
        <f t="shared" si="22"/>
        <v>1352729</v>
      </c>
      <c r="BB24" s="5003">
        <f t="shared" si="57"/>
        <v>0</v>
      </c>
      <c r="BC24" s="5003">
        <f t="shared" si="39"/>
        <v>2684107</v>
      </c>
      <c r="BD24" s="3117">
        <f t="shared" si="25"/>
        <v>0</v>
      </c>
      <c r="BE24" s="3117">
        <f t="shared" si="26"/>
        <v>5439174</v>
      </c>
      <c r="BF24" s="502">
        <f t="shared" si="27"/>
        <v>0</v>
      </c>
      <c r="BG24" s="502"/>
      <c r="BH24" s="4487"/>
      <c r="BI24" s="4487">
        <f t="shared" si="28"/>
        <v>0</v>
      </c>
      <c r="BJ24" s="4487"/>
      <c r="BK24" s="4487"/>
      <c r="BL24" s="4487"/>
      <c r="BM24" s="4487"/>
      <c r="BN24" s="4487"/>
      <c r="BO24" s="4487"/>
      <c r="BP24" s="4487"/>
      <c r="BQ24" s="4487"/>
    </row>
    <row r="25" spans="2:73" ht="18.75" x14ac:dyDescent="0.3">
      <c r="B25" s="2029"/>
      <c r="C25" s="2015"/>
      <c r="D25" s="893"/>
      <c r="E25" s="2194"/>
      <c r="F25" s="2194"/>
      <c r="G25" s="2194"/>
      <c r="H25" s="2194"/>
      <c r="I25" s="2194"/>
      <c r="J25" s="2194"/>
      <c r="K25" s="2194"/>
      <c r="L25" s="2194"/>
      <c r="M25" s="2194"/>
      <c r="N25" s="2194"/>
      <c r="O25" s="2194"/>
      <c r="P25" s="2194"/>
      <c r="Q25" s="2194"/>
      <c r="R25" s="2194"/>
      <c r="S25" s="2194"/>
      <c r="T25" s="2194"/>
      <c r="U25" s="2194"/>
      <c r="V25" s="2194"/>
      <c r="W25" s="2194"/>
      <c r="X25" s="4404"/>
      <c r="Y25" s="379"/>
      <c r="Z25" s="2194"/>
      <c r="AA25" s="2194"/>
      <c r="AB25" s="2194"/>
      <c r="AC25" s="2194"/>
      <c r="AD25" s="2194"/>
      <c r="AE25" s="2194"/>
      <c r="AF25" s="2194"/>
      <c r="AG25" s="2194"/>
      <c r="AH25" s="2194"/>
      <c r="AI25" s="2194"/>
      <c r="AJ25" s="2194"/>
      <c r="AK25" s="2194"/>
      <c r="AL25" s="4404"/>
      <c r="AM25" s="379"/>
      <c r="AN25" s="2194"/>
      <c r="AO25" s="2194"/>
      <c r="AP25" s="2194"/>
      <c r="AQ25" s="2194"/>
      <c r="AR25" s="2194"/>
      <c r="AS25" s="2194"/>
      <c r="AT25" s="2194"/>
      <c r="AU25" s="2194"/>
      <c r="AV25" s="2194"/>
      <c r="AW25" s="2194"/>
      <c r="AX25" s="2194"/>
      <c r="AY25" s="2194"/>
      <c r="AZ25" s="4404"/>
      <c r="BA25" s="379"/>
      <c r="BB25" s="2194"/>
      <c r="BC25" s="2194"/>
      <c r="BD25" s="2194"/>
      <c r="BE25" s="2194"/>
      <c r="BF25" s="502">
        <f t="shared" si="27"/>
        <v>0</v>
      </c>
      <c r="BG25" s="502"/>
      <c r="BH25" s="4487"/>
      <c r="BI25" s="4487">
        <f t="shared" si="28"/>
        <v>0</v>
      </c>
      <c r="BJ25" s="4487"/>
      <c r="BK25" s="4487"/>
      <c r="BL25" s="4487"/>
      <c r="BM25" s="4487"/>
      <c r="BN25" s="4487"/>
      <c r="BO25" s="4487"/>
      <c r="BP25" s="4487"/>
      <c r="BQ25" s="4487"/>
    </row>
    <row r="26" spans="2:73" s="2450" customFormat="1" ht="18.75" x14ac:dyDescent="0.3">
      <c r="B26" s="2453"/>
      <c r="C26" s="2015"/>
      <c r="D26" s="893"/>
      <c r="E26" s="2194"/>
      <c r="F26" s="2194"/>
      <c r="G26" s="2194"/>
      <c r="H26" s="2194"/>
      <c r="I26" s="2194"/>
      <c r="J26" s="2194"/>
      <c r="K26" s="2194"/>
      <c r="L26" s="2194"/>
      <c r="M26" s="2194"/>
      <c r="N26" s="2194"/>
      <c r="O26" s="2194"/>
      <c r="P26" s="2194"/>
      <c r="Q26" s="2194"/>
      <c r="R26" s="2194"/>
      <c r="S26" s="2194"/>
      <c r="T26" s="2194"/>
      <c r="U26" s="2194"/>
      <c r="V26" s="2194"/>
      <c r="W26" s="2194"/>
      <c r="X26" s="4404"/>
      <c r="Y26" s="379"/>
      <c r="Z26" s="2194"/>
      <c r="AA26" s="2194"/>
      <c r="AB26" s="2194"/>
      <c r="AC26" s="2194"/>
      <c r="AD26" s="2194"/>
      <c r="AE26" s="2194"/>
      <c r="AF26" s="2194"/>
      <c r="AG26" s="2194"/>
      <c r="AH26" s="2194"/>
      <c r="AI26" s="2194"/>
      <c r="AJ26" s="2194"/>
      <c r="AK26" s="2194"/>
      <c r="AL26" s="4404"/>
      <c r="AM26" s="379"/>
      <c r="AN26" s="2194"/>
      <c r="AO26" s="2194"/>
      <c r="AP26" s="2194"/>
      <c r="AQ26" s="2194"/>
      <c r="AR26" s="2194"/>
      <c r="AS26" s="2194"/>
      <c r="AT26" s="2194"/>
      <c r="AU26" s="2194"/>
      <c r="AV26" s="2194"/>
      <c r="AW26" s="2194"/>
      <c r="AX26" s="2194"/>
      <c r="AY26" s="2194"/>
      <c r="AZ26" s="4404"/>
      <c r="BA26" s="379"/>
      <c r="BB26" s="2194"/>
      <c r="BC26" s="2194"/>
      <c r="BD26" s="2194"/>
      <c r="BE26" s="2194"/>
      <c r="BF26" s="502">
        <f t="shared" si="27"/>
        <v>0</v>
      </c>
      <c r="BG26" s="502"/>
      <c r="BH26" s="4487"/>
      <c r="BI26" s="4487">
        <f t="shared" si="28"/>
        <v>0</v>
      </c>
      <c r="BJ26" s="4487"/>
      <c r="BK26" s="4487"/>
      <c r="BL26" s="4487"/>
      <c r="BM26" s="4487"/>
      <c r="BN26" s="4487"/>
      <c r="BO26" s="4487"/>
      <c r="BP26" s="4487"/>
      <c r="BQ26" s="4487"/>
    </row>
    <row r="27" spans="2:73" ht="18.75" x14ac:dyDescent="0.3">
      <c r="B27" s="8030" t="s">
        <v>1501</v>
      </c>
      <c r="C27" s="2016" t="s">
        <v>1502</v>
      </c>
      <c r="D27" s="2010"/>
      <c r="E27" s="2194"/>
      <c r="F27" s="2194"/>
      <c r="G27" s="2194"/>
      <c r="H27" s="2194"/>
      <c r="I27" s="2194"/>
      <c r="J27" s="2194"/>
      <c r="K27" s="2194"/>
      <c r="L27" s="2194"/>
      <c r="M27" s="2194"/>
      <c r="N27" s="2194"/>
      <c r="O27" s="2194"/>
      <c r="P27" s="2194"/>
      <c r="Q27" s="2194"/>
      <c r="R27" s="2194"/>
      <c r="S27" s="2194"/>
      <c r="T27" s="2194"/>
      <c r="U27" s="2194"/>
      <c r="V27" s="2194"/>
      <c r="W27" s="2194"/>
      <c r="X27" s="4404"/>
      <c r="Y27" s="379"/>
      <c r="Z27" s="2194"/>
      <c r="AA27" s="2194"/>
      <c r="AB27" s="2194"/>
      <c r="AC27" s="2194"/>
      <c r="AD27" s="2194"/>
      <c r="AE27" s="2194"/>
      <c r="AF27" s="2194"/>
      <c r="AG27" s="2194"/>
      <c r="AH27" s="2194"/>
      <c r="AI27" s="2194"/>
      <c r="AJ27" s="2194"/>
      <c r="AK27" s="2194"/>
      <c r="AL27" s="4404"/>
      <c r="AM27" s="379"/>
      <c r="AN27" s="2194"/>
      <c r="AO27" s="2194"/>
      <c r="AP27" s="2194"/>
      <c r="AQ27" s="2194"/>
      <c r="AR27" s="2194"/>
      <c r="AS27" s="2194"/>
      <c r="AT27" s="2194"/>
      <c r="AU27" s="2194"/>
      <c r="AV27" s="2194"/>
      <c r="AW27" s="2194"/>
      <c r="AX27" s="2194"/>
      <c r="AY27" s="2194"/>
      <c r="AZ27" s="4404"/>
      <c r="BA27" s="379"/>
      <c r="BB27" s="2194"/>
      <c r="BC27" s="2194"/>
      <c r="BD27" s="2194"/>
      <c r="BE27" s="2194"/>
      <c r="BF27" s="502">
        <f t="shared" si="27"/>
        <v>0</v>
      </c>
      <c r="BG27" s="502"/>
      <c r="BH27" s="4487"/>
      <c r="BI27" s="4487">
        <f t="shared" si="28"/>
        <v>0</v>
      </c>
      <c r="BJ27" s="4487"/>
      <c r="BK27" s="4487"/>
      <c r="BL27" s="4487"/>
      <c r="BM27" s="4487"/>
      <c r="BN27" s="4487"/>
      <c r="BO27" s="4487"/>
      <c r="BP27" s="4487"/>
      <c r="BQ27" s="4487"/>
    </row>
    <row r="28" spans="2:73" s="139" customFormat="1" ht="18.75" x14ac:dyDescent="0.25">
      <c r="B28" s="8031"/>
      <c r="C28" s="2012" t="s">
        <v>965</v>
      </c>
      <c r="D28" s="1594"/>
      <c r="E28" s="1990">
        <v>74827</v>
      </c>
      <c r="F28" s="1990"/>
      <c r="G28" s="3782">
        <v>66242</v>
      </c>
      <c r="H28" s="1992">
        <f t="shared" si="1"/>
        <v>0</v>
      </c>
      <c r="I28" s="3113">
        <f t="shared" si="2"/>
        <v>141069</v>
      </c>
      <c r="J28" s="1990"/>
      <c r="K28" s="3782">
        <v>70756</v>
      </c>
      <c r="L28" s="1991">
        <f t="shared" si="3"/>
        <v>0</v>
      </c>
      <c r="M28" s="2221">
        <f>E28+G28+K28</f>
        <v>211825</v>
      </c>
      <c r="N28" s="2022"/>
      <c r="O28" s="3782">
        <v>77478</v>
      </c>
      <c r="P28" s="1992">
        <f t="shared" si="4"/>
        <v>0</v>
      </c>
      <c r="Q28" s="1992">
        <f t="shared" si="30"/>
        <v>289303</v>
      </c>
      <c r="R28" s="2022"/>
      <c r="S28" s="3782">
        <v>74857</v>
      </c>
      <c r="T28" s="3117">
        <f t="shared" ref="T28:T31" si="67">+P28+R28</f>
        <v>0</v>
      </c>
      <c r="U28" s="3117">
        <f t="shared" ref="U28:U31" si="68">+Q28+S28</f>
        <v>364160</v>
      </c>
      <c r="V28" s="2022"/>
      <c r="W28" s="3782">
        <v>77679</v>
      </c>
      <c r="X28" s="4197"/>
      <c r="Y28" s="2864">
        <f t="shared" si="8"/>
        <v>230014</v>
      </c>
      <c r="Z28" s="5003">
        <f t="shared" ref="Z28:Z31" si="69">+T28+V28</f>
        <v>0</v>
      </c>
      <c r="AA28" s="5003">
        <f t="shared" ref="AA28:AA31" si="70">+U28+W28</f>
        <v>441839</v>
      </c>
      <c r="AB28" s="2022"/>
      <c r="AC28" s="3782">
        <v>62985</v>
      </c>
      <c r="AD28" s="3117">
        <f t="shared" ref="AD28:AD31" si="71">+Z28+AB28</f>
        <v>0</v>
      </c>
      <c r="AE28" s="3117">
        <f t="shared" ref="AE28:AE31" si="72">+AA28+AC28</f>
        <v>504824</v>
      </c>
      <c r="AF28" s="2022"/>
      <c r="AG28" s="3782">
        <v>71795</v>
      </c>
      <c r="AH28" s="3117">
        <f t="shared" ref="AH28:AH31" si="73">+AD28+AF28</f>
        <v>0</v>
      </c>
      <c r="AI28" s="3117">
        <f t="shared" ref="AI28:AI31" si="74">+AE28+AG28</f>
        <v>576619</v>
      </c>
      <c r="AJ28" s="2022"/>
      <c r="AK28" s="3782">
        <v>70956</v>
      </c>
      <c r="AL28" s="4488"/>
      <c r="AM28" s="2864">
        <f t="shared" si="15"/>
        <v>205736</v>
      </c>
      <c r="AN28" s="3117">
        <f t="shared" ref="AN28:AN31" si="75">+AH28+AJ28</f>
        <v>0</v>
      </c>
      <c r="AO28" s="3117">
        <f t="shared" ref="AO28:AO31" si="76">+AI28+AK28</f>
        <v>647575</v>
      </c>
      <c r="AP28" s="2022"/>
      <c r="AQ28" s="3782">
        <v>76157</v>
      </c>
      <c r="AR28" s="3117">
        <f t="shared" ref="AR28:AR31" si="77">+AN28+AP28</f>
        <v>0</v>
      </c>
      <c r="AS28" s="3117">
        <f t="shared" ref="AS28:AS31" si="78">+AO28+AQ28</f>
        <v>723732</v>
      </c>
      <c r="AT28" s="2022"/>
      <c r="AU28" s="3782">
        <v>64445</v>
      </c>
      <c r="AV28" s="3117">
        <f t="shared" ref="AV28:AV31" si="79">+AR28+AT28</f>
        <v>0</v>
      </c>
      <c r="AW28" s="3117">
        <f t="shared" ref="AW28:AW31" si="80">+AS28+AU28</f>
        <v>788177</v>
      </c>
      <c r="AX28" s="2022"/>
      <c r="AY28" s="3782">
        <v>81524</v>
      </c>
      <c r="AZ28" s="4488"/>
      <c r="BA28" s="2864">
        <f t="shared" si="22"/>
        <v>222126</v>
      </c>
      <c r="BB28" s="5003">
        <f t="shared" ref="BB28:BB31" si="81">+AV28+AX28</f>
        <v>0</v>
      </c>
      <c r="BC28" s="5003">
        <f t="shared" ref="BC28:BC31" si="82">AM28+BA28</f>
        <v>427862</v>
      </c>
      <c r="BD28" s="3117">
        <f t="shared" ref="BD28:BD31" si="83">+AV28+AX28</f>
        <v>0</v>
      </c>
      <c r="BE28" s="3117">
        <f t="shared" ref="BE28:BE31" si="84">+AW28+AY28</f>
        <v>869701</v>
      </c>
      <c r="BF28" s="502">
        <f t="shared" si="27"/>
        <v>0</v>
      </c>
      <c r="BG28" s="502"/>
      <c r="BH28" s="4487"/>
      <c r="BI28" s="4487">
        <f t="shared" si="28"/>
        <v>0</v>
      </c>
      <c r="BJ28" s="4487"/>
      <c r="BK28" s="4487"/>
    </row>
    <row r="29" spans="2:73" s="139" customFormat="1" ht="18.75" x14ac:dyDescent="0.25">
      <c r="B29" s="8031"/>
      <c r="C29" s="2012" t="s">
        <v>966</v>
      </c>
      <c r="D29" s="1594"/>
      <c r="E29" s="1990">
        <v>10831</v>
      </c>
      <c r="F29" s="1594"/>
      <c r="G29" s="3782">
        <v>12006</v>
      </c>
      <c r="H29" s="1992">
        <f t="shared" si="1"/>
        <v>0</v>
      </c>
      <c r="I29" s="3113">
        <f t="shared" si="2"/>
        <v>22837</v>
      </c>
      <c r="J29" s="1594"/>
      <c r="K29" s="3782">
        <v>12596</v>
      </c>
      <c r="L29" s="1991">
        <f t="shared" si="3"/>
        <v>0</v>
      </c>
      <c r="M29" s="2878">
        <f>E29+G29+K29</f>
        <v>35433</v>
      </c>
      <c r="N29" s="2023"/>
      <c r="O29" s="3782">
        <v>13988</v>
      </c>
      <c r="P29" s="1992">
        <f t="shared" si="4"/>
        <v>0</v>
      </c>
      <c r="Q29" s="3779">
        <f t="shared" si="30"/>
        <v>49421</v>
      </c>
      <c r="R29" s="2023"/>
      <c r="S29" s="3782">
        <v>13411</v>
      </c>
      <c r="T29" s="3117">
        <f t="shared" si="67"/>
        <v>0</v>
      </c>
      <c r="U29" s="3779">
        <f t="shared" si="68"/>
        <v>62832</v>
      </c>
      <c r="V29" s="2023"/>
      <c r="W29" s="3782">
        <v>13601</v>
      </c>
      <c r="X29" s="3040"/>
      <c r="Y29" s="2878">
        <f t="shared" si="8"/>
        <v>41000</v>
      </c>
      <c r="Z29" s="5003">
        <f t="shared" si="69"/>
        <v>0</v>
      </c>
      <c r="AA29" s="471">
        <f t="shared" si="70"/>
        <v>76433</v>
      </c>
      <c r="AB29" s="2023"/>
      <c r="AC29" s="3782">
        <v>12900</v>
      </c>
      <c r="AD29" s="3117">
        <f t="shared" si="71"/>
        <v>0</v>
      </c>
      <c r="AE29" s="3779">
        <f t="shared" si="72"/>
        <v>89333</v>
      </c>
      <c r="AF29" s="2023"/>
      <c r="AG29" s="3782">
        <v>12150</v>
      </c>
      <c r="AH29" s="3117">
        <f t="shared" si="73"/>
        <v>0</v>
      </c>
      <c r="AI29" s="3779">
        <f t="shared" si="74"/>
        <v>101483</v>
      </c>
      <c r="AJ29" s="2023"/>
      <c r="AK29" s="3782">
        <v>11448</v>
      </c>
      <c r="AL29" s="3040"/>
      <c r="AM29" s="2878">
        <f t="shared" si="15"/>
        <v>36498</v>
      </c>
      <c r="AN29" s="3117">
        <f t="shared" si="75"/>
        <v>0</v>
      </c>
      <c r="AO29" s="3779">
        <f t="shared" si="76"/>
        <v>112931</v>
      </c>
      <c r="AP29" s="2023"/>
      <c r="AQ29" s="3782">
        <v>10123</v>
      </c>
      <c r="AR29" s="3117">
        <f t="shared" si="77"/>
        <v>0</v>
      </c>
      <c r="AS29" s="3779">
        <f t="shared" si="78"/>
        <v>123054</v>
      </c>
      <c r="AT29" s="2023"/>
      <c r="AU29" s="3782">
        <v>12986</v>
      </c>
      <c r="AV29" s="3117">
        <f t="shared" si="79"/>
        <v>0</v>
      </c>
      <c r="AW29" s="3779">
        <f t="shared" si="80"/>
        <v>136040</v>
      </c>
      <c r="AX29" s="2023"/>
      <c r="AY29" s="3782">
        <v>12288</v>
      </c>
      <c r="AZ29" s="3040"/>
      <c r="BA29" s="2878">
        <f t="shared" si="22"/>
        <v>35397</v>
      </c>
      <c r="BB29" s="5003">
        <f t="shared" si="81"/>
        <v>0</v>
      </c>
      <c r="BC29" s="471">
        <f t="shared" si="82"/>
        <v>71895</v>
      </c>
      <c r="BD29" s="3117">
        <f t="shared" si="83"/>
        <v>0</v>
      </c>
      <c r="BE29" s="3779">
        <f t="shared" si="84"/>
        <v>148328</v>
      </c>
      <c r="BF29" s="502">
        <f t="shared" si="27"/>
        <v>0</v>
      </c>
      <c r="BG29" s="502"/>
      <c r="BH29" s="4487"/>
      <c r="BI29" s="4487">
        <f t="shared" si="28"/>
        <v>0</v>
      </c>
      <c r="BJ29" s="4487"/>
      <c r="BK29" s="4487"/>
      <c r="BL29" s="4487"/>
      <c r="BM29" s="4487"/>
      <c r="BN29" s="4487"/>
      <c r="BO29" s="4487"/>
      <c r="BP29" s="4487"/>
      <c r="BQ29" s="4487"/>
      <c r="BR29" s="4487"/>
      <c r="BS29" s="4487"/>
      <c r="BT29" s="4487"/>
      <c r="BU29" s="4487"/>
    </row>
    <row r="30" spans="2:73" ht="18.75" x14ac:dyDescent="0.25">
      <c r="B30" s="8031"/>
      <c r="C30" s="2012" t="s">
        <v>967</v>
      </c>
      <c r="D30" s="1594"/>
      <c r="E30" s="1990">
        <v>10245</v>
      </c>
      <c r="F30" s="1594"/>
      <c r="G30" s="3782">
        <v>6799</v>
      </c>
      <c r="H30" s="1992">
        <f t="shared" si="1"/>
        <v>0</v>
      </c>
      <c r="I30" s="3113">
        <f t="shared" si="2"/>
        <v>17044</v>
      </c>
      <c r="J30" s="1594"/>
      <c r="K30" s="3782">
        <v>8611</v>
      </c>
      <c r="L30" s="1991">
        <f t="shared" si="3"/>
        <v>0</v>
      </c>
      <c r="M30" s="2221">
        <f>E30+G30+K30</f>
        <v>25655</v>
      </c>
      <c r="N30" s="2023"/>
      <c r="O30" s="3782">
        <v>7621</v>
      </c>
      <c r="P30" s="1992">
        <f t="shared" si="4"/>
        <v>0</v>
      </c>
      <c r="Q30" s="3117">
        <f t="shared" si="30"/>
        <v>33276</v>
      </c>
      <c r="R30" s="2023"/>
      <c r="S30" s="3782">
        <v>7950</v>
      </c>
      <c r="T30" s="3117">
        <f t="shared" si="67"/>
        <v>0</v>
      </c>
      <c r="U30" s="3117">
        <f t="shared" si="68"/>
        <v>41226</v>
      </c>
      <c r="V30" s="2023"/>
      <c r="W30" s="3782">
        <v>5111</v>
      </c>
      <c r="X30" s="4197"/>
      <c r="Y30" s="2864">
        <f t="shared" si="8"/>
        <v>20682</v>
      </c>
      <c r="Z30" s="5003">
        <f t="shared" si="69"/>
        <v>0</v>
      </c>
      <c r="AA30" s="5003">
        <f t="shared" si="70"/>
        <v>46337</v>
      </c>
      <c r="AB30" s="2023"/>
      <c r="AC30" s="3782">
        <v>6124</v>
      </c>
      <c r="AD30" s="3117">
        <f t="shared" si="71"/>
        <v>0</v>
      </c>
      <c r="AE30" s="3117">
        <f t="shared" si="72"/>
        <v>52461</v>
      </c>
      <c r="AF30" s="2023"/>
      <c r="AG30" s="3782">
        <v>10121</v>
      </c>
      <c r="AH30" s="3117">
        <f t="shared" si="73"/>
        <v>0</v>
      </c>
      <c r="AI30" s="3117">
        <f t="shared" si="74"/>
        <v>62582</v>
      </c>
      <c r="AJ30" s="2023"/>
      <c r="AK30" s="3782">
        <v>13032</v>
      </c>
      <c r="AL30" s="4488"/>
      <c r="AM30" s="2864">
        <f t="shared" si="15"/>
        <v>29277</v>
      </c>
      <c r="AN30" s="3117">
        <f t="shared" si="75"/>
        <v>0</v>
      </c>
      <c r="AO30" s="3117">
        <f t="shared" si="76"/>
        <v>75614</v>
      </c>
      <c r="AP30" s="2023"/>
      <c r="AQ30" s="3782">
        <v>14778</v>
      </c>
      <c r="AR30" s="3117">
        <f t="shared" si="77"/>
        <v>0</v>
      </c>
      <c r="AS30" s="3117">
        <f t="shared" si="78"/>
        <v>90392</v>
      </c>
      <c r="AT30" s="2023"/>
      <c r="AU30" s="3782">
        <v>9877</v>
      </c>
      <c r="AV30" s="3117">
        <f t="shared" si="79"/>
        <v>0</v>
      </c>
      <c r="AW30" s="3117">
        <f t="shared" si="80"/>
        <v>100269</v>
      </c>
      <c r="AX30" s="2023"/>
      <c r="AY30" s="3782">
        <v>9345</v>
      </c>
      <c r="AZ30" s="4488"/>
      <c r="BA30" s="2864">
        <f t="shared" si="22"/>
        <v>34000</v>
      </c>
      <c r="BB30" s="5003">
        <f t="shared" si="81"/>
        <v>0</v>
      </c>
      <c r="BC30" s="5003">
        <f t="shared" si="82"/>
        <v>63277</v>
      </c>
      <c r="BD30" s="3117">
        <f t="shared" si="83"/>
        <v>0</v>
      </c>
      <c r="BE30" s="3117">
        <f t="shared" si="84"/>
        <v>109614</v>
      </c>
      <c r="BF30" s="502">
        <f t="shared" si="27"/>
        <v>0</v>
      </c>
      <c r="BG30" s="502"/>
      <c r="BH30" s="4487"/>
      <c r="BI30" s="4487">
        <f t="shared" si="28"/>
        <v>0</v>
      </c>
      <c r="BJ30" s="4487"/>
      <c r="BK30" s="4487"/>
      <c r="BL30" s="4487"/>
      <c r="BM30" s="4487"/>
      <c r="BN30" s="4487"/>
      <c r="BO30" s="4487"/>
      <c r="BP30" s="4487"/>
      <c r="BQ30" s="4487"/>
      <c r="BR30" s="4487"/>
      <c r="BS30" s="4487"/>
      <c r="BT30" s="4487"/>
      <c r="BU30" s="4487"/>
    </row>
    <row r="31" spans="2:73" ht="18.75" x14ac:dyDescent="0.25">
      <c r="B31" s="8031"/>
      <c r="C31" s="2012" t="s">
        <v>1256</v>
      </c>
      <c r="D31" s="1594"/>
      <c r="E31" s="1990">
        <v>798</v>
      </c>
      <c r="F31" s="1594"/>
      <c r="G31" s="3782">
        <v>1293</v>
      </c>
      <c r="H31" s="1992">
        <f t="shared" si="1"/>
        <v>0</v>
      </c>
      <c r="I31" s="3113">
        <f t="shared" si="2"/>
        <v>2091</v>
      </c>
      <c r="J31" s="1594"/>
      <c r="K31" s="3782">
        <v>901</v>
      </c>
      <c r="L31" s="1991">
        <f t="shared" si="3"/>
        <v>0</v>
      </c>
      <c r="M31" s="2221">
        <f>E31+G31+K31</f>
        <v>2992</v>
      </c>
      <c r="N31" s="2023"/>
      <c r="O31" s="3782">
        <v>855</v>
      </c>
      <c r="P31" s="1992">
        <f t="shared" si="4"/>
        <v>0</v>
      </c>
      <c r="Q31" s="3117">
        <f t="shared" si="30"/>
        <v>3847</v>
      </c>
      <c r="R31" s="2023"/>
      <c r="S31" s="3782">
        <v>912</v>
      </c>
      <c r="T31" s="3117">
        <f t="shared" si="67"/>
        <v>0</v>
      </c>
      <c r="U31" s="3117">
        <f t="shared" si="68"/>
        <v>4759</v>
      </c>
      <c r="V31" s="2023"/>
      <c r="W31" s="3782">
        <v>798</v>
      </c>
      <c r="X31" s="4197"/>
      <c r="Y31" s="2864">
        <f t="shared" si="8"/>
        <v>2565</v>
      </c>
      <c r="Z31" s="5003">
        <f t="shared" si="69"/>
        <v>0</v>
      </c>
      <c r="AA31" s="5003">
        <f t="shared" si="70"/>
        <v>5557</v>
      </c>
      <c r="AB31" s="2023"/>
      <c r="AC31" s="3782">
        <v>998</v>
      </c>
      <c r="AD31" s="3117">
        <f t="shared" si="71"/>
        <v>0</v>
      </c>
      <c r="AE31" s="3117">
        <f t="shared" si="72"/>
        <v>6555</v>
      </c>
      <c r="AF31" s="2023"/>
      <c r="AG31" s="3782">
        <v>1097</v>
      </c>
      <c r="AH31" s="3117">
        <f t="shared" si="73"/>
        <v>0</v>
      </c>
      <c r="AI31" s="3117">
        <f t="shared" si="74"/>
        <v>7652</v>
      </c>
      <c r="AJ31" s="2023"/>
      <c r="AK31" s="3782">
        <v>1269</v>
      </c>
      <c r="AL31" s="4488"/>
      <c r="AM31" s="2864">
        <f t="shared" si="15"/>
        <v>3364</v>
      </c>
      <c r="AN31" s="3117">
        <f t="shared" si="75"/>
        <v>0</v>
      </c>
      <c r="AO31" s="3117">
        <f t="shared" si="76"/>
        <v>8921</v>
      </c>
      <c r="AP31" s="2023"/>
      <c r="AQ31" s="3782">
        <v>988</v>
      </c>
      <c r="AR31" s="3117">
        <f t="shared" si="77"/>
        <v>0</v>
      </c>
      <c r="AS31" s="3117">
        <f t="shared" si="78"/>
        <v>9909</v>
      </c>
      <c r="AT31" s="2023"/>
      <c r="AU31" s="3782">
        <v>655</v>
      </c>
      <c r="AV31" s="3117">
        <f t="shared" si="79"/>
        <v>0</v>
      </c>
      <c r="AW31" s="3117">
        <f t="shared" si="80"/>
        <v>10564</v>
      </c>
      <c r="AX31" s="2023"/>
      <c r="AY31" s="3782">
        <v>925</v>
      </c>
      <c r="AZ31" s="4488"/>
      <c r="BA31" s="2864">
        <f t="shared" si="22"/>
        <v>2568</v>
      </c>
      <c r="BB31" s="5003">
        <f t="shared" si="81"/>
        <v>0</v>
      </c>
      <c r="BC31" s="5003">
        <f t="shared" si="82"/>
        <v>5932</v>
      </c>
      <c r="BD31" s="3117">
        <f t="shared" si="83"/>
        <v>0</v>
      </c>
      <c r="BE31" s="3117">
        <f t="shared" si="84"/>
        <v>11489</v>
      </c>
      <c r="BF31" s="502">
        <f t="shared" si="27"/>
        <v>0</v>
      </c>
      <c r="BG31" s="502"/>
      <c r="BH31" s="4487"/>
      <c r="BI31" s="4487">
        <f t="shared" si="28"/>
        <v>0</v>
      </c>
      <c r="BJ31" s="4487"/>
      <c r="BK31" s="4487"/>
      <c r="BL31" s="4487"/>
      <c r="BM31" s="4487"/>
      <c r="BN31" s="4487"/>
      <c r="BO31" s="4487"/>
      <c r="BP31" s="4487"/>
      <c r="BQ31" s="4487"/>
      <c r="BR31" s="4487"/>
      <c r="BS31" s="4487"/>
      <c r="BT31" s="4487"/>
      <c r="BU31" s="4487"/>
    </row>
    <row r="32" spans="2:73" ht="18.75" x14ac:dyDescent="0.25">
      <c r="B32" s="8031"/>
      <c r="C32" s="2012"/>
      <c r="D32" s="1594"/>
      <c r="E32" s="1141"/>
      <c r="F32" s="1141"/>
      <c r="G32" s="1141"/>
      <c r="H32" s="379"/>
      <c r="I32" s="3783"/>
      <c r="J32" s="1141"/>
      <c r="K32" s="1141"/>
      <c r="L32" s="379"/>
      <c r="M32" s="379"/>
      <c r="N32" s="415"/>
      <c r="O32" s="1141"/>
      <c r="P32" s="379"/>
      <c r="Q32" s="379"/>
      <c r="R32" s="415"/>
      <c r="S32" s="1141"/>
      <c r="T32" s="379"/>
      <c r="U32" s="379"/>
      <c r="V32" s="415"/>
      <c r="W32" s="1141"/>
      <c r="X32" s="3039"/>
      <c r="Y32" s="379"/>
      <c r="Z32" s="379"/>
      <c r="AA32" s="379"/>
      <c r="AB32" s="415"/>
      <c r="AC32" s="1141"/>
      <c r="AD32" s="379"/>
      <c r="AE32" s="379"/>
      <c r="AF32" s="415"/>
      <c r="AG32" s="1141"/>
      <c r="AH32" s="379"/>
      <c r="AI32" s="379"/>
      <c r="AJ32" s="415"/>
      <c r="AK32" s="1141"/>
      <c r="AL32" s="3039"/>
      <c r="AM32" s="379"/>
      <c r="AN32" s="379"/>
      <c r="AO32" s="379"/>
      <c r="AP32" s="415"/>
      <c r="AQ32" s="1141"/>
      <c r="AR32" s="379"/>
      <c r="AS32" s="379"/>
      <c r="AT32" s="415"/>
      <c r="AU32" s="1141"/>
      <c r="AV32" s="379"/>
      <c r="AW32" s="379"/>
      <c r="AX32" s="415"/>
      <c r="AY32" s="1141"/>
      <c r="AZ32" s="3039"/>
      <c r="BA32" s="379"/>
      <c r="BB32" s="379"/>
      <c r="BC32" s="379"/>
      <c r="BD32" s="379"/>
      <c r="BE32" s="379"/>
      <c r="BF32" s="502">
        <f t="shared" si="27"/>
        <v>0</v>
      </c>
      <c r="BG32" s="502"/>
      <c r="BH32" s="4487"/>
      <c r="BI32" s="4487">
        <f t="shared" si="28"/>
        <v>0</v>
      </c>
      <c r="BJ32" s="4487"/>
      <c r="BK32" s="4487"/>
      <c r="BL32" s="4487"/>
      <c r="BM32" s="4487"/>
      <c r="BN32" s="4487"/>
      <c r="BO32" s="4487"/>
      <c r="BP32" s="4487"/>
      <c r="BQ32" s="4487"/>
      <c r="BR32" s="4487"/>
      <c r="BS32" s="4487"/>
      <c r="BT32" s="4487"/>
      <c r="BU32" s="4487"/>
    </row>
    <row r="33" spans="2:73" ht="18.75" x14ac:dyDescent="0.3">
      <c r="B33" s="8031"/>
      <c r="C33" s="2016" t="s">
        <v>1503</v>
      </c>
      <c r="D33" s="2010"/>
      <c r="E33" s="2915"/>
      <c r="F33" s="2010"/>
      <c r="G33" s="2915"/>
      <c r="H33" s="379"/>
      <c r="I33" s="3783"/>
      <c r="J33" s="2010"/>
      <c r="K33" s="2915"/>
      <c r="L33" s="379"/>
      <c r="M33" s="3783"/>
      <c r="N33" s="415"/>
      <c r="O33" s="2915"/>
      <c r="P33" s="379"/>
      <c r="Q33" s="379"/>
      <c r="R33" s="415"/>
      <c r="S33" s="2915"/>
      <c r="T33" s="379"/>
      <c r="U33" s="379"/>
      <c r="V33" s="415"/>
      <c r="W33" s="2915"/>
      <c r="X33" s="4405"/>
      <c r="Y33" s="379"/>
      <c r="Z33" s="379"/>
      <c r="AA33" s="379"/>
      <c r="AB33" s="415"/>
      <c r="AC33" s="2915"/>
      <c r="AD33" s="379"/>
      <c r="AE33" s="379"/>
      <c r="AF33" s="415"/>
      <c r="AG33" s="2915"/>
      <c r="AH33" s="379"/>
      <c r="AI33" s="379"/>
      <c r="AJ33" s="415"/>
      <c r="AK33" s="2915"/>
      <c r="AL33" s="4405"/>
      <c r="AM33" s="379"/>
      <c r="AN33" s="379"/>
      <c r="AO33" s="379"/>
      <c r="AP33" s="415"/>
      <c r="AQ33" s="2915"/>
      <c r="AR33" s="379"/>
      <c r="AS33" s="379"/>
      <c r="AT33" s="415"/>
      <c r="AU33" s="2915"/>
      <c r="AV33" s="379"/>
      <c r="AW33" s="379"/>
      <c r="AX33" s="415"/>
      <c r="AY33" s="2915"/>
      <c r="AZ33" s="4405"/>
      <c r="BA33" s="379"/>
      <c r="BB33" s="379"/>
      <c r="BC33" s="379"/>
      <c r="BD33" s="379"/>
      <c r="BE33" s="379"/>
      <c r="BF33" s="502">
        <f t="shared" si="27"/>
        <v>0</v>
      </c>
      <c r="BG33" s="502"/>
      <c r="BH33" s="4487"/>
      <c r="BI33" s="4487">
        <f t="shared" si="28"/>
        <v>0</v>
      </c>
      <c r="BJ33" s="4487"/>
      <c r="BK33" s="4487"/>
      <c r="BL33" s="4487"/>
      <c r="BM33" s="4487"/>
      <c r="BN33" s="4487"/>
      <c r="BO33" s="4487"/>
      <c r="BP33" s="4487"/>
      <c r="BQ33" s="4487"/>
      <c r="BR33" s="4487"/>
      <c r="BS33" s="4487"/>
      <c r="BT33" s="4487"/>
      <c r="BU33" s="4487"/>
    </row>
    <row r="34" spans="2:73" s="139" customFormat="1" ht="18.75" x14ac:dyDescent="0.25">
      <c r="B34" s="8031"/>
      <c r="C34" s="2012" t="s">
        <v>1504</v>
      </c>
      <c r="D34" s="1594"/>
      <c r="E34" s="4315">
        <f>+'COKE OVENS'!F48+'COKE OVENS'!F51</f>
        <v>5830.6483236687236</v>
      </c>
      <c r="F34" s="2024"/>
      <c r="G34" s="4315">
        <f>+'COKE OVENS'!H48+'COKE OVENS'!H51</f>
        <v>6735.5400028709173</v>
      </c>
      <c r="H34" s="1992">
        <f t="shared" si="1"/>
        <v>0</v>
      </c>
      <c r="I34" s="3113">
        <f t="shared" si="2"/>
        <v>12566.188326539641</v>
      </c>
      <c r="J34" s="2024"/>
      <c r="K34" s="4315">
        <f>+'COKE OVENS'!L48+'COKE OVENS'!L51</f>
        <v>6513.6344050280668</v>
      </c>
      <c r="L34" s="1991">
        <f t="shared" si="3"/>
        <v>0</v>
      </c>
      <c r="M34" s="2878">
        <f>E34+G34+K34</f>
        <v>19079.822731567707</v>
      </c>
      <c r="N34" s="2025"/>
      <c r="O34" s="4315">
        <f>+'COKE OVENS'!P48+'COKE OVENS'!P51</f>
        <v>6741.9473322326739</v>
      </c>
      <c r="P34" s="1992">
        <f t="shared" si="4"/>
        <v>0</v>
      </c>
      <c r="Q34" s="3779">
        <f t="shared" si="30"/>
        <v>25821.770063800381</v>
      </c>
      <c r="R34" s="2025"/>
      <c r="S34" s="4315">
        <f>+'COKE OVENS'!T48+'COKE OVENS'!T51</f>
        <v>6788.1643964847417</v>
      </c>
      <c r="T34" s="3117">
        <f t="shared" ref="T34" si="85">+P34+R34</f>
        <v>0</v>
      </c>
      <c r="U34" s="3779">
        <f t="shared" ref="U34" si="86">+Q34+S34</f>
        <v>32609.934460285123</v>
      </c>
      <c r="V34" s="2025"/>
      <c r="W34" s="4315">
        <f>+'COKE OVENS'!X48+'COKE OVENS'!X51</f>
        <v>7070.4688473453516</v>
      </c>
      <c r="X34" s="4406"/>
      <c r="Y34" s="2878">
        <f t="shared" si="8"/>
        <v>20600.58057606277</v>
      </c>
      <c r="Z34" s="5003">
        <f t="shared" ref="Z34" si="87">+T34+V34</f>
        <v>0</v>
      </c>
      <c r="AA34" s="471">
        <f t="shared" ref="AA34" si="88">+U34+W34</f>
        <v>39680.403307630477</v>
      </c>
      <c r="AB34" s="2025"/>
      <c r="AC34" s="4315">
        <f>+'COKE OVENS'!AD48+'COKE OVENS'!AD51</f>
        <v>7164.0221451495017</v>
      </c>
      <c r="AD34" s="3117">
        <f t="shared" ref="AD34" si="89">+Z34+AB34</f>
        <v>0</v>
      </c>
      <c r="AE34" s="3779">
        <f t="shared" ref="AE34" si="90">+AA34+AC34</f>
        <v>46844.425452779979</v>
      </c>
      <c r="AF34" s="2025"/>
      <c r="AG34" s="4315">
        <f>+'COKE OVENS'!AH48+'COKE OVENS'!AH51</f>
        <v>5763.2472920750388</v>
      </c>
      <c r="AH34" s="3117">
        <f t="shared" ref="AH34" si="91">+AD34+AF34</f>
        <v>0</v>
      </c>
      <c r="AI34" s="3779">
        <f t="shared" ref="AI34" si="92">+AE34+AG34</f>
        <v>52607.672744855015</v>
      </c>
      <c r="AJ34" s="2025"/>
      <c r="AK34" s="4315">
        <f>+'COKE OVENS'!AL48+'COKE OVENS'!AL51</f>
        <v>5955.1446482604897</v>
      </c>
      <c r="AL34" s="4406"/>
      <c r="AM34" s="2878">
        <f t="shared" si="15"/>
        <v>18882.41408548503</v>
      </c>
      <c r="AN34" s="3117">
        <f t="shared" ref="AN34" si="93">+AH34+AJ34</f>
        <v>0</v>
      </c>
      <c r="AO34" s="3779">
        <f t="shared" ref="AO34" si="94">+AI34+AK34</f>
        <v>58562.817393115503</v>
      </c>
      <c r="AP34" s="2025"/>
      <c r="AQ34" s="4315">
        <f>+'COKE OVENS'!AR48+'COKE OVENS'!AR51</f>
        <v>5940.0534707686529</v>
      </c>
      <c r="AR34" s="3117">
        <f t="shared" ref="AR34" si="95">+AN34+AP34</f>
        <v>0</v>
      </c>
      <c r="AS34" s="3779">
        <f t="shared" ref="AS34" si="96">+AO34+AQ34</f>
        <v>64502.870863884156</v>
      </c>
      <c r="AT34" s="2025"/>
      <c r="AU34" s="4315">
        <f>+'COKE OVENS'!AV48+'COKE OVENS'!AV51</f>
        <v>5362.1375210822534</v>
      </c>
      <c r="AV34" s="3117">
        <f t="shared" ref="AV34" si="97">+AR34+AT34</f>
        <v>0</v>
      </c>
      <c r="AW34" s="3779">
        <f t="shared" ref="AW34" si="98">+AS34+AU34</f>
        <v>69865.008384966408</v>
      </c>
      <c r="AX34" s="2025"/>
      <c r="AY34" s="4315">
        <f>+'COKE OVENS'!AZ48+'COKE OVENS'!AZ51</f>
        <v>6035.2102594471353</v>
      </c>
      <c r="AZ34" s="4406"/>
      <c r="BA34" s="2878">
        <f t="shared" si="22"/>
        <v>17337.401251298041</v>
      </c>
      <c r="BB34" s="5003">
        <f t="shared" ref="BB34" si="99">+AV34+AX34</f>
        <v>0</v>
      </c>
      <c r="BC34" s="471">
        <f>AM34+BA34</f>
        <v>36219.815336783067</v>
      </c>
      <c r="BD34" s="3117">
        <f t="shared" ref="BD34" si="100">+AV34+AX34</f>
        <v>0</v>
      </c>
      <c r="BE34" s="3779">
        <f t="shared" ref="BE34" si="101">+AW34+AY34</f>
        <v>75900.218644413544</v>
      </c>
      <c r="BF34" s="502">
        <f t="shared" si="27"/>
        <v>0</v>
      </c>
      <c r="BG34" s="502"/>
      <c r="BH34" s="4487"/>
      <c r="BI34" s="4487">
        <f t="shared" si="28"/>
        <v>0</v>
      </c>
      <c r="BJ34" s="4487"/>
      <c r="BK34" s="4487"/>
      <c r="BL34" s="4487"/>
      <c r="BM34" s="4487"/>
      <c r="BN34" s="4487"/>
      <c r="BO34" s="4487"/>
      <c r="BP34" s="4487"/>
      <c r="BQ34" s="4487"/>
      <c r="BR34" s="4487"/>
      <c r="BS34" s="4487"/>
      <c r="BT34" s="4487"/>
      <c r="BU34" s="4487"/>
    </row>
    <row r="35" spans="2:73" s="139" customFormat="1" ht="18.75" x14ac:dyDescent="0.25">
      <c r="B35" s="8031"/>
      <c r="C35" s="2012"/>
      <c r="D35" s="1594"/>
      <c r="E35" s="5234"/>
      <c r="F35" s="1141"/>
      <c r="G35" s="5234"/>
      <c r="H35" s="379"/>
      <c r="I35" s="3783"/>
      <c r="J35" s="1141"/>
      <c r="K35" s="5234"/>
      <c r="L35" s="379"/>
      <c r="M35" s="5234"/>
      <c r="N35" s="415"/>
      <c r="O35" s="5234"/>
      <c r="P35" s="379"/>
      <c r="Q35" s="379"/>
      <c r="R35" s="415"/>
      <c r="S35" s="5234"/>
      <c r="T35" s="379"/>
      <c r="U35" s="379"/>
      <c r="V35" s="415"/>
      <c r="W35" s="5234"/>
      <c r="X35" s="5235"/>
      <c r="Y35" s="379"/>
      <c r="Z35" s="379"/>
      <c r="AA35" s="379"/>
      <c r="AB35" s="415"/>
      <c r="AC35" s="5234"/>
      <c r="AD35" s="379"/>
      <c r="AE35" s="379"/>
      <c r="AF35" s="415"/>
      <c r="AG35" s="5234"/>
      <c r="AH35" s="379"/>
      <c r="AI35" s="379"/>
      <c r="AJ35" s="415"/>
      <c r="AK35" s="5234"/>
      <c r="AL35" s="5235"/>
      <c r="AM35" s="379"/>
      <c r="AN35" s="379"/>
      <c r="AO35" s="379"/>
      <c r="AP35" s="415"/>
      <c r="AQ35" s="5234"/>
      <c r="AR35" s="379"/>
      <c r="AS35" s="379"/>
      <c r="AT35" s="415"/>
      <c r="AU35" s="5234"/>
      <c r="AV35" s="379"/>
      <c r="AW35" s="379"/>
      <c r="AX35" s="415"/>
      <c r="AY35" s="5234"/>
      <c r="AZ35" s="5235"/>
      <c r="BA35" s="379"/>
      <c r="BB35" s="379"/>
      <c r="BC35" s="379"/>
      <c r="BD35" s="379"/>
      <c r="BE35" s="379"/>
      <c r="BF35" s="502">
        <f t="shared" si="27"/>
        <v>0</v>
      </c>
      <c r="BG35" s="502"/>
      <c r="BH35" s="4487"/>
      <c r="BI35" s="4487">
        <f t="shared" si="28"/>
        <v>0</v>
      </c>
      <c r="BJ35" s="4487"/>
      <c r="BK35" s="4487"/>
      <c r="BL35" s="4487"/>
      <c r="BM35" s="4487"/>
      <c r="BN35" s="4487"/>
      <c r="BO35" s="4487"/>
      <c r="BP35" s="4487"/>
      <c r="BQ35" s="4487"/>
      <c r="BR35" s="4487"/>
      <c r="BS35" s="4487"/>
      <c r="BT35" s="4487"/>
      <c r="BU35" s="4487"/>
    </row>
    <row r="36" spans="2:73" s="139" customFormat="1" ht="18.75" x14ac:dyDescent="0.3">
      <c r="B36" s="8031"/>
      <c r="C36" s="2016" t="s">
        <v>1505</v>
      </c>
      <c r="D36" s="2010"/>
      <c r="E36" s="2010"/>
      <c r="F36" s="2010"/>
      <c r="G36" s="2010"/>
      <c r="H36" s="379"/>
      <c r="I36" s="3783"/>
      <c r="J36" s="2010"/>
      <c r="K36" s="2010"/>
      <c r="L36" s="379"/>
      <c r="M36" s="379"/>
      <c r="N36" s="415"/>
      <c r="O36" s="2010"/>
      <c r="P36" s="379"/>
      <c r="Q36" s="379"/>
      <c r="R36" s="415"/>
      <c r="S36" s="2010"/>
      <c r="T36" s="379"/>
      <c r="U36" s="379"/>
      <c r="V36" s="415"/>
      <c r="W36" s="2010"/>
      <c r="X36" s="4407"/>
      <c r="Y36" s="379"/>
      <c r="Z36" s="379"/>
      <c r="AA36" s="379"/>
      <c r="AB36" s="415"/>
      <c r="AC36" s="2010"/>
      <c r="AD36" s="379"/>
      <c r="AE36" s="379"/>
      <c r="AF36" s="415"/>
      <c r="AG36" s="2010"/>
      <c r="AH36" s="379"/>
      <c r="AI36" s="379"/>
      <c r="AJ36" s="415"/>
      <c r="AK36" s="2010"/>
      <c r="AL36" s="4407"/>
      <c r="AM36" s="379"/>
      <c r="AN36" s="379"/>
      <c r="AO36" s="379"/>
      <c r="AP36" s="415"/>
      <c r="AQ36" s="2010"/>
      <c r="AR36" s="379"/>
      <c r="AS36" s="379"/>
      <c r="AT36" s="415"/>
      <c r="AU36" s="2010"/>
      <c r="AV36" s="379"/>
      <c r="AW36" s="379"/>
      <c r="AX36" s="415"/>
      <c r="AY36" s="2010"/>
      <c r="AZ36" s="4407"/>
      <c r="BA36" s="379"/>
      <c r="BB36" s="379"/>
      <c r="BC36" s="379"/>
      <c r="BD36" s="379"/>
      <c r="BE36" s="379"/>
      <c r="BF36" s="502">
        <f t="shared" si="27"/>
        <v>0</v>
      </c>
      <c r="BG36" s="502"/>
      <c r="BH36" s="4487"/>
      <c r="BI36" s="4487">
        <f t="shared" si="28"/>
        <v>0</v>
      </c>
      <c r="BJ36" s="4487"/>
      <c r="BK36" s="4487"/>
      <c r="BL36" s="4487"/>
      <c r="BM36" s="4487"/>
      <c r="BN36" s="4487"/>
      <c r="BO36" s="4487"/>
      <c r="BP36" s="4487"/>
      <c r="BQ36" s="4487"/>
      <c r="BR36" s="4487"/>
      <c r="BS36" s="4487"/>
      <c r="BT36" s="4487"/>
      <c r="BU36" s="4487"/>
    </row>
    <row r="37" spans="2:73" s="139" customFormat="1" ht="18.75" x14ac:dyDescent="0.25">
      <c r="B37" s="8031"/>
      <c r="C37" s="2012" t="s">
        <v>1506</v>
      </c>
      <c r="D37" s="1594"/>
      <c r="E37" s="1990">
        <v>1125</v>
      </c>
      <c r="F37" s="1594"/>
      <c r="G37" s="3782">
        <v>1101</v>
      </c>
      <c r="H37" s="1992">
        <f t="shared" si="1"/>
        <v>0</v>
      </c>
      <c r="I37" s="3113">
        <f t="shared" si="2"/>
        <v>2226</v>
      </c>
      <c r="J37" s="1594"/>
      <c r="K37" s="3782">
        <v>2411</v>
      </c>
      <c r="L37" s="1991">
        <f t="shared" si="3"/>
        <v>0</v>
      </c>
      <c r="M37" s="2221">
        <f>E37+G37+K37</f>
        <v>4637</v>
      </c>
      <c r="N37" s="2023"/>
      <c r="O37" s="3782">
        <v>2024</v>
      </c>
      <c r="P37" s="1992">
        <f t="shared" si="4"/>
        <v>0</v>
      </c>
      <c r="Q37" s="1992">
        <f t="shared" si="30"/>
        <v>6661</v>
      </c>
      <c r="R37" s="2023"/>
      <c r="S37" s="3782">
        <v>1124</v>
      </c>
      <c r="T37" s="3117">
        <f t="shared" ref="T37:T39" si="102">+P37+R37</f>
        <v>0</v>
      </c>
      <c r="U37" s="3117">
        <f t="shared" ref="U37:U39" si="103">+Q37+S37</f>
        <v>7785</v>
      </c>
      <c r="V37" s="2023"/>
      <c r="W37" s="3782">
        <v>1147</v>
      </c>
      <c r="X37" s="4197"/>
      <c r="Y37" s="2864">
        <f t="shared" si="8"/>
        <v>4295</v>
      </c>
      <c r="Z37" s="5003">
        <f t="shared" ref="Z37:Z39" si="104">+T37+V37</f>
        <v>0</v>
      </c>
      <c r="AA37" s="5003">
        <f t="shared" ref="AA37:AA39" si="105">+U37+W37</f>
        <v>8932</v>
      </c>
      <c r="AB37" s="2023"/>
      <c r="AC37" s="3782">
        <v>788</v>
      </c>
      <c r="AD37" s="3117">
        <f t="shared" ref="AD37:AD39" si="106">+Z37+AB37</f>
        <v>0</v>
      </c>
      <c r="AE37" s="3117">
        <f t="shared" ref="AE37:AE39" si="107">+AA37+AC37</f>
        <v>9720</v>
      </c>
      <c r="AF37" s="2023"/>
      <c r="AG37" s="3782">
        <v>1097</v>
      </c>
      <c r="AH37" s="3117">
        <f t="shared" ref="AH37:AH39" si="108">+AD37+AF37</f>
        <v>0</v>
      </c>
      <c r="AI37" s="3117">
        <f t="shared" ref="AI37:AI39" si="109">+AE37+AG37</f>
        <v>10817</v>
      </c>
      <c r="AJ37" s="2023"/>
      <c r="AK37" s="3782">
        <v>1141</v>
      </c>
      <c r="AL37" s="4488"/>
      <c r="AM37" s="2864">
        <f t="shared" si="15"/>
        <v>3026</v>
      </c>
      <c r="AN37" s="3117">
        <f t="shared" ref="AN37:AN39" si="110">+AH37+AJ37</f>
        <v>0</v>
      </c>
      <c r="AO37" s="3117">
        <f t="shared" ref="AO37:AO39" si="111">+AI37+AK37</f>
        <v>11958</v>
      </c>
      <c r="AP37" s="2023"/>
      <c r="AQ37" s="3782">
        <v>1818</v>
      </c>
      <c r="AR37" s="3117">
        <f t="shared" ref="AR37:AR39" si="112">+AN37+AP37</f>
        <v>0</v>
      </c>
      <c r="AS37" s="3117">
        <f t="shared" ref="AS37:AS39" si="113">+AO37+AQ37</f>
        <v>13776</v>
      </c>
      <c r="AT37" s="2023"/>
      <c r="AU37" s="3782">
        <v>924</v>
      </c>
      <c r="AV37" s="3117">
        <f t="shared" ref="AV37:AV39" si="114">+AR37+AT37</f>
        <v>0</v>
      </c>
      <c r="AW37" s="3117">
        <f t="shared" ref="AW37:AW39" si="115">+AS37+AU37</f>
        <v>14700</v>
      </c>
      <c r="AX37" s="2023"/>
      <c r="AY37" s="3782">
        <v>1124</v>
      </c>
      <c r="AZ37" s="4488"/>
      <c r="BA37" s="2864">
        <f t="shared" si="22"/>
        <v>3866</v>
      </c>
      <c r="BB37" s="5003">
        <f t="shared" ref="BB37:BB39" si="116">+AV37+AX37</f>
        <v>0</v>
      </c>
      <c r="BC37" s="471">
        <f t="shared" ref="BC37:BC39" si="117">AM37+BA37</f>
        <v>6892</v>
      </c>
      <c r="BD37" s="3117">
        <f t="shared" ref="BD37:BD39" si="118">+AV37+AX37</f>
        <v>0</v>
      </c>
      <c r="BE37" s="3117">
        <f t="shared" ref="BE37:BE39" si="119">+AW37+AY37</f>
        <v>15824</v>
      </c>
      <c r="BF37" s="502">
        <f t="shared" si="27"/>
        <v>0</v>
      </c>
      <c r="BG37" s="502"/>
      <c r="BH37" s="4487"/>
      <c r="BI37" s="4487">
        <f t="shared" si="28"/>
        <v>0</v>
      </c>
      <c r="BJ37" s="4487"/>
      <c r="BK37" s="4487"/>
      <c r="BL37" s="4487"/>
      <c r="BM37" s="4487"/>
      <c r="BN37" s="4487"/>
      <c r="BO37" s="4487"/>
      <c r="BP37" s="4487"/>
      <c r="BQ37" s="4487"/>
      <c r="BR37" s="4487"/>
      <c r="BS37" s="4487"/>
      <c r="BT37" s="4487"/>
      <c r="BU37" s="4487"/>
    </row>
    <row r="38" spans="2:73" ht="18.75" x14ac:dyDescent="0.3">
      <c r="B38" s="8031"/>
      <c r="C38" s="2017" t="s">
        <v>1507</v>
      </c>
      <c r="D38" s="1525"/>
      <c r="E38" s="1990">
        <v>12072</v>
      </c>
      <c r="F38" s="1594"/>
      <c r="G38" s="3782">
        <v>8519</v>
      </c>
      <c r="H38" s="1992">
        <f t="shared" si="1"/>
        <v>0</v>
      </c>
      <c r="I38" s="3113">
        <f t="shared" si="2"/>
        <v>20591</v>
      </c>
      <c r="J38" s="1594"/>
      <c r="K38" s="3782">
        <v>8837</v>
      </c>
      <c r="L38" s="1991">
        <f t="shared" si="3"/>
        <v>0</v>
      </c>
      <c r="M38" s="2221">
        <f>E38+G38+K38</f>
        <v>29428</v>
      </c>
      <c r="N38" s="2023"/>
      <c r="O38" s="3782">
        <v>6122</v>
      </c>
      <c r="P38" s="1992">
        <f t="shared" si="4"/>
        <v>0</v>
      </c>
      <c r="Q38" s="3117">
        <f t="shared" si="30"/>
        <v>35550</v>
      </c>
      <c r="R38" s="2023"/>
      <c r="S38" s="3782">
        <v>6784</v>
      </c>
      <c r="T38" s="3117">
        <f t="shared" si="102"/>
        <v>0</v>
      </c>
      <c r="U38" s="3117">
        <f t="shared" si="103"/>
        <v>42334</v>
      </c>
      <c r="V38" s="2023"/>
      <c r="W38" s="3782">
        <v>13019</v>
      </c>
      <c r="X38" s="4197"/>
      <c r="Y38" s="2864">
        <f t="shared" si="8"/>
        <v>25925</v>
      </c>
      <c r="Z38" s="5003">
        <f t="shared" si="104"/>
        <v>0</v>
      </c>
      <c r="AA38" s="5003">
        <f t="shared" si="105"/>
        <v>55353</v>
      </c>
      <c r="AB38" s="2023"/>
      <c r="AC38" s="3782">
        <v>7578</v>
      </c>
      <c r="AD38" s="3117">
        <f t="shared" si="106"/>
        <v>0</v>
      </c>
      <c r="AE38" s="3117">
        <f t="shared" si="107"/>
        <v>62931</v>
      </c>
      <c r="AF38" s="2023"/>
      <c r="AG38" s="3782">
        <v>8256</v>
      </c>
      <c r="AH38" s="3117">
        <f t="shared" si="108"/>
        <v>0</v>
      </c>
      <c r="AI38" s="3117">
        <f t="shared" si="109"/>
        <v>71187</v>
      </c>
      <c r="AJ38" s="2023"/>
      <c r="AK38" s="3782">
        <v>10799</v>
      </c>
      <c r="AL38" s="4488"/>
      <c r="AM38" s="2864">
        <f t="shared" si="15"/>
        <v>26633</v>
      </c>
      <c r="AN38" s="3117">
        <f t="shared" si="110"/>
        <v>0</v>
      </c>
      <c r="AO38" s="3117">
        <f t="shared" si="111"/>
        <v>81986</v>
      </c>
      <c r="AP38" s="2023"/>
      <c r="AQ38" s="3782">
        <v>10154</v>
      </c>
      <c r="AR38" s="3117">
        <f t="shared" si="112"/>
        <v>0</v>
      </c>
      <c r="AS38" s="3117">
        <f t="shared" si="113"/>
        <v>92140</v>
      </c>
      <c r="AT38" s="2023"/>
      <c r="AU38" s="3782">
        <v>9768</v>
      </c>
      <c r="AV38" s="3117">
        <f t="shared" si="114"/>
        <v>0</v>
      </c>
      <c r="AW38" s="3117">
        <f t="shared" si="115"/>
        <v>101908</v>
      </c>
      <c r="AX38" s="2023"/>
      <c r="AY38" s="3782">
        <v>10693</v>
      </c>
      <c r="AZ38" s="4488"/>
      <c r="BA38" s="2864">
        <f t="shared" si="22"/>
        <v>30615</v>
      </c>
      <c r="BB38" s="5003">
        <f t="shared" si="116"/>
        <v>0</v>
      </c>
      <c r="BC38" s="471">
        <f t="shared" si="117"/>
        <v>57248</v>
      </c>
      <c r="BD38" s="3117">
        <f t="shared" si="118"/>
        <v>0</v>
      </c>
      <c r="BE38" s="3117">
        <f t="shared" si="119"/>
        <v>112601</v>
      </c>
      <c r="BF38" s="502">
        <f t="shared" si="27"/>
        <v>0</v>
      </c>
      <c r="BG38" s="502"/>
      <c r="BH38" s="4487"/>
      <c r="BI38" s="4487">
        <f t="shared" si="28"/>
        <v>0</v>
      </c>
      <c r="BJ38" s="4487"/>
      <c r="BK38" s="4487"/>
      <c r="BL38" s="4487"/>
      <c r="BM38" s="4487"/>
      <c r="BN38" s="4487"/>
      <c r="BO38" s="4487"/>
      <c r="BP38" s="4487"/>
      <c r="BQ38" s="4487"/>
      <c r="BR38" s="4487"/>
      <c r="BS38" s="4487"/>
      <c r="BT38" s="4487"/>
      <c r="BU38" s="4487"/>
    </row>
    <row r="39" spans="2:73" ht="18.75" x14ac:dyDescent="0.25">
      <c r="B39" s="8031"/>
      <c r="C39" s="2018" t="s">
        <v>1508</v>
      </c>
      <c r="D39" s="1141"/>
      <c r="E39" s="1990">
        <v>8537</v>
      </c>
      <c r="F39" s="1594"/>
      <c r="G39" s="3782">
        <v>6709</v>
      </c>
      <c r="H39" s="1992">
        <f t="shared" si="1"/>
        <v>0</v>
      </c>
      <c r="I39" s="3113">
        <f t="shared" si="2"/>
        <v>15246</v>
      </c>
      <c r="J39" s="1594"/>
      <c r="K39" s="3782">
        <v>6692</v>
      </c>
      <c r="L39" s="1991">
        <f t="shared" si="3"/>
        <v>0</v>
      </c>
      <c r="M39" s="2221">
        <f>E39+G39+K39</f>
        <v>21938</v>
      </c>
      <c r="N39" s="2023"/>
      <c r="O39" s="3782">
        <v>5179</v>
      </c>
      <c r="P39" s="1992">
        <f t="shared" si="4"/>
        <v>0</v>
      </c>
      <c r="Q39" s="3117">
        <f t="shared" si="30"/>
        <v>27117</v>
      </c>
      <c r="R39" s="2023"/>
      <c r="S39" s="3782">
        <v>6510</v>
      </c>
      <c r="T39" s="3117">
        <f t="shared" si="102"/>
        <v>0</v>
      </c>
      <c r="U39" s="3117">
        <f t="shared" si="103"/>
        <v>33627</v>
      </c>
      <c r="V39" s="2023"/>
      <c r="W39" s="3782">
        <v>34414</v>
      </c>
      <c r="X39" s="4197"/>
      <c r="Y39" s="2864">
        <f t="shared" si="8"/>
        <v>46103</v>
      </c>
      <c r="Z39" s="5003">
        <f t="shared" si="104"/>
        <v>0</v>
      </c>
      <c r="AA39" s="5003">
        <f t="shared" si="105"/>
        <v>68041</v>
      </c>
      <c r="AB39" s="2023"/>
      <c r="AC39" s="3782">
        <v>4130</v>
      </c>
      <c r="AD39" s="3117">
        <f t="shared" si="106"/>
        <v>0</v>
      </c>
      <c r="AE39" s="3117">
        <f t="shared" si="107"/>
        <v>72171</v>
      </c>
      <c r="AF39" s="2023"/>
      <c r="AG39" s="3782">
        <v>3304</v>
      </c>
      <c r="AH39" s="3117">
        <f t="shared" si="108"/>
        <v>0</v>
      </c>
      <c r="AI39" s="3117">
        <f t="shared" si="109"/>
        <v>75475</v>
      </c>
      <c r="AJ39" s="2023"/>
      <c r="AK39" s="3782">
        <v>0</v>
      </c>
      <c r="AL39" s="4488"/>
      <c r="AM39" s="2864">
        <f t="shared" si="15"/>
        <v>7434</v>
      </c>
      <c r="AN39" s="3117">
        <f t="shared" si="110"/>
        <v>0</v>
      </c>
      <c r="AO39" s="3117">
        <f t="shared" si="111"/>
        <v>75475</v>
      </c>
      <c r="AP39" s="2023"/>
      <c r="AQ39" s="3782">
        <v>4233</v>
      </c>
      <c r="AR39" s="3117">
        <f t="shared" si="112"/>
        <v>0</v>
      </c>
      <c r="AS39" s="3117">
        <f t="shared" si="113"/>
        <v>79708</v>
      </c>
      <c r="AT39" s="2023"/>
      <c r="AU39" s="3782">
        <v>8867</v>
      </c>
      <c r="AV39" s="3117">
        <f t="shared" si="114"/>
        <v>0</v>
      </c>
      <c r="AW39" s="3117">
        <f t="shared" si="115"/>
        <v>88575</v>
      </c>
      <c r="AX39" s="2023"/>
      <c r="AY39" s="3782">
        <v>7637</v>
      </c>
      <c r="AZ39" s="4488"/>
      <c r="BA39" s="2864">
        <f t="shared" si="22"/>
        <v>20737</v>
      </c>
      <c r="BB39" s="5003">
        <f t="shared" si="116"/>
        <v>0</v>
      </c>
      <c r="BC39" s="471">
        <f t="shared" si="117"/>
        <v>28171</v>
      </c>
      <c r="BD39" s="3117">
        <f t="shared" si="118"/>
        <v>0</v>
      </c>
      <c r="BE39" s="3117">
        <f t="shared" si="119"/>
        <v>96212</v>
      </c>
      <c r="BF39" s="502">
        <f t="shared" si="27"/>
        <v>0</v>
      </c>
      <c r="BG39" s="502"/>
      <c r="BH39" s="4487"/>
      <c r="BI39" s="4487">
        <f t="shared" si="28"/>
        <v>0</v>
      </c>
      <c r="BJ39" s="4487"/>
      <c r="BK39" s="4487"/>
      <c r="BL39" s="4487"/>
      <c r="BM39" s="4487"/>
      <c r="BN39" s="4487"/>
      <c r="BO39" s="4487"/>
      <c r="BP39" s="4487"/>
      <c r="BQ39" s="4487"/>
      <c r="BR39" s="4487"/>
      <c r="BS39" s="4487"/>
      <c r="BT39" s="4487"/>
      <c r="BU39" s="4487"/>
    </row>
    <row r="40" spans="2:73" ht="18.75" x14ac:dyDescent="0.25">
      <c r="B40" s="8031"/>
      <c r="C40" s="2018"/>
      <c r="D40" s="1141"/>
      <c r="E40" s="1141"/>
      <c r="F40" s="1141"/>
      <c r="G40" s="1141"/>
      <c r="H40" s="379"/>
      <c r="I40" s="3783"/>
      <c r="J40" s="1141"/>
      <c r="K40" s="1141"/>
      <c r="L40" s="379"/>
      <c r="M40" s="379"/>
      <c r="N40" s="415"/>
      <c r="O40" s="1141"/>
      <c r="P40" s="379"/>
      <c r="Q40" s="379"/>
      <c r="R40" s="415"/>
      <c r="S40" s="1141"/>
      <c r="T40" s="379"/>
      <c r="U40" s="379"/>
      <c r="V40" s="415"/>
      <c r="W40" s="1141"/>
      <c r="X40" s="3039"/>
      <c r="Y40" s="379"/>
      <c r="Z40" s="379"/>
      <c r="AA40" s="379"/>
      <c r="AB40" s="415"/>
      <c r="AC40" s="1141"/>
      <c r="AD40" s="379"/>
      <c r="AE40" s="379"/>
      <c r="AF40" s="415"/>
      <c r="AG40" s="1141"/>
      <c r="AH40" s="379"/>
      <c r="AI40" s="379"/>
      <c r="AJ40" s="415"/>
      <c r="AK40" s="1141"/>
      <c r="AL40" s="3039"/>
      <c r="AM40" s="379"/>
      <c r="AN40" s="379"/>
      <c r="AO40" s="379"/>
      <c r="AP40" s="415"/>
      <c r="AQ40" s="1141"/>
      <c r="AR40" s="379"/>
      <c r="AS40" s="379"/>
      <c r="AT40" s="415"/>
      <c r="AU40" s="1141"/>
      <c r="AV40" s="379"/>
      <c r="AW40" s="379"/>
      <c r="AX40" s="415"/>
      <c r="AY40" s="1141"/>
      <c r="AZ40" s="3039"/>
      <c r="BA40" s="379"/>
      <c r="BB40" s="379"/>
      <c r="BC40" s="379"/>
      <c r="BD40" s="379"/>
      <c r="BE40" s="379"/>
      <c r="BF40" s="502">
        <f t="shared" si="27"/>
        <v>0</v>
      </c>
      <c r="BG40" s="502"/>
      <c r="BH40" s="4487"/>
      <c r="BI40" s="4487">
        <f t="shared" si="28"/>
        <v>0</v>
      </c>
      <c r="BJ40" s="4487"/>
      <c r="BK40" s="4487"/>
      <c r="BL40" s="4487"/>
      <c r="BM40" s="4487"/>
      <c r="BN40" s="4487"/>
      <c r="BO40" s="4487"/>
      <c r="BP40" s="4487"/>
      <c r="BQ40" s="4487"/>
      <c r="BR40" s="4487"/>
      <c r="BS40" s="4487"/>
      <c r="BT40" s="4487"/>
      <c r="BU40" s="4487"/>
    </row>
    <row r="41" spans="2:73" ht="18.75" x14ac:dyDescent="0.3">
      <c r="B41" s="8031"/>
      <c r="C41" s="2016" t="s">
        <v>1509</v>
      </c>
      <c r="D41" s="2010"/>
      <c r="E41" s="2010"/>
      <c r="F41" s="2010"/>
      <c r="G41" s="2010"/>
      <c r="H41" s="379"/>
      <c r="I41" s="3783"/>
      <c r="J41" s="2010"/>
      <c r="K41" s="2010"/>
      <c r="L41" s="379"/>
      <c r="M41" s="379"/>
      <c r="N41" s="415"/>
      <c r="O41" s="2010"/>
      <c r="P41" s="379"/>
      <c r="Q41" s="379"/>
      <c r="R41" s="415"/>
      <c r="S41" s="2010"/>
      <c r="T41" s="379"/>
      <c r="U41" s="379"/>
      <c r="V41" s="415"/>
      <c r="W41" s="2010"/>
      <c r="X41" s="4407"/>
      <c r="Y41" s="379"/>
      <c r="Z41" s="379"/>
      <c r="AA41" s="379"/>
      <c r="AB41" s="415"/>
      <c r="AC41" s="2010"/>
      <c r="AD41" s="379"/>
      <c r="AE41" s="379"/>
      <c r="AF41" s="415"/>
      <c r="AG41" s="2010"/>
      <c r="AH41" s="379"/>
      <c r="AI41" s="379"/>
      <c r="AJ41" s="415"/>
      <c r="AK41" s="2010"/>
      <c r="AL41" s="4407"/>
      <c r="AM41" s="379"/>
      <c r="AN41" s="379"/>
      <c r="AO41" s="379"/>
      <c r="AP41" s="415"/>
      <c r="AQ41" s="2010"/>
      <c r="AR41" s="379"/>
      <c r="AS41" s="379"/>
      <c r="AT41" s="415"/>
      <c r="AU41" s="2010"/>
      <c r="AV41" s="379"/>
      <c r="AW41" s="379"/>
      <c r="AX41" s="415"/>
      <c r="AY41" s="2010"/>
      <c r="AZ41" s="4407"/>
      <c r="BA41" s="379"/>
      <c r="BB41" s="379"/>
      <c r="BC41" s="379"/>
      <c r="BD41" s="379"/>
      <c r="BE41" s="379"/>
      <c r="BF41" s="502">
        <f t="shared" si="27"/>
        <v>0</v>
      </c>
      <c r="BG41" s="502"/>
      <c r="BH41" s="4487"/>
      <c r="BI41" s="4487">
        <f t="shared" si="28"/>
        <v>0</v>
      </c>
      <c r="BJ41" s="4487"/>
      <c r="BK41" s="4487"/>
      <c r="BL41" s="4487"/>
      <c r="BM41" s="4487"/>
      <c r="BN41" s="4487"/>
      <c r="BO41" s="4487"/>
      <c r="BP41" s="4487"/>
      <c r="BQ41" s="4487"/>
      <c r="BR41" s="4487"/>
      <c r="BS41" s="4487"/>
      <c r="BT41" s="4487"/>
      <c r="BU41" s="4487"/>
    </row>
    <row r="42" spans="2:73" ht="18.75" x14ac:dyDescent="0.3">
      <c r="B42" s="8031"/>
      <c r="C42" s="2019" t="s">
        <v>1143</v>
      </c>
      <c r="D42" s="2011"/>
      <c r="E42" s="4316">
        <f>+LDCP!F8</f>
        <v>21630</v>
      </c>
      <c r="F42" s="379"/>
      <c r="G42" s="4316">
        <f>+LDCP!H8</f>
        <v>14492</v>
      </c>
      <c r="H42" s="1992">
        <f t="shared" si="1"/>
        <v>0</v>
      </c>
      <c r="I42" s="3113">
        <f t="shared" si="2"/>
        <v>36122</v>
      </c>
      <c r="J42" s="379"/>
      <c r="K42" s="4316">
        <f>+LDCP!L8</f>
        <v>14309</v>
      </c>
      <c r="L42" s="1991">
        <f t="shared" si="3"/>
        <v>0</v>
      </c>
      <c r="M42" s="2221">
        <f>E42+G42+K42</f>
        <v>50431</v>
      </c>
      <c r="N42" s="253"/>
      <c r="O42" s="4316">
        <f>+LDCP!P8</f>
        <v>18251</v>
      </c>
      <c r="P42" s="1992">
        <f t="shared" si="4"/>
        <v>0</v>
      </c>
      <c r="Q42" s="1992">
        <f t="shared" si="30"/>
        <v>68682</v>
      </c>
      <c r="R42" s="253"/>
      <c r="S42" s="4316">
        <f>+LDCP!T8</f>
        <v>15345</v>
      </c>
      <c r="T42" s="3117">
        <f t="shared" ref="T42:T43" si="120">+P42+R42</f>
        <v>0</v>
      </c>
      <c r="U42" s="3117">
        <f t="shared" ref="U42:U43" si="121">+Q42+S42</f>
        <v>84027</v>
      </c>
      <c r="V42" s="253"/>
      <c r="W42" s="4316">
        <f>+LDCP!X8</f>
        <v>15590</v>
      </c>
      <c r="X42" s="4408"/>
      <c r="Y42" s="2864">
        <f t="shared" si="8"/>
        <v>49186</v>
      </c>
      <c r="Z42" s="5003">
        <f t="shared" ref="Z42:Z43" si="122">+T42+V42</f>
        <v>0</v>
      </c>
      <c r="AA42" s="5003">
        <f t="shared" ref="AA42:AA43" si="123">+U42+W42</f>
        <v>99617</v>
      </c>
      <c r="AB42" s="253"/>
      <c r="AC42" s="4316">
        <f>+LDCP!AD8</f>
        <v>14399</v>
      </c>
      <c r="AD42" s="3117">
        <f t="shared" ref="AD42:AD43" si="124">+Z42+AB42</f>
        <v>0</v>
      </c>
      <c r="AE42" s="3117">
        <f t="shared" ref="AE42:AE43" si="125">+AA42+AC42</f>
        <v>114016</v>
      </c>
      <c r="AF42" s="253"/>
      <c r="AG42" s="4316">
        <f>+LDCP!AH8</f>
        <v>13904</v>
      </c>
      <c r="AH42" s="3117">
        <f t="shared" ref="AH42:AH43" si="126">+AD42+AF42</f>
        <v>0</v>
      </c>
      <c r="AI42" s="3117">
        <f t="shared" ref="AI42:AI43" si="127">+AE42+AG42</f>
        <v>127920</v>
      </c>
      <c r="AJ42" s="253"/>
      <c r="AK42" s="4316">
        <f>+LDCP!AL8</f>
        <v>13680</v>
      </c>
      <c r="AL42" s="4408"/>
      <c r="AM42" s="2864">
        <f t="shared" si="15"/>
        <v>41983</v>
      </c>
      <c r="AN42" s="3117">
        <f t="shared" ref="AN42:AN43" si="128">+AH42+AJ42</f>
        <v>0</v>
      </c>
      <c r="AO42" s="3117">
        <f t="shared" ref="AO42:AO43" si="129">+AI42+AK42</f>
        <v>141600</v>
      </c>
      <c r="AP42" s="253"/>
      <c r="AQ42" s="4316">
        <f>+LDCP!AR8</f>
        <v>16886</v>
      </c>
      <c r="AR42" s="3117">
        <f t="shared" ref="AR42:AR43" si="130">+AN42+AP42</f>
        <v>0</v>
      </c>
      <c r="AS42" s="3117">
        <f t="shared" ref="AS42:AS43" si="131">+AO42+AQ42</f>
        <v>158486</v>
      </c>
      <c r="AT42" s="253"/>
      <c r="AU42" s="4316">
        <f>+LDCP!AV8</f>
        <v>13762</v>
      </c>
      <c r="AV42" s="3117">
        <f t="shared" ref="AV42:AV43" si="132">+AR42+AT42</f>
        <v>0</v>
      </c>
      <c r="AW42" s="3117">
        <f t="shared" ref="AW42:AW43" si="133">+AS42+AU42</f>
        <v>172248</v>
      </c>
      <c r="AX42" s="253"/>
      <c r="AY42" s="4316">
        <f>+LDCP!AZ8</f>
        <v>15445</v>
      </c>
      <c r="AZ42" s="4408"/>
      <c r="BA42" s="2864">
        <f t="shared" si="22"/>
        <v>46093</v>
      </c>
      <c r="BB42" s="5003">
        <f t="shared" ref="BB42:BB43" si="134">+AV42+AX42</f>
        <v>0</v>
      </c>
      <c r="BC42" s="471">
        <f t="shared" ref="BC42:BC43" si="135">AM42+BA42</f>
        <v>88076</v>
      </c>
      <c r="BD42" s="3117">
        <f t="shared" ref="BD42:BD43" si="136">+AV42+AX42</f>
        <v>0</v>
      </c>
      <c r="BE42" s="3117">
        <f t="shared" ref="BE42:BE43" si="137">+AW42+AY42</f>
        <v>187693</v>
      </c>
      <c r="BF42" s="502">
        <f t="shared" si="27"/>
        <v>0</v>
      </c>
      <c r="BG42" s="502"/>
      <c r="BH42" s="4487"/>
      <c r="BI42" s="4487">
        <f t="shared" si="28"/>
        <v>0</v>
      </c>
      <c r="BJ42" s="4487"/>
      <c r="BK42" s="4487"/>
      <c r="BL42" s="4487"/>
      <c r="BM42" s="4487"/>
      <c r="BN42" s="4487"/>
      <c r="BO42" s="4487"/>
      <c r="BP42" s="4487"/>
      <c r="BQ42" s="4487"/>
      <c r="BR42" s="4487"/>
      <c r="BS42" s="4487"/>
      <c r="BT42" s="4487"/>
      <c r="BU42" s="4487"/>
    </row>
    <row r="43" spans="2:73" ht="18.75" x14ac:dyDescent="0.3">
      <c r="B43" s="8032"/>
      <c r="C43" s="2019" t="s">
        <v>1144</v>
      </c>
      <c r="D43" s="2011"/>
      <c r="E43" s="4316">
        <f>+LDCP!F22</f>
        <v>7951</v>
      </c>
      <c r="F43" s="379"/>
      <c r="G43" s="4316">
        <f>+LDCP!H22</f>
        <v>3120</v>
      </c>
      <c r="H43" s="1992">
        <f t="shared" si="1"/>
        <v>0</v>
      </c>
      <c r="I43" s="3113">
        <f t="shared" si="2"/>
        <v>11071</v>
      </c>
      <c r="J43" s="379"/>
      <c r="K43" s="4316">
        <f>+LDCP!L22</f>
        <v>4718</v>
      </c>
      <c r="L43" s="1991">
        <f t="shared" si="3"/>
        <v>0</v>
      </c>
      <c r="M43" s="2221">
        <f>E43+G43+K43</f>
        <v>15789</v>
      </c>
      <c r="N43" s="253"/>
      <c r="O43" s="4316">
        <f>+LDCP!P22</f>
        <v>4945</v>
      </c>
      <c r="P43" s="1992">
        <f t="shared" si="4"/>
        <v>0</v>
      </c>
      <c r="Q43" s="3117">
        <f t="shared" si="30"/>
        <v>20734</v>
      </c>
      <c r="R43" s="253"/>
      <c r="S43" s="4316">
        <f>+LDCP!T22</f>
        <v>5736</v>
      </c>
      <c r="T43" s="3117">
        <f t="shared" si="120"/>
        <v>0</v>
      </c>
      <c r="U43" s="3117">
        <f t="shared" si="121"/>
        <v>26470</v>
      </c>
      <c r="V43" s="253"/>
      <c r="W43" s="4316">
        <f>+LDCP!X22</f>
        <v>7623</v>
      </c>
      <c r="X43" s="4408"/>
      <c r="Y43" s="2864">
        <f t="shared" si="8"/>
        <v>18304</v>
      </c>
      <c r="Z43" s="5003">
        <f t="shared" si="122"/>
        <v>0</v>
      </c>
      <c r="AA43" s="5003">
        <f t="shared" si="123"/>
        <v>34093</v>
      </c>
      <c r="AB43" s="253"/>
      <c r="AC43" s="4316">
        <f>+LDCP!AD22</f>
        <v>3494</v>
      </c>
      <c r="AD43" s="3117">
        <f t="shared" si="124"/>
        <v>0</v>
      </c>
      <c r="AE43" s="3117">
        <f t="shared" si="125"/>
        <v>37587</v>
      </c>
      <c r="AF43" s="253"/>
      <c r="AG43" s="4316">
        <f>+LDCP!AH22</f>
        <v>1815</v>
      </c>
      <c r="AH43" s="3117">
        <f t="shared" si="126"/>
        <v>0</v>
      </c>
      <c r="AI43" s="3117">
        <f t="shared" si="127"/>
        <v>39402</v>
      </c>
      <c r="AJ43" s="253"/>
      <c r="AK43" s="4316">
        <f>+LDCP!AL22</f>
        <v>0</v>
      </c>
      <c r="AL43" s="4408"/>
      <c r="AM43" s="2864">
        <f t="shared" si="15"/>
        <v>5309</v>
      </c>
      <c r="AN43" s="3117">
        <f t="shared" si="128"/>
        <v>0</v>
      </c>
      <c r="AO43" s="3117">
        <f t="shared" si="129"/>
        <v>39402</v>
      </c>
      <c r="AP43" s="253"/>
      <c r="AQ43" s="4316">
        <f>+LDCP!AR22</f>
        <v>3442</v>
      </c>
      <c r="AR43" s="3117">
        <f t="shared" si="130"/>
        <v>0</v>
      </c>
      <c r="AS43" s="3117">
        <f t="shared" si="131"/>
        <v>42844</v>
      </c>
      <c r="AT43" s="253"/>
      <c r="AU43" s="4316">
        <f>+LDCP!AV22</f>
        <v>5047</v>
      </c>
      <c r="AV43" s="3117">
        <f t="shared" si="132"/>
        <v>0</v>
      </c>
      <c r="AW43" s="3117">
        <f t="shared" si="133"/>
        <v>47891</v>
      </c>
      <c r="AX43" s="253"/>
      <c r="AY43" s="4316">
        <f>+LDCP!AZ22</f>
        <v>5187</v>
      </c>
      <c r="AZ43" s="4408"/>
      <c r="BA43" s="2864">
        <f t="shared" si="22"/>
        <v>13676</v>
      </c>
      <c r="BB43" s="5003">
        <f t="shared" si="134"/>
        <v>0</v>
      </c>
      <c r="BC43" s="471">
        <f t="shared" si="135"/>
        <v>18985</v>
      </c>
      <c r="BD43" s="3117">
        <f t="shared" si="136"/>
        <v>0</v>
      </c>
      <c r="BE43" s="3117">
        <f t="shared" si="137"/>
        <v>53078</v>
      </c>
      <c r="BF43" s="502">
        <f t="shared" si="27"/>
        <v>0</v>
      </c>
      <c r="BG43" s="502"/>
      <c r="BH43" s="4487"/>
      <c r="BI43" s="4487">
        <f t="shared" si="28"/>
        <v>0</v>
      </c>
      <c r="BJ43" s="4487"/>
      <c r="BK43" s="4487"/>
      <c r="BL43" s="4487"/>
      <c r="BM43" s="4487"/>
      <c r="BN43" s="4487"/>
      <c r="BO43" s="4487"/>
      <c r="BP43" s="4487"/>
      <c r="BQ43" s="4487"/>
      <c r="BR43" s="4487"/>
      <c r="BS43" s="4487"/>
      <c r="BT43" s="4487"/>
      <c r="BU43" s="4487"/>
    </row>
    <row r="44" spans="2:73" s="4487" customFormat="1" x14ac:dyDescent="0.25">
      <c r="BB44" s="427"/>
      <c r="BC44" s="427"/>
      <c r="BF44" s="502">
        <f t="shared" si="27"/>
        <v>0</v>
      </c>
      <c r="BG44" s="502"/>
      <c r="BI44" s="4487">
        <f t="shared" si="28"/>
        <v>0</v>
      </c>
    </row>
    <row r="45" spans="2:73" ht="18.75" x14ac:dyDescent="0.3">
      <c r="B45" s="8033" t="s">
        <v>1510</v>
      </c>
      <c r="C45" s="2020" t="s">
        <v>1511</v>
      </c>
      <c r="D45" s="2007"/>
      <c r="E45" s="1993">
        <f>+E46+E47+E48</f>
        <v>23229</v>
      </c>
      <c r="F45" s="2007"/>
      <c r="G45" s="5591">
        <f>+G46+G47+G48</f>
        <v>12422</v>
      </c>
      <c r="H45" s="1992">
        <f t="shared" si="1"/>
        <v>0</v>
      </c>
      <c r="I45" s="3402">
        <f t="shared" si="2"/>
        <v>35651</v>
      </c>
      <c r="J45" s="1993">
        <f t="shared" ref="J45:N45" si="138">+J46+J47+J48</f>
        <v>0</v>
      </c>
      <c r="K45" s="5686">
        <f>+K46+K47+K48</f>
        <v>17423</v>
      </c>
      <c r="L45" s="1991">
        <f t="shared" si="3"/>
        <v>0</v>
      </c>
      <c r="M45" s="2221">
        <f t="shared" ref="M45:M51" si="139">E45+G45+K45</f>
        <v>53074</v>
      </c>
      <c r="N45" s="1993">
        <f t="shared" si="138"/>
        <v>0</v>
      </c>
      <c r="O45" s="5844">
        <f>+O46+O47+O48</f>
        <v>26940</v>
      </c>
      <c r="P45" s="1992">
        <f t="shared" si="4"/>
        <v>0</v>
      </c>
      <c r="Q45" s="3779">
        <f t="shared" si="30"/>
        <v>80014</v>
      </c>
      <c r="R45" s="4344">
        <f t="shared" ref="R45" si="140">+R46+R47+R48</f>
        <v>0</v>
      </c>
      <c r="S45" s="5913">
        <f>+S46+S47+S48</f>
        <v>20134</v>
      </c>
      <c r="T45" s="3117">
        <f t="shared" ref="T45:T51" si="141">+P45+R45</f>
        <v>0</v>
      </c>
      <c r="U45" s="3779">
        <f t="shared" ref="U45:U51" si="142">+Q45+S45</f>
        <v>100148</v>
      </c>
      <c r="V45" s="4400">
        <f t="shared" ref="V45" si="143">+V46+V47+V48</f>
        <v>0</v>
      </c>
      <c r="W45" s="6013">
        <f>+W46+W47+W48</f>
        <v>25770</v>
      </c>
      <c r="X45" s="3251"/>
      <c r="Y45" s="2864">
        <f t="shared" si="8"/>
        <v>72844</v>
      </c>
      <c r="Z45" s="3117">
        <f t="shared" ref="Z45:Z51" si="144">+T45+V45</f>
        <v>0</v>
      </c>
      <c r="AA45" s="5003">
        <f t="shared" ref="AA45:AA51" si="145">+U45+W45</f>
        <v>125918</v>
      </c>
      <c r="AB45" s="4566">
        <f t="shared" ref="AB45" si="146">+AB46+AB47+AB48</f>
        <v>0</v>
      </c>
      <c r="AC45" s="6144">
        <f>+AC46+AC47+AC48</f>
        <v>29022</v>
      </c>
      <c r="AD45" s="3117">
        <f t="shared" ref="AD45:AD51" si="147">+Z45+AB45</f>
        <v>0</v>
      </c>
      <c r="AE45" s="3779">
        <f t="shared" ref="AE45:AE51" si="148">+AA45+AC45</f>
        <v>154940</v>
      </c>
      <c r="AF45" s="4626">
        <f t="shared" ref="AF45" si="149">+AF46+AF47+AF48</f>
        <v>0</v>
      </c>
      <c r="AG45" s="6306">
        <f>+AG46+AG47+AG48</f>
        <v>25512</v>
      </c>
      <c r="AH45" s="3117">
        <f t="shared" ref="AH45:AH51" si="150">+AD45+AF45</f>
        <v>0</v>
      </c>
      <c r="AI45" s="3779">
        <f t="shared" ref="AI45:AI51" si="151">+AE45+AG45</f>
        <v>180452</v>
      </c>
      <c r="AJ45" s="4922">
        <f t="shared" ref="AJ45" si="152">+AJ46+AJ47+AJ48</f>
        <v>0</v>
      </c>
      <c r="AK45" s="6568">
        <f>+AK46+AK47+AK48</f>
        <v>22853</v>
      </c>
      <c r="AL45" s="3251"/>
      <c r="AM45" s="2864">
        <f t="shared" ref="AM45:AM51" si="153">AC45+AG45+AK45</f>
        <v>77387</v>
      </c>
      <c r="AN45" s="3117">
        <f t="shared" ref="AN45:AN51" si="154">+AH45+AJ45</f>
        <v>0</v>
      </c>
      <c r="AO45" s="3779">
        <f t="shared" ref="AO45:AO51" si="155">+AI45+AK45</f>
        <v>203305</v>
      </c>
      <c r="AP45" s="6649">
        <f t="shared" ref="AP45" si="156">+AP46+AP47+AP48</f>
        <v>0</v>
      </c>
      <c r="AQ45" s="6649">
        <f>+AQ46+AQ47+AQ48</f>
        <v>24050</v>
      </c>
      <c r="AR45" s="3117">
        <f t="shared" ref="AR45:AR51" si="157">+AN45+AP45</f>
        <v>0</v>
      </c>
      <c r="AS45" s="3779">
        <f t="shared" ref="AS45:AS51" si="158">+AO45+AQ45</f>
        <v>227355</v>
      </c>
      <c r="AT45" s="5021">
        <f t="shared" ref="AT45" si="159">+AT46+AT47+AT48</f>
        <v>0</v>
      </c>
      <c r="AU45" s="6829">
        <f>+AU46+AU47+AU48</f>
        <v>17230</v>
      </c>
      <c r="AV45" s="3117">
        <f t="shared" ref="AV45:AV51" si="160">+AR45+AT45</f>
        <v>0</v>
      </c>
      <c r="AW45" s="3779">
        <f t="shared" ref="AW45:AW51" si="161">+AS45+AU45</f>
        <v>244585</v>
      </c>
      <c r="AX45" s="5110">
        <f t="shared" ref="AX45" si="162">+AX46+AX47+AX48</f>
        <v>0</v>
      </c>
      <c r="AY45" s="6982">
        <f>+AY46+AY47+AY48</f>
        <v>12584</v>
      </c>
      <c r="AZ45" s="3251"/>
      <c r="BA45" s="2864">
        <f t="shared" ref="BA45:BA51" si="163">AQ45+AU45+AY45</f>
        <v>53864</v>
      </c>
      <c r="BB45" s="5003">
        <f t="shared" ref="BB45:BB51" si="164">+AV45+AX45</f>
        <v>0</v>
      </c>
      <c r="BC45" s="471">
        <f t="shared" ref="BC45:BC51" si="165">AM45+BA45</f>
        <v>131251</v>
      </c>
      <c r="BD45" s="3117">
        <f t="shared" ref="BD45:BD51" si="166">+AV45+AX45</f>
        <v>0</v>
      </c>
      <c r="BE45" s="3779">
        <f t="shared" ref="BE45:BE51" si="167">+AW45+AY45</f>
        <v>257169</v>
      </c>
      <c r="BF45" s="502">
        <f t="shared" si="27"/>
        <v>0</v>
      </c>
      <c r="BG45" s="502"/>
      <c r="BH45" s="4487"/>
      <c r="BI45" s="4487">
        <f t="shared" si="28"/>
        <v>0</v>
      </c>
      <c r="BJ45" s="4487"/>
      <c r="BK45" s="4487"/>
      <c r="BL45" s="4487"/>
      <c r="BM45" s="4487"/>
      <c r="BN45" s="4487"/>
      <c r="BO45" s="4487"/>
      <c r="BP45" s="4487"/>
      <c r="BQ45" s="4487"/>
    </row>
    <row r="46" spans="2:73" ht="18.75" x14ac:dyDescent="0.25">
      <c r="B46" s="8034"/>
      <c r="C46" s="2012" t="s">
        <v>758</v>
      </c>
      <c r="D46" s="1594"/>
      <c r="E46" s="196">
        <f>+SINTER!F42</f>
        <v>11339</v>
      </c>
      <c r="F46" s="1594"/>
      <c r="G46" s="196">
        <f>+SINTER!H42</f>
        <v>3012</v>
      </c>
      <c r="H46" s="1992">
        <f t="shared" si="1"/>
        <v>0</v>
      </c>
      <c r="I46" s="3113">
        <f t="shared" si="2"/>
        <v>14351</v>
      </c>
      <c r="J46" s="1594"/>
      <c r="K46" s="196">
        <f>+SINTER!L42</f>
        <v>6321</v>
      </c>
      <c r="L46" s="1991">
        <f t="shared" si="3"/>
        <v>0</v>
      </c>
      <c r="M46" s="2221">
        <f t="shared" si="139"/>
        <v>20672</v>
      </c>
      <c r="N46" s="2023"/>
      <c r="O46" s="196">
        <f>+SINTER!P42</f>
        <v>15515</v>
      </c>
      <c r="P46" s="1992">
        <f t="shared" si="4"/>
        <v>0</v>
      </c>
      <c r="Q46" s="3779">
        <f t="shared" si="30"/>
        <v>36187</v>
      </c>
      <c r="R46" s="2023"/>
      <c r="S46" s="196">
        <f>+SINTER!T42</f>
        <v>12053</v>
      </c>
      <c r="T46" s="3117">
        <f t="shared" si="141"/>
        <v>0</v>
      </c>
      <c r="U46" s="3779">
        <f t="shared" si="142"/>
        <v>48240</v>
      </c>
      <c r="V46" s="2023"/>
      <c r="W46" s="196">
        <f>+SINTER!X42</f>
        <v>14458</v>
      </c>
      <c r="X46" s="3040"/>
      <c r="Y46" s="2864">
        <f t="shared" si="8"/>
        <v>42026</v>
      </c>
      <c r="Z46" s="3117">
        <f t="shared" si="144"/>
        <v>0</v>
      </c>
      <c r="AA46" s="5003">
        <f t="shared" si="145"/>
        <v>62698</v>
      </c>
      <c r="AB46" s="2023"/>
      <c r="AC46" s="196">
        <f>+SINTER!AD42</f>
        <v>17691</v>
      </c>
      <c r="AD46" s="3117">
        <f t="shared" si="147"/>
        <v>0</v>
      </c>
      <c r="AE46" s="3779">
        <f t="shared" si="148"/>
        <v>80389</v>
      </c>
      <c r="AF46" s="2023"/>
      <c r="AG46" s="196">
        <f>+SINTER!AH42</f>
        <v>10278</v>
      </c>
      <c r="AH46" s="3117">
        <f t="shared" si="150"/>
        <v>0</v>
      </c>
      <c r="AI46" s="3779">
        <f t="shared" si="151"/>
        <v>90667</v>
      </c>
      <c r="AJ46" s="2023"/>
      <c r="AK46" s="196">
        <f>+SINTER!AL42</f>
        <v>7828</v>
      </c>
      <c r="AL46" s="3040"/>
      <c r="AM46" s="2864">
        <f t="shared" si="153"/>
        <v>35797</v>
      </c>
      <c r="AN46" s="3117">
        <f t="shared" si="154"/>
        <v>0</v>
      </c>
      <c r="AO46" s="3779">
        <f t="shared" si="155"/>
        <v>98495</v>
      </c>
      <c r="AP46" s="2023"/>
      <c r="AQ46" s="196">
        <f>+SINTER!AR42</f>
        <v>10781</v>
      </c>
      <c r="AR46" s="3117">
        <f t="shared" si="157"/>
        <v>0</v>
      </c>
      <c r="AS46" s="3779">
        <f t="shared" si="158"/>
        <v>109276</v>
      </c>
      <c r="AT46" s="2023"/>
      <c r="AU46" s="196">
        <f>+SINTER!AV42</f>
        <v>6934</v>
      </c>
      <c r="AV46" s="3117">
        <f t="shared" si="160"/>
        <v>0</v>
      </c>
      <c r="AW46" s="3779">
        <f t="shared" si="161"/>
        <v>116210</v>
      </c>
      <c r="AX46" s="2023"/>
      <c r="AY46" s="196">
        <f>+SINTER!AZ42</f>
        <v>2773</v>
      </c>
      <c r="AZ46" s="3040"/>
      <c r="BA46" s="2864">
        <f t="shared" si="163"/>
        <v>20488</v>
      </c>
      <c r="BB46" s="5003">
        <f t="shared" si="164"/>
        <v>0</v>
      </c>
      <c r="BC46" s="471">
        <f t="shared" si="165"/>
        <v>56285</v>
      </c>
      <c r="BD46" s="3117">
        <f t="shared" si="166"/>
        <v>0</v>
      </c>
      <c r="BE46" s="3779">
        <f t="shared" si="167"/>
        <v>118983</v>
      </c>
      <c r="BF46" s="502">
        <f t="shared" si="27"/>
        <v>0</v>
      </c>
      <c r="BG46" s="502"/>
      <c r="BH46" s="4487"/>
      <c r="BI46" s="4487">
        <f t="shared" si="28"/>
        <v>0</v>
      </c>
      <c r="BJ46" s="4487"/>
      <c r="BK46" s="4487"/>
      <c r="BL46" s="4487"/>
      <c r="BM46" s="4487"/>
      <c r="BN46" s="4487"/>
      <c r="BO46" s="4487"/>
      <c r="BP46" s="4487"/>
      <c r="BQ46" s="4487"/>
    </row>
    <row r="47" spans="2:73" ht="18.75" x14ac:dyDescent="0.25">
      <c r="B47" s="8034"/>
      <c r="C47" s="2012" t="s">
        <v>757</v>
      </c>
      <c r="D47" s="1594"/>
      <c r="E47" s="196">
        <f>+SINTER!F43</f>
        <v>1763</v>
      </c>
      <c r="F47" s="1594"/>
      <c r="G47" s="196">
        <f>+SINTER!H43</f>
        <v>1342</v>
      </c>
      <c r="H47" s="1992">
        <f t="shared" si="1"/>
        <v>0</v>
      </c>
      <c r="I47" s="3113">
        <f t="shared" si="2"/>
        <v>3105</v>
      </c>
      <c r="J47" s="1594"/>
      <c r="K47" s="196">
        <f>+SINTER!L43</f>
        <v>1148</v>
      </c>
      <c r="L47" s="1991">
        <f t="shared" si="3"/>
        <v>0</v>
      </c>
      <c r="M47" s="2221">
        <f t="shared" si="139"/>
        <v>4253</v>
      </c>
      <c r="N47" s="2023"/>
      <c r="O47" s="196">
        <f>+SINTER!P43</f>
        <v>872</v>
      </c>
      <c r="P47" s="1992">
        <f t="shared" si="4"/>
        <v>0</v>
      </c>
      <c r="Q47" s="3779">
        <f t="shared" si="30"/>
        <v>5125</v>
      </c>
      <c r="R47" s="2023"/>
      <c r="S47" s="196">
        <f>+SINTER!T43</f>
        <v>302</v>
      </c>
      <c r="T47" s="3117">
        <f t="shared" si="141"/>
        <v>0</v>
      </c>
      <c r="U47" s="3779">
        <f t="shared" si="142"/>
        <v>5427</v>
      </c>
      <c r="V47" s="2023"/>
      <c r="W47" s="196">
        <f>+SINTER!X43</f>
        <v>928</v>
      </c>
      <c r="X47" s="3040"/>
      <c r="Y47" s="2864">
        <f t="shared" si="8"/>
        <v>2102</v>
      </c>
      <c r="Z47" s="3117">
        <f t="shared" si="144"/>
        <v>0</v>
      </c>
      <c r="AA47" s="5003">
        <f t="shared" si="145"/>
        <v>6355</v>
      </c>
      <c r="AB47" s="2023"/>
      <c r="AC47" s="196">
        <f>+SINTER!AD43</f>
        <v>2770</v>
      </c>
      <c r="AD47" s="3117">
        <f t="shared" si="147"/>
        <v>0</v>
      </c>
      <c r="AE47" s="3779">
        <f t="shared" si="148"/>
        <v>9125</v>
      </c>
      <c r="AF47" s="2023"/>
      <c r="AG47" s="196">
        <f>+SINTER!AH43</f>
        <v>5274</v>
      </c>
      <c r="AH47" s="3117">
        <f t="shared" si="150"/>
        <v>0</v>
      </c>
      <c r="AI47" s="3779">
        <f t="shared" si="151"/>
        <v>14399</v>
      </c>
      <c r="AJ47" s="2023"/>
      <c r="AK47" s="196">
        <f>+SINTER!AL43</f>
        <v>6649</v>
      </c>
      <c r="AL47" s="3040"/>
      <c r="AM47" s="2864">
        <f t="shared" si="153"/>
        <v>14693</v>
      </c>
      <c r="AN47" s="3117">
        <f t="shared" si="154"/>
        <v>0</v>
      </c>
      <c r="AO47" s="3779">
        <f t="shared" si="155"/>
        <v>21048</v>
      </c>
      <c r="AP47" s="2023"/>
      <c r="AQ47" s="196">
        <f>+SINTER!AR43</f>
        <v>4936</v>
      </c>
      <c r="AR47" s="3117">
        <f t="shared" si="157"/>
        <v>0</v>
      </c>
      <c r="AS47" s="3779">
        <f t="shared" si="158"/>
        <v>25984</v>
      </c>
      <c r="AT47" s="2023"/>
      <c r="AU47" s="196">
        <f>+SINTER!AV43</f>
        <v>3545</v>
      </c>
      <c r="AV47" s="3117">
        <f t="shared" si="160"/>
        <v>0</v>
      </c>
      <c r="AW47" s="3779">
        <f t="shared" si="161"/>
        <v>29529</v>
      </c>
      <c r="AX47" s="2023"/>
      <c r="AY47" s="196">
        <f>+SINTER!AZ43</f>
        <v>2632</v>
      </c>
      <c r="AZ47" s="3040"/>
      <c r="BA47" s="2864">
        <f t="shared" si="163"/>
        <v>11113</v>
      </c>
      <c r="BB47" s="5003">
        <f t="shared" si="164"/>
        <v>0</v>
      </c>
      <c r="BC47" s="471">
        <f t="shared" si="165"/>
        <v>25806</v>
      </c>
      <c r="BD47" s="3117">
        <f t="shared" si="166"/>
        <v>0</v>
      </c>
      <c r="BE47" s="3779">
        <f t="shared" si="167"/>
        <v>32161</v>
      </c>
      <c r="BF47" s="502">
        <f t="shared" si="27"/>
        <v>0</v>
      </c>
      <c r="BG47" s="502"/>
      <c r="BH47" s="4487"/>
      <c r="BI47" s="4487">
        <f t="shared" si="28"/>
        <v>0</v>
      </c>
      <c r="BJ47" s="4487"/>
      <c r="BK47" s="4487"/>
      <c r="BL47" s="4487"/>
      <c r="BM47" s="4487"/>
      <c r="BN47" s="4487"/>
      <c r="BO47" s="4487"/>
      <c r="BP47" s="4487"/>
      <c r="BQ47" s="4487"/>
    </row>
    <row r="48" spans="2:73" ht="18.75" x14ac:dyDescent="0.25">
      <c r="B48" s="8035"/>
      <c r="C48" s="2012" t="s">
        <v>952</v>
      </c>
      <c r="D48" s="1594"/>
      <c r="E48" s="196">
        <f>+SINTER!F45</f>
        <v>10127</v>
      </c>
      <c r="F48" s="1594"/>
      <c r="G48" s="196">
        <f>+SINTER!H45</f>
        <v>8068</v>
      </c>
      <c r="H48" s="1992">
        <f t="shared" si="1"/>
        <v>0</v>
      </c>
      <c r="I48" s="3113">
        <f t="shared" si="2"/>
        <v>18195</v>
      </c>
      <c r="J48" s="1594"/>
      <c r="K48" s="196">
        <f>+SINTER!L45</f>
        <v>9954</v>
      </c>
      <c r="L48" s="1991">
        <f t="shared" si="3"/>
        <v>0</v>
      </c>
      <c r="M48" s="2221">
        <f t="shared" si="139"/>
        <v>28149</v>
      </c>
      <c r="N48" s="2023"/>
      <c r="O48" s="196">
        <f>+SINTER!P45</f>
        <v>10553</v>
      </c>
      <c r="P48" s="1992">
        <f t="shared" si="4"/>
        <v>0</v>
      </c>
      <c r="Q48" s="3779">
        <f t="shared" si="30"/>
        <v>38702</v>
      </c>
      <c r="R48" s="2023"/>
      <c r="S48" s="196">
        <f>+SINTER!T45</f>
        <v>7779</v>
      </c>
      <c r="T48" s="3117">
        <f t="shared" si="141"/>
        <v>0</v>
      </c>
      <c r="U48" s="3779">
        <f t="shared" si="142"/>
        <v>46481</v>
      </c>
      <c r="V48" s="2023"/>
      <c r="W48" s="196">
        <f>+SINTER!X45</f>
        <v>10384</v>
      </c>
      <c r="X48" s="3040"/>
      <c r="Y48" s="2864">
        <f t="shared" si="8"/>
        <v>28716</v>
      </c>
      <c r="Z48" s="3117">
        <f t="shared" si="144"/>
        <v>0</v>
      </c>
      <c r="AA48" s="5003">
        <f t="shared" si="145"/>
        <v>56865</v>
      </c>
      <c r="AB48" s="2023"/>
      <c r="AC48" s="196">
        <f>+SINTER!AD45</f>
        <v>8561</v>
      </c>
      <c r="AD48" s="3117">
        <f t="shared" si="147"/>
        <v>0</v>
      </c>
      <c r="AE48" s="3779">
        <f t="shared" si="148"/>
        <v>65426</v>
      </c>
      <c r="AF48" s="2023"/>
      <c r="AG48" s="196">
        <f>+SINTER!AH45</f>
        <v>9960</v>
      </c>
      <c r="AH48" s="3117">
        <f t="shared" si="150"/>
        <v>0</v>
      </c>
      <c r="AI48" s="3779">
        <f t="shared" si="151"/>
        <v>75386</v>
      </c>
      <c r="AJ48" s="2023"/>
      <c r="AK48" s="196">
        <f>+SINTER!AL45</f>
        <v>8376</v>
      </c>
      <c r="AL48" s="3040"/>
      <c r="AM48" s="2864">
        <f t="shared" si="153"/>
        <v>26897</v>
      </c>
      <c r="AN48" s="3117">
        <f t="shared" si="154"/>
        <v>0</v>
      </c>
      <c r="AO48" s="3779">
        <f t="shared" si="155"/>
        <v>83762</v>
      </c>
      <c r="AP48" s="2023"/>
      <c r="AQ48" s="196">
        <f>+SINTER!AR45</f>
        <v>8333</v>
      </c>
      <c r="AR48" s="3117">
        <f t="shared" si="157"/>
        <v>0</v>
      </c>
      <c r="AS48" s="3779">
        <f t="shared" si="158"/>
        <v>92095</v>
      </c>
      <c r="AT48" s="2023"/>
      <c r="AU48" s="196">
        <f>+SINTER!AV45</f>
        <v>6751</v>
      </c>
      <c r="AV48" s="3117">
        <f t="shared" si="160"/>
        <v>0</v>
      </c>
      <c r="AW48" s="3779">
        <f t="shared" si="161"/>
        <v>98846</v>
      </c>
      <c r="AX48" s="2023"/>
      <c r="AY48" s="196">
        <f>+SINTER!AZ45</f>
        <v>7179</v>
      </c>
      <c r="AZ48" s="3040"/>
      <c r="BA48" s="2864">
        <f t="shared" si="163"/>
        <v>22263</v>
      </c>
      <c r="BB48" s="5003">
        <f t="shared" si="164"/>
        <v>0</v>
      </c>
      <c r="BC48" s="471">
        <f t="shared" si="165"/>
        <v>49160</v>
      </c>
      <c r="BD48" s="3117">
        <f t="shared" si="166"/>
        <v>0</v>
      </c>
      <c r="BE48" s="3779">
        <f t="shared" si="167"/>
        <v>106025</v>
      </c>
      <c r="BF48" s="502">
        <f t="shared" si="27"/>
        <v>0</v>
      </c>
      <c r="BG48" s="502"/>
      <c r="BH48" s="4487"/>
      <c r="BI48" s="4487">
        <f t="shared" si="28"/>
        <v>0</v>
      </c>
      <c r="BJ48" s="4487"/>
      <c r="BK48" s="4487"/>
      <c r="BL48" s="4487"/>
      <c r="BM48" s="4487"/>
      <c r="BN48" s="4487"/>
      <c r="BO48" s="4487"/>
      <c r="BP48" s="4487"/>
      <c r="BQ48" s="4487"/>
    </row>
    <row r="49" spans="1:67" ht="18.75" x14ac:dyDescent="0.25">
      <c r="B49" s="8033" t="s">
        <v>945</v>
      </c>
      <c r="C49" s="2014" t="s">
        <v>1512</v>
      </c>
      <c r="D49" s="2009"/>
      <c r="E49" s="589">
        <f>+SINTER!F21</f>
        <v>424907</v>
      </c>
      <c r="F49" s="2009"/>
      <c r="G49" s="589">
        <f>+SINTER!H21</f>
        <v>431104</v>
      </c>
      <c r="H49" s="1992">
        <f t="shared" si="1"/>
        <v>0</v>
      </c>
      <c r="I49" s="3402">
        <f t="shared" si="2"/>
        <v>856011</v>
      </c>
      <c r="J49" s="2009"/>
      <c r="K49" s="589">
        <f>+SINTER!L21</f>
        <v>441570</v>
      </c>
      <c r="L49" s="1991">
        <f t="shared" si="3"/>
        <v>0</v>
      </c>
      <c r="M49" s="2878">
        <f t="shared" si="139"/>
        <v>1297581</v>
      </c>
      <c r="N49" s="173"/>
      <c r="O49" s="589">
        <f>+SINTER!P21</f>
        <v>470314</v>
      </c>
      <c r="P49" s="1992">
        <f t="shared" si="4"/>
        <v>0</v>
      </c>
      <c r="Q49" s="3779">
        <f t="shared" si="30"/>
        <v>1767895</v>
      </c>
      <c r="R49" s="173"/>
      <c r="S49" s="589">
        <f>+SINTER!T21</f>
        <v>459502</v>
      </c>
      <c r="T49" s="3117">
        <f t="shared" si="141"/>
        <v>0</v>
      </c>
      <c r="U49" s="3779">
        <f t="shared" si="142"/>
        <v>2227397</v>
      </c>
      <c r="V49" s="173"/>
      <c r="W49" s="589">
        <f>+SINTER!X21</f>
        <v>440393</v>
      </c>
      <c r="X49" s="2895"/>
      <c r="Y49" s="2864">
        <f t="shared" si="8"/>
        <v>1370209</v>
      </c>
      <c r="Z49" s="3117">
        <f t="shared" si="144"/>
        <v>0</v>
      </c>
      <c r="AA49" s="5003">
        <f t="shared" si="145"/>
        <v>2667790</v>
      </c>
      <c r="AB49" s="173"/>
      <c r="AC49" s="589">
        <f>+SINTER!AD21</f>
        <v>360664</v>
      </c>
      <c r="AD49" s="3117">
        <f t="shared" si="147"/>
        <v>0</v>
      </c>
      <c r="AE49" s="3779">
        <f t="shared" si="148"/>
        <v>3028454</v>
      </c>
      <c r="AF49" s="173"/>
      <c r="AG49" s="589">
        <f>+SINTER!AH21</f>
        <v>437318</v>
      </c>
      <c r="AH49" s="3117">
        <f t="shared" si="150"/>
        <v>0</v>
      </c>
      <c r="AI49" s="3779">
        <f t="shared" si="151"/>
        <v>3465772</v>
      </c>
      <c r="AJ49" s="173"/>
      <c r="AK49" s="589">
        <f>+SINTER!AL21</f>
        <v>435350</v>
      </c>
      <c r="AL49" s="2895"/>
      <c r="AM49" s="2878">
        <f t="shared" si="153"/>
        <v>1233332</v>
      </c>
      <c r="AN49" s="3117">
        <f t="shared" si="154"/>
        <v>0</v>
      </c>
      <c r="AO49" s="3779">
        <f t="shared" si="155"/>
        <v>3901122</v>
      </c>
      <c r="AP49" s="173"/>
      <c r="AQ49" s="589">
        <f>+SINTER!AR21</f>
        <v>443510</v>
      </c>
      <c r="AR49" s="3117">
        <f t="shared" si="157"/>
        <v>0</v>
      </c>
      <c r="AS49" s="3779">
        <f t="shared" si="158"/>
        <v>4344632</v>
      </c>
      <c r="AT49" s="173"/>
      <c r="AU49" s="589">
        <f>+SINTER!AV21</f>
        <v>381651.88</v>
      </c>
      <c r="AV49" s="3117">
        <f t="shared" si="160"/>
        <v>0</v>
      </c>
      <c r="AW49" s="3779">
        <f t="shared" si="161"/>
        <v>4726283.88</v>
      </c>
      <c r="AX49" s="173"/>
      <c r="AY49" s="589">
        <f>+SINTER!AZ21</f>
        <v>473785</v>
      </c>
      <c r="AZ49" s="2895"/>
      <c r="BA49" s="2864">
        <f t="shared" si="163"/>
        <v>1298946.8799999999</v>
      </c>
      <c r="BB49" s="5003">
        <f t="shared" si="164"/>
        <v>0</v>
      </c>
      <c r="BC49" s="471">
        <f t="shared" si="165"/>
        <v>2532278.88</v>
      </c>
      <c r="BD49" s="3117">
        <f t="shared" si="166"/>
        <v>0</v>
      </c>
      <c r="BE49" s="3779">
        <f t="shared" si="167"/>
        <v>5200068.88</v>
      </c>
      <c r="BF49" s="502">
        <f t="shared" si="27"/>
        <v>0</v>
      </c>
      <c r="BG49" s="502"/>
      <c r="BH49" s="4487"/>
      <c r="BI49" s="4487">
        <f t="shared" si="28"/>
        <v>0</v>
      </c>
      <c r="BJ49" s="4487"/>
      <c r="BK49" s="4487"/>
      <c r="BL49" s="4487"/>
      <c r="BM49" s="4487"/>
      <c r="BN49" s="4487"/>
      <c r="BO49" s="4487"/>
    </row>
    <row r="50" spans="1:67" ht="18.75" x14ac:dyDescent="0.25">
      <c r="B50" s="8034"/>
      <c r="C50" s="2014" t="s">
        <v>1513</v>
      </c>
      <c r="D50" s="2009"/>
      <c r="E50" s="249">
        <f t="shared" ref="E50:N50" si="168">SUM(E46:E48)</f>
        <v>23229</v>
      </c>
      <c r="F50" s="249">
        <f t="shared" si="168"/>
        <v>0</v>
      </c>
      <c r="G50" s="5592">
        <f t="shared" ref="G50" si="169">SUM(G46:G48)</f>
        <v>12422</v>
      </c>
      <c r="H50" s="1992">
        <f t="shared" si="1"/>
        <v>0</v>
      </c>
      <c r="I50" s="3402">
        <f t="shared" si="2"/>
        <v>35651</v>
      </c>
      <c r="J50" s="249">
        <f t="shared" si="168"/>
        <v>0</v>
      </c>
      <c r="K50" s="5687">
        <f t="shared" si="168"/>
        <v>17423</v>
      </c>
      <c r="L50" s="1991">
        <f t="shared" si="3"/>
        <v>0</v>
      </c>
      <c r="M50" s="2878">
        <f t="shared" si="139"/>
        <v>53074</v>
      </c>
      <c r="N50" s="249">
        <f t="shared" si="168"/>
        <v>0</v>
      </c>
      <c r="O50" s="5843">
        <f t="shared" ref="O50" si="170">SUM(O46:O48)</f>
        <v>26940</v>
      </c>
      <c r="P50" s="1992">
        <f t="shared" si="4"/>
        <v>0</v>
      </c>
      <c r="Q50" s="3779">
        <f t="shared" si="30"/>
        <v>80014</v>
      </c>
      <c r="R50" s="4342">
        <f t="shared" ref="R50:S50" si="171">SUM(R46:R48)</f>
        <v>0</v>
      </c>
      <c r="S50" s="5912">
        <f t="shared" si="171"/>
        <v>20134</v>
      </c>
      <c r="T50" s="3117">
        <f t="shared" si="141"/>
        <v>0</v>
      </c>
      <c r="U50" s="3779">
        <f t="shared" si="142"/>
        <v>100148</v>
      </c>
      <c r="V50" s="4401">
        <f t="shared" ref="V50:W50" si="172">SUM(V46:V48)</f>
        <v>0</v>
      </c>
      <c r="W50" s="6012">
        <f t="shared" si="172"/>
        <v>25770</v>
      </c>
      <c r="X50" s="3586"/>
      <c r="Y50" s="2864">
        <f t="shared" si="8"/>
        <v>72844</v>
      </c>
      <c r="Z50" s="3117">
        <f t="shared" si="144"/>
        <v>0</v>
      </c>
      <c r="AA50" s="5003">
        <f t="shared" si="145"/>
        <v>125918</v>
      </c>
      <c r="AB50" s="4568">
        <f t="shared" ref="AB50:AC50" si="173">SUM(AB46:AB48)</f>
        <v>0</v>
      </c>
      <c r="AC50" s="6143">
        <f t="shared" si="173"/>
        <v>29022</v>
      </c>
      <c r="AD50" s="3117">
        <f t="shared" si="147"/>
        <v>0</v>
      </c>
      <c r="AE50" s="3779">
        <f t="shared" si="148"/>
        <v>154940</v>
      </c>
      <c r="AF50" s="4628">
        <f t="shared" ref="AF50:AG50" si="174">SUM(AF46:AF48)</f>
        <v>0</v>
      </c>
      <c r="AG50" s="6305">
        <f t="shared" si="174"/>
        <v>25512</v>
      </c>
      <c r="AH50" s="3117">
        <f t="shared" si="150"/>
        <v>0</v>
      </c>
      <c r="AI50" s="3779">
        <f t="shared" si="151"/>
        <v>180452</v>
      </c>
      <c r="AJ50" s="4920">
        <f t="shared" ref="AJ50:AK50" si="175">SUM(AJ46:AJ48)</f>
        <v>0</v>
      </c>
      <c r="AK50" s="6567">
        <f t="shared" si="175"/>
        <v>22853</v>
      </c>
      <c r="AL50" s="3586"/>
      <c r="AM50" s="2878">
        <f t="shared" si="153"/>
        <v>77387</v>
      </c>
      <c r="AN50" s="3117">
        <f t="shared" si="154"/>
        <v>0</v>
      </c>
      <c r="AO50" s="3779">
        <f t="shared" si="155"/>
        <v>203305</v>
      </c>
      <c r="AP50" s="6650">
        <f t="shared" ref="AP50:AQ50" si="176">SUM(AP46:AP48)</f>
        <v>0</v>
      </c>
      <c r="AQ50" s="6650">
        <f t="shared" si="176"/>
        <v>24050</v>
      </c>
      <c r="AR50" s="3117">
        <f t="shared" si="157"/>
        <v>0</v>
      </c>
      <c r="AS50" s="3779">
        <f t="shared" si="158"/>
        <v>227355</v>
      </c>
      <c r="AT50" s="5019">
        <f t="shared" ref="AT50:AU50" si="177">SUM(AT46:AT48)</f>
        <v>0</v>
      </c>
      <c r="AU50" s="6828">
        <f t="shared" si="177"/>
        <v>17230</v>
      </c>
      <c r="AV50" s="3117">
        <f t="shared" si="160"/>
        <v>0</v>
      </c>
      <c r="AW50" s="3779">
        <f t="shared" si="161"/>
        <v>244585</v>
      </c>
      <c r="AX50" s="5108">
        <f t="shared" ref="AX50:AY50" si="178">SUM(AX46:AX48)</f>
        <v>0</v>
      </c>
      <c r="AY50" s="6983">
        <f t="shared" si="178"/>
        <v>12584</v>
      </c>
      <c r="AZ50" s="3586"/>
      <c r="BA50" s="2864">
        <f t="shared" si="163"/>
        <v>53864</v>
      </c>
      <c r="BB50" s="5003">
        <f t="shared" si="164"/>
        <v>0</v>
      </c>
      <c r="BC50" s="471">
        <f t="shared" si="165"/>
        <v>131251</v>
      </c>
      <c r="BD50" s="3117">
        <f t="shared" si="166"/>
        <v>0</v>
      </c>
      <c r="BE50" s="3779">
        <f t="shared" si="167"/>
        <v>257169</v>
      </c>
      <c r="BF50" s="502">
        <f t="shared" si="27"/>
        <v>0</v>
      </c>
      <c r="BG50" s="502"/>
      <c r="BH50" s="4487"/>
      <c r="BI50" s="4487">
        <f t="shared" si="28"/>
        <v>0</v>
      </c>
      <c r="BJ50" s="4487"/>
      <c r="BK50" s="4487"/>
      <c r="BL50" s="4487"/>
      <c r="BM50" s="4487"/>
      <c r="BN50" s="4487"/>
      <c r="BO50" s="4487"/>
    </row>
    <row r="51" spans="1:67" s="1684" customFormat="1" ht="18.75" x14ac:dyDescent="0.25">
      <c r="A51" s="1995"/>
      <c r="B51" s="8035"/>
      <c r="C51" s="2014" t="s">
        <v>1514</v>
      </c>
      <c r="D51" s="2009"/>
      <c r="E51" s="249">
        <f t="shared" ref="E51:N51" si="179">SUM(E49:E50)</f>
        <v>448136</v>
      </c>
      <c r="F51" s="249">
        <f t="shared" si="179"/>
        <v>0</v>
      </c>
      <c r="G51" s="589">
        <f t="shared" ref="G51" si="180">SUM(G49:G50)</f>
        <v>443526</v>
      </c>
      <c r="H51" s="1992">
        <f t="shared" si="1"/>
        <v>0</v>
      </c>
      <c r="I51" s="3402">
        <f t="shared" si="2"/>
        <v>891662</v>
      </c>
      <c r="J51" s="249">
        <f t="shared" si="179"/>
        <v>0</v>
      </c>
      <c r="K51" s="589">
        <f t="shared" si="179"/>
        <v>458993</v>
      </c>
      <c r="L51" s="1991">
        <f t="shared" si="3"/>
        <v>0</v>
      </c>
      <c r="M51" s="2878">
        <f t="shared" si="139"/>
        <v>1350655</v>
      </c>
      <c r="N51" s="249">
        <f t="shared" si="179"/>
        <v>0</v>
      </c>
      <c r="O51" s="589">
        <f t="shared" ref="O51" si="181">SUM(O49:O50)</f>
        <v>497254</v>
      </c>
      <c r="P51" s="1992">
        <f t="shared" si="4"/>
        <v>0</v>
      </c>
      <c r="Q51" s="3779">
        <f t="shared" si="30"/>
        <v>1847909</v>
      </c>
      <c r="R51" s="4342">
        <f t="shared" ref="R51:S51" si="182">SUM(R49:R50)</f>
        <v>0</v>
      </c>
      <c r="S51" s="589">
        <f t="shared" si="182"/>
        <v>479636</v>
      </c>
      <c r="T51" s="3117">
        <f t="shared" si="141"/>
        <v>0</v>
      </c>
      <c r="U51" s="3779">
        <f t="shared" si="142"/>
        <v>2327545</v>
      </c>
      <c r="V51" s="4401">
        <f t="shared" ref="V51:W51" si="183">SUM(V49:V50)</f>
        <v>0</v>
      </c>
      <c r="W51" s="589">
        <f t="shared" si="183"/>
        <v>466163</v>
      </c>
      <c r="X51" s="2895"/>
      <c r="Y51" s="2864">
        <f t="shared" si="8"/>
        <v>1443053</v>
      </c>
      <c r="Z51" s="3117">
        <f t="shared" si="144"/>
        <v>0</v>
      </c>
      <c r="AA51" s="5003">
        <f t="shared" si="145"/>
        <v>2793708</v>
      </c>
      <c r="AB51" s="4568">
        <f t="shared" ref="AB51:AC51" si="184">SUM(AB49:AB50)</f>
        <v>0</v>
      </c>
      <c r="AC51" s="589">
        <f t="shared" si="184"/>
        <v>389686</v>
      </c>
      <c r="AD51" s="3117">
        <f t="shared" si="147"/>
        <v>0</v>
      </c>
      <c r="AE51" s="3779">
        <f t="shared" si="148"/>
        <v>3183394</v>
      </c>
      <c r="AF51" s="4628">
        <f t="shared" ref="AF51:AG51" si="185">SUM(AF49:AF50)</f>
        <v>0</v>
      </c>
      <c r="AG51" s="589">
        <f t="shared" si="185"/>
        <v>462830</v>
      </c>
      <c r="AH51" s="3117">
        <f t="shared" si="150"/>
        <v>0</v>
      </c>
      <c r="AI51" s="3779">
        <f t="shared" si="151"/>
        <v>3646224</v>
      </c>
      <c r="AJ51" s="4920">
        <f t="shared" ref="AJ51:AK51" si="186">SUM(AJ49:AJ50)</f>
        <v>0</v>
      </c>
      <c r="AK51" s="589">
        <f t="shared" si="186"/>
        <v>458203</v>
      </c>
      <c r="AL51" s="2895"/>
      <c r="AM51" s="2878">
        <f t="shared" si="153"/>
        <v>1310719</v>
      </c>
      <c r="AN51" s="3117">
        <f t="shared" si="154"/>
        <v>0</v>
      </c>
      <c r="AO51" s="3779">
        <f t="shared" si="155"/>
        <v>4104427</v>
      </c>
      <c r="AP51" s="6650">
        <f t="shared" ref="AP51:AQ51" si="187">SUM(AP49:AP50)</f>
        <v>0</v>
      </c>
      <c r="AQ51" s="589">
        <f t="shared" si="187"/>
        <v>467560</v>
      </c>
      <c r="AR51" s="3117">
        <f t="shared" si="157"/>
        <v>0</v>
      </c>
      <c r="AS51" s="3779">
        <f t="shared" si="158"/>
        <v>4571987</v>
      </c>
      <c r="AT51" s="5019">
        <f t="shared" ref="AT51:AU51" si="188">SUM(AT49:AT50)</f>
        <v>0</v>
      </c>
      <c r="AU51" s="589">
        <f t="shared" si="188"/>
        <v>398881.88</v>
      </c>
      <c r="AV51" s="3117">
        <f t="shared" si="160"/>
        <v>0</v>
      </c>
      <c r="AW51" s="3779">
        <f t="shared" si="161"/>
        <v>4970868.88</v>
      </c>
      <c r="AX51" s="5108">
        <f t="shared" ref="AX51:AY51" si="189">SUM(AX49:AX50)</f>
        <v>0</v>
      </c>
      <c r="AY51" s="589">
        <f t="shared" si="189"/>
        <v>486369</v>
      </c>
      <c r="AZ51" s="2895"/>
      <c r="BA51" s="2864">
        <f t="shared" si="163"/>
        <v>1352810.88</v>
      </c>
      <c r="BB51" s="5003">
        <f t="shared" si="164"/>
        <v>0</v>
      </c>
      <c r="BC51" s="471">
        <f t="shared" si="165"/>
        <v>2663529.88</v>
      </c>
      <c r="BD51" s="3117">
        <f t="shared" si="166"/>
        <v>0</v>
      </c>
      <c r="BE51" s="3779">
        <f t="shared" si="167"/>
        <v>5457237.8799999999</v>
      </c>
      <c r="BF51" s="502">
        <f t="shared" si="27"/>
        <v>0</v>
      </c>
      <c r="BG51" s="502"/>
      <c r="BH51" s="4487"/>
      <c r="BI51" s="4487">
        <f t="shared" si="28"/>
        <v>0</v>
      </c>
      <c r="BJ51" s="4487"/>
      <c r="BK51" s="4487"/>
      <c r="BL51" s="4487"/>
      <c r="BM51" s="4487"/>
      <c r="BN51" s="4487"/>
      <c r="BO51" s="4487"/>
    </row>
    <row r="52" spans="1:67" s="1684" customFormat="1" ht="18.75" x14ac:dyDescent="0.3">
      <c r="A52" s="1995"/>
      <c r="B52" s="2029"/>
      <c r="C52" s="2019"/>
      <c r="D52" s="2011"/>
      <c r="E52" s="2914"/>
      <c r="F52" s="2914"/>
      <c r="G52" s="2914"/>
      <c r="H52" s="2914"/>
      <c r="I52" s="2914"/>
      <c r="J52" s="2914"/>
      <c r="K52" s="2914"/>
      <c r="L52" s="2914"/>
      <c r="M52" s="2914"/>
      <c r="N52" s="2914"/>
      <c r="O52" s="2914"/>
      <c r="P52" s="2914"/>
      <c r="Q52" s="2914"/>
      <c r="R52" s="2914"/>
      <c r="S52" s="2914"/>
      <c r="T52" s="2914"/>
      <c r="U52" s="2914"/>
      <c r="V52" s="2914"/>
      <c r="W52" s="2914"/>
      <c r="X52" s="4409"/>
      <c r="Y52" s="2864"/>
      <c r="Z52" s="2914"/>
      <c r="AA52" s="2914"/>
      <c r="AB52" s="2914"/>
      <c r="AC52" s="2914"/>
      <c r="AD52" s="2914"/>
      <c r="AE52" s="2914"/>
      <c r="AF52" s="2914"/>
      <c r="AG52" s="2914"/>
      <c r="AH52" s="2914"/>
      <c r="AI52" s="2914"/>
      <c r="AJ52" s="2914"/>
      <c r="AK52" s="2914"/>
      <c r="AL52" s="4409"/>
      <c r="AM52" s="2864"/>
      <c r="AN52" s="2914"/>
      <c r="AO52" s="2914"/>
      <c r="AP52" s="2914"/>
      <c r="AQ52" s="2914"/>
      <c r="AR52" s="2914"/>
      <c r="AS52" s="2914"/>
      <c r="AT52" s="2914"/>
      <c r="AU52" s="2914"/>
      <c r="AV52" s="2914"/>
      <c r="AW52" s="2914"/>
      <c r="AX52" s="2914"/>
      <c r="AY52" s="2914"/>
      <c r="AZ52" s="4409"/>
      <c r="BA52" s="2864"/>
      <c r="BB52" s="5113"/>
      <c r="BC52" s="5113"/>
      <c r="BD52" s="2914"/>
      <c r="BE52" s="2914"/>
      <c r="BF52" s="502">
        <f t="shared" si="27"/>
        <v>0</v>
      </c>
      <c r="BG52" s="502"/>
      <c r="BH52" s="4487"/>
      <c r="BI52" s="4487">
        <f t="shared" si="28"/>
        <v>0</v>
      </c>
      <c r="BJ52" s="4487"/>
      <c r="BK52" s="4487"/>
      <c r="BL52" s="4487"/>
      <c r="BM52" s="4487"/>
      <c r="BN52" s="4487"/>
      <c r="BO52" s="4487"/>
    </row>
    <row r="53" spans="1:67" ht="18.75" x14ac:dyDescent="0.3">
      <c r="B53" s="8024" t="s">
        <v>1515</v>
      </c>
      <c r="C53" s="2016" t="s">
        <v>1389</v>
      </c>
      <c r="D53" s="2010"/>
      <c r="E53" s="2915"/>
      <c r="F53" s="2915"/>
      <c r="G53" s="2915"/>
      <c r="H53" s="2915"/>
      <c r="I53" s="2915"/>
      <c r="J53" s="2915"/>
      <c r="K53" s="2915"/>
      <c r="L53" s="2915"/>
      <c r="M53" s="2915"/>
      <c r="N53" s="2915"/>
      <c r="O53" s="2915"/>
      <c r="P53" s="2915">
        <f t="shared" ref="P53" si="190">+P50-P52</f>
        <v>0</v>
      </c>
      <c r="Q53" s="2915"/>
      <c r="R53" s="2915"/>
      <c r="S53" s="2915"/>
      <c r="T53" s="2915">
        <f t="shared" ref="T53" si="191">+T50-T52</f>
        <v>0</v>
      </c>
      <c r="U53" s="2915"/>
      <c r="V53" s="2915"/>
      <c r="W53" s="2915"/>
      <c r="X53" s="4405"/>
      <c r="Y53" s="2864"/>
      <c r="Z53" s="2915"/>
      <c r="AA53" s="2915"/>
      <c r="AB53" s="2915"/>
      <c r="AC53" s="2915"/>
      <c r="AD53" s="2915">
        <f t="shared" ref="AD53" si="192">+AD50-AD52</f>
        <v>0</v>
      </c>
      <c r="AE53" s="2915"/>
      <c r="AF53" s="2915"/>
      <c r="AG53" s="2915"/>
      <c r="AH53" s="2915">
        <f t="shared" ref="AH53" si="193">+AH50-AH52</f>
        <v>0</v>
      </c>
      <c r="AI53" s="2915"/>
      <c r="AJ53" s="2915"/>
      <c r="AK53" s="2915"/>
      <c r="AL53" s="4405"/>
      <c r="AM53" s="2864"/>
      <c r="AN53" s="2915">
        <f t="shared" ref="AN53" si="194">+AN50-AN52</f>
        <v>0</v>
      </c>
      <c r="AO53" s="2915"/>
      <c r="AP53" s="2915"/>
      <c r="AQ53" s="2915"/>
      <c r="AR53" s="2915"/>
      <c r="AS53" s="2915"/>
      <c r="AT53" s="2915"/>
      <c r="AU53" s="2915"/>
      <c r="AV53" s="2915"/>
      <c r="AW53" s="2915"/>
      <c r="AX53" s="2915"/>
      <c r="AY53" s="2915"/>
      <c r="AZ53" s="4405"/>
      <c r="BA53" s="2864"/>
      <c r="BB53" s="5114"/>
      <c r="BC53" s="5114"/>
      <c r="BD53" s="2915"/>
      <c r="BE53" s="2915"/>
      <c r="BF53" s="502">
        <f t="shared" si="27"/>
        <v>0</v>
      </c>
      <c r="BG53" s="502"/>
      <c r="BH53" s="4487"/>
      <c r="BI53" s="4487">
        <f t="shared" si="28"/>
        <v>0</v>
      </c>
      <c r="BJ53" s="4487"/>
      <c r="BK53" s="4487"/>
      <c r="BL53" s="4487"/>
      <c r="BM53" s="4487"/>
      <c r="BN53" s="4487"/>
      <c r="BO53" s="4487"/>
    </row>
    <row r="54" spans="1:67" ht="18.75" x14ac:dyDescent="0.25">
      <c r="B54" s="8024"/>
      <c r="C54" s="2012" t="s">
        <v>1516</v>
      </c>
      <c r="D54" s="1594"/>
      <c r="E54" s="1990">
        <v>68001</v>
      </c>
      <c r="F54" s="1594"/>
      <c r="G54" s="3782">
        <v>66237</v>
      </c>
      <c r="H54" s="1992">
        <f t="shared" si="1"/>
        <v>0</v>
      </c>
      <c r="I54" s="3113">
        <f t="shared" si="2"/>
        <v>134238</v>
      </c>
      <c r="J54" s="1594"/>
      <c r="K54" s="3782">
        <v>75651</v>
      </c>
      <c r="L54" s="1991">
        <f t="shared" si="3"/>
        <v>0</v>
      </c>
      <c r="M54" s="2221">
        <f t="shared" ref="M54:M62" si="195">E54+G54+K54</f>
        <v>209889</v>
      </c>
      <c r="N54" s="2023"/>
      <c r="O54" s="3782">
        <v>80235</v>
      </c>
      <c r="P54" s="1992">
        <f t="shared" si="4"/>
        <v>0</v>
      </c>
      <c r="Q54" s="1992">
        <f t="shared" si="30"/>
        <v>290124</v>
      </c>
      <c r="R54" s="2023"/>
      <c r="S54" s="3782">
        <v>57375</v>
      </c>
      <c r="T54" s="3117">
        <f t="shared" ref="T54:T61" si="196">+P54+R54</f>
        <v>0</v>
      </c>
      <c r="U54" s="3117">
        <f t="shared" ref="U54:U62" si="197">+Q54+S54</f>
        <v>347499</v>
      </c>
      <c r="V54" s="2023"/>
      <c r="W54" s="3782">
        <v>51110</v>
      </c>
      <c r="X54" s="4197"/>
      <c r="Y54" s="2864">
        <f t="shared" si="8"/>
        <v>188720</v>
      </c>
      <c r="Z54" s="3117">
        <f t="shared" ref="Z54:Z61" si="198">+T54+V54</f>
        <v>0</v>
      </c>
      <c r="AA54" s="5003">
        <f t="shared" ref="AA54:AA61" si="199">+U54+W54</f>
        <v>398609</v>
      </c>
      <c r="AB54" s="2023"/>
      <c r="AC54" s="3782">
        <v>50456</v>
      </c>
      <c r="AD54" s="3117">
        <f t="shared" ref="AD54:AD61" si="200">+Z54+AB54</f>
        <v>0</v>
      </c>
      <c r="AE54" s="3117">
        <f t="shared" ref="AE54:AE62" si="201">+AA54+AC54</f>
        <v>449065</v>
      </c>
      <c r="AF54" s="2023"/>
      <c r="AG54" s="3782">
        <v>57451</v>
      </c>
      <c r="AH54" s="3117">
        <f t="shared" ref="AH54:AH61" si="202">+AD54+AF54</f>
        <v>0</v>
      </c>
      <c r="AI54" s="3117">
        <f t="shared" ref="AI54:AI62" si="203">+AE54+AG54</f>
        <v>506516</v>
      </c>
      <c r="AJ54" s="2023"/>
      <c r="AK54" s="3782">
        <v>81924</v>
      </c>
      <c r="AL54" s="4488"/>
      <c r="AM54" s="2864">
        <f t="shared" ref="AM54:AM62" si="204">AC54+AG54+AK54</f>
        <v>189831</v>
      </c>
      <c r="AN54" s="3117">
        <f t="shared" ref="AN54:AN61" si="205">+AH54+AJ54</f>
        <v>0</v>
      </c>
      <c r="AO54" s="3117">
        <f t="shared" ref="AO54:AO62" si="206">+AI54+AK54</f>
        <v>588440</v>
      </c>
      <c r="AP54" s="2023"/>
      <c r="AQ54" s="3782">
        <v>83700</v>
      </c>
      <c r="AR54" s="3117">
        <f t="shared" ref="AR54:AR61" si="207">+AN54+AP54</f>
        <v>0</v>
      </c>
      <c r="AS54" s="3117">
        <f t="shared" ref="AS54:AS62" si="208">+AO54+AQ54</f>
        <v>672140</v>
      </c>
      <c r="AT54" s="2023"/>
      <c r="AU54" s="3782">
        <v>52667</v>
      </c>
      <c r="AV54" s="3117">
        <f t="shared" ref="AV54:AV61" si="209">+AR54+AT54</f>
        <v>0</v>
      </c>
      <c r="AW54" s="3117">
        <f t="shared" ref="AW54:AW62" si="210">+AS54+AU54</f>
        <v>724807</v>
      </c>
      <c r="AX54" s="2023"/>
      <c r="AY54" s="3782">
        <v>61570</v>
      </c>
      <c r="AZ54" s="4488"/>
      <c r="BA54" s="2864">
        <f t="shared" ref="BA54:BA62" si="211">AQ54+AU54+AY54</f>
        <v>197937</v>
      </c>
      <c r="BB54" s="5003">
        <f t="shared" ref="BB54:BB62" si="212">+AV54+AX54</f>
        <v>0</v>
      </c>
      <c r="BC54" s="471">
        <f t="shared" ref="BC54:BC62" si="213">AM54+BA54</f>
        <v>387768</v>
      </c>
      <c r="BD54" s="3117">
        <f t="shared" ref="BD54:BD61" si="214">+AV54+AX54</f>
        <v>0</v>
      </c>
      <c r="BE54" s="3117">
        <f t="shared" ref="BE54:BE62" si="215">+AW54+AY54</f>
        <v>786377</v>
      </c>
      <c r="BF54" s="502">
        <f t="shared" si="27"/>
        <v>0</v>
      </c>
      <c r="BG54" s="502"/>
      <c r="BH54" s="4487"/>
      <c r="BI54" s="4487">
        <f t="shared" si="28"/>
        <v>0</v>
      </c>
      <c r="BJ54" s="4487"/>
      <c r="BK54" s="4487"/>
      <c r="BL54" s="4487"/>
      <c r="BM54" s="4487"/>
      <c r="BN54" s="4487"/>
      <c r="BO54" s="4487"/>
    </row>
    <row r="55" spans="1:67" ht="18.75" x14ac:dyDescent="0.25">
      <c r="B55" s="8024"/>
      <c r="C55" s="2012" t="s">
        <v>1517</v>
      </c>
      <c r="D55" s="1594"/>
      <c r="E55" s="1990">
        <v>60</v>
      </c>
      <c r="F55" s="1594"/>
      <c r="G55" s="3782">
        <v>241</v>
      </c>
      <c r="H55" s="1992">
        <f t="shared" si="1"/>
        <v>0</v>
      </c>
      <c r="I55" s="3113">
        <f t="shared" si="2"/>
        <v>301</v>
      </c>
      <c r="J55" s="1594"/>
      <c r="K55" s="3782">
        <v>1325</v>
      </c>
      <c r="L55" s="1991">
        <f t="shared" si="3"/>
        <v>0</v>
      </c>
      <c r="M55" s="2221">
        <f t="shared" si="195"/>
        <v>1626</v>
      </c>
      <c r="N55" s="2023"/>
      <c r="O55" s="3782">
        <v>406</v>
      </c>
      <c r="P55" s="1992">
        <f t="shared" si="4"/>
        <v>0</v>
      </c>
      <c r="Q55" s="3117">
        <f t="shared" si="30"/>
        <v>2032</v>
      </c>
      <c r="R55" s="2023"/>
      <c r="S55" s="3782">
        <v>1422</v>
      </c>
      <c r="T55" s="3117">
        <f t="shared" si="196"/>
        <v>0</v>
      </c>
      <c r="U55" s="3117">
        <f t="shared" si="197"/>
        <v>3454</v>
      </c>
      <c r="V55" s="2023"/>
      <c r="W55" s="3782">
        <v>706</v>
      </c>
      <c r="X55" s="4197"/>
      <c r="Y55" s="2864">
        <f t="shared" si="8"/>
        <v>2534</v>
      </c>
      <c r="Z55" s="3117">
        <f t="shared" si="198"/>
        <v>0</v>
      </c>
      <c r="AA55" s="5003">
        <f t="shared" si="199"/>
        <v>4160</v>
      </c>
      <c r="AB55" s="2023"/>
      <c r="AC55" s="3782">
        <v>1243</v>
      </c>
      <c r="AD55" s="3117">
        <f t="shared" si="200"/>
        <v>0</v>
      </c>
      <c r="AE55" s="3117">
        <f t="shared" si="201"/>
        <v>5403</v>
      </c>
      <c r="AF55" s="2023"/>
      <c r="AG55" s="3782">
        <v>443</v>
      </c>
      <c r="AH55" s="3117">
        <f t="shared" si="202"/>
        <v>0</v>
      </c>
      <c r="AI55" s="3117">
        <f t="shared" si="203"/>
        <v>5846</v>
      </c>
      <c r="AJ55" s="2023"/>
      <c r="AK55" s="3782">
        <v>766</v>
      </c>
      <c r="AL55" s="4488"/>
      <c r="AM55" s="2864">
        <f t="shared" si="204"/>
        <v>2452</v>
      </c>
      <c r="AN55" s="3117">
        <f t="shared" si="205"/>
        <v>0</v>
      </c>
      <c r="AO55" s="3117">
        <f t="shared" si="206"/>
        <v>6612</v>
      </c>
      <c r="AP55" s="2023"/>
      <c r="AQ55" s="3782">
        <v>4283</v>
      </c>
      <c r="AR55" s="3117">
        <f t="shared" si="207"/>
        <v>0</v>
      </c>
      <c r="AS55" s="3117">
        <f t="shared" si="208"/>
        <v>10895</v>
      </c>
      <c r="AT55" s="2023"/>
      <c r="AU55" s="3782">
        <v>3004</v>
      </c>
      <c r="AV55" s="3117">
        <f t="shared" si="209"/>
        <v>0</v>
      </c>
      <c r="AW55" s="3117">
        <f t="shared" si="210"/>
        <v>13899</v>
      </c>
      <c r="AX55" s="2023"/>
      <c r="AY55" s="3782">
        <v>95</v>
      </c>
      <c r="AZ55" s="4488"/>
      <c r="BA55" s="2864">
        <f t="shared" si="211"/>
        <v>7382</v>
      </c>
      <c r="BB55" s="5003">
        <f t="shared" si="212"/>
        <v>0</v>
      </c>
      <c r="BC55" s="471">
        <f t="shared" si="213"/>
        <v>9834</v>
      </c>
      <c r="BD55" s="3117">
        <f t="shared" si="214"/>
        <v>0</v>
      </c>
      <c r="BE55" s="3117">
        <f t="shared" si="215"/>
        <v>13994</v>
      </c>
      <c r="BF55" s="502">
        <f t="shared" si="27"/>
        <v>0</v>
      </c>
      <c r="BG55" s="502"/>
      <c r="BH55" s="4487"/>
      <c r="BI55" s="4487">
        <f t="shared" si="28"/>
        <v>0</v>
      </c>
      <c r="BJ55" s="4487"/>
      <c r="BK55" s="4487"/>
      <c r="BL55" s="4487"/>
      <c r="BM55" s="4487"/>
      <c r="BN55" s="4487"/>
      <c r="BO55" s="4487"/>
    </row>
    <row r="56" spans="1:67" ht="18.75" x14ac:dyDescent="0.25">
      <c r="B56" s="8024"/>
      <c r="C56" s="2012" t="s">
        <v>1518</v>
      </c>
      <c r="D56" s="1594"/>
      <c r="E56" s="1990">
        <v>0</v>
      </c>
      <c r="F56" s="1594"/>
      <c r="G56" s="3782">
        <v>0</v>
      </c>
      <c r="H56" s="1992">
        <f t="shared" si="1"/>
        <v>0</v>
      </c>
      <c r="I56" s="3113">
        <f t="shared" si="2"/>
        <v>0</v>
      </c>
      <c r="J56" s="1594"/>
      <c r="K56" s="3782">
        <v>0</v>
      </c>
      <c r="L56" s="1991">
        <f t="shared" si="3"/>
        <v>0</v>
      </c>
      <c r="M56" s="2221">
        <f t="shared" si="195"/>
        <v>0</v>
      </c>
      <c r="N56" s="2023"/>
      <c r="O56" s="3782">
        <v>0</v>
      </c>
      <c r="P56" s="1992">
        <f t="shared" si="4"/>
        <v>0</v>
      </c>
      <c r="Q56" s="3117">
        <f t="shared" si="30"/>
        <v>0</v>
      </c>
      <c r="R56" s="2023"/>
      <c r="S56" s="3782">
        <v>0</v>
      </c>
      <c r="T56" s="3117">
        <f t="shared" si="196"/>
        <v>0</v>
      </c>
      <c r="U56" s="3117">
        <f t="shared" si="197"/>
        <v>0</v>
      </c>
      <c r="V56" s="2023"/>
      <c r="W56" s="3782">
        <v>0</v>
      </c>
      <c r="X56" s="4197"/>
      <c r="Y56" s="2864">
        <f t="shared" si="8"/>
        <v>0</v>
      </c>
      <c r="Z56" s="3117">
        <f t="shared" si="198"/>
        <v>0</v>
      </c>
      <c r="AA56" s="5003">
        <f t="shared" si="199"/>
        <v>0</v>
      </c>
      <c r="AB56" s="2023"/>
      <c r="AC56" s="3782">
        <v>0</v>
      </c>
      <c r="AD56" s="3117">
        <f t="shared" si="200"/>
        <v>0</v>
      </c>
      <c r="AE56" s="3117">
        <f t="shared" si="201"/>
        <v>0</v>
      </c>
      <c r="AF56" s="2023"/>
      <c r="AG56" s="3782">
        <v>0</v>
      </c>
      <c r="AH56" s="3117">
        <f t="shared" si="202"/>
        <v>0</v>
      </c>
      <c r="AI56" s="3117">
        <f t="shared" si="203"/>
        <v>0</v>
      </c>
      <c r="AJ56" s="2023"/>
      <c r="AK56" s="3782">
        <v>0</v>
      </c>
      <c r="AL56" s="4488"/>
      <c r="AM56" s="2864">
        <f t="shared" si="204"/>
        <v>0</v>
      </c>
      <c r="AN56" s="3117">
        <f t="shared" si="205"/>
        <v>0</v>
      </c>
      <c r="AO56" s="3117">
        <f t="shared" si="206"/>
        <v>0</v>
      </c>
      <c r="AP56" s="2023"/>
      <c r="AQ56" s="3782">
        <v>809</v>
      </c>
      <c r="AR56" s="3117">
        <f t="shared" si="207"/>
        <v>0</v>
      </c>
      <c r="AS56" s="3117">
        <f t="shared" si="208"/>
        <v>809</v>
      </c>
      <c r="AT56" s="2023"/>
      <c r="AU56" s="3782">
        <v>231</v>
      </c>
      <c r="AV56" s="3117">
        <f t="shared" si="209"/>
        <v>0</v>
      </c>
      <c r="AW56" s="3117">
        <f t="shared" si="210"/>
        <v>1040</v>
      </c>
      <c r="AX56" s="2023"/>
      <c r="AY56" s="3782">
        <v>509</v>
      </c>
      <c r="AZ56" s="4488"/>
      <c r="BA56" s="2864">
        <f t="shared" si="211"/>
        <v>1549</v>
      </c>
      <c r="BB56" s="5003">
        <f t="shared" si="212"/>
        <v>0</v>
      </c>
      <c r="BC56" s="471">
        <f t="shared" si="213"/>
        <v>1549</v>
      </c>
      <c r="BD56" s="3117">
        <f t="shared" si="214"/>
        <v>0</v>
      </c>
      <c r="BE56" s="3117">
        <f t="shared" si="215"/>
        <v>1549</v>
      </c>
      <c r="BF56" s="502">
        <f t="shared" si="27"/>
        <v>0</v>
      </c>
      <c r="BG56" s="502"/>
      <c r="BH56" s="4487"/>
      <c r="BI56" s="4487">
        <f t="shared" si="28"/>
        <v>0</v>
      </c>
      <c r="BJ56" s="4487"/>
      <c r="BK56" s="4487"/>
      <c r="BL56" s="4487"/>
      <c r="BM56" s="4487"/>
      <c r="BN56" s="4487"/>
      <c r="BO56" s="4487"/>
    </row>
    <row r="57" spans="1:67" ht="18.75" x14ac:dyDescent="0.25">
      <c r="B57" s="8024"/>
      <c r="C57" s="2012" t="s">
        <v>1519</v>
      </c>
      <c r="D57" s="1594"/>
      <c r="E57" s="1990">
        <v>57732</v>
      </c>
      <c r="F57" s="1594"/>
      <c r="G57" s="3782">
        <v>72348</v>
      </c>
      <c r="H57" s="1992">
        <f t="shared" si="1"/>
        <v>0</v>
      </c>
      <c r="I57" s="3113">
        <f t="shared" si="2"/>
        <v>130080</v>
      </c>
      <c r="J57" s="1594"/>
      <c r="K57" s="3782">
        <v>66338</v>
      </c>
      <c r="L57" s="1991">
        <f t="shared" si="3"/>
        <v>0</v>
      </c>
      <c r="M57" s="2221">
        <f t="shared" si="195"/>
        <v>196418</v>
      </c>
      <c r="N57" s="2023"/>
      <c r="O57" s="3782">
        <v>55130</v>
      </c>
      <c r="P57" s="1992">
        <f t="shared" si="4"/>
        <v>0</v>
      </c>
      <c r="Q57" s="3117">
        <f t="shared" si="30"/>
        <v>251548</v>
      </c>
      <c r="R57" s="2023"/>
      <c r="S57" s="3782">
        <v>68594</v>
      </c>
      <c r="T57" s="3117">
        <f t="shared" si="196"/>
        <v>0</v>
      </c>
      <c r="U57" s="3117">
        <f t="shared" si="197"/>
        <v>320142</v>
      </c>
      <c r="V57" s="2023"/>
      <c r="W57" s="3782">
        <v>71031</v>
      </c>
      <c r="X57" s="4197"/>
      <c r="Y57" s="2864">
        <f t="shared" si="8"/>
        <v>194755</v>
      </c>
      <c r="Z57" s="3117">
        <f t="shared" si="198"/>
        <v>0</v>
      </c>
      <c r="AA57" s="5003">
        <f t="shared" si="199"/>
        <v>391173</v>
      </c>
      <c r="AB57" s="2023"/>
      <c r="AC57" s="3782">
        <v>56395</v>
      </c>
      <c r="AD57" s="3117">
        <f t="shared" si="200"/>
        <v>0</v>
      </c>
      <c r="AE57" s="3117">
        <f t="shared" si="201"/>
        <v>447568</v>
      </c>
      <c r="AF57" s="2023"/>
      <c r="AG57" s="3782">
        <v>56395</v>
      </c>
      <c r="AH57" s="3117">
        <f t="shared" si="202"/>
        <v>0</v>
      </c>
      <c r="AI57" s="3117">
        <f t="shared" si="203"/>
        <v>503963</v>
      </c>
      <c r="AJ57" s="2023"/>
      <c r="AK57" s="3782">
        <v>74128</v>
      </c>
      <c r="AL57" s="4488"/>
      <c r="AM57" s="2864">
        <f t="shared" si="204"/>
        <v>186918</v>
      </c>
      <c r="AN57" s="3117">
        <f t="shared" si="205"/>
        <v>0</v>
      </c>
      <c r="AO57" s="3117">
        <f t="shared" si="206"/>
        <v>578091</v>
      </c>
      <c r="AP57" s="2023"/>
      <c r="AQ57" s="3782">
        <v>56821</v>
      </c>
      <c r="AR57" s="3117">
        <f t="shared" si="207"/>
        <v>0</v>
      </c>
      <c r="AS57" s="3117">
        <f t="shared" si="208"/>
        <v>634912</v>
      </c>
      <c r="AT57" s="2023"/>
      <c r="AU57" s="3782">
        <v>47844</v>
      </c>
      <c r="AV57" s="3117">
        <f t="shared" si="209"/>
        <v>0</v>
      </c>
      <c r="AW57" s="3117">
        <f t="shared" si="210"/>
        <v>682756</v>
      </c>
      <c r="AX57" s="2023"/>
      <c r="AY57" s="3782">
        <v>64087</v>
      </c>
      <c r="AZ57" s="4488"/>
      <c r="BA57" s="2864">
        <f t="shared" si="211"/>
        <v>168752</v>
      </c>
      <c r="BB57" s="5003">
        <f t="shared" si="212"/>
        <v>0</v>
      </c>
      <c r="BC57" s="471">
        <f t="shared" si="213"/>
        <v>355670</v>
      </c>
      <c r="BD57" s="3117">
        <f t="shared" si="214"/>
        <v>0</v>
      </c>
      <c r="BE57" s="3117">
        <f t="shared" si="215"/>
        <v>746843</v>
      </c>
      <c r="BF57" s="502">
        <f t="shared" si="27"/>
        <v>0</v>
      </c>
      <c r="BG57" s="502"/>
      <c r="BH57" s="4487"/>
      <c r="BI57" s="4487">
        <f t="shared" si="28"/>
        <v>0</v>
      </c>
      <c r="BJ57" s="4487"/>
      <c r="BK57" s="4487"/>
      <c r="BL57" s="4487"/>
      <c r="BM57" s="4487"/>
      <c r="BN57" s="4487"/>
      <c r="BO57" s="4487"/>
    </row>
    <row r="58" spans="1:67" ht="18.75" x14ac:dyDescent="0.25">
      <c r="B58" s="8024"/>
      <c r="C58" s="2012" t="s">
        <v>1520</v>
      </c>
      <c r="D58" s="1594"/>
      <c r="E58" s="1990">
        <v>5700</v>
      </c>
      <c r="F58" s="1594"/>
      <c r="G58" s="3782">
        <v>7844</v>
      </c>
      <c r="H58" s="1992">
        <f t="shared" si="1"/>
        <v>0</v>
      </c>
      <c r="I58" s="3113">
        <f t="shared" si="2"/>
        <v>13544</v>
      </c>
      <c r="J58" s="1594"/>
      <c r="K58" s="3782">
        <v>8636</v>
      </c>
      <c r="L58" s="1991">
        <f t="shared" si="3"/>
        <v>0</v>
      </c>
      <c r="M58" s="2221">
        <f t="shared" si="195"/>
        <v>22180</v>
      </c>
      <c r="N58" s="2023"/>
      <c r="O58" s="3782">
        <v>7057</v>
      </c>
      <c r="P58" s="1992">
        <f t="shared" si="4"/>
        <v>0</v>
      </c>
      <c r="Q58" s="3117">
        <f t="shared" si="30"/>
        <v>29237</v>
      </c>
      <c r="R58" s="2023"/>
      <c r="S58" s="3782">
        <v>11629</v>
      </c>
      <c r="T58" s="3117">
        <f t="shared" si="196"/>
        <v>0</v>
      </c>
      <c r="U58" s="3117">
        <f t="shared" si="197"/>
        <v>40866</v>
      </c>
      <c r="V58" s="2023"/>
      <c r="W58" s="3782">
        <v>2789</v>
      </c>
      <c r="X58" s="4197"/>
      <c r="Y58" s="2864">
        <f t="shared" si="8"/>
        <v>21475</v>
      </c>
      <c r="Z58" s="3117">
        <f t="shared" si="198"/>
        <v>0</v>
      </c>
      <c r="AA58" s="5003">
        <f t="shared" si="199"/>
        <v>43655</v>
      </c>
      <c r="AB58" s="2023"/>
      <c r="AC58" s="3782">
        <v>3151</v>
      </c>
      <c r="AD58" s="3117">
        <f t="shared" si="200"/>
        <v>0</v>
      </c>
      <c r="AE58" s="3117">
        <f t="shared" si="201"/>
        <v>46806</v>
      </c>
      <c r="AF58" s="2023"/>
      <c r="AG58" s="3782">
        <v>0</v>
      </c>
      <c r="AH58" s="3117">
        <f t="shared" si="202"/>
        <v>0</v>
      </c>
      <c r="AI58" s="3117">
        <f t="shared" si="203"/>
        <v>46806</v>
      </c>
      <c r="AJ58" s="2023"/>
      <c r="AK58" s="3782">
        <v>7118</v>
      </c>
      <c r="AL58" s="4488"/>
      <c r="AM58" s="2864">
        <f t="shared" si="204"/>
        <v>10269</v>
      </c>
      <c r="AN58" s="3117">
        <f t="shared" si="205"/>
        <v>0</v>
      </c>
      <c r="AO58" s="3117">
        <f t="shared" si="206"/>
        <v>53924</v>
      </c>
      <c r="AP58" s="2023"/>
      <c r="AQ58" s="3782">
        <v>8655</v>
      </c>
      <c r="AR58" s="3117">
        <f t="shared" si="207"/>
        <v>0</v>
      </c>
      <c r="AS58" s="3117">
        <f t="shared" si="208"/>
        <v>62579</v>
      </c>
      <c r="AT58" s="2023"/>
      <c r="AU58" s="3782">
        <v>18895</v>
      </c>
      <c r="AV58" s="3117">
        <f t="shared" si="209"/>
        <v>0</v>
      </c>
      <c r="AW58" s="3117">
        <f t="shared" si="210"/>
        <v>81474</v>
      </c>
      <c r="AX58" s="2023"/>
      <c r="AY58" s="3782">
        <v>24850</v>
      </c>
      <c r="AZ58" s="4488"/>
      <c r="BA58" s="2864">
        <f t="shared" si="211"/>
        <v>52400</v>
      </c>
      <c r="BB58" s="5003">
        <f t="shared" si="212"/>
        <v>0</v>
      </c>
      <c r="BC58" s="471">
        <f t="shared" si="213"/>
        <v>62669</v>
      </c>
      <c r="BD58" s="3117">
        <f t="shared" si="214"/>
        <v>0</v>
      </c>
      <c r="BE58" s="3117">
        <f t="shared" si="215"/>
        <v>106324</v>
      </c>
      <c r="BF58" s="502">
        <f t="shared" si="27"/>
        <v>0</v>
      </c>
      <c r="BG58" s="502"/>
      <c r="BH58" s="4487"/>
      <c r="BI58" s="4487">
        <f t="shared" si="28"/>
        <v>0</v>
      </c>
      <c r="BJ58" s="4487"/>
      <c r="BK58" s="4487"/>
      <c r="BL58" s="4487"/>
      <c r="BM58" s="4487"/>
      <c r="BN58" s="4487"/>
      <c r="BO58" s="4487"/>
    </row>
    <row r="59" spans="1:67" ht="18.75" x14ac:dyDescent="0.25">
      <c r="B59" s="8024"/>
      <c r="C59" s="2012" t="s">
        <v>1521</v>
      </c>
      <c r="D59" s="1594"/>
      <c r="E59" s="1990">
        <v>0</v>
      </c>
      <c r="F59" s="1594"/>
      <c r="G59" s="3782">
        <v>0</v>
      </c>
      <c r="H59" s="1992">
        <f t="shared" si="1"/>
        <v>0</v>
      </c>
      <c r="I59" s="3779">
        <f t="shared" si="2"/>
        <v>0</v>
      </c>
      <c r="J59" s="1594"/>
      <c r="K59" s="3782">
        <v>0</v>
      </c>
      <c r="L59" s="1991">
        <f t="shared" si="3"/>
        <v>0</v>
      </c>
      <c r="M59" s="2221">
        <f t="shared" si="195"/>
        <v>0</v>
      </c>
      <c r="N59" s="2023"/>
      <c r="O59" s="3782">
        <v>0</v>
      </c>
      <c r="P59" s="1992">
        <f t="shared" si="4"/>
        <v>0</v>
      </c>
      <c r="Q59" s="3117">
        <f t="shared" si="30"/>
        <v>0</v>
      </c>
      <c r="R59" s="2023"/>
      <c r="S59" s="3782">
        <v>0</v>
      </c>
      <c r="T59" s="3117">
        <f t="shared" si="196"/>
        <v>0</v>
      </c>
      <c r="U59" s="3117">
        <f t="shared" si="197"/>
        <v>0</v>
      </c>
      <c r="V59" s="2023"/>
      <c r="W59" s="3782">
        <v>0</v>
      </c>
      <c r="X59" s="4197"/>
      <c r="Y59" s="2864">
        <f t="shared" si="8"/>
        <v>0</v>
      </c>
      <c r="Z59" s="3117">
        <f t="shared" si="198"/>
        <v>0</v>
      </c>
      <c r="AA59" s="5003">
        <f t="shared" si="199"/>
        <v>0</v>
      </c>
      <c r="AB59" s="2023"/>
      <c r="AC59" s="3782">
        <v>0</v>
      </c>
      <c r="AD59" s="3117">
        <f t="shared" si="200"/>
        <v>0</v>
      </c>
      <c r="AE59" s="3117">
        <f t="shared" si="201"/>
        <v>0</v>
      </c>
      <c r="AF59" s="2023"/>
      <c r="AG59" s="3782">
        <v>0</v>
      </c>
      <c r="AH59" s="3117">
        <f t="shared" si="202"/>
        <v>0</v>
      </c>
      <c r="AI59" s="3117">
        <f t="shared" si="203"/>
        <v>0</v>
      </c>
      <c r="AJ59" s="2023"/>
      <c r="AK59" s="3782">
        <v>0</v>
      </c>
      <c r="AL59" s="4488"/>
      <c r="AM59" s="2864">
        <f t="shared" si="204"/>
        <v>0</v>
      </c>
      <c r="AN59" s="3117">
        <f t="shared" si="205"/>
        <v>0</v>
      </c>
      <c r="AO59" s="3117">
        <f t="shared" si="206"/>
        <v>0</v>
      </c>
      <c r="AP59" s="2023"/>
      <c r="AQ59" s="3782">
        <v>0</v>
      </c>
      <c r="AR59" s="3117">
        <f t="shared" si="207"/>
        <v>0</v>
      </c>
      <c r="AS59" s="3117">
        <f t="shared" si="208"/>
        <v>0</v>
      </c>
      <c r="AT59" s="2023"/>
      <c r="AU59" s="3782">
        <v>0</v>
      </c>
      <c r="AV59" s="3117">
        <f t="shared" si="209"/>
        <v>0</v>
      </c>
      <c r="AW59" s="3117">
        <f t="shared" si="210"/>
        <v>0</v>
      </c>
      <c r="AX59" s="2023"/>
      <c r="AY59" s="3782">
        <v>0</v>
      </c>
      <c r="AZ59" s="4488"/>
      <c r="BA59" s="2864">
        <f t="shared" si="211"/>
        <v>0</v>
      </c>
      <c r="BB59" s="5003">
        <f t="shared" si="212"/>
        <v>0</v>
      </c>
      <c r="BC59" s="471">
        <f t="shared" si="213"/>
        <v>0</v>
      </c>
      <c r="BD59" s="3117">
        <f t="shared" si="214"/>
        <v>0</v>
      </c>
      <c r="BE59" s="3117">
        <f t="shared" si="215"/>
        <v>0</v>
      </c>
      <c r="BF59" s="502">
        <f t="shared" si="27"/>
        <v>0</v>
      </c>
      <c r="BG59" s="502"/>
      <c r="BH59" s="4487"/>
      <c r="BI59" s="4487">
        <f t="shared" si="28"/>
        <v>0</v>
      </c>
      <c r="BJ59" s="4487"/>
      <c r="BK59" s="4487"/>
      <c r="BL59" s="4487"/>
      <c r="BM59" s="4487"/>
      <c r="BN59" s="4487"/>
      <c r="BO59" s="4487"/>
    </row>
    <row r="60" spans="1:67" ht="18.75" x14ac:dyDescent="0.25">
      <c r="B60" s="8024"/>
      <c r="C60" s="2012" t="s">
        <v>1522</v>
      </c>
      <c r="D60" s="1594"/>
      <c r="E60" s="4316">
        <f>+LDCP!F7</f>
        <v>62695</v>
      </c>
      <c r="F60" s="1594"/>
      <c r="G60" s="4316">
        <f>+LDCP!H7</f>
        <v>57968</v>
      </c>
      <c r="H60" s="1992">
        <f t="shared" si="1"/>
        <v>0</v>
      </c>
      <c r="I60" s="3113">
        <f t="shared" si="2"/>
        <v>120663</v>
      </c>
      <c r="J60" s="1594"/>
      <c r="K60" s="4316">
        <f>+LDCP!L7</f>
        <v>59622</v>
      </c>
      <c r="L60" s="1991">
        <f t="shared" si="3"/>
        <v>0</v>
      </c>
      <c r="M60" s="2221">
        <f t="shared" si="195"/>
        <v>180285</v>
      </c>
      <c r="N60" s="2023"/>
      <c r="O60" s="4316">
        <f>+LDCP!P7</f>
        <v>66125</v>
      </c>
      <c r="P60" s="1992">
        <f t="shared" si="4"/>
        <v>0</v>
      </c>
      <c r="Q60" s="3117">
        <f t="shared" si="30"/>
        <v>246410</v>
      </c>
      <c r="R60" s="2023"/>
      <c r="S60" s="4316">
        <f>+LDCP!T7</f>
        <v>59020</v>
      </c>
      <c r="T60" s="3117">
        <f t="shared" si="196"/>
        <v>0</v>
      </c>
      <c r="U60" s="3117">
        <f t="shared" si="197"/>
        <v>305430</v>
      </c>
      <c r="V60" s="2023"/>
      <c r="W60" s="4316">
        <f>+LDCP!X7</f>
        <v>57997</v>
      </c>
      <c r="X60" s="4408"/>
      <c r="Y60" s="2864">
        <f t="shared" si="8"/>
        <v>183142</v>
      </c>
      <c r="Z60" s="3117">
        <f t="shared" si="198"/>
        <v>0</v>
      </c>
      <c r="AA60" s="5003">
        <f t="shared" si="199"/>
        <v>363427</v>
      </c>
      <c r="AB60" s="2023"/>
      <c r="AC60" s="4316">
        <f>+LDCP!AD7</f>
        <v>47901</v>
      </c>
      <c r="AD60" s="3117">
        <f t="shared" si="200"/>
        <v>0</v>
      </c>
      <c r="AE60" s="3117">
        <f t="shared" si="201"/>
        <v>411328</v>
      </c>
      <c r="AF60" s="2023"/>
      <c r="AG60" s="4316">
        <f>+LDCP!AH7</f>
        <v>54250</v>
      </c>
      <c r="AH60" s="3117">
        <f t="shared" si="202"/>
        <v>0</v>
      </c>
      <c r="AI60" s="3117">
        <f t="shared" si="203"/>
        <v>465578</v>
      </c>
      <c r="AJ60" s="2023"/>
      <c r="AK60" s="4316">
        <f>+LDCP!AL7</f>
        <v>55839</v>
      </c>
      <c r="AL60" s="4408"/>
      <c r="AM60" s="2864">
        <f t="shared" si="204"/>
        <v>157990</v>
      </c>
      <c r="AN60" s="3117">
        <f t="shared" si="205"/>
        <v>0</v>
      </c>
      <c r="AO60" s="3117">
        <f t="shared" si="206"/>
        <v>521417</v>
      </c>
      <c r="AP60" s="2023"/>
      <c r="AQ60" s="4316">
        <f>+LDCP!AR7</f>
        <v>62540</v>
      </c>
      <c r="AR60" s="3117">
        <f t="shared" si="207"/>
        <v>0</v>
      </c>
      <c r="AS60" s="3117">
        <f t="shared" si="208"/>
        <v>583957</v>
      </c>
      <c r="AT60" s="2023"/>
      <c r="AU60" s="4316">
        <f>+LDCP!AV7</f>
        <v>51931</v>
      </c>
      <c r="AV60" s="3117">
        <f t="shared" si="209"/>
        <v>0</v>
      </c>
      <c r="AW60" s="3117">
        <f t="shared" si="210"/>
        <v>635888</v>
      </c>
      <c r="AX60" s="2023"/>
      <c r="AY60" s="4316">
        <f>+LDCP!AZ7</f>
        <v>56061</v>
      </c>
      <c r="AZ60" s="4408"/>
      <c r="BA60" s="2864">
        <f t="shared" si="211"/>
        <v>170532</v>
      </c>
      <c r="BB60" s="5003">
        <f t="shared" si="212"/>
        <v>0</v>
      </c>
      <c r="BC60" s="471">
        <f t="shared" si="213"/>
        <v>328522</v>
      </c>
      <c r="BD60" s="3117">
        <f t="shared" si="214"/>
        <v>0</v>
      </c>
      <c r="BE60" s="3117">
        <f t="shared" si="215"/>
        <v>691949</v>
      </c>
      <c r="BF60" s="502">
        <f t="shared" si="27"/>
        <v>0</v>
      </c>
      <c r="BG60" s="502"/>
      <c r="BH60" s="4487"/>
      <c r="BI60" s="4487">
        <f t="shared" si="28"/>
        <v>0</v>
      </c>
      <c r="BJ60" s="4487"/>
      <c r="BK60" s="4487"/>
      <c r="BL60" s="4487"/>
      <c r="BM60" s="4487"/>
      <c r="BN60" s="4487"/>
      <c r="BO60" s="4487"/>
    </row>
    <row r="61" spans="1:67" ht="18.75" x14ac:dyDescent="0.25">
      <c r="B61" s="8024"/>
      <c r="C61" s="2012" t="s">
        <v>1523</v>
      </c>
      <c r="D61" s="1594"/>
      <c r="E61" s="4316">
        <f>+LDCP!F21</f>
        <v>18070</v>
      </c>
      <c r="F61" s="1594"/>
      <c r="G61" s="4316">
        <f>+LDCP!H21</f>
        <v>14184</v>
      </c>
      <c r="H61" s="1992">
        <f t="shared" si="1"/>
        <v>0</v>
      </c>
      <c r="I61" s="3113">
        <f t="shared" si="2"/>
        <v>32254</v>
      </c>
      <c r="J61" s="1594"/>
      <c r="K61" s="4316">
        <f>+LDCP!L21</f>
        <v>15520</v>
      </c>
      <c r="L61" s="1991">
        <f t="shared" si="3"/>
        <v>0</v>
      </c>
      <c r="M61" s="2221">
        <f t="shared" si="195"/>
        <v>47774</v>
      </c>
      <c r="N61" s="2023"/>
      <c r="O61" s="4316">
        <f>+LDCP!P21</f>
        <v>16160</v>
      </c>
      <c r="P61" s="1992">
        <f t="shared" si="4"/>
        <v>0</v>
      </c>
      <c r="Q61" s="3117">
        <f t="shared" si="30"/>
        <v>63934</v>
      </c>
      <c r="R61" s="2023"/>
      <c r="S61" s="4316">
        <f>+LDCP!T21</f>
        <v>15934</v>
      </c>
      <c r="T61" s="3117">
        <f t="shared" si="196"/>
        <v>0</v>
      </c>
      <c r="U61" s="3117">
        <f t="shared" si="197"/>
        <v>79868</v>
      </c>
      <c r="V61" s="2023"/>
      <c r="W61" s="4316">
        <f>+LDCP!X21</f>
        <v>17396</v>
      </c>
      <c r="X61" s="4408"/>
      <c r="Y61" s="2864">
        <f t="shared" si="8"/>
        <v>49490</v>
      </c>
      <c r="Z61" s="3117">
        <f t="shared" si="198"/>
        <v>0</v>
      </c>
      <c r="AA61" s="5003">
        <f t="shared" si="199"/>
        <v>97264</v>
      </c>
      <c r="AB61" s="2023"/>
      <c r="AC61" s="4316">
        <f>+LDCP!AD21</f>
        <v>11392</v>
      </c>
      <c r="AD61" s="3117">
        <f t="shared" si="200"/>
        <v>0</v>
      </c>
      <c r="AE61" s="3117">
        <f t="shared" si="201"/>
        <v>108656</v>
      </c>
      <c r="AF61" s="2023"/>
      <c r="AG61" s="4316">
        <f>+LDCP!AH21</f>
        <v>10726</v>
      </c>
      <c r="AH61" s="3117">
        <f t="shared" si="202"/>
        <v>0</v>
      </c>
      <c r="AI61" s="3117">
        <f t="shared" si="203"/>
        <v>119382</v>
      </c>
      <c r="AJ61" s="2023"/>
      <c r="AK61" s="4316">
        <f>+LDCP!AL21</f>
        <v>0</v>
      </c>
      <c r="AL61" s="4408"/>
      <c r="AM61" s="2864">
        <f t="shared" si="204"/>
        <v>22118</v>
      </c>
      <c r="AN61" s="3117">
        <f t="shared" si="205"/>
        <v>0</v>
      </c>
      <c r="AO61" s="3117">
        <f t="shared" si="206"/>
        <v>119382</v>
      </c>
      <c r="AP61" s="2023"/>
      <c r="AQ61" s="4316">
        <f>+LDCP!AR21</f>
        <v>9304</v>
      </c>
      <c r="AR61" s="3117">
        <f t="shared" si="207"/>
        <v>0</v>
      </c>
      <c r="AS61" s="3117">
        <f t="shared" si="208"/>
        <v>128686</v>
      </c>
      <c r="AT61" s="2023"/>
      <c r="AU61" s="4316">
        <f>+LDCP!AV21</f>
        <v>13642</v>
      </c>
      <c r="AV61" s="3117">
        <f t="shared" si="209"/>
        <v>0</v>
      </c>
      <c r="AW61" s="3117">
        <f t="shared" si="210"/>
        <v>142328</v>
      </c>
      <c r="AX61" s="2023"/>
      <c r="AY61" s="4316">
        <f>+LDCP!AZ21</f>
        <v>14879</v>
      </c>
      <c r="AZ61" s="4408"/>
      <c r="BA61" s="2864">
        <f t="shared" si="211"/>
        <v>37825</v>
      </c>
      <c r="BB61" s="5003">
        <f t="shared" si="212"/>
        <v>0</v>
      </c>
      <c r="BC61" s="471">
        <f t="shared" si="213"/>
        <v>59943</v>
      </c>
      <c r="BD61" s="3117">
        <f t="shared" si="214"/>
        <v>0</v>
      </c>
      <c r="BE61" s="3117">
        <f t="shared" si="215"/>
        <v>157207</v>
      </c>
      <c r="BF61" s="502">
        <f t="shared" si="27"/>
        <v>0</v>
      </c>
      <c r="BG61" s="502"/>
      <c r="BH61" s="4487"/>
      <c r="BI61" s="4487">
        <f t="shared" si="28"/>
        <v>0</v>
      </c>
      <c r="BJ61" s="4487"/>
      <c r="BK61" s="4487"/>
      <c r="BL61" s="4487"/>
      <c r="BM61" s="4487"/>
      <c r="BN61" s="4487"/>
      <c r="BO61" s="4487"/>
    </row>
    <row r="62" spans="1:67" s="4233" customFormat="1" ht="18.75" x14ac:dyDescent="0.25">
      <c r="B62" s="4423"/>
      <c r="C62" s="2012" t="s">
        <v>1782</v>
      </c>
      <c r="D62" s="1594"/>
      <c r="E62" s="3782">
        <v>520</v>
      </c>
      <c r="F62" s="1594"/>
      <c r="G62" s="3782">
        <v>640</v>
      </c>
      <c r="H62" s="3117"/>
      <c r="I62" s="3779">
        <f t="shared" si="2"/>
        <v>1160</v>
      </c>
      <c r="J62" s="1594"/>
      <c r="K62" s="3782">
        <v>703</v>
      </c>
      <c r="L62" s="2864"/>
      <c r="M62" s="2864">
        <f t="shared" si="195"/>
        <v>1863</v>
      </c>
      <c r="N62" s="2023"/>
      <c r="O62" s="3782">
        <v>341</v>
      </c>
      <c r="P62" s="3117"/>
      <c r="Q62" s="3117">
        <f t="shared" si="30"/>
        <v>2204</v>
      </c>
      <c r="R62" s="2023"/>
      <c r="S62" s="3782">
        <v>766</v>
      </c>
      <c r="T62" s="3117"/>
      <c r="U62" s="3117">
        <f t="shared" si="197"/>
        <v>2970</v>
      </c>
      <c r="V62" s="2023"/>
      <c r="W62" s="3782">
        <v>423</v>
      </c>
      <c r="X62" s="4488"/>
      <c r="Y62" s="2864">
        <f t="shared" ref="Y62" si="216">O62+S62+W62</f>
        <v>1530</v>
      </c>
      <c r="Z62" s="3117">
        <f t="shared" ref="Z62" si="217">+T62+V62</f>
        <v>0</v>
      </c>
      <c r="AA62" s="5003">
        <f t="shared" ref="AA62" si="218">+U62+W62</f>
        <v>3393</v>
      </c>
      <c r="AB62" s="2023"/>
      <c r="AC62" s="3782">
        <v>464</v>
      </c>
      <c r="AD62" s="3117"/>
      <c r="AE62" s="3117">
        <f t="shared" si="201"/>
        <v>3857</v>
      </c>
      <c r="AF62" s="2023"/>
      <c r="AG62" s="3782">
        <v>305</v>
      </c>
      <c r="AH62" s="3117"/>
      <c r="AI62" s="3117">
        <f t="shared" si="203"/>
        <v>4162</v>
      </c>
      <c r="AJ62" s="2023"/>
      <c r="AK62" s="3782">
        <v>877</v>
      </c>
      <c r="AL62" s="4488"/>
      <c r="AM62" s="2864">
        <f t="shared" si="204"/>
        <v>1646</v>
      </c>
      <c r="AN62" s="3117"/>
      <c r="AO62" s="3117">
        <f t="shared" si="206"/>
        <v>5039</v>
      </c>
      <c r="AP62" s="2023"/>
      <c r="AQ62" s="3782">
        <v>566</v>
      </c>
      <c r="AR62" s="3117"/>
      <c r="AS62" s="3117">
        <f t="shared" si="208"/>
        <v>5605</v>
      </c>
      <c r="AT62" s="2023"/>
      <c r="AU62" s="3782">
        <v>989</v>
      </c>
      <c r="AV62" s="3117"/>
      <c r="AW62" s="3117">
        <f t="shared" si="210"/>
        <v>6594</v>
      </c>
      <c r="AX62" s="2023"/>
      <c r="AY62" s="3782">
        <v>1910</v>
      </c>
      <c r="AZ62" s="4488"/>
      <c r="BA62" s="2864">
        <f t="shared" si="211"/>
        <v>3465</v>
      </c>
      <c r="BB62" s="5003">
        <f t="shared" si="212"/>
        <v>0</v>
      </c>
      <c r="BC62" s="471">
        <f t="shared" si="213"/>
        <v>5111</v>
      </c>
      <c r="BD62" s="3117"/>
      <c r="BE62" s="3117">
        <f t="shared" si="215"/>
        <v>8504</v>
      </c>
      <c r="BF62" s="502">
        <f t="shared" si="27"/>
        <v>0</v>
      </c>
      <c r="BG62" s="502"/>
      <c r="BH62" s="4487"/>
      <c r="BI62" s="4487">
        <f t="shared" si="28"/>
        <v>0</v>
      </c>
      <c r="BJ62" s="4487"/>
      <c r="BK62" s="4487"/>
      <c r="BL62" s="4487"/>
      <c r="BM62" s="4487"/>
      <c r="BN62" s="4487"/>
      <c r="BO62" s="4487"/>
    </row>
    <row r="63" spans="1:67" s="139" customFormat="1" ht="18.75" x14ac:dyDescent="0.25">
      <c r="B63" s="415"/>
      <c r="C63" s="4917"/>
      <c r="D63" s="415"/>
      <c r="E63" s="379"/>
      <c r="F63" s="1141"/>
      <c r="G63" s="379"/>
      <c r="H63" s="379"/>
      <c r="I63" s="3783"/>
      <c r="J63" s="1141"/>
      <c r="K63" s="379"/>
      <c r="L63" s="379"/>
      <c r="M63" s="379"/>
      <c r="N63" s="3796"/>
      <c r="O63" s="379"/>
      <c r="P63" s="379"/>
      <c r="Q63" s="379"/>
      <c r="R63" s="3796"/>
      <c r="S63" s="379"/>
      <c r="T63" s="379"/>
      <c r="U63" s="379"/>
      <c r="V63" s="3796"/>
      <c r="W63" s="379"/>
      <c r="X63" s="3041"/>
      <c r="Y63" s="379"/>
      <c r="Z63" s="379"/>
      <c r="AA63" s="379"/>
      <c r="AB63" s="3796"/>
      <c r="AC63" s="379"/>
      <c r="AD63" s="379"/>
      <c r="AE63" s="379"/>
      <c r="AF63" s="3796"/>
      <c r="AG63" s="379"/>
      <c r="AH63" s="379"/>
      <c r="AI63" s="379"/>
      <c r="AJ63" s="3796"/>
      <c r="AK63" s="379"/>
      <c r="AL63" s="3041"/>
      <c r="AM63" s="379"/>
      <c r="AN63" s="379"/>
      <c r="AO63" s="379"/>
      <c r="AP63" s="3796"/>
      <c r="AQ63" s="379"/>
      <c r="AR63" s="379"/>
      <c r="AS63" s="379"/>
      <c r="AT63" s="3796"/>
      <c r="AU63" s="379"/>
      <c r="AV63" s="379"/>
      <c r="AW63" s="379"/>
      <c r="AX63" s="3796"/>
      <c r="AY63" s="379"/>
      <c r="AZ63" s="4487"/>
      <c r="BA63" s="4487"/>
      <c r="BB63" s="4487"/>
      <c r="BC63" s="4487"/>
      <c r="BD63" s="4487"/>
      <c r="BE63" s="4487"/>
      <c r="BF63" s="502">
        <f t="shared" si="27"/>
        <v>0</v>
      </c>
      <c r="BG63" s="502"/>
      <c r="BH63" s="4487"/>
      <c r="BI63" s="4487">
        <f t="shared" si="28"/>
        <v>0</v>
      </c>
      <c r="BJ63" s="4487"/>
      <c r="BK63" s="4487"/>
      <c r="BL63" s="4487"/>
      <c r="BM63" s="4487"/>
      <c r="BN63" s="4487"/>
      <c r="BO63" s="4487"/>
    </row>
    <row r="64" spans="1:67" ht="18.75" x14ac:dyDescent="0.3">
      <c r="B64" s="973" t="s">
        <v>1491</v>
      </c>
      <c r="C64" s="2006"/>
      <c r="D64" s="173"/>
      <c r="E64" s="1990">
        <v>8554</v>
      </c>
      <c r="F64" s="1594"/>
      <c r="G64" s="3782">
        <v>10177</v>
      </c>
      <c r="H64" s="1992">
        <f t="shared" si="1"/>
        <v>0</v>
      </c>
      <c r="I64" s="3113">
        <f t="shared" si="2"/>
        <v>18731</v>
      </c>
      <c r="J64" s="1594"/>
      <c r="K64" s="3782">
        <v>9397</v>
      </c>
      <c r="L64" s="1991">
        <f t="shared" si="3"/>
        <v>0</v>
      </c>
      <c r="M64" s="1991">
        <f>E64+G64+K64</f>
        <v>28128</v>
      </c>
      <c r="N64" s="2023"/>
      <c r="O64" s="3782">
        <v>10586</v>
      </c>
      <c r="P64" s="1992">
        <f t="shared" si="4"/>
        <v>0</v>
      </c>
      <c r="Q64" s="1992">
        <f t="shared" si="30"/>
        <v>38714</v>
      </c>
      <c r="R64" s="2023"/>
      <c r="S64" s="3782">
        <v>10058</v>
      </c>
      <c r="T64" s="3117">
        <f t="shared" ref="T64" si="219">+P64+R64</f>
        <v>0</v>
      </c>
      <c r="U64" s="3117">
        <f t="shared" ref="U64" si="220">+Q64+S64</f>
        <v>48772</v>
      </c>
      <c r="V64" s="2023"/>
      <c r="W64" s="3782">
        <v>10349</v>
      </c>
      <c r="X64" s="4197"/>
      <c r="Y64" s="2864">
        <f t="shared" si="8"/>
        <v>30993</v>
      </c>
      <c r="Z64" s="3117">
        <f t="shared" ref="Z64" si="221">+T64+V64</f>
        <v>0</v>
      </c>
      <c r="AA64" s="5003">
        <f t="shared" ref="AA64" si="222">+U64+W64</f>
        <v>59121</v>
      </c>
      <c r="AB64" s="2023"/>
      <c r="AC64" s="3782">
        <v>10113</v>
      </c>
      <c r="AD64" s="3117">
        <f t="shared" ref="AD64" si="223">+Z64+AB64</f>
        <v>0</v>
      </c>
      <c r="AE64" s="3117">
        <f t="shared" ref="AE64" si="224">+AA64+AC64</f>
        <v>69234</v>
      </c>
      <c r="AF64" s="2023"/>
      <c r="AG64" s="3782">
        <v>8738</v>
      </c>
      <c r="AH64" s="3117">
        <f t="shared" ref="AH64" si="225">+AD64+AF64</f>
        <v>0</v>
      </c>
      <c r="AI64" s="3117">
        <f t="shared" ref="AI64" si="226">+AE64+AG64</f>
        <v>77972</v>
      </c>
      <c r="AJ64" s="2023"/>
      <c r="AK64" s="3782">
        <v>10023</v>
      </c>
      <c r="AL64" s="4488"/>
      <c r="AM64" s="2864">
        <f t="shared" ref="AM64" si="227">AC64+AG64+AK64</f>
        <v>28874</v>
      </c>
      <c r="AN64" s="3117">
        <f t="shared" ref="AN64" si="228">+AH64+AJ64</f>
        <v>0</v>
      </c>
      <c r="AO64" s="3117">
        <f t="shared" ref="AO64" si="229">+AI64+AK64</f>
        <v>87995</v>
      </c>
      <c r="AP64" s="2023"/>
      <c r="AQ64" s="3782">
        <v>9272</v>
      </c>
      <c r="AR64" s="3117">
        <f t="shared" ref="AR64" si="230">+AN64+AP64</f>
        <v>0</v>
      </c>
      <c r="AS64" s="3117">
        <f t="shared" ref="AS64" si="231">+AO64+AQ64</f>
        <v>97267</v>
      </c>
      <c r="AT64" s="2023"/>
      <c r="AU64" s="3782">
        <v>8617</v>
      </c>
      <c r="AV64" s="3117">
        <f t="shared" ref="AV64" si="232">+AR64+AT64</f>
        <v>0</v>
      </c>
      <c r="AW64" s="3117">
        <f t="shared" ref="AW64" si="233">+AS64+AU64</f>
        <v>105884</v>
      </c>
      <c r="AX64" s="2023"/>
      <c r="AY64" s="3782">
        <v>9338</v>
      </c>
      <c r="AZ64" s="4488"/>
      <c r="BA64" s="2864">
        <f t="shared" ref="BA64" si="234">AQ64+AU64+AY64</f>
        <v>27227</v>
      </c>
      <c r="BB64" s="5003">
        <f t="shared" ref="BB64" si="235">+AV64+AX64</f>
        <v>0</v>
      </c>
      <c r="BC64" s="471">
        <f>AM64+BA64</f>
        <v>56101</v>
      </c>
      <c r="BD64" s="3117">
        <f t="shared" ref="BD64" si="236">+AV64+AX64</f>
        <v>0</v>
      </c>
      <c r="BE64" s="3117">
        <f t="shared" ref="BE64" si="237">+AW64+AY64</f>
        <v>115222</v>
      </c>
      <c r="BF64" s="502">
        <f t="shared" si="27"/>
        <v>0</v>
      </c>
      <c r="BG64" s="502"/>
      <c r="BH64" s="4487"/>
      <c r="BI64" s="4487">
        <f t="shared" si="28"/>
        <v>0</v>
      </c>
      <c r="BJ64" s="4487"/>
      <c r="BK64" s="4487"/>
      <c r="BL64" s="4487"/>
      <c r="BM64" s="4487"/>
      <c r="BN64" s="4487"/>
      <c r="BO64" s="4487"/>
    </row>
    <row r="65" spans="3:67" s="4487" customFormat="1" x14ac:dyDescent="0.25">
      <c r="BF65" s="502">
        <f t="shared" si="27"/>
        <v>0</v>
      </c>
      <c r="BG65" s="502"/>
      <c r="BI65" s="4487">
        <f t="shared" si="28"/>
        <v>0</v>
      </c>
    </row>
    <row r="66" spans="3:67" ht="18.75" x14ac:dyDescent="0.3">
      <c r="C66" s="973" t="s">
        <v>1524</v>
      </c>
      <c r="D66" s="1995"/>
      <c r="E66" s="2000">
        <v>83.63</v>
      </c>
      <c r="F66" s="1594"/>
      <c r="G66" s="2726">
        <v>83.46</v>
      </c>
      <c r="H66" s="2727"/>
      <c r="I66" s="2727">
        <v>83.334999999999994</v>
      </c>
      <c r="J66" s="5884"/>
      <c r="K66" s="2726">
        <v>83.46</v>
      </c>
      <c r="L66" s="2002"/>
      <c r="M66" s="380">
        <v>83.376666666666665</v>
      </c>
      <c r="N66" s="2023"/>
      <c r="O66" s="2726">
        <v>83.55</v>
      </c>
      <c r="P66" s="2001"/>
      <c r="Q66" s="2727">
        <v>83.42</v>
      </c>
      <c r="R66" s="2023"/>
      <c r="S66" s="2726">
        <v>84.05</v>
      </c>
      <c r="T66" s="3117"/>
      <c r="U66" s="2727">
        <v>83.546000000000006</v>
      </c>
      <c r="V66" s="2023"/>
      <c r="W66" s="2726">
        <v>84</v>
      </c>
      <c r="X66" s="4197"/>
      <c r="Y66" s="380">
        <f>+AVERAGE(O66,S66,W66)</f>
        <v>83.86666666666666</v>
      </c>
      <c r="Z66" s="3117"/>
      <c r="AA66" s="7032">
        <f>+AVERAGE(M66,Y66)</f>
        <v>83.62166666666667</v>
      </c>
      <c r="AB66" s="2023"/>
      <c r="AC66" s="2726">
        <v>84.35</v>
      </c>
      <c r="AD66" s="3117"/>
      <c r="AE66" s="2727">
        <v>83.72571428571429</v>
      </c>
      <c r="AF66" s="2023"/>
      <c r="AG66" s="2726">
        <v>83.71</v>
      </c>
      <c r="AH66" s="3117"/>
      <c r="AI66" s="2727">
        <v>83.72375000000001</v>
      </c>
      <c r="AJ66" s="2023"/>
      <c r="AK66" s="2726">
        <v>83.16</v>
      </c>
      <c r="AL66" s="4488"/>
      <c r="AM66" s="380">
        <f>+AVERAGE(AC66,AG66,AK66)</f>
        <v>83.74</v>
      </c>
      <c r="AN66" s="3117"/>
      <c r="AO66" s="2727">
        <v>83.661111111111111</v>
      </c>
      <c r="AP66" s="2023"/>
      <c r="AQ66" s="2726">
        <v>83.66</v>
      </c>
      <c r="AR66" s="3117"/>
      <c r="AS66" s="2727">
        <v>83.661000000000001</v>
      </c>
      <c r="AT66" s="2023"/>
      <c r="AU66" s="2726">
        <v>83.51</v>
      </c>
      <c r="AV66" s="3117"/>
      <c r="AW66" s="2727">
        <v>83.647272727272721</v>
      </c>
      <c r="AX66" s="2023"/>
      <c r="AY66" s="2726">
        <v>83.57</v>
      </c>
      <c r="AZ66" s="4488"/>
      <c r="BA66" s="380">
        <f>+AVERAGE(AQ66,AU66,AY66)</f>
        <v>83.58</v>
      </c>
      <c r="BB66" s="5003"/>
      <c r="BC66" s="5217">
        <f>+AVERAGE(AM66,BA66)</f>
        <v>83.66</v>
      </c>
      <c r="BD66" s="3117"/>
      <c r="BE66" s="2727">
        <f>+AVERAGE(AA66,BC66)</f>
        <v>83.640833333333333</v>
      </c>
      <c r="BF66" s="502"/>
      <c r="BG66" s="502"/>
      <c r="BH66" s="4487"/>
      <c r="BI66" s="4487"/>
      <c r="BJ66" s="4487"/>
      <c r="BK66" s="4487"/>
      <c r="BL66" s="4487"/>
      <c r="BM66" s="4487"/>
      <c r="BN66" s="4487"/>
      <c r="BO66" s="4487"/>
    </row>
    <row r="67" spans="3:67" ht="18.75" x14ac:dyDescent="0.3">
      <c r="C67" s="973" t="s">
        <v>1525</v>
      </c>
      <c r="D67" s="1995"/>
      <c r="E67" s="2000">
        <v>89.48</v>
      </c>
      <c r="F67" s="1594"/>
      <c r="G67" s="3782">
        <v>89.73</v>
      </c>
      <c r="H67" s="2001"/>
      <c r="I67" s="3412">
        <v>89.63</v>
      </c>
      <c r="J67" s="1594"/>
      <c r="K67" s="3782">
        <v>89.39</v>
      </c>
      <c r="L67" s="2002"/>
      <c r="M67" s="380">
        <v>89.55</v>
      </c>
      <c r="N67" s="2023"/>
      <c r="O67" s="3782">
        <v>89.7</v>
      </c>
      <c r="P67" s="2001"/>
      <c r="Q67" s="2727">
        <v>89.587499999999991</v>
      </c>
      <c r="R67" s="2023"/>
      <c r="S67" s="3782">
        <v>89.49</v>
      </c>
      <c r="T67" s="3117"/>
      <c r="U67" s="2727">
        <v>89.567999999999998</v>
      </c>
      <c r="V67" s="2023"/>
      <c r="W67" s="3782">
        <v>89.5</v>
      </c>
      <c r="X67" s="4197"/>
      <c r="Y67" s="380">
        <f>+AVERAGE(O67,S67,W67)</f>
        <v>89.563333333333333</v>
      </c>
      <c r="Z67" s="3117"/>
      <c r="AA67" s="7032">
        <f>+AVERAGE(M67,Y67)</f>
        <v>89.556666666666672</v>
      </c>
      <c r="AB67" s="2023"/>
      <c r="AC67" s="2726">
        <v>89.18</v>
      </c>
      <c r="AD67" s="2727"/>
      <c r="AE67" s="2727">
        <v>89.502857142857138</v>
      </c>
      <c r="AF67" s="6375"/>
      <c r="AG67" s="2726">
        <v>89.17</v>
      </c>
      <c r="AH67" s="2727"/>
      <c r="AI67" s="2727">
        <v>89.461249999999993</v>
      </c>
      <c r="AJ67" s="2023"/>
      <c r="AK67" s="2726">
        <v>89.59</v>
      </c>
      <c r="AL67" s="4488"/>
      <c r="AM67" s="380">
        <f>+AVERAGE(AC67,AG67,AK67)</f>
        <v>89.313333333333347</v>
      </c>
      <c r="AN67" s="3117"/>
      <c r="AO67" s="2727">
        <v>89.475555555555559</v>
      </c>
      <c r="AP67" s="2023"/>
      <c r="AQ67" s="2726">
        <v>90.26</v>
      </c>
      <c r="AR67" s="3117"/>
      <c r="AS67" s="2727">
        <v>89.554000000000002</v>
      </c>
      <c r="AT67" s="2023"/>
      <c r="AU67" s="2726">
        <v>90.18</v>
      </c>
      <c r="AV67" s="3117"/>
      <c r="AW67" s="2727">
        <v>89.61090909090909</v>
      </c>
      <c r="AX67" s="2023"/>
      <c r="AY67" s="2726">
        <v>89.93</v>
      </c>
      <c r="AZ67" s="4488"/>
      <c r="BA67" s="380">
        <f>+AVERAGE(AQ67,AU67,AY67)</f>
        <v>90.123333333333335</v>
      </c>
      <c r="BB67" s="5003"/>
      <c r="BC67" s="5217">
        <f>+AVERAGE(AM67,BA67)</f>
        <v>89.718333333333334</v>
      </c>
      <c r="BD67" s="3117"/>
      <c r="BE67" s="2727">
        <f>+AVERAGE(AA67,BC67)</f>
        <v>89.637500000000003</v>
      </c>
      <c r="BF67" s="502"/>
      <c r="BG67" s="502"/>
      <c r="BH67" s="4487"/>
      <c r="BI67" s="4487"/>
      <c r="BJ67" s="4487"/>
      <c r="BK67" s="4487"/>
      <c r="BL67" s="4487"/>
      <c r="BM67" s="4487"/>
      <c r="BN67" s="4487"/>
      <c r="BO67" s="4487"/>
    </row>
    <row r="68" spans="3:67" x14ac:dyDescent="0.25">
      <c r="BG68" s="4487"/>
    </row>
    <row r="69" spans="3:67" x14ac:dyDescent="0.25">
      <c r="BG69" s="4487"/>
    </row>
    <row r="70" spans="3:67" x14ac:dyDescent="0.25">
      <c r="BG70" s="4487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O165"/>
  <sheetViews>
    <sheetView zoomScaleNormal="100" workbookViewId="0">
      <pane xSplit="3" ySplit="4" topLeftCell="D80" activePane="bottomRight" state="frozen"/>
      <selection pane="topRight" activeCell="D1" sqref="D1"/>
      <selection pane="bottomLeft" activeCell="A5" sqref="A5"/>
      <selection pane="bottomRight" activeCell="E15" sqref="E15"/>
    </sheetView>
  </sheetViews>
  <sheetFormatPr defaultColWidth="8.85546875" defaultRowHeight="15" x14ac:dyDescent="0.25"/>
  <cols>
    <col min="1" max="1" width="7.140625" customWidth="1"/>
    <col min="2" max="2" width="68.7109375" bestFit="1" customWidth="1"/>
    <col min="3" max="3" width="12.28515625" bestFit="1" customWidth="1"/>
    <col min="4" max="4" width="13.7109375" style="90" bestFit="1" customWidth="1"/>
    <col min="5" max="5" width="9.85546875" style="84" customWidth="1"/>
    <col min="6" max="6" width="9.85546875" style="90" bestFit="1" customWidth="1"/>
    <col min="7" max="7" width="9.28515625" style="84" hidden="1" customWidth="1"/>
    <col min="8" max="8" width="9.85546875" style="90" hidden="1" customWidth="1"/>
    <col min="9" max="9" width="10" style="84" hidden="1" customWidth="1"/>
    <col min="10" max="10" width="10" style="90" hidden="1" customWidth="1"/>
    <col min="11" max="11" width="9.28515625" style="192" hidden="1" customWidth="1"/>
    <col min="12" max="12" width="9.85546875" style="90" hidden="1" customWidth="1"/>
    <col min="13" max="13" width="10.5703125" style="84" hidden="1" customWidth="1"/>
    <col min="14" max="14" width="10" hidden="1" customWidth="1"/>
    <col min="15" max="15" width="9.85546875" style="192" hidden="1" customWidth="1"/>
    <col min="16" max="16" width="9.85546875" hidden="1" customWidth="1"/>
    <col min="17" max="17" width="10" style="84" hidden="1" customWidth="1"/>
    <col min="18" max="18" width="10" hidden="1" customWidth="1"/>
    <col min="19" max="19" width="9.85546875" style="84" hidden="1" customWidth="1"/>
    <col min="20" max="20" width="9.85546875" style="1654" hidden="1" customWidth="1"/>
    <col min="21" max="21" width="10" style="84" hidden="1" customWidth="1"/>
    <col min="22" max="22" width="13" hidden="1" customWidth="1"/>
    <col min="23" max="23" width="9.85546875" style="84" hidden="1" customWidth="1"/>
    <col min="24" max="24" width="9.85546875" hidden="1" customWidth="1"/>
    <col min="25" max="25" width="13" style="84" hidden="1" customWidth="1"/>
    <col min="26" max="26" width="15.140625" hidden="1" customWidth="1"/>
    <col min="27" max="27" width="13" style="84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9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10.28515625" hidden="1" customWidth="1"/>
    <col min="43" max="44" width="8.85546875" hidden="1" customWidth="1"/>
    <col min="45" max="45" width="10" hidden="1" customWidth="1"/>
    <col min="46" max="46" width="12" hidden="1" customWidth="1"/>
    <col min="47" max="47" width="9" hidden="1" customWidth="1"/>
    <col min="48" max="48" width="12" hidden="1" customWidth="1"/>
    <col min="49" max="49" width="10" hidden="1" customWidth="1"/>
    <col min="50" max="50" width="12" hidden="1" customWidth="1"/>
    <col min="51" max="52" width="9" hidden="1" customWidth="1"/>
    <col min="53" max="53" width="9.42578125" style="2790" hidden="1" customWidth="1"/>
    <col min="54" max="54" width="9" style="2790" hidden="1" customWidth="1"/>
    <col min="55" max="55" width="10" style="2790" hidden="1" customWidth="1"/>
    <col min="56" max="56" width="9" style="2790" hidden="1" customWidth="1"/>
    <col min="57" max="58" width="10" hidden="1" customWidth="1"/>
    <col min="59" max="59" width="11.140625" customWidth="1"/>
    <col min="60" max="60" width="27.5703125" bestFit="1" customWidth="1"/>
    <col min="61" max="61" width="8.85546875" customWidth="1"/>
  </cols>
  <sheetData>
    <row r="1" spans="1:66" ht="22.5" x14ac:dyDescent="0.3">
      <c r="A1" s="139"/>
      <c r="B1" s="1191" t="s">
        <v>111</v>
      </c>
      <c r="C1" s="1192"/>
      <c r="D1" s="1354">
        <f>+D74/24</f>
        <v>325.41666666666669</v>
      </c>
      <c r="E1" s="1193">
        <f>+E74/24</f>
        <v>21.666666666666668</v>
      </c>
      <c r="F1" s="1193">
        <f t="shared" ref="F1:R1" si="0">+F74/24</f>
        <v>27.707083333333333</v>
      </c>
      <c r="G1" s="1193">
        <f t="shared" si="0"/>
        <v>29.155000000000001</v>
      </c>
      <c r="H1" s="1193">
        <f t="shared" si="0"/>
        <v>26.942916666666665</v>
      </c>
      <c r="I1" s="1193">
        <f t="shared" si="0"/>
        <v>50.821666666666665</v>
      </c>
      <c r="J1" s="1193">
        <f t="shared" si="0"/>
        <v>54.65</v>
      </c>
      <c r="K1" s="1194">
        <f t="shared" si="0"/>
        <v>28.174999999999997</v>
      </c>
      <c r="L1" s="1193">
        <f t="shared" si="0"/>
        <v>28.435416666666669</v>
      </c>
      <c r="M1" s="1193">
        <f t="shared" si="0"/>
        <v>78.99666666666667</v>
      </c>
      <c r="N1" s="1193">
        <f t="shared" si="0"/>
        <v>83.08541666666666</v>
      </c>
      <c r="O1" s="1194">
        <f t="shared" si="0"/>
        <v>29.155000000000001</v>
      </c>
      <c r="P1" s="1193">
        <f t="shared" si="0"/>
        <v>29.734166666666667</v>
      </c>
      <c r="Q1" s="1193">
        <f t="shared" si="0"/>
        <v>108.15166666666669</v>
      </c>
      <c r="R1" s="1193">
        <f t="shared" si="0"/>
        <v>112.81958333333334</v>
      </c>
      <c r="S1" s="1193">
        <f>+S74/24</f>
        <v>29.155000000000001</v>
      </c>
      <c r="T1" s="1668">
        <f>+T74/24</f>
        <v>28.982083333333335</v>
      </c>
      <c r="U1" s="1193">
        <f>+U74/24</f>
        <v>137.3066666666667</v>
      </c>
      <c r="V1" s="1193">
        <f>+V74/24</f>
        <v>141.80166666666668</v>
      </c>
      <c r="W1" s="1193">
        <f t="shared" ref="W1:AF1" si="1">+W74/24</f>
        <v>15.924999999999999</v>
      </c>
      <c r="X1" s="1193">
        <f t="shared" si="1"/>
        <v>28.558333333333334</v>
      </c>
      <c r="Y1" s="1193">
        <f>+O1+S1+W1</f>
        <v>74.234999999999999</v>
      </c>
      <c r="Z1" s="1193">
        <f>+P1+T1+X1</f>
        <v>87.274583333333339</v>
      </c>
      <c r="AA1" s="1193">
        <f t="shared" si="1"/>
        <v>153.23166666666668</v>
      </c>
      <c r="AB1" s="1193">
        <f t="shared" si="1"/>
        <v>170.36</v>
      </c>
      <c r="AC1" s="1193">
        <f t="shared" si="1"/>
        <v>29.155000000000001</v>
      </c>
      <c r="AD1" s="1193">
        <f t="shared" si="1"/>
        <v>22.749166666666667</v>
      </c>
      <c r="AE1" s="1193">
        <f t="shared" si="1"/>
        <v>182.38666666666668</v>
      </c>
      <c r="AF1" s="1193">
        <f t="shared" si="1"/>
        <v>193.10916666666671</v>
      </c>
      <c r="AG1" s="1193">
        <f t="shared" ref="AG1:AL1" si="2">+AG74/24</f>
        <v>28.174999999999997</v>
      </c>
      <c r="AH1" s="1193">
        <f t="shared" si="2"/>
        <v>26.732083333333335</v>
      </c>
      <c r="AI1" s="1193">
        <f t="shared" si="2"/>
        <v>210.5616666666667</v>
      </c>
      <c r="AJ1" s="1193">
        <f t="shared" si="2"/>
        <v>219.84125000000003</v>
      </c>
      <c r="AK1" s="1193">
        <f t="shared" si="2"/>
        <v>29.155000000000001</v>
      </c>
      <c r="AL1" s="1193">
        <f t="shared" si="2"/>
        <v>26.346249999999998</v>
      </c>
      <c r="AM1" s="1193">
        <f>+AC1+AG1+AK1</f>
        <v>86.484999999999999</v>
      </c>
      <c r="AN1" s="1193">
        <f>+AD1+AH1+AL1</f>
        <v>75.827500000000001</v>
      </c>
      <c r="AO1" s="1193">
        <f>AI1+AK1</f>
        <v>239.7166666666667</v>
      </c>
      <c r="AP1" s="1193">
        <f>AJ1+AL1</f>
        <v>246.18750000000003</v>
      </c>
      <c r="AQ1" s="1193">
        <f t="shared" ref="AQ1:AT1" si="3">+AQ74/24</f>
        <v>29.155000000000001</v>
      </c>
      <c r="AR1" s="1193">
        <f t="shared" si="3"/>
        <v>28.592500000000001</v>
      </c>
      <c r="AS1" s="1193">
        <f t="shared" si="3"/>
        <v>268.87166666666673</v>
      </c>
      <c r="AT1" s="1193">
        <f t="shared" si="3"/>
        <v>274.78000000000003</v>
      </c>
      <c r="AU1" s="1193">
        <f t="shared" ref="AU1:AX1" si="4">+AU74/24</f>
        <v>26.215</v>
      </c>
      <c r="AV1" s="1193">
        <f t="shared" si="4"/>
        <v>24.425416666666667</v>
      </c>
      <c r="AW1" s="1193">
        <f t="shared" si="4"/>
        <v>295.0866666666667</v>
      </c>
      <c r="AX1" s="1193">
        <f t="shared" si="4"/>
        <v>299.20541666666668</v>
      </c>
      <c r="AY1" s="1193">
        <f t="shared" ref="AY1:BF1" si="5">+AY74/24</f>
        <v>29.155000000000001</v>
      </c>
      <c r="AZ1" s="1193">
        <f t="shared" si="5"/>
        <v>28.0625</v>
      </c>
      <c r="BA1" s="1193">
        <f>+AQ1+AU1+AY1</f>
        <v>84.525000000000006</v>
      </c>
      <c r="BB1" s="1193">
        <f>+AR1+AV1+AZ1</f>
        <v>81.080416666666665</v>
      </c>
      <c r="BC1" s="1193">
        <f t="shared" ref="BC1:BD1" si="6">+BC74/24</f>
        <v>171.01000000000002</v>
      </c>
      <c r="BD1" s="1193">
        <f t="shared" si="6"/>
        <v>156.90791666666667</v>
      </c>
      <c r="BE1" s="1193">
        <f t="shared" si="5"/>
        <v>324.24166666666673</v>
      </c>
      <c r="BF1" s="1193">
        <f t="shared" si="5"/>
        <v>327.26791666666668</v>
      </c>
    </row>
    <row r="2" spans="1:66" x14ac:dyDescent="0.25">
      <c r="B2" s="4"/>
      <c r="C2" s="4"/>
      <c r="D2" s="93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421">
        <v>30</v>
      </c>
      <c r="L2" s="32">
        <v>30</v>
      </c>
      <c r="M2" s="32">
        <f>+I2+K2</f>
        <v>91</v>
      </c>
      <c r="N2" s="32">
        <f>+J2+L2</f>
        <v>91</v>
      </c>
      <c r="O2" s="421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669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32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1193">
        <f>AI2+AK2</f>
        <v>275</v>
      </c>
      <c r="AP2" s="1193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32">
        <f>+AM2+BA2</f>
        <v>182</v>
      </c>
      <c r="BD2" s="32">
        <f>+AN2+BB2</f>
        <v>182</v>
      </c>
      <c r="BE2" s="32">
        <f>+AW2+AY2</f>
        <v>365</v>
      </c>
      <c r="BF2" s="32">
        <f>+AX2+AZ2</f>
        <v>365</v>
      </c>
    </row>
    <row r="3" spans="1:66" x14ac:dyDescent="0.25">
      <c r="B3" s="8050" t="s">
        <v>171</v>
      </c>
      <c r="C3" s="8038" t="s">
        <v>172</v>
      </c>
      <c r="D3" s="7959" t="s">
        <v>2320</v>
      </c>
      <c r="E3" s="8038" t="s">
        <v>2319</v>
      </c>
      <c r="F3" s="8038"/>
      <c r="G3" s="8038" t="s">
        <v>1956</v>
      </c>
      <c r="H3" s="8038"/>
      <c r="I3" s="8037" t="s">
        <v>14</v>
      </c>
      <c r="J3" s="8037"/>
      <c r="K3" s="8038" t="s">
        <v>1986</v>
      </c>
      <c r="L3" s="8038"/>
      <c r="M3" s="8040" t="s">
        <v>607</v>
      </c>
      <c r="N3" s="8040"/>
      <c r="O3" s="8038" t="s">
        <v>2008</v>
      </c>
      <c r="P3" s="8038"/>
      <c r="Q3" s="8037" t="s">
        <v>17</v>
      </c>
      <c r="R3" s="8037"/>
      <c r="S3" s="8038" t="s">
        <v>2011</v>
      </c>
      <c r="T3" s="8038"/>
      <c r="U3" s="8037" t="s">
        <v>18</v>
      </c>
      <c r="V3" s="8037"/>
      <c r="W3" s="8038" t="s">
        <v>2042</v>
      </c>
      <c r="X3" s="8038"/>
      <c r="Y3" s="8040" t="s">
        <v>629</v>
      </c>
      <c r="Z3" s="8040"/>
      <c r="AA3" s="8039" t="s">
        <v>626</v>
      </c>
      <c r="AB3" s="8039"/>
      <c r="AC3" s="8038" t="s">
        <v>2067</v>
      </c>
      <c r="AD3" s="8038"/>
      <c r="AE3" s="8037" t="s">
        <v>24</v>
      </c>
      <c r="AF3" s="8037"/>
      <c r="AG3" s="8038" t="s">
        <v>2170</v>
      </c>
      <c r="AH3" s="8038"/>
      <c r="AI3" s="8037" t="s">
        <v>27</v>
      </c>
      <c r="AJ3" s="8037"/>
      <c r="AK3" s="8038" t="s">
        <v>2194</v>
      </c>
      <c r="AL3" s="8038"/>
      <c r="AM3" s="8040" t="s">
        <v>631</v>
      </c>
      <c r="AN3" s="8040"/>
      <c r="AO3" s="8037" t="s">
        <v>1575</v>
      </c>
      <c r="AP3" s="8037"/>
      <c r="AQ3" s="8038" t="s">
        <v>2206</v>
      </c>
      <c r="AR3" s="8038"/>
      <c r="AS3" s="8037" t="s">
        <v>28</v>
      </c>
      <c r="AT3" s="8037"/>
      <c r="AU3" s="8038" t="s">
        <v>2243</v>
      </c>
      <c r="AV3" s="8038"/>
      <c r="AW3" s="8037" t="s">
        <v>30</v>
      </c>
      <c r="AX3" s="8037"/>
      <c r="AY3" s="8038" t="s">
        <v>2261</v>
      </c>
      <c r="AZ3" s="8038"/>
      <c r="BA3" s="8040" t="s">
        <v>632</v>
      </c>
      <c r="BB3" s="8040"/>
      <c r="BC3" s="8039" t="s">
        <v>638</v>
      </c>
      <c r="BD3" s="8039"/>
      <c r="BE3" s="8037" t="s">
        <v>1984</v>
      </c>
      <c r="BF3" s="8037"/>
    </row>
    <row r="4" spans="1:66" x14ac:dyDescent="0.25">
      <c r="B4" s="8050"/>
      <c r="C4" s="8038"/>
      <c r="D4" s="7959"/>
      <c r="E4" s="517" t="s">
        <v>173</v>
      </c>
      <c r="F4" s="517" t="s">
        <v>174</v>
      </c>
      <c r="G4" s="517" t="s">
        <v>173</v>
      </c>
      <c r="H4" s="517" t="s">
        <v>174</v>
      </c>
      <c r="I4" s="178" t="s">
        <v>173</v>
      </c>
      <c r="J4" s="178" t="s">
        <v>174</v>
      </c>
      <c r="K4" s="1448" t="s">
        <v>173</v>
      </c>
      <c r="L4" s="517" t="s">
        <v>174</v>
      </c>
      <c r="M4" s="179" t="s">
        <v>173</v>
      </c>
      <c r="N4" s="179" t="s">
        <v>174</v>
      </c>
      <c r="O4" s="1448" t="s">
        <v>173</v>
      </c>
      <c r="P4" s="517" t="s">
        <v>174</v>
      </c>
      <c r="Q4" s="178" t="s">
        <v>173</v>
      </c>
      <c r="R4" s="178" t="s">
        <v>174</v>
      </c>
      <c r="S4" s="517" t="s">
        <v>173</v>
      </c>
      <c r="T4" s="1670" t="s">
        <v>174</v>
      </c>
      <c r="U4" s="178" t="s">
        <v>173</v>
      </c>
      <c r="V4" s="178" t="s">
        <v>174</v>
      </c>
      <c r="W4" s="517" t="s">
        <v>173</v>
      </c>
      <c r="X4" s="517" t="s">
        <v>174</v>
      </c>
      <c r="Y4" s="179" t="s">
        <v>173</v>
      </c>
      <c r="Z4" s="179" t="s">
        <v>174</v>
      </c>
      <c r="AA4" s="1195" t="s">
        <v>173</v>
      </c>
      <c r="AB4" s="1195" t="s">
        <v>174</v>
      </c>
      <c r="AC4" s="2432" t="s">
        <v>173</v>
      </c>
      <c r="AD4" s="2432" t="s">
        <v>174</v>
      </c>
      <c r="AE4" s="2433" t="s">
        <v>173</v>
      </c>
      <c r="AF4" s="2433" t="s">
        <v>174</v>
      </c>
      <c r="AG4" s="2482" t="s">
        <v>173</v>
      </c>
      <c r="AH4" s="2482" t="s">
        <v>174</v>
      </c>
      <c r="AI4" s="2483" t="s">
        <v>173</v>
      </c>
      <c r="AJ4" s="2483" t="s">
        <v>174</v>
      </c>
      <c r="AK4" s="2540" t="s">
        <v>173</v>
      </c>
      <c r="AL4" s="2540" t="s">
        <v>174</v>
      </c>
      <c r="AM4" s="2542" t="s">
        <v>173</v>
      </c>
      <c r="AN4" s="2542" t="s">
        <v>174</v>
      </c>
      <c r="AO4" s="2541" t="s">
        <v>173</v>
      </c>
      <c r="AP4" s="2541" t="s">
        <v>174</v>
      </c>
      <c r="AQ4" s="2595" t="s">
        <v>173</v>
      </c>
      <c r="AR4" s="2595" t="s">
        <v>174</v>
      </c>
      <c r="AS4" s="2596" t="s">
        <v>173</v>
      </c>
      <c r="AT4" s="2596" t="s">
        <v>174</v>
      </c>
      <c r="AU4" s="2638" t="s">
        <v>173</v>
      </c>
      <c r="AV4" s="2638" t="s">
        <v>174</v>
      </c>
      <c r="AW4" s="2639" t="s">
        <v>173</v>
      </c>
      <c r="AX4" s="2639" t="s">
        <v>174</v>
      </c>
      <c r="AY4" s="2791" t="s">
        <v>173</v>
      </c>
      <c r="AZ4" s="2791" t="s">
        <v>174</v>
      </c>
      <c r="BA4" s="2793" t="s">
        <v>173</v>
      </c>
      <c r="BB4" s="2793" t="s">
        <v>174</v>
      </c>
      <c r="BC4" s="2794" t="s">
        <v>173</v>
      </c>
      <c r="BD4" s="2794" t="s">
        <v>174</v>
      </c>
      <c r="BE4" s="2792" t="s">
        <v>173</v>
      </c>
      <c r="BF4" s="2792" t="s">
        <v>174</v>
      </c>
    </row>
    <row r="5" spans="1:66" ht="18.75" x14ac:dyDescent="0.25">
      <c r="A5" s="139"/>
      <c r="B5" s="1196" t="s">
        <v>893</v>
      </c>
      <c r="C5" s="1196"/>
      <c r="D5" s="230"/>
      <c r="E5" s="1196"/>
      <c r="F5" s="1196"/>
      <c r="G5" s="1196"/>
      <c r="H5" s="1196"/>
      <c r="I5" s="1196"/>
      <c r="J5" s="1196"/>
      <c r="K5" s="1196"/>
      <c r="L5" s="1196"/>
      <c r="M5" s="1196"/>
      <c r="N5" s="1196"/>
      <c r="O5" s="1196"/>
      <c r="P5" s="1196"/>
      <c r="Q5" s="1196"/>
      <c r="R5" s="1196"/>
      <c r="S5" s="1196"/>
      <c r="T5" s="1671"/>
      <c r="U5" s="1196"/>
      <c r="V5" s="1196"/>
      <c r="W5" s="1196"/>
      <c r="X5" s="1196"/>
      <c r="Y5" s="1196"/>
      <c r="Z5" s="1196"/>
      <c r="AA5" s="1196"/>
      <c r="AB5" s="1196"/>
      <c r="AC5" s="1196"/>
      <c r="AD5" s="1196"/>
      <c r="AE5" s="1196"/>
      <c r="AF5" s="1196"/>
      <c r="AG5" s="1196"/>
      <c r="AH5" s="1196"/>
      <c r="AI5" s="1196"/>
      <c r="AJ5" s="1196"/>
      <c r="AK5" s="1196"/>
      <c r="AL5" s="1196"/>
      <c r="AM5" s="1196"/>
      <c r="AN5" s="1196"/>
      <c r="AO5" s="1196"/>
      <c r="AP5" s="1196"/>
      <c r="AQ5" s="1196"/>
      <c r="AR5" s="1196"/>
      <c r="AS5" s="1196"/>
      <c r="AT5" s="1196"/>
      <c r="AU5" s="1196"/>
      <c r="AV5" s="1196"/>
      <c r="AW5" s="1196"/>
      <c r="AX5" s="1196"/>
      <c r="AY5" s="1196"/>
      <c r="AZ5" s="1196"/>
      <c r="BA5" s="1196"/>
      <c r="BB5" s="1196"/>
      <c r="BC5" s="1196"/>
      <c r="BD5" s="1196"/>
      <c r="BE5" s="1196"/>
      <c r="BF5" s="1196"/>
    </row>
    <row r="6" spans="1:66" x14ac:dyDescent="0.25">
      <c r="B6" s="1197" t="s">
        <v>37</v>
      </c>
      <c r="C6" s="62" t="s">
        <v>50</v>
      </c>
      <c r="D6" s="1120">
        <v>3280260.1012940393</v>
      </c>
      <c r="E6" s="1198">
        <v>227431.36702305343</v>
      </c>
      <c r="F6" s="7578">
        <v>275112</v>
      </c>
      <c r="G6" s="1198">
        <v>300530.10291530337</v>
      </c>
      <c r="H6" s="1198">
        <v>279294</v>
      </c>
      <c r="I6" s="1199">
        <f>+E6+G6</f>
        <v>527961.46993835678</v>
      </c>
      <c r="J6" s="1199">
        <f>+F6+H6</f>
        <v>554406</v>
      </c>
      <c r="K6" s="1198">
        <v>291765.43036840716</v>
      </c>
      <c r="L6" s="1198">
        <v>294702</v>
      </c>
      <c r="M6" s="1201">
        <f>+K6+G6+E6</f>
        <v>819726.90030676394</v>
      </c>
      <c r="N6" s="1201">
        <f>+L6+H6+F6</f>
        <v>849108</v>
      </c>
      <c r="O6" s="1198">
        <v>295052.18257349316</v>
      </c>
      <c r="P6" s="1198">
        <v>311810</v>
      </c>
      <c r="Q6" s="1199">
        <f>+M6+O6</f>
        <v>1114779.0828802572</v>
      </c>
      <c r="R6" s="1199">
        <f>+N6+P6</f>
        <v>1160918</v>
      </c>
      <c r="S6" s="1198">
        <v>295052.18257349316</v>
      </c>
      <c r="T6" s="1198">
        <v>299997</v>
      </c>
      <c r="U6" s="1199">
        <f>+Q6+S6</f>
        <v>1409831.2654537503</v>
      </c>
      <c r="V6" s="1199">
        <f>+R6+T6</f>
        <v>1460915</v>
      </c>
      <c r="W6" s="1198">
        <v>162788.71665538964</v>
      </c>
      <c r="X6" s="1198">
        <v>293194</v>
      </c>
      <c r="Y6" s="1201">
        <f>+O6+S6+W6</f>
        <v>752893.08180237596</v>
      </c>
      <c r="Z6" s="1201">
        <f>+P6+T6+X6</f>
        <v>905001</v>
      </c>
      <c r="AA6" s="1140">
        <f>M6+Y6</f>
        <v>1572619.9821091399</v>
      </c>
      <c r="AB6" s="1140">
        <f>N6+Z6</f>
        <v>1754109</v>
      </c>
      <c r="AC6" s="1198">
        <v>300530.10291530337</v>
      </c>
      <c r="AD6" s="1198">
        <v>236018</v>
      </c>
      <c r="AE6" s="1199">
        <f>+AA6+AC6</f>
        <v>1873150.0850244432</v>
      </c>
      <c r="AF6" s="1199">
        <f>+AB6+AD6</f>
        <v>1990127</v>
      </c>
      <c r="AG6" s="1198">
        <v>294901.07939664274</v>
      </c>
      <c r="AH6" s="1198">
        <v>286007</v>
      </c>
      <c r="AI6" s="1199">
        <f>+AE6+AG6</f>
        <v>2168051.1644210862</v>
      </c>
      <c r="AJ6" s="1199">
        <f>+AF6+AH6</f>
        <v>2276134</v>
      </c>
      <c r="AK6" s="1198">
        <v>303665.7519435389</v>
      </c>
      <c r="AL6" s="1198">
        <v>281356</v>
      </c>
      <c r="AM6" s="1201">
        <f>+AC6+AG6+AK6</f>
        <v>899096.93425548496</v>
      </c>
      <c r="AN6" s="1201">
        <f>+AD6+AH6+AL6</f>
        <v>803381</v>
      </c>
      <c r="AO6" s="1199">
        <f>AI6+AK6</f>
        <v>2471716.9163646251</v>
      </c>
      <c r="AP6" s="1199">
        <f>AJ6+AL6</f>
        <v>2557490</v>
      </c>
      <c r="AQ6" s="1198">
        <v>304912.43918875139</v>
      </c>
      <c r="AR6" s="1198">
        <v>285935</v>
      </c>
      <c r="AS6" s="1199">
        <f>+AO6+AQ6</f>
        <v>2776629.3555533765</v>
      </c>
      <c r="AT6" s="1199">
        <f>+AP6+AR6</f>
        <v>2843425</v>
      </c>
      <c r="AU6" s="1198">
        <v>274236.0852746148</v>
      </c>
      <c r="AV6" s="1198">
        <v>245579.88</v>
      </c>
      <c r="AW6" s="1199">
        <f>+AS6+AU6</f>
        <v>3050865.4408279913</v>
      </c>
      <c r="AX6" s="1199">
        <f>+AT6+AV6</f>
        <v>3089004.88</v>
      </c>
      <c r="AY6" s="1198">
        <v>304912.43918875139</v>
      </c>
      <c r="AZ6" s="1198">
        <v>295911</v>
      </c>
      <c r="BA6" s="1201">
        <f>+AQ6+AU6+AY6</f>
        <v>884060.96365211764</v>
      </c>
      <c r="BB6" s="1201">
        <f>+AR6+AV6+AZ6</f>
        <v>827425.88</v>
      </c>
      <c r="BC6" s="1140">
        <f>AM6+BA6</f>
        <v>1783157.8979076026</v>
      </c>
      <c r="BD6" s="1140">
        <f t="shared" ref="BD6" si="7">AN6+BB6</f>
        <v>1630806.88</v>
      </c>
      <c r="BE6" s="1199">
        <f>+AW6+AY6</f>
        <v>3355777.8800167427</v>
      </c>
      <c r="BF6" s="1199">
        <f>+AX6+AZ6</f>
        <v>3384915.88</v>
      </c>
      <c r="BG6" s="25"/>
      <c r="BH6" s="25"/>
      <c r="BI6" s="25"/>
      <c r="BJ6" s="25"/>
      <c r="BK6" s="25"/>
      <c r="BL6" s="25"/>
      <c r="BM6" s="25"/>
      <c r="BN6" s="25"/>
    </row>
    <row r="7" spans="1:66" x14ac:dyDescent="0.25">
      <c r="B7" s="1197" t="s">
        <v>38</v>
      </c>
      <c r="C7" s="62" t="s">
        <v>50</v>
      </c>
      <c r="D7" s="1120">
        <v>176601.6661032578</v>
      </c>
      <c r="E7" s="1198">
        <v>12244.38218315921</v>
      </c>
      <c r="F7" s="7578">
        <v>5643</v>
      </c>
      <c r="G7" s="1198">
        <v>17426.800278458504</v>
      </c>
      <c r="H7" s="141">
        <v>18108</v>
      </c>
      <c r="I7" s="1199">
        <f t="shared" ref="I7:I20" si="8">+E7+G7</f>
        <v>29671.182461617715</v>
      </c>
      <c r="J7" s="1199">
        <f t="shared" ref="J7:J20" si="9">+F7+H7</f>
        <v>23751</v>
      </c>
      <c r="K7" s="1198">
        <v>16918.564343025799</v>
      </c>
      <c r="L7" s="141">
        <v>13246</v>
      </c>
      <c r="M7" s="1201">
        <f t="shared" ref="M7:M20" si="10">+K7+G7+E7</f>
        <v>46589.74680464351</v>
      </c>
      <c r="N7" s="1201">
        <f t="shared" ref="N7:N20" si="11">+L7+H7+F7</f>
        <v>36997</v>
      </c>
      <c r="O7" s="1198">
        <v>17109.152818813061</v>
      </c>
      <c r="P7" s="1198">
        <v>14610</v>
      </c>
      <c r="Q7" s="1199">
        <f t="shared" ref="Q7:Q20" si="12">+M7+O7</f>
        <v>63698.899623456571</v>
      </c>
      <c r="R7" s="1199">
        <f t="shared" ref="R7:R20" si="13">+N7+P7</f>
        <v>51607</v>
      </c>
      <c r="S7" s="1198">
        <v>17109.152818813061</v>
      </c>
      <c r="T7" s="1198">
        <v>11983</v>
      </c>
      <c r="U7" s="1199">
        <f t="shared" ref="U7:U20" si="14">+Q7+S7</f>
        <v>80808.052442269633</v>
      </c>
      <c r="V7" s="1199">
        <f t="shared" ref="V7:V20" si="15">+R7+T7</f>
        <v>63590</v>
      </c>
      <c r="W7" s="1198">
        <v>9439.6082962096843</v>
      </c>
      <c r="X7" s="141">
        <v>12979</v>
      </c>
      <c r="Y7" s="1201">
        <f t="shared" ref="Y7:Y20" si="16">+O7+S7+W7</f>
        <v>43657.913933835807</v>
      </c>
      <c r="Z7" s="1201">
        <f t="shared" ref="Z7:Z20" si="17">+P7+T7+X7</f>
        <v>39572</v>
      </c>
      <c r="AA7" s="1140">
        <f t="shared" ref="AA7:AA20" si="18">M7+Y7</f>
        <v>90247.660738479317</v>
      </c>
      <c r="AB7" s="1140">
        <f t="shared" ref="AB7:AB20" si="19">N7+Z7</f>
        <v>76569</v>
      </c>
      <c r="AC7" s="1198">
        <v>17426.800278458504</v>
      </c>
      <c r="AD7" s="1198">
        <v>12341</v>
      </c>
      <c r="AE7" s="1199">
        <f t="shared" ref="AE7:AE20" si="20">+AA7+AC7</f>
        <v>107674.46101693783</v>
      </c>
      <c r="AF7" s="1199">
        <f t="shared" ref="AF7:AF14" si="21">+AB7+AD7</f>
        <v>88910</v>
      </c>
      <c r="AG7" s="1198">
        <v>17100.390818404881</v>
      </c>
      <c r="AH7" s="1198">
        <v>14520</v>
      </c>
      <c r="AI7" s="1199">
        <f t="shared" ref="AI7:AI20" si="22">+AE7+AG7</f>
        <v>124774.85183534271</v>
      </c>
      <c r="AJ7" s="1199">
        <f t="shared" ref="AJ7:AJ20" si="23">+AF7+AH7</f>
        <v>103430</v>
      </c>
      <c r="AK7" s="1198">
        <v>17608.626753837594</v>
      </c>
      <c r="AL7" s="1198">
        <v>14536</v>
      </c>
      <c r="AM7" s="1201">
        <f t="shared" ref="AM7:AM20" si="24">+AC7+AG7+AK7</f>
        <v>52135.817850700987</v>
      </c>
      <c r="AN7" s="1201">
        <f t="shared" ref="AN7:AN20" si="25">+AD7+AH7+AL7</f>
        <v>41397</v>
      </c>
      <c r="AO7" s="1199">
        <f t="shared" ref="AO7:AO20" si="26">AI7+AK7</f>
        <v>142383.4785891803</v>
      </c>
      <c r="AP7" s="1199">
        <f t="shared" ref="AP7:AP20" si="27">AJ7+AL7</f>
        <v>117966</v>
      </c>
      <c r="AQ7" s="1198">
        <v>17680.918246174861</v>
      </c>
      <c r="AR7" s="1198">
        <v>11224</v>
      </c>
      <c r="AS7" s="1199">
        <f t="shared" ref="AS7:AS20" si="28">+AO7+AQ7</f>
        <v>160064.39683535518</v>
      </c>
      <c r="AT7" s="1199">
        <f t="shared" ref="AT7:AT20" si="29">+AP7+AR7</f>
        <v>129190</v>
      </c>
      <c r="AU7" s="1198">
        <v>15902.092472160377</v>
      </c>
      <c r="AV7" s="1198">
        <v>11013</v>
      </c>
      <c r="AW7" s="1199">
        <f t="shared" ref="AW7:AW18" si="30">+AS7+AU7</f>
        <v>175966.48930751556</v>
      </c>
      <c r="AX7" s="1199">
        <f t="shared" ref="AX7:AX18" si="31">+AT7+AV7</f>
        <v>140203</v>
      </c>
      <c r="AY7" s="1198">
        <v>17680.918246174861</v>
      </c>
      <c r="AZ7" s="1198">
        <v>14012</v>
      </c>
      <c r="BA7" s="1201">
        <f t="shared" ref="BA7:BA20" si="32">+AQ7+AU7+AY7</f>
        <v>51263.928964510094</v>
      </c>
      <c r="BB7" s="1201">
        <f t="shared" ref="BB7:BB20" si="33">+AR7+AV7+AZ7</f>
        <v>36249</v>
      </c>
      <c r="BC7" s="1140">
        <f t="shared" ref="BC7:BC20" si="34">AM7+BA7</f>
        <v>103399.74681521108</v>
      </c>
      <c r="BD7" s="1140">
        <f t="shared" ref="BD7:BD20" si="35">AN7+BB7</f>
        <v>77646</v>
      </c>
      <c r="BE7" s="1199">
        <f t="shared" ref="BE7:BE16" si="36">+AW7+AY7</f>
        <v>193647.40755369043</v>
      </c>
      <c r="BF7" s="1199">
        <f>+AX7+AZ7</f>
        <v>154215</v>
      </c>
      <c r="BG7" s="25"/>
      <c r="BH7" s="25"/>
      <c r="BI7" s="25"/>
      <c r="BJ7" s="25"/>
      <c r="BK7" s="25"/>
      <c r="BL7" s="25"/>
      <c r="BM7" s="25"/>
      <c r="BN7" s="25"/>
    </row>
    <row r="8" spans="1:66" x14ac:dyDescent="0.25">
      <c r="B8" s="1197" t="s">
        <v>39</v>
      </c>
      <c r="C8" s="62" t="s">
        <v>50</v>
      </c>
      <c r="D8" s="1120">
        <v>398640.93288760155</v>
      </c>
      <c r="E8" s="1198">
        <v>27639.104680207049</v>
      </c>
      <c r="F8" s="7579">
        <v>38435</v>
      </c>
      <c r="G8" s="1198">
        <v>36368.463923440693</v>
      </c>
      <c r="H8" s="141">
        <v>33097</v>
      </c>
      <c r="I8" s="1199">
        <f t="shared" si="8"/>
        <v>64007.568603647742</v>
      </c>
      <c r="J8" s="1199">
        <f t="shared" si="9"/>
        <v>71532</v>
      </c>
      <c r="K8" s="1198">
        <v>35307.812513713536</v>
      </c>
      <c r="L8" s="141">
        <v>32851</v>
      </c>
      <c r="M8" s="1201">
        <f t="shared" si="10"/>
        <v>99315.381117361278</v>
      </c>
      <c r="N8" s="1201">
        <f t="shared" si="11"/>
        <v>104383</v>
      </c>
      <c r="O8" s="1198">
        <v>35705.556792361218</v>
      </c>
      <c r="P8" s="141">
        <v>36699</v>
      </c>
      <c r="Q8" s="1199">
        <f t="shared" si="12"/>
        <v>135020.9379097225</v>
      </c>
      <c r="R8" s="1199">
        <f t="shared" si="13"/>
        <v>141082</v>
      </c>
      <c r="S8" s="1198">
        <v>35705.556792361218</v>
      </c>
      <c r="T8" s="1198">
        <v>37500</v>
      </c>
      <c r="U8" s="1199">
        <f t="shared" si="14"/>
        <v>170726.49470208373</v>
      </c>
      <c r="V8" s="1199">
        <f t="shared" si="15"/>
        <v>178582</v>
      </c>
      <c r="W8" s="1198">
        <v>19699.7755346101</v>
      </c>
      <c r="X8" s="141">
        <v>35093</v>
      </c>
      <c r="Y8" s="1201">
        <f t="shared" si="16"/>
        <v>91110.88911933254</v>
      </c>
      <c r="Z8" s="1201">
        <f t="shared" si="17"/>
        <v>109292</v>
      </c>
      <c r="AA8" s="1140">
        <f t="shared" si="18"/>
        <v>190426.27023669382</v>
      </c>
      <c r="AB8" s="1140">
        <f t="shared" si="19"/>
        <v>213675</v>
      </c>
      <c r="AC8" s="1198">
        <v>36368.463923440693</v>
      </c>
      <c r="AD8" s="141">
        <v>28556</v>
      </c>
      <c r="AE8" s="1199">
        <f t="shared" si="20"/>
        <v>226794.73416013451</v>
      </c>
      <c r="AF8" s="1199">
        <f t="shared" si="21"/>
        <v>242231</v>
      </c>
      <c r="AG8" s="1198">
        <v>35687.27113517515</v>
      </c>
      <c r="AH8" s="141">
        <v>31931</v>
      </c>
      <c r="AI8" s="1199">
        <f t="shared" si="22"/>
        <v>262482.00529530965</v>
      </c>
      <c r="AJ8" s="1199">
        <f t="shared" si="23"/>
        <v>274162</v>
      </c>
      <c r="AK8" s="1198">
        <v>36747.9225449023</v>
      </c>
      <c r="AL8" s="141">
        <v>30144</v>
      </c>
      <c r="AM8" s="1201">
        <f t="shared" si="24"/>
        <v>108803.65760351814</v>
      </c>
      <c r="AN8" s="1201">
        <f t="shared" si="25"/>
        <v>90631</v>
      </c>
      <c r="AO8" s="1199">
        <f t="shared" si="26"/>
        <v>299229.92784021195</v>
      </c>
      <c r="AP8" s="1199">
        <f t="shared" si="27"/>
        <v>304306</v>
      </c>
      <c r="AQ8" s="1198">
        <v>36898.789628304265</v>
      </c>
      <c r="AR8" s="141">
        <v>35371</v>
      </c>
      <c r="AS8" s="1199">
        <f t="shared" si="28"/>
        <v>336128.7174685162</v>
      </c>
      <c r="AT8" s="1199">
        <f t="shared" si="29"/>
        <v>339677</v>
      </c>
      <c r="AU8" s="1198">
        <v>33186.509694259221</v>
      </c>
      <c r="AV8" s="1198">
        <v>32409</v>
      </c>
      <c r="AW8" s="1199">
        <f t="shared" si="30"/>
        <v>369315.22716277541</v>
      </c>
      <c r="AX8" s="1199">
        <f t="shared" si="31"/>
        <v>372086</v>
      </c>
      <c r="AY8" s="1198">
        <v>36898.789628304265</v>
      </c>
      <c r="AZ8" s="259">
        <v>40267</v>
      </c>
      <c r="BA8" s="1201">
        <f t="shared" si="32"/>
        <v>106984.08895086775</v>
      </c>
      <c r="BB8" s="1201">
        <f t="shared" si="33"/>
        <v>108047</v>
      </c>
      <c r="BC8" s="1140">
        <f t="shared" si="34"/>
        <v>215787.74655438587</v>
      </c>
      <c r="BD8" s="1140">
        <f t="shared" si="35"/>
        <v>198678</v>
      </c>
      <c r="BE8" s="1199">
        <f t="shared" si="36"/>
        <v>406214.01679107966</v>
      </c>
      <c r="BF8" s="1199">
        <f>+AX8+AZ8</f>
        <v>412353</v>
      </c>
      <c r="BG8" s="25"/>
      <c r="BH8" s="25"/>
      <c r="BI8" s="25"/>
      <c r="BJ8" s="25"/>
      <c r="BK8" s="25"/>
      <c r="BL8" s="25"/>
      <c r="BM8" s="25"/>
      <c r="BN8" s="25"/>
    </row>
    <row r="9" spans="1:66" x14ac:dyDescent="0.25">
      <c r="B9" s="1197" t="s">
        <v>40</v>
      </c>
      <c r="C9" s="62" t="s">
        <v>50</v>
      </c>
      <c r="D9" s="1120">
        <v>185523.6888703226</v>
      </c>
      <c r="E9" s="1198">
        <v>12862.975761675698</v>
      </c>
      <c r="F9" s="7578">
        <v>11579</v>
      </c>
      <c r="G9" s="1198">
        <v>17040.890679148677</v>
      </c>
      <c r="H9" s="141">
        <v>14764</v>
      </c>
      <c r="I9" s="1199">
        <f t="shared" si="8"/>
        <v>29903.866440824375</v>
      </c>
      <c r="J9" s="1199">
        <f t="shared" si="9"/>
        <v>26343</v>
      </c>
      <c r="K9" s="1198">
        <v>16543.909427482569</v>
      </c>
      <c r="L9" s="141">
        <v>14107</v>
      </c>
      <c r="M9" s="1201">
        <f t="shared" si="10"/>
        <v>46447.775868306941</v>
      </c>
      <c r="N9" s="1201">
        <f t="shared" si="11"/>
        <v>40450</v>
      </c>
      <c r="O9" s="1198">
        <v>16730.277396857357</v>
      </c>
      <c r="P9" s="141">
        <v>15252</v>
      </c>
      <c r="Q9" s="1199">
        <f t="shared" si="12"/>
        <v>63178.053265164301</v>
      </c>
      <c r="R9" s="1199">
        <f t="shared" si="13"/>
        <v>55702</v>
      </c>
      <c r="S9" s="1198">
        <v>16730.277396857357</v>
      </c>
      <c r="T9" s="141">
        <v>16545</v>
      </c>
      <c r="U9" s="1199">
        <f t="shared" si="14"/>
        <v>79908.330662021661</v>
      </c>
      <c r="V9" s="1199">
        <f t="shared" si="15"/>
        <v>72247</v>
      </c>
      <c r="W9" s="1198">
        <v>9230.571904156981</v>
      </c>
      <c r="X9" s="141">
        <v>13797</v>
      </c>
      <c r="Y9" s="1201">
        <f t="shared" si="16"/>
        <v>42691.126697871696</v>
      </c>
      <c r="Z9" s="1201">
        <f t="shared" si="17"/>
        <v>45594</v>
      </c>
      <c r="AA9" s="1140">
        <f t="shared" si="18"/>
        <v>89138.902566178644</v>
      </c>
      <c r="AB9" s="1140">
        <f t="shared" si="19"/>
        <v>86044</v>
      </c>
      <c r="AC9" s="1198">
        <v>17040.890679148677</v>
      </c>
      <c r="AD9" s="141">
        <v>11749</v>
      </c>
      <c r="AE9" s="1199">
        <f t="shared" si="20"/>
        <v>106179.79324532732</v>
      </c>
      <c r="AF9" s="1199">
        <f t="shared" si="21"/>
        <v>97793</v>
      </c>
      <c r="AG9" s="1198">
        <v>16721.709427482569</v>
      </c>
      <c r="AH9" s="141">
        <v>14310</v>
      </c>
      <c r="AI9" s="1199">
        <f t="shared" si="22"/>
        <v>122901.50267280989</v>
      </c>
      <c r="AJ9" s="1199">
        <f t="shared" si="23"/>
        <v>112103</v>
      </c>
      <c r="AK9" s="1198">
        <v>17218.690679148676</v>
      </c>
      <c r="AL9" s="141">
        <v>13988</v>
      </c>
      <c r="AM9" s="1201">
        <f t="shared" si="24"/>
        <v>50981.290785779922</v>
      </c>
      <c r="AN9" s="1201">
        <f t="shared" si="25"/>
        <v>40047</v>
      </c>
      <c r="AO9" s="1199">
        <f t="shared" si="26"/>
        <v>140120.19335195856</v>
      </c>
      <c r="AP9" s="1199">
        <f t="shared" si="27"/>
        <v>126091</v>
      </c>
      <c r="AQ9" s="1198">
        <v>17289.381304981736</v>
      </c>
      <c r="AR9" s="141">
        <v>14166</v>
      </c>
      <c r="AS9" s="1199">
        <f t="shared" si="28"/>
        <v>157409.5746569403</v>
      </c>
      <c r="AT9" s="1199">
        <f t="shared" si="29"/>
        <v>140257</v>
      </c>
      <c r="AU9" s="1198">
        <v>15549.946924150338</v>
      </c>
      <c r="AV9" s="1198">
        <v>12237</v>
      </c>
      <c r="AW9" s="1199">
        <f t="shared" si="30"/>
        <v>172959.52158109064</v>
      </c>
      <c r="AX9" s="1199">
        <f t="shared" si="31"/>
        <v>152494</v>
      </c>
      <c r="AY9" s="1198">
        <v>17289.381304981736</v>
      </c>
      <c r="AZ9" s="1198">
        <v>15890</v>
      </c>
      <c r="BA9" s="1201">
        <f t="shared" si="32"/>
        <v>50128.709534113805</v>
      </c>
      <c r="BB9" s="1201">
        <f t="shared" si="33"/>
        <v>42293</v>
      </c>
      <c r="BC9" s="1140">
        <f t="shared" si="34"/>
        <v>101110.00031989373</v>
      </c>
      <c r="BD9" s="1140">
        <f t="shared" si="35"/>
        <v>82340</v>
      </c>
      <c r="BE9" s="1199">
        <f t="shared" si="36"/>
        <v>190248.90288607238</v>
      </c>
      <c r="BF9" s="1199">
        <f t="shared" ref="BF9:BF12" si="37">+AX9+AZ9</f>
        <v>168384</v>
      </c>
      <c r="BG9" s="25"/>
      <c r="BH9" s="25"/>
      <c r="BI9" s="25"/>
      <c r="BJ9" s="25"/>
      <c r="BK9" s="25"/>
      <c r="BL9" s="25"/>
      <c r="BM9" s="25"/>
      <c r="BN9" s="25"/>
    </row>
    <row r="10" spans="1:66" ht="15" customHeight="1" x14ac:dyDescent="0.25">
      <c r="B10" s="1197" t="s">
        <v>1394</v>
      </c>
      <c r="C10" s="62" t="s">
        <v>50</v>
      </c>
      <c r="D10" s="1120">
        <v>6310.3295534123336</v>
      </c>
      <c r="E10" s="1198">
        <v>437.51618236992181</v>
      </c>
      <c r="F10" s="7579">
        <v>0</v>
      </c>
      <c r="G10" s="1198">
        <v>153.34884750639981</v>
      </c>
      <c r="H10" s="141">
        <v>519</v>
      </c>
      <c r="I10" s="1199">
        <f t="shared" si="8"/>
        <v>590.86502987632161</v>
      </c>
      <c r="J10" s="1199">
        <f t="shared" si="9"/>
        <v>519</v>
      </c>
      <c r="K10" s="1198">
        <v>148.87657527543368</v>
      </c>
      <c r="L10" s="141">
        <v>394</v>
      </c>
      <c r="M10" s="1201">
        <f t="shared" si="10"/>
        <v>739.74160515175527</v>
      </c>
      <c r="N10" s="1201">
        <f t="shared" si="11"/>
        <v>913</v>
      </c>
      <c r="O10" s="1198">
        <v>150.55367736204596</v>
      </c>
      <c r="P10" s="141">
        <v>932</v>
      </c>
      <c r="Q10" s="1199">
        <f t="shared" si="12"/>
        <v>890.29528251380123</v>
      </c>
      <c r="R10" s="1199">
        <f t="shared" si="13"/>
        <v>1845</v>
      </c>
      <c r="S10" s="1198">
        <v>150.55367736204596</v>
      </c>
      <c r="T10" s="141">
        <v>728</v>
      </c>
      <c r="U10" s="1199">
        <f t="shared" si="14"/>
        <v>1040.8489598758472</v>
      </c>
      <c r="V10" s="1199">
        <f t="shared" si="15"/>
        <v>2573</v>
      </c>
      <c r="W10" s="1198">
        <v>83.064764041907608</v>
      </c>
      <c r="X10" s="141">
        <v>0</v>
      </c>
      <c r="Y10" s="1201">
        <f t="shared" si="16"/>
        <v>384.17211876599953</v>
      </c>
      <c r="Z10" s="1201">
        <f t="shared" si="17"/>
        <v>1660</v>
      </c>
      <c r="AA10" s="1140">
        <f t="shared" si="18"/>
        <v>1123.9137239177549</v>
      </c>
      <c r="AB10" s="1140">
        <f t="shared" si="19"/>
        <v>2573</v>
      </c>
      <c r="AC10" s="1198">
        <v>153.34884750639981</v>
      </c>
      <c r="AD10" s="141">
        <v>481</v>
      </c>
      <c r="AE10" s="1199">
        <f t="shared" si="20"/>
        <v>1277.2625714241547</v>
      </c>
      <c r="AF10" s="1199">
        <f t="shared" si="21"/>
        <v>3054</v>
      </c>
      <c r="AG10" s="1198">
        <v>150.47657527543367</v>
      </c>
      <c r="AH10" s="141">
        <v>250</v>
      </c>
      <c r="AI10" s="1199">
        <f t="shared" si="22"/>
        <v>1427.7391466995882</v>
      </c>
      <c r="AJ10" s="1199">
        <f t="shared" si="23"/>
        <v>3304</v>
      </c>
      <c r="AK10" s="1198">
        <v>154.94884750639983</v>
      </c>
      <c r="AL10" s="141">
        <v>0</v>
      </c>
      <c r="AM10" s="1201">
        <f t="shared" si="24"/>
        <v>458.77427028823331</v>
      </c>
      <c r="AN10" s="1201">
        <f t="shared" si="25"/>
        <v>731</v>
      </c>
      <c r="AO10" s="1199">
        <f t="shared" si="26"/>
        <v>1582.6879942059882</v>
      </c>
      <c r="AP10" s="1199">
        <f t="shared" si="27"/>
        <v>3304</v>
      </c>
      <c r="AQ10" s="1198">
        <v>155.58498362188288</v>
      </c>
      <c r="AR10" s="141">
        <v>0</v>
      </c>
      <c r="AS10" s="1199">
        <f t="shared" si="28"/>
        <v>1738.272977827871</v>
      </c>
      <c r="AT10" s="1199">
        <f t="shared" si="29"/>
        <v>3304</v>
      </c>
      <c r="AU10" s="1198">
        <v>139.9320308135014</v>
      </c>
      <c r="AV10" s="1198">
        <v>0</v>
      </c>
      <c r="AW10" s="1199">
        <f t="shared" si="30"/>
        <v>1878.2050086413724</v>
      </c>
      <c r="AX10" s="1199">
        <f t="shared" si="31"/>
        <v>3304</v>
      </c>
      <c r="AY10" s="1198">
        <v>155.58498362188288</v>
      </c>
      <c r="BA10" s="1201">
        <f t="shared" si="32"/>
        <v>451.10199805726717</v>
      </c>
      <c r="BB10" s="1201">
        <f t="shared" si="33"/>
        <v>0</v>
      </c>
      <c r="BC10" s="1140">
        <f t="shared" si="34"/>
        <v>909.87626834550042</v>
      </c>
      <c r="BD10" s="1140">
        <f t="shared" si="35"/>
        <v>731</v>
      </c>
      <c r="BE10" s="1199">
        <f t="shared" si="36"/>
        <v>2033.7899922632553</v>
      </c>
      <c r="BF10" s="1199">
        <f t="shared" si="37"/>
        <v>3304</v>
      </c>
      <c r="BG10" s="25"/>
      <c r="BH10" s="25"/>
      <c r="BI10" s="25"/>
      <c r="BJ10" s="25"/>
      <c r="BK10" s="25"/>
      <c r="BL10" s="25"/>
      <c r="BM10" s="25"/>
      <c r="BN10" s="25"/>
    </row>
    <row r="11" spans="1:66" ht="15.75" customHeight="1" x14ac:dyDescent="0.25">
      <c r="B11" s="1197" t="s">
        <v>529</v>
      </c>
      <c r="C11" s="62" t="s">
        <v>50</v>
      </c>
      <c r="D11" s="1120">
        <v>63103.295534123332</v>
      </c>
      <c r="E11" s="1198">
        <v>4375.1618236992181</v>
      </c>
      <c r="F11" s="7578">
        <v>5636</v>
      </c>
      <c r="G11" s="1198">
        <v>5581.8980492329538</v>
      </c>
      <c r="H11" s="141">
        <v>5527</v>
      </c>
      <c r="I11" s="1199">
        <f t="shared" si="8"/>
        <v>9957.0598729321719</v>
      </c>
      <c r="J11" s="1199">
        <f t="shared" si="9"/>
        <v>11163</v>
      </c>
      <c r="K11" s="1198">
        <v>5419.1073400257865</v>
      </c>
      <c r="L11" s="141">
        <v>6762</v>
      </c>
      <c r="M11" s="1201">
        <f t="shared" si="10"/>
        <v>15376.167212957958</v>
      </c>
      <c r="N11" s="1201">
        <f t="shared" si="11"/>
        <v>17925</v>
      </c>
      <c r="O11" s="1198">
        <v>5480.153855978474</v>
      </c>
      <c r="P11" s="141">
        <v>5637</v>
      </c>
      <c r="Q11" s="1199">
        <f t="shared" si="12"/>
        <v>20856.321068936431</v>
      </c>
      <c r="R11" s="1199">
        <f t="shared" si="13"/>
        <v>23562</v>
      </c>
      <c r="S11" s="1198">
        <v>5480.153855978474</v>
      </c>
      <c r="T11" s="1198">
        <v>6443</v>
      </c>
      <c r="U11" s="1199">
        <f t="shared" si="14"/>
        <v>26336.474924914906</v>
      </c>
      <c r="V11" s="1199">
        <f t="shared" si="15"/>
        <v>30005</v>
      </c>
      <c r="W11" s="1198">
        <v>3023.5574111254364</v>
      </c>
      <c r="X11" s="1198">
        <v>5359</v>
      </c>
      <c r="Y11" s="1201">
        <f t="shared" si="16"/>
        <v>13983.865123082385</v>
      </c>
      <c r="Z11" s="1201">
        <f t="shared" si="17"/>
        <v>17439</v>
      </c>
      <c r="AA11" s="1140">
        <f t="shared" si="18"/>
        <v>29360.032336040342</v>
      </c>
      <c r="AB11" s="1140">
        <f t="shared" si="19"/>
        <v>35364</v>
      </c>
      <c r="AC11" s="1198">
        <v>5581.8980492329538</v>
      </c>
      <c r="AD11" s="1198">
        <v>3432</v>
      </c>
      <c r="AE11" s="1199">
        <f t="shared" si="20"/>
        <v>34941.930385273299</v>
      </c>
      <c r="AF11" s="1199">
        <f t="shared" si="21"/>
        <v>38796</v>
      </c>
      <c r="AG11" s="1198">
        <v>5477.3473400257863</v>
      </c>
      <c r="AH11" s="141">
        <v>5944</v>
      </c>
      <c r="AI11" s="1199">
        <f t="shared" si="22"/>
        <v>40419.277725299085</v>
      </c>
      <c r="AJ11" s="1199">
        <f t="shared" si="23"/>
        <v>44740</v>
      </c>
      <c r="AK11" s="1198">
        <v>5640.1380492329545</v>
      </c>
      <c r="AL11" s="141">
        <v>5853</v>
      </c>
      <c r="AM11" s="1201">
        <f t="shared" si="24"/>
        <v>16699.383438491695</v>
      </c>
      <c r="AN11" s="1201">
        <f t="shared" si="25"/>
        <v>15229</v>
      </c>
      <c r="AO11" s="1199">
        <f t="shared" si="26"/>
        <v>46059.415774532041</v>
      </c>
      <c r="AP11" s="1199">
        <f t="shared" si="27"/>
        <v>50593</v>
      </c>
      <c r="AQ11" s="1198">
        <v>5663.2934038365374</v>
      </c>
      <c r="AR11" s="141">
        <v>5804</v>
      </c>
      <c r="AS11" s="1199">
        <f t="shared" si="28"/>
        <v>51722.709178368576</v>
      </c>
      <c r="AT11" s="1199">
        <f t="shared" si="29"/>
        <v>56397</v>
      </c>
      <c r="AU11" s="1198">
        <v>5093.5259216114509</v>
      </c>
      <c r="AV11" s="1198">
        <v>4389</v>
      </c>
      <c r="AW11" s="1199">
        <f t="shared" si="30"/>
        <v>56816.235099980026</v>
      </c>
      <c r="AX11" s="1199">
        <f t="shared" si="31"/>
        <v>60786</v>
      </c>
      <c r="AY11" s="1198">
        <v>5663.2934038365374</v>
      </c>
      <c r="AZ11" s="1198">
        <v>5984</v>
      </c>
      <c r="BA11" s="1201">
        <f t="shared" si="32"/>
        <v>16420.112729284527</v>
      </c>
      <c r="BB11" s="1201">
        <f t="shared" si="33"/>
        <v>16177</v>
      </c>
      <c r="BC11" s="1140">
        <f t="shared" si="34"/>
        <v>33119.496167776218</v>
      </c>
      <c r="BD11" s="1140">
        <f t="shared" si="35"/>
        <v>31406</v>
      </c>
      <c r="BE11" s="1199">
        <f t="shared" si="36"/>
        <v>62479.52850381656</v>
      </c>
      <c r="BF11" s="1199">
        <f t="shared" si="37"/>
        <v>66770</v>
      </c>
      <c r="BG11" s="25"/>
      <c r="BH11" s="25"/>
      <c r="BI11" s="25"/>
      <c r="BJ11" s="25"/>
      <c r="BK11" s="25"/>
      <c r="BL11" s="25"/>
      <c r="BM11" s="25"/>
      <c r="BN11" s="25"/>
    </row>
    <row r="12" spans="1:66" x14ac:dyDescent="0.25">
      <c r="B12" s="1197" t="s">
        <v>41</v>
      </c>
      <c r="C12" s="62" t="s">
        <v>50</v>
      </c>
      <c r="D12" s="8042">
        <v>38100.65099603813</v>
      </c>
      <c r="E12" s="8044">
        <v>2641.6451357253104</v>
      </c>
      <c r="F12" s="7578">
        <v>3247</v>
      </c>
      <c r="G12" s="1198">
        <v>3992.6631365740518</v>
      </c>
      <c r="H12" s="1198">
        <v>0</v>
      </c>
      <c r="I12" s="1199">
        <f t="shared" si="8"/>
        <v>6634.3082722993622</v>
      </c>
      <c r="J12" s="1199">
        <f t="shared" si="9"/>
        <v>3247</v>
      </c>
      <c r="K12" s="1198">
        <v>3876.220941124509</v>
      </c>
      <c r="L12" s="1198">
        <v>1756</v>
      </c>
      <c r="M12" s="1201">
        <f t="shared" si="10"/>
        <v>10510.529213423872</v>
      </c>
      <c r="N12" s="1201">
        <f t="shared" si="11"/>
        <v>5003</v>
      </c>
      <c r="O12" s="1198">
        <v>3919.8867644180868</v>
      </c>
      <c r="P12" s="1198">
        <v>2357</v>
      </c>
      <c r="Q12" s="1199">
        <f t="shared" si="12"/>
        <v>14430.415977841958</v>
      </c>
      <c r="R12" s="1199">
        <f t="shared" si="13"/>
        <v>7360</v>
      </c>
      <c r="S12" s="1198">
        <v>3919.8867644180868</v>
      </c>
      <c r="T12" s="1198">
        <v>3801</v>
      </c>
      <c r="U12" s="1199">
        <f t="shared" si="14"/>
        <v>18350.302742260046</v>
      </c>
      <c r="V12" s="1199">
        <f t="shared" si="15"/>
        <v>11161</v>
      </c>
      <c r="W12" s="1198">
        <v>2162.7134910453456</v>
      </c>
      <c r="X12" s="1198">
        <v>3261</v>
      </c>
      <c r="Y12" s="1201">
        <f t="shared" si="16"/>
        <v>10002.487019881519</v>
      </c>
      <c r="Z12" s="1201">
        <f t="shared" si="17"/>
        <v>9419</v>
      </c>
      <c r="AA12" s="1140">
        <f t="shared" si="18"/>
        <v>20513.016233305389</v>
      </c>
      <c r="AB12" s="1140">
        <f t="shared" si="19"/>
        <v>14422</v>
      </c>
      <c r="AC12" s="1198">
        <v>3992.6631365740518</v>
      </c>
      <c r="AD12" s="1198">
        <v>3784</v>
      </c>
      <c r="AE12" s="1199">
        <f t="shared" si="20"/>
        <v>24505.679369879439</v>
      </c>
      <c r="AF12" s="1199">
        <f t="shared" si="21"/>
        <v>18206</v>
      </c>
      <c r="AG12" s="1198">
        <v>3917.8792980172916</v>
      </c>
      <c r="AH12" s="1198">
        <v>3563</v>
      </c>
      <c r="AI12" s="1199">
        <f t="shared" si="22"/>
        <v>28423.55866789673</v>
      </c>
      <c r="AJ12" s="1199">
        <f t="shared" si="23"/>
        <v>21769</v>
      </c>
      <c r="AK12" s="1198">
        <v>4034.321493466834</v>
      </c>
      <c r="AL12" s="1198">
        <v>3960</v>
      </c>
      <c r="AM12" s="1201">
        <f t="shared" si="24"/>
        <v>11944.863928058177</v>
      </c>
      <c r="AN12" s="1201">
        <f t="shared" si="25"/>
        <v>11307</v>
      </c>
      <c r="AO12" s="1199">
        <f t="shared" si="26"/>
        <v>32457.880161363566</v>
      </c>
      <c r="AP12" s="1199">
        <f t="shared" si="27"/>
        <v>25729</v>
      </c>
      <c r="AQ12" s="1198">
        <v>4050.8842342988223</v>
      </c>
      <c r="AR12" s="1198">
        <v>3624</v>
      </c>
      <c r="AS12" s="1199">
        <f t="shared" si="28"/>
        <v>36508.764395662387</v>
      </c>
      <c r="AT12" s="1199">
        <f t="shared" si="29"/>
        <v>29353</v>
      </c>
      <c r="AU12" s="1198">
        <v>3643.3365502254233</v>
      </c>
      <c r="AV12" s="1198">
        <v>4361</v>
      </c>
      <c r="AW12" s="1199">
        <f t="shared" si="30"/>
        <v>40152.100945887811</v>
      </c>
      <c r="AX12" s="1199">
        <f t="shared" si="31"/>
        <v>33714</v>
      </c>
      <c r="AY12" s="1198">
        <v>4050.8842342988223</v>
      </c>
      <c r="AZ12" s="1198">
        <v>3368</v>
      </c>
      <c r="BA12" s="1201">
        <f t="shared" si="32"/>
        <v>11745.105018823067</v>
      </c>
      <c r="BB12" s="1201">
        <f t="shared" si="33"/>
        <v>11353</v>
      </c>
      <c r="BC12" s="1140">
        <f t="shared" si="34"/>
        <v>23689.968946881243</v>
      </c>
      <c r="BD12" s="1140">
        <f t="shared" si="35"/>
        <v>22660</v>
      </c>
      <c r="BE12" s="1199">
        <f t="shared" si="36"/>
        <v>44202.985180186632</v>
      </c>
      <c r="BF12" s="1199">
        <f t="shared" si="37"/>
        <v>37082</v>
      </c>
      <c r="BG12" s="25"/>
      <c r="BH12" s="25"/>
      <c r="BI12" s="25"/>
      <c r="BJ12" s="25"/>
      <c r="BK12" s="25"/>
      <c r="BL12" s="25"/>
      <c r="BM12" s="25"/>
      <c r="BN12" s="25"/>
    </row>
    <row r="13" spans="1:66" s="4487" customFormat="1" x14ac:dyDescent="0.25">
      <c r="B13" s="7033" t="s">
        <v>1472</v>
      </c>
      <c r="C13" s="62" t="s">
        <v>50</v>
      </c>
      <c r="D13" s="8043"/>
      <c r="E13" s="8045"/>
      <c r="F13" s="7035">
        <v>633</v>
      </c>
      <c r="G13" s="7035"/>
      <c r="H13" s="7035"/>
      <c r="I13" s="7036"/>
      <c r="J13" s="7036"/>
      <c r="K13" s="7035"/>
      <c r="L13" s="7035"/>
      <c r="M13" s="7037"/>
      <c r="N13" s="7037"/>
      <c r="O13" s="7035"/>
      <c r="P13" s="7035"/>
      <c r="Q13" s="7036"/>
      <c r="R13" s="7036"/>
      <c r="S13" s="7035"/>
      <c r="T13" s="7035"/>
      <c r="U13" s="7036"/>
      <c r="V13" s="7036"/>
      <c r="W13" s="7035"/>
      <c r="X13" s="7035"/>
      <c r="Y13" s="7037"/>
      <c r="Z13" s="7037"/>
      <c r="AA13" s="7038"/>
      <c r="AB13" s="7038"/>
      <c r="AC13" s="7035"/>
      <c r="AD13" s="7035"/>
      <c r="AE13" s="7036"/>
      <c r="AF13" s="7036"/>
      <c r="AG13" s="7035"/>
      <c r="AH13" s="7035"/>
      <c r="AI13" s="7036"/>
      <c r="AJ13" s="7036"/>
      <c r="AK13" s="7035"/>
      <c r="AL13" s="7035"/>
      <c r="AM13" s="7037"/>
      <c r="AN13" s="7037"/>
      <c r="AO13" s="7036"/>
      <c r="AP13" s="7036"/>
      <c r="AQ13" s="7035"/>
      <c r="AR13" s="7035"/>
      <c r="AS13" s="7036"/>
      <c r="AT13" s="7036"/>
      <c r="AU13" s="7035"/>
      <c r="AV13" s="7035"/>
      <c r="AW13" s="7036"/>
      <c r="AX13" s="7036"/>
      <c r="AY13" s="7035"/>
      <c r="AZ13" s="7035"/>
      <c r="BA13" s="7037"/>
      <c r="BB13" s="7037"/>
      <c r="BC13" s="7038"/>
      <c r="BD13" s="7038"/>
      <c r="BE13" s="7036"/>
      <c r="BF13" s="7036"/>
      <c r="BG13" s="25"/>
      <c r="BH13" s="25"/>
      <c r="BI13" s="25"/>
      <c r="BJ13" s="25"/>
      <c r="BK13" s="25"/>
      <c r="BL13" s="25"/>
      <c r="BM13" s="25"/>
      <c r="BN13" s="25"/>
    </row>
    <row r="14" spans="1:66" x14ac:dyDescent="0.25">
      <c r="A14" s="1609"/>
      <c r="B14" s="1197" t="s">
        <v>573</v>
      </c>
      <c r="C14" s="62" t="s">
        <v>50</v>
      </c>
      <c r="D14" s="1608">
        <v>63103.295534123332</v>
      </c>
      <c r="E14" s="1198">
        <v>4375.1618236992181</v>
      </c>
      <c r="F14" s="7578">
        <v>6518</v>
      </c>
      <c r="G14" s="1198">
        <v>0</v>
      </c>
      <c r="H14" s="1198">
        <v>698</v>
      </c>
      <c r="I14" s="1199">
        <f t="shared" si="8"/>
        <v>4375.1618236992181</v>
      </c>
      <c r="J14" s="1199">
        <f t="shared" si="9"/>
        <v>7216</v>
      </c>
      <c r="K14" s="1198">
        <v>0</v>
      </c>
      <c r="L14" s="1198">
        <v>0</v>
      </c>
      <c r="M14" s="1201">
        <f t="shared" ref="M14" si="38">+K14+G14+E14</f>
        <v>4375.1618236992181</v>
      </c>
      <c r="N14" s="1201">
        <f t="shared" si="11"/>
        <v>7216</v>
      </c>
      <c r="O14" s="1198">
        <v>0</v>
      </c>
      <c r="P14" s="1198">
        <v>1045</v>
      </c>
      <c r="Q14" s="1199">
        <f t="shared" ref="Q14" si="39">+M14+O14</f>
        <v>4375.1618236992181</v>
      </c>
      <c r="R14" s="1199">
        <f t="shared" ref="R14" si="40">+N14+P14</f>
        <v>8261</v>
      </c>
      <c r="S14" s="1198">
        <v>0</v>
      </c>
      <c r="T14" s="1198">
        <v>614</v>
      </c>
      <c r="U14" s="1199">
        <f t="shared" si="14"/>
        <v>4375.1618236992181</v>
      </c>
      <c r="V14" s="1199">
        <f t="shared" si="15"/>
        <v>8875</v>
      </c>
      <c r="W14" s="1198">
        <v>0</v>
      </c>
      <c r="X14" s="1198">
        <v>562</v>
      </c>
      <c r="Y14" s="1201">
        <f t="shared" si="16"/>
        <v>0</v>
      </c>
      <c r="Z14" s="1201">
        <f t="shared" si="17"/>
        <v>2221</v>
      </c>
      <c r="AA14" s="1140">
        <f t="shared" si="18"/>
        <v>4375.1618236992181</v>
      </c>
      <c r="AB14" s="1140">
        <f t="shared" si="19"/>
        <v>9437</v>
      </c>
      <c r="AC14" s="1198">
        <v>0</v>
      </c>
      <c r="AD14" s="1198">
        <v>592</v>
      </c>
      <c r="AE14" s="1199">
        <f t="shared" si="20"/>
        <v>4375.1618236992181</v>
      </c>
      <c r="AF14" s="1199">
        <f t="shared" si="21"/>
        <v>10029</v>
      </c>
      <c r="AG14" s="1198">
        <v>0</v>
      </c>
      <c r="AH14" s="1198">
        <v>440</v>
      </c>
      <c r="AI14" s="1199">
        <f t="shared" si="22"/>
        <v>4375.1618236992181</v>
      </c>
      <c r="AJ14" s="1199">
        <f t="shared" si="23"/>
        <v>10469</v>
      </c>
      <c r="AK14" s="1198">
        <v>0</v>
      </c>
      <c r="AL14" s="1198">
        <v>619</v>
      </c>
      <c r="AM14" s="1201">
        <f t="shared" si="24"/>
        <v>0</v>
      </c>
      <c r="AN14" s="1201">
        <f t="shared" si="25"/>
        <v>1651</v>
      </c>
      <c r="AO14" s="1199">
        <f t="shared" si="26"/>
        <v>4375.1618236992181</v>
      </c>
      <c r="AP14" s="1199">
        <f t="shared" si="27"/>
        <v>11088</v>
      </c>
      <c r="AQ14" s="1198">
        <v>0</v>
      </c>
      <c r="AR14" s="1198">
        <v>0</v>
      </c>
      <c r="AS14" s="1199">
        <f t="shared" si="28"/>
        <v>4375.1618236992181</v>
      </c>
      <c r="AT14" s="1199">
        <f t="shared" si="29"/>
        <v>11088</v>
      </c>
      <c r="AU14" s="1198">
        <v>0</v>
      </c>
      <c r="AV14" s="1198">
        <v>607</v>
      </c>
      <c r="AW14" s="1199">
        <f t="shared" si="30"/>
        <v>4375.1618236992181</v>
      </c>
      <c r="AX14" s="1199">
        <f t="shared" si="31"/>
        <v>11695</v>
      </c>
      <c r="AY14" s="1198">
        <v>0</v>
      </c>
      <c r="AZ14" s="1198">
        <v>653</v>
      </c>
      <c r="BA14" s="1201">
        <f t="shared" si="32"/>
        <v>0</v>
      </c>
      <c r="BB14" s="1201">
        <f t="shared" si="33"/>
        <v>1260</v>
      </c>
      <c r="BC14" s="1140">
        <f t="shared" si="34"/>
        <v>0</v>
      </c>
      <c r="BD14" s="1140">
        <f t="shared" si="35"/>
        <v>2911</v>
      </c>
      <c r="BE14" s="1199">
        <f t="shared" si="36"/>
        <v>4375.1618236992181</v>
      </c>
      <c r="BF14" s="1199">
        <f t="shared" ref="BF14:BF16" si="41">+AX14+AZ14</f>
        <v>12348</v>
      </c>
      <c r="BG14" s="25"/>
      <c r="BH14" s="25"/>
      <c r="BI14" s="25"/>
      <c r="BJ14" s="25"/>
      <c r="BK14" s="25"/>
      <c r="BL14" s="25"/>
      <c r="BM14" s="25"/>
      <c r="BN14" s="25"/>
    </row>
    <row r="15" spans="1:66" x14ac:dyDescent="0.25">
      <c r="B15" s="1197" t="s">
        <v>42</v>
      </c>
      <c r="C15" s="62" t="s">
        <v>50</v>
      </c>
      <c r="D15" s="1120">
        <v>16827.545475766223</v>
      </c>
      <c r="E15" s="1198">
        <v>1166.7098196531247</v>
      </c>
      <c r="F15" s="7578">
        <v>0</v>
      </c>
      <c r="G15" s="1198">
        <v>0</v>
      </c>
      <c r="H15" s="1198">
        <v>0</v>
      </c>
      <c r="I15" s="1199">
        <f t="shared" si="8"/>
        <v>1166.7098196531247</v>
      </c>
      <c r="J15" s="1199">
        <f t="shared" si="9"/>
        <v>0</v>
      </c>
      <c r="K15" s="1198">
        <v>0</v>
      </c>
      <c r="L15" s="1198">
        <v>0</v>
      </c>
      <c r="M15" s="1201">
        <f t="shared" si="10"/>
        <v>1166.7098196531247</v>
      </c>
      <c r="N15" s="1201">
        <f t="shared" si="11"/>
        <v>0</v>
      </c>
      <c r="O15" s="1198">
        <v>0</v>
      </c>
      <c r="P15" s="1198"/>
      <c r="Q15" s="1199">
        <f t="shared" si="12"/>
        <v>1166.7098196531247</v>
      </c>
      <c r="R15" s="1199">
        <f t="shared" si="13"/>
        <v>0</v>
      </c>
      <c r="S15" s="1198">
        <v>0</v>
      </c>
      <c r="T15" s="1198">
        <v>0</v>
      </c>
      <c r="U15" s="1199">
        <f t="shared" si="14"/>
        <v>1166.7098196531247</v>
      </c>
      <c r="V15" s="1199">
        <f t="shared" si="15"/>
        <v>0</v>
      </c>
      <c r="W15" s="1198">
        <v>0</v>
      </c>
      <c r="X15" s="1198">
        <v>0</v>
      </c>
      <c r="Y15" s="1201">
        <f t="shared" si="16"/>
        <v>0</v>
      </c>
      <c r="Z15" s="1201">
        <f t="shared" si="17"/>
        <v>0</v>
      </c>
      <c r="AA15" s="1140">
        <f t="shared" si="18"/>
        <v>1166.7098196531247</v>
      </c>
      <c r="AB15" s="1140">
        <f t="shared" si="19"/>
        <v>0</v>
      </c>
      <c r="AC15" s="1198">
        <v>0</v>
      </c>
      <c r="AD15" s="1198">
        <v>0</v>
      </c>
      <c r="AE15" s="1199">
        <f t="shared" si="20"/>
        <v>1166.7098196531247</v>
      </c>
      <c r="AF15" s="1199">
        <f t="shared" ref="AF15:AF20" si="42">+AB15+AD15</f>
        <v>0</v>
      </c>
      <c r="AG15" s="1198">
        <v>0</v>
      </c>
      <c r="AH15" s="1198">
        <v>629</v>
      </c>
      <c r="AI15" s="1199">
        <f t="shared" si="22"/>
        <v>1166.7098196531247</v>
      </c>
      <c r="AJ15" s="1199">
        <f t="shared" si="23"/>
        <v>629</v>
      </c>
      <c r="AK15" s="1198">
        <v>0</v>
      </c>
      <c r="AL15" s="1198">
        <v>2068</v>
      </c>
      <c r="AM15" s="1201">
        <f t="shared" si="24"/>
        <v>0</v>
      </c>
      <c r="AN15" s="1201">
        <f t="shared" si="25"/>
        <v>2697</v>
      </c>
      <c r="AO15" s="1199">
        <f t="shared" si="26"/>
        <v>1166.7098196531247</v>
      </c>
      <c r="AP15" s="1199">
        <f t="shared" si="27"/>
        <v>2697</v>
      </c>
      <c r="AQ15" s="1198">
        <v>0</v>
      </c>
      <c r="AR15" s="1198">
        <v>691</v>
      </c>
      <c r="AS15" s="1199">
        <f t="shared" si="28"/>
        <v>1166.7098196531247</v>
      </c>
      <c r="AT15" s="1199">
        <f t="shared" si="29"/>
        <v>3388</v>
      </c>
      <c r="AU15" s="1198">
        <v>0</v>
      </c>
      <c r="AV15" s="1198">
        <v>0</v>
      </c>
      <c r="AW15" s="1199">
        <f t="shared" si="30"/>
        <v>1166.7098196531247</v>
      </c>
      <c r="AX15" s="1199">
        <f t="shared" si="31"/>
        <v>3388</v>
      </c>
      <c r="AY15" s="1198">
        <v>0</v>
      </c>
      <c r="AZ15" s="1198">
        <v>0</v>
      </c>
      <c r="BA15" s="1201">
        <f t="shared" si="32"/>
        <v>0</v>
      </c>
      <c r="BB15" s="1201">
        <f t="shared" si="33"/>
        <v>691</v>
      </c>
      <c r="BC15" s="1140">
        <f t="shared" si="34"/>
        <v>0</v>
      </c>
      <c r="BD15" s="1140">
        <f t="shared" si="35"/>
        <v>3388</v>
      </c>
      <c r="BE15" s="1199">
        <f t="shared" si="36"/>
        <v>1166.7098196531247</v>
      </c>
      <c r="BF15" s="1199">
        <f t="shared" si="41"/>
        <v>3388</v>
      </c>
      <c r="BG15" s="25"/>
      <c r="BH15" s="25"/>
      <c r="BI15" s="25"/>
      <c r="BJ15" s="25"/>
      <c r="BK15" s="25"/>
      <c r="BL15" s="25"/>
      <c r="BM15" s="25"/>
      <c r="BN15" s="25"/>
    </row>
    <row r="16" spans="1:66" ht="15" customHeight="1" x14ac:dyDescent="0.25">
      <c r="B16" s="1197" t="s">
        <v>1601</v>
      </c>
      <c r="C16" s="62" t="s">
        <v>50</v>
      </c>
      <c r="D16" s="1120">
        <v>2103.4431844707779</v>
      </c>
      <c r="E16" s="1198">
        <v>145.83872745664058</v>
      </c>
      <c r="F16" s="7578">
        <v>462</v>
      </c>
      <c r="G16" s="1198">
        <v>3833.7211876599958</v>
      </c>
      <c r="H16" s="1198">
        <v>10116</v>
      </c>
      <c r="I16" s="1199">
        <f t="shared" si="8"/>
        <v>3979.5599151166366</v>
      </c>
      <c r="J16" s="1199">
        <f t="shared" si="9"/>
        <v>10578</v>
      </c>
      <c r="K16" s="1198">
        <v>3721.9143818858424</v>
      </c>
      <c r="L16" s="1198">
        <v>3220</v>
      </c>
      <c r="M16" s="1201">
        <f t="shared" si="10"/>
        <v>7701.474297002479</v>
      </c>
      <c r="N16" s="1201">
        <f t="shared" si="11"/>
        <v>13798</v>
      </c>
      <c r="O16" s="1198">
        <v>3763.8419340511496</v>
      </c>
      <c r="P16" s="1198">
        <v>1289</v>
      </c>
      <c r="Q16" s="1199">
        <f t="shared" si="12"/>
        <v>11465.316231053628</v>
      </c>
      <c r="R16" s="1199">
        <f t="shared" si="13"/>
        <v>15087</v>
      </c>
      <c r="S16" s="1198">
        <v>3763.8419340511496</v>
      </c>
      <c r="T16" s="1198">
        <v>4298</v>
      </c>
      <c r="U16" s="1199">
        <f t="shared" si="14"/>
        <v>15229.158165104778</v>
      </c>
      <c r="V16" s="1199">
        <f t="shared" si="15"/>
        <v>19385</v>
      </c>
      <c r="W16" s="1198">
        <v>2076.61910104769</v>
      </c>
      <c r="X16" s="1198">
        <v>187</v>
      </c>
      <c r="Y16" s="1201">
        <f t="shared" si="16"/>
        <v>9604.3029691499887</v>
      </c>
      <c r="Z16" s="1201">
        <f t="shared" si="17"/>
        <v>5774</v>
      </c>
      <c r="AA16" s="1140">
        <f t="shared" si="18"/>
        <v>17305.777266152469</v>
      </c>
      <c r="AB16" s="1140">
        <f t="shared" si="19"/>
        <v>19572</v>
      </c>
      <c r="AC16" s="1198">
        <v>3833.7211876599958</v>
      </c>
      <c r="AD16" s="1198">
        <v>1590</v>
      </c>
      <c r="AE16" s="1199">
        <f t="shared" si="20"/>
        <v>21139.498453812463</v>
      </c>
      <c r="AF16" s="1199">
        <f t="shared" si="42"/>
        <v>21162</v>
      </c>
      <c r="AG16" s="1198">
        <v>3761.9143818858424</v>
      </c>
      <c r="AH16" s="1198">
        <v>6525</v>
      </c>
      <c r="AI16" s="1199">
        <f t="shared" si="22"/>
        <v>24901.412835698306</v>
      </c>
      <c r="AJ16" s="1199">
        <f t="shared" si="23"/>
        <v>27687</v>
      </c>
      <c r="AK16" s="1198">
        <v>3873.7211876599958</v>
      </c>
      <c r="AL16" s="1198">
        <v>10394</v>
      </c>
      <c r="AM16" s="1201">
        <f t="shared" si="24"/>
        <v>11469.356757205835</v>
      </c>
      <c r="AN16" s="1201">
        <f t="shared" si="25"/>
        <v>18509</v>
      </c>
      <c r="AO16" s="1199">
        <f t="shared" si="26"/>
        <v>28775.134023358303</v>
      </c>
      <c r="AP16" s="1199">
        <f t="shared" si="27"/>
        <v>38081</v>
      </c>
      <c r="AQ16" s="1198">
        <v>3889.6245905470719</v>
      </c>
      <c r="AR16" s="1198">
        <v>8647</v>
      </c>
      <c r="AS16" s="1199">
        <f t="shared" si="28"/>
        <v>32664.758613905375</v>
      </c>
      <c r="AT16" s="1199">
        <f t="shared" si="29"/>
        <v>46728</v>
      </c>
      <c r="AU16" s="1198">
        <v>3498.3007703375347</v>
      </c>
      <c r="AV16" s="1198">
        <v>6075</v>
      </c>
      <c r="AW16" s="1199">
        <f t="shared" si="30"/>
        <v>36163.059384242908</v>
      </c>
      <c r="AX16" s="1199">
        <f t="shared" si="31"/>
        <v>52803</v>
      </c>
      <c r="AY16" s="1198">
        <v>3889.6245905470719</v>
      </c>
      <c r="AZ16" s="1198">
        <v>10730</v>
      </c>
      <c r="BA16" s="1201">
        <f t="shared" si="32"/>
        <v>11277.549951431678</v>
      </c>
      <c r="BB16" s="1201">
        <f t="shared" si="33"/>
        <v>25452</v>
      </c>
      <c r="BC16" s="1140">
        <f t="shared" si="34"/>
        <v>22746.906708637514</v>
      </c>
      <c r="BD16" s="1140">
        <f t="shared" si="35"/>
        <v>43961</v>
      </c>
      <c r="BE16" s="1199">
        <f t="shared" si="36"/>
        <v>40052.683974789979</v>
      </c>
      <c r="BF16" s="1199">
        <f t="shared" si="41"/>
        <v>63533</v>
      </c>
      <c r="BG16" s="25"/>
      <c r="BH16" s="25"/>
      <c r="BI16" s="25"/>
      <c r="BJ16" s="25"/>
      <c r="BK16" s="25"/>
      <c r="BL16" s="25"/>
      <c r="BM16" s="25"/>
      <c r="BN16" s="25"/>
    </row>
    <row r="17" spans="1:66" ht="15" customHeight="1" x14ac:dyDescent="0.25">
      <c r="A17" s="2986"/>
      <c r="B17" s="2992" t="s">
        <v>98</v>
      </c>
      <c r="C17" s="62" t="s">
        <v>50</v>
      </c>
      <c r="D17" s="2883">
        <v>757239.54640948027</v>
      </c>
      <c r="E17" s="2993">
        <v>52501.941884390602</v>
      </c>
      <c r="F17" s="7578">
        <v>74827</v>
      </c>
      <c r="G17" s="2993">
        <v>268.36048313619972</v>
      </c>
      <c r="H17" s="2993">
        <v>319</v>
      </c>
      <c r="I17" s="1199">
        <f t="shared" ref="I17" si="43">+E17+G17</f>
        <v>52770.302367526805</v>
      </c>
      <c r="J17" s="1199">
        <f t="shared" ref="J17" si="44">+F17+H17</f>
        <v>75146</v>
      </c>
      <c r="K17" s="2993">
        <v>260.53400673200895</v>
      </c>
      <c r="L17" s="2993">
        <v>141</v>
      </c>
      <c r="M17" s="1201">
        <f t="shared" ref="M17" si="45">+K17+G17+E17</f>
        <v>53030.836374258812</v>
      </c>
      <c r="N17" s="1201">
        <f t="shared" ref="N17" si="46">+L17+H17+F17</f>
        <v>75287</v>
      </c>
      <c r="O17" s="2993">
        <v>263.46893538358046</v>
      </c>
      <c r="P17" s="2993">
        <v>314</v>
      </c>
      <c r="Q17" s="1199">
        <f t="shared" ref="Q17:Q18" si="47">+M17+O17</f>
        <v>53294.30530964239</v>
      </c>
      <c r="R17" s="1199">
        <f t="shared" ref="R17:R18" si="48">+N17+P17</f>
        <v>75601</v>
      </c>
      <c r="S17" s="2993">
        <v>263.46893538358046</v>
      </c>
      <c r="T17" s="2993">
        <v>82</v>
      </c>
      <c r="U17" s="1199">
        <f t="shared" si="14"/>
        <v>53557.774245025968</v>
      </c>
      <c r="V17" s="1199">
        <f t="shared" si="15"/>
        <v>75683</v>
      </c>
      <c r="W17" s="2993">
        <v>145.36333707333827</v>
      </c>
      <c r="X17" s="2993">
        <v>0</v>
      </c>
      <c r="Y17" s="1201">
        <f t="shared" ref="Y17:Y18" si="49">+O17+S17+W17</f>
        <v>672.30120784049916</v>
      </c>
      <c r="Z17" s="1201">
        <f t="shared" ref="Z17:Z18" si="50">+P17+T17+X17</f>
        <v>396</v>
      </c>
      <c r="AA17" s="1140">
        <f t="shared" ref="AA17:AA18" si="51">M17+Y17</f>
        <v>53703.137582099313</v>
      </c>
      <c r="AB17" s="1140">
        <f t="shared" ref="AB17:AB18" si="52">N17+Z17</f>
        <v>75683</v>
      </c>
      <c r="AC17" s="2993">
        <v>268.36048313619972</v>
      </c>
      <c r="AD17" s="2993">
        <v>0</v>
      </c>
      <c r="AE17" s="1199">
        <f t="shared" ref="AE17:AE18" si="53">+AA17+AC17</f>
        <v>53971.498065235515</v>
      </c>
      <c r="AF17" s="1199">
        <f t="shared" ref="AF17:AF18" si="54">+AB17+AD17</f>
        <v>75683</v>
      </c>
      <c r="AG17" s="2993">
        <v>263.33400673200896</v>
      </c>
      <c r="AH17" s="2993">
        <v>307</v>
      </c>
      <c r="AI17" s="1199">
        <f t="shared" si="22"/>
        <v>54234.832071967525</v>
      </c>
      <c r="AJ17" s="1199">
        <f t="shared" si="23"/>
        <v>75990</v>
      </c>
      <c r="AK17" s="2993">
        <v>271.16048313619973</v>
      </c>
      <c r="AL17" s="2993">
        <v>278</v>
      </c>
      <c r="AM17" s="1201">
        <f t="shared" si="24"/>
        <v>802.85497300440829</v>
      </c>
      <c r="AN17" s="1201">
        <f t="shared" si="25"/>
        <v>585</v>
      </c>
      <c r="AO17" s="1199">
        <f t="shared" ref="AO17" si="55">AI17+AK17</f>
        <v>54505.992555103723</v>
      </c>
      <c r="AP17" s="1199">
        <f t="shared" ref="AP17" si="56">AJ17+AL17</f>
        <v>76268</v>
      </c>
      <c r="AQ17" s="2993">
        <v>272.27372133829505</v>
      </c>
      <c r="AR17" s="2993">
        <v>442</v>
      </c>
      <c r="AS17" s="1199">
        <f t="shared" ref="AS17" si="57">+AO17+AQ17</f>
        <v>54778.266276442017</v>
      </c>
      <c r="AT17" s="1199">
        <f t="shared" ref="AT17" si="58">+AP17+AR17</f>
        <v>76710</v>
      </c>
      <c r="AU17" s="2993">
        <v>244.88105392362738</v>
      </c>
      <c r="AV17" s="2993">
        <v>223</v>
      </c>
      <c r="AW17" s="1199">
        <f t="shared" si="30"/>
        <v>55023.147330365646</v>
      </c>
      <c r="AX17" s="1199">
        <f t="shared" si="31"/>
        <v>76933</v>
      </c>
      <c r="AY17" s="2993">
        <v>272.27372133829505</v>
      </c>
      <c r="AZ17" s="2993">
        <v>1270</v>
      </c>
      <c r="BA17" s="1201">
        <f t="shared" si="32"/>
        <v>789.42849660021739</v>
      </c>
      <c r="BB17" s="1201">
        <f t="shared" si="33"/>
        <v>1935</v>
      </c>
      <c r="BC17" s="1140">
        <f t="shared" si="34"/>
        <v>1592.2834696046257</v>
      </c>
      <c r="BD17" s="1140">
        <f t="shared" si="35"/>
        <v>2520</v>
      </c>
      <c r="BE17" s="1199">
        <f t="shared" ref="BE17" si="59">+AW17+AY17</f>
        <v>55295.421051703939</v>
      </c>
      <c r="BF17" s="1199">
        <f t="shared" ref="BF17" si="60">+AX17+AZ17</f>
        <v>78203</v>
      </c>
      <c r="BG17" s="25"/>
      <c r="BH17" s="25"/>
      <c r="BI17" s="25"/>
      <c r="BJ17" s="25"/>
      <c r="BK17" s="25"/>
      <c r="BL17" s="25"/>
      <c r="BM17" s="25"/>
      <c r="BN17" s="25"/>
    </row>
    <row r="18" spans="1:66" s="4487" customFormat="1" ht="15" customHeight="1" x14ac:dyDescent="0.25">
      <c r="B18" s="5614" t="s">
        <v>1272</v>
      </c>
      <c r="C18" s="5615" t="s">
        <v>50</v>
      </c>
      <c r="D18" s="5616">
        <v>12757.939662736389</v>
      </c>
      <c r="E18" s="7039">
        <v>884.55048328305566</v>
      </c>
      <c r="F18" s="7578">
        <v>815</v>
      </c>
      <c r="G18" s="5617">
        <v>0</v>
      </c>
      <c r="H18" s="5617">
        <v>1720</v>
      </c>
      <c r="I18" s="1199">
        <f t="shared" ref="I18" si="61">+E18+G18</f>
        <v>884.55048328305566</v>
      </c>
      <c r="J18" s="1199">
        <f t="shared" ref="J18" si="62">+F18+H18</f>
        <v>2535</v>
      </c>
      <c r="K18" s="5617">
        <v>0</v>
      </c>
      <c r="L18" s="5617">
        <v>0</v>
      </c>
      <c r="M18" s="1201">
        <f t="shared" ref="M18:M19" si="63">+K18+G18+E18</f>
        <v>884.55048328305566</v>
      </c>
      <c r="N18" s="1201">
        <f t="shared" ref="N18:N19" si="64">+L18+H18+F18</f>
        <v>2535</v>
      </c>
      <c r="O18" s="5617">
        <v>0</v>
      </c>
      <c r="P18" s="5617"/>
      <c r="Q18" s="1199">
        <f t="shared" si="47"/>
        <v>884.55048328305566</v>
      </c>
      <c r="R18" s="1199">
        <f t="shared" si="48"/>
        <v>2535</v>
      </c>
      <c r="S18" s="5617">
        <v>0</v>
      </c>
      <c r="T18" s="5617">
        <v>0</v>
      </c>
      <c r="U18" s="1199">
        <f t="shared" ref="U18" si="65">+Q18+S18</f>
        <v>884.55048328305566</v>
      </c>
      <c r="V18" s="1199">
        <f t="shared" ref="V18" si="66">+R18+T18</f>
        <v>2535</v>
      </c>
      <c r="W18" s="5617">
        <v>0</v>
      </c>
      <c r="X18" s="5617">
        <v>0</v>
      </c>
      <c r="Y18" s="5619">
        <f t="shared" si="49"/>
        <v>0</v>
      </c>
      <c r="Z18" s="1201">
        <f t="shared" si="50"/>
        <v>0</v>
      </c>
      <c r="AA18" s="5620">
        <f t="shared" si="51"/>
        <v>884.55048328305566</v>
      </c>
      <c r="AB18" s="1140">
        <f t="shared" si="52"/>
        <v>2535</v>
      </c>
      <c r="AC18" s="5617">
        <v>0</v>
      </c>
      <c r="AD18" s="5617">
        <v>0</v>
      </c>
      <c r="AE18" s="1199">
        <f t="shared" si="53"/>
        <v>884.55048328305566</v>
      </c>
      <c r="AF18" s="1199">
        <f t="shared" si="54"/>
        <v>2535</v>
      </c>
      <c r="AG18" s="5617">
        <v>0</v>
      </c>
      <c r="AH18" s="5617"/>
      <c r="AI18" s="5618">
        <f t="shared" si="22"/>
        <v>884.55048328305566</v>
      </c>
      <c r="AJ18" s="1199">
        <f t="shared" si="23"/>
        <v>2535</v>
      </c>
      <c r="AK18" s="5617">
        <v>0</v>
      </c>
      <c r="AL18" s="5617">
        <v>0</v>
      </c>
      <c r="AM18" s="1201">
        <f t="shared" si="24"/>
        <v>0</v>
      </c>
      <c r="AN18" s="1201">
        <f t="shared" si="25"/>
        <v>0</v>
      </c>
      <c r="AO18" s="1199">
        <f t="shared" ref="AO18" si="67">AI18+AK18</f>
        <v>884.55048328305566</v>
      </c>
      <c r="AP18" s="1199">
        <f t="shared" ref="AP18" si="68">AJ18+AL18</f>
        <v>2535</v>
      </c>
      <c r="AQ18" s="5617">
        <v>0</v>
      </c>
      <c r="AR18" s="5617">
        <v>0</v>
      </c>
      <c r="AS18" s="1199">
        <f t="shared" ref="AS18" si="69">+AO18+AQ18</f>
        <v>884.55048328305566</v>
      </c>
      <c r="AT18" s="1199">
        <f t="shared" ref="AT18" si="70">+AP18+AR18</f>
        <v>2535</v>
      </c>
      <c r="AU18" s="6836">
        <v>0</v>
      </c>
      <c r="AV18" s="5617">
        <v>0</v>
      </c>
      <c r="AW18" s="1199">
        <f t="shared" si="30"/>
        <v>884.55048328305566</v>
      </c>
      <c r="AX18" s="1199">
        <f t="shared" si="31"/>
        <v>2535</v>
      </c>
      <c r="AY18" s="7039">
        <v>0</v>
      </c>
      <c r="AZ18" s="5617">
        <v>2188</v>
      </c>
      <c r="BA18" s="1201">
        <f t="shared" si="32"/>
        <v>0</v>
      </c>
      <c r="BB18" s="1201">
        <f t="shared" si="33"/>
        <v>2188</v>
      </c>
      <c r="BC18" s="1140">
        <f t="shared" si="34"/>
        <v>0</v>
      </c>
      <c r="BD18" s="1140">
        <f t="shared" si="35"/>
        <v>2188</v>
      </c>
      <c r="BE18" s="1199">
        <f t="shared" ref="BE18:BE20" si="71">+AW18+AY18</f>
        <v>884.55048328305566</v>
      </c>
      <c r="BF18" s="1199">
        <f t="shared" ref="BF18:BF20" si="72">+AX18+AZ18</f>
        <v>4723</v>
      </c>
      <c r="BG18" s="25"/>
      <c r="BH18" s="25"/>
      <c r="BI18" s="25"/>
      <c r="BJ18" s="25"/>
      <c r="BK18" s="25"/>
      <c r="BL18" s="25"/>
      <c r="BM18" s="25"/>
      <c r="BN18" s="25"/>
    </row>
    <row r="19" spans="1:66" ht="15.95" customHeight="1" x14ac:dyDescent="0.25">
      <c r="B19" s="1197" t="s">
        <v>1959</v>
      </c>
      <c r="C19" s="62" t="s">
        <v>50</v>
      </c>
      <c r="D19" s="1120">
        <v>0</v>
      </c>
      <c r="E19" s="5617">
        <v>0</v>
      </c>
      <c r="F19" s="7578">
        <v>0</v>
      </c>
      <c r="G19" s="1198">
        <v>65406.981377879973</v>
      </c>
      <c r="H19" s="1198">
        <v>65634</v>
      </c>
      <c r="I19" s="1199">
        <f t="shared" si="8"/>
        <v>65406.981377879973</v>
      </c>
      <c r="J19" s="1199">
        <f t="shared" si="9"/>
        <v>65634</v>
      </c>
      <c r="K19" s="1198">
        <v>63394.45887394523</v>
      </c>
      <c r="L19" s="1198">
        <v>73482</v>
      </c>
      <c r="M19" s="1201">
        <f t="shared" si="63"/>
        <v>128801.4402518252</v>
      </c>
      <c r="N19" s="1201">
        <f t="shared" si="64"/>
        <v>139116</v>
      </c>
      <c r="O19" s="1198">
        <v>64149.154812920722</v>
      </c>
      <c r="P19" s="1198">
        <v>79493</v>
      </c>
      <c r="Q19" s="1199">
        <f t="shared" ref="Q19" si="73">+M19+O19</f>
        <v>192950.59506474592</v>
      </c>
      <c r="R19" s="1199">
        <f t="shared" ref="R19" si="74">+N19+P19</f>
        <v>218609</v>
      </c>
      <c r="S19" s="1198">
        <v>64149.154812920722</v>
      </c>
      <c r="T19" s="1198">
        <v>76578</v>
      </c>
      <c r="U19" s="1199">
        <f t="shared" si="14"/>
        <v>257099.74987766665</v>
      </c>
      <c r="V19" s="1199">
        <f t="shared" si="15"/>
        <v>295187</v>
      </c>
      <c r="W19" s="1198">
        <v>35219.143818858458</v>
      </c>
      <c r="X19" s="1198">
        <v>75174</v>
      </c>
      <c r="Y19" s="1201">
        <f t="shared" si="16"/>
        <v>163517.4534446999</v>
      </c>
      <c r="Z19" s="1201">
        <f t="shared" si="17"/>
        <v>231245</v>
      </c>
      <c r="AA19" s="1140">
        <f t="shared" si="18"/>
        <v>292318.89369652513</v>
      </c>
      <c r="AB19" s="1140">
        <f t="shared" si="19"/>
        <v>370361</v>
      </c>
      <c r="AC19" s="1198">
        <v>65406.981377879973</v>
      </c>
      <c r="AD19" s="1198">
        <v>61180</v>
      </c>
      <c r="AE19" s="1199">
        <f t="shared" si="20"/>
        <v>357725.87507440511</v>
      </c>
      <c r="AF19" s="1199">
        <f t="shared" si="42"/>
        <v>431541</v>
      </c>
      <c r="AG19" s="1198">
        <v>63394.45887394523</v>
      </c>
      <c r="AH19" s="1198">
        <v>71795</v>
      </c>
      <c r="AI19" s="1199">
        <f t="shared" si="22"/>
        <v>421120.33394835034</v>
      </c>
      <c r="AJ19" s="1199">
        <f t="shared" si="23"/>
        <v>503336</v>
      </c>
      <c r="AK19" s="1198">
        <v>65406.981377879973</v>
      </c>
      <c r="AL19" s="1198">
        <v>70886</v>
      </c>
      <c r="AM19" s="1201">
        <f t="shared" si="24"/>
        <v>194208.42162970518</v>
      </c>
      <c r="AN19" s="1201">
        <f t="shared" si="25"/>
        <v>203861</v>
      </c>
      <c r="AO19" s="1199">
        <f t="shared" si="26"/>
        <v>486527.31532623031</v>
      </c>
      <c r="AP19" s="1199">
        <f t="shared" si="27"/>
        <v>574222</v>
      </c>
      <c r="AQ19" s="1198">
        <v>66413.242629847315</v>
      </c>
      <c r="AR19" s="1198">
        <v>76614</v>
      </c>
      <c r="AS19" s="1199">
        <f t="shared" si="28"/>
        <v>552940.55795607762</v>
      </c>
      <c r="AT19" s="1199">
        <f t="shared" si="29"/>
        <v>650836</v>
      </c>
      <c r="AU19" s="5617">
        <v>59369.413866075687</v>
      </c>
      <c r="AV19" s="1198">
        <v>64116</v>
      </c>
      <c r="AW19" s="5618">
        <f t="shared" ref="AW19:AW20" si="75">+AS19+AU19</f>
        <v>612309.97182215331</v>
      </c>
      <c r="AX19" s="5618">
        <f t="shared" ref="AX19:AX20" si="76">+AT19+AV19</f>
        <v>714952</v>
      </c>
      <c r="AY19" s="5617">
        <v>66413.242629847315</v>
      </c>
      <c r="AZ19" s="1198">
        <v>82575</v>
      </c>
      <c r="BA19" s="1201">
        <f t="shared" si="32"/>
        <v>192195.89912577032</v>
      </c>
      <c r="BB19" s="1201">
        <f t="shared" si="33"/>
        <v>223305</v>
      </c>
      <c r="BC19" s="1140">
        <f t="shared" si="34"/>
        <v>386404.32075547549</v>
      </c>
      <c r="BD19" s="1140">
        <f t="shared" si="35"/>
        <v>427166</v>
      </c>
      <c r="BE19" s="1199">
        <f t="shared" si="71"/>
        <v>678723.21445200057</v>
      </c>
      <c r="BF19" s="1199">
        <f t="shared" si="72"/>
        <v>797527</v>
      </c>
      <c r="BG19" s="25"/>
      <c r="BH19" s="25"/>
      <c r="BI19" s="25"/>
      <c r="BJ19" s="25"/>
      <c r="BK19" s="25"/>
      <c r="BL19" s="25"/>
      <c r="BM19" s="25"/>
      <c r="BN19" s="25"/>
    </row>
    <row r="20" spans="1:66" ht="15.95" customHeight="1" x14ac:dyDescent="0.25">
      <c r="B20" s="1197" t="s">
        <v>2270</v>
      </c>
      <c r="C20" s="62" t="s">
        <v>50</v>
      </c>
      <c r="D20" s="1120">
        <v>0</v>
      </c>
      <c r="E20" s="1198">
        <v>0</v>
      </c>
      <c r="F20" s="7578">
        <v>2000</v>
      </c>
      <c r="G20" s="1198">
        <v>1090.5988309179249</v>
      </c>
      <c r="H20" s="1198">
        <v>1308</v>
      </c>
      <c r="I20" s="1199">
        <f t="shared" si="8"/>
        <v>1090.5988309179249</v>
      </c>
      <c r="J20" s="1199">
        <f t="shared" si="9"/>
        <v>3308</v>
      </c>
      <c r="K20" s="1198">
        <v>1057.0236844555791</v>
      </c>
      <c r="L20" s="1198">
        <v>909</v>
      </c>
      <c r="M20" s="1201">
        <f t="shared" si="10"/>
        <v>2147.622515373504</v>
      </c>
      <c r="N20" s="1201">
        <f t="shared" si="11"/>
        <v>4217</v>
      </c>
      <c r="O20" s="1198">
        <v>1069.6143643789533</v>
      </c>
      <c r="P20" s="1198">
        <v>876</v>
      </c>
      <c r="Q20" s="1199">
        <f t="shared" si="12"/>
        <v>3217.2368797524573</v>
      </c>
      <c r="R20" s="1199">
        <f t="shared" si="13"/>
        <v>5093</v>
      </c>
      <c r="S20" s="1198">
        <v>1069.6143643789533</v>
      </c>
      <c r="T20" s="1198">
        <v>933</v>
      </c>
      <c r="U20" s="1199">
        <f t="shared" si="14"/>
        <v>4286.8512441314106</v>
      </c>
      <c r="V20" s="1199">
        <f t="shared" si="15"/>
        <v>6026</v>
      </c>
      <c r="W20" s="1198">
        <v>587.20900562605334</v>
      </c>
      <c r="X20" s="1198">
        <v>787</v>
      </c>
      <c r="Y20" s="1201">
        <f t="shared" si="16"/>
        <v>2726.4377343839597</v>
      </c>
      <c r="Z20" s="1201">
        <f t="shared" si="17"/>
        <v>2596</v>
      </c>
      <c r="AA20" s="1140">
        <f t="shared" si="18"/>
        <v>4874.0602497574637</v>
      </c>
      <c r="AB20" s="1140">
        <f t="shared" si="19"/>
        <v>6813</v>
      </c>
      <c r="AC20" s="1198">
        <v>1090.5988309179249</v>
      </c>
      <c r="AD20" s="1198">
        <v>941</v>
      </c>
      <c r="AE20" s="1199">
        <f t="shared" si="20"/>
        <v>5964.6590806753884</v>
      </c>
      <c r="AF20" s="1199">
        <f t="shared" si="42"/>
        <v>7754</v>
      </c>
      <c r="AG20" s="1198">
        <v>1056.9049986338748</v>
      </c>
      <c r="AH20" s="1198">
        <v>1097</v>
      </c>
      <c r="AI20" s="1199">
        <f t="shared" si="22"/>
        <v>7021.5640793092634</v>
      </c>
      <c r="AJ20" s="1199">
        <f t="shared" si="23"/>
        <v>8851</v>
      </c>
      <c r="AK20" s="1198">
        <v>1090.4801450962204</v>
      </c>
      <c r="AL20" s="1198">
        <v>1268</v>
      </c>
      <c r="AM20" s="1201">
        <f t="shared" si="24"/>
        <v>3237.9839746480202</v>
      </c>
      <c r="AN20" s="1201">
        <f t="shared" si="25"/>
        <v>3306</v>
      </c>
      <c r="AO20" s="1199">
        <f t="shared" si="26"/>
        <v>8112.0442244054839</v>
      </c>
      <c r="AP20" s="1199">
        <f t="shared" si="27"/>
        <v>10119</v>
      </c>
      <c r="AQ20" s="1198">
        <v>1107.3864041490904</v>
      </c>
      <c r="AR20" s="1198">
        <v>992</v>
      </c>
      <c r="AS20" s="1199">
        <f t="shared" si="28"/>
        <v>9219.4306285545736</v>
      </c>
      <c r="AT20" s="1199">
        <f t="shared" si="29"/>
        <v>11111</v>
      </c>
      <c r="AU20" s="1198">
        <v>989.87339153085861</v>
      </c>
      <c r="AV20" s="1198">
        <v>642</v>
      </c>
      <c r="AW20" s="5618">
        <f t="shared" si="75"/>
        <v>10209.304020085432</v>
      </c>
      <c r="AX20" s="5618">
        <f t="shared" si="76"/>
        <v>11753</v>
      </c>
      <c r="AY20" s="1198">
        <v>1107.3864041490904</v>
      </c>
      <c r="AZ20" s="1198">
        <v>937</v>
      </c>
      <c r="BA20" s="1201">
        <f t="shared" si="32"/>
        <v>3204.6461998290397</v>
      </c>
      <c r="BB20" s="1201">
        <f t="shared" si="33"/>
        <v>2571</v>
      </c>
      <c r="BC20" s="1140">
        <f t="shared" si="34"/>
        <v>6442.6301744770599</v>
      </c>
      <c r="BD20" s="1140">
        <f t="shared" si="35"/>
        <v>5877</v>
      </c>
      <c r="BE20" s="1199">
        <f t="shared" si="71"/>
        <v>11316.690424234523</v>
      </c>
      <c r="BF20" s="1199">
        <f t="shared" si="72"/>
        <v>12690</v>
      </c>
      <c r="BG20" s="25"/>
      <c r="BH20" s="25"/>
      <c r="BI20" s="25"/>
      <c r="BJ20" s="25"/>
      <c r="BK20" s="25"/>
      <c r="BL20" s="25"/>
      <c r="BM20" s="25"/>
      <c r="BN20" s="25"/>
    </row>
    <row r="21" spans="1:66" ht="15.75" x14ac:dyDescent="0.25">
      <c r="B21" s="1203" t="s">
        <v>21</v>
      </c>
      <c r="C21" s="1204" t="s">
        <v>50</v>
      </c>
      <c r="D21" s="189">
        <f t="shared" ref="D21:AI21" si="77">SUM(D6:D20)</f>
        <v>5000572.4355053725</v>
      </c>
      <c r="E21" s="189">
        <f t="shared" si="77"/>
        <v>346706.3555283724</v>
      </c>
      <c r="F21" s="189">
        <f t="shared" si="77"/>
        <v>424907</v>
      </c>
      <c r="G21" s="189">
        <f t="shared" si="77"/>
        <v>451693.82970925875</v>
      </c>
      <c r="H21" s="189">
        <f t="shared" si="77"/>
        <v>431104</v>
      </c>
      <c r="I21" s="189">
        <f t="shared" si="77"/>
        <v>798400.1852376312</v>
      </c>
      <c r="J21" s="189">
        <f t="shared" si="77"/>
        <v>855378</v>
      </c>
      <c r="K21" s="189">
        <f t="shared" si="77"/>
        <v>438413.85245607345</v>
      </c>
      <c r="L21" s="189">
        <f t="shared" si="77"/>
        <v>441570</v>
      </c>
      <c r="M21" s="1411">
        <f t="shared" si="77"/>
        <v>1236814.0376937047</v>
      </c>
      <c r="N21" s="1411">
        <f t="shared" si="77"/>
        <v>1296948</v>
      </c>
      <c r="O21" s="189">
        <f t="shared" si="77"/>
        <v>443393.84392601775</v>
      </c>
      <c r="P21" s="189">
        <f t="shared" si="77"/>
        <v>470314</v>
      </c>
      <c r="Q21" s="189">
        <f t="shared" si="77"/>
        <v>1680207.8816197228</v>
      </c>
      <c r="R21" s="189">
        <f t="shared" si="77"/>
        <v>1767262</v>
      </c>
      <c r="S21" s="189">
        <f t="shared" si="77"/>
        <v>443393.84392601775</v>
      </c>
      <c r="T21" s="189">
        <f t="shared" si="77"/>
        <v>459502</v>
      </c>
      <c r="U21" s="189">
        <f t="shared" si="77"/>
        <v>2123601.7255457407</v>
      </c>
      <c r="V21" s="189">
        <f t="shared" si="77"/>
        <v>2226764</v>
      </c>
      <c r="W21" s="189">
        <f t="shared" si="77"/>
        <v>244456.34331918461</v>
      </c>
      <c r="X21" s="189">
        <f t="shared" si="77"/>
        <v>440393</v>
      </c>
      <c r="Y21" s="189">
        <f t="shared" si="77"/>
        <v>1131244.0311712201</v>
      </c>
      <c r="Z21" s="189">
        <f t="shared" si="77"/>
        <v>1370209</v>
      </c>
      <c r="AA21" s="189">
        <f t="shared" si="77"/>
        <v>2368058.0688649253</v>
      </c>
      <c r="AB21" s="189">
        <f t="shared" si="77"/>
        <v>2667157</v>
      </c>
      <c r="AC21" s="189">
        <f t="shared" si="77"/>
        <v>451693.82970925875</v>
      </c>
      <c r="AD21" s="189">
        <f t="shared" si="77"/>
        <v>360664</v>
      </c>
      <c r="AE21" s="189">
        <f t="shared" si="77"/>
        <v>2819751.8985741842</v>
      </c>
      <c r="AF21" s="189">
        <f t="shared" si="77"/>
        <v>3027821</v>
      </c>
      <c r="AG21" s="189">
        <f t="shared" si="77"/>
        <v>442432.76625222078</v>
      </c>
      <c r="AH21" s="189">
        <f t="shared" si="77"/>
        <v>437318</v>
      </c>
      <c r="AI21" s="189">
        <f t="shared" si="77"/>
        <v>3262184.6648264048</v>
      </c>
      <c r="AJ21" s="189">
        <f t="shared" ref="AJ21:BF21" si="78">SUM(AJ6:AJ20)</f>
        <v>3465139</v>
      </c>
      <c r="AK21" s="189">
        <f t="shared" si="78"/>
        <v>455712.74350540602</v>
      </c>
      <c r="AL21" s="189">
        <f t="shared" si="78"/>
        <v>435350</v>
      </c>
      <c r="AM21" s="189">
        <f t="shared" si="78"/>
        <v>1349839.3394668857</v>
      </c>
      <c r="AN21" s="189">
        <f t="shared" si="78"/>
        <v>1233332</v>
      </c>
      <c r="AO21" s="189">
        <f t="shared" si="78"/>
        <v>3717897.4083318105</v>
      </c>
      <c r="AP21" s="189">
        <f t="shared" si="78"/>
        <v>3900489</v>
      </c>
      <c r="AQ21" s="189">
        <f t="shared" si="78"/>
        <v>458333.81833585131</v>
      </c>
      <c r="AR21" s="189">
        <f t="shared" si="78"/>
        <v>443510</v>
      </c>
      <c r="AS21" s="189">
        <f t="shared" si="78"/>
        <v>4176231.2266676617</v>
      </c>
      <c r="AT21" s="189">
        <f t="shared" si="78"/>
        <v>4343999</v>
      </c>
      <c r="AU21" s="189">
        <f t="shared" si="78"/>
        <v>411853.8979497028</v>
      </c>
      <c r="AV21" s="189">
        <f t="shared" si="78"/>
        <v>381651.88</v>
      </c>
      <c r="AW21" s="189">
        <f t="shared" si="78"/>
        <v>4588085.1246173652</v>
      </c>
      <c r="AX21" s="189">
        <f t="shared" si="78"/>
        <v>4725650.88</v>
      </c>
      <c r="AY21" s="189">
        <f t="shared" si="78"/>
        <v>458333.81833585131</v>
      </c>
      <c r="AZ21" s="189">
        <f t="shared" si="78"/>
        <v>473785</v>
      </c>
      <c r="BA21" s="189">
        <f t="shared" si="78"/>
        <v>1328521.5346214049</v>
      </c>
      <c r="BB21" s="189">
        <f t="shared" si="78"/>
        <v>1298946.8799999999</v>
      </c>
      <c r="BC21" s="189">
        <f t="shared" si="78"/>
        <v>2678360.8740882915</v>
      </c>
      <c r="BD21" s="189">
        <f t="shared" si="78"/>
        <v>2532278.88</v>
      </c>
      <c r="BE21" s="189">
        <f t="shared" si="78"/>
        <v>5046418.9429532159</v>
      </c>
      <c r="BF21" s="189">
        <f t="shared" si="78"/>
        <v>5199435.88</v>
      </c>
      <c r="BG21" s="25"/>
      <c r="BH21" s="25"/>
      <c r="BI21" s="25"/>
      <c r="BJ21" s="25"/>
      <c r="BK21" s="25"/>
      <c r="BL21" s="25"/>
      <c r="BM21" s="25"/>
      <c r="BN21" s="25"/>
    </row>
    <row r="22" spans="1:66" ht="18.75" x14ac:dyDescent="0.25">
      <c r="B22" s="1196" t="s">
        <v>894</v>
      </c>
      <c r="C22" s="1196"/>
      <c r="D22" s="4942"/>
      <c r="E22" s="1196"/>
      <c r="F22" s="1196"/>
      <c r="G22" s="1196"/>
      <c r="H22" s="1196"/>
      <c r="I22" s="1196"/>
      <c r="J22" s="1196"/>
      <c r="K22" s="1196"/>
      <c r="L22" s="1196"/>
      <c r="M22" s="2468"/>
      <c r="N22" s="1196"/>
      <c r="O22" s="1196"/>
      <c r="P22" s="1196"/>
      <c r="Q22" s="1196"/>
      <c r="R22" s="1196"/>
      <c r="S22" s="1196"/>
      <c r="T22" s="1196"/>
      <c r="U22" s="1196"/>
      <c r="V22" s="1196"/>
      <c r="W22" s="1196"/>
      <c r="X22" s="1196"/>
      <c r="Y22" s="1196"/>
      <c r="Z22" s="1196"/>
      <c r="AA22" s="1196"/>
      <c r="AB22" s="1196"/>
      <c r="AC22" s="1196"/>
      <c r="AD22" s="1196"/>
      <c r="AE22" s="1196"/>
      <c r="AF22" s="1196"/>
      <c r="AG22" s="1196"/>
      <c r="AH22" s="1196"/>
      <c r="AI22" s="1196"/>
      <c r="AJ22" s="1196"/>
      <c r="AK22" s="1196"/>
      <c r="AL22" s="1196"/>
      <c r="AM22" s="1196"/>
      <c r="AN22" s="1196"/>
      <c r="AO22" s="1196"/>
      <c r="AP22" s="1196"/>
      <c r="AQ22" s="1196"/>
      <c r="AR22" s="1196"/>
      <c r="AS22" s="1196"/>
      <c r="AT22" s="1196"/>
      <c r="AU22" s="1196"/>
      <c r="AV22" s="1196"/>
      <c r="AW22" s="1196"/>
      <c r="AX22" s="1196"/>
      <c r="AY22" s="1196"/>
      <c r="AZ22" s="1196"/>
      <c r="BA22" s="1196"/>
      <c r="BB22" s="1196"/>
      <c r="BC22" s="1196"/>
      <c r="BD22" s="1196"/>
      <c r="BE22" s="1196"/>
      <c r="BF22" s="1196"/>
      <c r="BG22" s="25"/>
      <c r="BJ22" s="25"/>
      <c r="BK22" s="25"/>
      <c r="BL22" s="25"/>
      <c r="BM22" s="25"/>
      <c r="BN22" s="25"/>
    </row>
    <row r="23" spans="1:66" x14ac:dyDescent="0.25">
      <c r="B23" s="7581" t="s">
        <v>37</v>
      </c>
      <c r="C23" s="62" t="s">
        <v>218</v>
      </c>
      <c r="D23" s="1054">
        <f t="shared" ref="D23" si="79">+D6/D$67*1000</f>
        <v>779.73584585298556</v>
      </c>
      <c r="E23" s="1198">
        <f>+E6/E$67*1000</f>
        <v>779.73584585298568</v>
      </c>
      <c r="F23" s="1198">
        <f t="shared" ref="F23:BF23" si="80">+F6/F$67*1000</f>
        <v>778.23415594555149</v>
      </c>
      <c r="G23" s="5590">
        <f t="shared" si="80"/>
        <v>783.91225705888951</v>
      </c>
      <c r="H23" s="1198">
        <f t="shared" si="80"/>
        <v>786.06609514052673</v>
      </c>
      <c r="I23" s="1199">
        <f t="shared" si="80"/>
        <v>782.10770071413128</v>
      </c>
      <c r="J23" s="1199">
        <f t="shared" si="80"/>
        <v>782.16005891531495</v>
      </c>
      <c r="K23" s="5702">
        <f t="shared" si="80"/>
        <v>783.9122570588894</v>
      </c>
      <c r="L23" s="1198">
        <f t="shared" si="80"/>
        <v>783.21117058313894</v>
      </c>
      <c r="M23" s="1201">
        <f t="shared" si="80"/>
        <v>782.74904345533071</v>
      </c>
      <c r="N23" s="1201">
        <f t="shared" si="80"/>
        <v>782.52455100415818</v>
      </c>
      <c r="O23" s="5837">
        <f t="shared" si="80"/>
        <v>783.9122570588894</v>
      </c>
      <c r="P23" s="1198">
        <f t="shared" si="80"/>
        <v>783.52095688008853</v>
      </c>
      <c r="Q23" s="1199">
        <f t="shared" si="80"/>
        <v>783.05657890237921</v>
      </c>
      <c r="R23" s="1199">
        <f t="shared" si="80"/>
        <v>782.7919258176405</v>
      </c>
      <c r="S23" s="5909">
        <f t="shared" si="80"/>
        <v>783.9122570588894</v>
      </c>
      <c r="T23" s="1198">
        <f t="shared" si="80"/>
        <v>782.91607838634161</v>
      </c>
      <c r="U23" s="1199">
        <f t="shared" si="80"/>
        <v>783.23550226410657</v>
      </c>
      <c r="V23" s="1199">
        <f t="shared" si="80"/>
        <v>782.81741717379509</v>
      </c>
      <c r="W23" s="6007">
        <f t="shared" si="80"/>
        <v>783.9122570588894</v>
      </c>
      <c r="X23" s="1198">
        <f t="shared" si="80"/>
        <v>782.30127219945359</v>
      </c>
      <c r="Y23" s="1201">
        <f t="shared" si="80"/>
        <v>783.91225705888928</v>
      </c>
      <c r="Z23" s="1201">
        <f t="shared" si="80"/>
        <v>782.92498721800678</v>
      </c>
      <c r="AA23" s="1140">
        <f t="shared" si="80"/>
        <v>783.30550186650282</v>
      </c>
      <c r="AB23" s="1140">
        <f t="shared" si="80"/>
        <v>782.73109770545523</v>
      </c>
      <c r="AC23" s="6138">
        <f t="shared" si="80"/>
        <v>783.91225705888951</v>
      </c>
      <c r="AD23" s="1198">
        <f t="shared" si="80"/>
        <v>782.94763939385905</v>
      </c>
      <c r="AE23" s="1199">
        <f t="shared" si="80"/>
        <v>783.40278701866578</v>
      </c>
      <c r="AF23" s="1199">
        <f t="shared" si="80"/>
        <v>782.75677208560694</v>
      </c>
      <c r="AG23" s="6300">
        <f t="shared" si="80"/>
        <v>783.9122570588894</v>
      </c>
      <c r="AH23" s="1198">
        <f t="shared" si="80"/>
        <v>781.00031130019715</v>
      </c>
      <c r="AI23" s="1199">
        <f t="shared" si="80"/>
        <v>783.47204686701446</v>
      </c>
      <c r="AJ23" s="1199">
        <f t="shared" si="80"/>
        <v>782.53563060716863</v>
      </c>
      <c r="AK23" s="6564">
        <f t="shared" si="80"/>
        <v>783.9122570588894</v>
      </c>
      <c r="AL23" s="1198">
        <f t="shared" si="80"/>
        <v>779.99961187980466</v>
      </c>
      <c r="AM23" s="1201">
        <f t="shared" si="80"/>
        <v>783.9122570588894</v>
      </c>
      <c r="AN23" s="1201">
        <f t="shared" si="80"/>
        <v>781.22012861167264</v>
      </c>
      <c r="AO23" s="1199">
        <f t="shared" si="80"/>
        <v>783.5261027781205</v>
      </c>
      <c r="AP23" s="1199">
        <f t="shared" si="80"/>
        <v>782.25582970216351</v>
      </c>
      <c r="AQ23" s="6643">
        <f t="shared" si="80"/>
        <v>783.9122570588894</v>
      </c>
      <c r="AR23" s="1198">
        <f t="shared" si="80"/>
        <v>780.00709258552024</v>
      </c>
      <c r="AS23" s="1199">
        <f t="shared" si="80"/>
        <v>783.56848928162071</v>
      </c>
      <c r="AT23" s="1199">
        <f t="shared" si="80"/>
        <v>782.02911034725923</v>
      </c>
      <c r="AU23" s="5022">
        <f t="shared" si="80"/>
        <v>783.9122570588894</v>
      </c>
      <c r="AV23" s="1198">
        <f t="shared" si="80"/>
        <v>780</v>
      </c>
      <c r="AW23" s="1199">
        <f t="shared" si="80"/>
        <v>783.59937753425629</v>
      </c>
      <c r="AX23" s="1199">
        <f t="shared" si="80"/>
        <v>781.86740724166521</v>
      </c>
      <c r="AY23" s="1198">
        <f t="shared" si="80"/>
        <v>783.9122570588894</v>
      </c>
      <c r="AZ23" s="1198">
        <f t="shared" si="80"/>
        <v>779.06578767231485</v>
      </c>
      <c r="BA23" s="1201">
        <f t="shared" si="80"/>
        <v>783.9122570588894</v>
      </c>
      <c r="BB23" s="1201">
        <f t="shared" si="80"/>
        <v>779.66809076809125</v>
      </c>
      <c r="BC23" s="1140">
        <f t="shared" si="80"/>
        <v>783.9122570588894</v>
      </c>
      <c r="BD23" s="1140">
        <f t="shared" si="80"/>
        <v>780.4318965018058</v>
      </c>
      <c r="BE23" s="1199">
        <f t="shared" si="80"/>
        <v>783.62779605419166</v>
      </c>
      <c r="BF23" s="1214">
        <f t="shared" si="80"/>
        <v>781.62168477949638</v>
      </c>
      <c r="BG23" s="25"/>
      <c r="BH23" s="25"/>
      <c r="BI23" s="25"/>
      <c r="BJ23" s="25"/>
      <c r="BK23" s="25"/>
      <c r="BL23" s="25"/>
      <c r="BM23" s="25"/>
      <c r="BN23" s="25"/>
    </row>
    <row r="24" spans="1:66" x14ac:dyDescent="0.25">
      <c r="B24" s="7581" t="s">
        <v>38</v>
      </c>
      <c r="C24" s="62" t="s">
        <v>218</v>
      </c>
      <c r="D24" s="7548">
        <f t="shared" ref="D24:E29" si="81">+D7/D$67*1000</f>
        <v>41.979186176043648</v>
      </c>
      <c r="E24" s="1198">
        <f t="shared" si="81"/>
        <v>41.979186176043655</v>
      </c>
      <c r="F24" s="1198">
        <f t="shared" ref="F24:BF24" si="82">+F7/F$67*1000</f>
        <v>15.962863640992566</v>
      </c>
      <c r="G24" s="5590">
        <f t="shared" si="82"/>
        <v>45.456618844771477</v>
      </c>
      <c r="H24" s="1198">
        <f t="shared" si="82"/>
        <v>50.964520722982442</v>
      </c>
      <c r="I24" s="1199">
        <f t="shared" si="82"/>
        <v>43.954079253614395</v>
      </c>
      <c r="J24" s="1199">
        <f t="shared" si="82"/>
        <v>33.508085336914903</v>
      </c>
      <c r="K24" s="5702">
        <f t="shared" si="82"/>
        <v>45.456618844771484</v>
      </c>
      <c r="L24" s="1198">
        <f t="shared" si="82"/>
        <v>35.203070103169495</v>
      </c>
      <c r="M24" s="1201">
        <f t="shared" si="82"/>
        <v>44.488084668824968</v>
      </c>
      <c r="N24" s="1201">
        <f t="shared" si="82"/>
        <v>34.095852133651839</v>
      </c>
      <c r="O24" s="5837">
        <f t="shared" si="82"/>
        <v>45.456618844771477</v>
      </c>
      <c r="P24" s="1198">
        <f t="shared" si="82"/>
        <v>36.712232385164334</v>
      </c>
      <c r="Q24" s="1199">
        <f t="shared" si="82"/>
        <v>44.744149926203583</v>
      </c>
      <c r="R24" s="1199">
        <f t="shared" si="82"/>
        <v>34.797929669167821</v>
      </c>
      <c r="S24" s="5909">
        <f t="shared" si="82"/>
        <v>45.456618844771477</v>
      </c>
      <c r="T24" s="1198">
        <f t="shared" si="82"/>
        <v>31.272590616917942</v>
      </c>
      <c r="U24" s="1199">
        <f t="shared" si="82"/>
        <v>44.893128059005733</v>
      </c>
      <c r="V24" s="1199">
        <f t="shared" si="82"/>
        <v>34.074097095369424</v>
      </c>
      <c r="W24" s="6007">
        <f t="shared" si="82"/>
        <v>45.456618844771484</v>
      </c>
      <c r="X24" s="1198">
        <f t="shared" si="82"/>
        <v>34.630613900273218</v>
      </c>
      <c r="Y24" s="1201">
        <f t="shared" si="82"/>
        <v>45.456618844771477</v>
      </c>
      <c r="Z24" s="1201">
        <f t="shared" si="82"/>
        <v>34.23411421002956</v>
      </c>
      <c r="AA24" s="1140">
        <f t="shared" si="82"/>
        <v>44.951412287298808</v>
      </c>
      <c r="AB24" s="1140">
        <f t="shared" si="82"/>
        <v>34.167168300378712</v>
      </c>
      <c r="AC24" s="6138">
        <f t="shared" si="82"/>
        <v>45.456618844771477</v>
      </c>
      <c r="AD24" s="1198">
        <f t="shared" si="82"/>
        <v>40.939067434516069</v>
      </c>
      <c r="AE24" s="1199">
        <f t="shared" si="82"/>
        <v>45.03241546194684</v>
      </c>
      <c r="AF24" s="1199">
        <f t="shared" si="82"/>
        <v>34.970082113418542</v>
      </c>
      <c r="AG24" s="6300">
        <f t="shared" si="82"/>
        <v>45.456618844771469</v>
      </c>
      <c r="AH24" s="1198">
        <f t="shared" si="82"/>
        <v>39.64981458523345</v>
      </c>
      <c r="AI24" s="1199">
        <f t="shared" si="82"/>
        <v>45.090083743972748</v>
      </c>
      <c r="AJ24" s="1199">
        <f t="shared" si="82"/>
        <v>35.559268599168348</v>
      </c>
      <c r="AK24" s="6564">
        <f t="shared" si="82"/>
        <v>45.456618844771484</v>
      </c>
      <c r="AL24" s="1198">
        <f t="shared" si="82"/>
        <v>40.297965418490598</v>
      </c>
      <c r="AM24" s="1201">
        <f t="shared" si="82"/>
        <v>45.456618844771484</v>
      </c>
      <c r="AN24" s="1201">
        <f t="shared" si="82"/>
        <v>40.255084031284547</v>
      </c>
      <c r="AO24" s="1199">
        <f t="shared" si="82"/>
        <v>45.135092671961559</v>
      </c>
      <c r="AP24" s="1199">
        <f t="shared" si="82"/>
        <v>36.082092679402628</v>
      </c>
      <c r="AQ24" s="6643">
        <f t="shared" si="82"/>
        <v>45.456618844771477</v>
      </c>
      <c r="AR24" s="1198">
        <f t="shared" si="82"/>
        <v>30.618146107261715</v>
      </c>
      <c r="AS24" s="1199">
        <f t="shared" si="82"/>
        <v>45.170385224518689</v>
      </c>
      <c r="AT24" s="1199">
        <f t="shared" si="82"/>
        <v>35.531213506866692</v>
      </c>
      <c r="AU24" s="5022">
        <f t="shared" si="82"/>
        <v>45.456618844771484</v>
      </c>
      <c r="AV24" s="1198">
        <f t="shared" si="82"/>
        <v>34.979005609091431</v>
      </c>
      <c r="AW24" s="1199">
        <f t="shared" si="82"/>
        <v>45.196103913004954</v>
      </c>
      <c r="AX24" s="1199">
        <f t="shared" si="82"/>
        <v>35.487207160871556</v>
      </c>
      <c r="AY24" s="1198">
        <f t="shared" si="82"/>
        <v>45.456618844771477</v>
      </c>
      <c r="AZ24" s="1198">
        <f t="shared" si="82"/>
        <v>36.890381962361914</v>
      </c>
      <c r="BA24" s="1201">
        <f t="shared" si="82"/>
        <v>45.456618844771477</v>
      </c>
      <c r="BB24" s="1201">
        <f t="shared" si="82"/>
        <v>34.156761717741468</v>
      </c>
      <c r="BC24" s="1140">
        <f t="shared" si="82"/>
        <v>45.456618844771477</v>
      </c>
      <c r="BD24" s="1140">
        <f t="shared" si="82"/>
        <v>37.157934381402178</v>
      </c>
      <c r="BE24" s="1214">
        <f t="shared" si="82"/>
        <v>45.219766211746155</v>
      </c>
      <c r="BF24" s="1214">
        <f t="shared" si="82"/>
        <v>35.610275821173445</v>
      </c>
      <c r="BG24" s="25"/>
      <c r="BH24" s="25"/>
      <c r="BI24" s="25"/>
      <c r="BJ24" s="25"/>
      <c r="BK24" s="25"/>
      <c r="BL24" s="25"/>
      <c r="BM24" s="25"/>
      <c r="BN24" s="25"/>
    </row>
    <row r="25" spans="1:66" x14ac:dyDescent="0.25">
      <c r="B25" s="7581" t="s">
        <v>39</v>
      </c>
      <c r="C25" s="62" t="s">
        <v>218</v>
      </c>
      <c r="D25" s="7548">
        <f t="shared" si="81"/>
        <v>94.759139640821545</v>
      </c>
      <c r="E25" s="1198">
        <f t="shared" si="81"/>
        <v>94.759139640821573</v>
      </c>
      <c r="F25" s="1198">
        <f t="shared" ref="F25:BF25" si="83">+F8/F$67*1000</f>
        <v>108.72455503128641</v>
      </c>
      <c r="G25" s="5590">
        <f t="shared" si="83"/>
        <v>94.86465536540247</v>
      </c>
      <c r="H25" s="1198">
        <f t="shared" si="83"/>
        <v>93.150692642398383</v>
      </c>
      <c r="I25" s="1199">
        <f t="shared" si="83"/>
        <v>94.819063813020122</v>
      </c>
      <c r="J25" s="1199">
        <f t="shared" si="83"/>
        <v>100.91787126100782</v>
      </c>
      <c r="K25" s="5702">
        <f t="shared" si="83"/>
        <v>94.86465536540247</v>
      </c>
      <c r="L25" s="1198">
        <f t="shared" si="83"/>
        <v>87.306058882622779</v>
      </c>
      <c r="M25" s="1201">
        <f t="shared" si="83"/>
        <v>94.835267137047865</v>
      </c>
      <c r="N25" s="1201">
        <f t="shared" si="83"/>
        <v>96.197727741897424</v>
      </c>
      <c r="O25" s="5837">
        <f t="shared" si="83"/>
        <v>94.864655365402484</v>
      </c>
      <c r="P25" s="1198">
        <f t="shared" si="83"/>
        <v>92.217810835259826</v>
      </c>
      <c r="Q25" s="1199">
        <f t="shared" si="83"/>
        <v>94.843036924056321</v>
      </c>
      <c r="R25" s="1199">
        <f t="shared" si="83"/>
        <v>95.129759791995951</v>
      </c>
      <c r="S25" s="5909">
        <f t="shared" si="83"/>
        <v>94.864655365402484</v>
      </c>
      <c r="T25" s="1198">
        <f t="shared" si="83"/>
        <v>97.865488453177235</v>
      </c>
      <c r="U25" s="1199">
        <f t="shared" si="83"/>
        <v>94.847557366902194</v>
      </c>
      <c r="V25" s="1199">
        <f t="shared" si="83"/>
        <v>95.691467329537076</v>
      </c>
      <c r="W25" s="6007">
        <f t="shared" si="83"/>
        <v>94.864655365402484</v>
      </c>
      <c r="X25" s="1198">
        <f t="shared" si="83"/>
        <v>93.635267247267763</v>
      </c>
      <c r="Y25" s="1201">
        <f t="shared" si="83"/>
        <v>94.864655365402484</v>
      </c>
      <c r="Z25" s="1201">
        <f t="shared" si="83"/>
        <v>94.5495504458342</v>
      </c>
      <c r="AA25" s="1140">
        <f t="shared" si="83"/>
        <v>94.849325884991771</v>
      </c>
      <c r="AB25" s="1140">
        <f t="shared" si="83"/>
        <v>95.347590886434745</v>
      </c>
      <c r="AC25" s="6138">
        <f t="shared" si="83"/>
        <v>94.86465536540247</v>
      </c>
      <c r="AD25" s="1198">
        <f t="shared" si="83"/>
        <v>94.729439239935246</v>
      </c>
      <c r="AE25" s="1199">
        <f t="shared" si="83"/>
        <v>94.851783763973359</v>
      </c>
      <c r="AF25" s="1199">
        <f t="shared" si="83"/>
        <v>95.274299408564701</v>
      </c>
      <c r="AG25" s="6300">
        <f t="shared" si="83"/>
        <v>94.864655365402484</v>
      </c>
      <c r="AH25" s="1198">
        <f t="shared" si="83"/>
        <v>87.194092942223776</v>
      </c>
      <c r="AI25" s="1199">
        <f t="shared" si="83"/>
        <v>94.853533592407985</v>
      </c>
      <c r="AJ25" s="1199">
        <f t="shared" si="83"/>
        <v>94.256987312048651</v>
      </c>
      <c r="AK25" s="6564">
        <f t="shared" si="83"/>
        <v>94.86465536540247</v>
      </c>
      <c r="AL25" s="1198">
        <f t="shared" si="83"/>
        <v>83.567822617981605</v>
      </c>
      <c r="AM25" s="1201">
        <f t="shared" si="83"/>
        <v>94.864655365402456</v>
      </c>
      <c r="AN25" s="1201">
        <f t="shared" si="83"/>
        <v>88.130988256138139</v>
      </c>
      <c r="AO25" s="1199">
        <f t="shared" si="83"/>
        <v>94.854899298117289</v>
      </c>
      <c r="AP25" s="1199">
        <f t="shared" si="83"/>
        <v>93.077643515066171</v>
      </c>
      <c r="AQ25" s="6643">
        <f t="shared" si="83"/>
        <v>94.864655365402456</v>
      </c>
      <c r="AR25" s="1198">
        <f t="shared" si="83"/>
        <v>96.489170167494123</v>
      </c>
      <c r="AS25" s="1199">
        <f t="shared" si="83"/>
        <v>94.855970179888445</v>
      </c>
      <c r="AT25" s="1199">
        <f t="shared" si="83"/>
        <v>93.421596179053765</v>
      </c>
      <c r="AU25" s="5022">
        <f t="shared" si="83"/>
        <v>94.864655365402484</v>
      </c>
      <c r="AV25" s="1198">
        <f t="shared" si="83"/>
        <v>102.93603857123802</v>
      </c>
      <c r="AW25" s="1199">
        <f t="shared" si="83"/>
        <v>94.856750561943073</v>
      </c>
      <c r="AX25" s="1199">
        <f t="shared" si="83"/>
        <v>94.179817576371804</v>
      </c>
      <c r="AY25" s="1198">
        <f t="shared" si="83"/>
        <v>94.864655365402456</v>
      </c>
      <c r="AZ25" s="1198">
        <f t="shared" si="83"/>
        <v>106.01377465589688</v>
      </c>
      <c r="BA25" s="1201">
        <f t="shared" si="83"/>
        <v>94.86465536540247</v>
      </c>
      <c r="BB25" s="1201">
        <f t="shared" si="83"/>
        <v>101.81068811048063</v>
      </c>
      <c r="BC25" s="1140">
        <f t="shared" si="83"/>
        <v>94.864655365402456</v>
      </c>
      <c r="BD25" s="1140">
        <f t="shared" si="83"/>
        <v>95.078485524408492</v>
      </c>
      <c r="BE25" s="1214">
        <f t="shared" si="83"/>
        <v>94.857468546972484</v>
      </c>
      <c r="BF25" s="1214">
        <f t="shared" si="83"/>
        <v>95.21774189079099</v>
      </c>
      <c r="BG25" s="25"/>
      <c r="BH25" s="25"/>
      <c r="BI25" s="25"/>
      <c r="BJ25" s="25"/>
      <c r="BK25" s="25"/>
      <c r="BL25" s="25"/>
      <c r="BM25" s="25"/>
      <c r="BN25" s="25"/>
    </row>
    <row r="26" spans="1:66" x14ac:dyDescent="0.25">
      <c r="B26" s="7581" t="s">
        <v>40</v>
      </c>
      <c r="C26" s="62" t="s">
        <v>218</v>
      </c>
      <c r="D26" s="7548">
        <f t="shared" si="81"/>
        <v>44.1</v>
      </c>
      <c r="E26" s="1198">
        <f t="shared" si="81"/>
        <v>44.099999999999994</v>
      </c>
      <c r="F26" s="1198">
        <f t="shared" ref="F26:BF26" si="84">+F9/F$67*1000</f>
        <v>32.754562838747631</v>
      </c>
      <c r="G26" s="5590">
        <f t="shared" si="84"/>
        <v>44.449999999999989</v>
      </c>
      <c r="H26" s="1198">
        <f t="shared" si="84"/>
        <v>41.552914952182064</v>
      </c>
      <c r="I26" s="1199">
        <f t="shared" si="84"/>
        <v>44.298770944831155</v>
      </c>
      <c r="J26" s="1199">
        <f t="shared" si="84"/>
        <v>37.164897984520621</v>
      </c>
      <c r="K26" s="5702">
        <f t="shared" si="84"/>
        <v>44.45</v>
      </c>
      <c r="L26" s="1198">
        <f t="shared" si="84"/>
        <v>37.491296236253369</v>
      </c>
      <c r="M26" s="1201">
        <f t="shared" si="84"/>
        <v>44.352518037335486</v>
      </c>
      <c r="N26" s="1201">
        <f t="shared" si="84"/>
        <v>37.278082514966528</v>
      </c>
      <c r="O26" s="5837">
        <f t="shared" si="84"/>
        <v>44.449999999999996</v>
      </c>
      <c r="P26" s="1198">
        <f t="shared" si="84"/>
        <v>38.325459845210574</v>
      </c>
      <c r="Q26" s="1199">
        <f t="shared" si="84"/>
        <v>44.378290740539342</v>
      </c>
      <c r="R26" s="1199">
        <f t="shared" si="84"/>
        <v>37.559134970682003</v>
      </c>
      <c r="S26" s="5909">
        <f t="shared" si="84"/>
        <v>44.449999999999996</v>
      </c>
      <c r="T26" s="1198">
        <f t="shared" si="84"/>
        <v>43.178253505541797</v>
      </c>
      <c r="U26" s="1199">
        <f t="shared" si="84"/>
        <v>44.39328523545786</v>
      </c>
      <c r="V26" s="1199">
        <f t="shared" si="84"/>
        <v>38.712868263078391</v>
      </c>
      <c r="W26" s="6007">
        <f t="shared" si="84"/>
        <v>44.449999999999996</v>
      </c>
      <c r="X26" s="1198">
        <f t="shared" si="84"/>
        <v>36.8132044057377</v>
      </c>
      <c r="Y26" s="1201">
        <f t="shared" si="84"/>
        <v>44.449999999999996</v>
      </c>
      <c r="Z26" s="1201">
        <f t="shared" si="84"/>
        <v>39.44380378277792</v>
      </c>
      <c r="AA26" s="1140">
        <f t="shared" si="84"/>
        <v>44.399151482728733</v>
      </c>
      <c r="AB26" s="1140">
        <f t="shared" si="84"/>
        <v>38.395170751058338</v>
      </c>
      <c r="AC26" s="6138">
        <f t="shared" si="84"/>
        <v>44.449999999999989</v>
      </c>
      <c r="AD26" s="1198">
        <f t="shared" si="84"/>
        <v>38.975212972054884</v>
      </c>
      <c r="AE26" s="1199">
        <f t="shared" si="84"/>
        <v>44.407304368442887</v>
      </c>
      <c r="AF26" s="1199">
        <f t="shared" si="84"/>
        <v>38.463943764678213</v>
      </c>
      <c r="AG26" s="6300">
        <f t="shared" si="84"/>
        <v>44.449999999999996</v>
      </c>
      <c r="AH26" s="1198">
        <f t="shared" si="84"/>
        <v>39.076366853628826</v>
      </c>
      <c r="AI26" s="1199">
        <f t="shared" si="84"/>
        <v>44.413108621359299</v>
      </c>
      <c r="AJ26" s="1199">
        <f t="shared" si="84"/>
        <v>38.541048900440579</v>
      </c>
      <c r="AK26" s="6564">
        <f t="shared" si="84"/>
        <v>44.449999999999989</v>
      </c>
      <c r="AL26" s="1198">
        <f t="shared" si="84"/>
        <v>38.77875208268069</v>
      </c>
      <c r="AM26" s="1201">
        <f t="shared" si="84"/>
        <v>44.449999999999989</v>
      </c>
      <c r="AN26" s="1201">
        <f t="shared" si="84"/>
        <v>38.942323120053445</v>
      </c>
      <c r="AO26" s="1199">
        <f t="shared" si="84"/>
        <v>44.417638723390532</v>
      </c>
      <c r="AP26" s="1199">
        <f t="shared" si="84"/>
        <v>38.567274876138519</v>
      </c>
      <c r="AQ26" s="6643">
        <f t="shared" si="84"/>
        <v>44.449999999999996</v>
      </c>
      <c r="AR26" s="1198">
        <f t="shared" si="84"/>
        <v>38.643679415134493</v>
      </c>
      <c r="AS26" s="1199">
        <f t="shared" si="84"/>
        <v>44.421190882288123</v>
      </c>
      <c r="AT26" s="1199">
        <f t="shared" si="84"/>
        <v>38.574978038800232</v>
      </c>
      <c r="AU26" s="5022">
        <f t="shared" si="84"/>
        <v>44.449999999999989</v>
      </c>
      <c r="AV26" s="1198">
        <f t="shared" si="84"/>
        <v>38.866620506533351</v>
      </c>
      <c r="AW26" s="1199">
        <f t="shared" si="84"/>
        <v>44.423779441673084</v>
      </c>
      <c r="AX26" s="1199">
        <f t="shared" si="84"/>
        <v>38.598219501650803</v>
      </c>
      <c r="AY26" s="1198">
        <f t="shared" si="84"/>
        <v>44.449999999999996</v>
      </c>
      <c r="AZ26" s="1198">
        <f t="shared" si="84"/>
        <v>41.834725191402427</v>
      </c>
      <c r="BA26" s="1201">
        <f t="shared" si="84"/>
        <v>44.449999999999989</v>
      </c>
      <c r="BB26" s="1201">
        <f t="shared" si="84"/>
        <v>39.851911041089132</v>
      </c>
      <c r="BC26" s="1140">
        <f t="shared" si="84"/>
        <v>44.449999999999996</v>
      </c>
      <c r="BD26" s="1140">
        <f t="shared" si="84"/>
        <v>39.404274746473163</v>
      </c>
      <c r="BE26" s="1214">
        <f t="shared" si="84"/>
        <v>44.426161027557946</v>
      </c>
      <c r="BF26" s="1214">
        <f t="shared" si="84"/>
        <v>38.882084647229313</v>
      </c>
      <c r="BG26" s="25"/>
      <c r="BH26" s="25"/>
      <c r="BI26" s="25"/>
      <c r="BJ26" s="25"/>
      <c r="BK26" s="25"/>
      <c r="BL26" s="25"/>
      <c r="BM26" s="25"/>
      <c r="BN26" s="25"/>
    </row>
    <row r="27" spans="1:66" x14ac:dyDescent="0.25">
      <c r="B27" s="7581" t="s">
        <v>1394</v>
      </c>
      <c r="C27" s="62" t="s">
        <v>218</v>
      </c>
      <c r="D27" s="7548">
        <f t="shared" si="81"/>
        <v>1.5</v>
      </c>
      <c r="E27" s="1198">
        <f t="shared" si="81"/>
        <v>1.5</v>
      </c>
      <c r="F27" s="1198">
        <f t="shared" ref="F27:BF27" si="85">+F10/F$67*1000</f>
        <v>0</v>
      </c>
      <c r="G27" s="5590">
        <f t="shared" si="85"/>
        <v>0.39999999999999997</v>
      </c>
      <c r="H27" s="1198">
        <f t="shared" si="85"/>
        <v>1.4607127377528104</v>
      </c>
      <c r="I27" s="1199">
        <f t="shared" si="85"/>
        <v>0.87529131624493761</v>
      </c>
      <c r="J27" s="1199">
        <f t="shared" si="85"/>
        <v>0.73220901393031168</v>
      </c>
      <c r="K27" s="5702">
        <f t="shared" si="85"/>
        <v>0.39999999999999997</v>
      </c>
      <c r="L27" s="1198">
        <f t="shared" si="85"/>
        <v>1.0471092873810042</v>
      </c>
      <c r="M27" s="1201">
        <f t="shared" si="85"/>
        <v>0.70637188265989315</v>
      </c>
      <c r="N27" s="1212">
        <f t="shared" si="85"/>
        <v>0.84140641127724203</v>
      </c>
      <c r="O27" s="5837">
        <f t="shared" si="85"/>
        <v>0.39999999999999997</v>
      </c>
      <c r="P27" s="1198">
        <f t="shared" si="85"/>
        <v>2.3419439139612024</v>
      </c>
      <c r="Q27" s="1199">
        <f t="shared" si="85"/>
        <v>0.62537195830491576</v>
      </c>
      <c r="R27" s="1214">
        <f t="shared" si="85"/>
        <v>1.2440595314514433</v>
      </c>
      <c r="S27" s="5909">
        <f t="shared" si="85"/>
        <v>0.39999999999999997</v>
      </c>
      <c r="T27" s="1198">
        <f t="shared" si="85"/>
        <v>1.8998953491710142</v>
      </c>
      <c r="U27" s="1199">
        <f t="shared" si="85"/>
        <v>0.57824640284669293</v>
      </c>
      <c r="V27" s="1214">
        <f t="shared" si="85"/>
        <v>1.3787175943762469</v>
      </c>
      <c r="W27" s="6007">
        <f t="shared" si="85"/>
        <v>0.40000000000000008</v>
      </c>
      <c r="X27" s="1198">
        <f t="shared" si="85"/>
        <v>0</v>
      </c>
      <c r="Y27" s="1201">
        <f t="shared" si="85"/>
        <v>0.39999999999999997</v>
      </c>
      <c r="Z27" s="1201">
        <f t="shared" si="85"/>
        <v>1.4360818151382055</v>
      </c>
      <c r="AA27" s="1140">
        <f t="shared" si="85"/>
        <v>0.5598096257096582</v>
      </c>
      <c r="AB27" s="1140">
        <f t="shared" si="85"/>
        <v>1.1481425124642406</v>
      </c>
      <c r="AC27" s="6138">
        <f t="shared" si="85"/>
        <v>0.39999999999999997</v>
      </c>
      <c r="AD27" s="1198">
        <f t="shared" si="85"/>
        <v>1.5956317507497146</v>
      </c>
      <c r="AE27" s="1199">
        <f t="shared" si="85"/>
        <v>0.53418627060802404</v>
      </c>
      <c r="AF27" s="1199">
        <f t="shared" si="85"/>
        <v>1.2011993113753259</v>
      </c>
      <c r="AG27" s="6300">
        <f t="shared" si="85"/>
        <v>0.39999999999999997</v>
      </c>
      <c r="AH27" s="1198">
        <f t="shared" si="85"/>
        <v>0.68267587095787607</v>
      </c>
      <c r="AI27" s="1199">
        <f t="shared" si="85"/>
        <v>0.51594433287075048</v>
      </c>
      <c r="AJ27" s="1199">
        <f t="shared" si="85"/>
        <v>1.1359163052465651</v>
      </c>
      <c r="AK27" s="6564">
        <f t="shared" si="85"/>
        <v>0.4</v>
      </c>
      <c r="AL27" s="1198">
        <f t="shared" si="85"/>
        <v>0</v>
      </c>
      <c r="AM27" s="1201">
        <f t="shared" si="85"/>
        <v>0.39999999999999997</v>
      </c>
      <c r="AN27" s="1201">
        <f t="shared" si="85"/>
        <v>0.71083572304439946</v>
      </c>
      <c r="AO27" s="1199">
        <f t="shared" si="85"/>
        <v>0.50170686934401498</v>
      </c>
      <c r="AP27" s="1199">
        <f t="shared" si="85"/>
        <v>1.0105897819095864</v>
      </c>
      <c r="AQ27" s="6643">
        <f t="shared" si="85"/>
        <v>0.39999999999999997</v>
      </c>
      <c r="AR27" s="1198">
        <f t="shared" si="85"/>
        <v>0</v>
      </c>
      <c r="AS27" s="1199">
        <f t="shared" si="85"/>
        <v>0.49054294138015908</v>
      </c>
      <c r="AT27" s="1199">
        <f t="shared" si="85"/>
        <v>0.90870136563733683</v>
      </c>
      <c r="AU27" s="5022">
        <f t="shared" si="85"/>
        <v>0.40000000000000008</v>
      </c>
      <c r="AV27" s="1198">
        <f t="shared" si="85"/>
        <v>0</v>
      </c>
      <c r="AW27" s="1214">
        <f t="shared" si="85"/>
        <v>0.48240746902743531</v>
      </c>
      <c r="AX27" s="1199">
        <f t="shared" si="85"/>
        <v>0.83628547505773509</v>
      </c>
      <c r="AY27" s="1198">
        <f t="shared" si="85"/>
        <v>0.39999999999999997</v>
      </c>
      <c r="AZ27" s="1198">
        <f t="shared" si="85"/>
        <v>0</v>
      </c>
      <c r="BA27" s="1212">
        <f t="shared" si="85"/>
        <v>0.4</v>
      </c>
      <c r="BB27" s="1201">
        <f t="shared" si="85"/>
        <v>0</v>
      </c>
      <c r="BC27" s="1140">
        <f t="shared" si="85"/>
        <v>0.39999999999999997</v>
      </c>
      <c r="BD27" s="1140">
        <f t="shared" si="85"/>
        <v>0.3498242025707054</v>
      </c>
      <c r="BE27" s="1214">
        <f t="shared" si="85"/>
        <v>0.47492248481784938</v>
      </c>
      <c r="BF27" s="1214">
        <f t="shared" si="85"/>
        <v>0.76293714173820348</v>
      </c>
      <c r="BG27" s="25"/>
      <c r="BH27" s="25"/>
      <c r="BI27" s="25"/>
      <c r="BJ27" s="25"/>
      <c r="BK27" s="25"/>
      <c r="BL27" s="25"/>
      <c r="BM27" s="25"/>
      <c r="BN27" s="25"/>
    </row>
    <row r="28" spans="1:66" x14ac:dyDescent="0.25">
      <c r="B28" s="7581" t="s">
        <v>529</v>
      </c>
      <c r="C28" s="62" t="s">
        <v>218</v>
      </c>
      <c r="D28" s="7548">
        <f t="shared" si="81"/>
        <v>15</v>
      </c>
      <c r="E28" s="1198">
        <f t="shared" si="81"/>
        <v>15.000000000000002</v>
      </c>
      <c r="F28" s="1198">
        <f t="shared" ref="F28:BF28" si="86">+F11/F$67*1000</f>
        <v>15.943062108919742</v>
      </c>
      <c r="G28" s="5590">
        <f t="shared" si="86"/>
        <v>14.56</v>
      </c>
      <c r="H28" s="1198">
        <f t="shared" si="86"/>
        <v>15.555605590673954</v>
      </c>
      <c r="I28" s="1199">
        <f t="shared" si="86"/>
        <v>14.750116526497976</v>
      </c>
      <c r="J28" s="1199">
        <f t="shared" si="86"/>
        <v>15.748842432570461</v>
      </c>
      <c r="K28" s="5702">
        <f t="shared" si="86"/>
        <v>14.56</v>
      </c>
      <c r="L28" s="1198">
        <f t="shared" si="86"/>
        <v>17.970946703731855</v>
      </c>
      <c r="M28" s="1201">
        <f t="shared" si="86"/>
        <v>14.682548753063957</v>
      </c>
      <c r="N28" s="1201">
        <f t="shared" si="86"/>
        <v>16.519397505087145</v>
      </c>
      <c r="O28" s="5837">
        <f t="shared" si="86"/>
        <v>14.560000000000002</v>
      </c>
      <c r="P28" s="1198">
        <f t="shared" si="86"/>
        <v>14.164740174891948</v>
      </c>
      <c r="Q28" s="1199">
        <f t="shared" si="86"/>
        <v>14.650148783321965</v>
      </c>
      <c r="R28" s="1199">
        <f t="shared" si="86"/>
        <v>15.88755050409697</v>
      </c>
      <c r="S28" s="5909">
        <f t="shared" si="86"/>
        <v>14.560000000000002</v>
      </c>
      <c r="T28" s="1198">
        <f t="shared" si="86"/>
        <v>16.814595789435224</v>
      </c>
      <c r="U28" s="1199">
        <f t="shared" si="86"/>
        <v>14.631298561138676</v>
      </c>
      <c r="V28" s="1199">
        <f t="shared" si="86"/>
        <v>16.077894061119039</v>
      </c>
      <c r="W28" s="6007">
        <f t="shared" si="86"/>
        <v>14.56</v>
      </c>
      <c r="X28" s="1198">
        <f t="shared" si="86"/>
        <v>14.298902834699454</v>
      </c>
      <c r="Y28" s="1201">
        <f t="shared" si="86"/>
        <v>14.560000000000002</v>
      </c>
      <c r="Z28" s="1201">
        <f t="shared" si="86"/>
        <v>15.086645044695883</v>
      </c>
      <c r="AA28" s="1140">
        <f t="shared" si="86"/>
        <v>14.623923850283861</v>
      </c>
      <c r="AB28" s="1140">
        <f t="shared" si="86"/>
        <v>15.780377695602567</v>
      </c>
      <c r="AC28" s="6138">
        <f t="shared" si="86"/>
        <v>14.56</v>
      </c>
      <c r="AD28" s="1198">
        <f t="shared" si="86"/>
        <v>11.385048167511478</v>
      </c>
      <c r="AE28" s="1199">
        <f t="shared" si="86"/>
        <v>14.613674508243209</v>
      </c>
      <c r="AF28" s="1199">
        <f t="shared" si="86"/>
        <v>15.259243118571431</v>
      </c>
      <c r="AG28" s="6300">
        <f t="shared" si="86"/>
        <v>14.56</v>
      </c>
      <c r="AH28" s="1198">
        <f t="shared" si="86"/>
        <v>16.231301507894461</v>
      </c>
      <c r="AI28" s="1199">
        <f t="shared" si="86"/>
        <v>14.6063777331483</v>
      </c>
      <c r="AJ28" s="1199">
        <f t="shared" si="86"/>
        <v>15.381626966323038</v>
      </c>
      <c r="AK28" s="6564">
        <f t="shared" si="86"/>
        <v>14.560000000000002</v>
      </c>
      <c r="AL28" s="1198">
        <f t="shared" si="86"/>
        <v>16.22619644980913</v>
      </c>
      <c r="AM28" s="1201">
        <f t="shared" si="86"/>
        <v>14.56</v>
      </c>
      <c r="AN28" s="1201">
        <f t="shared" si="86"/>
        <v>14.80891549417669</v>
      </c>
      <c r="AO28" s="1199">
        <f t="shared" si="86"/>
        <v>14.600682747737606</v>
      </c>
      <c r="AP28" s="1199">
        <f t="shared" si="86"/>
        <v>15.474808969779572</v>
      </c>
      <c r="AQ28" s="6643">
        <f t="shared" si="86"/>
        <v>14.56</v>
      </c>
      <c r="AR28" s="1198">
        <f t="shared" si="86"/>
        <v>15.832833215123577</v>
      </c>
      <c r="AS28" s="1199">
        <f t="shared" si="86"/>
        <v>14.596217176552065</v>
      </c>
      <c r="AT28" s="1199">
        <f t="shared" si="86"/>
        <v>15.510905241479687</v>
      </c>
      <c r="AU28" s="5022">
        <f t="shared" si="86"/>
        <v>14.560000000000002</v>
      </c>
      <c r="AV28" s="1198">
        <f t="shared" si="86"/>
        <v>13.940148517052782</v>
      </c>
      <c r="AW28" s="1199">
        <f t="shared" si="86"/>
        <v>14.592962987610973</v>
      </c>
      <c r="AX28" s="1199">
        <f t="shared" si="86"/>
        <v>15.385729081979262</v>
      </c>
      <c r="AY28" s="1198">
        <f t="shared" si="86"/>
        <v>14.56</v>
      </c>
      <c r="AZ28" s="1198">
        <f t="shared" si="86"/>
        <v>15.754499404993838</v>
      </c>
      <c r="BA28" s="1201">
        <f t="shared" si="86"/>
        <v>14.560000000000002</v>
      </c>
      <c r="BB28" s="1201">
        <f t="shared" si="86"/>
        <v>15.243287657808592</v>
      </c>
      <c r="BC28" s="1140">
        <f t="shared" si="86"/>
        <v>14.56</v>
      </c>
      <c r="BD28" s="1140">
        <f t="shared" si="86"/>
        <v>15.029519707162207</v>
      </c>
      <c r="BE28" s="1214">
        <f t="shared" si="86"/>
        <v>14.589968993927139</v>
      </c>
      <c r="BF28" s="1214">
        <f t="shared" si="86"/>
        <v>15.418072927923683</v>
      </c>
      <c r="BG28" s="25"/>
      <c r="BH28" s="25"/>
      <c r="BI28" s="25"/>
      <c r="BJ28" s="25"/>
      <c r="BK28" s="25"/>
      <c r="BL28" s="25"/>
      <c r="BM28" s="25"/>
      <c r="BN28" s="25"/>
    </row>
    <row r="29" spans="1:66" x14ac:dyDescent="0.25">
      <c r="B29" s="1197" t="s">
        <v>41</v>
      </c>
      <c r="C29" s="62" t="s">
        <v>218</v>
      </c>
      <c r="D29" s="8041">
        <f t="shared" si="81"/>
        <v>9.0567340438111668</v>
      </c>
      <c r="E29" s="8044">
        <f t="shared" si="81"/>
        <v>9.0567340438111668</v>
      </c>
      <c r="F29" s="1198">
        <f t="shared" ref="F29:BF30" si="87">+F12/F$67*1000</f>
        <v>9.185082091494392</v>
      </c>
      <c r="G29" s="5590">
        <f t="shared" si="87"/>
        <v>10.414589223195623</v>
      </c>
      <c r="H29" s="1198">
        <f t="shared" si="87"/>
        <v>0</v>
      </c>
      <c r="I29" s="1199">
        <f t="shared" si="87"/>
        <v>9.8278830636686756</v>
      </c>
      <c r="J29" s="1214">
        <f t="shared" si="87"/>
        <v>4.5808914609474414</v>
      </c>
      <c r="K29" s="5702">
        <f t="shared" si="87"/>
        <v>10.414589223195621</v>
      </c>
      <c r="L29" s="1198">
        <f t="shared" si="87"/>
        <v>4.6668119508655925</v>
      </c>
      <c r="M29" s="1212">
        <f t="shared" si="87"/>
        <v>10.036399543479712</v>
      </c>
      <c r="N29" s="1212">
        <f t="shared" si="87"/>
        <v>4.6106859535816449</v>
      </c>
      <c r="O29" s="5837">
        <f t="shared" si="87"/>
        <v>10.414589223195621</v>
      </c>
      <c r="P29" s="1198">
        <f t="shared" si="87"/>
        <v>5.9227057995778472</v>
      </c>
      <c r="Q29" s="1214">
        <f t="shared" si="87"/>
        <v>10.136386967857124</v>
      </c>
      <c r="R29" s="1214">
        <f t="shared" si="87"/>
        <v>4.9627523856274376</v>
      </c>
      <c r="S29" s="5909">
        <f t="shared" si="87"/>
        <v>10.414589223195621</v>
      </c>
      <c r="T29" s="1198">
        <f t="shared" si="87"/>
        <v>9.9196459096140455</v>
      </c>
      <c r="U29" s="1214">
        <f t="shared" si="87"/>
        <v>10.194559403821048</v>
      </c>
      <c r="V29" s="1214">
        <f t="shared" si="87"/>
        <v>5.9805157679103349</v>
      </c>
      <c r="W29" s="6007">
        <f t="shared" si="87"/>
        <v>10.414589223195623</v>
      </c>
      <c r="X29" s="1198">
        <f t="shared" si="87"/>
        <v>8.7010117827868854</v>
      </c>
      <c r="Y29" s="1212">
        <f t="shared" si="87"/>
        <v>10.414589223195621</v>
      </c>
      <c r="Z29" s="1212">
        <f t="shared" si="87"/>
        <v>8.1484666366185294</v>
      </c>
      <c r="AA29" s="1140">
        <f t="shared" si="87"/>
        <v>10.217318015936209</v>
      </c>
      <c r="AB29" s="1140">
        <f t="shared" si="87"/>
        <v>6.4354882684645451</v>
      </c>
      <c r="AC29" s="6138">
        <f t="shared" si="87"/>
        <v>10.414589223195623</v>
      </c>
      <c r="AD29" s="1198">
        <f t="shared" si="87"/>
        <v>12.552745415461372</v>
      </c>
      <c r="AE29" s="1199">
        <f t="shared" si="87"/>
        <v>10.248947839061628</v>
      </c>
      <c r="AF29" s="1214">
        <f t="shared" si="87"/>
        <v>7.1607841070396807</v>
      </c>
      <c r="AG29" s="6300">
        <f t="shared" si="87"/>
        <v>10.414589223195623</v>
      </c>
      <c r="AH29" s="1198">
        <f t="shared" si="87"/>
        <v>9.729496512891652</v>
      </c>
      <c r="AI29" s="1199">
        <f t="shared" si="87"/>
        <v>10.271465938733053</v>
      </c>
      <c r="AJ29" s="1214">
        <f t="shared" si="87"/>
        <v>7.4841894821163661</v>
      </c>
      <c r="AK29" s="6564">
        <f t="shared" si="87"/>
        <v>10.414589223195623</v>
      </c>
      <c r="AL29" s="1198">
        <f t="shared" si="87"/>
        <v>10.978256952202997</v>
      </c>
      <c r="AM29" s="1212">
        <f t="shared" si="87"/>
        <v>10.414589223195621</v>
      </c>
      <c r="AN29" s="1212">
        <f t="shared" si="87"/>
        <v>10.995101943177874</v>
      </c>
      <c r="AO29" s="1199">
        <f t="shared" si="87"/>
        <v>10.289040860179487</v>
      </c>
      <c r="AP29" s="1214">
        <f t="shared" si="87"/>
        <v>7.8696926449006517</v>
      </c>
      <c r="AQ29" s="6643">
        <f t="shared" si="87"/>
        <v>10.414589223195621</v>
      </c>
      <c r="AR29" s="1198">
        <f t="shared" si="87"/>
        <v>9.8859730481750248</v>
      </c>
      <c r="AS29" s="1199">
        <f t="shared" si="87"/>
        <v>10.302821766914029</v>
      </c>
      <c r="AT29" s="1214">
        <f t="shared" si="87"/>
        <v>8.0729755404215329</v>
      </c>
      <c r="AU29" s="180">
        <f t="shared" si="87"/>
        <v>10.414589223195623</v>
      </c>
      <c r="AV29" s="1198">
        <f t="shared" si="87"/>
        <v>13.851216150117835</v>
      </c>
      <c r="AW29" s="1199">
        <f t="shared" si="87"/>
        <v>10.312864306251196</v>
      </c>
      <c r="AX29" s="1214">
        <f t="shared" si="87"/>
        <v>8.5334529376805328</v>
      </c>
      <c r="AY29" s="1198">
        <f t="shared" si="87"/>
        <v>10.414589223195621</v>
      </c>
      <c r="AZ29" s="1198">
        <f t="shared" si="87"/>
        <v>8.8671714565540185</v>
      </c>
      <c r="BA29" s="1212">
        <f t="shared" si="87"/>
        <v>10.414589223195621</v>
      </c>
      <c r="BB29" s="1212">
        <f t="shared" si="87"/>
        <v>10.697721751814363</v>
      </c>
      <c r="BC29" s="1140">
        <f t="shared" si="87"/>
        <v>10.414589223195621</v>
      </c>
      <c r="BD29" s="1140">
        <f t="shared" si="87"/>
        <v>10.844071724011197</v>
      </c>
      <c r="BE29" s="1214">
        <f t="shared" si="87"/>
        <v>10.322103874048102</v>
      </c>
      <c r="BF29" s="1214">
        <f t="shared" si="87"/>
        <v>8.5627224848474768</v>
      </c>
      <c r="BG29" s="25"/>
      <c r="BH29" s="25"/>
      <c r="BI29" s="25"/>
      <c r="BJ29" s="25"/>
      <c r="BK29" s="25"/>
      <c r="BL29" s="25"/>
      <c r="BM29" s="25"/>
      <c r="BN29" s="25"/>
    </row>
    <row r="30" spans="1:66" s="4487" customFormat="1" x14ac:dyDescent="0.25">
      <c r="B30" s="7033" t="s">
        <v>1472</v>
      </c>
      <c r="C30" s="62" t="s">
        <v>218</v>
      </c>
      <c r="D30" s="7865"/>
      <c r="E30" s="8045"/>
      <c r="F30" s="1198">
        <f t="shared" si="87"/>
        <v>1.7906242574425473</v>
      </c>
      <c r="G30" s="7040"/>
      <c r="H30" s="7035"/>
      <c r="I30" s="7036"/>
      <c r="J30" s="7675"/>
      <c r="K30" s="7040"/>
      <c r="L30" s="7035"/>
      <c r="M30" s="7676"/>
      <c r="N30" s="7676"/>
      <c r="O30" s="7040"/>
      <c r="P30" s="7035"/>
      <c r="Q30" s="7675"/>
      <c r="R30" s="7675"/>
      <c r="S30" s="7040"/>
      <c r="T30" s="7035"/>
      <c r="U30" s="7675"/>
      <c r="V30" s="7675"/>
      <c r="W30" s="7040"/>
      <c r="X30" s="7035"/>
      <c r="Y30" s="7676"/>
      <c r="Z30" s="7676"/>
      <c r="AA30" s="7038"/>
      <c r="AB30" s="7038"/>
      <c r="AC30" s="7040"/>
      <c r="AD30" s="7035"/>
      <c r="AE30" s="7036"/>
      <c r="AF30" s="7675"/>
      <c r="AG30" s="7040"/>
      <c r="AH30" s="7035"/>
      <c r="AI30" s="7036"/>
      <c r="AJ30" s="7675"/>
      <c r="AK30" s="7040"/>
      <c r="AL30" s="7035"/>
      <c r="AM30" s="7676"/>
      <c r="AN30" s="7676"/>
      <c r="AO30" s="7036"/>
      <c r="AP30" s="7675"/>
      <c r="AQ30" s="7040"/>
      <c r="AR30" s="7035"/>
      <c r="AS30" s="7036"/>
      <c r="AT30" s="7675"/>
      <c r="AU30" s="7677"/>
      <c r="AV30" s="7035"/>
      <c r="AW30" s="7036"/>
      <c r="AX30" s="7675"/>
      <c r="AY30" s="7035"/>
      <c r="AZ30" s="7035"/>
      <c r="BA30" s="7676"/>
      <c r="BB30" s="7676"/>
      <c r="BC30" s="7038"/>
      <c r="BD30" s="7038"/>
      <c r="BE30" s="7675"/>
      <c r="BF30" s="7675"/>
      <c r="BG30" s="25"/>
      <c r="BH30" s="25"/>
      <c r="BI30" s="25"/>
      <c r="BJ30" s="25"/>
      <c r="BK30" s="25"/>
      <c r="BL30" s="25"/>
      <c r="BM30" s="25"/>
      <c r="BN30" s="25"/>
    </row>
    <row r="31" spans="1:66" x14ac:dyDescent="0.25">
      <c r="B31" s="7581" t="s">
        <v>573</v>
      </c>
      <c r="C31" s="62" t="s">
        <v>218</v>
      </c>
      <c r="D31" s="7548">
        <f t="shared" ref="D31:D37" si="88">+D14/D$67*1000</f>
        <v>15</v>
      </c>
      <c r="E31" s="1198">
        <f t="shared" ref="E31:E37" si="89">+E14/E$67*1000</f>
        <v>15.000000000000002</v>
      </c>
      <c r="F31" s="1198">
        <f t="shared" ref="F31:BF31" si="90">+F14/F$67*1000</f>
        <v>18.438055150095614</v>
      </c>
      <c r="G31" s="5590">
        <f t="shared" si="90"/>
        <v>0</v>
      </c>
      <c r="H31" s="1198">
        <f t="shared" si="90"/>
        <v>1.9645038361299836</v>
      </c>
      <c r="I31" s="1199">
        <f t="shared" si="90"/>
        <v>6.4812452215218768</v>
      </c>
      <c r="J31" s="1214">
        <f t="shared" si="90"/>
        <v>10.180385827593698</v>
      </c>
      <c r="K31" s="5702">
        <f t="shared" si="90"/>
        <v>0</v>
      </c>
      <c r="L31" s="1198">
        <f t="shared" si="90"/>
        <v>0</v>
      </c>
      <c r="M31" s="1212">
        <f t="shared" si="90"/>
        <v>4.1777983999076342</v>
      </c>
      <c r="N31" s="1212">
        <f t="shared" si="90"/>
        <v>6.6501518770827808</v>
      </c>
      <c r="O31" s="5837">
        <f t="shared" si="90"/>
        <v>0</v>
      </c>
      <c r="P31" s="1198">
        <f t="shared" si="90"/>
        <v>2.6258920494522062</v>
      </c>
      <c r="Q31" s="1214">
        <f t="shared" si="90"/>
        <v>3.0732539768852161</v>
      </c>
      <c r="R31" s="1214">
        <f t="shared" si="90"/>
        <v>5.5702849806614489</v>
      </c>
      <c r="S31" s="5909">
        <f t="shared" si="90"/>
        <v>0</v>
      </c>
      <c r="T31" s="1198">
        <f t="shared" si="90"/>
        <v>1.6023842642733552</v>
      </c>
      <c r="U31" s="1214">
        <f t="shared" si="90"/>
        <v>2.4306327660912679</v>
      </c>
      <c r="V31" s="1214">
        <f t="shared" si="90"/>
        <v>4.7555843956817689</v>
      </c>
      <c r="W31" s="6007">
        <f t="shared" si="90"/>
        <v>0</v>
      </c>
      <c r="X31" s="1198">
        <f t="shared" si="90"/>
        <v>1.4995303961748634</v>
      </c>
      <c r="Y31" s="1212">
        <f t="shared" si="90"/>
        <v>0</v>
      </c>
      <c r="Z31" s="1212">
        <f t="shared" si="90"/>
        <v>1.9214082598927438</v>
      </c>
      <c r="AA31" s="1140">
        <f t="shared" si="90"/>
        <v>2.1792221687680677</v>
      </c>
      <c r="AB31" s="1215">
        <f t="shared" si="90"/>
        <v>4.2110458181597501</v>
      </c>
      <c r="AC31" s="180">
        <f t="shared" si="90"/>
        <v>0</v>
      </c>
      <c r="AD31" s="1211">
        <f t="shared" si="90"/>
        <v>1.9638544624611876</v>
      </c>
      <c r="AE31" s="1214">
        <f t="shared" si="90"/>
        <v>1.8298127810185103</v>
      </c>
      <c r="AF31" s="1214">
        <f t="shared" si="90"/>
        <v>3.9446063830331188</v>
      </c>
      <c r="AG31" s="180">
        <f t="shared" si="90"/>
        <v>0</v>
      </c>
      <c r="AH31" s="1211">
        <f t="shared" si="90"/>
        <v>1.201509532885862</v>
      </c>
      <c r="AI31" s="1199">
        <f t="shared" si="90"/>
        <v>1.5810590846011436</v>
      </c>
      <c r="AJ31" s="1214">
        <f t="shared" si="90"/>
        <v>3.5992457020660682</v>
      </c>
      <c r="AK31" s="180">
        <f t="shared" si="90"/>
        <v>0</v>
      </c>
      <c r="AL31" s="1211">
        <f t="shared" si="90"/>
        <v>1.7160457205590041</v>
      </c>
      <c r="AM31" s="1212">
        <f t="shared" si="90"/>
        <v>0</v>
      </c>
      <c r="AN31" s="1212">
        <f t="shared" si="90"/>
        <v>1.6054579736611541</v>
      </c>
      <c r="AO31" s="1199">
        <f t="shared" si="90"/>
        <v>1.3869118546911139</v>
      </c>
      <c r="AP31" s="1214">
        <f t="shared" si="90"/>
        <v>3.3914707935270867</v>
      </c>
      <c r="AQ31" s="180">
        <f t="shared" si="90"/>
        <v>0</v>
      </c>
      <c r="AR31" s="1211">
        <f t="shared" si="90"/>
        <v>0</v>
      </c>
      <c r="AS31" s="1199">
        <f t="shared" si="90"/>
        <v>1.2346764733658071</v>
      </c>
      <c r="AT31" s="1214">
        <f t="shared" si="90"/>
        <v>3.0495401762066559</v>
      </c>
      <c r="AU31" s="5022">
        <f t="shared" si="90"/>
        <v>0</v>
      </c>
      <c r="AV31" s="1198">
        <f t="shared" si="90"/>
        <v>1.9279266689111501</v>
      </c>
      <c r="AW31" s="1214">
        <f t="shared" si="90"/>
        <v>1.1237382140104821</v>
      </c>
      <c r="AX31" s="1214">
        <f t="shared" si="90"/>
        <v>2.9601569705811777</v>
      </c>
      <c r="AY31" s="1198">
        <f t="shared" si="90"/>
        <v>0</v>
      </c>
      <c r="AZ31" s="1198">
        <f t="shared" si="90"/>
        <v>1.7191992164874628</v>
      </c>
      <c r="BA31" s="1212">
        <f t="shared" si="90"/>
        <v>0</v>
      </c>
      <c r="BB31" s="1212">
        <f t="shared" si="90"/>
        <v>1.1872746769387914</v>
      </c>
      <c r="BC31" s="1140">
        <f t="shared" si="90"/>
        <v>0</v>
      </c>
      <c r="BD31" s="1140">
        <f t="shared" si="90"/>
        <v>1.3930755864340949</v>
      </c>
      <c r="BE31" s="1214">
        <f t="shared" si="90"/>
        <v>1.021670247516129</v>
      </c>
      <c r="BF31" s="1214">
        <f t="shared" si="90"/>
        <v>2.8513159280215912</v>
      </c>
      <c r="BG31" s="25"/>
      <c r="BH31" s="25"/>
      <c r="BI31" s="25"/>
      <c r="BJ31" s="25"/>
      <c r="BK31" s="25"/>
      <c r="BL31" s="25"/>
      <c r="BM31" s="25"/>
      <c r="BN31" s="25"/>
    </row>
    <row r="32" spans="1:66" x14ac:dyDescent="0.25">
      <c r="B32" s="7581" t="s">
        <v>42</v>
      </c>
      <c r="C32" s="62" t="s">
        <v>218</v>
      </c>
      <c r="D32" s="7548">
        <f t="shared" si="88"/>
        <v>4</v>
      </c>
      <c r="E32" s="1198">
        <f t="shared" si="89"/>
        <v>3.9999999999999991</v>
      </c>
      <c r="F32" s="1198">
        <f t="shared" ref="F32:BF32" si="91">+F15/F$67*1000</f>
        <v>0</v>
      </c>
      <c r="G32" s="5590">
        <f t="shared" si="91"/>
        <v>0</v>
      </c>
      <c r="H32" s="1198">
        <f t="shared" si="91"/>
        <v>0</v>
      </c>
      <c r="I32" s="1199">
        <f t="shared" si="91"/>
        <v>1.7283320590725004</v>
      </c>
      <c r="J32" s="1214">
        <f t="shared" si="91"/>
        <v>0</v>
      </c>
      <c r="K32" s="5702">
        <f t="shared" si="91"/>
        <v>0</v>
      </c>
      <c r="L32" s="1198">
        <f t="shared" si="91"/>
        <v>0</v>
      </c>
      <c r="M32" s="1212">
        <f t="shared" si="91"/>
        <v>1.1140795733087023</v>
      </c>
      <c r="N32" s="1212">
        <f t="shared" si="91"/>
        <v>0</v>
      </c>
      <c r="O32" s="5837">
        <f t="shared" si="91"/>
        <v>0</v>
      </c>
      <c r="P32" s="1198">
        <f t="shared" si="91"/>
        <v>0</v>
      </c>
      <c r="Q32" s="1214">
        <f t="shared" si="91"/>
        <v>0.81953439383605753</v>
      </c>
      <c r="R32" s="1214">
        <f t="shared" si="91"/>
        <v>0</v>
      </c>
      <c r="S32" s="5909">
        <f t="shared" si="91"/>
        <v>0</v>
      </c>
      <c r="T32" s="1198">
        <f t="shared" si="91"/>
        <v>0</v>
      </c>
      <c r="U32" s="1214">
        <f t="shared" si="91"/>
        <v>0.64816873762433802</v>
      </c>
      <c r="V32" s="1214">
        <f t="shared" si="91"/>
        <v>0</v>
      </c>
      <c r="W32" s="6007">
        <f t="shared" si="91"/>
        <v>0</v>
      </c>
      <c r="X32" s="1198">
        <f t="shared" si="91"/>
        <v>0</v>
      </c>
      <c r="Y32" s="1212">
        <f t="shared" si="91"/>
        <v>0</v>
      </c>
      <c r="Z32" s="1212">
        <f t="shared" si="91"/>
        <v>0</v>
      </c>
      <c r="AA32" s="1140">
        <f t="shared" si="91"/>
        <v>0.58112591167148464</v>
      </c>
      <c r="AB32" s="1140">
        <f t="shared" si="91"/>
        <v>0</v>
      </c>
      <c r="AC32" s="6138">
        <f t="shared" si="91"/>
        <v>0</v>
      </c>
      <c r="AD32" s="1198">
        <f t="shared" si="91"/>
        <v>0</v>
      </c>
      <c r="AE32" s="1199">
        <f t="shared" si="91"/>
        <v>0.48795007493826942</v>
      </c>
      <c r="AF32" s="1214">
        <f t="shared" si="91"/>
        <v>0</v>
      </c>
      <c r="AG32" s="6300">
        <f t="shared" si="91"/>
        <v>0</v>
      </c>
      <c r="AH32" s="1198">
        <f t="shared" si="91"/>
        <v>1.7176124913300164</v>
      </c>
      <c r="AI32" s="1199">
        <f t="shared" si="91"/>
        <v>0.42161575589363826</v>
      </c>
      <c r="AJ32" s="1214">
        <f t="shared" si="91"/>
        <v>0.21625041041164933</v>
      </c>
      <c r="AK32" s="6564">
        <f t="shared" si="91"/>
        <v>0</v>
      </c>
      <c r="AL32" s="1198">
        <f t="shared" si="91"/>
        <v>5.73308974170601</v>
      </c>
      <c r="AM32" s="1212">
        <f t="shared" si="91"/>
        <v>0</v>
      </c>
      <c r="AN32" s="1212">
        <f t="shared" si="91"/>
        <v>2.6226045759928116</v>
      </c>
      <c r="AO32" s="1199">
        <f t="shared" si="91"/>
        <v>0.36984316125096361</v>
      </c>
      <c r="AP32" s="1214">
        <f t="shared" si="91"/>
        <v>0.82492755502728654</v>
      </c>
      <c r="AQ32" s="6643">
        <f t="shared" si="91"/>
        <v>0</v>
      </c>
      <c r="AR32" s="1198">
        <f t="shared" si="91"/>
        <v>1.8849909978722243</v>
      </c>
      <c r="AS32" s="1199">
        <f t="shared" si="91"/>
        <v>0.32924705956421524</v>
      </c>
      <c r="AT32" s="1214">
        <f t="shared" si="91"/>
        <v>0.93180394272981149</v>
      </c>
      <c r="AU32" s="180">
        <f t="shared" si="91"/>
        <v>0</v>
      </c>
      <c r="AV32" s="1198">
        <f t="shared" si="91"/>
        <v>0</v>
      </c>
      <c r="AW32" s="1199">
        <f t="shared" si="91"/>
        <v>0.29966352373612848</v>
      </c>
      <c r="AX32" s="1214">
        <f t="shared" si="91"/>
        <v>0.85754697018632153</v>
      </c>
      <c r="AY32" s="1198">
        <f t="shared" si="91"/>
        <v>0</v>
      </c>
      <c r="AZ32" s="1198">
        <f t="shared" si="91"/>
        <v>0</v>
      </c>
      <c r="BA32" s="1212">
        <f t="shared" si="91"/>
        <v>0</v>
      </c>
      <c r="BB32" s="1212">
        <f t="shared" si="91"/>
        <v>0.65111650933706733</v>
      </c>
      <c r="BC32" s="1140">
        <f t="shared" si="91"/>
        <v>0</v>
      </c>
      <c r="BD32" s="1140">
        <f t="shared" si="91"/>
        <v>1.6213466461142954</v>
      </c>
      <c r="BE32" s="1214">
        <f t="shared" si="91"/>
        <v>0.27244539933763434</v>
      </c>
      <c r="BF32" s="1214">
        <f t="shared" si="91"/>
        <v>0.78233384873154765</v>
      </c>
      <c r="BG32" s="25"/>
      <c r="BH32" s="25"/>
      <c r="BI32" s="25"/>
      <c r="BJ32" s="25"/>
      <c r="BK32" s="25"/>
      <c r="BL32" s="25"/>
      <c r="BM32" s="25"/>
      <c r="BN32" s="25"/>
    </row>
    <row r="33" spans="2:67" ht="15" customHeight="1" x14ac:dyDescent="0.25">
      <c r="B33" s="7581" t="s">
        <v>1601</v>
      </c>
      <c r="C33" s="62" t="s">
        <v>218</v>
      </c>
      <c r="D33" s="7548">
        <f t="shared" si="88"/>
        <v>0.5</v>
      </c>
      <c r="E33" s="1198">
        <f t="shared" si="89"/>
        <v>0.49999999999999989</v>
      </c>
      <c r="F33" s="1198">
        <f t="shared" ref="F33:BF33" si="92">+F16/F$67*1000</f>
        <v>1.3069011168064089</v>
      </c>
      <c r="G33" s="5590">
        <f t="shared" si="92"/>
        <v>10</v>
      </c>
      <c r="H33" s="1198">
        <f t="shared" si="92"/>
        <v>28.471233246835123</v>
      </c>
      <c r="I33" s="1199">
        <f t="shared" si="92"/>
        <v>5.8952113597028131</v>
      </c>
      <c r="J33" s="1199">
        <f t="shared" si="92"/>
        <v>14.923520133631673</v>
      </c>
      <c r="K33" s="5702">
        <f t="shared" si="92"/>
        <v>10</v>
      </c>
      <c r="L33" s="1198">
        <f t="shared" si="92"/>
        <v>8.5575936684437401</v>
      </c>
      <c r="M33" s="1201">
        <f t="shared" si="92"/>
        <v>7.3540610133918323</v>
      </c>
      <c r="N33" s="1201">
        <f t="shared" si="92"/>
        <v>12.716019345896369</v>
      </c>
      <c r="O33" s="5837">
        <f t="shared" si="92"/>
        <v>10</v>
      </c>
      <c r="P33" s="1198">
        <f t="shared" si="92"/>
        <v>3.2390189968841088</v>
      </c>
      <c r="Q33" s="1199">
        <f t="shared" si="92"/>
        <v>8.0536058146393632</v>
      </c>
      <c r="R33" s="1199">
        <f t="shared" si="92"/>
        <v>10.17296810352733</v>
      </c>
      <c r="S33" s="5909">
        <f t="shared" si="92"/>
        <v>10</v>
      </c>
      <c r="T33" s="1198">
        <f t="shared" si="92"/>
        <v>11.216689849913488</v>
      </c>
      <c r="U33" s="1199">
        <f t="shared" si="92"/>
        <v>8.4605992481421968</v>
      </c>
      <c r="V33" s="1199">
        <f t="shared" si="92"/>
        <v>10.387268001159558</v>
      </c>
      <c r="W33" s="6007">
        <f t="shared" si="92"/>
        <v>10</v>
      </c>
      <c r="X33" s="1198">
        <f t="shared" si="92"/>
        <v>0.49895406420765026</v>
      </c>
      <c r="Y33" s="1201">
        <f t="shared" si="92"/>
        <v>10</v>
      </c>
      <c r="Z33" s="1201">
        <f t="shared" si="92"/>
        <v>4.9951424100048181</v>
      </c>
      <c r="AA33" s="1140">
        <f t="shared" si="92"/>
        <v>8.6198259597802238</v>
      </c>
      <c r="AB33" s="1140">
        <f t="shared" si="92"/>
        <v>8.7335582020793296</v>
      </c>
      <c r="AC33" s="6138">
        <f t="shared" si="92"/>
        <v>10</v>
      </c>
      <c r="AD33" s="1198">
        <f t="shared" si="92"/>
        <v>5.2745415461373106</v>
      </c>
      <c r="AE33" s="1199">
        <f t="shared" si="92"/>
        <v>8.8411185720216068</v>
      </c>
      <c r="AF33" s="1199">
        <f t="shared" si="92"/>
        <v>8.3234380574082021</v>
      </c>
      <c r="AG33" s="6300">
        <f t="shared" si="92"/>
        <v>10</v>
      </c>
      <c r="AH33" s="1198">
        <f t="shared" si="92"/>
        <v>17.81784023200057</v>
      </c>
      <c r="AI33" s="1199">
        <f t="shared" si="92"/>
        <v>8.9986625797526081</v>
      </c>
      <c r="AJ33" s="1199">
        <f t="shared" si="92"/>
        <v>9.5187998617922656</v>
      </c>
      <c r="AK33" s="6564">
        <f t="shared" si="92"/>
        <v>10</v>
      </c>
      <c r="AL33" s="1198">
        <f t="shared" si="92"/>
        <v>28.81515221242373</v>
      </c>
      <c r="AM33" s="1201">
        <f t="shared" si="92"/>
        <v>10</v>
      </c>
      <c r="AN33" s="1201">
        <f t="shared" si="92"/>
        <v>17.998438300723379</v>
      </c>
      <c r="AO33" s="1199">
        <f t="shared" si="92"/>
        <v>9.1216224920289601</v>
      </c>
      <c r="AP33" s="1199">
        <f t="shared" si="92"/>
        <v>11.647781321095326</v>
      </c>
      <c r="AQ33" s="6643">
        <f t="shared" si="92"/>
        <v>9.9999999999999982</v>
      </c>
      <c r="AR33" s="1198">
        <f t="shared" si="92"/>
        <v>23.588302689726664</v>
      </c>
      <c r="AS33" s="1199">
        <f t="shared" si="92"/>
        <v>9.2180382335349904</v>
      </c>
      <c r="AT33" s="1199">
        <f t="shared" si="92"/>
        <v>12.85163359972805</v>
      </c>
      <c r="AU33" s="5022">
        <f t="shared" si="92"/>
        <v>10</v>
      </c>
      <c r="AV33" s="1198">
        <f t="shared" si="92"/>
        <v>19.295147468921314</v>
      </c>
      <c r="AW33" s="1199">
        <f t="shared" si="92"/>
        <v>9.2882991311266938</v>
      </c>
      <c r="AX33" s="1199">
        <f t="shared" si="92"/>
        <v>13.365127705651812</v>
      </c>
      <c r="AY33" s="1198">
        <f t="shared" si="92"/>
        <v>9.9999999999999982</v>
      </c>
      <c r="AZ33" s="1198">
        <f t="shared" si="92"/>
        <v>28.249628779342228</v>
      </c>
      <c r="BA33" s="1201">
        <f t="shared" si="92"/>
        <v>9.9999999999999982</v>
      </c>
      <c r="BB33" s="1201">
        <f t="shared" si="92"/>
        <v>23.982948474163585</v>
      </c>
      <c r="BC33" s="1140">
        <f t="shared" si="92"/>
        <v>10</v>
      </c>
      <c r="BD33" s="1140">
        <f t="shared" si="92"/>
        <v>21.037786277990122</v>
      </c>
      <c r="BE33" s="1214">
        <f t="shared" si="92"/>
        <v>9.3529421765731175</v>
      </c>
      <c r="BF33" s="1214">
        <f t="shared" si="92"/>
        <v>14.670606969144456</v>
      </c>
      <c r="BG33" s="25"/>
      <c r="BH33" s="25"/>
      <c r="BI33" s="25"/>
      <c r="BJ33" s="25"/>
      <c r="BK33" s="25"/>
      <c r="BL33" s="25"/>
      <c r="BM33" s="25"/>
      <c r="BN33" s="25"/>
    </row>
    <row r="34" spans="2:67" ht="15" customHeight="1" x14ac:dyDescent="0.25">
      <c r="B34" s="7582" t="s">
        <v>98</v>
      </c>
      <c r="C34" s="62" t="s">
        <v>218</v>
      </c>
      <c r="D34" s="7548">
        <f t="shared" si="88"/>
        <v>180.00000000000006</v>
      </c>
      <c r="E34" s="1198">
        <f t="shared" si="89"/>
        <v>179.99999999999997</v>
      </c>
      <c r="F34" s="1198">
        <f t="shared" ref="F34:BF34" si="93">+F17/F$67*1000</f>
        <v>211.66989148760425</v>
      </c>
      <c r="G34" s="5590">
        <f t="shared" si="93"/>
        <v>0.70000000000000007</v>
      </c>
      <c r="H34" s="1198">
        <f t="shared" si="93"/>
        <v>0.89781765576714156</v>
      </c>
      <c r="I34" s="1199">
        <f t="shared" si="93"/>
        <v>78.17248454792481</v>
      </c>
      <c r="J34" s="1199">
        <f t="shared" si="93"/>
        <v>106.01652901889635</v>
      </c>
      <c r="K34" s="5702">
        <f t="shared" si="93"/>
        <v>0.7</v>
      </c>
      <c r="L34" s="1198">
        <f t="shared" si="93"/>
        <v>0.37472692771756749</v>
      </c>
      <c r="M34" s="2995">
        <f t="shared" si="93"/>
        <v>50.638616873562576</v>
      </c>
      <c r="N34" s="1201">
        <f t="shared" si="93"/>
        <v>69.383312689846349</v>
      </c>
      <c r="O34" s="5837">
        <f t="shared" si="93"/>
        <v>0.7</v>
      </c>
      <c r="P34" s="1198">
        <f t="shared" si="93"/>
        <v>0.78902402251482562</v>
      </c>
      <c r="Q34" s="2994">
        <f t="shared" si="93"/>
        <v>37.435629203701268</v>
      </c>
      <c r="R34" s="1199">
        <f t="shared" si="93"/>
        <v>50.976772161116834</v>
      </c>
      <c r="S34" s="5909">
        <f t="shared" si="93"/>
        <v>0.7</v>
      </c>
      <c r="T34" s="1198">
        <f t="shared" si="93"/>
        <v>0.21399920141761422</v>
      </c>
      <c r="U34" s="2994">
        <f t="shared" si="93"/>
        <v>29.754163664010946</v>
      </c>
      <c r="V34" s="1199">
        <f t="shared" si="93"/>
        <v>40.554016204888256</v>
      </c>
      <c r="W34" s="6007">
        <f t="shared" si="93"/>
        <v>0.69999999999999984</v>
      </c>
      <c r="X34" s="1198">
        <f t="shared" si="93"/>
        <v>0</v>
      </c>
      <c r="Y34" s="2995">
        <f t="shared" si="93"/>
        <v>0.69999999999999984</v>
      </c>
      <c r="Z34" s="1201">
        <f t="shared" si="93"/>
        <v>0.34258337276790929</v>
      </c>
      <c r="AA34" s="2997">
        <f t="shared" si="93"/>
        <v>26.748968990674296</v>
      </c>
      <c r="AB34" s="1140">
        <f t="shared" si="93"/>
        <v>33.771811026362656</v>
      </c>
      <c r="AC34" s="6138">
        <f t="shared" si="93"/>
        <v>0.70000000000000007</v>
      </c>
      <c r="AD34" s="1198">
        <f t="shared" si="93"/>
        <v>0</v>
      </c>
      <c r="AE34" s="2994">
        <f t="shared" si="93"/>
        <v>22.572362109107925</v>
      </c>
      <c r="AF34" s="1199">
        <f t="shared" si="93"/>
        <v>29.767638337530713</v>
      </c>
      <c r="AG34" s="6300">
        <f t="shared" si="93"/>
        <v>0.7</v>
      </c>
      <c r="AH34" s="1198">
        <f t="shared" si="93"/>
        <v>0.83832596953627192</v>
      </c>
      <c r="AI34" s="2994">
        <f t="shared" si="93"/>
        <v>19.598926257932334</v>
      </c>
      <c r="AJ34" s="1199">
        <f t="shared" si="93"/>
        <v>26.12538742000196</v>
      </c>
      <c r="AK34" s="6564">
        <f t="shared" si="93"/>
        <v>0.70000000000000007</v>
      </c>
      <c r="AL34" s="1198">
        <f t="shared" si="93"/>
        <v>0.77069581634152362</v>
      </c>
      <c r="AM34" s="2995">
        <f t="shared" si="93"/>
        <v>0.69999999999999984</v>
      </c>
      <c r="AN34" s="1201">
        <f t="shared" si="93"/>
        <v>0.56886306153347976</v>
      </c>
      <c r="AO34" s="2994">
        <f t="shared" si="93"/>
        <v>17.278219703074445</v>
      </c>
      <c r="AP34" s="1199">
        <f t="shared" si="93"/>
        <v>23.327984711464993</v>
      </c>
      <c r="AQ34" s="6643">
        <f t="shared" si="93"/>
        <v>0.69999999999999984</v>
      </c>
      <c r="AR34" s="1198">
        <f t="shared" si="93"/>
        <v>1.2057395384363576</v>
      </c>
      <c r="AS34" s="1199">
        <f t="shared" si="93"/>
        <v>15.458499444965945</v>
      </c>
      <c r="AT34" s="1199">
        <f t="shared" si="93"/>
        <v>21.097603437663469</v>
      </c>
      <c r="AU34" s="5022">
        <f t="shared" si="93"/>
        <v>0.69999999999999984</v>
      </c>
      <c r="AV34" s="1198">
        <f t="shared" si="93"/>
        <v>0.70828277951760543</v>
      </c>
      <c r="AW34" s="1199">
        <f t="shared" si="93"/>
        <v>14.13241745147196</v>
      </c>
      <c r="AX34" s="1199">
        <f t="shared" si="93"/>
        <v>19.472745294375525</v>
      </c>
      <c r="AY34" s="1198">
        <f t="shared" si="93"/>
        <v>0.69999999999999984</v>
      </c>
      <c r="AZ34" s="1198">
        <f t="shared" si="93"/>
        <v>3.343618690565203</v>
      </c>
      <c r="BA34" s="1201">
        <f t="shared" si="93"/>
        <v>0.69999999999999984</v>
      </c>
      <c r="BB34" s="1201">
        <f t="shared" si="93"/>
        <v>1.8233146824417152</v>
      </c>
      <c r="BC34" s="1140">
        <f t="shared" si="93"/>
        <v>0.69999999999999984</v>
      </c>
      <c r="BD34" s="1140">
        <f t="shared" si="93"/>
        <v>1.2059603152916247</v>
      </c>
      <c r="BE34" s="1214">
        <f t="shared" si="93"/>
        <v>12.912365025309459</v>
      </c>
      <c r="BF34" s="1214">
        <f t="shared" si="93"/>
        <v>18.058103297624921</v>
      </c>
      <c r="BG34" s="25"/>
      <c r="BH34" s="25"/>
      <c r="BI34" s="25"/>
      <c r="BJ34" s="25"/>
      <c r="BK34" s="25"/>
      <c r="BL34" s="25"/>
      <c r="BM34" s="25"/>
      <c r="BN34" s="25"/>
    </row>
    <row r="35" spans="2:67" s="4487" customFormat="1" ht="15" customHeight="1" x14ac:dyDescent="0.25">
      <c r="B35" s="7583" t="s">
        <v>1272</v>
      </c>
      <c r="C35" s="5615" t="s">
        <v>218</v>
      </c>
      <c r="D35" s="7548">
        <f t="shared" si="88"/>
        <v>3.0326323422769939</v>
      </c>
      <c r="E35" s="1198">
        <f t="shared" si="89"/>
        <v>3.0326323422769921</v>
      </c>
      <c r="F35" s="1198">
        <f t="shared" ref="F35:BF35" si="94">+F18/F$67*1000</f>
        <v>2.3054640913359812</v>
      </c>
      <c r="G35" s="5612">
        <f t="shared" si="94"/>
        <v>0</v>
      </c>
      <c r="H35" s="1198">
        <f t="shared" si="94"/>
        <v>4.8408977050767508</v>
      </c>
      <c r="I35" s="1199">
        <f t="shared" si="94"/>
        <v>1.3103489251343632</v>
      </c>
      <c r="J35" s="1199">
        <f t="shared" si="94"/>
        <v>3.5763966287347597</v>
      </c>
      <c r="K35" s="5702">
        <f t="shared" si="94"/>
        <v>0</v>
      </c>
      <c r="L35" s="1198">
        <f t="shared" si="94"/>
        <v>0</v>
      </c>
      <c r="M35" s="2995">
        <f t="shared" si="94"/>
        <v>0.84464843647153054</v>
      </c>
      <c r="N35" s="1201">
        <f t="shared" si="94"/>
        <v>2.3362160488365924</v>
      </c>
      <c r="O35" s="5837">
        <f t="shared" si="94"/>
        <v>0</v>
      </c>
      <c r="P35" s="1198">
        <f t="shared" si="94"/>
        <v>0</v>
      </c>
      <c r="Q35" s="2994">
        <f t="shared" si="94"/>
        <v>0.62133662708889958</v>
      </c>
      <c r="R35" s="1199">
        <f t="shared" si="94"/>
        <v>1.7093175676040155</v>
      </c>
      <c r="S35" s="5909">
        <f t="shared" si="94"/>
        <v>0</v>
      </c>
      <c r="T35" s="1198">
        <f t="shared" si="94"/>
        <v>0</v>
      </c>
      <c r="U35" s="2994">
        <f t="shared" si="94"/>
        <v>0.49141436924310433</v>
      </c>
      <c r="V35" s="1199">
        <f t="shared" si="94"/>
        <v>1.3583556555552996</v>
      </c>
      <c r="W35" s="6007">
        <f t="shared" si="94"/>
        <v>0</v>
      </c>
      <c r="X35" s="1198">
        <f t="shared" si="94"/>
        <v>0</v>
      </c>
      <c r="Y35" s="2995">
        <f t="shared" si="94"/>
        <v>0</v>
      </c>
      <c r="Z35" s="1201">
        <f t="shared" si="94"/>
        <v>0</v>
      </c>
      <c r="AA35" s="2997">
        <f t="shared" si="94"/>
        <v>0.44058530866753676</v>
      </c>
      <c r="AB35" s="1140">
        <f t="shared" si="94"/>
        <v>1.1311858799443644</v>
      </c>
      <c r="AC35" s="6138">
        <f t="shared" si="94"/>
        <v>0</v>
      </c>
      <c r="AD35" s="1198">
        <f t="shared" si="94"/>
        <v>0</v>
      </c>
      <c r="AE35" s="2994">
        <f t="shared" si="94"/>
        <v>0.36994329466856946</v>
      </c>
      <c r="AF35" s="1199">
        <f t="shared" si="94"/>
        <v>0.99706622604336981</v>
      </c>
      <c r="AG35" s="6300">
        <f t="shared" si="94"/>
        <v>0</v>
      </c>
      <c r="AH35" s="1198">
        <f t="shared" si="94"/>
        <v>0</v>
      </c>
      <c r="AI35" s="2994">
        <f t="shared" si="94"/>
        <v>0.31965139433415218</v>
      </c>
      <c r="AJ35" s="1199">
        <f t="shared" si="94"/>
        <v>0.87153384800243405</v>
      </c>
      <c r="AK35" s="6564">
        <f t="shared" si="94"/>
        <v>0</v>
      </c>
      <c r="AL35" s="1198">
        <f t="shared" si="94"/>
        <v>0</v>
      </c>
      <c r="AM35" s="2995">
        <f t="shared" si="94"/>
        <v>0</v>
      </c>
      <c r="AN35" s="1201">
        <f t="shared" si="94"/>
        <v>0</v>
      </c>
      <c r="AO35" s="2994">
        <f t="shared" si="94"/>
        <v>0.28039958309490931</v>
      </c>
      <c r="AP35" s="1199">
        <f t="shared" si="94"/>
        <v>0.77537684538159857</v>
      </c>
      <c r="AQ35" s="6643">
        <f t="shared" si="94"/>
        <v>0</v>
      </c>
      <c r="AR35" s="1198">
        <f t="shared" si="94"/>
        <v>0</v>
      </c>
      <c r="AS35" s="1199">
        <f t="shared" si="94"/>
        <v>0.24962132035850959</v>
      </c>
      <c r="AT35" s="1199">
        <f t="shared" si="94"/>
        <v>0.69720277296932465</v>
      </c>
      <c r="AU35" s="6925">
        <f t="shared" si="94"/>
        <v>0</v>
      </c>
      <c r="AV35" s="1198">
        <f t="shared" si="94"/>
        <v>0</v>
      </c>
      <c r="AW35" s="1199">
        <f t="shared" si="94"/>
        <v>0.22719232347071813</v>
      </c>
      <c r="AX35" s="1199">
        <f t="shared" si="94"/>
        <v>0.64164154941627072</v>
      </c>
      <c r="AY35" s="1198">
        <f t="shared" si="94"/>
        <v>0</v>
      </c>
      <c r="AZ35" s="1198">
        <f t="shared" si="94"/>
        <v>5.7605021220131221</v>
      </c>
      <c r="BA35" s="1201">
        <f t="shared" si="94"/>
        <v>0</v>
      </c>
      <c r="BB35" s="1201">
        <f t="shared" si="94"/>
        <v>2.0617118993191075</v>
      </c>
      <c r="BC35" s="1140">
        <f t="shared" si="94"/>
        <v>0</v>
      </c>
      <c r="BD35" s="1140">
        <f t="shared" si="94"/>
        <v>1.04707982930876</v>
      </c>
      <c r="BE35" s="1214">
        <f t="shared" si="94"/>
        <v>0.20655668238397015</v>
      </c>
      <c r="BF35" s="1214">
        <f t="shared" si="94"/>
        <v>1.0906029420186245</v>
      </c>
      <c r="BG35" s="25"/>
      <c r="BH35" s="25"/>
      <c r="BI35" s="25"/>
      <c r="BJ35" s="25"/>
      <c r="BK35" s="25"/>
      <c r="BL35" s="25"/>
      <c r="BM35" s="25"/>
      <c r="BN35" s="25"/>
    </row>
    <row r="36" spans="2:67" s="4487" customFormat="1" ht="15" customHeight="1" x14ac:dyDescent="0.25">
      <c r="B36" s="7584" t="s">
        <v>1959</v>
      </c>
      <c r="C36" s="5615" t="s">
        <v>218</v>
      </c>
      <c r="D36" s="7548">
        <f t="shared" si="88"/>
        <v>0</v>
      </c>
      <c r="E36" s="1198">
        <f t="shared" si="89"/>
        <v>0</v>
      </c>
      <c r="F36" s="1198">
        <f t="shared" ref="F36:BF36" si="95">+F19/F$67*1000</f>
        <v>0</v>
      </c>
      <c r="G36" s="7040">
        <f t="shared" si="95"/>
        <v>170.60964576248358</v>
      </c>
      <c r="H36" s="7035">
        <f t="shared" si="95"/>
        <v>184.72527905523688</v>
      </c>
      <c r="I36" s="7036">
        <f t="shared" si="95"/>
        <v>96.892115672907821</v>
      </c>
      <c r="J36" s="7036">
        <f t="shared" si="95"/>
        <v>92.596929518886483</v>
      </c>
      <c r="K36" s="7040">
        <f t="shared" si="95"/>
        <v>170.3275582653896</v>
      </c>
      <c r="L36" s="7035">
        <f t="shared" si="95"/>
        <v>195.28853973434252</v>
      </c>
      <c r="M36" s="7037">
        <f t="shared" si="95"/>
        <v>122.99121099363194</v>
      </c>
      <c r="N36" s="7037">
        <f t="shared" si="95"/>
        <v>128.20711315579936</v>
      </c>
      <c r="O36" s="7040">
        <f t="shared" si="95"/>
        <v>170.43530503385097</v>
      </c>
      <c r="P36" s="7035">
        <f t="shared" si="95"/>
        <v>199.75123127952557</v>
      </c>
      <c r="Q36" s="7036">
        <f t="shared" si="95"/>
        <v>135.53468592019459</v>
      </c>
      <c r="R36" s="7036">
        <f t="shared" si="95"/>
        <v>147.4052087322865</v>
      </c>
      <c r="S36" s="7040">
        <f t="shared" si="95"/>
        <v>170.43530503385097</v>
      </c>
      <c r="T36" s="7035">
        <f t="shared" si="95"/>
        <v>199.84915666046416</v>
      </c>
      <c r="U36" s="7036">
        <f t="shared" si="95"/>
        <v>142.83244857858941</v>
      </c>
      <c r="V36" s="7036">
        <f t="shared" si="95"/>
        <v>158.17314828260442</v>
      </c>
      <c r="W36" s="7040">
        <f t="shared" si="95"/>
        <v>169.59847764614028</v>
      </c>
      <c r="X36" s="7035">
        <f t="shared" si="95"/>
        <v>200.57953381147541</v>
      </c>
      <c r="Y36" s="7037">
        <f t="shared" si="95"/>
        <v>170.25436824508225</v>
      </c>
      <c r="Z36" s="7037">
        <f t="shared" si="95"/>
        <v>200.05225261544237</v>
      </c>
      <c r="AA36" s="7038">
        <f t="shared" si="95"/>
        <v>145.60097184122301</v>
      </c>
      <c r="AB36" s="7038">
        <f t="shared" si="95"/>
        <v>165.26514149194267</v>
      </c>
      <c r="AC36" s="7040">
        <f t="shared" si="95"/>
        <v>170.60964576248358</v>
      </c>
      <c r="AD36" s="7035">
        <f t="shared" si="95"/>
        <v>202.95374326583689</v>
      </c>
      <c r="AE36" s="7036">
        <f t="shared" si="95"/>
        <v>149.61078119819911</v>
      </c>
      <c r="AF36" s="7036">
        <f t="shared" si="95"/>
        <v>169.73371055344452</v>
      </c>
      <c r="AG36" s="7040">
        <f t="shared" si="95"/>
        <v>168.51648506196378</v>
      </c>
      <c r="AH36" s="7035">
        <f t="shared" si="95"/>
        <v>196.05085662168287</v>
      </c>
      <c r="AI36" s="7036">
        <f t="shared" si="95"/>
        <v>152.18091502187141</v>
      </c>
      <c r="AJ36" s="7036">
        <f t="shared" si="95"/>
        <v>173.04708517481387</v>
      </c>
      <c r="AK36" s="7040">
        <f t="shared" si="95"/>
        <v>168.84793254155306</v>
      </c>
      <c r="AL36" s="7035">
        <f t="shared" si="95"/>
        <v>196.51634401865195</v>
      </c>
      <c r="AM36" s="7037">
        <f t="shared" si="95"/>
        <v>169.32808503640814</v>
      </c>
      <c r="AN36" s="7037">
        <f t="shared" si="95"/>
        <v>198.23759416628499</v>
      </c>
      <c r="AO36" s="7036">
        <f t="shared" si="95"/>
        <v>154.22755281917071</v>
      </c>
      <c r="AP36" s="7036">
        <f t="shared" si="95"/>
        <v>175.63646663065575</v>
      </c>
      <c r="AQ36" s="7040">
        <f t="shared" si="95"/>
        <v>170.74460808184665</v>
      </c>
      <c r="AR36" s="7035">
        <f t="shared" si="95"/>
        <v>208.99667194064051</v>
      </c>
      <c r="AS36" s="7036">
        <f t="shared" si="95"/>
        <v>156.04055931830734</v>
      </c>
      <c r="AT36" s="7036">
        <f t="shared" si="95"/>
        <v>178.99986743521239</v>
      </c>
      <c r="AU36" s="7031">
        <f t="shared" si="95"/>
        <v>169.70928963419979</v>
      </c>
      <c r="AV36" s="1198">
        <f t="shared" si="95"/>
        <v>203.64241565717845</v>
      </c>
      <c r="AW36" s="7036">
        <f t="shared" si="95"/>
        <v>157.26872327992291</v>
      </c>
      <c r="AX36" s="7036">
        <f t="shared" si="95"/>
        <v>180.96367220444242</v>
      </c>
      <c r="AY36" s="1198">
        <f t="shared" si="95"/>
        <v>170.74460808184665</v>
      </c>
      <c r="AZ36" s="1198">
        <f t="shared" si="95"/>
        <v>217.40103415230053</v>
      </c>
      <c r="BA36" s="1201">
        <f t="shared" si="95"/>
        <v>170.42345186098788</v>
      </c>
      <c r="BB36" s="1201">
        <f t="shared" si="95"/>
        <v>210.41616804271175</v>
      </c>
      <c r="BC36" s="1140">
        <f t="shared" si="95"/>
        <v>169.87115026446608</v>
      </c>
      <c r="BD36" s="1215">
        <f t="shared" si="95"/>
        <v>204.42271588962782</v>
      </c>
      <c r="BE36" s="1214">
        <f t="shared" si="95"/>
        <v>158.49272380005797</v>
      </c>
      <c r="BF36" s="1214">
        <f t="shared" si="95"/>
        <v>184.1594945033427</v>
      </c>
      <c r="BG36" s="25"/>
      <c r="BH36" s="25"/>
      <c r="BI36" s="25"/>
      <c r="BJ36" s="25"/>
      <c r="BK36" s="25"/>
      <c r="BL36" s="25"/>
      <c r="BM36" s="25"/>
      <c r="BN36" s="25"/>
    </row>
    <row r="37" spans="2:67" x14ac:dyDescent="0.25">
      <c r="B37" s="7581" t="s">
        <v>2270</v>
      </c>
      <c r="C37" s="62" t="s">
        <v>218</v>
      </c>
      <c r="D37" s="7548">
        <f t="shared" si="88"/>
        <v>0</v>
      </c>
      <c r="E37" s="1198">
        <f t="shared" si="89"/>
        <v>0</v>
      </c>
      <c r="F37" s="1198">
        <f t="shared" ref="F37:BF37" si="96">+F20/F$67*1000</f>
        <v>5.6575805922355364</v>
      </c>
      <c r="G37" s="5590">
        <f t="shared" si="96"/>
        <v>2.8447525981502015</v>
      </c>
      <c r="H37" s="1198">
        <f t="shared" si="96"/>
        <v>3.6813338361862731</v>
      </c>
      <c r="I37" s="1199">
        <f t="shared" si="96"/>
        <v>1.6155833192720062</v>
      </c>
      <c r="J37" s="1199">
        <f t="shared" si="96"/>
        <v>4.6669507092128537</v>
      </c>
      <c r="K37" s="5702">
        <f t="shared" si="96"/>
        <v>2.84</v>
      </c>
      <c r="L37" s="1198">
        <f t="shared" si="96"/>
        <v>2.4157927467749567</v>
      </c>
      <c r="M37" s="1201">
        <f t="shared" si="96"/>
        <v>2.0507433255913003</v>
      </c>
      <c r="N37" s="1201">
        <f t="shared" si="96"/>
        <v>3.8863207408062759</v>
      </c>
      <c r="O37" s="5837">
        <f t="shared" si="96"/>
        <v>2.8418153129711574</v>
      </c>
      <c r="P37" s="1198">
        <f t="shared" si="96"/>
        <v>2.2012262538948635</v>
      </c>
      <c r="Q37" s="1199">
        <f t="shared" si="96"/>
        <v>2.2598903614772343</v>
      </c>
      <c r="R37" s="1199">
        <f t="shared" si="96"/>
        <v>3.4341437364131169</v>
      </c>
      <c r="S37" s="5909">
        <f t="shared" si="96"/>
        <v>2.8418153129711574</v>
      </c>
      <c r="T37" s="1198">
        <f t="shared" si="96"/>
        <v>2.4348933527150494</v>
      </c>
      <c r="U37" s="1199">
        <f t="shared" si="96"/>
        <v>2.3815715891703797</v>
      </c>
      <c r="V37" s="1199">
        <f t="shared" si="96"/>
        <v>3.2289748246060097</v>
      </c>
      <c r="W37" s="6007">
        <f t="shared" si="96"/>
        <v>2.8277164807440918</v>
      </c>
      <c r="X37" s="1198">
        <f t="shared" si="96"/>
        <v>2.0998761953551912</v>
      </c>
      <c r="Y37" s="1201">
        <f t="shared" si="96"/>
        <v>2.8387668976515616</v>
      </c>
      <c r="Z37" s="1201">
        <f t="shared" si="96"/>
        <v>2.2458243325896277</v>
      </c>
      <c r="AA37" s="1140">
        <f t="shared" si="96"/>
        <v>2.4277182367627335</v>
      </c>
      <c r="AB37" s="1140">
        <f t="shared" si="96"/>
        <v>3.0401457199451496</v>
      </c>
      <c r="AC37" s="6138">
        <f t="shared" si="96"/>
        <v>2.8447525981502015</v>
      </c>
      <c r="AD37" s="1198">
        <f t="shared" si="96"/>
        <v>3.1215997452296915</v>
      </c>
      <c r="AE37" s="1199">
        <f t="shared" si="96"/>
        <v>2.4945841685485211</v>
      </c>
      <c r="AF37" s="1199">
        <f t="shared" si="96"/>
        <v>3.049803359660864</v>
      </c>
      <c r="AG37" s="6300">
        <f t="shared" si="96"/>
        <v>2.8094871157169981</v>
      </c>
      <c r="AH37" s="1198">
        <f t="shared" si="96"/>
        <v>2.9955817217631608</v>
      </c>
      <c r="AI37" s="1199">
        <f t="shared" si="96"/>
        <v>2.5373936149211054</v>
      </c>
      <c r="AJ37" s="1199">
        <f t="shared" si="96"/>
        <v>3.0429767608163885</v>
      </c>
      <c r="AK37" s="6564">
        <f t="shared" si="96"/>
        <v>2.8150713287523628</v>
      </c>
      <c r="AL37" s="1198">
        <f t="shared" si="96"/>
        <v>3.515260054392273</v>
      </c>
      <c r="AM37" s="1201">
        <f t="shared" si="96"/>
        <v>2.8231609175586043</v>
      </c>
      <c r="AN37" s="1201">
        <f t="shared" si="96"/>
        <v>3.2148056092815112</v>
      </c>
      <c r="AO37" s="1199">
        <f t="shared" si="96"/>
        <v>2.5714912394015266</v>
      </c>
      <c r="AP37" s="1199">
        <f t="shared" si="96"/>
        <v>3.0950841413871388</v>
      </c>
      <c r="AQ37" s="6643">
        <f t="shared" si="96"/>
        <v>2.8470264375651158</v>
      </c>
      <c r="AR37" s="1198">
        <f t="shared" si="96"/>
        <v>2.7060941677123682</v>
      </c>
      <c r="AS37" s="1199">
        <f t="shared" si="96"/>
        <v>2.6017355594129961</v>
      </c>
      <c r="AT37" s="1199">
        <f t="shared" si="96"/>
        <v>3.0558658818391193</v>
      </c>
      <c r="AU37" s="6925">
        <f t="shared" si="96"/>
        <v>2.8295834364046129</v>
      </c>
      <c r="AV37" s="1198">
        <f t="shared" si="96"/>
        <v>2.0390921275798326</v>
      </c>
      <c r="AW37" s="1199">
        <f t="shared" si="96"/>
        <v>2.6222081669474613</v>
      </c>
      <c r="AX37" s="1199">
        <f t="shared" si="96"/>
        <v>2.9748375267413922</v>
      </c>
      <c r="AY37" s="1198">
        <f t="shared" si="96"/>
        <v>2.8470264375651158</v>
      </c>
      <c r="AZ37" s="1198">
        <f t="shared" si="96"/>
        <v>2.4669060732752723</v>
      </c>
      <c r="BA37" s="1201">
        <f t="shared" si="96"/>
        <v>2.8416156112190056</v>
      </c>
      <c r="BB37" s="1201">
        <f t="shared" si="96"/>
        <v>2.4226057098489147</v>
      </c>
      <c r="BC37" s="1140">
        <f t="shared" si="96"/>
        <v>2.832310457417337</v>
      </c>
      <c r="BD37" s="1140">
        <f t="shared" si="96"/>
        <v>2.8124717353051101</v>
      </c>
      <c r="BE37" s="1214">
        <f t="shared" si="96"/>
        <v>2.6426281752969389</v>
      </c>
      <c r="BF37" s="1214">
        <f t="shared" si="96"/>
        <v>2.9302882350659214</v>
      </c>
      <c r="BG37" s="25"/>
      <c r="BH37" s="25"/>
      <c r="BI37" s="25"/>
      <c r="BJ37" s="25"/>
      <c r="BK37" s="25"/>
      <c r="BL37" s="25"/>
      <c r="BM37" s="25"/>
      <c r="BN37" s="25"/>
    </row>
    <row r="38" spans="2:67" ht="15.75" x14ac:dyDescent="0.25">
      <c r="B38" s="1203" t="s">
        <v>21</v>
      </c>
      <c r="C38" s="1204" t="s">
        <v>218</v>
      </c>
      <c r="D38" s="189">
        <f t="shared" ref="D38:AI38" si="97">SUM(D23:D37)</f>
        <v>1188.6635380559389</v>
      </c>
      <c r="E38" s="189">
        <f t="shared" si="97"/>
        <v>1188.6635380559389</v>
      </c>
      <c r="F38" s="189">
        <f t="shared" si="97"/>
        <v>1201.9727983525127</v>
      </c>
      <c r="G38" s="189">
        <f t="shared" si="97"/>
        <v>1178.212518852893</v>
      </c>
      <c r="H38" s="189">
        <f t="shared" si="97"/>
        <v>1213.3316071217484</v>
      </c>
      <c r="I38" s="189">
        <f t="shared" si="97"/>
        <v>1182.7282267375447</v>
      </c>
      <c r="J38" s="189">
        <f t="shared" si="97"/>
        <v>1206.7735682421624</v>
      </c>
      <c r="K38" s="189">
        <f t="shared" si="97"/>
        <v>1177.9256787576485</v>
      </c>
      <c r="L38" s="189">
        <f t="shared" si="97"/>
        <v>1173.5331168244418</v>
      </c>
      <c r="M38" s="189">
        <f t="shared" si="97"/>
        <v>1181.0213920936083</v>
      </c>
      <c r="N38" s="189">
        <f t="shared" si="97"/>
        <v>1195.2468371228877</v>
      </c>
      <c r="O38" s="189">
        <f t="shared" si="97"/>
        <v>1178.0352408390813</v>
      </c>
      <c r="P38" s="189">
        <f t="shared" si="97"/>
        <v>1181.812242436426</v>
      </c>
      <c r="Q38" s="189">
        <f t="shared" si="97"/>
        <v>1180.2319005004849</v>
      </c>
      <c r="R38" s="189">
        <f t="shared" si="97"/>
        <v>1191.6418079522712</v>
      </c>
      <c r="S38" s="189">
        <f t="shared" si="97"/>
        <v>1178.0352408390813</v>
      </c>
      <c r="T38" s="189">
        <f t="shared" si="97"/>
        <v>1199.1836713389825</v>
      </c>
      <c r="U38" s="189">
        <f t="shared" si="97"/>
        <v>1179.7725762461505</v>
      </c>
      <c r="V38" s="189">
        <f t="shared" si="97"/>
        <v>1193.1903246496809</v>
      </c>
      <c r="W38" s="189">
        <f t="shared" si="97"/>
        <v>1177.1843146191436</v>
      </c>
      <c r="X38" s="189">
        <f t="shared" si="97"/>
        <v>1175.0581668374316</v>
      </c>
      <c r="Y38" s="189">
        <f t="shared" si="97"/>
        <v>1177.8512556349929</v>
      </c>
      <c r="Z38" s="189">
        <f t="shared" si="97"/>
        <v>1185.3808601437984</v>
      </c>
      <c r="AA38" s="189">
        <f t="shared" si="97"/>
        <v>1179.5048614309994</v>
      </c>
      <c r="AB38" s="189">
        <f t="shared" si="97"/>
        <v>1190.1579242582925</v>
      </c>
      <c r="AC38" s="189">
        <f t="shared" si="97"/>
        <v>1178.212518852893</v>
      </c>
      <c r="AD38" s="189">
        <f t="shared" si="97"/>
        <v>1196.438523393753</v>
      </c>
      <c r="AE38" s="189">
        <f t="shared" si="97"/>
        <v>1179.2976514294442</v>
      </c>
      <c r="AF38" s="189">
        <f t="shared" si="97"/>
        <v>1190.9025868263759</v>
      </c>
      <c r="AG38" s="189">
        <f t="shared" si="97"/>
        <v>1176.08409266994</v>
      </c>
      <c r="AH38" s="189">
        <f t="shared" si="97"/>
        <v>1194.1857861422259</v>
      </c>
      <c r="AI38" s="189">
        <f t="shared" si="97"/>
        <v>1178.8607845388128</v>
      </c>
      <c r="AJ38" s="189">
        <f t="shared" ref="AJ38:BF38" si="98">SUM(AJ23:AJ37)</f>
        <v>1191.3159473504168</v>
      </c>
      <c r="AK38" s="189">
        <f t="shared" si="98"/>
        <v>1176.4211243625643</v>
      </c>
      <c r="AL38" s="189">
        <f t="shared" si="98"/>
        <v>1206.9151929650441</v>
      </c>
      <c r="AM38" s="749">
        <f t="shared" si="98"/>
        <v>1176.9093664462257</v>
      </c>
      <c r="AN38" s="749">
        <f t="shared" si="98"/>
        <v>1199.3111408670252</v>
      </c>
      <c r="AO38" s="235">
        <f t="shared" si="98"/>
        <v>1178.5612048015635</v>
      </c>
      <c r="AP38" s="235">
        <f t="shared" si="98"/>
        <v>1193.0370241679</v>
      </c>
      <c r="AQ38" s="189">
        <f t="shared" si="98"/>
        <v>1178.3497550116708</v>
      </c>
      <c r="AR38" s="189">
        <f t="shared" si="98"/>
        <v>1209.8586938730973</v>
      </c>
      <c r="AS38" s="189">
        <f t="shared" si="98"/>
        <v>1178.5379948626719</v>
      </c>
      <c r="AT38" s="189">
        <f t="shared" si="98"/>
        <v>1194.7329974658674</v>
      </c>
      <c r="AU38" s="189">
        <f t="shared" si="98"/>
        <v>1177.2969935628637</v>
      </c>
      <c r="AV38" s="189">
        <f t="shared" si="98"/>
        <v>1212.1858940561417</v>
      </c>
      <c r="AW38" s="189">
        <f t="shared" si="98"/>
        <v>1178.4264883044534</v>
      </c>
      <c r="AX38" s="189">
        <f t="shared" si="98"/>
        <v>1196.1238471966715</v>
      </c>
      <c r="AY38" s="189">
        <f t="shared" si="98"/>
        <v>1178.3497550116708</v>
      </c>
      <c r="AZ38" s="189">
        <f t="shared" si="98"/>
        <v>1247.3672293775078</v>
      </c>
      <c r="BA38" s="189">
        <f t="shared" si="98"/>
        <v>1178.0231879644657</v>
      </c>
      <c r="BB38" s="189">
        <f t="shared" si="98"/>
        <v>1223.9736010417864</v>
      </c>
      <c r="BC38" s="189">
        <f t="shared" si="98"/>
        <v>1177.4615812141424</v>
      </c>
      <c r="BD38" s="189">
        <f t="shared" si="98"/>
        <v>1211.8364430679055</v>
      </c>
      <c r="BE38" s="189">
        <f t="shared" si="98"/>
        <v>1178.4195186997365</v>
      </c>
      <c r="BF38" s="189">
        <f t="shared" si="98"/>
        <v>1200.6182654171496</v>
      </c>
      <c r="BG38" s="25"/>
      <c r="BH38" s="25"/>
      <c r="BI38" s="25"/>
      <c r="BJ38" s="25"/>
      <c r="BK38" s="25"/>
      <c r="BL38" s="25"/>
      <c r="BM38" s="25"/>
      <c r="BN38" s="25"/>
    </row>
    <row r="39" spans="2:67" ht="15.75" x14ac:dyDescent="0.25">
      <c r="B39" s="1203"/>
      <c r="C39" s="1204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25"/>
      <c r="BH39" s="25"/>
      <c r="BI39" s="25"/>
      <c r="BJ39" s="25"/>
      <c r="BK39" s="25"/>
      <c r="BL39" s="25"/>
      <c r="BM39" s="25"/>
      <c r="BN39" s="25"/>
    </row>
    <row r="40" spans="2:67" ht="18.75" x14ac:dyDescent="0.25">
      <c r="B40" s="1196" t="s">
        <v>895</v>
      </c>
      <c r="C40" s="1196"/>
      <c r="D40" s="230"/>
      <c r="E40" s="2468"/>
      <c r="F40" s="2468"/>
      <c r="G40" s="1196"/>
      <c r="H40" s="1196"/>
      <c r="I40" s="1196"/>
      <c r="J40" s="1196"/>
      <c r="K40" s="1196"/>
      <c r="L40" s="1196"/>
      <c r="M40" s="1196"/>
      <c r="N40" s="1196"/>
      <c r="O40" s="1196"/>
      <c r="P40" s="1196"/>
      <c r="Q40" s="1196"/>
      <c r="R40" s="1196"/>
      <c r="S40" s="1196"/>
      <c r="T40" s="1196"/>
      <c r="U40" s="1196"/>
      <c r="V40" s="1196"/>
      <c r="W40" s="1196"/>
      <c r="X40" s="1196"/>
      <c r="Y40" s="1196"/>
      <c r="Z40" s="1196"/>
      <c r="AA40" s="1196"/>
      <c r="AB40" s="1196"/>
      <c r="AC40" s="1196"/>
      <c r="AD40" s="1196"/>
      <c r="AE40" s="1196"/>
      <c r="AF40" s="1196"/>
      <c r="AG40" s="1196"/>
      <c r="AH40" s="1196"/>
      <c r="AI40" s="1196"/>
      <c r="AJ40" s="1196"/>
      <c r="AK40" s="1196"/>
      <c r="AL40" s="1196"/>
      <c r="AM40" s="1196"/>
      <c r="AN40" s="1196"/>
      <c r="AO40" s="1196"/>
      <c r="AP40" s="1196"/>
      <c r="AQ40" s="1196"/>
      <c r="AR40" s="1196"/>
      <c r="AS40" s="1196"/>
      <c r="AT40" s="1196"/>
      <c r="AU40" s="2468"/>
      <c r="AV40" s="2468"/>
      <c r="AW40" s="2468"/>
      <c r="AX40" s="2468"/>
      <c r="AY40" s="2468"/>
      <c r="AZ40" s="2468"/>
      <c r="BA40" s="1196"/>
      <c r="BB40" s="1196"/>
      <c r="BC40" s="1196"/>
      <c r="BD40" s="1196"/>
      <c r="BE40" s="1196"/>
      <c r="BF40" s="1196"/>
      <c r="BG40" s="25"/>
      <c r="BH40" s="25"/>
      <c r="BI40" s="25"/>
      <c r="BJ40" s="25"/>
      <c r="BK40" s="25"/>
      <c r="BL40" s="25"/>
      <c r="BM40" s="25"/>
      <c r="BN40" s="25"/>
    </row>
    <row r="41" spans="2:67" x14ac:dyDescent="0.25">
      <c r="B41" s="1197" t="s">
        <v>43</v>
      </c>
      <c r="C41" s="62" t="s">
        <v>50</v>
      </c>
      <c r="D41" s="1054">
        <v>5000572.4355053725</v>
      </c>
      <c r="E41" s="1198">
        <f>+E21</f>
        <v>346706.3555283724</v>
      </c>
      <c r="F41" s="1672">
        <f>+F21</f>
        <v>424907</v>
      </c>
      <c r="G41" s="1198">
        <f>+G21</f>
        <v>451693.82970925875</v>
      </c>
      <c r="H41" s="1672">
        <f>+H21</f>
        <v>431104</v>
      </c>
      <c r="I41" s="1199">
        <f>+E41+G41</f>
        <v>798400.1852376312</v>
      </c>
      <c r="J41" s="1199">
        <f>+F41+H41</f>
        <v>856011</v>
      </c>
      <c r="K41" s="1198">
        <f>+K21</f>
        <v>438413.85245607345</v>
      </c>
      <c r="L41" s="1672">
        <f>+L21</f>
        <v>441570</v>
      </c>
      <c r="M41" s="1201">
        <f t="shared" ref="M41:M50" si="99">+K41+G41+E41</f>
        <v>1236814.0376937045</v>
      </c>
      <c r="N41" s="1201">
        <f t="shared" ref="N41:N50" si="100">+L41+H41+F41</f>
        <v>1297581</v>
      </c>
      <c r="O41" s="1198">
        <f>+O21</f>
        <v>443393.84392601775</v>
      </c>
      <c r="P41" s="1672">
        <f>+P21</f>
        <v>470314</v>
      </c>
      <c r="Q41" s="1199">
        <f>+M41+O41</f>
        <v>1680207.8816197221</v>
      </c>
      <c r="R41" s="1200">
        <f>+N41+P41</f>
        <v>1767895</v>
      </c>
      <c r="S41" s="1198">
        <f>+S21</f>
        <v>443393.84392601775</v>
      </c>
      <c r="T41" s="1672">
        <f>+T21</f>
        <v>459502</v>
      </c>
      <c r="U41" s="1199">
        <f>+Q41+S41</f>
        <v>2123601.7255457398</v>
      </c>
      <c r="V41" s="1200">
        <f>+R41+T41</f>
        <v>2227397</v>
      </c>
      <c r="W41" s="1198">
        <f>+W21</f>
        <v>244456.34331918461</v>
      </c>
      <c r="X41" s="1672">
        <f>+X21</f>
        <v>440393</v>
      </c>
      <c r="Y41" s="1201">
        <f t="shared" ref="Y41:Y50" si="101">+O41+S41+W41</f>
        <v>1131244.0311712201</v>
      </c>
      <c r="Z41" s="1201">
        <f t="shared" ref="Z41:Z50" si="102">+P41+T41+X41</f>
        <v>1370209</v>
      </c>
      <c r="AA41" s="1140">
        <f>M41+Y41</f>
        <v>2368058.0688649248</v>
      </c>
      <c r="AB41" s="1140">
        <f>N41+Z41</f>
        <v>2667790</v>
      </c>
      <c r="AC41" s="1198">
        <f>+AC21</f>
        <v>451693.82970925875</v>
      </c>
      <c r="AD41" s="1672">
        <f>+AD21</f>
        <v>360664</v>
      </c>
      <c r="AE41" s="1199">
        <f>+AA41+AC41</f>
        <v>2819751.8985741837</v>
      </c>
      <c r="AF41" s="1199">
        <f>+AB41+AD41</f>
        <v>3028454</v>
      </c>
      <c r="AG41" s="1198">
        <f>+AG21</f>
        <v>442432.76625222078</v>
      </c>
      <c r="AH41" s="1672">
        <f>+AH21</f>
        <v>437318</v>
      </c>
      <c r="AI41" s="1199">
        <f>+AE41+AG41</f>
        <v>3262184.6648264043</v>
      </c>
      <c r="AJ41" s="1199">
        <f>+AF41+AH41</f>
        <v>3465772</v>
      </c>
      <c r="AK41" s="1198">
        <f>+AK21</f>
        <v>455712.74350540602</v>
      </c>
      <c r="AL41" s="1672">
        <f>+AL21</f>
        <v>435350</v>
      </c>
      <c r="AM41" s="1201">
        <f t="shared" ref="AM41:AM50" si="103">+AC41+AG41+AK41</f>
        <v>1349839.3394668854</v>
      </c>
      <c r="AN41" s="1201">
        <f t="shared" ref="AN41:AN50" si="104">+AD41+AH41+AL41</f>
        <v>1233332</v>
      </c>
      <c r="AO41" s="1199">
        <f t="shared" ref="AO41:AP41" si="105">AI41+AK41</f>
        <v>3717897.4083318105</v>
      </c>
      <c r="AP41" s="1199">
        <f t="shared" si="105"/>
        <v>3901122</v>
      </c>
      <c r="AQ41" s="1198">
        <f>+AQ21</f>
        <v>458333.81833585131</v>
      </c>
      <c r="AR41" s="1672">
        <f>+AR21</f>
        <v>443510</v>
      </c>
      <c r="AS41" s="1199">
        <f>+AO41+AQ41</f>
        <v>4176231.2266676617</v>
      </c>
      <c r="AT41" s="1199">
        <f>+AP41+AR41</f>
        <v>4344632</v>
      </c>
      <c r="AU41" s="1198">
        <f>+AU21</f>
        <v>411853.8979497028</v>
      </c>
      <c r="AV41" s="1672">
        <f>+AV21</f>
        <v>381651.88</v>
      </c>
      <c r="AW41" s="1199">
        <f>+AS41+AU41</f>
        <v>4588085.1246173643</v>
      </c>
      <c r="AX41" s="1199">
        <f>+AT41+AV41</f>
        <v>4726283.88</v>
      </c>
      <c r="AY41" s="1198">
        <f>+AY21</f>
        <v>458333.81833585131</v>
      </c>
      <c r="AZ41" s="1672">
        <f>+AZ21</f>
        <v>473785</v>
      </c>
      <c r="BA41" s="1201">
        <f t="shared" ref="BA41:BA50" si="106">+AQ41+AU41+AY41</f>
        <v>1328521.5346214054</v>
      </c>
      <c r="BB41" s="1201">
        <f t="shared" ref="BB41:BB50" si="107">+AR41+AV41+AZ41</f>
        <v>1298946.8799999999</v>
      </c>
      <c r="BC41" s="1140">
        <f t="shared" ref="BC41:BC50" si="108">AM41+BA41</f>
        <v>2678360.8740882911</v>
      </c>
      <c r="BD41" s="1140">
        <f t="shared" ref="BD41:BD50" si="109">AN41+BB41</f>
        <v>2532278.88</v>
      </c>
      <c r="BE41" s="1199">
        <f>+AW41+AY41</f>
        <v>5046418.9429532159</v>
      </c>
      <c r="BF41" s="1199">
        <f>+AX41+AZ41</f>
        <v>5200068.88</v>
      </c>
      <c r="BG41" s="25"/>
      <c r="BH41" s="25"/>
      <c r="BI41" s="25"/>
      <c r="BJ41" s="25"/>
      <c r="BK41" s="25"/>
      <c r="BL41" s="25"/>
      <c r="BM41" s="25"/>
      <c r="BN41" s="25"/>
      <c r="BO41" s="25"/>
    </row>
    <row r="42" spans="2:67" x14ac:dyDescent="0.25">
      <c r="B42" s="1197" t="s">
        <v>70</v>
      </c>
      <c r="C42" s="62" t="s">
        <v>50</v>
      </c>
      <c r="D42" s="1120">
        <v>75686.428329967675</v>
      </c>
      <c r="E42" s="1198">
        <v>5247.592364211092</v>
      </c>
      <c r="F42" s="141">
        <v>11339</v>
      </c>
      <c r="G42" s="1198">
        <v>7468.6286907679323</v>
      </c>
      <c r="H42" s="141">
        <v>3012</v>
      </c>
      <c r="I42" s="1199">
        <f t="shared" ref="I42:I50" si="110">+E42+G42</f>
        <v>12716.221054979025</v>
      </c>
      <c r="J42" s="1199">
        <f t="shared" ref="J42:J50" si="111">+F42+H42</f>
        <v>14351</v>
      </c>
      <c r="K42" s="1198">
        <v>7250.8132898682006</v>
      </c>
      <c r="L42" s="141">
        <v>6321</v>
      </c>
      <c r="M42" s="1201">
        <f t="shared" si="99"/>
        <v>19967.034344847227</v>
      </c>
      <c r="N42" s="1201">
        <f>+L42+H42+F42</f>
        <v>20672</v>
      </c>
      <c r="O42" s="1198">
        <v>7332.4940652055993</v>
      </c>
      <c r="P42" s="141">
        <v>15515</v>
      </c>
      <c r="Q42" s="1199">
        <f t="shared" ref="Q42:Q50" si="112">+M42+O42</f>
        <v>27299.528410052826</v>
      </c>
      <c r="R42" s="1200">
        <f t="shared" ref="R42:R50" si="113">+N42+P42</f>
        <v>36187</v>
      </c>
      <c r="S42" s="1198">
        <v>7332.4940652055993</v>
      </c>
      <c r="T42" s="141">
        <v>12053</v>
      </c>
      <c r="U42" s="1199">
        <f t="shared" ref="U42:U50" si="114">+Q42+S42</f>
        <v>34632.022475258425</v>
      </c>
      <c r="V42" s="1200">
        <f t="shared" ref="V42:V50" si="115">+R42+T42</f>
        <v>48240</v>
      </c>
      <c r="W42" s="1198">
        <v>4045.5464126612937</v>
      </c>
      <c r="X42" s="141">
        <v>14458</v>
      </c>
      <c r="Y42" s="1201">
        <f t="shared" si="101"/>
        <v>18710.534543072492</v>
      </c>
      <c r="Z42" s="1201">
        <f t="shared" si="102"/>
        <v>42026</v>
      </c>
      <c r="AA42" s="1140">
        <f t="shared" ref="AA42:AA50" si="116">M42+Y42</f>
        <v>38677.568887919719</v>
      </c>
      <c r="AB42" s="1140">
        <f t="shared" ref="AB42:AB50" si="117">N42+Z42</f>
        <v>62698</v>
      </c>
      <c r="AC42" s="1198">
        <v>7468.6286907679323</v>
      </c>
      <c r="AD42" s="141">
        <v>17691</v>
      </c>
      <c r="AE42" s="1199">
        <f t="shared" ref="AE42:AE48" si="118">+AA42+AC42</f>
        <v>46146.19757868765</v>
      </c>
      <c r="AF42" s="1200">
        <f t="shared" ref="AF42:AF48" si="119">+AB42+AD42</f>
        <v>80389</v>
      </c>
      <c r="AG42" s="1198">
        <v>7328.738922173522</v>
      </c>
      <c r="AH42" s="141">
        <v>10278</v>
      </c>
      <c r="AI42" s="1199">
        <f t="shared" ref="AI42:AI50" si="120">+AE42+AG42</f>
        <v>53474.936500861171</v>
      </c>
      <c r="AJ42" s="1200">
        <f t="shared" ref="AJ42:AJ50" si="121">+AF42+AH42</f>
        <v>90667</v>
      </c>
      <c r="AK42" s="1198">
        <v>7546.5543230732546</v>
      </c>
      <c r="AL42" s="141">
        <v>7828</v>
      </c>
      <c r="AM42" s="1201">
        <f t="shared" si="103"/>
        <v>22343.921936014711</v>
      </c>
      <c r="AN42" s="1201">
        <f t="shared" si="104"/>
        <v>35797</v>
      </c>
      <c r="AO42" s="1199">
        <f t="shared" ref="AO42:AO50" si="122">AI42+AK42</f>
        <v>61021.490823934422</v>
      </c>
      <c r="AP42" s="1199">
        <f t="shared" ref="AP42:AP50" si="123">AJ42+AL42</f>
        <v>98495</v>
      </c>
      <c r="AQ42" s="1198">
        <v>7577.5363912177982</v>
      </c>
      <c r="AR42" s="141">
        <v>10781</v>
      </c>
      <c r="AS42" s="1199">
        <f t="shared" ref="AS42:AS50" si="124">+AO42+AQ42</f>
        <v>68599.027215152222</v>
      </c>
      <c r="AT42" s="1200">
        <f t="shared" ref="AT42:AT50" si="125">+AP42+AR42</f>
        <v>109276</v>
      </c>
      <c r="AU42" s="1198">
        <v>6815.1824880687336</v>
      </c>
      <c r="AV42" s="141">
        <v>6934</v>
      </c>
      <c r="AW42" s="1199">
        <f t="shared" ref="AW42:AW50" si="126">+AS42+AU42</f>
        <v>75414.209703220957</v>
      </c>
      <c r="AX42" s="1200">
        <f t="shared" ref="AX42:AX50" si="127">+AT42+AV42</f>
        <v>116210</v>
      </c>
      <c r="AY42" s="1198">
        <v>7577.5363912177982</v>
      </c>
      <c r="AZ42" s="141">
        <v>2773</v>
      </c>
      <c r="BA42" s="1201">
        <f t="shared" si="106"/>
        <v>21970.255270504327</v>
      </c>
      <c r="BB42" s="1201">
        <f t="shared" si="107"/>
        <v>20488</v>
      </c>
      <c r="BC42" s="1140">
        <f t="shared" si="108"/>
        <v>44314.177206519038</v>
      </c>
      <c r="BD42" s="1140">
        <f t="shared" si="109"/>
        <v>56285</v>
      </c>
      <c r="BE42" s="1199">
        <f t="shared" ref="BE42:BE50" si="128">+AW42+AY42</f>
        <v>82991.746094438757</v>
      </c>
      <c r="BF42" s="1199">
        <f t="shared" ref="BF42:BF50" si="129">+AX42+AZ42</f>
        <v>118983</v>
      </c>
      <c r="BG42" s="25"/>
      <c r="BH42" s="25"/>
      <c r="BI42" s="25"/>
      <c r="BJ42" s="25"/>
      <c r="BK42" s="25"/>
      <c r="BL42" s="25"/>
      <c r="BM42" s="25"/>
      <c r="BN42" s="25"/>
    </row>
    <row r="43" spans="2:67" x14ac:dyDescent="0.25">
      <c r="B43" s="1197" t="s">
        <v>641</v>
      </c>
      <c r="C43" s="62" t="s">
        <v>50</v>
      </c>
      <c r="D43" s="1120">
        <v>20981.101730926446</v>
      </c>
      <c r="E43" s="1198">
        <v>1454.6897200108999</v>
      </c>
      <c r="F43" s="141">
        <v>1763</v>
      </c>
      <c r="G43" s="1198">
        <v>1914.1296801810902</v>
      </c>
      <c r="H43" s="141">
        <v>1342</v>
      </c>
      <c r="I43" s="1199">
        <f t="shared" si="110"/>
        <v>3368.8194001919901</v>
      </c>
      <c r="J43" s="1199">
        <f t="shared" si="111"/>
        <v>3105</v>
      </c>
      <c r="K43" s="1198">
        <v>1858.3059217743978</v>
      </c>
      <c r="L43" s="141">
        <v>1148</v>
      </c>
      <c r="M43" s="1201">
        <f t="shared" si="99"/>
        <v>5227.1253219663877</v>
      </c>
      <c r="N43" s="1201">
        <f t="shared" si="100"/>
        <v>4253</v>
      </c>
      <c r="O43" s="1198">
        <v>1879.2398311769073</v>
      </c>
      <c r="P43" s="141">
        <v>872</v>
      </c>
      <c r="Q43" s="1199">
        <f t="shared" si="112"/>
        <v>7106.3651531432952</v>
      </c>
      <c r="R43" s="1200">
        <f t="shared" si="113"/>
        <v>5125</v>
      </c>
      <c r="S43" s="1198">
        <v>1879.2398311769073</v>
      </c>
      <c r="T43" s="141">
        <v>302</v>
      </c>
      <c r="U43" s="1199">
        <f t="shared" si="114"/>
        <v>8985.6049843202018</v>
      </c>
      <c r="V43" s="1200">
        <f t="shared" si="115"/>
        <v>5427</v>
      </c>
      <c r="W43" s="1198">
        <v>1036.830291295269</v>
      </c>
      <c r="X43" s="141">
        <v>928</v>
      </c>
      <c r="Y43" s="1201">
        <f t="shared" si="101"/>
        <v>4795.3099536490836</v>
      </c>
      <c r="Z43" s="1201">
        <f t="shared" si="102"/>
        <v>2102</v>
      </c>
      <c r="AA43" s="1140">
        <f t="shared" si="116"/>
        <v>10022.435275615471</v>
      </c>
      <c r="AB43" s="1140">
        <f t="shared" si="117"/>
        <v>6355</v>
      </c>
      <c r="AC43" s="1198">
        <v>1914.1296801810902</v>
      </c>
      <c r="AD43" s="141">
        <v>2770</v>
      </c>
      <c r="AE43" s="1199">
        <f t="shared" si="118"/>
        <v>11936.564955796561</v>
      </c>
      <c r="AF43" s="1200">
        <f t="shared" si="119"/>
        <v>9125</v>
      </c>
      <c r="AG43" s="1198">
        <v>1878.2774281671143</v>
      </c>
      <c r="AH43" s="141">
        <v>5274</v>
      </c>
      <c r="AI43" s="1199">
        <f t="shared" si="120"/>
        <v>13814.842383963674</v>
      </c>
      <c r="AJ43" s="1200">
        <f t="shared" si="121"/>
        <v>14399</v>
      </c>
      <c r="AK43" s="1198">
        <v>1934.1011865738067</v>
      </c>
      <c r="AL43" s="141">
        <v>6649</v>
      </c>
      <c r="AM43" s="1201">
        <f t="shared" si="103"/>
        <v>5726.5082949220114</v>
      </c>
      <c r="AN43" s="1201">
        <f t="shared" si="104"/>
        <v>14693</v>
      </c>
      <c r="AO43" s="1199">
        <f t="shared" si="122"/>
        <v>15748.943570537482</v>
      </c>
      <c r="AP43" s="1199">
        <f t="shared" si="123"/>
        <v>21048</v>
      </c>
      <c r="AQ43" s="1198">
        <v>1942.0415593844364</v>
      </c>
      <c r="AR43" s="141">
        <v>4936</v>
      </c>
      <c r="AS43" s="1199">
        <f t="shared" si="124"/>
        <v>17690.985129921919</v>
      </c>
      <c r="AT43" s="1200">
        <f t="shared" si="125"/>
        <v>25984</v>
      </c>
      <c r="AU43" s="1198">
        <v>1746.6584049610126</v>
      </c>
      <c r="AV43" s="141">
        <v>3545</v>
      </c>
      <c r="AW43" s="1199">
        <f t="shared" si="126"/>
        <v>19437.643534882933</v>
      </c>
      <c r="AX43" s="1200">
        <f t="shared" si="127"/>
        <v>29529</v>
      </c>
      <c r="AY43" s="1198">
        <v>1942.0415593844364</v>
      </c>
      <c r="AZ43" s="141">
        <v>2632</v>
      </c>
      <c r="BA43" s="1201">
        <f t="shared" si="106"/>
        <v>5630.7415237298856</v>
      </c>
      <c r="BB43" s="1201">
        <f t="shared" si="107"/>
        <v>11113</v>
      </c>
      <c r="BC43" s="1140">
        <f t="shared" si="108"/>
        <v>11357.249818651897</v>
      </c>
      <c r="BD43" s="1140">
        <f t="shared" si="109"/>
        <v>25806</v>
      </c>
      <c r="BE43" s="1199">
        <f t="shared" si="128"/>
        <v>21379.68509426737</v>
      </c>
      <c r="BF43" s="1199">
        <f t="shared" si="129"/>
        <v>32161</v>
      </c>
      <c r="BG43" s="25"/>
      <c r="BH43" s="25"/>
      <c r="BI43" s="25"/>
      <c r="BJ43" s="25"/>
      <c r="BK43" s="25"/>
      <c r="BL43" s="25"/>
      <c r="BM43" s="25"/>
      <c r="BN43" s="25"/>
    </row>
    <row r="44" spans="2:67" x14ac:dyDescent="0.25">
      <c r="B44" s="1197" t="s">
        <v>44</v>
      </c>
      <c r="C44" s="62" t="s">
        <v>50</v>
      </c>
      <c r="D44" s="1120">
        <v>94376.027677751743</v>
      </c>
      <c r="E44" s="1198">
        <v>6543.4045856574548</v>
      </c>
      <c r="F44" s="141">
        <v>6933</v>
      </c>
      <c r="G44" s="1198">
        <v>8610.0319226468109</v>
      </c>
      <c r="H44" s="141">
        <v>7400</v>
      </c>
      <c r="I44" s="1199">
        <f t="shared" si="110"/>
        <v>15153.436508304265</v>
      </c>
      <c r="J44" s="1199">
        <f t="shared" si="111"/>
        <v>14333</v>
      </c>
      <c r="K44" s="1198">
        <v>8358.9285899414353</v>
      </c>
      <c r="L44" s="141">
        <v>8277</v>
      </c>
      <c r="M44" s="1201">
        <f t="shared" si="99"/>
        <v>23512.3650982457</v>
      </c>
      <c r="N44" s="1201">
        <f t="shared" si="100"/>
        <v>22610</v>
      </c>
      <c r="O44" s="1198">
        <v>8453.0923397059505</v>
      </c>
      <c r="P44" s="141">
        <v>7984</v>
      </c>
      <c r="Q44" s="1199">
        <f t="shared" si="112"/>
        <v>31965.457437951649</v>
      </c>
      <c r="R44" s="1200">
        <f t="shared" si="113"/>
        <v>30594</v>
      </c>
      <c r="S44" s="1198">
        <v>8453.0923397059505</v>
      </c>
      <c r="T44" s="141">
        <v>7337</v>
      </c>
      <c r="U44" s="1199">
        <f t="shared" si="114"/>
        <v>40418.549777657601</v>
      </c>
      <c r="V44" s="1200">
        <f t="shared" si="115"/>
        <v>37931</v>
      </c>
      <c r="W44" s="1198">
        <v>4663.8124881773347</v>
      </c>
      <c r="X44" s="141">
        <v>7087</v>
      </c>
      <c r="Y44" s="1201">
        <f t="shared" si="101"/>
        <v>21569.997167589238</v>
      </c>
      <c r="Z44" s="1201">
        <f t="shared" si="102"/>
        <v>22408</v>
      </c>
      <c r="AA44" s="1140">
        <f t="shared" si="116"/>
        <v>45082.362265834934</v>
      </c>
      <c r="AB44" s="1140">
        <f t="shared" si="117"/>
        <v>45018</v>
      </c>
      <c r="AC44" s="1198">
        <v>8610.0319226468109</v>
      </c>
      <c r="AD44" s="141">
        <v>4824</v>
      </c>
      <c r="AE44" s="1199">
        <f t="shared" si="118"/>
        <v>53692.394188481747</v>
      </c>
      <c r="AF44" s="1200">
        <f t="shared" si="119"/>
        <v>49842</v>
      </c>
      <c r="AG44" s="1198">
        <v>8448.7633118858575</v>
      </c>
      <c r="AH44" s="141">
        <v>7057</v>
      </c>
      <c r="AI44" s="1199">
        <f t="shared" si="120"/>
        <v>62141.157500367604</v>
      </c>
      <c r="AJ44" s="1200">
        <f t="shared" si="121"/>
        <v>56899</v>
      </c>
      <c r="AK44" s="1198">
        <v>8699.8666445912331</v>
      </c>
      <c r="AL44" s="141">
        <v>7476</v>
      </c>
      <c r="AM44" s="1201">
        <f t="shared" si="103"/>
        <v>25758.661879123902</v>
      </c>
      <c r="AN44" s="1201">
        <f t="shared" si="104"/>
        <v>19357</v>
      </c>
      <c r="AO44" s="1199">
        <f t="shared" si="122"/>
        <v>70841.024144958836</v>
      </c>
      <c r="AP44" s="1199">
        <f t="shared" si="123"/>
        <v>64375</v>
      </c>
      <c r="AQ44" s="1198">
        <v>8735.583588999496</v>
      </c>
      <c r="AR44" s="141">
        <v>7478</v>
      </c>
      <c r="AS44" s="1199">
        <f t="shared" si="124"/>
        <v>79576.607733958328</v>
      </c>
      <c r="AT44" s="1200">
        <f t="shared" si="125"/>
        <v>71853</v>
      </c>
      <c r="AU44" s="1198">
        <v>7856.7219245306842</v>
      </c>
      <c r="AV44" s="141">
        <v>6008</v>
      </c>
      <c r="AW44" s="1199">
        <f t="shared" si="126"/>
        <v>87433.329658489005</v>
      </c>
      <c r="AX44" s="1200">
        <f t="shared" si="127"/>
        <v>77861</v>
      </c>
      <c r="AY44" s="1198">
        <v>8735.583588999496</v>
      </c>
      <c r="AZ44" s="141">
        <v>6683</v>
      </c>
      <c r="BA44" s="1201">
        <f t="shared" si="106"/>
        <v>25327.889102529676</v>
      </c>
      <c r="BB44" s="1201">
        <f t="shared" si="107"/>
        <v>20169</v>
      </c>
      <c r="BC44" s="1140">
        <f t="shared" si="108"/>
        <v>51086.550981653578</v>
      </c>
      <c r="BD44" s="1140">
        <f t="shared" si="109"/>
        <v>39526</v>
      </c>
      <c r="BE44" s="1199">
        <f t="shared" si="128"/>
        <v>96168.913247488497</v>
      </c>
      <c r="BF44" s="1199">
        <f t="shared" si="129"/>
        <v>84544</v>
      </c>
      <c r="BG44" s="25"/>
      <c r="BH44" s="25"/>
      <c r="BI44" s="25"/>
      <c r="BJ44" s="25"/>
      <c r="BK44" s="25"/>
      <c r="BL44" s="25"/>
      <c r="BM44" s="25"/>
      <c r="BN44" s="25"/>
    </row>
    <row r="45" spans="2:67" x14ac:dyDescent="0.25">
      <c r="B45" s="1197" t="s">
        <v>71</v>
      </c>
      <c r="C45" s="62" t="s">
        <v>50</v>
      </c>
      <c r="D45" s="1120">
        <v>79510.152372995421</v>
      </c>
      <c r="E45" s="1198">
        <v>5512.7038978610162</v>
      </c>
      <c r="F45" s="141">
        <v>10127</v>
      </c>
      <c r="G45" s="1198">
        <v>7303.2388624922933</v>
      </c>
      <c r="H45" s="141">
        <v>8068</v>
      </c>
      <c r="I45" s="1199">
        <f t="shared" si="110"/>
        <v>12815.942760353309</v>
      </c>
      <c r="J45" s="1199">
        <f t="shared" si="111"/>
        <v>18195</v>
      </c>
      <c r="K45" s="1198">
        <v>7090.2468974925305</v>
      </c>
      <c r="L45" s="141">
        <v>9954</v>
      </c>
      <c r="M45" s="1201">
        <f t="shared" si="99"/>
        <v>19906.18965784584</v>
      </c>
      <c r="N45" s="1201">
        <f t="shared" si="100"/>
        <v>28149</v>
      </c>
      <c r="O45" s="1198">
        <v>7170.1188843674408</v>
      </c>
      <c r="P45" s="141">
        <v>10553</v>
      </c>
      <c r="Q45" s="1199">
        <f t="shared" si="112"/>
        <v>27076.308542213279</v>
      </c>
      <c r="R45" s="1200">
        <f t="shared" si="113"/>
        <v>38702</v>
      </c>
      <c r="S45" s="1198">
        <v>7170.1188843674408</v>
      </c>
      <c r="T45" s="141">
        <v>7779</v>
      </c>
      <c r="U45" s="1199">
        <f t="shared" si="114"/>
        <v>34246.427426580718</v>
      </c>
      <c r="V45" s="1200">
        <f t="shared" si="115"/>
        <v>46481</v>
      </c>
      <c r="W45" s="1198">
        <v>3955.95938749585</v>
      </c>
      <c r="X45" s="141">
        <v>10384</v>
      </c>
      <c r="Y45" s="1201">
        <f t="shared" si="101"/>
        <v>18296.19715623073</v>
      </c>
      <c r="Z45" s="1201">
        <f t="shared" si="102"/>
        <v>28716</v>
      </c>
      <c r="AA45" s="1140">
        <f t="shared" si="116"/>
        <v>38202.38681407657</v>
      </c>
      <c r="AB45" s="1140">
        <f t="shared" si="117"/>
        <v>56865</v>
      </c>
      <c r="AC45" s="1198">
        <v>7303.2388624922933</v>
      </c>
      <c r="AD45" s="141">
        <v>8561</v>
      </c>
      <c r="AE45" s="1199">
        <f t="shared" si="118"/>
        <v>45505.625676568859</v>
      </c>
      <c r="AF45" s="1200">
        <f t="shared" si="119"/>
        <v>65426</v>
      </c>
      <c r="AG45" s="1198">
        <v>7166.4468974925312</v>
      </c>
      <c r="AH45" s="141">
        <v>9960</v>
      </c>
      <c r="AI45" s="1199">
        <f t="shared" si="120"/>
        <v>52672.072574061393</v>
      </c>
      <c r="AJ45" s="1200">
        <f t="shared" si="121"/>
        <v>75386</v>
      </c>
      <c r="AK45" s="1198">
        <v>7379.4388624922931</v>
      </c>
      <c r="AL45" s="141">
        <v>8376</v>
      </c>
      <c r="AM45" s="1201">
        <f t="shared" si="103"/>
        <v>21849.124622477117</v>
      </c>
      <c r="AN45" s="1201">
        <f t="shared" si="104"/>
        <v>26897</v>
      </c>
      <c r="AO45" s="1199">
        <f t="shared" si="122"/>
        <v>60051.511436553687</v>
      </c>
      <c r="AP45" s="1199">
        <f t="shared" si="123"/>
        <v>83762</v>
      </c>
      <c r="AQ45" s="1198">
        <v>7409.7348449921737</v>
      </c>
      <c r="AR45" s="141">
        <v>8333</v>
      </c>
      <c r="AS45" s="1199">
        <f t="shared" si="124"/>
        <v>67461.246281545857</v>
      </c>
      <c r="AT45" s="1200">
        <f t="shared" si="125"/>
        <v>92095</v>
      </c>
      <c r="AU45" s="1198">
        <v>6664.2629674930049</v>
      </c>
      <c r="AV45" s="141">
        <v>6751</v>
      </c>
      <c r="AW45" s="1199">
        <f t="shared" si="126"/>
        <v>74125.509249038863</v>
      </c>
      <c r="AX45" s="1200">
        <f t="shared" si="127"/>
        <v>98846</v>
      </c>
      <c r="AY45" s="1198">
        <v>7409.7348449921737</v>
      </c>
      <c r="AZ45" s="141">
        <v>7179</v>
      </c>
      <c r="BA45" s="1201">
        <f t="shared" si="106"/>
        <v>21483.732657477354</v>
      </c>
      <c r="BB45" s="1201">
        <f t="shared" si="107"/>
        <v>22263</v>
      </c>
      <c r="BC45" s="1140">
        <f t="shared" si="108"/>
        <v>43332.857279954471</v>
      </c>
      <c r="BD45" s="1140">
        <f t="shared" si="109"/>
        <v>49160</v>
      </c>
      <c r="BE45" s="1199">
        <f t="shared" si="128"/>
        <v>81535.244094031033</v>
      </c>
      <c r="BF45" s="1199">
        <f t="shared" si="129"/>
        <v>106025</v>
      </c>
      <c r="BG45" s="25"/>
      <c r="BH45" s="25"/>
      <c r="BI45" s="25"/>
      <c r="BJ45" s="25"/>
      <c r="BK45" s="25"/>
      <c r="BL45" s="25"/>
      <c r="BM45" s="25"/>
      <c r="BN45" s="25"/>
    </row>
    <row r="46" spans="2:67" x14ac:dyDescent="0.25">
      <c r="B46" s="1197" t="s">
        <v>67</v>
      </c>
      <c r="C46" s="62" t="s">
        <v>50</v>
      </c>
      <c r="D46" s="1120">
        <v>336550.90951532446</v>
      </c>
      <c r="E46" s="1198">
        <v>23334.196393062495</v>
      </c>
      <c r="F46" s="141">
        <v>28280.639999999999</v>
      </c>
      <c r="G46" s="1198">
        <v>34503.490688939957</v>
      </c>
      <c r="H46" s="141">
        <v>28424.48</v>
      </c>
      <c r="I46" s="1199">
        <f t="shared" si="110"/>
        <v>57837.687082002449</v>
      </c>
      <c r="J46" s="1199">
        <f t="shared" si="111"/>
        <v>56705.119999999995</v>
      </c>
      <c r="K46" s="1198">
        <v>33497.229436972579</v>
      </c>
      <c r="L46" s="141">
        <v>30101.920000000002</v>
      </c>
      <c r="M46" s="1201">
        <f t="shared" si="99"/>
        <v>91334.916518975035</v>
      </c>
      <c r="N46" s="1201">
        <f t="shared" si="100"/>
        <v>86807.040000000008</v>
      </c>
      <c r="O46" s="1198">
        <v>33874.577406460347</v>
      </c>
      <c r="P46" s="141">
        <v>31836.799999999999</v>
      </c>
      <c r="Q46" s="1199">
        <f t="shared" si="112"/>
        <v>125209.49392543538</v>
      </c>
      <c r="R46" s="1199">
        <f t="shared" si="113"/>
        <v>118643.84000000001</v>
      </c>
      <c r="S46" s="1198">
        <v>33874.577406460347</v>
      </c>
      <c r="T46" s="141">
        <v>30654.32</v>
      </c>
      <c r="U46" s="1199">
        <f t="shared" si="114"/>
        <v>159084.07133189571</v>
      </c>
      <c r="V46" s="1199">
        <f t="shared" si="115"/>
        <v>149298.16</v>
      </c>
      <c r="W46" s="1198">
        <v>18689.571909429207</v>
      </c>
      <c r="X46" s="141">
        <v>29982.720000000001</v>
      </c>
      <c r="Y46" s="1201">
        <f t="shared" si="101"/>
        <v>86438.726722349908</v>
      </c>
      <c r="Z46" s="1201">
        <f t="shared" si="102"/>
        <v>92473.84</v>
      </c>
      <c r="AA46" s="1140">
        <f t="shared" si="116"/>
        <v>177773.64324132493</v>
      </c>
      <c r="AB46" s="1140">
        <f t="shared" si="117"/>
        <v>179280.88</v>
      </c>
      <c r="AC46" s="1198">
        <v>34503.490688939957</v>
      </c>
      <c r="AD46" s="141">
        <v>24115.84</v>
      </c>
      <c r="AE46" s="1199">
        <f t="shared" si="118"/>
        <v>212277.13393026488</v>
      </c>
      <c r="AF46" s="1199">
        <f t="shared" si="119"/>
        <v>203396.72</v>
      </c>
      <c r="AG46" s="1198">
        <v>33857.229436972579</v>
      </c>
      <c r="AH46" s="141">
        <v>29296.48</v>
      </c>
      <c r="AI46" s="1199">
        <f t="shared" si="120"/>
        <v>246134.36336723747</v>
      </c>
      <c r="AJ46" s="1199">
        <f t="shared" si="121"/>
        <v>232693.2</v>
      </c>
      <c r="AK46" s="1198">
        <v>34863.490688939957</v>
      </c>
      <c r="AL46" s="141">
        <v>28857.040000000001</v>
      </c>
      <c r="AM46" s="1201">
        <f t="shared" si="103"/>
        <v>103224.2108148525</v>
      </c>
      <c r="AN46" s="1201">
        <f t="shared" si="104"/>
        <v>82269.36</v>
      </c>
      <c r="AO46" s="1199">
        <f t="shared" si="122"/>
        <v>280997.85405617743</v>
      </c>
      <c r="AP46" s="1199">
        <f t="shared" si="123"/>
        <v>261550.24000000002</v>
      </c>
      <c r="AQ46" s="1198">
        <v>35006.62131492365</v>
      </c>
      <c r="AR46" s="141">
        <v>29326.400000000001</v>
      </c>
      <c r="AS46" s="1199">
        <f t="shared" si="124"/>
        <v>316004.47537110106</v>
      </c>
      <c r="AT46" s="1199">
        <f t="shared" si="125"/>
        <v>290876.64</v>
      </c>
      <c r="AU46" s="1198">
        <v>31484.706933037811</v>
      </c>
      <c r="AV46" s="141">
        <v>25187.68</v>
      </c>
      <c r="AW46" s="1199">
        <f t="shared" si="126"/>
        <v>347489.18230413884</v>
      </c>
      <c r="AX46" s="1199">
        <f t="shared" si="127"/>
        <v>316064.32</v>
      </c>
      <c r="AY46" s="1198">
        <v>35006.62131492365</v>
      </c>
      <c r="AZ46" s="141">
        <v>30386.240000000002</v>
      </c>
      <c r="BA46" s="1201">
        <f t="shared" si="106"/>
        <v>101497.9495628851</v>
      </c>
      <c r="BB46" s="1201">
        <f t="shared" si="107"/>
        <v>84900.32</v>
      </c>
      <c r="BC46" s="1140">
        <f t="shared" si="108"/>
        <v>204722.1603777376</v>
      </c>
      <c r="BD46" s="1140">
        <f t="shared" si="109"/>
        <v>167169.68</v>
      </c>
      <c r="BE46" s="1199">
        <f t="shared" si="128"/>
        <v>382495.80361906247</v>
      </c>
      <c r="BF46" s="1199">
        <f t="shared" si="129"/>
        <v>346450.56</v>
      </c>
      <c r="BG46" s="25"/>
      <c r="BH46" s="25"/>
      <c r="BI46" s="25"/>
      <c r="BJ46" s="25"/>
      <c r="BK46" s="25"/>
      <c r="BL46" s="25"/>
      <c r="BM46" s="25"/>
      <c r="BN46" s="25"/>
    </row>
    <row r="47" spans="2:67" x14ac:dyDescent="0.25">
      <c r="B47" s="1197" t="s">
        <v>97</v>
      </c>
      <c r="C47" s="62" t="s">
        <v>50</v>
      </c>
      <c r="D47" s="1120">
        <v>631032.95534123341</v>
      </c>
      <c r="E47" s="1198">
        <v>43751.618236992181</v>
      </c>
      <c r="F47" s="1198">
        <v>69891</v>
      </c>
      <c r="G47" s="1198">
        <v>57505.817814899936</v>
      </c>
      <c r="H47" s="1198">
        <v>60214</v>
      </c>
      <c r="I47" s="1199">
        <f t="shared" si="110"/>
        <v>101257.43605189212</v>
      </c>
      <c r="J47" s="1199">
        <f t="shared" si="111"/>
        <v>130105</v>
      </c>
      <c r="K47" s="1198">
        <v>55828.715728287636</v>
      </c>
      <c r="L47" s="1198">
        <v>80586</v>
      </c>
      <c r="M47" s="1201">
        <f t="shared" si="99"/>
        <v>157086.15178017976</v>
      </c>
      <c r="N47" s="1201">
        <f t="shared" si="100"/>
        <v>210691</v>
      </c>
      <c r="O47" s="1198">
        <v>56457.629010767239</v>
      </c>
      <c r="P47" s="1198">
        <v>75199</v>
      </c>
      <c r="Q47" s="1199">
        <f t="shared" si="112"/>
        <v>213543.780790947</v>
      </c>
      <c r="R47" s="1199">
        <f t="shared" si="113"/>
        <v>285890</v>
      </c>
      <c r="S47" s="1198">
        <v>56457.629010767239</v>
      </c>
      <c r="T47" s="1198">
        <v>57997</v>
      </c>
      <c r="U47" s="1199">
        <f t="shared" si="114"/>
        <v>270001.40980171424</v>
      </c>
      <c r="V47" s="1199">
        <f t="shared" si="115"/>
        <v>343887</v>
      </c>
      <c r="W47" s="1198">
        <v>31149.28651571535</v>
      </c>
      <c r="X47" s="1198">
        <v>61535</v>
      </c>
      <c r="Y47" s="1201">
        <f t="shared" si="101"/>
        <v>144064.54453724984</v>
      </c>
      <c r="Z47" s="1201">
        <f t="shared" si="102"/>
        <v>194731</v>
      </c>
      <c r="AA47" s="1140">
        <f t="shared" si="116"/>
        <v>301150.6963174296</v>
      </c>
      <c r="AB47" s="1140">
        <f t="shared" si="117"/>
        <v>405422</v>
      </c>
      <c r="AC47" s="1198">
        <v>57505.817814899936</v>
      </c>
      <c r="AD47" s="1198">
        <v>44951</v>
      </c>
      <c r="AE47" s="1199">
        <f t="shared" si="118"/>
        <v>358656.51413232955</v>
      </c>
      <c r="AF47" s="1200">
        <f t="shared" si="119"/>
        <v>450373</v>
      </c>
      <c r="AG47" s="1198">
        <v>56428.715728287636</v>
      </c>
      <c r="AH47" s="1198">
        <v>54117</v>
      </c>
      <c r="AI47" s="1199">
        <f t="shared" si="120"/>
        <v>415085.2298606172</v>
      </c>
      <c r="AJ47" s="1200">
        <f t="shared" si="121"/>
        <v>504490</v>
      </c>
      <c r="AK47" s="1198">
        <v>58105.817814899936</v>
      </c>
      <c r="AL47" s="1198">
        <v>52676</v>
      </c>
      <c r="AM47" s="1201">
        <f t="shared" si="103"/>
        <v>172040.3513580875</v>
      </c>
      <c r="AN47" s="1201">
        <f t="shared" si="104"/>
        <v>151744</v>
      </c>
      <c r="AO47" s="1199">
        <f t="shared" si="122"/>
        <v>473191.04767551715</v>
      </c>
      <c r="AP47" s="1199">
        <f t="shared" si="123"/>
        <v>557166</v>
      </c>
      <c r="AQ47" s="1198">
        <v>58344.368858206079</v>
      </c>
      <c r="AR47" s="1198">
        <v>59609</v>
      </c>
      <c r="AS47" s="1199">
        <f t="shared" si="124"/>
        <v>531535.41653372324</v>
      </c>
      <c r="AT47" s="1200">
        <f t="shared" si="125"/>
        <v>616775</v>
      </c>
      <c r="AU47" s="1198">
        <v>52474.511555063014</v>
      </c>
      <c r="AV47" s="1198">
        <v>60065</v>
      </c>
      <c r="AW47" s="1199">
        <f t="shared" si="126"/>
        <v>584009.92808878631</v>
      </c>
      <c r="AX47" s="1200">
        <f t="shared" si="127"/>
        <v>676840</v>
      </c>
      <c r="AY47" s="1198">
        <v>58344.368858206079</v>
      </c>
      <c r="AZ47" s="1198">
        <v>65994</v>
      </c>
      <c r="BA47" s="1201">
        <f t="shared" si="106"/>
        <v>169163.24927147519</v>
      </c>
      <c r="BB47" s="1201">
        <f t="shared" si="107"/>
        <v>185668</v>
      </c>
      <c r="BC47" s="1140">
        <f t="shared" si="108"/>
        <v>341203.60062956269</v>
      </c>
      <c r="BD47" s="1140">
        <f t="shared" si="109"/>
        <v>337412</v>
      </c>
      <c r="BE47" s="1199">
        <f t="shared" si="128"/>
        <v>642354.2969469924</v>
      </c>
      <c r="BF47" s="1199">
        <f t="shared" si="129"/>
        <v>742834</v>
      </c>
      <c r="BG47" s="25"/>
      <c r="BH47" s="25"/>
      <c r="BI47" s="25"/>
      <c r="BJ47" s="25"/>
      <c r="BK47" s="25"/>
      <c r="BL47" s="25"/>
      <c r="BM47" s="25"/>
      <c r="BN47" s="25"/>
    </row>
    <row r="48" spans="2:67" x14ac:dyDescent="0.25">
      <c r="B48" s="1197" t="s">
        <v>656</v>
      </c>
      <c r="C48" s="62" t="s">
        <v>50</v>
      </c>
      <c r="D48" s="1120">
        <v>12620.659106824667</v>
      </c>
      <c r="E48" s="1198">
        <v>875.03236473984362</v>
      </c>
      <c r="F48" s="1198">
        <v>0</v>
      </c>
      <c r="G48" s="1198">
        <v>2683.6048313619967</v>
      </c>
      <c r="H48" s="1198">
        <v>1000</v>
      </c>
      <c r="I48" s="1199">
        <f t="shared" si="110"/>
        <v>3558.6371961018403</v>
      </c>
      <c r="J48" s="1199">
        <f t="shared" si="111"/>
        <v>1000</v>
      </c>
      <c r="K48" s="1198">
        <v>2605.3400673200899</v>
      </c>
      <c r="L48" s="1198">
        <v>800</v>
      </c>
      <c r="M48" s="1201">
        <f t="shared" si="99"/>
        <v>6163.9772634219298</v>
      </c>
      <c r="N48" s="1201">
        <f t="shared" si="100"/>
        <v>1800</v>
      </c>
      <c r="O48" s="1198">
        <v>2634.6893538358045</v>
      </c>
      <c r="P48" s="1198">
        <v>0</v>
      </c>
      <c r="Q48" s="1199">
        <f t="shared" si="112"/>
        <v>8798.6666172577352</v>
      </c>
      <c r="R48" s="1199">
        <f t="shared" si="113"/>
        <v>1800</v>
      </c>
      <c r="S48" s="1198">
        <v>2634.6893538358045</v>
      </c>
      <c r="T48" s="1198">
        <v>750</v>
      </c>
      <c r="U48" s="1199">
        <f t="shared" si="114"/>
        <v>11433.355971093541</v>
      </c>
      <c r="V48" s="1199">
        <f t="shared" si="115"/>
        <v>2550</v>
      </c>
      <c r="W48" s="1198">
        <v>1453.6333707333829</v>
      </c>
      <c r="X48" s="1198">
        <v>0</v>
      </c>
      <c r="Y48" s="1201">
        <f t="shared" si="101"/>
        <v>6723.0120784049923</v>
      </c>
      <c r="Z48" s="1201">
        <f t="shared" si="102"/>
        <v>750</v>
      </c>
      <c r="AA48" s="1140">
        <f t="shared" si="116"/>
        <v>12886.989341826922</v>
      </c>
      <c r="AB48" s="1140">
        <f t="shared" si="117"/>
        <v>2550</v>
      </c>
      <c r="AC48" s="1198">
        <v>2683.6048313619967</v>
      </c>
      <c r="AD48" s="1198">
        <v>0</v>
      </c>
      <c r="AE48" s="1199">
        <f t="shared" si="118"/>
        <v>15570.594173188918</v>
      </c>
      <c r="AF48" s="1200">
        <f t="shared" si="119"/>
        <v>2550</v>
      </c>
      <c r="AG48" s="1198">
        <v>2633.3400673200899</v>
      </c>
      <c r="AH48" s="1198">
        <v>2500</v>
      </c>
      <c r="AI48" s="1199">
        <f t="shared" si="120"/>
        <v>18203.934240509006</v>
      </c>
      <c r="AJ48" s="1200">
        <f t="shared" si="121"/>
        <v>5050</v>
      </c>
      <c r="AK48" s="1198">
        <v>2711.6048313619967</v>
      </c>
      <c r="AL48" s="1198">
        <v>0</v>
      </c>
      <c r="AM48" s="1201">
        <f t="shared" si="103"/>
        <v>8028.5497300440829</v>
      </c>
      <c r="AN48" s="1201">
        <f t="shared" si="104"/>
        <v>2500</v>
      </c>
      <c r="AO48" s="1199">
        <f t="shared" si="122"/>
        <v>20915.539071871004</v>
      </c>
      <c r="AP48" s="1199">
        <f t="shared" si="123"/>
        <v>5050</v>
      </c>
      <c r="AQ48" s="1198">
        <v>2722.7372133829504</v>
      </c>
      <c r="AR48" s="1198">
        <v>2000</v>
      </c>
      <c r="AS48" s="1199">
        <f t="shared" si="124"/>
        <v>23638.276285253953</v>
      </c>
      <c r="AT48" s="1200">
        <f t="shared" si="125"/>
        <v>7050</v>
      </c>
      <c r="AU48" s="1198">
        <v>2448.8105392362741</v>
      </c>
      <c r="AV48" s="1198">
        <v>0</v>
      </c>
      <c r="AW48" s="1199">
        <f t="shared" si="126"/>
        <v>26087.086824490227</v>
      </c>
      <c r="AX48" s="1200">
        <f t="shared" si="127"/>
        <v>7050</v>
      </c>
      <c r="AY48" s="1198">
        <v>2722.7372133829504</v>
      </c>
      <c r="AZ48" s="1198">
        <v>0</v>
      </c>
      <c r="BA48" s="1201">
        <f t="shared" si="106"/>
        <v>7894.2849660021748</v>
      </c>
      <c r="BB48" s="1201">
        <f t="shared" si="107"/>
        <v>2000</v>
      </c>
      <c r="BC48" s="1140">
        <f t="shared" si="108"/>
        <v>15922.834696046259</v>
      </c>
      <c r="BD48" s="1140">
        <f t="shared" si="109"/>
        <v>4500</v>
      </c>
      <c r="BE48" s="1199">
        <f t="shared" si="128"/>
        <v>28809.824037873179</v>
      </c>
      <c r="BF48" s="1199">
        <f t="shared" si="129"/>
        <v>7050</v>
      </c>
      <c r="BG48" s="25"/>
      <c r="BH48" s="25"/>
      <c r="BI48" s="25"/>
      <c r="BJ48" s="25"/>
      <c r="BK48" s="25"/>
      <c r="BL48" s="25"/>
      <c r="BM48" s="25"/>
      <c r="BN48" s="25"/>
    </row>
    <row r="49" spans="2:67" s="4233" customFormat="1" x14ac:dyDescent="0.25">
      <c r="B49" s="2992" t="s">
        <v>1783</v>
      </c>
      <c r="C49" s="3511" t="s">
        <v>50</v>
      </c>
      <c r="D49" s="4373">
        <v>25241.318213649334</v>
      </c>
      <c r="E49" s="2993">
        <v>1750.0647294796872</v>
      </c>
      <c r="F49" s="2993">
        <v>520</v>
      </c>
      <c r="G49" s="2993">
        <v>2300.2327125959973</v>
      </c>
      <c r="H49" s="2993">
        <v>696</v>
      </c>
      <c r="I49" s="1199">
        <f t="shared" ref="I49" si="130">+E49+G49</f>
        <v>4050.2974420756846</v>
      </c>
      <c r="J49" s="1199">
        <f t="shared" ref="J49" si="131">+F49+H49</f>
        <v>1216</v>
      </c>
      <c r="K49" s="2993">
        <v>2233.1486291315055</v>
      </c>
      <c r="L49" s="2993">
        <v>687</v>
      </c>
      <c r="M49" s="1201">
        <f t="shared" ref="M49" si="132">+K49+G49+E49</f>
        <v>6283.4460712071905</v>
      </c>
      <c r="N49" s="1201">
        <f t="shared" ref="N49" si="133">+L49+H49+F49</f>
        <v>1903</v>
      </c>
      <c r="O49" s="2993">
        <v>2258.3051604306893</v>
      </c>
      <c r="P49" s="2993">
        <v>341</v>
      </c>
      <c r="Q49" s="1199">
        <f t="shared" ref="Q49" si="134">+M49+O49</f>
        <v>8541.7512316378798</v>
      </c>
      <c r="R49" s="1199">
        <f t="shared" ref="R49" si="135">+N49+P49</f>
        <v>2244</v>
      </c>
      <c r="S49" s="2993">
        <v>2258.3051604306893</v>
      </c>
      <c r="T49" s="2993">
        <v>766</v>
      </c>
      <c r="U49" s="1199">
        <f t="shared" ref="U49" si="136">+Q49+S49</f>
        <v>10800.056392068569</v>
      </c>
      <c r="V49" s="1199">
        <f t="shared" ref="V49" si="137">+R49+T49</f>
        <v>3010</v>
      </c>
      <c r="W49" s="2993">
        <v>1245.9714606286138</v>
      </c>
      <c r="X49" s="2993">
        <v>423</v>
      </c>
      <c r="Y49" s="1201">
        <f t="shared" ref="Y49" si="138">+O49+S49+W49</f>
        <v>5762.5817814899929</v>
      </c>
      <c r="Z49" s="1201">
        <f t="shared" ref="Z49" si="139">+P49+T49+X49</f>
        <v>1530</v>
      </c>
      <c r="AA49" s="1140">
        <f t="shared" ref="AA49" si="140">M49+Y49</f>
        <v>12046.027852697183</v>
      </c>
      <c r="AB49" s="1140">
        <f t="shared" ref="AB49" si="141">N49+Z49</f>
        <v>3433</v>
      </c>
      <c r="AC49" s="2993">
        <v>2300.2327125959973</v>
      </c>
      <c r="AD49" s="2993">
        <v>464</v>
      </c>
      <c r="AE49" s="1199">
        <f t="shared" ref="AE49:AE50" si="142">+AA49+AC49</f>
        <v>14346.260565293182</v>
      </c>
      <c r="AF49" s="1199">
        <f t="shared" ref="AF49:AF50" si="143">+AB49+AD49</f>
        <v>3897</v>
      </c>
      <c r="AG49" s="2993">
        <v>2257.1486291315055</v>
      </c>
      <c r="AH49" s="2993">
        <v>305</v>
      </c>
      <c r="AI49" s="1199">
        <f t="shared" si="120"/>
        <v>16603.409194424687</v>
      </c>
      <c r="AJ49" s="1199">
        <f t="shared" si="121"/>
        <v>4202</v>
      </c>
      <c r="AK49" s="2993">
        <v>2324.2327125959973</v>
      </c>
      <c r="AL49" s="2993">
        <v>771</v>
      </c>
      <c r="AM49" s="2995">
        <f t="shared" si="103"/>
        <v>6881.6140543235006</v>
      </c>
      <c r="AN49" s="1201">
        <f t="shared" si="104"/>
        <v>1540</v>
      </c>
      <c r="AO49" s="2994">
        <f t="shared" si="122"/>
        <v>18927.641907020683</v>
      </c>
      <c r="AP49" s="1199">
        <f t="shared" si="123"/>
        <v>4973</v>
      </c>
      <c r="AQ49" s="2993">
        <v>2333.7747543282435</v>
      </c>
      <c r="AR49" s="2993">
        <v>1464</v>
      </c>
      <c r="AS49" s="1199">
        <f t="shared" ref="AS49" si="144">+AO49+AQ49</f>
        <v>21261.416661348925</v>
      </c>
      <c r="AT49" s="1199">
        <f t="shared" ref="AT49" si="145">+AP49+AR49</f>
        <v>6437</v>
      </c>
      <c r="AU49" s="2993">
        <v>2098.9804622025204</v>
      </c>
      <c r="AV49" s="2993">
        <v>989</v>
      </c>
      <c r="AW49" s="1199">
        <f t="shared" si="126"/>
        <v>23360.397123551447</v>
      </c>
      <c r="AX49" s="1199">
        <f t="shared" si="127"/>
        <v>7426</v>
      </c>
      <c r="AY49" s="2993">
        <v>2333.7747543282435</v>
      </c>
      <c r="AZ49" s="2993">
        <v>840</v>
      </c>
      <c r="BA49" s="1201">
        <f t="shared" ref="BA49" si="146">+AQ49+AU49+AY49</f>
        <v>6766.5299708590082</v>
      </c>
      <c r="BB49" s="1201">
        <f t="shared" ref="BB49" si="147">+AR49+AV49+AZ49</f>
        <v>3293</v>
      </c>
      <c r="BC49" s="1140">
        <f t="shared" ref="BC49" si="148">AM49+BA49</f>
        <v>13648.144025182508</v>
      </c>
      <c r="BD49" s="1140">
        <f t="shared" ref="BD49" si="149">AN49+BB49</f>
        <v>4833</v>
      </c>
      <c r="BE49" s="1199">
        <f t="shared" ref="BE49" si="150">+AW49+AY49</f>
        <v>25694.171877879689</v>
      </c>
      <c r="BF49" s="1199">
        <f t="shared" ref="BF49" si="151">+AX49+AZ49</f>
        <v>8266</v>
      </c>
      <c r="BG49" s="25"/>
      <c r="BH49" s="25"/>
      <c r="BI49" s="25"/>
      <c r="BJ49" s="25"/>
      <c r="BK49" s="25"/>
      <c r="BL49" s="25"/>
      <c r="BM49" s="25"/>
      <c r="BN49" s="25"/>
    </row>
    <row r="50" spans="2:67" x14ac:dyDescent="0.25">
      <c r="B50" s="1197" t="s">
        <v>68</v>
      </c>
      <c r="C50" s="62" t="s">
        <v>50</v>
      </c>
      <c r="D50" s="1120">
        <v>315516.4776706167</v>
      </c>
      <c r="E50" s="2993">
        <v>21875.80911849609</v>
      </c>
      <c r="F50" s="1198">
        <v>14140.32</v>
      </c>
      <c r="G50" s="1198">
        <v>15334.884750639983</v>
      </c>
      <c r="H50" s="1198">
        <v>14212.24</v>
      </c>
      <c r="I50" s="1199">
        <f t="shared" si="110"/>
        <v>37210.69386913607</v>
      </c>
      <c r="J50" s="1199">
        <f t="shared" si="111"/>
        <v>28352.559999999998</v>
      </c>
      <c r="K50" s="1198">
        <v>14887.65752754337</v>
      </c>
      <c r="L50" s="1198">
        <v>15050.960000000001</v>
      </c>
      <c r="M50" s="1201">
        <f t="shared" si="99"/>
        <v>52098.351396679442</v>
      </c>
      <c r="N50" s="1201">
        <f t="shared" si="100"/>
        <v>43403.520000000004</v>
      </c>
      <c r="O50" s="1198">
        <v>15055.367736204598</v>
      </c>
      <c r="P50" s="1198">
        <v>15918.4</v>
      </c>
      <c r="Q50" s="1199">
        <f t="shared" si="112"/>
        <v>67153.719132884042</v>
      </c>
      <c r="R50" s="1199">
        <f t="shared" si="113"/>
        <v>59321.920000000006</v>
      </c>
      <c r="S50" s="1198">
        <v>15055.367736204598</v>
      </c>
      <c r="T50" s="1198">
        <v>15327.16</v>
      </c>
      <c r="U50" s="1199">
        <f t="shared" si="114"/>
        <v>82209.086869088642</v>
      </c>
      <c r="V50" s="1199">
        <f t="shared" si="115"/>
        <v>74649.08</v>
      </c>
      <c r="W50" s="1198">
        <v>8306.4764041907601</v>
      </c>
      <c r="X50" s="1198">
        <v>14991.36</v>
      </c>
      <c r="Y50" s="1201">
        <f t="shared" si="101"/>
        <v>38417.211876599955</v>
      </c>
      <c r="Z50" s="1201">
        <f t="shared" si="102"/>
        <v>46236.92</v>
      </c>
      <c r="AA50" s="1140">
        <f t="shared" si="116"/>
        <v>90515.563273279404</v>
      </c>
      <c r="AB50" s="1140">
        <f t="shared" si="117"/>
        <v>89640.44</v>
      </c>
      <c r="AC50" s="1198">
        <v>15334.884750639983</v>
      </c>
      <c r="AD50" s="1198">
        <v>12057.92</v>
      </c>
      <c r="AE50" s="1199">
        <f t="shared" si="142"/>
        <v>105850.44802391939</v>
      </c>
      <c r="AF50" s="1199">
        <f t="shared" si="143"/>
        <v>101698.36</v>
      </c>
      <c r="AG50" s="1198">
        <v>15047.65752754337</v>
      </c>
      <c r="AH50" s="1198">
        <v>14648.24</v>
      </c>
      <c r="AI50" s="1199">
        <f t="shared" si="120"/>
        <v>120898.10555146277</v>
      </c>
      <c r="AJ50" s="1199">
        <f t="shared" si="121"/>
        <v>116346.6</v>
      </c>
      <c r="AK50" s="1198">
        <v>15494.884750639983</v>
      </c>
      <c r="AL50" s="1198">
        <v>14428.52</v>
      </c>
      <c r="AM50" s="1201">
        <f t="shared" si="103"/>
        <v>45877.427028823338</v>
      </c>
      <c r="AN50" s="1201">
        <f t="shared" si="104"/>
        <v>41134.68</v>
      </c>
      <c r="AO50" s="1199">
        <f t="shared" si="122"/>
        <v>136392.99030210276</v>
      </c>
      <c r="AP50" s="1199">
        <f t="shared" si="123"/>
        <v>130775.12000000001</v>
      </c>
      <c r="AQ50" s="1198">
        <v>15558.498362188288</v>
      </c>
      <c r="AR50" s="1198">
        <v>14663.2</v>
      </c>
      <c r="AS50" s="1199">
        <f t="shared" si="124"/>
        <v>151951.48866429104</v>
      </c>
      <c r="AT50" s="1199">
        <f t="shared" si="125"/>
        <v>145438.32</v>
      </c>
      <c r="AU50" s="2993">
        <v>13993.203081350139</v>
      </c>
      <c r="AV50" s="1198">
        <v>12593.84</v>
      </c>
      <c r="AW50" s="1199">
        <f t="shared" si="126"/>
        <v>165944.69174564118</v>
      </c>
      <c r="AX50" s="1199">
        <f t="shared" si="127"/>
        <v>158032.16</v>
      </c>
      <c r="AY50" s="2993">
        <v>15558.498362188288</v>
      </c>
      <c r="AZ50" s="1198">
        <v>15193.12</v>
      </c>
      <c r="BA50" s="1201">
        <f t="shared" si="106"/>
        <v>45110.199805726712</v>
      </c>
      <c r="BB50" s="1201">
        <f t="shared" si="107"/>
        <v>42450.16</v>
      </c>
      <c r="BC50" s="1140">
        <f t="shared" si="108"/>
        <v>90987.626834550058</v>
      </c>
      <c r="BD50" s="1140">
        <f t="shared" si="109"/>
        <v>83584.84</v>
      </c>
      <c r="BE50" s="1199">
        <f t="shared" si="128"/>
        <v>181503.19010782946</v>
      </c>
      <c r="BF50" s="1199">
        <f t="shared" si="129"/>
        <v>173225.28</v>
      </c>
      <c r="BG50" s="25"/>
      <c r="BH50" s="25"/>
      <c r="BI50" s="25"/>
      <c r="BJ50" s="25"/>
      <c r="BK50" s="25"/>
      <c r="BL50" s="25"/>
      <c r="BM50" s="25"/>
      <c r="BN50" s="25"/>
    </row>
    <row r="51" spans="2:67" ht="15.75" x14ac:dyDescent="0.25">
      <c r="B51" s="1203" t="s">
        <v>21</v>
      </c>
      <c r="C51" s="1204" t="s">
        <v>50</v>
      </c>
      <c r="D51" s="189">
        <f t="shared" ref="D51:R51" si="152">SUM(D41:D50)</f>
        <v>6592088.4654646618</v>
      </c>
      <c r="E51" s="1205">
        <f t="shared" ref="E51:F51" si="153">SUM(E41:E50)</f>
        <v>457051.46693888312</v>
      </c>
      <c r="F51" s="1205">
        <f t="shared" si="153"/>
        <v>567900.96</v>
      </c>
      <c r="G51" s="1205">
        <f t="shared" ref="G51:H51" si="154">SUM(G41:G50)</f>
        <v>589317.88966378476</v>
      </c>
      <c r="H51" s="1205">
        <f t="shared" si="154"/>
        <v>555472.72</v>
      </c>
      <c r="I51" s="1206">
        <f t="shared" si="152"/>
        <v>1046369.3566026679</v>
      </c>
      <c r="J51" s="1206">
        <f t="shared" si="152"/>
        <v>1123373.6800000002</v>
      </c>
      <c r="K51" s="1205">
        <f t="shared" ref="K51:L51" si="155">SUM(K41:K50)</f>
        <v>572024.23854440509</v>
      </c>
      <c r="L51" s="1205">
        <f t="shared" si="155"/>
        <v>594495.87999999989</v>
      </c>
      <c r="M51" s="1208">
        <f t="shared" si="152"/>
        <v>1618393.595147073</v>
      </c>
      <c r="N51" s="1208">
        <f t="shared" si="152"/>
        <v>1717869.56</v>
      </c>
      <c r="O51" s="1205">
        <f t="shared" ref="O51:P51" si="156">SUM(O41:O50)</f>
        <v>578509.35771417245</v>
      </c>
      <c r="P51" s="1205">
        <f t="shared" si="156"/>
        <v>628533.20000000007</v>
      </c>
      <c r="Q51" s="1206">
        <f t="shared" si="152"/>
        <v>2196902.9528612448</v>
      </c>
      <c r="R51" s="1206">
        <f t="shared" si="152"/>
        <v>2346402.7599999998</v>
      </c>
      <c r="S51" s="1205">
        <f t="shared" ref="S51:T51" si="157">SUM(S41:S50)</f>
        <v>578509.35771417245</v>
      </c>
      <c r="T51" s="1205">
        <f t="shared" si="157"/>
        <v>592467.4800000001</v>
      </c>
      <c r="U51" s="1206">
        <f t="shared" ref="U51:X51" si="158">SUM(U41:U50)</f>
        <v>2775412.3105754177</v>
      </c>
      <c r="V51" s="1206">
        <f t="shared" si="158"/>
        <v>2938870.24</v>
      </c>
      <c r="W51" s="1205">
        <f t="shared" si="158"/>
        <v>319003.43155951163</v>
      </c>
      <c r="X51" s="1205">
        <f t="shared" si="158"/>
        <v>580182.07999999996</v>
      </c>
      <c r="Y51" s="1208">
        <f t="shared" ref="Y51:AD51" si="159">SUM(Y41:Y50)</f>
        <v>1476022.1469878561</v>
      </c>
      <c r="Z51" s="1208">
        <f t="shared" si="159"/>
        <v>1801182.76</v>
      </c>
      <c r="AA51" s="1209">
        <f t="shared" si="159"/>
        <v>3094415.7421349301</v>
      </c>
      <c r="AB51" s="1209">
        <f t="shared" si="159"/>
        <v>3519052.32</v>
      </c>
      <c r="AC51" s="1205">
        <f t="shared" si="159"/>
        <v>589317.88966378476</v>
      </c>
      <c r="AD51" s="1205">
        <f t="shared" si="159"/>
        <v>476098.76</v>
      </c>
      <c r="AE51" s="1206">
        <f t="shared" ref="AE51:AH51" si="160">SUM(AE41:AE50)</f>
        <v>3683733.6317987149</v>
      </c>
      <c r="AF51" s="1206">
        <f t="shared" si="160"/>
        <v>3995151.08</v>
      </c>
      <c r="AG51" s="1205">
        <f t="shared" si="160"/>
        <v>577479.08420119493</v>
      </c>
      <c r="AH51" s="1205">
        <f t="shared" si="160"/>
        <v>570753.72</v>
      </c>
      <c r="AI51" s="1206">
        <f t="shared" ref="AI51:AL51" si="161">SUM(AI41:AI50)</f>
        <v>4261212.7159999097</v>
      </c>
      <c r="AJ51" s="1206">
        <f t="shared" si="161"/>
        <v>4565904.8</v>
      </c>
      <c r="AK51" s="1205">
        <f t="shared" si="161"/>
        <v>594772.73532057449</v>
      </c>
      <c r="AL51" s="1205">
        <f t="shared" si="161"/>
        <v>562411.56000000006</v>
      </c>
      <c r="AM51" s="1208">
        <f t="shared" ref="AM51:AN51" si="162">SUM(AM41:AM50)</f>
        <v>1761569.7091855542</v>
      </c>
      <c r="AN51" s="1208">
        <f t="shared" si="162"/>
        <v>1609264.04</v>
      </c>
      <c r="AO51" s="1206">
        <f t="shared" ref="AO51:AT51" si="163">SUM(AO41:AO50)</f>
        <v>4855985.4513204833</v>
      </c>
      <c r="AP51" s="1206">
        <f t="shared" si="163"/>
        <v>5128316.3600000003</v>
      </c>
      <c r="AQ51" s="1205">
        <f t="shared" si="163"/>
        <v>597964.71522347443</v>
      </c>
      <c r="AR51" s="1205">
        <f t="shared" si="163"/>
        <v>582100.6</v>
      </c>
      <c r="AS51" s="1206">
        <f t="shared" si="163"/>
        <v>5453950.1665439587</v>
      </c>
      <c r="AT51" s="1206">
        <f t="shared" si="163"/>
        <v>5710416.96</v>
      </c>
      <c r="AU51" s="1205">
        <f t="shared" ref="AU51:AX51" si="164">SUM(AU41:AU50)</f>
        <v>537436.93630564597</v>
      </c>
      <c r="AV51" s="1205">
        <f t="shared" si="164"/>
        <v>503725.4</v>
      </c>
      <c r="AW51" s="1206">
        <f t="shared" si="164"/>
        <v>5991387.1028496046</v>
      </c>
      <c r="AX51" s="1206">
        <f t="shared" si="164"/>
        <v>6214142.3600000003</v>
      </c>
      <c r="AY51" s="1205">
        <f t="shared" ref="AY51:AZ51" si="165">SUM(AY41:AY50)</f>
        <v>597964.71522347443</v>
      </c>
      <c r="AZ51" s="1205">
        <f t="shared" si="165"/>
        <v>605465.36</v>
      </c>
      <c r="BA51" s="1208">
        <f t="shared" ref="BA51:BF51" si="166">SUM(BA41:BA50)</f>
        <v>1733366.3667525949</v>
      </c>
      <c r="BB51" s="1208">
        <f t="shared" si="166"/>
        <v>1691291.3599999999</v>
      </c>
      <c r="BC51" s="1209">
        <f t="shared" si="166"/>
        <v>3494936.0759381484</v>
      </c>
      <c r="BD51" s="1209">
        <f t="shared" si="166"/>
        <v>3300555.4</v>
      </c>
      <c r="BE51" s="1206">
        <f t="shared" si="166"/>
        <v>6589351.818073079</v>
      </c>
      <c r="BF51" s="1206">
        <f t="shared" si="166"/>
        <v>6819607.7199999997</v>
      </c>
      <c r="BG51" s="25"/>
      <c r="BH51" s="25"/>
      <c r="BI51" s="25"/>
      <c r="BJ51" s="25"/>
      <c r="BK51" s="25"/>
      <c r="BL51" s="25"/>
      <c r="BM51" s="25"/>
      <c r="BN51" s="25"/>
      <c r="BO51" s="4487"/>
    </row>
    <row r="52" spans="2:67" ht="18.75" x14ac:dyDescent="0.25">
      <c r="B52" s="1196" t="s">
        <v>896</v>
      </c>
      <c r="C52" s="1196"/>
      <c r="D52" s="230"/>
      <c r="E52" s="1196"/>
      <c r="F52" s="1196"/>
      <c r="G52" s="1196"/>
      <c r="H52" s="1196"/>
      <c r="I52" s="1196"/>
      <c r="J52" s="1196"/>
      <c r="K52" s="1196"/>
      <c r="L52" s="1196"/>
      <c r="M52" s="1196"/>
      <c r="N52" s="2468"/>
      <c r="O52" s="1196"/>
      <c r="P52" s="1196"/>
      <c r="Q52" s="1196"/>
      <c r="R52" s="1196"/>
      <c r="S52" s="1196"/>
      <c r="T52" s="1196"/>
      <c r="U52" s="1196"/>
      <c r="V52" s="1196"/>
      <c r="W52" s="1196"/>
      <c r="X52" s="1196"/>
      <c r="Y52" s="1196"/>
      <c r="Z52" s="1196"/>
      <c r="AA52" s="1196"/>
      <c r="AB52" s="1196"/>
      <c r="AC52" s="1196"/>
      <c r="AD52" s="1196"/>
      <c r="AE52" s="1196"/>
      <c r="AF52" s="1196"/>
      <c r="AG52" s="1196"/>
      <c r="AH52" s="1196"/>
      <c r="AI52" s="1196"/>
      <c r="AJ52" s="1196"/>
      <c r="AK52" s="1196"/>
      <c r="AL52" s="1196"/>
      <c r="AM52" s="1196"/>
      <c r="AN52" s="1196"/>
      <c r="AO52" s="1196"/>
      <c r="AP52" s="1196"/>
      <c r="AQ52" s="1196"/>
      <c r="AR52" s="1196"/>
      <c r="AS52" s="1196"/>
      <c r="AT52" s="1196"/>
      <c r="AU52" s="1196"/>
      <c r="AV52" s="1196"/>
      <c r="AW52" s="1196"/>
      <c r="AX52" s="1196"/>
      <c r="AY52" s="1196"/>
      <c r="AZ52" s="1196"/>
      <c r="BA52" s="1196"/>
      <c r="BB52" s="1196"/>
      <c r="BC52" s="1196"/>
      <c r="BD52" s="1196"/>
      <c r="BE52" s="1196"/>
      <c r="BF52" s="1196"/>
      <c r="BG52" s="25"/>
      <c r="BH52" s="25"/>
      <c r="BI52" s="25"/>
      <c r="BJ52" s="25"/>
      <c r="BK52" s="25"/>
      <c r="BL52" s="25"/>
      <c r="BM52" s="25"/>
      <c r="BN52" s="25"/>
    </row>
    <row r="53" spans="2:67" x14ac:dyDescent="0.25">
      <c r="B53" s="1197" t="s">
        <v>43</v>
      </c>
      <c r="C53" s="62" t="s">
        <v>218</v>
      </c>
      <c r="D53" s="1120">
        <f>+D38</f>
        <v>1188.6635380559389</v>
      </c>
      <c r="E53" s="1198">
        <f t="shared" ref="E53" si="167">+E38</f>
        <v>1188.6635380559389</v>
      </c>
      <c r="F53" s="1198">
        <f t="shared" ref="F53:BF53" si="168">+F38</f>
        <v>1201.9727983525127</v>
      </c>
      <c r="G53" s="1198">
        <f t="shared" si="168"/>
        <v>1178.212518852893</v>
      </c>
      <c r="H53" s="1198">
        <f t="shared" si="168"/>
        <v>1213.3316071217484</v>
      </c>
      <c r="I53" s="1199">
        <f t="shared" si="168"/>
        <v>1182.7282267375447</v>
      </c>
      <c r="J53" s="1199">
        <f t="shared" si="168"/>
        <v>1206.7735682421624</v>
      </c>
      <c r="K53" s="1198">
        <f t="shared" si="168"/>
        <v>1177.9256787576485</v>
      </c>
      <c r="L53" s="1198">
        <f t="shared" si="168"/>
        <v>1173.5331168244418</v>
      </c>
      <c r="M53" s="1201">
        <f t="shared" si="168"/>
        <v>1181.0213920936083</v>
      </c>
      <c r="N53" s="1201">
        <f t="shared" si="168"/>
        <v>1195.2468371228877</v>
      </c>
      <c r="O53" s="1198">
        <f t="shared" si="168"/>
        <v>1178.0352408390813</v>
      </c>
      <c r="P53" s="1198">
        <f t="shared" si="168"/>
        <v>1181.812242436426</v>
      </c>
      <c r="Q53" s="1199">
        <f t="shared" si="168"/>
        <v>1180.2319005004849</v>
      </c>
      <c r="R53" s="1199">
        <f t="shared" si="168"/>
        <v>1191.6418079522712</v>
      </c>
      <c r="S53" s="1198">
        <f t="shared" si="168"/>
        <v>1178.0352408390813</v>
      </c>
      <c r="T53" s="1198">
        <f t="shared" si="168"/>
        <v>1199.1836713389825</v>
      </c>
      <c r="U53" s="1199">
        <f t="shared" si="168"/>
        <v>1179.7725762461505</v>
      </c>
      <c r="V53" s="1199">
        <f t="shared" si="168"/>
        <v>1193.1903246496809</v>
      </c>
      <c r="W53" s="1198">
        <f t="shared" si="168"/>
        <v>1177.1843146191436</v>
      </c>
      <c r="X53" s="1198">
        <f t="shared" si="168"/>
        <v>1175.0581668374316</v>
      </c>
      <c r="Y53" s="1201">
        <f t="shared" si="168"/>
        <v>1177.8512556349929</v>
      </c>
      <c r="Z53" s="1201">
        <f t="shared" si="168"/>
        <v>1185.3808601437984</v>
      </c>
      <c r="AA53" s="1140">
        <f t="shared" si="168"/>
        <v>1179.5048614309994</v>
      </c>
      <c r="AB53" s="1140">
        <f t="shared" si="168"/>
        <v>1190.1579242582925</v>
      </c>
      <c r="AC53" s="1198">
        <f t="shared" si="168"/>
        <v>1178.212518852893</v>
      </c>
      <c r="AD53" s="1198">
        <f t="shared" si="168"/>
        <v>1196.438523393753</v>
      </c>
      <c r="AE53" s="1199">
        <f t="shared" si="168"/>
        <v>1179.2976514294442</v>
      </c>
      <c r="AF53" s="1199">
        <f t="shared" si="168"/>
        <v>1190.9025868263759</v>
      </c>
      <c r="AG53" s="1198">
        <f t="shared" si="168"/>
        <v>1176.08409266994</v>
      </c>
      <c r="AH53" s="1198">
        <f t="shared" si="168"/>
        <v>1194.1857861422259</v>
      </c>
      <c r="AI53" s="1199">
        <f t="shared" si="168"/>
        <v>1178.8607845388128</v>
      </c>
      <c r="AJ53" s="1199">
        <f t="shared" si="168"/>
        <v>1191.3159473504168</v>
      </c>
      <c r="AK53" s="1198">
        <f t="shared" si="168"/>
        <v>1176.4211243625643</v>
      </c>
      <c r="AL53" s="1198">
        <f t="shared" si="168"/>
        <v>1206.9151929650441</v>
      </c>
      <c r="AM53" s="1201">
        <f t="shared" si="168"/>
        <v>1176.9093664462257</v>
      </c>
      <c r="AN53" s="1201">
        <f t="shared" si="168"/>
        <v>1199.3111408670252</v>
      </c>
      <c r="AO53" s="1199">
        <f t="shared" si="168"/>
        <v>1178.5612048015635</v>
      </c>
      <c r="AP53" s="1199">
        <f t="shared" si="168"/>
        <v>1193.0370241679</v>
      </c>
      <c r="AQ53" s="1198">
        <f t="shared" si="168"/>
        <v>1178.3497550116708</v>
      </c>
      <c r="AR53" s="1198">
        <f t="shared" si="168"/>
        <v>1209.8586938730973</v>
      </c>
      <c r="AS53" s="1199">
        <f t="shared" si="168"/>
        <v>1178.5379948626719</v>
      </c>
      <c r="AT53" s="1199">
        <f t="shared" si="168"/>
        <v>1194.7329974658674</v>
      </c>
      <c r="AU53" s="1198">
        <f t="shared" si="168"/>
        <v>1177.2969935628637</v>
      </c>
      <c r="AV53" s="1198">
        <f t="shared" si="168"/>
        <v>1212.1858940561417</v>
      </c>
      <c r="AW53" s="1199">
        <f t="shared" si="168"/>
        <v>1178.4264883044534</v>
      </c>
      <c r="AX53" s="1199">
        <f t="shared" si="168"/>
        <v>1196.1238471966715</v>
      </c>
      <c r="AY53" s="1198">
        <f t="shared" si="168"/>
        <v>1178.3497550116708</v>
      </c>
      <c r="AZ53" s="1198">
        <f t="shared" si="168"/>
        <v>1247.3672293775078</v>
      </c>
      <c r="BA53" s="1201">
        <f t="shared" si="168"/>
        <v>1178.0231879644657</v>
      </c>
      <c r="BB53" s="1201">
        <f t="shared" si="168"/>
        <v>1223.9736010417864</v>
      </c>
      <c r="BC53" s="1140">
        <f t="shared" si="168"/>
        <v>1177.4615812141424</v>
      </c>
      <c r="BD53" s="1140">
        <f t="shared" si="168"/>
        <v>1211.8364430679055</v>
      </c>
      <c r="BE53" s="1214">
        <f t="shared" si="168"/>
        <v>1178.4195186997365</v>
      </c>
      <c r="BF53" s="1214">
        <f t="shared" si="168"/>
        <v>1200.6182654171496</v>
      </c>
      <c r="BG53" s="25"/>
      <c r="BH53" s="25"/>
      <c r="BI53" s="25"/>
      <c r="BJ53" s="25"/>
      <c r="BK53" s="25"/>
      <c r="BL53" s="25"/>
      <c r="BM53" s="25"/>
      <c r="BN53" s="25"/>
    </row>
    <row r="54" spans="2:67" x14ac:dyDescent="0.25">
      <c r="B54" s="7581" t="s">
        <v>70</v>
      </c>
      <c r="C54" s="62" t="s">
        <v>218</v>
      </c>
      <c r="D54" s="1120">
        <f t="shared" ref="D54:D61" si="169">D42/$D$67*1000</f>
        <v>17.991079789733</v>
      </c>
      <c r="E54" s="1198">
        <f t="shared" ref="E54" si="170">+E42/E$67*1000</f>
        <v>17.991079789733</v>
      </c>
      <c r="F54" s="1198">
        <f t="shared" ref="F54:BF54" si="171">+F42/F$67*1000</f>
        <v>32.07565316767937</v>
      </c>
      <c r="G54" s="1211">
        <f t="shared" si="171"/>
        <v>19.481408076330638</v>
      </c>
      <c r="H54" s="1211">
        <f t="shared" si="171"/>
        <v>8.4771999347041707</v>
      </c>
      <c r="I54" s="1214">
        <f t="shared" si="171"/>
        <v>18.83746253726332</v>
      </c>
      <c r="J54" s="1214">
        <f t="shared" si="171"/>
        <v>20.246496259949716</v>
      </c>
      <c r="K54" s="1211">
        <f t="shared" si="171"/>
        <v>19.481408076330638</v>
      </c>
      <c r="L54" s="1211">
        <f t="shared" si="171"/>
        <v>16.798928440444993</v>
      </c>
      <c r="M54" s="1212">
        <f t="shared" si="171"/>
        <v>19.066322000924991</v>
      </c>
      <c r="N54" s="1212">
        <f t="shared" si="171"/>
        <v>19.050989412840249</v>
      </c>
      <c r="O54" s="1211">
        <f t="shared" si="171"/>
        <v>19.481408076330638</v>
      </c>
      <c r="P54" s="1211">
        <f t="shared" si="171"/>
        <v>38.986330284450702</v>
      </c>
      <c r="Q54" s="1214">
        <f t="shared" si="171"/>
        <v>19.176064254087258</v>
      </c>
      <c r="R54" s="1214">
        <f t="shared" si="171"/>
        <v>24.400423991671207</v>
      </c>
      <c r="S54" s="1211">
        <f t="shared" si="171"/>
        <v>19.481408076330638</v>
      </c>
      <c r="T54" s="1211">
        <f t="shared" si="171"/>
        <v>31.455272862030537</v>
      </c>
      <c r="U54" s="1214">
        <f t="shared" si="171"/>
        <v>19.239912025288181</v>
      </c>
      <c r="V54" s="1214">
        <f t="shared" si="171"/>
        <v>25.848945492697297</v>
      </c>
      <c r="W54" s="1211">
        <f t="shared" si="171"/>
        <v>19.481408076330638</v>
      </c>
      <c r="X54" s="1211">
        <f t="shared" si="171"/>
        <v>38.576886953551913</v>
      </c>
      <c r="Y54" s="1212">
        <f t="shared" si="171"/>
        <v>19.481408076330638</v>
      </c>
      <c r="Z54" s="1212">
        <f t="shared" si="171"/>
        <v>36.357092989757973</v>
      </c>
      <c r="AA54" s="1140">
        <f t="shared" si="171"/>
        <v>19.264890980270923</v>
      </c>
      <c r="AB54" s="1215">
        <f t="shared" si="171"/>
        <v>27.977551203452368</v>
      </c>
      <c r="AC54" s="1211">
        <f t="shared" si="171"/>
        <v>19.481408076330638</v>
      </c>
      <c r="AD54" s="1211">
        <f t="shared" si="171"/>
        <v>58.686738674663623</v>
      </c>
      <c r="AE54" s="1199">
        <f t="shared" si="171"/>
        <v>19.299606626548652</v>
      </c>
      <c r="AF54" s="1214">
        <f t="shared" si="171"/>
        <v>31.618602305877896</v>
      </c>
      <c r="AG54" s="1211">
        <f t="shared" si="171"/>
        <v>19.481408076330634</v>
      </c>
      <c r="AH54" s="1211">
        <f t="shared" si="171"/>
        <v>28.066170406820206</v>
      </c>
      <c r="AI54" s="1199">
        <f t="shared" si="171"/>
        <v>19.324321604559753</v>
      </c>
      <c r="AJ54" s="1214">
        <f t="shared" si="171"/>
        <v>31.171344929718618</v>
      </c>
      <c r="AK54" s="1211">
        <f t="shared" si="171"/>
        <v>19.481408076330638</v>
      </c>
      <c r="AL54" s="1211">
        <f t="shared" si="171"/>
        <v>21.701463490364915</v>
      </c>
      <c r="AM54" s="1212">
        <f t="shared" si="171"/>
        <v>19.481408076330638</v>
      </c>
      <c r="AN54" s="1212">
        <f t="shared" si="171"/>
        <v>34.809557288399958</v>
      </c>
      <c r="AO54" s="1199">
        <f t="shared" si="171"/>
        <v>19.343611145126385</v>
      </c>
      <c r="AP54" s="1214">
        <f t="shared" si="171"/>
        <v>30.126525596000221</v>
      </c>
      <c r="AQ54" s="1211">
        <f t="shared" si="171"/>
        <v>19.481408076330634</v>
      </c>
      <c r="AR54" s="1211">
        <f t="shared" si="171"/>
        <v>29.409678651317584</v>
      </c>
      <c r="AS54" s="1199">
        <f t="shared" si="171"/>
        <v>19.358736524793724</v>
      </c>
      <c r="AT54" s="1214">
        <f t="shared" si="171"/>
        <v>30.054252551872164</v>
      </c>
      <c r="AU54" s="1211">
        <f t="shared" si="171"/>
        <v>19.481408076330638</v>
      </c>
      <c r="AV54" s="1211">
        <f t="shared" si="171"/>
        <v>22.023465440246976</v>
      </c>
      <c r="AW54" s="1199">
        <f t="shared" si="171"/>
        <v>19.369758819859268</v>
      </c>
      <c r="AX54" s="1214">
        <f t="shared" si="171"/>
        <v>29.414266058250423</v>
      </c>
      <c r="AY54" s="1211">
        <f t="shared" si="171"/>
        <v>19.481408076330634</v>
      </c>
      <c r="AZ54" s="1211">
        <f t="shared" si="171"/>
        <v>7.3006729361711091</v>
      </c>
      <c r="BA54" s="1212">
        <f t="shared" si="171"/>
        <v>19.481408076330634</v>
      </c>
      <c r="BB54" s="1212">
        <f t="shared" si="171"/>
        <v>19.305463159620601</v>
      </c>
      <c r="BC54" s="1140">
        <f t="shared" si="171"/>
        <v>19.481408076330634</v>
      </c>
      <c r="BD54" s="1215">
        <f t="shared" si="171"/>
        <v>26.935506486582973</v>
      </c>
      <c r="BE54" s="1214">
        <f t="shared" si="171"/>
        <v>19.379899805034071</v>
      </c>
      <c r="BF54" s="1214">
        <f t="shared" si="171"/>
        <v>27.474742716536525</v>
      </c>
      <c r="BG54" s="25"/>
      <c r="BH54" s="25"/>
      <c r="BI54" s="25"/>
      <c r="BJ54" s="25"/>
      <c r="BK54" s="25"/>
      <c r="BL54" s="25"/>
      <c r="BM54" s="25"/>
      <c r="BN54" s="25"/>
    </row>
    <row r="55" spans="2:67" x14ac:dyDescent="0.25">
      <c r="B55" s="7581" t="s">
        <v>641</v>
      </c>
      <c r="C55" s="62" t="s">
        <v>218</v>
      </c>
      <c r="D55" s="1819">
        <f t="shared" si="169"/>
        <v>4.987323138990619</v>
      </c>
      <c r="E55" s="1211">
        <f t="shared" ref="E55" si="172">+E43/E$67*1000</f>
        <v>4.9873231389906181</v>
      </c>
      <c r="F55" s="1211">
        <f t="shared" ref="F55:BF55" si="173">+F43/F$67*1000</f>
        <v>4.9871572920556249</v>
      </c>
      <c r="G55" s="1211">
        <f t="shared" si="173"/>
        <v>4.9928765981790804</v>
      </c>
      <c r="H55" s="1211">
        <f t="shared" si="173"/>
        <v>3.7770260001238367</v>
      </c>
      <c r="I55" s="1214">
        <f t="shared" si="173"/>
        <v>4.9904770427905376</v>
      </c>
      <c r="J55" s="1214">
        <f t="shared" si="173"/>
        <v>4.3805568174443508</v>
      </c>
      <c r="K55" s="1211">
        <f t="shared" si="173"/>
        <v>4.9928765981790804</v>
      </c>
      <c r="L55" s="1211">
        <f t="shared" si="173"/>
        <v>3.0509681774451596</v>
      </c>
      <c r="M55" s="1212">
        <f t="shared" si="173"/>
        <v>4.9913298493183129</v>
      </c>
      <c r="N55" s="1212">
        <f t="shared" si="173"/>
        <v>3.9194977734524756</v>
      </c>
      <c r="O55" s="1211">
        <f t="shared" si="173"/>
        <v>4.9928765981790804</v>
      </c>
      <c r="P55" s="1211">
        <f t="shared" si="173"/>
        <v>2.191174992461554</v>
      </c>
      <c r="Q55" s="1199">
        <f t="shared" si="173"/>
        <v>4.9917387854766524</v>
      </c>
      <c r="R55" s="1214">
        <f t="shared" si="173"/>
        <v>3.4557209206984534</v>
      </c>
      <c r="S55" s="1211">
        <f t="shared" si="173"/>
        <v>4.9928765981790804</v>
      </c>
      <c r="T55" s="1211">
        <f t="shared" si="173"/>
        <v>0.78814340034292063</v>
      </c>
      <c r="U55" s="1199">
        <f t="shared" si="173"/>
        <v>4.9919767035211704</v>
      </c>
      <c r="V55" s="1214">
        <f t="shared" si="173"/>
        <v>2.9080063679284458</v>
      </c>
      <c r="W55" s="1211">
        <f t="shared" si="173"/>
        <v>4.9928765981790804</v>
      </c>
      <c r="X55" s="1211">
        <f t="shared" si="173"/>
        <v>2.4760928961748636</v>
      </c>
      <c r="Y55" s="1212">
        <f t="shared" si="173"/>
        <v>4.9928765981790804</v>
      </c>
      <c r="Z55" s="1212">
        <f t="shared" si="173"/>
        <v>1.8184602261569327</v>
      </c>
      <c r="AA55" s="1140">
        <f t="shared" si="173"/>
        <v>4.9920697834206225</v>
      </c>
      <c r="AB55" s="1215">
        <f t="shared" si="173"/>
        <v>2.8357736753634852</v>
      </c>
      <c r="AC55" s="1211">
        <f t="shared" si="173"/>
        <v>4.9928765981790804</v>
      </c>
      <c r="AD55" s="1211">
        <f t="shared" si="173"/>
        <v>9.1889811841511637</v>
      </c>
      <c r="AE55" s="1199">
        <f t="shared" si="173"/>
        <v>4.9921991454722843</v>
      </c>
      <c r="AF55" s="1214">
        <f t="shared" si="173"/>
        <v>3.5890450937458578</v>
      </c>
      <c r="AG55" s="1211">
        <f t="shared" si="173"/>
        <v>4.9928765981790804</v>
      </c>
      <c r="AH55" s="1211">
        <f t="shared" si="173"/>
        <v>14.401730173727355</v>
      </c>
      <c r="AI55" s="1199">
        <f t="shared" si="173"/>
        <v>4.9922912417056873</v>
      </c>
      <c r="AJ55" s="1214">
        <f t="shared" si="173"/>
        <v>4.9503810167207289</v>
      </c>
      <c r="AK55" s="1211">
        <f t="shared" si="173"/>
        <v>4.9928765981790804</v>
      </c>
      <c r="AL55" s="1211">
        <f t="shared" si="173"/>
        <v>18.432936988686297</v>
      </c>
      <c r="AM55" s="1212">
        <f t="shared" si="173"/>
        <v>4.9928765981790804</v>
      </c>
      <c r="AN55" s="1212">
        <f t="shared" si="173"/>
        <v>14.28770079164345</v>
      </c>
      <c r="AO55" s="1199">
        <f t="shared" si="173"/>
        <v>4.9923631209535442</v>
      </c>
      <c r="AP55" s="1214">
        <f t="shared" si="173"/>
        <v>6.4379218310027166</v>
      </c>
      <c r="AQ55" s="1211">
        <f t="shared" si="173"/>
        <v>4.9928765981790795</v>
      </c>
      <c r="AR55" s="1211">
        <f t="shared" si="173"/>
        <v>13.465000818375252</v>
      </c>
      <c r="AS55" s="1199">
        <f t="shared" si="173"/>
        <v>4.9924194831520277</v>
      </c>
      <c r="AT55" s="1214">
        <f t="shared" si="173"/>
        <v>7.1463971806054962</v>
      </c>
      <c r="AU55" s="1211">
        <f t="shared" si="173"/>
        <v>4.9928765981790804</v>
      </c>
      <c r="AV55" s="1211">
        <f t="shared" si="173"/>
        <v>11.259472885156553</v>
      </c>
      <c r="AW55" s="1199">
        <f t="shared" si="173"/>
        <v>4.9924605558917454</v>
      </c>
      <c r="AX55" s="1214">
        <f t="shared" si="173"/>
        <v>7.4741748768098839</v>
      </c>
      <c r="AY55" s="1211">
        <f t="shared" si="173"/>
        <v>4.9928765981790795</v>
      </c>
      <c r="AZ55" s="1211">
        <f t="shared" si="173"/>
        <v>6.9294522783996966</v>
      </c>
      <c r="BA55" s="1212">
        <f t="shared" si="173"/>
        <v>4.9928765981790804</v>
      </c>
      <c r="BB55" s="1212">
        <f t="shared" si="173"/>
        <v>10.471574194302212</v>
      </c>
      <c r="BC55" s="1140">
        <f t="shared" si="173"/>
        <v>4.9928765981790804</v>
      </c>
      <c r="BD55" s="1215">
        <f t="shared" si="173"/>
        <v>12.349607895403041</v>
      </c>
      <c r="BE55" s="1214">
        <f t="shared" si="173"/>
        <v>4.9924983445775037</v>
      </c>
      <c r="BF55" s="1214">
        <f t="shared" si="173"/>
        <v>7.4263987334873987</v>
      </c>
      <c r="BG55" s="25"/>
      <c r="BH55" s="25"/>
      <c r="BI55" s="25"/>
      <c r="BJ55" s="25"/>
      <c r="BK55" s="25"/>
      <c r="BL55" s="25"/>
      <c r="BM55" s="25"/>
      <c r="BN55" s="25"/>
    </row>
    <row r="56" spans="2:67" x14ac:dyDescent="0.25">
      <c r="B56" s="7581" t="s">
        <v>44</v>
      </c>
      <c r="C56" s="62" t="s">
        <v>218</v>
      </c>
      <c r="D56" s="1819">
        <f t="shared" si="169"/>
        <v>22.433700224115288</v>
      </c>
      <c r="E56" s="1211">
        <f t="shared" ref="E56" si="174">+E44/E$67*1000</f>
        <v>22.433700224115292</v>
      </c>
      <c r="F56" s="1211">
        <f t="shared" ref="F56:BF56" si="175">+F44/F$67*1000</f>
        <v>19.612003122984486</v>
      </c>
      <c r="G56" s="1211">
        <f t="shared" si="175"/>
        <v>22.458680486105333</v>
      </c>
      <c r="H56" s="1211">
        <f t="shared" si="175"/>
        <v>20.827118033469741</v>
      </c>
      <c r="I56" s="1214">
        <f t="shared" si="175"/>
        <v>22.44788693919498</v>
      </c>
      <c r="J56" s="1214">
        <f t="shared" si="175"/>
        <v>20.221101727674679</v>
      </c>
      <c r="K56" s="1211">
        <f t="shared" si="175"/>
        <v>22.45868048610533</v>
      </c>
      <c r="L56" s="1211">
        <f t="shared" si="175"/>
        <v>21.997267948356782</v>
      </c>
      <c r="M56" s="1212">
        <f t="shared" si="175"/>
        <v>22.451722986200579</v>
      </c>
      <c r="N56" s="1212">
        <f t="shared" si="175"/>
        <v>20.837019670294023</v>
      </c>
      <c r="O56" s="1211">
        <f t="shared" si="175"/>
        <v>22.458680486105333</v>
      </c>
      <c r="P56" s="1211">
        <f t="shared" si="175"/>
        <v>20.06231782088652</v>
      </c>
      <c r="Q56" s="1214">
        <f t="shared" si="175"/>
        <v>22.453562440138359</v>
      </c>
      <c r="R56" s="1214">
        <f t="shared" si="175"/>
        <v>20.629136750799702</v>
      </c>
      <c r="S56" s="1211">
        <f t="shared" si="175"/>
        <v>22.458680486105333</v>
      </c>
      <c r="T56" s="1211">
        <f t="shared" si="175"/>
        <v>19.147709034158968</v>
      </c>
      <c r="U56" s="1214">
        <f t="shared" si="175"/>
        <v>22.454632629885428</v>
      </c>
      <c r="V56" s="1214">
        <f t="shared" si="175"/>
        <v>20.324965826772413</v>
      </c>
      <c r="W56" s="1211">
        <f t="shared" si="175"/>
        <v>22.45868048610533</v>
      </c>
      <c r="X56" s="1211">
        <f t="shared" si="175"/>
        <v>18.909558572404372</v>
      </c>
      <c r="Y56" s="1212">
        <f t="shared" si="175"/>
        <v>22.458680486105333</v>
      </c>
      <c r="Z56" s="1212">
        <f t="shared" si="175"/>
        <v>19.385374285311393</v>
      </c>
      <c r="AA56" s="1140">
        <f t="shared" si="175"/>
        <v>22.455051316724639</v>
      </c>
      <c r="AB56" s="1215">
        <f t="shared" si="175"/>
        <v>20.08825480999424</v>
      </c>
      <c r="AC56" s="1211">
        <f t="shared" si="175"/>
        <v>22.458680486105333</v>
      </c>
      <c r="AD56" s="1211">
        <f t="shared" si="175"/>
        <v>16.002760011676973</v>
      </c>
      <c r="AE56" s="1199">
        <f t="shared" si="175"/>
        <v>22.455633205927821</v>
      </c>
      <c r="AF56" s="1214">
        <f t="shared" si="175"/>
        <v>19.603855952052719</v>
      </c>
      <c r="AG56" s="1211">
        <f t="shared" si="175"/>
        <v>22.458680486105333</v>
      </c>
      <c r="AH56" s="1211">
        <f t="shared" si="175"/>
        <v>19.270574485398928</v>
      </c>
      <c r="AI56" s="1199">
        <f t="shared" si="175"/>
        <v>22.456047468094994</v>
      </c>
      <c r="AJ56" s="1214">
        <f t="shared" si="175"/>
        <v>19.561895233724062</v>
      </c>
      <c r="AK56" s="1211">
        <f t="shared" si="175"/>
        <v>22.458680486105333</v>
      </c>
      <c r="AL56" s="1211">
        <f t="shared" si="175"/>
        <v>20.725618427946873</v>
      </c>
      <c r="AM56" s="1212">
        <f t="shared" si="175"/>
        <v>22.458680486105333</v>
      </c>
      <c r="AN56" s="1212">
        <f t="shared" si="175"/>
        <v>18.823046636074473</v>
      </c>
      <c r="AO56" s="1199">
        <f t="shared" si="175"/>
        <v>22.456370791339513</v>
      </c>
      <c r="AP56" s="1214">
        <f t="shared" si="175"/>
        <v>19.690289712599768</v>
      </c>
      <c r="AQ56" s="1211">
        <f t="shared" si="175"/>
        <v>22.45868048610533</v>
      </c>
      <c r="AR56" s="1211">
        <f t="shared" si="175"/>
        <v>20.399367123138195</v>
      </c>
      <c r="AS56" s="1199">
        <f t="shared" si="175"/>
        <v>22.456624316653489</v>
      </c>
      <c r="AT56" s="1214">
        <f t="shared" si="175"/>
        <v>19.761779426495028</v>
      </c>
      <c r="AU56" s="1211">
        <f t="shared" si="175"/>
        <v>22.458680486105333</v>
      </c>
      <c r="AV56" s="1211">
        <f t="shared" si="175"/>
        <v>19.082345019469837</v>
      </c>
      <c r="AW56" s="1199">
        <f t="shared" si="175"/>
        <v>22.456809067772383</v>
      </c>
      <c r="AX56" s="1214">
        <f t="shared" si="175"/>
        <v>19.707634192938954</v>
      </c>
      <c r="AY56" s="1211">
        <f t="shared" si="175"/>
        <v>22.45868048610533</v>
      </c>
      <c r="AZ56" s="1211">
        <f t="shared" si="175"/>
        <v>17.594806070115951</v>
      </c>
      <c r="BA56" s="1212">
        <f t="shared" si="175"/>
        <v>22.45868048610533</v>
      </c>
      <c r="BB56" s="1212">
        <f t="shared" si="175"/>
        <v>19.004875364427367</v>
      </c>
      <c r="BC56" s="1140">
        <f t="shared" si="175"/>
        <v>22.45868048610533</v>
      </c>
      <c r="BD56" s="1215">
        <f t="shared" si="175"/>
        <v>18.915391834212997</v>
      </c>
      <c r="BE56" s="1214">
        <f t="shared" si="175"/>
        <v>22.456979046741967</v>
      </c>
      <c r="BF56" s="1214">
        <f t="shared" si="175"/>
        <v>19.522323762443911</v>
      </c>
      <c r="BG56" s="25"/>
      <c r="BH56" s="25"/>
      <c r="BI56" s="25"/>
      <c r="BJ56" s="25"/>
      <c r="BK56" s="25"/>
      <c r="BL56" s="25"/>
      <c r="BM56" s="25"/>
      <c r="BN56" s="25"/>
    </row>
    <row r="57" spans="2:67" x14ac:dyDescent="0.25">
      <c r="B57" s="7581" t="s">
        <v>71</v>
      </c>
      <c r="C57" s="62" t="s">
        <v>218</v>
      </c>
      <c r="D57" s="1819">
        <f t="shared" si="169"/>
        <v>18.900000000000002</v>
      </c>
      <c r="E57" s="1211">
        <f t="shared" ref="E57" si="176">+E45/E$67*1000</f>
        <v>18.900000000000006</v>
      </c>
      <c r="F57" s="1211">
        <f t="shared" ref="F57:BF57" si="177">+F45/F$67*1000</f>
        <v>28.647159328784635</v>
      </c>
      <c r="G57" s="1211">
        <f t="shared" si="177"/>
        <v>19.050000000000004</v>
      </c>
      <c r="H57" s="1211">
        <f t="shared" si="177"/>
        <v>22.707187607301876</v>
      </c>
      <c r="I57" s="1214">
        <f t="shared" si="177"/>
        <v>18.985187547784786</v>
      </c>
      <c r="J57" s="1214">
        <f t="shared" si="177"/>
        <v>25.669639708019311</v>
      </c>
      <c r="K57" s="1211">
        <f t="shared" si="177"/>
        <v>19.05</v>
      </c>
      <c r="L57" s="1211">
        <f t="shared" si="177"/>
        <v>26.454126514189127</v>
      </c>
      <c r="M57" s="1212">
        <f t="shared" si="177"/>
        <v>19.008222016000929</v>
      </c>
      <c r="N57" s="1212">
        <f t="shared" si="177"/>
        <v>25.941674776607982</v>
      </c>
      <c r="O57" s="1211">
        <f t="shared" si="177"/>
        <v>19.050000000000004</v>
      </c>
      <c r="P57" s="1211">
        <f t="shared" si="177"/>
        <v>26.517740476429793</v>
      </c>
      <c r="Q57" s="1214">
        <f t="shared" si="177"/>
        <v>19.019267460231148</v>
      </c>
      <c r="R57" s="1214">
        <f t="shared" si="177"/>
        <v>26.096255819096886</v>
      </c>
      <c r="S57" s="1211">
        <f t="shared" si="177"/>
        <v>19.050000000000004</v>
      </c>
      <c r="T57" s="1211">
        <f t="shared" si="177"/>
        <v>20.301216924727086</v>
      </c>
      <c r="U57" s="1214">
        <f t="shared" si="177"/>
        <v>19.025693672339088</v>
      </c>
      <c r="V57" s="1214">
        <f t="shared" si="177"/>
        <v>24.906402061485554</v>
      </c>
      <c r="W57" s="1211">
        <f t="shared" si="177"/>
        <v>19.050000000000004</v>
      </c>
      <c r="X57" s="1211">
        <f t="shared" si="177"/>
        <v>27.706625683060111</v>
      </c>
      <c r="Y57" s="1212">
        <f t="shared" si="177"/>
        <v>19.05</v>
      </c>
      <c r="Z57" s="1212">
        <f t="shared" si="177"/>
        <v>24.842485182836572</v>
      </c>
      <c r="AA57" s="1140">
        <f t="shared" si="177"/>
        <v>19.028207778312318</v>
      </c>
      <c r="AB57" s="1215">
        <f t="shared" si="177"/>
        <v>25.374708111651394</v>
      </c>
      <c r="AC57" s="1211">
        <f t="shared" si="177"/>
        <v>19.050000000000004</v>
      </c>
      <c r="AD57" s="1211">
        <f t="shared" si="177"/>
        <v>28.39959130596322</v>
      </c>
      <c r="AE57" s="1199">
        <f t="shared" si="177"/>
        <v>19.03170187218981</v>
      </c>
      <c r="AF57" s="1214">
        <f t="shared" si="177"/>
        <v>25.733354992155235</v>
      </c>
      <c r="AG57" s="1211">
        <f t="shared" si="177"/>
        <v>19.050000000000004</v>
      </c>
      <c r="AH57" s="1211">
        <f t="shared" si="177"/>
        <v>27.197806698961784</v>
      </c>
      <c r="AI57" s="1199">
        <f t="shared" si="177"/>
        <v>19.034189409153988</v>
      </c>
      <c r="AJ57" s="1214">
        <f t="shared" si="177"/>
        <v>25.917732017953252</v>
      </c>
      <c r="AK57" s="1211">
        <f t="shared" si="177"/>
        <v>19.050000000000004</v>
      </c>
      <c r="AL57" s="1211">
        <f t="shared" si="177"/>
        <v>23.220676826174827</v>
      </c>
      <c r="AM57" s="1212">
        <f t="shared" si="177"/>
        <v>19.05</v>
      </c>
      <c r="AN57" s="1212">
        <f t="shared" si="177"/>
        <v>26.15505942917266</v>
      </c>
      <c r="AO57" s="1199">
        <f t="shared" si="177"/>
        <v>19.03613088145309</v>
      </c>
      <c r="AP57" s="1214">
        <f t="shared" si="177"/>
        <v>25.620163835445151</v>
      </c>
      <c r="AQ57" s="1211">
        <f t="shared" si="177"/>
        <v>19.05</v>
      </c>
      <c r="AR57" s="1211">
        <f t="shared" si="177"/>
        <v>22.731736592285447</v>
      </c>
      <c r="AS57" s="1199">
        <f t="shared" si="177"/>
        <v>19.037653235266344</v>
      </c>
      <c r="AT57" s="1214">
        <f t="shared" si="177"/>
        <v>25.328950444422073</v>
      </c>
      <c r="AU57" s="1211">
        <f t="shared" si="177"/>
        <v>19.050000000000004</v>
      </c>
      <c r="AV57" s="1211">
        <f t="shared" si="177"/>
        <v>21.442228899207866</v>
      </c>
      <c r="AW57" s="1199">
        <f t="shared" si="177"/>
        <v>19.038762617859895</v>
      </c>
      <c r="AX57" s="1214">
        <f t="shared" si="177"/>
        <v>25.0192112795269</v>
      </c>
      <c r="AY57" s="1211">
        <f t="shared" si="177"/>
        <v>19.05</v>
      </c>
      <c r="AZ57" s="1211">
        <f t="shared" si="177"/>
        <v>18.900660298872122</v>
      </c>
      <c r="BA57" s="1212">
        <f t="shared" si="177"/>
        <v>19.050000000000004</v>
      </c>
      <c r="BB57" s="1212">
        <f t="shared" si="177"/>
        <v>20.978012803720883</v>
      </c>
      <c r="BC57" s="1140">
        <f t="shared" si="177"/>
        <v>19.050000000000004</v>
      </c>
      <c r="BD57" s="1215">
        <f t="shared" si="177"/>
        <v>23.525797261800108</v>
      </c>
      <c r="BE57" s="1214">
        <f t="shared" si="177"/>
        <v>19.039783297524838</v>
      </c>
      <c r="BF57" s="1214">
        <f t="shared" si="177"/>
        <v>24.482569749634695</v>
      </c>
      <c r="BG57" s="25"/>
      <c r="BH57" s="25"/>
      <c r="BI57" s="25"/>
      <c r="BJ57" s="25"/>
      <c r="BK57" s="25"/>
      <c r="BL57" s="25"/>
      <c r="BM57" s="25"/>
      <c r="BN57" s="25"/>
    </row>
    <row r="58" spans="2:67" x14ac:dyDescent="0.25">
      <c r="B58" s="7581" t="s">
        <v>67</v>
      </c>
      <c r="C58" s="62" t="s">
        <v>218</v>
      </c>
      <c r="D58" s="1819">
        <f t="shared" si="169"/>
        <v>80</v>
      </c>
      <c r="E58" s="1211">
        <f t="shared" ref="E58" si="178">+E46/E$67*1000</f>
        <v>80</v>
      </c>
      <c r="F58" s="1211">
        <f t="shared" ref="F58:BF58" si="179">+F46/F$67*1000</f>
        <v>80</v>
      </c>
      <c r="G58" s="1211">
        <f t="shared" si="179"/>
        <v>90</v>
      </c>
      <c r="H58" s="1211">
        <f t="shared" si="179"/>
        <v>80</v>
      </c>
      <c r="I58" s="1214">
        <f t="shared" si="179"/>
        <v>85.679169852318736</v>
      </c>
      <c r="J58" s="1214">
        <f t="shared" si="179"/>
        <v>79.999999999999986</v>
      </c>
      <c r="K58" s="1211">
        <f t="shared" si="179"/>
        <v>90</v>
      </c>
      <c r="L58" s="1211">
        <f t="shared" si="179"/>
        <v>80</v>
      </c>
      <c r="M58" s="1212">
        <f t="shared" si="179"/>
        <v>87.214801066728242</v>
      </c>
      <c r="N58" s="1212">
        <f t="shared" si="179"/>
        <v>80</v>
      </c>
      <c r="O58" s="1211">
        <f t="shared" si="179"/>
        <v>90.000000000000014</v>
      </c>
      <c r="P58" s="1211">
        <f t="shared" si="179"/>
        <v>80</v>
      </c>
      <c r="Q58" s="1199">
        <f t="shared" si="179"/>
        <v>87.951164015409859</v>
      </c>
      <c r="R58" s="1214">
        <f t="shared" si="179"/>
        <v>80</v>
      </c>
      <c r="S58" s="1211">
        <f t="shared" si="179"/>
        <v>90.000000000000014</v>
      </c>
      <c r="T58" s="1211">
        <f t="shared" si="179"/>
        <v>80</v>
      </c>
      <c r="U58" s="1199">
        <f t="shared" si="179"/>
        <v>88.379578155939143</v>
      </c>
      <c r="V58" s="1214">
        <f t="shared" si="179"/>
        <v>80</v>
      </c>
      <c r="W58" s="1211">
        <f t="shared" si="179"/>
        <v>90</v>
      </c>
      <c r="X58" s="1211">
        <f t="shared" si="179"/>
        <v>80</v>
      </c>
      <c r="Y58" s="1212">
        <f t="shared" si="179"/>
        <v>90.000000000000014</v>
      </c>
      <c r="Z58" s="1212">
        <f t="shared" si="179"/>
        <v>80</v>
      </c>
      <c r="AA58" s="1140">
        <f t="shared" si="179"/>
        <v>88.547185220821277</v>
      </c>
      <c r="AB58" s="1215">
        <f t="shared" si="179"/>
        <v>80</v>
      </c>
      <c r="AC58" s="1211">
        <f t="shared" si="179"/>
        <v>90</v>
      </c>
      <c r="AD58" s="1211">
        <f t="shared" si="179"/>
        <v>80</v>
      </c>
      <c r="AE58" s="1199">
        <f t="shared" si="179"/>
        <v>88.780124812654307</v>
      </c>
      <c r="AF58" s="1214">
        <f t="shared" si="179"/>
        <v>80</v>
      </c>
      <c r="AG58" s="1211">
        <f t="shared" si="179"/>
        <v>90</v>
      </c>
      <c r="AH58" s="1211">
        <f t="shared" si="179"/>
        <v>80</v>
      </c>
      <c r="AI58" s="1199">
        <f t="shared" si="179"/>
        <v>88.9459606102659</v>
      </c>
      <c r="AJ58" s="1214">
        <f t="shared" si="179"/>
        <v>80</v>
      </c>
      <c r="AK58" s="1211">
        <f t="shared" si="179"/>
        <v>90</v>
      </c>
      <c r="AL58" s="1211">
        <f t="shared" si="179"/>
        <v>80</v>
      </c>
      <c r="AM58" s="1212">
        <f t="shared" si="179"/>
        <v>90</v>
      </c>
      <c r="AN58" s="1212">
        <f t="shared" si="179"/>
        <v>80</v>
      </c>
      <c r="AO58" s="1199">
        <f t="shared" si="179"/>
        <v>89.075392096872577</v>
      </c>
      <c r="AP58" s="1214">
        <f t="shared" si="179"/>
        <v>80</v>
      </c>
      <c r="AQ58" s="1211">
        <f t="shared" si="179"/>
        <v>90</v>
      </c>
      <c r="AR58" s="1211">
        <f t="shared" si="179"/>
        <v>80</v>
      </c>
      <c r="AS58" s="1199">
        <f t="shared" si="179"/>
        <v>89.176882351089446</v>
      </c>
      <c r="AT58" s="1214">
        <f t="shared" si="179"/>
        <v>80</v>
      </c>
      <c r="AU58" s="1211">
        <f t="shared" si="179"/>
        <v>90</v>
      </c>
      <c r="AV58" s="1211">
        <f t="shared" si="179"/>
        <v>80</v>
      </c>
      <c r="AW58" s="1199">
        <f t="shared" si="179"/>
        <v>89.250841190659656</v>
      </c>
      <c r="AX58" s="1214">
        <f t="shared" si="179"/>
        <v>80</v>
      </c>
      <c r="AY58" s="1211">
        <f t="shared" si="179"/>
        <v>90</v>
      </c>
      <c r="AZ58" s="1211">
        <f t="shared" si="179"/>
        <v>80</v>
      </c>
      <c r="BA58" s="1212">
        <f t="shared" si="179"/>
        <v>89.999999999999986</v>
      </c>
      <c r="BB58" s="1212">
        <f t="shared" si="179"/>
        <v>80</v>
      </c>
      <c r="BC58" s="1140">
        <f t="shared" si="179"/>
        <v>90</v>
      </c>
      <c r="BD58" s="1215">
        <f t="shared" si="179"/>
        <v>80</v>
      </c>
      <c r="BE58" s="1214">
        <f t="shared" si="179"/>
        <v>89.318886501655882</v>
      </c>
      <c r="BF58" s="1214">
        <f t="shared" si="179"/>
        <v>80</v>
      </c>
      <c r="BG58" s="25"/>
      <c r="BH58" s="25"/>
      <c r="BI58" s="25"/>
      <c r="BJ58" s="25"/>
      <c r="BK58" s="25"/>
      <c r="BL58" s="25"/>
      <c r="BM58" s="25"/>
      <c r="BN58" s="25"/>
    </row>
    <row r="59" spans="2:67" x14ac:dyDescent="0.25">
      <c r="B59" s="7581" t="s">
        <v>97</v>
      </c>
      <c r="C59" s="62" t="s">
        <v>218</v>
      </c>
      <c r="D59" s="1819">
        <f t="shared" si="169"/>
        <v>150.00000000000003</v>
      </c>
      <c r="E59" s="1198">
        <f t="shared" ref="E59" si="180">+E47/E$67*1000</f>
        <v>150</v>
      </c>
      <c r="F59" s="1198">
        <f t="shared" ref="F59:BF59" si="181">+F47/F$67*1000</f>
        <v>197.70698258596695</v>
      </c>
      <c r="G59" s="1211">
        <f t="shared" si="181"/>
        <v>150</v>
      </c>
      <c r="H59" s="1211">
        <f t="shared" si="181"/>
        <v>169.47082233342528</v>
      </c>
      <c r="I59" s="1214">
        <f t="shared" si="181"/>
        <v>150.00000000000003</v>
      </c>
      <c r="J59" s="1214">
        <f t="shared" si="181"/>
        <v>183.55309009133566</v>
      </c>
      <c r="K59" s="1211">
        <f t="shared" si="181"/>
        <v>150</v>
      </c>
      <c r="L59" s="1211">
        <f t="shared" si="181"/>
        <v>214.16839856062336</v>
      </c>
      <c r="M59" s="1212">
        <f t="shared" si="181"/>
        <v>150.00000000000003</v>
      </c>
      <c r="N59" s="1212">
        <f t="shared" si="181"/>
        <v>194.1695051461264</v>
      </c>
      <c r="O59" s="1211">
        <f t="shared" si="181"/>
        <v>150</v>
      </c>
      <c r="P59" s="1211">
        <f t="shared" si="181"/>
        <v>188.96120213086743</v>
      </c>
      <c r="Q59" s="1199">
        <f t="shared" si="181"/>
        <v>150</v>
      </c>
      <c r="R59" s="1214">
        <f t="shared" si="181"/>
        <v>192.77191297921578</v>
      </c>
      <c r="S59" s="1211">
        <f t="shared" si="181"/>
        <v>150</v>
      </c>
      <c r="T59" s="1211">
        <f t="shared" si="181"/>
        <v>151.35745956850454</v>
      </c>
      <c r="U59" s="1199">
        <f t="shared" si="181"/>
        <v>150</v>
      </c>
      <c r="V59" s="1214">
        <f t="shared" si="181"/>
        <v>184.26858040313422</v>
      </c>
      <c r="W59" s="1211">
        <f t="shared" si="181"/>
        <v>150</v>
      </c>
      <c r="X59" s="1211">
        <f t="shared" si="181"/>
        <v>164.18790556693989</v>
      </c>
      <c r="Y59" s="1212">
        <f t="shared" si="181"/>
        <v>150</v>
      </c>
      <c r="Z59" s="1212">
        <f t="shared" si="181"/>
        <v>168.46364333956501</v>
      </c>
      <c r="AA59" s="1140">
        <f t="shared" si="181"/>
        <v>150</v>
      </c>
      <c r="AB59" s="1215">
        <f t="shared" si="181"/>
        <v>180.91031235455785</v>
      </c>
      <c r="AC59" s="1211">
        <f t="shared" si="181"/>
        <v>150</v>
      </c>
      <c r="AD59" s="1211">
        <f t="shared" si="181"/>
        <v>149.1169289562379</v>
      </c>
      <c r="AE59" s="1199">
        <f t="shared" si="181"/>
        <v>150</v>
      </c>
      <c r="AF59" s="1214">
        <f t="shared" si="181"/>
        <v>177.14071298691542</v>
      </c>
      <c r="AG59" s="1211">
        <f t="shared" si="181"/>
        <v>150</v>
      </c>
      <c r="AH59" s="1211">
        <f t="shared" si="181"/>
        <v>147.77748043450953</v>
      </c>
      <c r="AI59" s="1199">
        <f t="shared" si="181"/>
        <v>150</v>
      </c>
      <c r="AJ59" s="1214">
        <f t="shared" si="181"/>
        <v>173.44383076084733</v>
      </c>
      <c r="AK59" s="1211">
        <f t="shared" si="181"/>
        <v>150</v>
      </c>
      <c r="AL59" s="1211">
        <f t="shared" si="181"/>
        <v>146.03299576117303</v>
      </c>
      <c r="AM59" s="1212">
        <f t="shared" si="181"/>
        <v>150</v>
      </c>
      <c r="AN59" s="1212">
        <f t="shared" si="181"/>
        <v>147.55821608433564</v>
      </c>
      <c r="AO59" s="1199">
        <f t="shared" si="181"/>
        <v>150</v>
      </c>
      <c r="AP59" s="1214">
        <f t="shared" si="181"/>
        <v>170.41957216326776</v>
      </c>
      <c r="AQ59" s="1211">
        <f t="shared" si="181"/>
        <v>149.99999999999997</v>
      </c>
      <c r="AR59" s="1211">
        <f t="shared" si="181"/>
        <v>162.60843472093404</v>
      </c>
      <c r="AS59" s="1199">
        <f t="shared" si="181"/>
        <v>150.00000000000003</v>
      </c>
      <c r="AT59" s="1214">
        <f t="shared" si="181"/>
        <v>169.63204745489361</v>
      </c>
      <c r="AU59" s="1211">
        <f t="shared" si="181"/>
        <v>150</v>
      </c>
      <c r="AV59" s="1211">
        <f t="shared" si="181"/>
        <v>190.77580785526894</v>
      </c>
      <c r="AW59" s="1199">
        <f t="shared" si="181"/>
        <v>150.00000000000003</v>
      </c>
      <c r="AX59" s="1214">
        <f t="shared" si="181"/>
        <v>171.31702812895804</v>
      </c>
      <c r="AY59" s="1211">
        <f t="shared" si="181"/>
        <v>149.99999999999997</v>
      </c>
      <c r="AZ59" s="1211">
        <f t="shared" si="181"/>
        <v>173.74706446075592</v>
      </c>
      <c r="BA59" s="1212">
        <f t="shared" si="181"/>
        <v>150</v>
      </c>
      <c r="BB59" s="1212">
        <f t="shared" si="181"/>
        <v>174.95151961735834</v>
      </c>
      <c r="BC59" s="1140">
        <f t="shared" si="181"/>
        <v>150</v>
      </c>
      <c r="BD59" s="1215">
        <f t="shared" si="181"/>
        <v>161.47042932665781</v>
      </c>
      <c r="BE59" s="1214">
        <f t="shared" si="181"/>
        <v>150.00000000000003</v>
      </c>
      <c r="BF59" s="1214">
        <f t="shared" si="181"/>
        <v>171.53016003206923</v>
      </c>
      <c r="BG59" s="25"/>
      <c r="BH59" s="25"/>
      <c r="BI59" s="25"/>
      <c r="BJ59" s="25"/>
      <c r="BK59" s="25"/>
      <c r="BL59" s="25"/>
      <c r="BM59" s="25"/>
      <c r="BN59" s="25"/>
    </row>
    <row r="60" spans="2:67" x14ac:dyDescent="0.25">
      <c r="B60" s="7581" t="s">
        <v>656</v>
      </c>
      <c r="C60" s="62" t="s">
        <v>218</v>
      </c>
      <c r="D60" s="1819">
        <f t="shared" si="169"/>
        <v>3</v>
      </c>
      <c r="E60" s="1211">
        <f t="shared" ref="E60" si="182">+E48/E$67*1000</f>
        <v>3</v>
      </c>
      <c r="F60" s="1211">
        <f t="shared" ref="F60:BF60" si="183">+F48/F$67*1000</f>
        <v>0</v>
      </c>
      <c r="G60" s="1211">
        <f t="shared" si="183"/>
        <v>6.9999999999999991</v>
      </c>
      <c r="H60" s="1211">
        <f t="shared" si="183"/>
        <v>2.8144754099283431</v>
      </c>
      <c r="I60" s="1214">
        <f t="shared" si="183"/>
        <v>5.2716679409275002</v>
      </c>
      <c r="J60" s="1214">
        <f t="shared" si="183"/>
        <v>1.4108073486133175</v>
      </c>
      <c r="K60" s="1211">
        <f t="shared" si="183"/>
        <v>7.0000000000000009</v>
      </c>
      <c r="L60" s="1211">
        <f t="shared" si="183"/>
        <v>2.1261102281847801</v>
      </c>
      <c r="M60" s="1212">
        <f t="shared" si="183"/>
        <v>5.885920426691297</v>
      </c>
      <c r="N60" s="1212">
        <f t="shared" si="183"/>
        <v>1.6588516323100062</v>
      </c>
      <c r="O60" s="1211">
        <f t="shared" si="183"/>
        <v>7</v>
      </c>
      <c r="P60" s="1211">
        <f t="shared" si="183"/>
        <v>0</v>
      </c>
      <c r="Q60" s="1214">
        <f t="shared" si="183"/>
        <v>6.180465606163942</v>
      </c>
      <c r="R60" s="1214">
        <f t="shared" si="183"/>
        <v>1.2137166160501887</v>
      </c>
      <c r="S60" s="1211">
        <f t="shared" si="183"/>
        <v>7</v>
      </c>
      <c r="T60" s="1211">
        <f t="shared" si="183"/>
        <v>1.9573097690635446</v>
      </c>
      <c r="U60" s="1214">
        <f t="shared" si="183"/>
        <v>6.3518312623756614</v>
      </c>
      <c r="V60" s="1214">
        <f t="shared" si="183"/>
        <v>1.3663932629846209</v>
      </c>
      <c r="W60" s="1211">
        <f t="shared" si="183"/>
        <v>7</v>
      </c>
      <c r="X60" s="1211">
        <f t="shared" si="183"/>
        <v>0</v>
      </c>
      <c r="Y60" s="1212">
        <f t="shared" si="183"/>
        <v>7</v>
      </c>
      <c r="Z60" s="1212">
        <f t="shared" si="183"/>
        <v>0.64883214539376755</v>
      </c>
      <c r="AA60" s="1140">
        <f t="shared" si="183"/>
        <v>6.418874088328514</v>
      </c>
      <c r="AB60" s="1215">
        <f t="shared" si="183"/>
        <v>1.1378792875179997</v>
      </c>
      <c r="AC60" s="1211">
        <f t="shared" si="183"/>
        <v>6.9999999999999991</v>
      </c>
      <c r="AD60" s="1211">
        <f t="shared" si="183"/>
        <v>0</v>
      </c>
      <c r="AE60" s="1199">
        <f t="shared" si="183"/>
        <v>6.5120499250617288</v>
      </c>
      <c r="AF60" s="1214">
        <f t="shared" si="183"/>
        <v>1.0029660261974727</v>
      </c>
      <c r="AG60" s="1211">
        <f t="shared" si="183"/>
        <v>7.0000000000000009</v>
      </c>
      <c r="AH60" s="1211">
        <f t="shared" si="183"/>
        <v>6.8267587095787619</v>
      </c>
      <c r="AI60" s="1199">
        <f t="shared" si="183"/>
        <v>6.5783842441063598</v>
      </c>
      <c r="AJ60" s="1214">
        <f t="shared" si="183"/>
        <v>1.7361916893145137</v>
      </c>
      <c r="AK60" s="1211">
        <f t="shared" si="183"/>
        <v>6.9999999999999991</v>
      </c>
      <c r="AL60" s="1211">
        <f t="shared" si="183"/>
        <v>0</v>
      </c>
      <c r="AM60" s="1212">
        <f t="shared" si="183"/>
        <v>6.9999999999999991</v>
      </c>
      <c r="AN60" s="1212">
        <f t="shared" si="183"/>
        <v>2.4310387245020504</v>
      </c>
      <c r="AO60" s="1199">
        <f t="shared" si="183"/>
        <v>6.6301568387490351</v>
      </c>
      <c r="AP60" s="1214">
        <f t="shared" si="183"/>
        <v>1.544636319202001</v>
      </c>
      <c r="AQ60" s="1211">
        <f t="shared" si="183"/>
        <v>6.9999999999999982</v>
      </c>
      <c r="AR60" s="1211">
        <f t="shared" si="183"/>
        <v>5.4558350155491295</v>
      </c>
      <c r="AS60" s="1199">
        <f t="shared" si="183"/>
        <v>6.6707529404357837</v>
      </c>
      <c r="AT60" s="1214">
        <f t="shared" si="183"/>
        <v>1.938966291689838</v>
      </c>
      <c r="AU60" s="1211">
        <f t="shared" si="183"/>
        <v>7</v>
      </c>
      <c r="AV60" s="1211">
        <f t="shared" si="183"/>
        <v>0</v>
      </c>
      <c r="AW60" s="1199">
        <f t="shared" si="183"/>
        <v>6.7003364762638702</v>
      </c>
      <c r="AX60" s="1214">
        <f t="shared" si="183"/>
        <v>1.7844469125777942</v>
      </c>
      <c r="AY60" s="1211">
        <f t="shared" si="183"/>
        <v>6.9999999999999982</v>
      </c>
      <c r="AZ60" s="1211">
        <f t="shared" si="183"/>
        <v>0</v>
      </c>
      <c r="BA60" s="1212">
        <f t="shared" si="183"/>
        <v>6.9999999999999991</v>
      </c>
      <c r="BB60" s="1212">
        <f t="shared" si="183"/>
        <v>1.8845629792679226</v>
      </c>
      <c r="BC60" s="1140">
        <f t="shared" si="183"/>
        <v>7</v>
      </c>
      <c r="BD60" s="1215">
        <f t="shared" si="183"/>
        <v>2.1535005630207587</v>
      </c>
      <c r="BE60" s="1214">
        <f t="shared" si="183"/>
        <v>6.7275546006623639</v>
      </c>
      <c r="BF60" s="1214">
        <f t="shared" si="183"/>
        <v>1.6279379083699561</v>
      </c>
      <c r="BG60" s="25"/>
      <c r="BH60" s="25"/>
      <c r="BI60" s="25"/>
      <c r="BJ60" s="25"/>
      <c r="BK60" s="25"/>
      <c r="BL60" s="25"/>
      <c r="BM60" s="25"/>
      <c r="BN60" s="25"/>
    </row>
    <row r="61" spans="2:67" s="4233" customFormat="1" x14ac:dyDescent="0.25">
      <c r="B61" s="7582" t="s">
        <v>1783</v>
      </c>
      <c r="C61" s="3511" t="s">
        <v>218</v>
      </c>
      <c r="D61" s="1819">
        <f t="shared" si="169"/>
        <v>6</v>
      </c>
      <c r="E61" s="1211">
        <f t="shared" ref="E61" si="184">+E49/E$67*1000</f>
        <v>6</v>
      </c>
      <c r="F61" s="1211">
        <f t="shared" ref="F61:BF61" si="185">+F49/F$67*1000</f>
        <v>1.4709709539812394</v>
      </c>
      <c r="G61" s="1211">
        <f t="shared" si="185"/>
        <v>6</v>
      </c>
      <c r="H61" s="1211">
        <f t="shared" si="185"/>
        <v>1.958874885310127</v>
      </c>
      <c r="I61" s="1214">
        <f t="shared" si="185"/>
        <v>6</v>
      </c>
      <c r="J61" s="1214">
        <f t="shared" si="185"/>
        <v>1.7155417359137939</v>
      </c>
      <c r="K61" s="1211">
        <f t="shared" si="185"/>
        <v>6</v>
      </c>
      <c r="L61" s="1211">
        <f t="shared" si="185"/>
        <v>1.8257971584536801</v>
      </c>
      <c r="M61" s="1212">
        <f t="shared" si="185"/>
        <v>6</v>
      </c>
      <c r="N61" s="1212">
        <f t="shared" si="185"/>
        <v>1.7537748090477454</v>
      </c>
      <c r="O61" s="1211">
        <f t="shared" si="185"/>
        <v>5.9999999999999991</v>
      </c>
      <c r="P61" s="1211">
        <f t="shared" si="185"/>
        <v>0.85687003718966726</v>
      </c>
      <c r="Q61" s="1214">
        <f t="shared" si="185"/>
        <v>5.9999999999999991</v>
      </c>
      <c r="R61" s="1214">
        <f t="shared" si="185"/>
        <v>1.5131000480092351</v>
      </c>
      <c r="S61" s="1211">
        <f t="shared" si="185"/>
        <v>5.9999999999999991</v>
      </c>
      <c r="T61" s="1211">
        <f t="shared" si="185"/>
        <v>1.999065710803567</v>
      </c>
      <c r="U61" s="1214">
        <f t="shared" si="185"/>
        <v>5.9999999999999991</v>
      </c>
      <c r="V61" s="1214">
        <f t="shared" si="185"/>
        <v>1.6128798908171407</v>
      </c>
      <c r="W61" s="1211">
        <f t="shared" si="185"/>
        <v>5.9999999999999991</v>
      </c>
      <c r="X61" s="1211">
        <f t="shared" si="185"/>
        <v>1.1286501024590165</v>
      </c>
      <c r="Y61" s="4380">
        <f t="shared" si="185"/>
        <v>5.9999999999999991</v>
      </c>
      <c r="Z61" s="1212">
        <f t="shared" si="185"/>
        <v>1.3236175766032858</v>
      </c>
      <c r="AA61" s="2997">
        <f t="shared" si="185"/>
        <v>5.9999999999999991</v>
      </c>
      <c r="AB61" s="1215">
        <f t="shared" si="185"/>
        <v>1.5318978800193306</v>
      </c>
      <c r="AC61" s="1211">
        <f t="shared" si="185"/>
        <v>6</v>
      </c>
      <c r="AD61" s="1211">
        <f t="shared" si="185"/>
        <v>1.5392372813884982</v>
      </c>
      <c r="AE61" s="2994">
        <f t="shared" si="185"/>
        <v>5.9999999999999991</v>
      </c>
      <c r="AF61" s="3513">
        <f t="shared" si="185"/>
        <v>1.5327680800359023</v>
      </c>
      <c r="AG61" s="1211">
        <f t="shared" si="185"/>
        <v>6</v>
      </c>
      <c r="AH61" s="1211">
        <f t="shared" si="185"/>
        <v>0.83286456256860886</v>
      </c>
      <c r="AI61" s="2994">
        <f t="shared" si="185"/>
        <v>5.9999999999999991</v>
      </c>
      <c r="AJ61" s="3513">
        <f t="shared" si="185"/>
        <v>1.4446490056434826</v>
      </c>
      <c r="AK61" s="1211">
        <f t="shared" si="185"/>
        <v>6</v>
      </c>
      <c r="AL61" s="1211">
        <f t="shared" si="185"/>
        <v>2.1374333611486138</v>
      </c>
      <c r="AM61" s="4380">
        <f t="shared" si="185"/>
        <v>6</v>
      </c>
      <c r="AN61" s="4380">
        <f t="shared" si="185"/>
        <v>1.4975198542932631</v>
      </c>
      <c r="AO61" s="2994">
        <f t="shared" si="185"/>
        <v>5.9999999999999991</v>
      </c>
      <c r="AP61" s="3513">
        <f t="shared" si="185"/>
        <v>1.5210844386913964</v>
      </c>
      <c r="AQ61" s="1211">
        <f t="shared" si="185"/>
        <v>6</v>
      </c>
      <c r="AR61" s="1211">
        <f t="shared" si="185"/>
        <v>3.9936712313819629</v>
      </c>
      <c r="AS61" s="2994">
        <f t="shared" si="185"/>
        <v>5.9999999999999991</v>
      </c>
      <c r="AT61" s="3513">
        <f t="shared" si="185"/>
        <v>1.7703724850507074</v>
      </c>
      <c r="AU61" s="1211">
        <f t="shared" si="185"/>
        <v>5.9999999999999991</v>
      </c>
      <c r="AV61" s="1211">
        <f t="shared" si="185"/>
        <v>3.1412182463807703</v>
      </c>
      <c r="AW61" s="2994">
        <f t="shared" si="185"/>
        <v>5.9999999999999991</v>
      </c>
      <c r="AX61" s="3513">
        <f t="shared" si="185"/>
        <v>1.8796174145819433</v>
      </c>
      <c r="AY61" s="1211">
        <f t="shared" si="185"/>
        <v>6</v>
      </c>
      <c r="AZ61" s="1211">
        <f t="shared" si="185"/>
        <v>2.2115273228935202</v>
      </c>
      <c r="BA61" s="4380">
        <f t="shared" si="185"/>
        <v>6.0000000000000009</v>
      </c>
      <c r="BB61" s="1212">
        <f t="shared" si="185"/>
        <v>3.1029329453646346</v>
      </c>
      <c r="BC61" s="2997">
        <f t="shared" si="185"/>
        <v>6</v>
      </c>
      <c r="BD61" s="1215">
        <f t="shared" si="185"/>
        <v>2.3128596046842942</v>
      </c>
      <c r="BE61" s="3513">
        <f t="shared" si="185"/>
        <v>5.9999999999999991</v>
      </c>
      <c r="BF61" s="1214">
        <f t="shared" si="185"/>
        <v>1.9087283334164622</v>
      </c>
      <c r="BG61" s="25"/>
      <c r="BH61" s="25"/>
      <c r="BI61" s="25"/>
      <c r="BJ61" s="25"/>
      <c r="BK61" s="25"/>
      <c r="BL61" s="25"/>
      <c r="BM61" s="25"/>
      <c r="BN61" s="25"/>
    </row>
    <row r="62" spans="2:67" x14ac:dyDescent="0.25">
      <c r="B62" s="7581" t="s">
        <v>68</v>
      </c>
      <c r="C62" s="62" t="s">
        <v>218</v>
      </c>
      <c r="D62" s="1819">
        <f>D50/$D$67*1000</f>
        <v>75.000000000000014</v>
      </c>
      <c r="E62" s="1198">
        <f t="shared" ref="E62" si="186">+E50/E$67*1000</f>
        <v>75</v>
      </c>
      <c r="F62" s="1198">
        <f t="shared" ref="F62:BF62" si="187">+F50/F$67*1000</f>
        <v>40</v>
      </c>
      <c r="G62" s="1198">
        <f t="shared" si="187"/>
        <v>40</v>
      </c>
      <c r="H62" s="1198">
        <f t="shared" si="187"/>
        <v>40</v>
      </c>
      <c r="I62" s="1199">
        <f t="shared" si="187"/>
        <v>55.12290551688438</v>
      </c>
      <c r="J62" s="1199">
        <f t="shared" si="187"/>
        <v>39.999999999999993</v>
      </c>
      <c r="K62" s="1198">
        <f t="shared" si="187"/>
        <v>40</v>
      </c>
      <c r="L62" s="1198">
        <f t="shared" si="187"/>
        <v>40</v>
      </c>
      <c r="M62" s="1201">
        <f t="shared" si="187"/>
        <v>49.748196266451146</v>
      </c>
      <c r="N62" s="1201">
        <f t="shared" si="187"/>
        <v>40</v>
      </c>
      <c r="O62" s="1198">
        <f t="shared" si="187"/>
        <v>40</v>
      </c>
      <c r="P62" s="1198">
        <f t="shared" si="187"/>
        <v>40</v>
      </c>
      <c r="Q62" s="1199">
        <f t="shared" si="187"/>
        <v>47.170925946065509</v>
      </c>
      <c r="R62" s="1199">
        <f t="shared" si="187"/>
        <v>40</v>
      </c>
      <c r="S62" s="1198">
        <f t="shared" si="187"/>
        <v>40</v>
      </c>
      <c r="T62" s="1198">
        <f t="shared" si="187"/>
        <v>40</v>
      </c>
      <c r="U62" s="1199">
        <f t="shared" si="187"/>
        <v>45.671476454212957</v>
      </c>
      <c r="V62" s="1199">
        <f t="shared" si="187"/>
        <v>40</v>
      </c>
      <c r="W62" s="1198">
        <f t="shared" si="187"/>
        <v>40</v>
      </c>
      <c r="X62" s="1198">
        <f t="shared" si="187"/>
        <v>40</v>
      </c>
      <c r="Y62" s="1201">
        <f t="shared" si="187"/>
        <v>40</v>
      </c>
      <c r="Z62" s="1212">
        <f t="shared" si="187"/>
        <v>40</v>
      </c>
      <c r="AA62" s="1140">
        <f t="shared" si="187"/>
        <v>45.084851727125489</v>
      </c>
      <c r="AB62" s="1215">
        <f t="shared" si="187"/>
        <v>40</v>
      </c>
      <c r="AC62" s="1198">
        <f t="shared" si="187"/>
        <v>40</v>
      </c>
      <c r="AD62" s="1198">
        <f t="shared" si="187"/>
        <v>40</v>
      </c>
      <c r="AE62" s="1199">
        <f t="shared" si="187"/>
        <v>44.269563155709854</v>
      </c>
      <c r="AF62" s="1199">
        <f t="shared" si="187"/>
        <v>40</v>
      </c>
      <c r="AG62" s="1198">
        <f t="shared" si="187"/>
        <v>40</v>
      </c>
      <c r="AH62" s="1198">
        <f t="shared" si="187"/>
        <v>40</v>
      </c>
      <c r="AI62" s="1199">
        <f t="shared" si="187"/>
        <v>43.689137864069338</v>
      </c>
      <c r="AJ62" s="1199">
        <f t="shared" si="187"/>
        <v>40</v>
      </c>
      <c r="AK62" s="1198">
        <f t="shared" si="187"/>
        <v>40</v>
      </c>
      <c r="AL62" s="1198">
        <f t="shared" si="187"/>
        <v>40</v>
      </c>
      <c r="AM62" s="1201">
        <f t="shared" si="187"/>
        <v>40</v>
      </c>
      <c r="AN62" s="1212">
        <f t="shared" si="187"/>
        <v>40</v>
      </c>
      <c r="AO62" s="1199">
        <f t="shared" si="187"/>
        <v>43.23612766094594</v>
      </c>
      <c r="AP62" s="1199">
        <f t="shared" si="187"/>
        <v>40</v>
      </c>
      <c r="AQ62" s="1198">
        <f t="shared" si="187"/>
        <v>39.999999999999993</v>
      </c>
      <c r="AR62" s="1198">
        <f t="shared" si="187"/>
        <v>40</v>
      </c>
      <c r="AS62" s="1199">
        <f t="shared" si="187"/>
        <v>42.880911771186888</v>
      </c>
      <c r="AT62" s="1199">
        <f t="shared" si="187"/>
        <v>40</v>
      </c>
      <c r="AU62" s="1198">
        <f t="shared" si="187"/>
        <v>40</v>
      </c>
      <c r="AV62" s="1198">
        <f t="shared" si="187"/>
        <v>40</v>
      </c>
      <c r="AW62" s="1199">
        <f t="shared" si="187"/>
        <v>42.622055832691132</v>
      </c>
      <c r="AX62" s="1199">
        <f t="shared" si="187"/>
        <v>40</v>
      </c>
      <c r="AY62" s="1198">
        <f t="shared" si="187"/>
        <v>39.999999999999993</v>
      </c>
      <c r="AZ62" s="1198">
        <f t="shared" si="187"/>
        <v>40</v>
      </c>
      <c r="BA62" s="1201">
        <f t="shared" si="187"/>
        <v>39.999999999999993</v>
      </c>
      <c r="BB62" s="1212">
        <f t="shared" si="187"/>
        <v>40</v>
      </c>
      <c r="BC62" s="1140">
        <f t="shared" si="187"/>
        <v>40</v>
      </c>
      <c r="BD62" s="1215">
        <f t="shared" si="187"/>
        <v>40</v>
      </c>
      <c r="BE62" s="1214">
        <f t="shared" si="187"/>
        <v>42.383897244204299</v>
      </c>
      <c r="BF62" s="1214">
        <f t="shared" si="187"/>
        <v>40</v>
      </c>
      <c r="BG62" s="25"/>
      <c r="BH62" s="25"/>
      <c r="BI62" s="25"/>
      <c r="BJ62" s="25"/>
      <c r="BK62" s="25"/>
      <c r="BL62" s="25"/>
      <c r="BM62" s="25"/>
      <c r="BN62" s="25"/>
    </row>
    <row r="63" spans="2:67" ht="15.75" x14ac:dyDescent="0.25">
      <c r="B63" s="1203" t="s">
        <v>21</v>
      </c>
      <c r="C63" s="1204" t="s">
        <v>218</v>
      </c>
      <c r="D63" s="189">
        <f t="shared" ref="D63:AB63" si="188">SUM(D53:D62)</f>
        <v>1566.9756412087779</v>
      </c>
      <c r="E63" s="1205">
        <f t="shared" ref="E63:F63" si="189">SUM(E53:E62)</f>
        <v>1566.9756412087779</v>
      </c>
      <c r="F63" s="1205">
        <f t="shared" si="189"/>
        <v>1606.4727248039651</v>
      </c>
      <c r="G63" s="1205">
        <f t="shared" ref="G63:H63" si="190">SUM(G53:G62)</f>
        <v>1537.1954840135079</v>
      </c>
      <c r="H63" s="1205">
        <f t="shared" si="190"/>
        <v>1563.3643113260118</v>
      </c>
      <c r="I63" s="1206">
        <f t="shared" si="188"/>
        <v>1550.062984114709</v>
      </c>
      <c r="J63" s="1206">
        <f t="shared" si="188"/>
        <v>1583.9708019311133</v>
      </c>
      <c r="K63" s="1205">
        <f t="shared" ref="K63:L63" si="191">SUM(K53:K62)</f>
        <v>1536.9086439182634</v>
      </c>
      <c r="L63" s="1205">
        <f t="shared" si="191"/>
        <v>1579.9547138521398</v>
      </c>
      <c r="M63" s="1208">
        <f t="shared" si="188"/>
        <v>1545.3879067059238</v>
      </c>
      <c r="N63" s="1208">
        <f t="shared" si="188"/>
        <v>1582.5781503435664</v>
      </c>
      <c r="O63" s="1205">
        <f t="shared" ref="O63:P63" si="192">SUM(O53:O62)</f>
        <v>1537.0182059996962</v>
      </c>
      <c r="P63" s="1205">
        <f t="shared" si="192"/>
        <v>1579.3878781787118</v>
      </c>
      <c r="Q63" s="1206">
        <f t="shared" si="188"/>
        <v>1543.1750890080577</v>
      </c>
      <c r="R63" s="1206">
        <f t="shared" si="188"/>
        <v>1581.7220750778126</v>
      </c>
      <c r="S63" s="1205">
        <f t="shared" ref="S63:T63" si="193">SUM(S53:S62)</f>
        <v>1537.0182059996962</v>
      </c>
      <c r="T63" s="1205">
        <f t="shared" si="193"/>
        <v>1546.1898486086136</v>
      </c>
      <c r="U63" s="1206">
        <f t="shared" ref="U63:X63" si="194">SUM(U53:U62)</f>
        <v>1541.8876771497123</v>
      </c>
      <c r="V63" s="1206">
        <f t="shared" si="194"/>
        <v>1574.4264979555005</v>
      </c>
      <c r="W63" s="1205">
        <f t="shared" si="194"/>
        <v>1536.1672797797585</v>
      </c>
      <c r="X63" s="1205">
        <f t="shared" si="194"/>
        <v>1548.0438866120217</v>
      </c>
      <c r="Y63" s="1208">
        <f t="shared" si="188"/>
        <v>1536.8342207956077</v>
      </c>
      <c r="Z63" s="1208">
        <f t="shared" si="188"/>
        <v>1558.2203658894234</v>
      </c>
      <c r="AA63" s="1209">
        <f t="shared" si="188"/>
        <v>1541.295992326003</v>
      </c>
      <c r="AB63" s="1209">
        <f t="shared" si="188"/>
        <v>1570.0143015808492</v>
      </c>
      <c r="AC63" s="1205">
        <f t="shared" ref="AC63:AD63" si="195">SUM(AC53:AC62)</f>
        <v>1537.1954840135079</v>
      </c>
      <c r="AD63" s="1205">
        <f t="shared" si="195"/>
        <v>1579.3727608078345</v>
      </c>
      <c r="AE63" s="1206">
        <f t="shared" ref="AE63:AH63" si="196">SUM(AE53:AE62)</f>
        <v>1540.6385301730088</v>
      </c>
      <c r="AF63" s="1206">
        <f t="shared" si="196"/>
        <v>1571.1238922633563</v>
      </c>
      <c r="AG63" s="1205">
        <f t="shared" si="196"/>
        <v>1535.0670578305549</v>
      </c>
      <c r="AH63" s="1205">
        <f t="shared" si="196"/>
        <v>1558.5591716137912</v>
      </c>
      <c r="AI63" s="1206">
        <f t="shared" ref="AI63:AL63" si="197">SUM(AI53:AI62)</f>
        <v>1539.8811169807691</v>
      </c>
      <c r="AJ63" s="1206">
        <f t="shared" si="197"/>
        <v>1569.5419720043385</v>
      </c>
      <c r="AK63" s="1205">
        <f t="shared" si="197"/>
        <v>1535.4040895231792</v>
      </c>
      <c r="AL63" s="1205">
        <f t="shared" si="197"/>
        <v>1559.1663178205388</v>
      </c>
      <c r="AM63" s="1208">
        <f t="shared" ref="AM63:AN63" si="198">SUM(AM53:AM62)</f>
        <v>1535.8923316068406</v>
      </c>
      <c r="AN63" s="1208">
        <f t="shared" si="198"/>
        <v>1564.8732796754466</v>
      </c>
      <c r="AO63" s="1206">
        <f t="shared" ref="AO63:AT63" si="199">SUM(AO53:AO62)</f>
        <v>1539.3313573370037</v>
      </c>
      <c r="AP63" s="1206">
        <f t="shared" si="199"/>
        <v>1568.3972180641088</v>
      </c>
      <c r="AQ63" s="1205">
        <f t="shared" si="199"/>
        <v>1537.3327201722857</v>
      </c>
      <c r="AR63" s="1205">
        <f t="shared" si="199"/>
        <v>1587.9224180260792</v>
      </c>
      <c r="AS63" s="1206">
        <f t="shared" si="199"/>
        <v>1539.1119754852496</v>
      </c>
      <c r="AT63" s="1206">
        <f t="shared" si="199"/>
        <v>1570.3657633008963</v>
      </c>
      <c r="AU63" s="1205">
        <f t="shared" ref="AU63:AX63" si="200">SUM(AU53:AU62)</f>
        <v>1536.2799587234786</v>
      </c>
      <c r="AV63" s="1205">
        <f t="shared" si="200"/>
        <v>1599.9104324018729</v>
      </c>
      <c r="AW63" s="1206">
        <f t="shared" si="200"/>
        <v>1538.8575128654513</v>
      </c>
      <c r="AX63" s="1206">
        <f t="shared" si="200"/>
        <v>1572.7202260603153</v>
      </c>
      <c r="AY63" s="1205">
        <f t="shared" ref="AY63:AZ63" si="201">SUM(AY53:AY62)</f>
        <v>1537.3327201722857</v>
      </c>
      <c r="AZ63" s="1205">
        <f t="shared" si="201"/>
        <v>1594.0514127447159</v>
      </c>
      <c r="BA63" s="1208">
        <f t="shared" ref="BA63:BD63" si="202">SUM(BA53:BA62)</f>
        <v>1537.0061531250806</v>
      </c>
      <c r="BB63" s="1208">
        <f t="shared" si="202"/>
        <v>1593.6725421058486</v>
      </c>
      <c r="BC63" s="1209">
        <f t="shared" si="202"/>
        <v>1536.4445463747572</v>
      </c>
      <c r="BD63" s="1209">
        <f t="shared" si="202"/>
        <v>1579.4995360402675</v>
      </c>
      <c r="BE63" s="7200">
        <f t="shared" ref="BE63:BF63" si="203">SUM(BE53:BE62)</f>
        <v>1538.7190175401374</v>
      </c>
      <c r="BF63" s="7200">
        <f t="shared" si="203"/>
        <v>1574.5911266531075</v>
      </c>
      <c r="BG63" s="25"/>
      <c r="BH63" s="25"/>
      <c r="BI63" s="25"/>
      <c r="BJ63" s="25"/>
      <c r="BK63" s="25"/>
      <c r="BL63" s="25"/>
      <c r="BM63" s="25"/>
      <c r="BN63" s="25"/>
    </row>
    <row r="64" spans="2:67" ht="18.75" x14ac:dyDescent="0.25">
      <c r="B64" s="1196" t="s">
        <v>219</v>
      </c>
      <c r="C64" s="1196"/>
      <c r="D64" s="230"/>
      <c r="E64" s="1196"/>
      <c r="F64" s="1196"/>
      <c r="G64" s="1196"/>
      <c r="H64" s="1196"/>
      <c r="I64" s="1196"/>
      <c r="J64" s="1196"/>
      <c r="K64" s="1196"/>
      <c r="L64" s="1196"/>
      <c r="M64" s="1196"/>
      <c r="N64" s="1196"/>
      <c r="O64" s="1196"/>
      <c r="P64" s="1196"/>
      <c r="Q64" s="1196"/>
      <c r="R64" s="1196"/>
      <c r="S64" s="1196"/>
      <c r="T64" s="1196"/>
      <c r="U64" s="1196"/>
      <c r="V64" s="1196"/>
      <c r="W64" s="1196"/>
      <c r="X64" s="1196"/>
      <c r="Y64" s="1196"/>
      <c r="Z64" s="1196"/>
      <c r="AA64" s="1196"/>
      <c r="AB64" s="1196"/>
      <c r="AC64" s="1196"/>
      <c r="AD64" s="1196"/>
      <c r="AE64" s="1196"/>
      <c r="AF64" s="1196"/>
      <c r="AG64" s="1196"/>
      <c r="AH64" s="1196"/>
      <c r="AI64" s="1196"/>
      <c r="AJ64" s="1196"/>
      <c r="AK64" s="1196"/>
      <c r="AL64" s="1196"/>
      <c r="AM64" s="1196"/>
      <c r="AN64" s="1196"/>
      <c r="AO64" s="1196"/>
      <c r="AP64" s="1196"/>
      <c r="AQ64" s="1196"/>
      <c r="AR64" s="1196"/>
      <c r="AS64" s="1196"/>
      <c r="AT64" s="1196"/>
      <c r="AU64" s="1196"/>
      <c r="AV64" s="1196"/>
      <c r="AW64" s="1196"/>
      <c r="AX64" s="1196"/>
      <c r="AY64" s="1196"/>
      <c r="AZ64" s="1196"/>
      <c r="BA64" s="1196"/>
      <c r="BB64" s="1196"/>
      <c r="BC64" s="1196"/>
      <c r="BD64" s="1196"/>
      <c r="BE64" s="1196"/>
      <c r="BF64" s="1196"/>
      <c r="BG64" s="25"/>
      <c r="BH64" s="25"/>
      <c r="BI64" s="25"/>
      <c r="BJ64" s="25"/>
      <c r="BK64" s="25"/>
      <c r="BL64" s="25"/>
      <c r="BM64" s="25"/>
      <c r="BN64" s="25"/>
    </row>
    <row r="65" spans="2:66" x14ac:dyDescent="0.25">
      <c r="B65" s="1197" t="s">
        <v>45</v>
      </c>
      <c r="C65" s="62" t="s">
        <v>50</v>
      </c>
      <c r="D65" s="1120">
        <v>2103443.1844707779</v>
      </c>
      <c r="E65" s="1198">
        <v>145838.7274566406</v>
      </c>
      <c r="F65" s="1198">
        <v>181493</v>
      </c>
      <c r="G65" s="1198">
        <v>191686.05938299978</v>
      </c>
      <c r="H65" s="1198">
        <v>184098</v>
      </c>
      <c r="I65" s="1199">
        <f>+E65+G65</f>
        <v>337524.78683964035</v>
      </c>
      <c r="J65" s="1199">
        <f>+F65+H65</f>
        <v>365591</v>
      </c>
      <c r="K65" s="1198">
        <v>186095.71909429212</v>
      </c>
      <c r="L65" s="1198">
        <v>197042</v>
      </c>
      <c r="M65" s="1201">
        <f>+K65+G65+E65</f>
        <v>523620.50593393249</v>
      </c>
      <c r="N65" s="1201">
        <f>+L65+H65+F65</f>
        <v>562633</v>
      </c>
      <c r="O65" s="1198">
        <v>188192.09670255746</v>
      </c>
      <c r="P65" s="1198">
        <v>207709</v>
      </c>
      <c r="Q65" s="1199">
        <f>+M65+O65</f>
        <v>711812.60263649002</v>
      </c>
      <c r="R65" s="1199">
        <f>+N65+P65</f>
        <v>770342</v>
      </c>
      <c r="S65" s="1198">
        <v>188192.09670255746</v>
      </c>
      <c r="T65" s="1198">
        <v>192174</v>
      </c>
      <c r="U65" s="1199">
        <f>+Q65+S65</f>
        <v>900004.69933904754</v>
      </c>
      <c r="V65" s="1199">
        <f>+R65+T65</f>
        <v>962516</v>
      </c>
      <c r="W65" s="1198">
        <v>103830.9550523845</v>
      </c>
      <c r="X65" s="1198">
        <v>186581</v>
      </c>
      <c r="Y65" s="1201">
        <f>+O65+S65+W65</f>
        <v>480215.14845749945</v>
      </c>
      <c r="Z65" s="1201">
        <f>+P65+T65+X65</f>
        <v>586464</v>
      </c>
      <c r="AA65" s="1140">
        <f>+U65+W65</f>
        <v>1003835.6543914321</v>
      </c>
      <c r="AB65" s="1140">
        <f>+N65+Z65</f>
        <v>1149097</v>
      </c>
      <c r="AC65" s="1198">
        <v>191686.05938299978</v>
      </c>
      <c r="AD65" s="1198">
        <v>147112</v>
      </c>
      <c r="AE65" s="1199">
        <f>+AA65+AC65</f>
        <v>1195521.713774432</v>
      </c>
      <c r="AF65" s="1199">
        <f>+AB65+AD65</f>
        <v>1296209</v>
      </c>
      <c r="AG65" s="1198">
        <v>188095.71909429212</v>
      </c>
      <c r="AH65" s="1198">
        <v>187626</v>
      </c>
      <c r="AI65" s="1199">
        <f>+AE65+AG65</f>
        <v>1383617.432868724</v>
      </c>
      <c r="AJ65" s="1199">
        <f>+AF65+AH65</f>
        <v>1483835</v>
      </c>
      <c r="AK65" s="1198">
        <v>193686.05938299978</v>
      </c>
      <c r="AL65" s="1198">
        <v>193365</v>
      </c>
      <c r="AM65" s="1201">
        <f>+AC65+AG65+AK65</f>
        <v>573467.83786029171</v>
      </c>
      <c r="AN65" s="1201">
        <f>+AD65+AH65+AL65</f>
        <v>528103</v>
      </c>
      <c r="AO65" s="1199">
        <f>AI65+AK65</f>
        <v>1577303.4922517238</v>
      </c>
      <c r="AP65" s="1199">
        <f>AJ65+AL65</f>
        <v>1677200</v>
      </c>
      <c r="AQ65" s="1198">
        <v>194481.22952735363</v>
      </c>
      <c r="AR65" s="1198">
        <v>188026</v>
      </c>
      <c r="AS65" s="1199">
        <f>+AO65+AQ65</f>
        <v>1771784.7217790773</v>
      </c>
      <c r="AT65" s="1199">
        <f>+AP65+AR65</f>
        <v>1865226</v>
      </c>
      <c r="AU65" s="1198">
        <v>174915.03851687672</v>
      </c>
      <c r="AV65" s="1198">
        <v>159714</v>
      </c>
      <c r="AW65" s="1199">
        <f>+AS65+AU65</f>
        <v>1946699.7602959541</v>
      </c>
      <c r="AX65" s="1199">
        <f>+AT65+AV65</f>
        <v>2024940</v>
      </c>
      <c r="AY65" s="1198">
        <v>194481.22952735363</v>
      </c>
      <c r="AZ65" s="1198">
        <v>201867</v>
      </c>
      <c r="BA65" s="1201">
        <f>+AQ65+AU65+AY65</f>
        <v>563877.49757158395</v>
      </c>
      <c r="BB65" s="1201">
        <f>+AR65+AV65+AZ65</f>
        <v>549607</v>
      </c>
      <c r="BC65" s="1140">
        <f t="shared" ref="BC65:BC66" si="204">AM65+BA65</f>
        <v>1137345.3354318757</v>
      </c>
      <c r="BD65" s="1140">
        <f t="shared" ref="BD65:BD66" si="205">AN65+BB65</f>
        <v>1077710</v>
      </c>
      <c r="BE65" s="1199">
        <f>+AW65+AY65</f>
        <v>2141180.9898233078</v>
      </c>
      <c r="BF65" s="1199">
        <f>+AX65+AZ65</f>
        <v>2226807</v>
      </c>
      <c r="BG65" s="25"/>
      <c r="BH65" s="25"/>
      <c r="BI65" s="25"/>
      <c r="BJ65" s="25"/>
      <c r="BK65" s="25"/>
      <c r="BL65" s="25"/>
      <c r="BM65" s="25"/>
      <c r="BN65" s="25"/>
    </row>
    <row r="66" spans="2:66" x14ac:dyDescent="0.25">
      <c r="B66" s="1197" t="s">
        <v>94</v>
      </c>
      <c r="C66" s="62" t="s">
        <v>50</v>
      </c>
      <c r="D66" s="1120">
        <v>2103443.1844707779</v>
      </c>
      <c r="E66" s="1198">
        <v>145838.7274566406</v>
      </c>
      <c r="F66" s="1198">
        <v>172015</v>
      </c>
      <c r="G66" s="1198">
        <v>191686.05938299978</v>
      </c>
      <c r="H66" s="1198">
        <v>171208</v>
      </c>
      <c r="I66" s="1199">
        <f>+E66+G66</f>
        <v>337524.78683964035</v>
      </c>
      <c r="J66" s="1199">
        <f>+F66+H66</f>
        <v>343223</v>
      </c>
      <c r="K66" s="1198">
        <v>186095.71909429212</v>
      </c>
      <c r="L66" s="1198">
        <v>179232</v>
      </c>
      <c r="M66" s="1201">
        <f>+K66+G66+E66</f>
        <v>523620.50593393249</v>
      </c>
      <c r="N66" s="1201">
        <f>+L66+H66+F66</f>
        <v>522455</v>
      </c>
      <c r="O66" s="1198">
        <v>188192.09670255746</v>
      </c>
      <c r="P66" s="1198">
        <v>190251</v>
      </c>
      <c r="Q66" s="1199">
        <f>+M66+O66</f>
        <v>711812.60263649002</v>
      </c>
      <c r="R66" s="1199">
        <f>+N66+P66</f>
        <v>712706</v>
      </c>
      <c r="S66" s="1198">
        <v>188192.09670255746</v>
      </c>
      <c r="T66" s="1198">
        <v>191005</v>
      </c>
      <c r="U66" s="1199">
        <f>+Q66+S66</f>
        <v>900004.69933904754</v>
      </c>
      <c r="V66" s="1199">
        <f>+R66+T66</f>
        <v>903711</v>
      </c>
      <c r="W66" s="1198">
        <v>103830.9550523845</v>
      </c>
      <c r="X66" s="1198">
        <v>188203</v>
      </c>
      <c r="Y66" s="1201">
        <f>+O66+S66+W66</f>
        <v>480215.14845749945</v>
      </c>
      <c r="Z66" s="1201">
        <f>+P66+T66+X66</f>
        <v>569459</v>
      </c>
      <c r="AA66" s="1140">
        <f>+U66+W66</f>
        <v>1003835.6543914321</v>
      </c>
      <c r="AB66" s="1140">
        <f>+N66+Z66</f>
        <v>1091914</v>
      </c>
      <c r="AC66" s="1198">
        <v>191686.05938299978</v>
      </c>
      <c r="AD66" s="1198">
        <v>154336</v>
      </c>
      <c r="AE66" s="1199">
        <f>+AA66+AC66</f>
        <v>1195521.713774432</v>
      </c>
      <c r="AF66" s="1199">
        <f>+AB66+AD66</f>
        <v>1246250</v>
      </c>
      <c r="AG66" s="1198">
        <v>188095.71909429212</v>
      </c>
      <c r="AH66" s="1198">
        <v>178580</v>
      </c>
      <c r="AI66" s="1199">
        <f>+AE66+AG66</f>
        <v>1383617.432868724</v>
      </c>
      <c r="AJ66" s="1199">
        <f>+AF66+AH66</f>
        <v>1424830</v>
      </c>
      <c r="AK66" s="1198">
        <v>193686.05938299978</v>
      </c>
      <c r="AL66" s="1198">
        <v>167348</v>
      </c>
      <c r="AM66" s="1201">
        <f>+AC66+AG66+AK66</f>
        <v>573467.83786029171</v>
      </c>
      <c r="AN66" s="1201">
        <f>+AD66+AH66+AL66</f>
        <v>500264</v>
      </c>
      <c r="AO66" s="1199">
        <f>AI66+AK66</f>
        <v>1577303.4922517238</v>
      </c>
      <c r="AP66" s="1199">
        <f>AJ66+AL66</f>
        <v>1592178</v>
      </c>
      <c r="AQ66" s="1198">
        <v>194481.22952735363</v>
      </c>
      <c r="AR66" s="1198">
        <v>178554</v>
      </c>
      <c r="AS66" s="1199">
        <f>+AO66+AQ66</f>
        <v>1771784.7217790773</v>
      </c>
      <c r="AT66" s="1199">
        <f>+AP66+AR66</f>
        <v>1770732</v>
      </c>
      <c r="AU66" s="1198">
        <v>174915.03851687672</v>
      </c>
      <c r="AV66" s="1198">
        <v>155132</v>
      </c>
      <c r="AW66" s="1199">
        <f>+AS66+AU66</f>
        <v>1946699.7602959541</v>
      </c>
      <c r="AX66" s="1199">
        <f>+AT66+AV66</f>
        <v>1925864</v>
      </c>
      <c r="AY66" s="1198">
        <v>194481.22952735363</v>
      </c>
      <c r="AZ66" s="1198">
        <v>177961</v>
      </c>
      <c r="BA66" s="1201">
        <f>+AQ66+AU66+AY66</f>
        <v>563877.49757158395</v>
      </c>
      <c r="BB66" s="1201">
        <f>+AR66+AV66+AZ66</f>
        <v>511647</v>
      </c>
      <c r="BC66" s="1140">
        <f t="shared" si="204"/>
        <v>1137345.3354318757</v>
      </c>
      <c r="BD66" s="1140">
        <f t="shared" si="205"/>
        <v>1011911</v>
      </c>
      <c r="BE66" s="1199">
        <f>+AW66+AY66</f>
        <v>2141180.9898233078</v>
      </c>
      <c r="BF66" s="1199">
        <f>+AX66+AZ66</f>
        <v>2103825</v>
      </c>
      <c r="BG66" s="25"/>
      <c r="BH66" s="25"/>
      <c r="BI66" s="25"/>
      <c r="BJ66" s="25"/>
      <c r="BK66" s="25"/>
      <c r="BL66" s="25"/>
      <c r="BM66" s="25"/>
      <c r="BN66" s="25"/>
    </row>
    <row r="67" spans="2:66" ht="15.75" x14ac:dyDescent="0.25">
      <c r="B67" s="1203" t="s">
        <v>21</v>
      </c>
      <c r="C67" s="1204" t="s">
        <v>50</v>
      </c>
      <c r="D67" s="189">
        <f t="shared" ref="D67:R67" si="206">SUM(D65:D66)</f>
        <v>4206886.3689415557</v>
      </c>
      <c r="E67" s="1205">
        <f t="shared" ref="E67:F67" si="207">SUM(E65:E66)</f>
        <v>291677.4549132812</v>
      </c>
      <c r="F67" s="1205">
        <f t="shared" si="207"/>
        <v>353508</v>
      </c>
      <c r="G67" s="1205">
        <f t="shared" ref="G67:H67" si="208">SUM(G65:G66)</f>
        <v>383372.11876599956</v>
      </c>
      <c r="H67" s="1205">
        <f t="shared" si="208"/>
        <v>355306</v>
      </c>
      <c r="I67" s="1206">
        <f t="shared" si="206"/>
        <v>675049.5736792807</v>
      </c>
      <c r="J67" s="1206">
        <f t="shared" si="206"/>
        <v>708814</v>
      </c>
      <c r="K67" s="1205">
        <f t="shared" ref="K67" si="209">SUM(K65:K66)</f>
        <v>372191.43818858423</v>
      </c>
      <c r="L67" s="1205">
        <f>SUM(L65:L66)</f>
        <v>376274</v>
      </c>
      <c r="M67" s="1208">
        <f t="shared" si="206"/>
        <v>1047241.011867865</v>
      </c>
      <c r="N67" s="1208">
        <f t="shared" si="206"/>
        <v>1085088</v>
      </c>
      <c r="O67" s="1205">
        <f t="shared" ref="O67" si="210">SUM(O65:O66)</f>
        <v>376384.19340511493</v>
      </c>
      <c r="P67" s="1205">
        <f>SUM(P65:P66)</f>
        <v>397960</v>
      </c>
      <c r="Q67" s="1206">
        <f t="shared" si="206"/>
        <v>1423625.20527298</v>
      </c>
      <c r="R67" s="1206">
        <f t="shared" si="206"/>
        <v>1483048</v>
      </c>
      <c r="S67" s="1205">
        <f t="shared" ref="S67" si="211">SUM(S65:S66)</f>
        <v>376384.19340511493</v>
      </c>
      <c r="T67" s="1205">
        <f>SUM(T65:T66)</f>
        <v>383179</v>
      </c>
      <c r="U67" s="1206">
        <f t="shared" ref="U67:W67" si="212">SUM(U65:U66)</f>
        <v>1800009.3986780951</v>
      </c>
      <c r="V67" s="1206">
        <f t="shared" si="212"/>
        <v>1866227</v>
      </c>
      <c r="W67" s="1205">
        <f t="shared" si="212"/>
        <v>207661.91010476899</v>
      </c>
      <c r="X67" s="1205">
        <f>SUM(X65:X66)</f>
        <v>374784</v>
      </c>
      <c r="Y67" s="1208">
        <f t="shared" ref="Y67:AC67" si="213">SUM(Y65:Y66)</f>
        <v>960430.29691499891</v>
      </c>
      <c r="Z67" s="1208">
        <f t="shared" si="213"/>
        <v>1155923</v>
      </c>
      <c r="AA67" s="1209">
        <f t="shared" si="213"/>
        <v>2007671.3087828641</v>
      </c>
      <c r="AB67" s="1209">
        <f t="shared" si="213"/>
        <v>2241011</v>
      </c>
      <c r="AC67" s="1205">
        <f t="shared" si="213"/>
        <v>383372.11876599956</v>
      </c>
      <c r="AD67" s="1205">
        <f>SUM(AD65:AD66)</f>
        <v>301448</v>
      </c>
      <c r="AE67" s="1206">
        <f t="shared" ref="AE67:AG67" si="214">SUM(AE65:AE66)</f>
        <v>2391043.4275488639</v>
      </c>
      <c r="AF67" s="1206">
        <f t="shared" si="214"/>
        <v>2542459</v>
      </c>
      <c r="AG67" s="1205">
        <f t="shared" si="214"/>
        <v>376191.43818858423</v>
      </c>
      <c r="AH67" s="1205">
        <f>SUM(AH65:AH66)</f>
        <v>366206</v>
      </c>
      <c r="AI67" s="1206">
        <f t="shared" ref="AI67:AK67" si="215">SUM(AI65:AI66)</f>
        <v>2767234.865737448</v>
      </c>
      <c r="AJ67" s="1206">
        <f t="shared" si="215"/>
        <v>2908665</v>
      </c>
      <c r="AK67" s="1205">
        <f t="shared" si="215"/>
        <v>387372.11876599956</v>
      </c>
      <c r="AL67" s="1205">
        <f>SUM(AL65:AL66)</f>
        <v>360713</v>
      </c>
      <c r="AM67" s="1208">
        <f t="shared" ref="AM67:AN67" si="216">SUM(AM65:AM66)</f>
        <v>1146935.6757205834</v>
      </c>
      <c r="AN67" s="1208">
        <f t="shared" si="216"/>
        <v>1028367</v>
      </c>
      <c r="AO67" s="1206">
        <f t="shared" ref="AO67:AT67" si="217">SUM(AO65:AO66)</f>
        <v>3154606.9845034475</v>
      </c>
      <c r="AP67" s="1206">
        <f t="shared" si="217"/>
        <v>3269378</v>
      </c>
      <c r="AQ67" s="1205">
        <f t="shared" si="217"/>
        <v>388962.45905470726</v>
      </c>
      <c r="AR67" s="1205">
        <f>SUM(AR65:AR66)</f>
        <v>366580</v>
      </c>
      <c r="AS67" s="1206">
        <f t="shared" si="217"/>
        <v>3543569.4435581546</v>
      </c>
      <c r="AT67" s="1206">
        <f t="shared" si="217"/>
        <v>3635958</v>
      </c>
      <c r="AU67" s="1205">
        <f t="shared" ref="AU67:AX67" si="218">SUM(AU65:AU66)</f>
        <v>349830.07703375345</v>
      </c>
      <c r="AV67" s="1205">
        <f t="shared" si="218"/>
        <v>314846</v>
      </c>
      <c r="AW67" s="1206">
        <f t="shared" si="218"/>
        <v>3893399.5205919081</v>
      </c>
      <c r="AX67" s="1206">
        <f t="shared" si="218"/>
        <v>3950804</v>
      </c>
      <c r="AY67" s="1205">
        <f t="shared" ref="AY67:AZ67" si="219">SUM(AY65:AY66)</f>
        <v>388962.45905470726</v>
      </c>
      <c r="AZ67" s="1205">
        <f t="shared" si="219"/>
        <v>379828</v>
      </c>
      <c r="BA67" s="1208">
        <f t="shared" ref="BA67:BF67" si="220">SUM(BA65:BA66)</f>
        <v>1127754.9951431679</v>
      </c>
      <c r="BB67" s="1208">
        <f t="shared" si="220"/>
        <v>1061254</v>
      </c>
      <c r="BC67" s="1209">
        <f t="shared" si="220"/>
        <v>2274690.6708637513</v>
      </c>
      <c r="BD67" s="1209">
        <f t="shared" si="220"/>
        <v>2089621</v>
      </c>
      <c r="BE67" s="1206">
        <f t="shared" si="220"/>
        <v>4282361.9796466157</v>
      </c>
      <c r="BF67" s="1206">
        <f t="shared" si="220"/>
        <v>4330632</v>
      </c>
      <c r="BG67" s="25"/>
      <c r="BH67" s="25"/>
      <c r="BI67" s="25"/>
      <c r="BJ67" s="25"/>
      <c r="BK67" s="25"/>
      <c r="BL67" s="25"/>
      <c r="BM67" s="25"/>
      <c r="BN67" s="25"/>
    </row>
    <row r="68" spans="2:66" ht="15.75" x14ac:dyDescent="0.25">
      <c r="B68" s="8048" t="s">
        <v>89</v>
      </c>
      <c r="C68" s="1204" t="s">
        <v>50</v>
      </c>
      <c r="D68" s="189">
        <f>+D67*D69/1000</f>
        <v>631032.95534123341</v>
      </c>
      <c r="E68" s="1205">
        <f>+E69*E67/1000</f>
        <v>43751.618236992181</v>
      </c>
      <c r="F68" s="1205">
        <v>56974.2</v>
      </c>
      <c r="G68" s="1205">
        <f>+G69*G67/1000</f>
        <v>57505.817814899936</v>
      </c>
      <c r="H68" s="1205">
        <v>53295.9</v>
      </c>
      <c r="I68" s="1206">
        <f>+E68+G68</f>
        <v>101257.43605189212</v>
      </c>
      <c r="J68" s="1206">
        <f>+F68+H68</f>
        <v>110270.1</v>
      </c>
      <c r="K68" s="1205">
        <f>+K69*K67/1000</f>
        <v>55828.715728287636</v>
      </c>
      <c r="L68" s="1205">
        <v>56441.1</v>
      </c>
      <c r="M68" s="1411">
        <f>+K68+G68+E68</f>
        <v>157086.15178017976</v>
      </c>
      <c r="N68" s="1411">
        <f>+L68+H68+F68</f>
        <v>166711.20000000001</v>
      </c>
      <c r="O68" s="1205">
        <f>+O69*O67/1000</f>
        <v>56457.629010767239</v>
      </c>
      <c r="P68" s="1205">
        <v>59694</v>
      </c>
      <c r="Q68" s="1206">
        <f>+M68+O68</f>
        <v>213543.780790947</v>
      </c>
      <c r="R68" s="1206">
        <f>+N68+P68</f>
        <v>226405.2</v>
      </c>
      <c r="S68" s="1205">
        <f>+S69*S67/1000</f>
        <v>56457.629010767239</v>
      </c>
      <c r="T68" s="1205">
        <v>57476.85</v>
      </c>
      <c r="U68" s="1206">
        <f>+Q68+S68</f>
        <v>270001.40980171424</v>
      </c>
      <c r="V68" s="1206">
        <f>+R68+T68</f>
        <v>283882.05</v>
      </c>
      <c r="W68" s="1205">
        <f>+W69*W67/1000</f>
        <v>31149.28651571535</v>
      </c>
      <c r="X68" s="1205">
        <v>56217.599999999999</v>
      </c>
      <c r="Y68" s="1411">
        <f>+O68+S68+W68</f>
        <v>144064.54453724984</v>
      </c>
      <c r="Z68" s="1411">
        <f>+P68+T68+X68</f>
        <v>173388.45</v>
      </c>
      <c r="AA68" s="1209">
        <f>+U68+W68</f>
        <v>301150.6963174296</v>
      </c>
      <c r="AB68" s="1209">
        <f>+N68+Z68</f>
        <v>340099.65</v>
      </c>
      <c r="AC68" s="1205">
        <f>+AC69*AC67/1000</f>
        <v>57505.817814899936</v>
      </c>
      <c r="AD68" s="1205">
        <v>45217.2</v>
      </c>
      <c r="AE68" s="1206">
        <f>+AA68+AC68</f>
        <v>358656.51413232955</v>
      </c>
      <c r="AF68" s="1206">
        <f>+AB68+AD68</f>
        <v>385316.85000000003</v>
      </c>
      <c r="AG68" s="1205">
        <f>+AG69*AG67/1000</f>
        <v>56428.715728287636</v>
      </c>
      <c r="AH68" s="1205">
        <v>54930.9</v>
      </c>
      <c r="AI68" s="1206">
        <f>+AE68+AG68</f>
        <v>415085.2298606172</v>
      </c>
      <c r="AJ68" s="1206">
        <f>+AF68+AH68</f>
        <v>440247.75000000006</v>
      </c>
      <c r="AK68" s="1205">
        <f>+AK69*AK67/1000</f>
        <v>58105.817814899936</v>
      </c>
      <c r="AL68" s="1205">
        <v>54106.95</v>
      </c>
      <c r="AM68" s="1411">
        <f>+AC68+AG68+AK68</f>
        <v>172040.3513580875</v>
      </c>
      <c r="AN68" s="1411">
        <f>+AD68+AH68+AL68</f>
        <v>154255.04999999999</v>
      </c>
      <c r="AO68" s="1206">
        <f>AI68+AK68</f>
        <v>473191.04767551715</v>
      </c>
      <c r="AP68" s="1206">
        <f>AJ68+AL68</f>
        <v>494354.70000000007</v>
      </c>
      <c r="AQ68" s="1205">
        <f>+AQ69*AQ67/1000</f>
        <v>58344.368858206086</v>
      </c>
      <c r="AR68" s="1205">
        <v>54987</v>
      </c>
      <c r="AS68" s="1206">
        <f>+AO68+AQ68</f>
        <v>531535.41653372324</v>
      </c>
      <c r="AT68" s="1206">
        <f>+AP68+AR68</f>
        <v>549341.70000000007</v>
      </c>
      <c r="AU68" s="1205">
        <f>+AU69*AU67/1000</f>
        <v>52474.511555063014</v>
      </c>
      <c r="AV68" s="1205">
        <v>47226.9</v>
      </c>
      <c r="AW68" s="1206">
        <f>+AS68+AU68</f>
        <v>584009.92808878631</v>
      </c>
      <c r="AX68" s="1206">
        <f>+AT68+AV68</f>
        <v>596568.60000000009</v>
      </c>
      <c r="AY68" s="1205">
        <f>+AY69*AY67/1000</f>
        <v>58344.368858206086</v>
      </c>
      <c r="AZ68" s="1205">
        <v>56974.2</v>
      </c>
      <c r="BA68" s="1411">
        <f>+AQ68+AU68+AY68</f>
        <v>169163.24927147519</v>
      </c>
      <c r="BB68" s="1411">
        <f>+AR68+AV68+AZ68</f>
        <v>159188.09999999998</v>
      </c>
      <c r="BC68" s="1209">
        <f t="shared" ref="BC68:BD68" si="221">AM68+BA68</f>
        <v>341203.60062956269</v>
      </c>
      <c r="BD68" s="1209">
        <f t="shared" si="221"/>
        <v>313443.14999999997</v>
      </c>
      <c r="BE68" s="1206">
        <f>+AW68+AY68</f>
        <v>642354.2969469924</v>
      </c>
      <c r="BF68" s="1206">
        <f>+AX68+AZ68</f>
        <v>653542.80000000005</v>
      </c>
      <c r="BG68" s="25"/>
      <c r="BH68" s="25"/>
      <c r="BI68" s="25"/>
      <c r="BJ68" s="25"/>
      <c r="BK68" s="25"/>
      <c r="BL68" s="25"/>
      <c r="BM68" s="25"/>
      <c r="BN68" s="25"/>
    </row>
    <row r="69" spans="2:66" ht="16.5" thickBot="1" x14ac:dyDescent="0.3">
      <c r="B69" s="8049"/>
      <c r="C69" s="3524" t="s">
        <v>218</v>
      </c>
      <c r="D69" s="3525">
        <v>150</v>
      </c>
      <c r="E69" s="3524">
        <v>150</v>
      </c>
      <c r="F69" s="3109">
        <f>+F68/F67*1000</f>
        <v>161.16806408907294</v>
      </c>
      <c r="G69" s="3524">
        <v>150</v>
      </c>
      <c r="H69" s="3109">
        <f>+H68/H67*1000</f>
        <v>150</v>
      </c>
      <c r="I69" s="3526">
        <f>+I68/I67*1000</f>
        <v>150.00000000000003</v>
      </c>
      <c r="J69" s="3526">
        <f>+J68/J67*1000</f>
        <v>155.56986741232541</v>
      </c>
      <c r="K69" s="3524">
        <v>150</v>
      </c>
      <c r="L69" s="3109">
        <f>+L68/L67*1000</f>
        <v>150</v>
      </c>
      <c r="M69" s="1410">
        <f>+M68/M67*1000</f>
        <v>150.00000000000003</v>
      </c>
      <c r="N69" s="1410">
        <f>+N68/N67*1000</f>
        <v>153.63841458019994</v>
      </c>
      <c r="O69" s="3524">
        <v>150</v>
      </c>
      <c r="P69" s="3109">
        <f>+P68/P67*1000</f>
        <v>150</v>
      </c>
      <c r="Q69" s="1207">
        <f>+Q68/Q67*1000</f>
        <v>150</v>
      </c>
      <c r="R69" s="1207">
        <f>+R68/R67*1000</f>
        <v>152.66208511120342</v>
      </c>
      <c r="S69" s="3524">
        <v>150</v>
      </c>
      <c r="T69" s="3109">
        <f>+T68/T67*1000</f>
        <v>150</v>
      </c>
      <c r="U69" s="1207">
        <f>+U68/U67*1000</f>
        <v>150</v>
      </c>
      <c r="V69" s="1207">
        <f>+V68/V67*1000</f>
        <v>152.11549827539736</v>
      </c>
      <c r="W69" s="3524">
        <v>150</v>
      </c>
      <c r="X69" s="3109">
        <f>+X68/X67*1000</f>
        <v>150</v>
      </c>
      <c r="Y69" s="1410">
        <f>+Y68/Y67*1000</f>
        <v>150</v>
      </c>
      <c r="Z69" s="1410">
        <f>+Z68/Z67*1000</f>
        <v>150.00000000000003</v>
      </c>
      <c r="AA69" s="1209">
        <f>+AA68/AA67*1000</f>
        <v>150</v>
      </c>
      <c r="AB69" s="1209">
        <f>+AB68/AB67*1000</f>
        <v>151.76170487338081</v>
      </c>
      <c r="AC69" s="3524">
        <v>150</v>
      </c>
      <c r="AD69" s="3109">
        <f>+AD68/AD67*1000</f>
        <v>150</v>
      </c>
      <c r="AE69" s="1207">
        <f>+AE68/AE67*1000</f>
        <v>150</v>
      </c>
      <c r="AF69" s="1207">
        <f>+AF68/AF67*1000</f>
        <v>151.55282740055986</v>
      </c>
      <c r="AG69" s="3524">
        <v>150</v>
      </c>
      <c r="AH69" s="3109">
        <f>+AH68/AH67*1000</f>
        <v>150</v>
      </c>
      <c r="AI69" s="1207">
        <f>+AI68/AI67*1000</f>
        <v>150</v>
      </c>
      <c r="AJ69" s="1207">
        <f>+AJ68/AJ67*1000</f>
        <v>151.35732372067599</v>
      </c>
      <c r="AK69" s="3524">
        <v>150</v>
      </c>
      <c r="AL69" s="3109">
        <f>+AL68/AL67*1000</f>
        <v>150</v>
      </c>
      <c r="AM69" s="1410">
        <f>+AM68/AM67*1000</f>
        <v>150</v>
      </c>
      <c r="AN69" s="1410">
        <f>+AN68/AN67*1000</f>
        <v>150</v>
      </c>
      <c r="AO69" s="1207">
        <f>+AO68/AO67*1000</f>
        <v>150</v>
      </c>
      <c r="AP69" s="1207">
        <f>+AP68/AP67*1000</f>
        <v>151.20756914618011</v>
      </c>
      <c r="AQ69" s="3524">
        <v>150</v>
      </c>
      <c r="AR69" s="3109">
        <f>+AR68/AR67*1000</f>
        <v>150</v>
      </c>
      <c r="AS69" s="1207">
        <f>+AS68/AS67*1000</f>
        <v>150.00000000000003</v>
      </c>
      <c r="AT69" s="1207">
        <f>+AT68/AT67*1000</f>
        <v>151.08582112334634</v>
      </c>
      <c r="AU69" s="3524">
        <v>150</v>
      </c>
      <c r="AV69" s="3109">
        <f>+AV68/AV67*1000</f>
        <v>150</v>
      </c>
      <c r="AW69" s="1207">
        <f>+AW68/AW67*1000</f>
        <v>150.00000000000003</v>
      </c>
      <c r="AX69" s="1207">
        <f>+AX68/AX67*1000</f>
        <v>150.99929027104358</v>
      </c>
      <c r="AY69" s="3524">
        <v>150</v>
      </c>
      <c r="AZ69" s="3109">
        <f>+AZ68/AZ67*1000</f>
        <v>150</v>
      </c>
      <c r="BA69" s="1410">
        <f t="shared" ref="BA69:BF69" si="222">+BA68/BA67*1000</f>
        <v>150</v>
      </c>
      <c r="BB69" s="1410">
        <f t="shared" si="222"/>
        <v>149.99999999999997</v>
      </c>
      <c r="BC69" s="1209">
        <f t="shared" si="222"/>
        <v>150</v>
      </c>
      <c r="BD69" s="1209">
        <f t="shared" si="222"/>
        <v>150</v>
      </c>
      <c r="BE69" s="1207">
        <f t="shared" si="222"/>
        <v>150.00000000000003</v>
      </c>
      <c r="BF69" s="1207">
        <f t="shared" si="222"/>
        <v>150.91164522868718</v>
      </c>
      <c r="BG69" s="25"/>
      <c r="BH69" s="25"/>
      <c r="BI69" s="25"/>
      <c r="BJ69" s="25"/>
      <c r="BK69" s="25"/>
      <c r="BL69" s="25"/>
      <c r="BM69" s="25"/>
      <c r="BN69" s="25"/>
    </row>
    <row r="70" spans="2:66" ht="18.75" x14ac:dyDescent="0.25">
      <c r="B70" s="3506" t="s">
        <v>46</v>
      </c>
      <c r="C70" s="3507"/>
      <c r="D70" s="2630"/>
      <c r="E70" s="3508"/>
      <c r="F70" s="3508"/>
      <c r="G70" s="3508"/>
      <c r="H70" s="3508"/>
      <c r="I70" s="3507"/>
      <c r="J70" s="3509"/>
      <c r="K70" s="3508"/>
      <c r="L70" s="3508"/>
      <c r="M70" s="1196"/>
      <c r="N70" s="1196"/>
      <c r="O70" s="3508"/>
      <c r="P70" s="3508"/>
      <c r="Q70" s="1196"/>
      <c r="R70" s="1196"/>
      <c r="S70" s="3508"/>
      <c r="T70" s="3508"/>
      <c r="U70" s="1196"/>
      <c r="V70" s="1196"/>
      <c r="W70" s="3508"/>
      <c r="X70" s="3508"/>
      <c r="Y70" s="1196"/>
      <c r="Z70" s="1196"/>
      <c r="AA70" s="1196"/>
      <c r="AB70" s="1196"/>
      <c r="AC70" s="3508"/>
      <c r="AD70" s="3508"/>
      <c r="AE70" s="1196"/>
      <c r="AF70" s="1196"/>
      <c r="AG70" s="3508"/>
      <c r="AH70" s="3508"/>
      <c r="AI70" s="1196"/>
      <c r="AJ70" s="1196"/>
      <c r="AK70" s="3508"/>
      <c r="AL70" s="3508"/>
      <c r="AM70" s="1196"/>
      <c r="AN70" s="1196"/>
      <c r="AO70" s="1196"/>
      <c r="AP70" s="1196"/>
      <c r="AQ70" s="3508"/>
      <c r="AR70" s="3508"/>
      <c r="AS70" s="1196"/>
      <c r="AT70" s="1196"/>
      <c r="AU70" s="3508"/>
      <c r="AV70" s="3508"/>
      <c r="AW70" s="1196"/>
      <c r="AX70" s="1196"/>
      <c r="AY70" s="3508"/>
      <c r="AZ70" s="3508"/>
      <c r="BA70" s="1196"/>
      <c r="BB70" s="1196"/>
      <c r="BC70" s="1196"/>
      <c r="BD70" s="1196"/>
      <c r="BE70" s="1196"/>
      <c r="BF70" s="1196"/>
      <c r="BG70" s="25"/>
      <c r="BH70" s="25"/>
      <c r="BI70" s="25"/>
      <c r="BJ70" s="25"/>
      <c r="BK70" s="25"/>
      <c r="BL70" s="25"/>
      <c r="BM70" s="25"/>
      <c r="BN70" s="25"/>
    </row>
    <row r="71" spans="2:66" x14ac:dyDescent="0.25">
      <c r="B71" s="3510" t="s">
        <v>88</v>
      </c>
      <c r="C71" s="3511" t="s">
        <v>220</v>
      </c>
      <c r="D71" s="2893">
        <f>+D2*24</f>
        <v>8760</v>
      </c>
      <c r="E71" s="3511">
        <f>+E2*24</f>
        <v>720</v>
      </c>
      <c r="F71" s="3511">
        <f>+F2*24</f>
        <v>720</v>
      </c>
      <c r="G71" s="3511">
        <f>+G2*24</f>
        <v>744</v>
      </c>
      <c r="H71" s="3511">
        <f>+H2*24</f>
        <v>744</v>
      </c>
      <c r="I71" s="3527">
        <f>+E71+G71</f>
        <v>1464</v>
      </c>
      <c r="J71" s="3516">
        <f>+F71+H71</f>
        <v>1464</v>
      </c>
      <c r="K71" s="3511">
        <f>+K2*24</f>
        <v>720</v>
      </c>
      <c r="L71" s="3511">
        <f>+L2*24</f>
        <v>720</v>
      </c>
      <c r="M71" s="1201">
        <f>+K71+G71+E71</f>
        <v>2184</v>
      </c>
      <c r="N71" s="1201">
        <f>+L71+H71+F71</f>
        <v>2184</v>
      </c>
      <c r="O71" s="3511">
        <f>+O2*24</f>
        <v>744</v>
      </c>
      <c r="P71" s="3511">
        <f>+P2*24</f>
        <v>744</v>
      </c>
      <c r="Q71" s="1200">
        <f>+M71+O71</f>
        <v>2928</v>
      </c>
      <c r="R71" s="1200">
        <f>+N71+P71</f>
        <v>2928</v>
      </c>
      <c r="S71" s="3511">
        <f>+S2*24</f>
        <v>744</v>
      </c>
      <c r="T71" s="3511">
        <f>+T2*24</f>
        <v>744</v>
      </c>
      <c r="U71" s="1200">
        <f>+Q71+S71</f>
        <v>3672</v>
      </c>
      <c r="V71" s="1200">
        <f>+R71+T71</f>
        <v>3672</v>
      </c>
      <c r="W71" s="3511">
        <f>+W2*24</f>
        <v>720</v>
      </c>
      <c r="X71" s="3511">
        <f>+X2*24</f>
        <v>720</v>
      </c>
      <c r="Y71" s="1201">
        <f>+O71+S71+W71</f>
        <v>2208</v>
      </c>
      <c r="Z71" s="1201">
        <f>+P71+T71+X71</f>
        <v>2208</v>
      </c>
      <c r="AA71" s="1140">
        <f>M71+Y71</f>
        <v>4392</v>
      </c>
      <c r="AB71" s="1140">
        <f>N71+Z71</f>
        <v>4392</v>
      </c>
      <c r="AC71" s="3511">
        <f>+AC2*24</f>
        <v>744</v>
      </c>
      <c r="AD71" s="3511">
        <f>+AD2*24</f>
        <v>744</v>
      </c>
      <c r="AE71" s="1200">
        <f>+AA71+AC71</f>
        <v>5136</v>
      </c>
      <c r="AF71" s="1200">
        <f>+AB71+AD71</f>
        <v>5136</v>
      </c>
      <c r="AG71" s="3511">
        <f>+AG2*24</f>
        <v>720</v>
      </c>
      <c r="AH71" s="3511">
        <f>+AH2*24</f>
        <v>720</v>
      </c>
      <c r="AI71" s="1200">
        <f>+AE71+AG71</f>
        <v>5856</v>
      </c>
      <c r="AJ71" s="1200">
        <f>+AF71+AH71</f>
        <v>5856</v>
      </c>
      <c r="AK71" s="3511">
        <f>+AK2*24</f>
        <v>744</v>
      </c>
      <c r="AL71" s="3511">
        <f>+AL2*24</f>
        <v>744</v>
      </c>
      <c r="AM71" s="1201">
        <f>+AC71+AG71+AK71</f>
        <v>2208</v>
      </c>
      <c r="AN71" s="1201">
        <f>+AD71+AH71+AL71</f>
        <v>2208</v>
      </c>
      <c r="AO71" s="1199">
        <f>AI71+AK71</f>
        <v>6600</v>
      </c>
      <c r="AP71" s="1199">
        <f>AJ71+AL71</f>
        <v>6600</v>
      </c>
      <c r="AQ71" s="3511">
        <f>+AQ2*24</f>
        <v>744</v>
      </c>
      <c r="AR71" s="3511">
        <f>+AR2*24</f>
        <v>744</v>
      </c>
      <c r="AS71" s="1200">
        <f>+AO71+AQ71</f>
        <v>7344</v>
      </c>
      <c r="AT71" s="1200">
        <f>+AP71+AR71</f>
        <v>7344</v>
      </c>
      <c r="AU71" s="3511">
        <f>+AU2*24</f>
        <v>672</v>
      </c>
      <c r="AV71" s="3511">
        <f>+AV2*24</f>
        <v>672</v>
      </c>
      <c r="AW71" s="1200">
        <f>+AS71+AU71</f>
        <v>8016</v>
      </c>
      <c r="AX71" s="1200">
        <f>+AT71+AV71</f>
        <v>8016</v>
      </c>
      <c r="AY71" s="3511">
        <f>+AY2*24</f>
        <v>744</v>
      </c>
      <c r="AZ71" s="3511">
        <f>+AZ2*24</f>
        <v>744</v>
      </c>
      <c r="BA71" s="1201">
        <f>+AQ71+AU71+AY71</f>
        <v>2160</v>
      </c>
      <c r="BB71" s="1201">
        <f>+AR71+AV71+AZ71</f>
        <v>2160</v>
      </c>
      <c r="BC71" s="1140">
        <f t="shared" ref="BC71:BC72" si="223">AM71+BA71</f>
        <v>4368</v>
      </c>
      <c r="BD71" s="1140">
        <f t="shared" ref="BD71:BD72" si="224">AN71+BB71</f>
        <v>4368</v>
      </c>
      <c r="BE71" s="1200">
        <f>+AW71+AY71</f>
        <v>8760</v>
      </c>
      <c r="BF71" s="1200">
        <f>+AX71+AZ71</f>
        <v>8760</v>
      </c>
      <c r="BG71" s="25"/>
      <c r="BH71" s="25"/>
      <c r="BI71" s="25"/>
      <c r="BJ71" s="25"/>
      <c r="BK71" s="25"/>
      <c r="BL71" s="25"/>
      <c r="BM71" s="25"/>
      <c r="BN71" s="25"/>
    </row>
    <row r="72" spans="2:66" x14ac:dyDescent="0.25">
      <c r="B72" s="3510" t="s">
        <v>221</v>
      </c>
      <c r="C72" s="3511" t="s">
        <v>220</v>
      </c>
      <c r="D72" s="2893">
        <v>7980</v>
      </c>
      <c r="E72" s="2993">
        <v>528</v>
      </c>
      <c r="F72" s="2993">
        <v>695.75</v>
      </c>
      <c r="G72" s="2993">
        <v>714</v>
      </c>
      <c r="H72" s="2993">
        <v>727</v>
      </c>
      <c r="I72" s="2994">
        <f>+E72+G72</f>
        <v>1242</v>
      </c>
      <c r="J72" s="3528">
        <f>+F72+H72</f>
        <v>1422.75</v>
      </c>
      <c r="K72" s="2993">
        <v>690</v>
      </c>
      <c r="L72" s="2993">
        <v>704</v>
      </c>
      <c r="M72" s="1201">
        <f>+K72+G72+E72</f>
        <v>1932</v>
      </c>
      <c r="N72" s="1201">
        <f>+L72+H72+F72</f>
        <v>2126.75</v>
      </c>
      <c r="O72" s="2993">
        <v>714</v>
      </c>
      <c r="P72" s="2993">
        <v>726.75</v>
      </c>
      <c r="Q72" s="1199">
        <f>+M72+O72</f>
        <v>2646</v>
      </c>
      <c r="R72" s="1199">
        <f>+N72+P72</f>
        <v>2853.5</v>
      </c>
      <c r="S72" s="2993">
        <v>714</v>
      </c>
      <c r="T72" s="2993">
        <v>728.91499999999996</v>
      </c>
      <c r="U72" s="1199">
        <f>+Q72+S72</f>
        <v>3360</v>
      </c>
      <c r="V72" s="1199">
        <f>+R72+T72</f>
        <v>3582.415</v>
      </c>
      <c r="W72" s="2993">
        <v>390</v>
      </c>
      <c r="X72" s="2993">
        <v>706.6</v>
      </c>
      <c r="Y72" s="1201">
        <f>+O72+S72+W72</f>
        <v>1818</v>
      </c>
      <c r="Z72" s="1201">
        <f>+P72+T72+X72</f>
        <v>2162.2649999999999</v>
      </c>
      <c r="AA72" s="1140">
        <f>M72+Y72</f>
        <v>3750</v>
      </c>
      <c r="AB72" s="1140">
        <f>N72+Z72</f>
        <v>4289.0149999999994</v>
      </c>
      <c r="AC72" s="2993">
        <v>714</v>
      </c>
      <c r="AD72" s="2993">
        <v>583.5</v>
      </c>
      <c r="AE72" s="1199">
        <f>+AA72+AC72</f>
        <v>4464</v>
      </c>
      <c r="AF72" s="1199">
        <f>+AB72+AD72</f>
        <v>4872.5149999999994</v>
      </c>
      <c r="AG72" s="2993">
        <v>690</v>
      </c>
      <c r="AH72" s="2993">
        <v>697.5</v>
      </c>
      <c r="AI72" s="1199">
        <f>+AE72+AG72</f>
        <v>5154</v>
      </c>
      <c r="AJ72" s="1199">
        <f>+AF72+AH72</f>
        <v>5570.0149999999994</v>
      </c>
      <c r="AK72" s="2993">
        <v>714</v>
      </c>
      <c r="AL72" s="2993">
        <v>726</v>
      </c>
      <c r="AM72" s="1201">
        <f>+AC72+AG72+AK72</f>
        <v>2118</v>
      </c>
      <c r="AN72" s="1201">
        <f>+AD72+AH72+AL72</f>
        <v>2007</v>
      </c>
      <c r="AO72" s="1199">
        <f>AI72+AK72</f>
        <v>5868</v>
      </c>
      <c r="AP72" s="1199">
        <f>AJ72+AL72</f>
        <v>6296.0149999999994</v>
      </c>
      <c r="AQ72" s="2993">
        <v>714</v>
      </c>
      <c r="AR72" s="2993">
        <v>723</v>
      </c>
      <c r="AS72" s="1199">
        <f>+AO72+AQ72</f>
        <v>6582</v>
      </c>
      <c r="AT72" s="1214">
        <f>+AP72+AR72</f>
        <v>7019.0149999999994</v>
      </c>
      <c r="AU72" s="2993">
        <v>642</v>
      </c>
      <c r="AV72" s="2993">
        <v>656</v>
      </c>
      <c r="AW72" s="1199">
        <f>+AS72+AU72</f>
        <v>7224</v>
      </c>
      <c r="AX72" s="1199">
        <f>+AT72+AV72</f>
        <v>7675.0149999999994</v>
      </c>
      <c r="AY72" s="2993">
        <v>714</v>
      </c>
      <c r="AZ72" s="2993">
        <v>724.25</v>
      </c>
      <c r="BA72" s="1201">
        <f>+AQ72+AU72+AY72</f>
        <v>2070</v>
      </c>
      <c r="BB72" s="1201">
        <f>+AR72+AV72+AZ72</f>
        <v>2103.25</v>
      </c>
      <c r="BC72" s="1140">
        <f t="shared" si="223"/>
        <v>4188</v>
      </c>
      <c r="BD72" s="1140">
        <f t="shared" si="224"/>
        <v>4110.25</v>
      </c>
      <c r="BE72" s="1199">
        <f>+AW72+AY72</f>
        <v>7938</v>
      </c>
      <c r="BF72" s="1199">
        <f>+AX72+AZ72</f>
        <v>8399.2649999999994</v>
      </c>
      <c r="BG72" s="25"/>
      <c r="BH72" s="25"/>
      <c r="BI72" s="25"/>
      <c r="BJ72" s="25"/>
      <c r="BK72" s="25"/>
      <c r="BL72" s="25"/>
      <c r="BM72" s="25"/>
      <c r="BN72" s="25"/>
    </row>
    <row r="73" spans="2:66" x14ac:dyDescent="0.25">
      <c r="B73" s="3510" t="s">
        <v>222</v>
      </c>
      <c r="C73" s="3511" t="s">
        <v>49</v>
      </c>
      <c r="D73" s="3171">
        <f t="shared" ref="D73:T73" si="225">+D72/D71*100</f>
        <v>91.095890410958901</v>
      </c>
      <c r="E73" s="3512">
        <f t="shared" si="225"/>
        <v>73.333333333333329</v>
      </c>
      <c r="F73" s="3512">
        <f t="shared" si="225"/>
        <v>96.631944444444443</v>
      </c>
      <c r="G73" s="3512">
        <f t="shared" ref="G73:H73" si="226">+G72/G71*100</f>
        <v>95.967741935483872</v>
      </c>
      <c r="H73" s="2993">
        <f t="shared" si="226"/>
        <v>97.715053763440864</v>
      </c>
      <c r="I73" s="3513">
        <f t="shared" si="225"/>
        <v>84.836065573770497</v>
      </c>
      <c r="J73" s="3514">
        <f t="shared" si="225"/>
        <v>97.182377049180317</v>
      </c>
      <c r="K73" s="3512">
        <f t="shared" si="225"/>
        <v>95.833333333333343</v>
      </c>
      <c r="L73" s="2993">
        <f t="shared" si="225"/>
        <v>97.777777777777771</v>
      </c>
      <c r="M73" s="1212">
        <f t="shared" si="225"/>
        <v>88.461538461538453</v>
      </c>
      <c r="N73" s="1212">
        <f t="shared" si="225"/>
        <v>97.378663003663007</v>
      </c>
      <c r="O73" s="3512">
        <f t="shared" ref="O73:P73" si="227">+O72/O71*100</f>
        <v>95.967741935483872</v>
      </c>
      <c r="P73" s="2993">
        <f t="shared" si="227"/>
        <v>97.681451612903231</v>
      </c>
      <c r="Q73" s="1214">
        <f t="shared" si="225"/>
        <v>90.368852459016395</v>
      </c>
      <c r="R73" s="1214">
        <f t="shared" si="225"/>
        <v>97.455601092896174</v>
      </c>
      <c r="S73" s="3512">
        <f t="shared" si="225"/>
        <v>95.967741935483872</v>
      </c>
      <c r="T73" s="2993">
        <f t="shared" si="225"/>
        <v>97.972446236559136</v>
      </c>
      <c r="U73" s="1214">
        <f t="shared" ref="U73:X73" si="228">+U72/U71*100</f>
        <v>91.503267973856211</v>
      </c>
      <c r="V73" s="1214">
        <f t="shared" si="228"/>
        <v>97.560321350762521</v>
      </c>
      <c r="W73" s="3512">
        <f t="shared" si="228"/>
        <v>54.166666666666664</v>
      </c>
      <c r="X73" s="2993">
        <f t="shared" si="228"/>
        <v>98.138888888888886</v>
      </c>
      <c r="Y73" s="1212">
        <f t="shared" ref="Y73:AF73" si="229">+Y72/Y71*100</f>
        <v>82.33695652173914</v>
      </c>
      <c r="Z73" s="1212">
        <f t="shared" si="229"/>
        <v>97.92866847826086</v>
      </c>
      <c r="AA73" s="1140">
        <f t="shared" si="229"/>
        <v>85.382513661202182</v>
      </c>
      <c r="AB73" s="1215">
        <f t="shared" si="229"/>
        <v>97.655168488160285</v>
      </c>
      <c r="AC73" s="3512">
        <f t="shared" si="229"/>
        <v>95.967741935483872</v>
      </c>
      <c r="AD73" s="2993">
        <f t="shared" si="229"/>
        <v>78.427419354838719</v>
      </c>
      <c r="AE73" s="1214">
        <f t="shared" si="229"/>
        <v>86.915887850467286</v>
      </c>
      <c r="AF73" s="1214">
        <f t="shared" si="229"/>
        <v>94.869840342679112</v>
      </c>
      <c r="AG73" s="3512">
        <f t="shared" ref="AG73:AH73" si="230">+AG72/AG71*100</f>
        <v>95.833333333333343</v>
      </c>
      <c r="AH73" s="2993">
        <f t="shared" si="230"/>
        <v>96.875</v>
      </c>
      <c r="AI73" s="1214">
        <f t="shared" ref="AI73:AL73" si="231">+AI72/AI71*100</f>
        <v>88.012295081967224</v>
      </c>
      <c r="AJ73" s="1214">
        <f t="shared" si="231"/>
        <v>95.116376366120207</v>
      </c>
      <c r="AK73" s="3512">
        <f t="shared" si="231"/>
        <v>95.967741935483872</v>
      </c>
      <c r="AL73" s="2993">
        <f t="shared" si="231"/>
        <v>97.58064516129032</v>
      </c>
      <c r="AM73" s="1212">
        <f t="shared" ref="AM73:AN73" si="232">+AM72/AM71*100</f>
        <v>95.923913043478265</v>
      </c>
      <c r="AN73" s="1212">
        <f t="shared" si="232"/>
        <v>90.896739130434781</v>
      </c>
      <c r="AO73" s="1214">
        <f t="shared" ref="AO73:AT73" si="233">+AO72/AO71*100</f>
        <v>88.909090909090907</v>
      </c>
      <c r="AP73" s="1214">
        <f t="shared" si="233"/>
        <v>95.394166666666663</v>
      </c>
      <c r="AQ73" s="3512">
        <f t="shared" si="233"/>
        <v>95.967741935483872</v>
      </c>
      <c r="AR73" s="2993">
        <f t="shared" si="233"/>
        <v>97.177419354838719</v>
      </c>
      <c r="AS73" s="1214">
        <f t="shared" si="233"/>
        <v>89.624183006535958</v>
      </c>
      <c r="AT73" s="1214">
        <f t="shared" si="233"/>
        <v>95.574822984749446</v>
      </c>
      <c r="AU73" s="3512">
        <f t="shared" ref="AU73:AX73" si="234">+AU72/AU71*100</f>
        <v>95.535714285714292</v>
      </c>
      <c r="AV73" s="3231">
        <f t="shared" si="234"/>
        <v>97.61904761904762</v>
      </c>
      <c r="AW73" s="1214">
        <f t="shared" si="234"/>
        <v>90.119760479041915</v>
      </c>
      <c r="AX73" s="1214">
        <f t="shared" si="234"/>
        <v>95.74619510978043</v>
      </c>
      <c r="AY73" s="3512">
        <f t="shared" ref="AY73:AZ73" si="235">+AY72/AY71*100</f>
        <v>95.967741935483872</v>
      </c>
      <c r="AZ73" s="3231">
        <f t="shared" si="235"/>
        <v>97.34543010752688</v>
      </c>
      <c r="BA73" s="1212">
        <f t="shared" ref="BA73:BF73" si="236">+BA72/BA71*100</f>
        <v>95.833333333333343</v>
      </c>
      <c r="BB73" s="1212">
        <f t="shared" si="236"/>
        <v>97.372685185185176</v>
      </c>
      <c r="BC73" s="1140">
        <f t="shared" si="236"/>
        <v>95.879120879120876</v>
      </c>
      <c r="BD73" s="1215">
        <f t="shared" si="236"/>
        <v>94.099130036630044</v>
      </c>
      <c r="BE73" s="1214">
        <f t="shared" si="236"/>
        <v>90.61643835616438</v>
      </c>
      <c r="BF73" s="1214">
        <f t="shared" si="236"/>
        <v>95.882020547945203</v>
      </c>
      <c r="BG73" s="25"/>
      <c r="BH73" s="25"/>
      <c r="BI73" s="25"/>
      <c r="BJ73" s="25"/>
      <c r="BK73" s="25"/>
      <c r="BL73" s="25"/>
      <c r="BM73" s="25"/>
      <c r="BN73" s="25"/>
    </row>
    <row r="74" spans="2:66" x14ac:dyDescent="0.25">
      <c r="B74" s="3510" t="s">
        <v>223</v>
      </c>
      <c r="C74" s="3511" t="s">
        <v>220</v>
      </c>
      <c r="D74" s="2883">
        <v>7810</v>
      </c>
      <c r="E74" s="2996">
        <v>520</v>
      </c>
      <c r="F74" s="2993">
        <v>664.97</v>
      </c>
      <c r="G74" s="2996">
        <v>699.72</v>
      </c>
      <c r="H74" s="2993">
        <v>646.63</v>
      </c>
      <c r="I74" s="2994">
        <f>+E74+G74</f>
        <v>1219.72</v>
      </c>
      <c r="J74" s="3528">
        <f>+F74+H74</f>
        <v>1311.6</v>
      </c>
      <c r="K74" s="2996">
        <v>676.19999999999993</v>
      </c>
      <c r="L74" s="2993">
        <v>682.45</v>
      </c>
      <c r="M74" s="1201">
        <f>+K74+G74+E74</f>
        <v>1895.92</v>
      </c>
      <c r="N74" s="1201">
        <f>+L74+H74+F74</f>
        <v>1994.05</v>
      </c>
      <c r="O74" s="2996">
        <v>699.72</v>
      </c>
      <c r="P74" s="2993">
        <v>713.62</v>
      </c>
      <c r="Q74" s="1199">
        <f>+M74+O74</f>
        <v>2595.6400000000003</v>
      </c>
      <c r="R74" s="1199">
        <f>+N74+P74</f>
        <v>2707.67</v>
      </c>
      <c r="S74" s="2996">
        <v>699.72</v>
      </c>
      <c r="T74" s="2993">
        <v>695.57</v>
      </c>
      <c r="U74" s="1199">
        <f>+Q74+S74</f>
        <v>3295.3600000000006</v>
      </c>
      <c r="V74" s="1199">
        <f>+R74+T74</f>
        <v>3403.2400000000002</v>
      </c>
      <c r="W74" s="2996">
        <v>382.2</v>
      </c>
      <c r="X74" s="2993">
        <v>685.4</v>
      </c>
      <c r="Y74" s="1201">
        <f>+O74+S74+W74</f>
        <v>1781.64</v>
      </c>
      <c r="Z74" s="1201">
        <f>+P74+T74+X74</f>
        <v>2094.59</v>
      </c>
      <c r="AA74" s="1140">
        <f>M74+Y74</f>
        <v>3677.5600000000004</v>
      </c>
      <c r="AB74" s="1140">
        <f>N74+Z74</f>
        <v>4088.6400000000003</v>
      </c>
      <c r="AC74" s="2996">
        <v>699.72</v>
      </c>
      <c r="AD74" s="2993">
        <v>545.98</v>
      </c>
      <c r="AE74" s="1199">
        <f>+AA74+AC74</f>
        <v>4377.2800000000007</v>
      </c>
      <c r="AF74" s="1199">
        <f>+AB74+AD74</f>
        <v>4634.6200000000008</v>
      </c>
      <c r="AG74" s="2996">
        <v>676.19999999999993</v>
      </c>
      <c r="AH74" s="2993">
        <v>641.57000000000005</v>
      </c>
      <c r="AI74" s="1199">
        <f>+AE74+AG74</f>
        <v>5053.4800000000005</v>
      </c>
      <c r="AJ74" s="1199">
        <f>+AF74+AH74</f>
        <v>5276.1900000000005</v>
      </c>
      <c r="AK74" s="2996">
        <v>699.72</v>
      </c>
      <c r="AL74" s="2993">
        <v>632.30999999999995</v>
      </c>
      <c r="AM74" s="1201">
        <f>+AC74+AG74+AK74</f>
        <v>2075.6400000000003</v>
      </c>
      <c r="AN74" s="1201">
        <f>+AD74+AH74+AL74</f>
        <v>1819.8600000000001</v>
      </c>
      <c r="AO74" s="1199">
        <f>AI74+AK74</f>
        <v>5753.2000000000007</v>
      </c>
      <c r="AP74" s="1199">
        <f>AJ74+AL74</f>
        <v>5908.5</v>
      </c>
      <c r="AQ74" s="2996">
        <v>699.72</v>
      </c>
      <c r="AR74" s="3231">
        <v>686.22</v>
      </c>
      <c r="AS74" s="1199">
        <f>+AO74+AQ74</f>
        <v>6452.920000000001</v>
      </c>
      <c r="AT74" s="1199">
        <f>+AP74+AR74</f>
        <v>6594.72</v>
      </c>
      <c r="AU74" s="2996">
        <v>629.16</v>
      </c>
      <c r="AV74" s="2993">
        <v>586.21</v>
      </c>
      <c r="AW74" s="1199">
        <f>+AS74+AU74</f>
        <v>7082.0800000000008</v>
      </c>
      <c r="AX74" s="1199">
        <f>+AT74+AV74</f>
        <v>7180.93</v>
      </c>
      <c r="AY74" s="2996">
        <v>699.72</v>
      </c>
      <c r="AZ74" s="2993">
        <v>673.5</v>
      </c>
      <c r="BA74" s="1201">
        <f>+AQ74+AU74+AY74</f>
        <v>2028.6000000000001</v>
      </c>
      <c r="BB74" s="1201">
        <f>+AR74+AV74+AZ74</f>
        <v>1945.93</v>
      </c>
      <c r="BC74" s="1140">
        <f t="shared" ref="BC74" si="237">AM74+BA74</f>
        <v>4104.2400000000007</v>
      </c>
      <c r="BD74" s="1140">
        <f t="shared" ref="BD74" si="238">AN74+BB74</f>
        <v>3765.79</v>
      </c>
      <c r="BE74" s="1199">
        <f>+AW74+AY74</f>
        <v>7781.8000000000011</v>
      </c>
      <c r="BF74" s="1199">
        <f>+AX74+AZ74</f>
        <v>7854.43</v>
      </c>
      <c r="BG74" s="25"/>
      <c r="BH74" s="25"/>
      <c r="BI74" s="25"/>
      <c r="BJ74" s="25"/>
      <c r="BK74" s="25"/>
      <c r="BL74" s="25"/>
      <c r="BM74" s="25"/>
      <c r="BN74" s="25"/>
    </row>
    <row r="75" spans="2:66" x14ac:dyDescent="0.25">
      <c r="B75" s="3510" t="s">
        <v>224</v>
      </c>
      <c r="C75" s="3511" t="s">
        <v>49</v>
      </c>
      <c r="D75" s="2883">
        <f t="shared" ref="D75:T75" si="239">+D74/D72*100</f>
        <v>97.869674185463666</v>
      </c>
      <c r="E75" s="3512">
        <f t="shared" si="239"/>
        <v>98.484848484848484</v>
      </c>
      <c r="F75" s="3512">
        <f t="shared" si="239"/>
        <v>95.575997125404243</v>
      </c>
      <c r="G75" s="3512">
        <f t="shared" ref="G75:H75" si="240">+G74/G72*100</f>
        <v>98.000000000000014</v>
      </c>
      <c r="H75" s="3512">
        <f t="shared" si="240"/>
        <v>88.944979367262718</v>
      </c>
      <c r="I75" s="3513">
        <f t="shared" si="239"/>
        <v>98.206119162640903</v>
      </c>
      <c r="J75" s="3514">
        <f t="shared" si="239"/>
        <v>92.187664733790186</v>
      </c>
      <c r="K75" s="3512">
        <f t="shared" si="239"/>
        <v>97.999999999999986</v>
      </c>
      <c r="L75" s="3512">
        <f t="shared" si="239"/>
        <v>96.938920454545467</v>
      </c>
      <c r="M75" s="1212">
        <f t="shared" si="239"/>
        <v>98.132505175983439</v>
      </c>
      <c r="N75" s="1212">
        <f t="shared" si="239"/>
        <v>93.760432584930058</v>
      </c>
      <c r="O75" s="3512">
        <f t="shared" ref="O75:P75" si="241">+O74/O72*100</f>
        <v>98.000000000000014</v>
      </c>
      <c r="P75" s="3512">
        <f t="shared" si="241"/>
        <v>98.19332645338838</v>
      </c>
      <c r="Q75" s="1214">
        <f t="shared" si="239"/>
        <v>98.096749811035536</v>
      </c>
      <c r="R75" s="1214">
        <f t="shared" si="239"/>
        <v>94.889434028386205</v>
      </c>
      <c r="S75" s="3512">
        <f t="shared" si="239"/>
        <v>98.000000000000014</v>
      </c>
      <c r="T75" s="3512">
        <f t="shared" si="239"/>
        <v>95.425392535480825</v>
      </c>
      <c r="U75" s="1214">
        <f t="shared" ref="U75:X75" si="242">+U74/U72*100</f>
        <v>98.07619047619049</v>
      </c>
      <c r="V75" s="1214">
        <f t="shared" si="242"/>
        <v>94.998485658417593</v>
      </c>
      <c r="W75" s="3512">
        <f t="shared" si="242"/>
        <v>98</v>
      </c>
      <c r="X75" s="3512">
        <f t="shared" si="242"/>
        <v>96.999716954429658</v>
      </c>
      <c r="Y75" s="1212">
        <f t="shared" ref="Y75:AF75" si="243">+Y74/Y72*100</f>
        <v>98.000000000000014</v>
      </c>
      <c r="Z75" s="1212">
        <f t="shared" si="243"/>
        <v>96.870180112058435</v>
      </c>
      <c r="AA75" s="1215">
        <f t="shared" si="243"/>
        <v>98.068266666666688</v>
      </c>
      <c r="AB75" s="1215">
        <f t="shared" si="243"/>
        <v>95.328181412282333</v>
      </c>
      <c r="AC75" s="3512">
        <f t="shared" si="243"/>
        <v>98.000000000000014</v>
      </c>
      <c r="AD75" s="3512">
        <f t="shared" si="243"/>
        <v>93.569837189374468</v>
      </c>
      <c r="AE75" s="1214">
        <f t="shared" si="243"/>
        <v>98.05734767025092</v>
      </c>
      <c r="AF75" s="1214">
        <f t="shared" si="243"/>
        <v>95.11761379903399</v>
      </c>
      <c r="AG75" s="3512">
        <f t="shared" ref="AG75:AH75" si="244">+AG74/AG72*100</f>
        <v>97.999999999999986</v>
      </c>
      <c r="AH75" s="3512">
        <f t="shared" si="244"/>
        <v>91.981362007168471</v>
      </c>
      <c r="AI75" s="1214">
        <f t="shared" ref="AI75:AL75" si="245">+AI74/AI72*100</f>
        <v>98.049670159099733</v>
      </c>
      <c r="AJ75" s="1214">
        <f t="shared" si="245"/>
        <v>94.724879555979669</v>
      </c>
      <c r="AK75" s="3512">
        <f t="shared" si="245"/>
        <v>98.000000000000014</v>
      </c>
      <c r="AL75" s="3512">
        <f t="shared" si="245"/>
        <v>87.095041322314032</v>
      </c>
      <c r="AM75" s="1212">
        <f t="shared" ref="AM75:AN75" si="246">+AM74/AM72*100</f>
        <v>98.000000000000014</v>
      </c>
      <c r="AN75" s="1212">
        <f t="shared" si="246"/>
        <v>90.675635276532134</v>
      </c>
      <c r="AO75" s="1214">
        <f t="shared" ref="AO75:AT75" si="247">+AO74/AO72*100</f>
        <v>98.04362644853444</v>
      </c>
      <c r="AP75" s="1214">
        <f t="shared" si="247"/>
        <v>93.84507501967515</v>
      </c>
      <c r="AQ75" s="3512">
        <f t="shared" si="247"/>
        <v>98.000000000000014</v>
      </c>
      <c r="AR75" s="3512">
        <f t="shared" si="247"/>
        <v>94.912863070539416</v>
      </c>
      <c r="AS75" s="1214">
        <f t="shared" si="247"/>
        <v>98.038893953205729</v>
      </c>
      <c r="AT75" s="1214">
        <f t="shared" si="247"/>
        <v>93.955063495376507</v>
      </c>
      <c r="AU75" s="3512">
        <f t="shared" ref="AU75:AX75" si="248">+AU74/AU72*100</f>
        <v>98</v>
      </c>
      <c r="AV75" s="3512">
        <f t="shared" si="248"/>
        <v>89.361280487804891</v>
      </c>
      <c r="AW75" s="1214">
        <f t="shared" si="248"/>
        <v>98.035437430786274</v>
      </c>
      <c r="AX75" s="1214">
        <f t="shared" si="248"/>
        <v>93.562423005036493</v>
      </c>
      <c r="AY75" s="3512">
        <f t="shared" ref="AY75:AZ75" si="249">+AY74/AY72*100</f>
        <v>98.000000000000014</v>
      </c>
      <c r="AZ75" s="3512">
        <f t="shared" si="249"/>
        <v>92.992751121850191</v>
      </c>
      <c r="BA75" s="1212">
        <f t="shared" ref="BA75:BF75" si="250">+BA74/BA72*100</f>
        <v>98.000000000000014</v>
      </c>
      <c r="BB75" s="1212">
        <f t="shared" si="250"/>
        <v>92.520147390942583</v>
      </c>
      <c r="BC75" s="1215">
        <f t="shared" si="250"/>
        <v>98.000000000000014</v>
      </c>
      <c r="BD75" s="1215">
        <f t="shared" si="250"/>
        <v>91.619487865701601</v>
      </c>
      <c r="BE75" s="1214">
        <f t="shared" si="250"/>
        <v>98.032249937011855</v>
      </c>
      <c r="BF75" s="1214">
        <f t="shared" si="250"/>
        <v>93.513301461496937</v>
      </c>
      <c r="BG75" s="25"/>
      <c r="BH75" s="25"/>
      <c r="BI75" s="25"/>
      <c r="BJ75" s="25"/>
      <c r="BK75" s="25"/>
      <c r="BL75" s="25"/>
      <c r="BM75" s="25"/>
      <c r="BN75" s="25"/>
    </row>
    <row r="76" spans="2:66" x14ac:dyDescent="0.25">
      <c r="B76" s="3510" t="s">
        <v>225</v>
      </c>
      <c r="C76" s="3511" t="s">
        <v>1434</v>
      </c>
      <c r="D76" s="2883">
        <f t="shared" ref="D76:J76" si="251">+D67/D74</f>
        <v>538.65382444834256</v>
      </c>
      <c r="E76" s="2993">
        <f>+E67/E74</f>
        <v>560.91818252554071</v>
      </c>
      <c r="F76" s="2993">
        <f>+F67/F74</f>
        <v>531.61496007338678</v>
      </c>
      <c r="G76" s="2993">
        <f>+G67/G74</f>
        <v>547.89361282512937</v>
      </c>
      <c r="H76" s="2993">
        <f>+H67/H74</f>
        <v>549.47342375083122</v>
      </c>
      <c r="I76" s="2994">
        <f t="shared" si="251"/>
        <v>553.44634316013571</v>
      </c>
      <c r="J76" s="3528">
        <f t="shared" si="251"/>
        <v>540.41933516315953</v>
      </c>
      <c r="K76" s="2993">
        <f>+K67/K74</f>
        <v>550.41620554360293</v>
      </c>
      <c r="L76" s="2993">
        <f>+L67/L74</f>
        <v>551.3576086160158</v>
      </c>
      <c r="M76" s="1201">
        <f t="shared" ref="M76:R76" si="252">+M67/M74</f>
        <v>552.36561240340575</v>
      </c>
      <c r="N76" s="1201">
        <f t="shared" si="252"/>
        <v>544.16288458163035</v>
      </c>
      <c r="O76" s="2993">
        <f>+O67/O74</f>
        <v>537.90686761149448</v>
      </c>
      <c r="P76" s="2993">
        <f>+P67/P74</f>
        <v>557.66374260811074</v>
      </c>
      <c r="Q76" s="1199">
        <f t="shared" si="252"/>
        <v>548.46789434319851</v>
      </c>
      <c r="R76" s="1199">
        <f t="shared" si="252"/>
        <v>547.72110338409038</v>
      </c>
      <c r="S76" s="2993">
        <f>+S67/S74</f>
        <v>537.90686761149448</v>
      </c>
      <c r="T76" s="2993">
        <f>+T67/T74</f>
        <v>550.88488577713235</v>
      </c>
      <c r="U76" s="1199">
        <f t="shared" ref="U76:V76" si="253">+U67/U74</f>
        <v>546.22541958332158</v>
      </c>
      <c r="V76" s="1199">
        <f t="shared" si="253"/>
        <v>548.36773192604687</v>
      </c>
      <c r="W76" s="2993">
        <f>+W67/W74</f>
        <v>543.33309812864729</v>
      </c>
      <c r="X76" s="2993">
        <f>+X67/X74</f>
        <v>546.81062153487017</v>
      </c>
      <c r="Y76" s="1201">
        <f t="shared" ref="Y76:AB76" si="254">+Y67/Y74</f>
        <v>539.07091046170876</v>
      </c>
      <c r="Z76" s="1201">
        <f t="shared" si="254"/>
        <v>551.86122343752231</v>
      </c>
      <c r="AA76" s="1140">
        <f t="shared" si="254"/>
        <v>545.92482754404114</v>
      </c>
      <c r="AB76" s="1140">
        <f t="shared" si="254"/>
        <v>548.10670540815522</v>
      </c>
      <c r="AC76" s="2993">
        <f>+AC67/AC74</f>
        <v>547.89361282512937</v>
      </c>
      <c r="AD76" s="2993">
        <f>+AD67/AD74</f>
        <v>552.12278838052669</v>
      </c>
      <c r="AE76" s="1199">
        <f t="shared" ref="AE76:AF76" si="255">+AE67/AE74</f>
        <v>546.23954317495418</v>
      </c>
      <c r="AF76" s="1199">
        <f t="shared" si="255"/>
        <v>548.57981884167407</v>
      </c>
      <c r="AG76" s="2993">
        <f>+AG67/AG74</f>
        <v>556.33161518572058</v>
      </c>
      <c r="AH76" s="2993">
        <f>+AH67/AH74</f>
        <v>570.79663949374185</v>
      </c>
      <c r="AI76" s="1199">
        <f t="shared" ref="AI76:AJ76" si="256">+AI67/AI74</f>
        <v>547.58995103125915</v>
      </c>
      <c r="AJ76" s="1199">
        <f t="shared" si="256"/>
        <v>551.28132231780887</v>
      </c>
      <c r="AK76" s="2993">
        <f>+AK67/AK74</f>
        <v>553.61018516835236</v>
      </c>
      <c r="AL76" s="2993">
        <f>+AL67/AL74</f>
        <v>570.46859926301977</v>
      </c>
      <c r="AM76" s="1201">
        <f t="shared" ref="AM76:AP76" si="257">+AM67/AM74</f>
        <v>552.5696535625558</v>
      </c>
      <c r="AN76" s="1201">
        <f t="shared" si="257"/>
        <v>565.08028090072855</v>
      </c>
      <c r="AO76" s="1199">
        <f t="shared" si="257"/>
        <v>548.3221484571103</v>
      </c>
      <c r="AP76" s="1199">
        <f t="shared" si="257"/>
        <v>553.33468731488529</v>
      </c>
      <c r="AQ76" s="2993">
        <f>+AQ67/AQ74</f>
        <v>555.88300899603735</v>
      </c>
      <c r="AR76" s="2993">
        <f>+AR67/AR74</f>
        <v>534.20185946198012</v>
      </c>
      <c r="AS76" s="1199">
        <f t="shared" ref="AS76:AT76" si="258">+AS67/AS74</f>
        <v>549.142007580778</v>
      </c>
      <c r="AT76" s="1199">
        <f t="shared" si="258"/>
        <v>551.34380231457897</v>
      </c>
      <c r="AU76" s="2993">
        <f>+AU67/AU74</f>
        <v>556.02720616973977</v>
      </c>
      <c r="AV76" s="2993">
        <f>+AV67/AV74</f>
        <v>537.08739189027824</v>
      </c>
      <c r="AW76" s="1199">
        <f t="shared" ref="AW76:AX76" si="259">+AW67/AW74</f>
        <v>549.75367696946489</v>
      </c>
      <c r="AX76" s="1199">
        <f t="shared" si="259"/>
        <v>550.17999061402907</v>
      </c>
      <c r="AY76" s="2993">
        <f>+AY67/AY74</f>
        <v>555.88300899603735</v>
      </c>
      <c r="AZ76" s="2993">
        <f>+AZ67/AZ74</f>
        <v>563.96139569413515</v>
      </c>
      <c r="BA76" s="1201">
        <f t="shared" ref="BA76:BD76" si="260">+BA67/BA74</f>
        <v>555.92773101802618</v>
      </c>
      <c r="BB76" s="1201">
        <f t="shared" si="260"/>
        <v>545.37110790213421</v>
      </c>
      <c r="BC76" s="1140">
        <f t="shared" si="260"/>
        <v>554.22944829341145</v>
      </c>
      <c r="BD76" s="1140">
        <f t="shared" si="260"/>
        <v>554.89578547927522</v>
      </c>
      <c r="BE76" s="1199">
        <f t="shared" ref="BE76:BF76" si="261">+BE67/BE74</f>
        <v>550.30481118078274</v>
      </c>
      <c r="BF76" s="1199">
        <f t="shared" si="261"/>
        <v>551.36171561781055</v>
      </c>
      <c r="BG76" s="25"/>
      <c r="BH76" s="25"/>
      <c r="BI76" s="25"/>
      <c r="BJ76" s="25"/>
      <c r="BK76" s="25"/>
      <c r="BL76" s="25"/>
      <c r="BM76" s="25"/>
      <c r="BN76" s="25"/>
    </row>
    <row r="77" spans="2:66" ht="15.75" thickBot="1" x14ac:dyDescent="0.3">
      <c r="B77" s="3510" t="s">
        <v>226</v>
      </c>
      <c r="C77" s="3511" t="s">
        <v>49</v>
      </c>
      <c r="D77" s="2883">
        <f t="shared" ref="D77:AD77" si="262">+(1000/(D53+D54+D55+D56+D57))*100</f>
        <v>79.810011233360783</v>
      </c>
      <c r="E77" s="2993">
        <f t="shared" si="262"/>
        <v>79.810011233360783</v>
      </c>
      <c r="F77" s="2993">
        <f t="shared" si="262"/>
        <v>77.682285543510972</v>
      </c>
      <c r="G77" s="2993">
        <f t="shared" ref="G77:H77" si="263">+(1000/(G53+G54+G55+G56+G57))*100</f>
        <v>80.373222122155141</v>
      </c>
      <c r="H77" s="2993">
        <f t="shared" si="263"/>
        <v>78.794746809897859</v>
      </c>
      <c r="I77" s="2994">
        <f t="shared" si="262"/>
        <v>80.128895931450515</v>
      </c>
      <c r="J77" s="3528">
        <f t="shared" si="262"/>
        <v>78.290672681203759</v>
      </c>
      <c r="K77" s="2993">
        <f t="shared" si="262"/>
        <v>80.391755848728508</v>
      </c>
      <c r="L77" s="2993">
        <f t="shared" si="262"/>
        <v>80.526034198643188</v>
      </c>
      <c r="M77" s="1201">
        <f t="shared" si="262"/>
        <v>80.22211971448229</v>
      </c>
      <c r="N77" s="1201">
        <f t="shared" si="262"/>
        <v>79.051632192750859</v>
      </c>
      <c r="O77" s="2993">
        <f t="shared" ref="O77:P77" si="264">+(1000/(O53+O54+O55+O56+O57))*100</f>
        <v>80.384675656446476</v>
      </c>
      <c r="P77" s="2993">
        <f t="shared" si="264"/>
        <v>78.766838598838547</v>
      </c>
      <c r="Q77" s="1199">
        <f t="shared" si="262"/>
        <v>80.265032991661442</v>
      </c>
      <c r="R77" s="1199">
        <f t="shared" si="262"/>
        <v>78.975008919680263</v>
      </c>
      <c r="S77" s="2993">
        <f t="shared" si="262"/>
        <v>80.384675656446476</v>
      </c>
      <c r="T77" s="2993">
        <f t="shared" si="262"/>
        <v>78.685881968815536</v>
      </c>
      <c r="U77" s="1199">
        <f t="shared" ref="U77:X77" si="265">+(1000/(U53+U54+U55+U56+U57))*100</f>
        <v>80.290020962403588</v>
      </c>
      <c r="V77" s="1199">
        <f t="shared" si="265"/>
        <v>78.9154713441865</v>
      </c>
      <c r="W77" s="2993">
        <f t="shared" si="265"/>
        <v>80.439697558413997</v>
      </c>
      <c r="X77" s="2993">
        <f t="shared" si="265"/>
        <v>79.193660855784486</v>
      </c>
      <c r="Y77" s="1201">
        <f t="shared" si="262"/>
        <v>80.396565979697726</v>
      </c>
      <c r="Z77" s="1201">
        <f t="shared" si="262"/>
        <v>78.877772932885975</v>
      </c>
      <c r="AA77" s="1140">
        <f t="shared" si="262"/>
        <v>80.305476811382221</v>
      </c>
      <c r="AB77" s="1140">
        <f t="shared" si="262"/>
        <v>78.961859248446046</v>
      </c>
      <c r="AC77" s="2993">
        <f t="shared" si="262"/>
        <v>80.373222122155141</v>
      </c>
      <c r="AD77" s="2993">
        <f t="shared" si="262"/>
        <v>76.410737370408839</v>
      </c>
      <c r="AE77" s="1199">
        <f t="shared" ref="AE77:AH77" si="266">+(1000/(AE53+AE54+AE55+AE56+AE57))*100</f>
        <v>80.316331185414086</v>
      </c>
      <c r="AF77" s="1199">
        <f t="shared" si="266"/>
        <v>78.650517864395937</v>
      </c>
      <c r="AG77" s="2993">
        <f t="shared" si="266"/>
        <v>80.510950974470006</v>
      </c>
      <c r="AH77" s="2993">
        <f t="shared" si="266"/>
        <v>77.934907754417551</v>
      </c>
      <c r="AI77" s="1199">
        <f t="shared" ref="AI77:AL77" si="267">+(1000/(AI53+AI54+AI55+AI56+AI57))*100</f>
        <v>80.342733471387035</v>
      </c>
      <c r="AJ77" s="1199">
        <f t="shared" si="267"/>
        <v>78.559699013366682</v>
      </c>
      <c r="AK77" s="2993">
        <f t="shared" si="267"/>
        <v>80.489110461942275</v>
      </c>
      <c r="AL77" s="2993">
        <f t="shared" si="267"/>
        <v>77.459580526500019</v>
      </c>
      <c r="AM77" s="1201">
        <f t="shared" ref="AM77:AN77" si="268">+(1000/(AM53+AM54+AM55+AM56+AM57))*100</f>
        <v>80.457492139095947</v>
      </c>
      <c r="AN77" s="1201">
        <f t="shared" si="268"/>
        <v>77.316408987155611</v>
      </c>
      <c r="AO77" s="1199">
        <f t="shared" ref="AO77:AT77" si="269">+(1000/(AO53+AO54+AO55+AO56+AO57))*100</f>
        <v>80.360679253220781</v>
      </c>
      <c r="AP77" s="1199">
        <f t="shared" si="269"/>
        <v>78.436790830698087</v>
      </c>
      <c r="AQ77" s="2993">
        <f t="shared" si="269"/>
        <v>80.364357843257849</v>
      </c>
      <c r="AR77" s="2993">
        <f t="shared" si="269"/>
        <v>77.168563357036689</v>
      </c>
      <c r="AS77" s="1199">
        <f t="shared" si="269"/>
        <v>80.361083019858754</v>
      </c>
      <c r="AT77" s="1199">
        <f t="shared" si="269"/>
        <v>78.307040801756202</v>
      </c>
      <c r="AU77" s="2993">
        <f t="shared" ref="AU77:AZ77" si="270">+(1000/(AU53+AU54+AU55+AU56+AU57))*100</f>
        <v>80.432407277499834</v>
      </c>
      <c r="AV77" s="2993">
        <f t="shared" si="270"/>
        <v>77.760896370143897</v>
      </c>
      <c r="AW77" s="1199">
        <f t="shared" si="270"/>
        <v>80.367486480634568</v>
      </c>
      <c r="AX77" s="1199">
        <f t="shared" si="270"/>
        <v>78.26323650111884</v>
      </c>
      <c r="AY77" s="2993">
        <f t="shared" ref="AY77" si="271">+(1000/(AY53+AY54+AY55+AY56+AY57))*100</f>
        <v>80.364357843257849</v>
      </c>
      <c r="AZ77" s="2993">
        <f t="shared" si="270"/>
        <v>77.036093556054936</v>
      </c>
      <c r="BA77" s="1201">
        <f t="shared" ref="BA77:BF77" si="272">+(1000/(BA53+BA54+BA55+BA56+BA57))*100</f>
        <v>80.385454484118895</v>
      </c>
      <c r="BB77" s="1201">
        <f t="shared" si="272"/>
        <v>77.295670203120523</v>
      </c>
      <c r="BC77" s="1140">
        <f t="shared" si="272"/>
        <v>80.421760899228204</v>
      </c>
      <c r="BD77" s="1140">
        <f t="shared" si="272"/>
        <v>77.305875008399752</v>
      </c>
      <c r="BE77" s="1199">
        <f t="shared" si="272"/>
        <v>80.367202299716268</v>
      </c>
      <c r="BF77" s="1199">
        <f t="shared" si="272"/>
        <v>78.154045195046265</v>
      </c>
      <c r="BG77" s="25"/>
      <c r="BH77" s="25"/>
      <c r="BI77" s="25"/>
      <c r="BJ77" s="25"/>
      <c r="BK77" s="25"/>
      <c r="BL77" s="25"/>
      <c r="BM77" s="25"/>
      <c r="BN77" s="25"/>
    </row>
    <row r="78" spans="2:66" ht="15.75" hidden="1" thickBot="1" x14ac:dyDescent="0.3">
      <c r="B78" s="3518" t="s">
        <v>418</v>
      </c>
      <c r="C78" s="3519" t="s">
        <v>49</v>
      </c>
      <c r="D78" s="1362">
        <f t="shared" ref="D78:Z78" si="273">+D47/D67*100</f>
        <v>15.000000000000002</v>
      </c>
      <c r="E78" s="3529">
        <f t="shared" si="273"/>
        <v>15</v>
      </c>
      <c r="F78" s="3529">
        <f t="shared" si="273"/>
        <v>19.770698258596695</v>
      </c>
      <c r="G78" s="3529">
        <f t="shared" ref="G78:H78" si="274">+G47/G67*100</f>
        <v>15</v>
      </c>
      <c r="H78" s="3529">
        <f t="shared" si="274"/>
        <v>16.947082233342528</v>
      </c>
      <c r="I78" s="3530">
        <f t="shared" si="273"/>
        <v>15.000000000000002</v>
      </c>
      <c r="J78" s="3531">
        <f t="shared" si="273"/>
        <v>18.355309009133567</v>
      </c>
      <c r="K78" s="3529">
        <f t="shared" si="273"/>
        <v>15</v>
      </c>
      <c r="L78" s="3529">
        <f t="shared" si="273"/>
        <v>21.416839856062335</v>
      </c>
      <c r="M78" s="1212">
        <f t="shared" si="273"/>
        <v>15.000000000000002</v>
      </c>
      <c r="N78" s="1212">
        <f t="shared" si="273"/>
        <v>19.41695051461264</v>
      </c>
      <c r="O78" s="3529">
        <f t="shared" ref="O78:P78" si="275">+O47/O67*100</f>
        <v>15</v>
      </c>
      <c r="P78" s="3529">
        <f t="shared" si="275"/>
        <v>18.896120213086743</v>
      </c>
      <c r="Q78" s="1214">
        <f t="shared" si="273"/>
        <v>15</v>
      </c>
      <c r="R78" s="1214">
        <f t="shared" si="273"/>
        <v>19.277191297921579</v>
      </c>
      <c r="S78" s="3529">
        <f t="shared" si="273"/>
        <v>15</v>
      </c>
      <c r="T78" s="3529">
        <f t="shared" si="273"/>
        <v>15.135745956850455</v>
      </c>
      <c r="U78" s="1214">
        <f t="shared" ref="U78:X78" si="276">+U47/U67*100</f>
        <v>15</v>
      </c>
      <c r="V78" s="1214">
        <f t="shared" si="276"/>
        <v>18.426858040313423</v>
      </c>
      <c r="W78" s="3529">
        <f t="shared" si="276"/>
        <v>15</v>
      </c>
      <c r="X78" s="3529">
        <f t="shared" si="276"/>
        <v>16.418790556693988</v>
      </c>
      <c r="Y78" s="1212">
        <f t="shared" si="273"/>
        <v>15</v>
      </c>
      <c r="Z78" s="1212">
        <f t="shared" si="273"/>
        <v>16.846364333956501</v>
      </c>
      <c r="AA78" s="1215">
        <f t="shared" ref="AA78:AF78" si="277">+AA47/AA67*100</f>
        <v>15</v>
      </c>
      <c r="AB78" s="1215">
        <f t="shared" si="277"/>
        <v>18.091031235455784</v>
      </c>
      <c r="AC78" s="3529">
        <f t="shared" si="277"/>
        <v>15</v>
      </c>
      <c r="AD78" s="3529">
        <f t="shared" si="277"/>
        <v>14.911692895623791</v>
      </c>
      <c r="AE78" s="1214">
        <f t="shared" si="277"/>
        <v>15</v>
      </c>
      <c r="AF78" s="1214">
        <f t="shared" si="277"/>
        <v>17.714071298691543</v>
      </c>
      <c r="AG78" s="3529">
        <f t="shared" ref="AG78:AH78" si="278">+AG47/AG67*100</f>
        <v>15</v>
      </c>
      <c r="AH78" s="3529">
        <f t="shared" si="278"/>
        <v>14.777748043450952</v>
      </c>
      <c r="AI78" s="1214">
        <f t="shared" ref="AI78:AL78" si="279">+AI47/AI67*100</f>
        <v>15</v>
      </c>
      <c r="AJ78" s="1214">
        <f t="shared" si="279"/>
        <v>17.344383076084732</v>
      </c>
      <c r="AK78" s="3529">
        <f t="shared" si="279"/>
        <v>15</v>
      </c>
      <c r="AL78" s="3529">
        <f t="shared" si="279"/>
        <v>14.603299576117301</v>
      </c>
      <c r="AM78" s="1212">
        <f t="shared" ref="AM78:AN78" si="280">+AM47/AM67*100</f>
        <v>15</v>
      </c>
      <c r="AN78" s="1212">
        <f t="shared" si="280"/>
        <v>14.755821608433564</v>
      </c>
      <c r="AO78" s="1214">
        <f t="shared" ref="AO78:AT78" si="281">+AO47/AO67*100</f>
        <v>15</v>
      </c>
      <c r="AP78" s="1214">
        <f t="shared" si="281"/>
        <v>17.041957216326775</v>
      </c>
      <c r="AQ78" s="3529">
        <f t="shared" si="281"/>
        <v>14.999999999999996</v>
      </c>
      <c r="AR78" s="3529">
        <f t="shared" si="281"/>
        <v>16.260843472093402</v>
      </c>
      <c r="AS78" s="1214">
        <f t="shared" si="281"/>
        <v>15.000000000000002</v>
      </c>
      <c r="AT78" s="1214">
        <f t="shared" si="281"/>
        <v>16.96320474548936</v>
      </c>
      <c r="AU78" s="3529">
        <f t="shared" ref="AU78:AX78" si="282">+AU47/AU67*100</f>
        <v>15</v>
      </c>
      <c r="AV78" s="3529">
        <f t="shared" si="282"/>
        <v>19.077580785526894</v>
      </c>
      <c r="AW78" s="1214">
        <f t="shared" si="282"/>
        <v>15.000000000000002</v>
      </c>
      <c r="AX78" s="1214">
        <f t="shared" si="282"/>
        <v>17.131702812895806</v>
      </c>
      <c r="AY78" s="3529">
        <f t="shared" ref="AY78:AZ78" si="283">+AY47/AY67*100</f>
        <v>14.999999999999996</v>
      </c>
      <c r="AZ78" s="3529">
        <f t="shared" si="283"/>
        <v>17.374706446075592</v>
      </c>
      <c r="BA78" s="1212">
        <f t="shared" ref="BA78:BF78" si="284">+BA47/BA67*100</f>
        <v>15</v>
      </c>
      <c r="BB78" s="1212">
        <f t="shared" si="284"/>
        <v>17.495151961735832</v>
      </c>
      <c r="BC78" s="1215">
        <f t="shared" si="284"/>
        <v>15</v>
      </c>
      <c r="BD78" s="1215">
        <f t="shared" si="284"/>
        <v>16.14704293266578</v>
      </c>
      <c r="BE78" s="1214">
        <f t="shared" si="284"/>
        <v>15.000000000000002</v>
      </c>
      <c r="BF78" s="1214">
        <f t="shared" si="284"/>
        <v>17.153016003206922</v>
      </c>
      <c r="BG78" s="25"/>
      <c r="BH78" s="25"/>
      <c r="BI78" s="25"/>
      <c r="BJ78" s="25"/>
      <c r="BK78" s="25"/>
      <c r="BL78" s="25"/>
      <c r="BM78" s="25"/>
      <c r="BN78" s="25"/>
    </row>
    <row r="79" spans="2:66" ht="18.75" x14ac:dyDescent="0.25">
      <c r="B79" s="3506" t="s">
        <v>47</v>
      </c>
      <c r="C79" s="3507"/>
      <c r="D79" s="2630"/>
      <c r="E79" s="3508"/>
      <c r="F79" s="3508"/>
      <c r="G79" s="3508"/>
      <c r="H79" s="3508"/>
      <c r="I79" s="3507"/>
      <c r="J79" s="3509"/>
      <c r="K79" s="3508"/>
      <c r="L79" s="3508"/>
      <c r="M79" s="1196"/>
      <c r="N79" s="1196"/>
      <c r="O79" s="3508"/>
      <c r="P79" s="3508"/>
      <c r="Q79" s="1196"/>
      <c r="R79" s="1196"/>
      <c r="S79" s="3508"/>
      <c r="T79" s="3508"/>
      <c r="U79" s="1196"/>
      <c r="V79" s="1196"/>
      <c r="W79" s="3508"/>
      <c r="X79" s="3508"/>
      <c r="Y79" s="1196"/>
      <c r="Z79" s="1196"/>
      <c r="AA79" s="1196"/>
      <c r="AB79" s="1196"/>
      <c r="AC79" s="3508"/>
      <c r="AD79" s="3508"/>
      <c r="AE79" s="1196"/>
      <c r="AF79" s="1196"/>
      <c r="AG79" s="3508"/>
      <c r="AH79" s="3508"/>
      <c r="AI79" s="1196"/>
      <c r="AJ79" s="1196"/>
      <c r="AK79" s="3508"/>
      <c r="AL79" s="3508"/>
      <c r="AM79" s="1196"/>
      <c r="AN79" s="1196"/>
      <c r="AO79" s="1196"/>
      <c r="AP79" s="1196"/>
      <c r="AQ79" s="3508"/>
      <c r="AR79" s="3508"/>
      <c r="AS79" s="1196"/>
      <c r="AT79" s="1196"/>
      <c r="AU79" s="3508"/>
      <c r="AV79" s="3508"/>
      <c r="AW79" s="1196"/>
      <c r="AX79" s="1196"/>
      <c r="AY79" s="3508"/>
      <c r="AZ79" s="3508"/>
      <c r="BA79" s="1196"/>
      <c r="BB79" s="1196"/>
      <c r="BC79" s="1196"/>
      <c r="BD79" s="1196"/>
      <c r="BE79" s="1196"/>
      <c r="BF79" s="1196"/>
      <c r="BG79" s="25"/>
      <c r="BH79" s="25"/>
      <c r="BI79" s="25"/>
      <c r="BJ79" s="25"/>
      <c r="BK79" s="25"/>
      <c r="BL79" s="25"/>
      <c r="BM79" s="25"/>
      <c r="BN79" s="25"/>
    </row>
    <row r="80" spans="2:66" x14ac:dyDescent="0.25">
      <c r="B80" s="3510" t="s">
        <v>419</v>
      </c>
      <c r="C80" s="3511" t="s">
        <v>49</v>
      </c>
      <c r="D80" s="3171">
        <f t="shared" ref="D80:AI80" si="285">+(D67/(3880000/330*D1))*100</f>
        <v>109.95201777399157</v>
      </c>
      <c r="E80" s="3512">
        <f t="shared" si="285"/>
        <v>114.49670117531656</v>
      </c>
      <c r="F80" s="3512">
        <f t="shared" si="285"/>
        <v>108.51521865415523</v>
      </c>
      <c r="G80" s="3512">
        <f t="shared" si="285"/>
        <v>111.83807766945941</v>
      </c>
      <c r="H80" s="3512">
        <f t="shared" si="285"/>
        <v>112.16055453882947</v>
      </c>
      <c r="I80" s="3513">
        <f t="shared" si="285"/>
        <v>112.97152159351222</v>
      </c>
      <c r="J80" s="3514">
        <f t="shared" si="285"/>
        <v>110.31240037351091</v>
      </c>
      <c r="K80" s="3512">
        <f t="shared" si="285"/>
        <v>112.35299865735398</v>
      </c>
      <c r="L80" s="3512">
        <f t="shared" si="285"/>
        <v>112.54516134636197</v>
      </c>
      <c r="M80" s="1212">
        <f t="shared" si="285"/>
        <v>112.75091882048901</v>
      </c>
      <c r="N80" s="1212">
        <f t="shared" si="285"/>
        <v>111.07654757439467</v>
      </c>
      <c r="O80" s="3512">
        <f t="shared" si="285"/>
        <v>109.79954617224321</v>
      </c>
      <c r="P80" s="3512">
        <f t="shared" si="285"/>
        <v>113.83239282103703</v>
      </c>
      <c r="Q80" s="1214">
        <f t="shared" si="285"/>
        <v>111.95530214428176</v>
      </c>
      <c r="R80" s="1214">
        <f t="shared" si="285"/>
        <v>111.80286440211329</v>
      </c>
      <c r="S80" s="3512">
        <f t="shared" si="285"/>
        <v>109.79954617224321</v>
      </c>
      <c r="T80" s="3512">
        <f t="shared" si="285"/>
        <v>112.44866740605384</v>
      </c>
      <c r="U80" s="1214">
        <f t="shared" si="285"/>
        <v>111.49755987370895</v>
      </c>
      <c r="V80" s="1214">
        <f t="shared" si="285"/>
        <v>111.93485661995597</v>
      </c>
      <c r="W80" s="3512">
        <f t="shared" si="285"/>
        <v>110.90716848399194</v>
      </c>
      <c r="X80" s="3512">
        <f t="shared" si="285"/>
        <v>111.61701346794256</v>
      </c>
      <c r="Y80" s="1212">
        <f t="shared" si="285"/>
        <v>110.03715491898798</v>
      </c>
      <c r="Z80" s="1212">
        <f t="shared" si="285"/>
        <v>112.64796107281383</v>
      </c>
      <c r="AA80" s="1215">
        <f t="shared" si="285"/>
        <v>111.43620191105168</v>
      </c>
      <c r="AB80" s="1215">
        <f t="shared" si="285"/>
        <v>111.8815749183657</v>
      </c>
      <c r="AC80" s="3512">
        <f t="shared" si="285"/>
        <v>111.83807766945941</v>
      </c>
      <c r="AD80" s="3512">
        <f t="shared" si="285"/>
        <v>112.70135267973637</v>
      </c>
      <c r="AE80" s="1214">
        <f t="shared" si="285"/>
        <v>111.50044283365044</v>
      </c>
      <c r="AF80" s="1214">
        <f t="shared" si="285"/>
        <v>111.97814858830046</v>
      </c>
      <c r="AG80" s="3512">
        <f t="shared" si="285"/>
        <v>113.5604740276007</v>
      </c>
      <c r="AH80" s="3512">
        <f t="shared" si="285"/>
        <v>116.51312847398027</v>
      </c>
      <c r="AI80" s="1214">
        <f t="shared" si="285"/>
        <v>111.77609309710239</v>
      </c>
      <c r="AJ80" s="1214">
        <f t="shared" ref="AJ80:BF80" si="286">+(AJ67/(3880000/330*AJ1))*100</f>
        <v>112.52958950404756</v>
      </c>
      <c r="AK80" s="3512">
        <f t="shared" si="286"/>
        <v>113.00496563230287</v>
      </c>
      <c r="AL80" s="3512">
        <f t="shared" si="286"/>
        <v>116.4461676846164</v>
      </c>
      <c r="AM80" s="1212">
        <f t="shared" si="286"/>
        <v>112.79256845916088</v>
      </c>
      <c r="AN80" s="1212">
        <f t="shared" si="286"/>
        <v>115.34628414262296</v>
      </c>
      <c r="AO80" s="1214">
        <f t="shared" si="286"/>
        <v>111.92555195310085</v>
      </c>
      <c r="AP80" s="1214">
        <f t="shared" si="286"/>
        <v>112.94872998798688</v>
      </c>
      <c r="AQ80" s="3512">
        <f t="shared" si="286"/>
        <v>113.46890286723237</v>
      </c>
      <c r="AR80" s="3512">
        <f t="shared" si="286"/>
        <v>109.04326615821861</v>
      </c>
      <c r="AS80" s="1214">
        <f t="shared" si="286"/>
        <v>112.09290464020003</v>
      </c>
      <c r="AT80" s="1214">
        <f t="shared" si="286"/>
        <v>112.54234315287279</v>
      </c>
      <c r="AU80" s="3512">
        <f t="shared" si="286"/>
        <v>113.49833692949325</v>
      </c>
      <c r="AV80" s="3512">
        <f t="shared" si="286"/>
        <v>109.63227174667536</v>
      </c>
      <c r="AW80" s="1214">
        <f t="shared" si="286"/>
        <v>112.21776086593201</v>
      </c>
      <c r="AX80" s="1214">
        <f t="shared" si="286"/>
        <v>112.30478158925543</v>
      </c>
      <c r="AY80" s="3512">
        <f t="shared" si="286"/>
        <v>113.46890286723237</v>
      </c>
      <c r="AZ80" s="3512">
        <f t="shared" si="286"/>
        <v>115.11789314168944</v>
      </c>
      <c r="BA80" s="1212">
        <f t="shared" si="286"/>
        <v>113.47803169233934</v>
      </c>
      <c r="BB80" s="1212">
        <f t="shared" si="286"/>
        <v>111.32317460270369</v>
      </c>
      <c r="BC80" s="1215">
        <f t="shared" si="286"/>
        <v>113.13137191968605</v>
      </c>
      <c r="BD80" s="1215">
        <f t="shared" si="286"/>
        <v>113.26738713906856</v>
      </c>
      <c r="BE80" s="1214">
        <f t="shared" si="286"/>
        <v>112.33026042659276</v>
      </c>
      <c r="BF80" s="1214">
        <f t="shared" si="286"/>
        <v>112.54599968281083</v>
      </c>
      <c r="BG80" s="25"/>
      <c r="BH80" s="25"/>
      <c r="BI80" s="25"/>
      <c r="BJ80" s="25"/>
      <c r="BK80" s="25"/>
      <c r="BL80" s="25"/>
      <c r="BM80" s="25"/>
      <c r="BN80" s="25"/>
    </row>
    <row r="81" spans="2:66" x14ac:dyDescent="0.25">
      <c r="B81" s="3510" t="s">
        <v>229</v>
      </c>
      <c r="C81" s="3511" t="s">
        <v>227</v>
      </c>
      <c r="D81" s="3172">
        <f t="shared" ref="D81:AD81" si="287">+(D67/408)/D74</f>
        <v>1.3202299618831927</v>
      </c>
      <c r="E81" s="3231">
        <f t="shared" si="287"/>
        <v>1.3747994669743646</v>
      </c>
      <c r="F81" s="3231">
        <f t="shared" si="287"/>
        <v>1.3029778433171244</v>
      </c>
      <c r="G81" s="3231">
        <f t="shared" ref="G81:H81" si="288">+(G67/408)/G74</f>
        <v>1.3428765020223761</v>
      </c>
      <c r="H81" s="3231">
        <f t="shared" si="288"/>
        <v>1.3467485876245864</v>
      </c>
      <c r="I81" s="3513">
        <f t="shared" si="287"/>
        <v>1.3564861351964108</v>
      </c>
      <c r="J81" s="3515">
        <f t="shared" si="287"/>
        <v>1.3245571940273517</v>
      </c>
      <c r="K81" s="3231">
        <f t="shared" si="287"/>
        <v>1.3490593273127522</v>
      </c>
      <c r="L81" s="3231">
        <f t="shared" si="287"/>
        <v>1.3513666877843524</v>
      </c>
      <c r="M81" s="1218">
        <f t="shared" si="287"/>
        <v>1.3538372853024649</v>
      </c>
      <c r="N81" s="1218">
        <f t="shared" si="287"/>
        <v>1.3337325602490939</v>
      </c>
      <c r="O81" s="3231">
        <f t="shared" ref="O81:P81" si="289">+(O67/408)/O74</f>
        <v>1.3183991853222903</v>
      </c>
      <c r="P81" s="3231">
        <f t="shared" si="289"/>
        <v>1.366822898549291</v>
      </c>
      <c r="Q81" s="1214">
        <f t="shared" si="287"/>
        <v>1.3442840547627415</v>
      </c>
      <c r="R81" s="1210">
        <f t="shared" si="287"/>
        <v>1.3424536847649273</v>
      </c>
      <c r="S81" s="3231">
        <f t="shared" si="287"/>
        <v>1.3183991853222903</v>
      </c>
      <c r="T81" s="3231">
        <f t="shared" si="287"/>
        <v>1.3502080533753245</v>
      </c>
      <c r="U81" s="1214">
        <f t="shared" ref="U81:X81" si="290">+(U67/408)/U74</f>
        <v>1.3387877930963767</v>
      </c>
      <c r="V81" s="1210">
        <f t="shared" si="290"/>
        <v>1.3440385586422718</v>
      </c>
      <c r="W81" s="3231">
        <f t="shared" si="290"/>
        <v>1.3316987699231551</v>
      </c>
      <c r="X81" s="3231">
        <f t="shared" si="290"/>
        <v>1.3402221116050741</v>
      </c>
      <c r="Y81" s="1218">
        <f t="shared" si="287"/>
        <v>1.321252231523796</v>
      </c>
      <c r="Z81" s="1218">
        <f t="shared" si="287"/>
        <v>1.3526010378370645</v>
      </c>
      <c r="AA81" s="1219">
        <f t="shared" si="287"/>
        <v>1.3380510479020615</v>
      </c>
      <c r="AB81" s="1219">
        <f t="shared" si="287"/>
        <v>1.3433987877650864</v>
      </c>
      <c r="AC81" s="3231">
        <f t="shared" si="287"/>
        <v>1.3428765020223761</v>
      </c>
      <c r="AD81" s="3231">
        <f t="shared" si="287"/>
        <v>1.353242128383644</v>
      </c>
      <c r="AE81" s="1214">
        <f t="shared" ref="AE81:AH81" si="291">+(AE67/408)/AE74</f>
        <v>1.338822409742535</v>
      </c>
      <c r="AF81" s="1210">
        <f t="shared" si="291"/>
        <v>1.3445583795139071</v>
      </c>
      <c r="AG81" s="3231">
        <f t="shared" si="291"/>
        <v>1.3635578803571582</v>
      </c>
      <c r="AH81" s="3231">
        <f t="shared" si="291"/>
        <v>1.3990113713081909</v>
      </c>
      <c r="AI81" s="1214">
        <f t="shared" ref="AI81:AL81" si="292">+(AI67/408)/AI74</f>
        <v>1.3421322329197529</v>
      </c>
      <c r="AJ81" s="1210">
        <f t="shared" si="292"/>
        <v>1.3511797115632569</v>
      </c>
      <c r="AK81" s="3231">
        <f t="shared" si="292"/>
        <v>1.3568877087459619</v>
      </c>
      <c r="AL81" s="3231">
        <f t="shared" si="292"/>
        <v>1.3982073511348525</v>
      </c>
      <c r="AM81" s="1218">
        <f t="shared" ref="AM81:AN81" si="293">+(AM67/408)/AM74</f>
        <v>1.3543373861827348</v>
      </c>
      <c r="AN81" s="1218">
        <f t="shared" si="293"/>
        <v>1.3850006884821779</v>
      </c>
      <c r="AO81" s="1214">
        <f t="shared" ref="AO81:AT81" si="294">+(AO67/408)/AO74</f>
        <v>1.3439268344537019</v>
      </c>
      <c r="AP81" s="1210">
        <f t="shared" si="294"/>
        <v>1.3562124689090327</v>
      </c>
      <c r="AQ81" s="3231">
        <f t="shared" si="294"/>
        <v>1.3624583553824443</v>
      </c>
      <c r="AR81" s="3231">
        <f t="shared" si="294"/>
        <v>1.3093182829950494</v>
      </c>
      <c r="AS81" s="1214">
        <f t="shared" si="294"/>
        <v>1.3459362930901422</v>
      </c>
      <c r="AT81" s="1210">
        <f t="shared" si="294"/>
        <v>1.3513328488102425</v>
      </c>
      <c r="AU81" s="3231">
        <f t="shared" ref="AU81:AX81" si="295">+(AU67/408)/AU74</f>
        <v>1.3628117798277934</v>
      </c>
      <c r="AV81" s="3231">
        <f t="shared" si="295"/>
        <v>1.3163906663977405</v>
      </c>
      <c r="AW81" s="1214">
        <f t="shared" si="295"/>
        <v>1.3474354827682962</v>
      </c>
      <c r="AX81" s="1210">
        <f t="shared" si="295"/>
        <v>1.3484803691520322</v>
      </c>
      <c r="AY81" s="3231">
        <f t="shared" ref="AY81:AZ81" si="296">+(AY67/408)/AY74</f>
        <v>1.3624583553824443</v>
      </c>
      <c r="AZ81" s="3231">
        <f t="shared" si="296"/>
        <v>1.3822583227797429</v>
      </c>
      <c r="BA81" s="1218">
        <f t="shared" ref="BA81:BF81" si="297">+(BA67/408)/BA74</f>
        <v>1.3625679681814367</v>
      </c>
      <c r="BB81" s="1218">
        <f t="shared" si="297"/>
        <v>1.3366938919169955</v>
      </c>
      <c r="BC81" s="1219">
        <f t="shared" si="297"/>
        <v>1.3584055105230672</v>
      </c>
      <c r="BD81" s="1219">
        <f t="shared" si="297"/>
        <v>1.3600386899001846</v>
      </c>
      <c r="BE81" s="1214">
        <f t="shared" si="297"/>
        <v>1.3487863019136832</v>
      </c>
      <c r="BF81" s="1210">
        <f t="shared" si="297"/>
        <v>1.3513767539652222</v>
      </c>
      <c r="BG81" s="25"/>
      <c r="BH81" s="25"/>
      <c r="BI81" s="25"/>
      <c r="BJ81" s="25"/>
      <c r="BK81" s="25"/>
      <c r="BL81" s="25"/>
      <c r="BM81" s="25"/>
      <c r="BN81" s="25"/>
    </row>
    <row r="82" spans="2:66" x14ac:dyDescent="0.25">
      <c r="B82" s="3510" t="s">
        <v>230</v>
      </c>
      <c r="C82" s="3511" t="s">
        <v>213</v>
      </c>
      <c r="D82" s="7645">
        <f>14.5890651947006*365*24*1000</f>
        <v>127800211.10557728</v>
      </c>
      <c r="E82" s="2996">
        <f>+'POWER DISTRIBUTION'!I21</f>
        <v>8858244.3057163507</v>
      </c>
      <c r="F82" s="2996">
        <f>+'POWER DISTRIBUTION'!J21</f>
        <v>11705460</v>
      </c>
      <c r="G82" s="2996">
        <f>+'POWER DISTRIBUTION'!K21</f>
        <v>11860620.924496397</v>
      </c>
      <c r="H82" s="2996">
        <f>+'POWER DISTRIBUTION'!L21</f>
        <v>11134429.999999994</v>
      </c>
      <c r="I82" s="2994">
        <f>+E82+G82</f>
        <v>20718865.230212748</v>
      </c>
      <c r="J82" s="3516">
        <f>+F82+H82</f>
        <v>22839889.999999993</v>
      </c>
      <c r="K82" s="2996">
        <f>+'POWER DISTRIBUTION'!O21</f>
        <v>11514717.277581625</v>
      </c>
      <c r="L82" s="2996">
        <f>+'POWER DISTRIBUTION'!P21</f>
        <v>11736979.999999998</v>
      </c>
      <c r="M82" s="1201">
        <f>+K82+G82+E82</f>
        <v>32233582.507794373</v>
      </c>
      <c r="N82" s="1201">
        <f>+L82+H82+F82</f>
        <v>34576869.999999993</v>
      </c>
      <c r="O82" s="2996">
        <f>+'POWER DISTRIBUTION'!S21</f>
        <v>11644431.145174664</v>
      </c>
      <c r="P82" s="2996">
        <f>+'POWER DISTRIBUTION'!T21</f>
        <v>12452919.999999998</v>
      </c>
      <c r="Q82" s="1199">
        <f>+M82+O82</f>
        <v>43878013.652969033</v>
      </c>
      <c r="R82" s="1200">
        <f>+N82+P82</f>
        <v>47029789.999999993</v>
      </c>
      <c r="S82" s="2996">
        <f>+'POWER DISTRIBUTION'!W21</f>
        <v>11644431.145174664</v>
      </c>
      <c r="T82" s="2996">
        <f>+'POWER DISTRIBUTION'!X21</f>
        <v>12425240.000000002</v>
      </c>
      <c r="U82" s="1199">
        <f>+Q82+S82</f>
        <v>55522444.7981437</v>
      </c>
      <c r="V82" s="1200">
        <f>+R82+T82</f>
        <v>59455029.999999993</v>
      </c>
      <c r="W82" s="2996">
        <f>+'POWER DISTRIBUTION'!AA21</f>
        <v>6424565.2608682904</v>
      </c>
      <c r="X82" s="2996">
        <f>+'POWER DISTRIBUTION'!AB21</f>
        <v>12303829.999999996</v>
      </c>
      <c r="Y82" s="1201">
        <f>+O82+S82+W82</f>
        <v>29713427.551217616</v>
      </c>
      <c r="Z82" s="1201">
        <f>+P82+T82+X82</f>
        <v>37181990</v>
      </c>
      <c r="AA82" s="1140">
        <f>M82+Y82</f>
        <v>61947010.059011988</v>
      </c>
      <c r="AB82" s="1140">
        <f>N82+Z82</f>
        <v>71758860</v>
      </c>
      <c r="AC82" s="2996">
        <f>+'POWER DISTRIBUTION'!AG21</f>
        <v>11860620.924496397</v>
      </c>
      <c r="AD82" s="2996">
        <f>+'POWER DISTRIBUTION'!AH21</f>
        <v>10323149.999999998</v>
      </c>
      <c r="AE82" s="1199">
        <f>+AA82+AC82</f>
        <v>73807630.983508378</v>
      </c>
      <c r="AF82" s="1200">
        <f>+AB82+AD82</f>
        <v>82082010</v>
      </c>
      <c r="AG82" s="2996">
        <f>+'POWER DISTRIBUTION'!AK21</f>
        <v>11638467.757534873</v>
      </c>
      <c r="AH82" s="2996">
        <f>+'POWER DISTRIBUTION'!AL21</f>
        <v>11758380.000000009</v>
      </c>
      <c r="AI82" s="1199">
        <f>+AE82+AG82</f>
        <v>85446098.741043255</v>
      </c>
      <c r="AJ82" s="1200">
        <f>+AF82+AH82</f>
        <v>93840390.000000015</v>
      </c>
      <c r="AK82" s="2996">
        <f>+'POWER DISTRIBUTION'!AO21</f>
        <v>11984371.404449644</v>
      </c>
      <c r="AL82" s="2996">
        <f>+'POWER DISTRIBUTION'!AP21</f>
        <v>10587819.999999993</v>
      </c>
      <c r="AM82" s="1201">
        <f>+AC82+AG82+AK82</f>
        <v>35483460.086480916</v>
      </c>
      <c r="AN82" s="1201">
        <f>+AD82+AH82+AL82</f>
        <v>32669350</v>
      </c>
      <c r="AO82" s="1199">
        <f>AI82+AK82</f>
        <v>97430470.145492896</v>
      </c>
      <c r="AP82" s="1199">
        <f>AJ82+AL82</f>
        <v>104428210</v>
      </c>
      <c r="AQ82" s="2996">
        <f>+'POWER DISTRIBUTION'!AU21</f>
        <v>12033572.747953784</v>
      </c>
      <c r="AR82" s="2996">
        <f>+'POWER DISTRIBUTION'!AV21</f>
        <v>11832350.000000006</v>
      </c>
      <c r="AS82" s="1199">
        <f>+AO82+AQ82</f>
        <v>109464042.89344668</v>
      </c>
      <c r="AT82" s="1200">
        <f>+AP82+AR82</f>
        <v>116260560</v>
      </c>
      <c r="AU82" s="2996">
        <f>+'POWER DISTRIBUTION'!AY21</f>
        <v>10822909.983752074</v>
      </c>
      <c r="AV82" s="2996">
        <f>+'POWER DISTRIBUTION'!AZ21</f>
        <v>10396270</v>
      </c>
      <c r="AW82" s="1199">
        <f>+AS82+AU82</f>
        <v>120286952.87719876</v>
      </c>
      <c r="AX82" s="1200">
        <f>+AT82+AV82</f>
        <v>126656830</v>
      </c>
      <c r="AY82" s="2996">
        <f>+'POWER DISTRIBUTION'!BC21</f>
        <v>12033572.747953784</v>
      </c>
      <c r="AZ82" s="2996">
        <f>+'POWER DISTRIBUTION'!BD21</f>
        <v>12188319.999999996</v>
      </c>
      <c r="BA82" s="1201">
        <f>+AQ82+AU82+AY82</f>
        <v>34890055.479659647</v>
      </c>
      <c r="BB82" s="1201">
        <f>+AR82+AV82+AZ82</f>
        <v>34416940</v>
      </c>
      <c r="BC82" s="1140">
        <f t="shared" ref="BC82:BD82" si="298">AM82+BA82</f>
        <v>70373515.566140562</v>
      </c>
      <c r="BD82" s="1140">
        <f t="shared" si="298"/>
        <v>67086290</v>
      </c>
      <c r="BE82" s="1199">
        <f>+AW82+AY82</f>
        <v>132320525.62515254</v>
      </c>
      <c r="BF82" s="1200">
        <f>+AX82+AZ82</f>
        <v>138845150</v>
      </c>
      <c r="BG82" s="25"/>
      <c r="BH82" s="25"/>
      <c r="BI82" s="25"/>
      <c r="BJ82" s="25"/>
      <c r="BK82" s="25"/>
      <c r="BL82" s="25"/>
      <c r="BM82" s="25"/>
      <c r="BN82" s="25"/>
    </row>
    <row r="83" spans="2:66" x14ac:dyDescent="0.25">
      <c r="B83" s="3510" t="s">
        <v>231</v>
      </c>
      <c r="C83" s="3511" t="s">
        <v>228</v>
      </c>
      <c r="D83" s="3174">
        <f t="shared" ref="D83:AD83" si="299">+D82/D67</f>
        <v>30.378812237263151</v>
      </c>
      <c r="E83" s="3517">
        <f t="shared" si="299"/>
        <v>30.37</v>
      </c>
      <c r="F83" s="3517">
        <f t="shared" si="299"/>
        <v>33.112291659594689</v>
      </c>
      <c r="G83" s="3517">
        <f t="shared" ref="G83:H83" si="300">+G82/G67</f>
        <v>30.937619988311706</v>
      </c>
      <c r="H83" s="3517">
        <f t="shared" si="300"/>
        <v>31.337579438568429</v>
      </c>
      <c r="I83" s="3513">
        <f t="shared" si="299"/>
        <v>30.69236103251934</v>
      </c>
      <c r="J83" s="3514">
        <f t="shared" si="299"/>
        <v>32.222684653519813</v>
      </c>
      <c r="K83" s="3517">
        <f t="shared" si="299"/>
        <v>30.937619988311706</v>
      </c>
      <c r="L83" s="3517">
        <f t="shared" si="299"/>
        <v>31.192641532500247</v>
      </c>
      <c r="M83" s="1212">
        <f t="shared" si="299"/>
        <v>30.779526529716758</v>
      </c>
      <c r="N83" s="1212">
        <f t="shared" si="299"/>
        <v>31.865498466483817</v>
      </c>
      <c r="O83" s="3517">
        <f t="shared" ref="O83:P83" si="301">+O82/O67</f>
        <v>30.93761998831171</v>
      </c>
      <c r="P83" s="3517">
        <f t="shared" si="301"/>
        <v>31.291888632023316</v>
      </c>
      <c r="Q83" s="1214">
        <f t="shared" si="299"/>
        <v>30.821323962549137</v>
      </c>
      <c r="R83" s="1214">
        <f t="shared" si="299"/>
        <v>31.71157642908388</v>
      </c>
      <c r="S83" s="3517">
        <f t="shared" si="299"/>
        <v>30.93761998831171</v>
      </c>
      <c r="T83" s="3517">
        <f t="shared" si="299"/>
        <v>32.42672484661216</v>
      </c>
      <c r="U83" s="1214">
        <f t="shared" ref="U83:X83" si="302">+U82/U67</f>
        <v>30.845641605493118</v>
      </c>
      <c r="V83" s="1214">
        <f t="shared" si="302"/>
        <v>31.858412722568044</v>
      </c>
      <c r="W83" s="3517">
        <f t="shared" si="302"/>
        <v>30.93761998831171</v>
      </c>
      <c r="X83" s="3517">
        <f t="shared" si="302"/>
        <v>32.829122908128404</v>
      </c>
      <c r="Y83" s="1212">
        <f t="shared" si="299"/>
        <v>30.937619988311706</v>
      </c>
      <c r="Z83" s="1212">
        <f t="shared" si="299"/>
        <v>32.166493788946148</v>
      </c>
      <c r="AA83" s="1215">
        <f t="shared" si="299"/>
        <v>30.855155317514054</v>
      </c>
      <c r="AB83" s="1215">
        <f t="shared" si="299"/>
        <v>32.020753133295642</v>
      </c>
      <c r="AC83" s="3517">
        <f t="shared" si="299"/>
        <v>30.937619988311706</v>
      </c>
      <c r="AD83" s="3517">
        <f t="shared" si="299"/>
        <v>34.24520978742602</v>
      </c>
      <c r="AE83" s="1214">
        <f t="shared" ref="AE83:AH83" si="303">+AE82/AE67</f>
        <v>30.868377434353409</v>
      </c>
      <c r="AF83" s="1210">
        <f t="shared" si="303"/>
        <v>32.284497016471065</v>
      </c>
      <c r="AG83" s="3517">
        <f t="shared" si="303"/>
        <v>30.93761998831171</v>
      </c>
      <c r="AH83" s="3517">
        <f t="shared" si="303"/>
        <v>32.108649230214716</v>
      </c>
      <c r="AI83" s="1214">
        <f t="shared" ref="AI83:AL83" si="304">+AI82/AI67</f>
        <v>30.877790605703609</v>
      </c>
      <c r="AJ83" s="1214">
        <f t="shared" si="304"/>
        <v>32.262357473273823</v>
      </c>
      <c r="AK83" s="3543">
        <f t="shared" si="304"/>
        <v>30.937619988311706</v>
      </c>
      <c r="AL83" s="3543">
        <f t="shared" si="304"/>
        <v>29.352476899917644</v>
      </c>
      <c r="AM83" s="1212">
        <f t="shared" ref="AM83:AN83" si="305">+AM82/AM67</f>
        <v>30.937619988311706</v>
      </c>
      <c r="AN83" s="1212">
        <f t="shared" si="305"/>
        <v>31.768181981724425</v>
      </c>
      <c r="AO83" s="1214">
        <f t="shared" ref="AO83:AT83" si="306">+AO82/AO67</f>
        <v>30.885137395595091</v>
      </c>
      <c r="AP83" s="1214">
        <f t="shared" si="306"/>
        <v>31.941308102030415</v>
      </c>
      <c r="AQ83" s="3543">
        <f t="shared" si="306"/>
        <v>30.937619988311702</v>
      </c>
      <c r="AR83" s="3543">
        <f t="shared" si="306"/>
        <v>32.277674723116391</v>
      </c>
      <c r="AS83" s="1214">
        <f t="shared" si="306"/>
        <v>30.890898185286328</v>
      </c>
      <c r="AT83" s="1214">
        <f t="shared" si="306"/>
        <v>31.975220835884244</v>
      </c>
      <c r="AU83" s="3517">
        <f t="shared" ref="AU83:AX83" si="307">+AU82/AU67</f>
        <v>30.937619988311702</v>
      </c>
      <c r="AV83" s="3517">
        <f t="shared" si="307"/>
        <v>33.020174942670387</v>
      </c>
      <c r="AW83" s="1214">
        <f t="shared" si="307"/>
        <v>30.895096236851568</v>
      </c>
      <c r="AX83" s="1214">
        <f t="shared" si="307"/>
        <v>32.05849492913341</v>
      </c>
      <c r="AY83" s="3517">
        <f t="shared" ref="AY83:AZ83" si="308">+AY82/AY67</f>
        <v>30.937619988311702</v>
      </c>
      <c r="AZ83" s="3517">
        <f t="shared" si="308"/>
        <v>32.089050833535168</v>
      </c>
      <c r="BA83" s="1212">
        <f t="shared" ref="BA83:BF83" si="309">+BA82/BA67</f>
        <v>30.93761998831171</v>
      </c>
      <c r="BB83" s="1212">
        <f t="shared" si="309"/>
        <v>32.430445491842669</v>
      </c>
      <c r="BC83" s="1215">
        <f t="shared" si="309"/>
        <v>30.93761998831171</v>
      </c>
      <c r="BD83" s="1215">
        <f t="shared" si="309"/>
        <v>32.104525174660857</v>
      </c>
      <c r="BE83" s="1214">
        <f t="shared" si="309"/>
        <v>30.898958624714801</v>
      </c>
      <c r="BF83" s="1214">
        <f t="shared" si="309"/>
        <v>32.06117490472522</v>
      </c>
      <c r="BG83" s="25"/>
      <c r="BH83" s="25"/>
      <c r="BI83" s="25"/>
      <c r="BJ83" s="25"/>
      <c r="BK83" s="25"/>
      <c r="BL83" s="25"/>
      <c r="BM83" s="25"/>
      <c r="BN83" s="25"/>
    </row>
    <row r="84" spans="2:66" x14ac:dyDescent="0.25">
      <c r="B84" s="3510" t="s">
        <v>232</v>
      </c>
      <c r="C84" s="3511" t="s">
        <v>594</v>
      </c>
      <c r="D84" s="7645">
        <v>1591.7834886561495</v>
      </c>
      <c r="E84" s="2996">
        <f>+(EMD!D41*1000/E2)/24</f>
        <v>1342.3683000611231</v>
      </c>
      <c r="F84" s="2996">
        <f>+(EMD!E41*1000/F2)/24</f>
        <v>1429.4444444444443</v>
      </c>
      <c r="G84" s="2996">
        <f>+(EMD!F41*1000/G2)/24</f>
        <v>1706.6129114535149</v>
      </c>
      <c r="H84" s="2996">
        <f>+(EMD!G41*1000/H2)/24</f>
        <v>1447.7688172043006</v>
      </c>
      <c r="I84" s="3513">
        <f>+(EMD!H41*1000/I2)/24</f>
        <v>1527.4762173261088</v>
      </c>
      <c r="J84" s="3514">
        <f>+(EMD!I41*1000/J2)/24</f>
        <v>1438.7568306010924</v>
      </c>
      <c r="K84" s="2996">
        <f>+(EMD!J41*1000/K2)/24</f>
        <v>1712.0706146228076</v>
      </c>
      <c r="L84" s="2996">
        <f>+(EMD!K41*1000/L2)/24</f>
        <v>1466.1805555555563</v>
      </c>
      <c r="M84" s="1212">
        <f>(E84*E2+G84*G2+K84*K2)/M2</f>
        <v>1588.3315131382074</v>
      </c>
      <c r="N84" s="1212">
        <f>(F84*F2+H84*H2+L84*L2)/N2</f>
        <v>1447.7976190476193</v>
      </c>
      <c r="O84" s="2996">
        <f>+(EMD!N41*1000/O2)/24</f>
        <v>1675.5064232201532</v>
      </c>
      <c r="P84" s="2996">
        <f>+(EMD!O41*1000/P2)/24</f>
        <v>1458.5080645161295</v>
      </c>
      <c r="Q84" s="1214">
        <f>+(EMD!P41*1000/Q2)/24</f>
        <v>1610.4825148803411</v>
      </c>
      <c r="R84" s="1214">
        <f>+(EMD!Q41*1000/R2)/24</f>
        <v>1450.5191256830601</v>
      </c>
      <c r="S84" s="2996">
        <f>+(EMD!R41*1000/S2)/24</f>
        <v>1675.5064232201532</v>
      </c>
      <c r="T84" s="2996">
        <f>+(EMD!S41*1000/T2)/24</f>
        <v>1407.741935483871</v>
      </c>
      <c r="U84" s="1214">
        <f>+(EMD!T41*1000/U2)/24</f>
        <v>1623.6572936942903</v>
      </c>
      <c r="V84" s="1214">
        <f>+(EMD!U41*1000/V2)/24</f>
        <v>1441.851851851852</v>
      </c>
      <c r="W84" s="2996">
        <f>+(EMD!V41*1000/W2)/24</f>
        <v>955.24121734286291</v>
      </c>
      <c r="X84" s="2996">
        <f>+(EMD!W41*1000/X2)/24</f>
        <v>1448.8888888888889</v>
      </c>
      <c r="Y84" s="1201">
        <f>+((O84*O2)+(S84*S2)+(W84*W2))/(Y2)</f>
        <v>1440.6373343471237</v>
      </c>
      <c r="Z84" s="1201">
        <f>+((P84*P2)+(T84*T2)+(X84*X2))/(Z2)</f>
        <v>1438.2653985507247</v>
      </c>
      <c r="AA84" s="1140">
        <f>+((U84*U2*24)+(W84*W2*24))/(AA2*24)</f>
        <v>1514.0808877350398</v>
      </c>
      <c r="AB84" s="1140">
        <f>+((N84*N2)+(Z84*Z2))/(AB2)</f>
        <v>1443.0054644808743</v>
      </c>
      <c r="AC84" s="2996">
        <f>+(EMD!AB41*1000/AC2)/24</f>
        <v>1706.6129114535149</v>
      </c>
      <c r="AD84" s="2996">
        <f>+(EMD!AC41*1000/AD2)/24</f>
        <v>1185.8870967741934</v>
      </c>
      <c r="AE84" s="1214">
        <f>+(EMD!AD41*1000/AE2)/24</f>
        <v>1541.9710407036039</v>
      </c>
      <c r="AF84" s="1214">
        <f>+(EMD!AE41*1000/AF2)/24</f>
        <v>1405.7593457943929</v>
      </c>
      <c r="AG84" s="2996">
        <f>+(EMD!AF41*1000/AG2)/24</f>
        <v>1730.4795561086723</v>
      </c>
      <c r="AH84" s="2996">
        <f>+(EMD!AG41*1000/AH2)/24</f>
        <v>1401.9444444444443</v>
      </c>
      <c r="AI84" s="1214">
        <f>+(EMD!AH41*1000/AI2)/24</f>
        <v>1565.1483171878335</v>
      </c>
      <c r="AJ84" s="1214">
        <f>+(EMD!AI41*1000/AJ2)/24</f>
        <v>1405.2903005464484</v>
      </c>
      <c r="AK84" s="2996">
        <f>+(EMD!AJ41*1000/AK2)/24</f>
        <v>1724.4280161172544</v>
      </c>
      <c r="AL84" s="2996">
        <f>+(EMD!AK41*1000/AL2)/24</f>
        <v>1434.3548387096773</v>
      </c>
      <c r="AM84" s="1212">
        <f>+(EMD!AL41*1000/AM2)/24</f>
        <v>1720.3984286734133</v>
      </c>
      <c r="AN84" s="1212">
        <f>+(EMD!AM41*1000/AN2)/24</f>
        <v>1340.0634057971013</v>
      </c>
      <c r="AO84" s="1214">
        <f>+(EMD!AN41*1000/AO2)/24</f>
        <v>1583.1034832489686</v>
      </c>
      <c r="AP84" s="1214">
        <f>+(EMD!AO41*1000/AP2)/24</f>
        <v>1408.5666666666666</v>
      </c>
      <c r="AQ84" s="2996">
        <f>+(EMD!AP41*1000/AQ2)/24</f>
        <v>1731.498102040204</v>
      </c>
      <c r="AR84" s="2996">
        <f>+(EMD!AQ41*1000/AR2)/24</f>
        <v>1441.0349462365591</v>
      </c>
      <c r="AS84" s="1214">
        <f>+(EMD!AR41*1000/AS2)/24</f>
        <v>1598.1369250219368</v>
      </c>
      <c r="AT84" s="1214">
        <f>+(EMD!AS41*1000/AT2)/24</f>
        <v>1411.8559368191725</v>
      </c>
      <c r="AU84" s="2996">
        <f>+(EMD!AT41*1000/AU2)/24</f>
        <v>1724.1555287833835</v>
      </c>
      <c r="AV84" s="2996">
        <f>+(EMD!AU41*1000/AV2)/24</f>
        <v>1413.8988095238094</v>
      </c>
      <c r="AW84" s="1199">
        <f>+(EMD!AV41*1000/AW2)/24</f>
        <v>1608.7013588702018</v>
      </c>
      <c r="AX84" s="1199">
        <f>+(EMD!AW41*1000/AX2)/24</f>
        <v>1412.0271956087827</v>
      </c>
      <c r="AY84" s="2996">
        <f>+(EMD!AX41*1000/AY2)/24</f>
        <v>1731.498102040204</v>
      </c>
      <c r="AZ84" s="2996">
        <f>+(EMD!AY41*1000/AZ2)/24</f>
        <v>1397.311827956989</v>
      </c>
      <c r="BA84" s="1212">
        <f>+((AQ84*AQ2)+(AU84*AU2)+(AY84*AY2))/(BA2)</f>
        <v>1729.2137459158596</v>
      </c>
      <c r="BB84" s="1212">
        <f>+((AR84*AR2)+(AV84*AV2)+(AZ84*AZ2))/(BB2)</f>
        <v>1417.5324074074074</v>
      </c>
      <c r="BC84" s="1215">
        <f>+((AM84*AM2*24)+(BA84*BA2*24))/(BC2*24)</f>
        <v>1724.7576514856121</v>
      </c>
      <c r="BD84" s="1215">
        <f>+((AN84*AN2)+(BB84*BB2))/(BD2)</f>
        <v>1378.3722527472528</v>
      </c>
      <c r="BE84" s="1214">
        <f>+(EMD!BD41*1000/BE2)/24</f>
        <v>1619.1306713038184</v>
      </c>
      <c r="BF84" s="1214">
        <f>+(EMD!BE41*1000/BF2)/24</f>
        <v>1410.7773972602743</v>
      </c>
      <c r="BG84" s="25"/>
      <c r="BH84" s="25"/>
      <c r="BI84" s="25"/>
      <c r="BJ84" s="25"/>
      <c r="BK84" s="25"/>
      <c r="BL84" s="25"/>
      <c r="BM84" s="25"/>
      <c r="BN84" s="25"/>
    </row>
    <row r="85" spans="2:66" ht="15.75" thickBot="1" x14ac:dyDescent="0.3">
      <c r="B85" s="3518" t="s">
        <v>217</v>
      </c>
      <c r="C85" s="3519" t="s">
        <v>1133</v>
      </c>
      <c r="D85" s="2315">
        <v>1.4E-2</v>
      </c>
      <c r="E85" s="3521">
        <v>1.4E-2</v>
      </c>
      <c r="F85" s="3521">
        <v>1.2E-2</v>
      </c>
      <c r="G85" s="3520">
        <f>+$D$85</f>
        <v>1.4E-2</v>
      </c>
      <c r="H85" s="3521">
        <v>1.2999999999999999E-2</v>
      </c>
      <c r="I85" s="3522">
        <f>+$D$85</f>
        <v>1.4E-2</v>
      </c>
      <c r="J85" s="3523">
        <f>+((F85*F67)+(H85*H67))/J67</f>
        <v>1.2501268315806405E-2</v>
      </c>
      <c r="K85" s="3520">
        <f>+$D$85</f>
        <v>1.4E-2</v>
      </c>
      <c r="L85" s="3521">
        <v>1.15E-2</v>
      </c>
      <c r="M85" s="1590">
        <f>+$D$85</f>
        <v>1.4E-2</v>
      </c>
      <c r="N85" s="1590">
        <f>+((F85*F67)+(H85*H67)+(L85*L67))/N67</f>
        <v>1.2154060315845351E-2</v>
      </c>
      <c r="O85" s="3520">
        <f>+$D$85</f>
        <v>1.4E-2</v>
      </c>
      <c r="P85" s="3521">
        <v>1.2E-2</v>
      </c>
      <c r="Q85" s="2454">
        <f>+$D$85</f>
        <v>1.4E-2</v>
      </c>
      <c r="R85" s="2454">
        <f>+((N85*N67)+(P85*P67))/R67</f>
        <v>1.2112719884993609E-2</v>
      </c>
      <c r="S85" s="3520">
        <f>+$D$85</f>
        <v>1.4E-2</v>
      </c>
      <c r="T85" s="3521">
        <v>1.2E-2</v>
      </c>
      <c r="U85" s="2454">
        <f>+$D$85</f>
        <v>1.4E-2</v>
      </c>
      <c r="V85" s="2454">
        <f>+((R85*R67)+(T85*T67))/V67</f>
        <v>1.2089575919756816E-2</v>
      </c>
      <c r="W85" s="3520">
        <f>+$D$85</f>
        <v>1.4E-2</v>
      </c>
      <c r="X85" s="3521">
        <v>1.2E-2</v>
      </c>
      <c r="Y85" s="1221">
        <f>+$D$85</f>
        <v>1.4E-2</v>
      </c>
      <c r="Z85" s="1221">
        <f>+((P85*P67)+(T85*T67)+(X85*X67))/Z67</f>
        <v>1.2E-2</v>
      </c>
      <c r="AA85" s="1509">
        <f>+$D$85</f>
        <v>1.4E-2</v>
      </c>
      <c r="AB85" s="4497">
        <f>+((N85*N67)+(Z85*Z67))/AB67</f>
        <v>1.2074595350045136E-2</v>
      </c>
      <c r="AC85" s="3520">
        <f>+$D$85</f>
        <v>1.4E-2</v>
      </c>
      <c r="AD85" s="3521">
        <v>1.2E-2</v>
      </c>
      <c r="AE85" s="1220">
        <f>+$D$85</f>
        <v>1.4E-2</v>
      </c>
      <c r="AF85" s="2454">
        <f>+((AB85*AB67)+(AD85*AD67))/AF67</f>
        <v>1.2065750912797414E-2</v>
      </c>
      <c r="AG85" s="3520">
        <f>+$D$85</f>
        <v>1.4E-2</v>
      </c>
      <c r="AH85" s="3521">
        <v>1.2E-2</v>
      </c>
      <c r="AI85" s="1220">
        <f>+$D$85</f>
        <v>1.4E-2</v>
      </c>
      <c r="AJ85" s="2454">
        <f>+((AF85*AF67)+(AH85*AH67))/AJ67</f>
        <v>1.2057472758120993E-2</v>
      </c>
      <c r="AK85" s="3520">
        <f>+$D$85</f>
        <v>1.4E-2</v>
      </c>
      <c r="AL85" s="3521">
        <v>1.2999999999999999E-2</v>
      </c>
      <c r="AM85" s="1221">
        <f>+$D$85</f>
        <v>1.4E-2</v>
      </c>
      <c r="AN85" s="1221">
        <f>+((AD85*AD67)+(AH85*AH67)+(AL85*AL67))/AN67</f>
        <v>1.2350762908572524E-2</v>
      </c>
      <c r="AO85" s="1220">
        <f>+$D$85</f>
        <v>1.4E-2</v>
      </c>
      <c r="AP85" s="2454">
        <f>+((AL85*AL67)+(AJ85*AJ67))/AP67</f>
        <v>1.2161462516723363E-2</v>
      </c>
      <c r="AQ85" s="3521">
        <f>+$D$85</f>
        <v>1.4E-2</v>
      </c>
      <c r="AR85" s="3521">
        <v>1.2E-2</v>
      </c>
      <c r="AS85" s="1220">
        <f>+$D$85</f>
        <v>1.4E-2</v>
      </c>
      <c r="AT85" s="2454">
        <f>+((AP85*AP67)+(AR85*AR67))/AT67</f>
        <v>1.2145183745246781E-2</v>
      </c>
      <c r="AU85" s="3521">
        <v>1.4E-2</v>
      </c>
      <c r="AV85" s="3521">
        <v>1.2999999999999999E-2</v>
      </c>
      <c r="AW85" s="1220">
        <f>+$D$85</f>
        <v>1.4E-2</v>
      </c>
      <c r="AX85" s="2454">
        <f>+((AT85*AT67)+(AV85*AV67))/AX67</f>
        <v>1.2213305443651469E-2</v>
      </c>
      <c r="AY85" s="3521">
        <v>1.4E-2</v>
      </c>
      <c r="AZ85" s="3521">
        <v>1.2E-2</v>
      </c>
      <c r="BA85" s="1221">
        <f>+$D$85</f>
        <v>1.4E-2</v>
      </c>
      <c r="BB85" s="1221">
        <f>+((AR85*AR67)+(AV85*AV67)+(AZ85*AZ67))/BB67</f>
        <v>1.2296673557885293E-2</v>
      </c>
      <c r="BC85" s="1509">
        <f>+$D$85</f>
        <v>1.4E-2</v>
      </c>
      <c r="BD85" s="1509">
        <f>+((AN85*AN67)+(BB85*BB67))/BD67</f>
        <v>1.2323292597078608E-2</v>
      </c>
      <c r="BE85" s="1220">
        <f>+$D$85</f>
        <v>1.4E-2</v>
      </c>
      <c r="BF85" s="2454">
        <f>+((AX85*AX67)+(AZ85*AZ67))/BF67</f>
        <v>1.2194597001084368E-2</v>
      </c>
      <c r="BG85" s="25"/>
      <c r="BH85" s="25"/>
      <c r="BI85" s="25"/>
      <c r="BJ85" s="25"/>
      <c r="BK85" s="25"/>
      <c r="BL85" s="25"/>
      <c r="BM85" s="25"/>
      <c r="BN85" s="25"/>
    </row>
    <row r="86" spans="2:66" ht="18.75" x14ac:dyDescent="0.25">
      <c r="B86" s="3506" t="s">
        <v>417</v>
      </c>
      <c r="C86" s="3507"/>
      <c r="D86" s="3532"/>
      <c r="E86" s="3532"/>
      <c r="F86" s="3532"/>
      <c r="G86" s="3532"/>
      <c r="H86" s="3532"/>
      <c r="I86" s="3532"/>
      <c r="J86" s="3533"/>
      <c r="K86" s="3532"/>
      <c r="L86" s="3532"/>
      <c r="M86" s="1443"/>
      <c r="N86" s="1443"/>
      <c r="O86" s="3532"/>
      <c r="P86" s="3532"/>
      <c r="Q86" s="1443"/>
      <c r="R86" s="1443"/>
      <c r="S86" s="3532"/>
      <c r="T86" s="3532"/>
      <c r="U86" s="1443"/>
      <c r="V86" s="1443"/>
      <c r="W86" s="3532"/>
      <c r="X86" s="3532"/>
      <c r="Y86" s="1443"/>
      <c r="Z86" s="1443"/>
      <c r="AA86" s="1196"/>
      <c r="AB86" s="1196"/>
      <c r="AC86" s="3532"/>
      <c r="AD86" s="3532"/>
      <c r="AE86" s="1443"/>
      <c r="AF86" s="1443"/>
      <c r="AG86" s="3532"/>
      <c r="AH86" s="3532"/>
      <c r="AI86" s="1443"/>
      <c r="AJ86" s="1443"/>
      <c r="AK86" s="3532"/>
      <c r="AL86" s="3532"/>
      <c r="AM86" s="1443"/>
      <c r="AN86" s="1443"/>
      <c r="AO86" s="1443"/>
      <c r="AP86" s="1443"/>
      <c r="AQ86" s="3532"/>
      <c r="AR86" s="3532"/>
      <c r="AS86" s="1443"/>
      <c r="AT86" s="1443"/>
      <c r="AU86" s="3532"/>
      <c r="AV86" s="3532"/>
      <c r="AW86" s="1443"/>
      <c r="AX86" s="1443"/>
      <c r="AY86" s="3532"/>
      <c r="AZ86" s="3532"/>
      <c r="BA86" s="1443"/>
      <c r="BB86" s="1443"/>
      <c r="BC86" s="1196"/>
      <c r="BD86" s="1196"/>
      <c r="BE86" s="1443"/>
      <c r="BF86" s="1443"/>
      <c r="BG86" s="25"/>
      <c r="BH86" s="25"/>
      <c r="BI86" s="25"/>
      <c r="BJ86" s="25"/>
      <c r="BK86" s="25"/>
      <c r="BL86" s="25"/>
      <c r="BM86" s="25"/>
      <c r="BN86" s="25"/>
    </row>
    <row r="87" spans="2:66" x14ac:dyDescent="0.25">
      <c r="B87" s="3510" t="s">
        <v>37</v>
      </c>
      <c r="C87" s="3511" t="s">
        <v>218</v>
      </c>
      <c r="D87" s="2996">
        <f>+D23</f>
        <v>779.73584585298556</v>
      </c>
      <c r="E87" s="2996">
        <f>+E23</f>
        <v>779.73584585298568</v>
      </c>
      <c r="F87" s="2996">
        <f>+F23</f>
        <v>778.23415594555149</v>
      </c>
      <c r="G87" s="2996">
        <f t="shared" ref="G87:BF87" si="310">+G23</f>
        <v>783.91225705888951</v>
      </c>
      <c r="H87" s="2996">
        <f t="shared" si="310"/>
        <v>786.06609514052673</v>
      </c>
      <c r="I87" s="2994">
        <f t="shared" si="310"/>
        <v>782.10770071413128</v>
      </c>
      <c r="J87" s="3528">
        <f t="shared" si="310"/>
        <v>782.16005891531495</v>
      </c>
      <c r="K87" s="2996">
        <f t="shared" si="310"/>
        <v>783.9122570588894</v>
      </c>
      <c r="L87" s="2996">
        <f t="shared" si="310"/>
        <v>783.21117058313894</v>
      </c>
      <c r="M87" s="1201">
        <f t="shared" si="310"/>
        <v>782.74904345533071</v>
      </c>
      <c r="N87" s="1201">
        <f t="shared" si="310"/>
        <v>782.52455100415818</v>
      </c>
      <c r="O87" s="2996">
        <f t="shared" si="310"/>
        <v>783.9122570588894</v>
      </c>
      <c r="P87" s="2996">
        <f t="shared" si="310"/>
        <v>783.52095688008853</v>
      </c>
      <c r="Q87" s="1199">
        <f t="shared" si="310"/>
        <v>783.05657890237921</v>
      </c>
      <c r="R87" s="1199">
        <f t="shared" si="310"/>
        <v>782.7919258176405</v>
      </c>
      <c r="S87" s="2996">
        <f t="shared" si="310"/>
        <v>783.9122570588894</v>
      </c>
      <c r="T87" s="2996">
        <f t="shared" si="310"/>
        <v>782.91607838634161</v>
      </c>
      <c r="U87" s="1199">
        <f t="shared" si="310"/>
        <v>783.23550226410657</v>
      </c>
      <c r="V87" s="1199">
        <f t="shared" si="310"/>
        <v>782.81741717379509</v>
      </c>
      <c r="W87" s="2996">
        <f t="shared" si="310"/>
        <v>783.9122570588894</v>
      </c>
      <c r="X87" s="2996">
        <f t="shared" si="310"/>
        <v>782.30127219945359</v>
      </c>
      <c r="Y87" s="1201">
        <f t="shared" si="310"/>
        <v>783.91225705888928</v>
      </c>
      <c r="Z87" s="1201">
        <f t="shared" si="310"/>
        <v>782.92498721800678</v>
      </c>
      <c r="AA87" s="1140">
        <f t="shared" si="310"/>
        <v>783.30550186650282</v>
      </c>
      <c r="AB87" s="1140">
        <f t="shared" si="310"/>
        <v>782.73109770545523</v>
      </c>
      <c r="AC87" s="2996">
        <f t="shared" si="310"/>
        <v>783.91225705888951</v>
      </c>
      <c r="AD87" s="2996">
        <f t="shared" si="310"/>
        <v>782.94763939385905</v>
      </c>
      <c r="AE87" s="1199">
        <f t="shared" si="310"/>
        <v>783.40278701866578</v>
      </c>
      <c r="AF87" s="1199">
        <f t="shared" si="310"/>
        <v>782.75677208560694</v>
      </c>
      <c r="AG87" s="2996">
        <f t="shared" si="310"/>
        <v>783.9122570588894</v>
      </c>
      <c r="AH87" s="2996">
        <f t="shared" si="310"/>
        <v>781.00031130019715</v>
      </c>
      <c r="AI87" s="1199">
        <f t="shared" si="310"/>
        <v>783.47204686701446</v>
      </c>
      <c r="AJ87" s="1199">
        <f t="shared" si="310"/>
        <v>782.53563060716863</v>
      </c>
      <c r="AK87" s="2996">
        <f t="shared" si="310"/>
        <v>783.9122570588894</v>
      </c>
      <c r="AL87" s="2996">
        <f t="shared" si="310"/>
        <v>779.99961187980466</v>
      </c>
      <c r="AM87" s="1201">
        <f t="shared" si="310"/>
        <v>783.9122570588894</v>
      </c>
      <c r="AN87" s="1201">
        <f t="shared" si="310"/>
        <v>781.22012861167264</v>
      </c>
      <c r="AO87" s="1199">
        <f t="shared" si="310"/>
        <v>783.5261027781205</v>
      </c>
      <c r="AP87" s="1199">
        <f t="shared" si="310"/>
        <v>782.25582970216351</v>
      </c>
      <c r="AQ87" s="2996">
        <f t="shared" si="310"/>
        <v>783.9122570588894</v>
      </c>
      <c r="AR87" s="2996">
        <f t="shared" si="310"/>
        <v>780.00709258552024</v>
      </c>
      <c r="AS87" s="1199">
        <f t="shared" si="310"/>
        <v>783.56848928162071</v>
      </c>
      <c r="AT87" s="1199">
        <f t="shared" si="310"/>
        <v>782.02911034725923</v>
      </c>
      <c r="AU87" s="2996">
        <f t="shared" si="310"/>
        <v>783.9122570588894</v>
      </c>
      <c r="AV87" s="2996">
        <f t="shared" si="310"/>
        <v>780</v>
      </c>
      <c r="AW87" s="1199">
        <f t="shared" si="310"/>
        <v>783.59937753425629</v>
      </c>
      <c r="AX87" s="1199">
        <f t="shared" si="310"/>
        <v>781.86740724166521</v>
      </c>
      <c r="AY87" s="2996">
        <f t="shared" si="310"/>
        <v>783.9122570588894</v>
      </c>
      <c r="AZ87" s="2996">
        <f t="shared" si="310"/>
        <v>779.06578767231485</v>
      </c>
      <c r="BA87" s="1201">
        <f t="shared" si="310"/>
        <v>783.9122570588894</v>
      </c>
      <c r="BB87" s="1201">
        <f t="shared" si="310"/>
        <v>779.66809076809125</v>
      </c>
      <c r="BC87" s="1215">
        <f t="shared" si="310"/>
        <v>783.9122570588894</v>
      </c>
      <c r="BD87" s="1215">
        <f t="shared" si="310"/>
        <v>780.4318965018058</v>
      </c>
      <c r="BE87" s="1199">
        <f t="shared" si="310"/>
        <v>783.62779605419166</v>
      </c>
      <c r="BF87" s="1214">
        <f t="shared" si="310"/>
        <v>781.62168477949638</v>
      </c>
      <c r="BG87" s="25"/>
      <c r="BH87" s="25"/>
      <c r="BI87" s="25"/>
      <c r="BJ87" s="25"/>
      <c r="BK87" s="25"/>
      <c r="BL87" s="25"/>
      <c r="BM87" s="25"/>
      <c r="BN87" s="25"/>
    </row>
    <row r="88" spans="2:66" x14ac:dyDescent="0.25">
      <c r="B88" s="3510" t="s">
        <v>38</v>
      </c>
      <c r="C88" s="3511" t="s">
        <v>218</v>
      </c>
      <c r="D88" s="2996">
        <f t="shared" ref="D88" si="311">+D24+D54</f>
        <v>59.970265965776647</v>
      </c>
      <c r="E88" s="2996">
        <f t="shared" ref="E88" si="312">+E24+E54</f>
        <v>59.970265965776655</v>
      </c>
      <c r="F88" s="2996">
        <f t="shared" ref="F88" si="313">+F24+F54</f>
        <v>48.038516808671936</v>
      </c>
      <c r="G88" s="2996">
        <f t="shared" ref="G88:BF88" si="314">+G24+G54</f>
        <v>64.938026921102107</v>
      </c>
      <c r="H88" s="2996">
        <f t="shared" si="314"/>
        <v>59.441720657686616</v>
      </c>
      <c r="I88" s="2994">
        <f t="shared" si="314"/>
        <v>62.791541790877716</v>
      </c>
      <c r="J88" s="3528">
        <f t="shared" si="314"/>
        <v>53.754581596864618</v>
      </c>
      <c r="K88" s="2996">
        <f t="shared" si="314"/>
        <v>64.938026921102121</v>
      </c>
      <c r="L88" s="2996">
        <f t="shared" si="314"/>
        <v>52.001998543614491</v>
      </c>
      <c r="M88" s="1201">
        <f t="shared" si="314"/>
        <v>63.554406669749959</v>
      </c>
      <c r="N88" s="1201">
        <f t="shared" si="314"/>
        <v>53.146841546492084</v>
      </c>
      <c r="O88" s="2996">
        <f t="shared" si="314"/>
        <v>64.938026921102107</v>
      </c>
      <c r="P88" s="2996">
        <f t="shared" si="314"/>
        <v>75.698562669615029</v>
      </c>
      <c r="Q88" s="1199">
        <f t="shared" si="314"/>
        <v>63.920214180290841</v>
      </c>
      <c r="R88" s="1199">
        <f t="shared" si="314"/>
        <v>59.198353660839032</v>
      </c>
      <c r="S88" s="2996">
        <f t="shared" si="314"/>
        <v>64.938026921102107</v>
      </c>
      <c r="T88" s="2996">
        <f t="shared" si="314"/>
        <v>62.727863478948478</v>
      </c>
      <c r="U88" s="1199">
        <f t="shared" si="314"/>
        <v>64.13304008429391</v>
      </c>
      <c r="V88" s="1199">
        <f t="shared" si="314"/>
        <v>59.923042588066721</v>
      </c>
      <c r="W88" s="2996">
        <f t="shared" si="314"/>
        <v>64.938026921102121</v>
      </c>
      <c r="X88" s="2996">
        <f t="shared" si="314"/>
        <v>73.207500853825138</v>
      </c>
      <c r="Y88" s="1201">
        <f t="shared" si="314"/>
        <v>64.938026921102107</v>
      </c>
      <c r="Z88" s="1201">
        <f t="shared" si="314"/>
        <v>70.591207199787533</v>
      </c>
      <c r="AA88" s="1140">
        <f t="shared" si="314"/>
        <v>64.216303267569728</v>
      </c>
      <c r="AB88" s="1140">
        <f t="shared" si="314"/>
        <v>62.144719503831084</v>
      </c>
      <c r="AC88" s="2996">
        <f t="shared" si="314"/>
        <v>64.938026921102107</v>
      </c>
      <c r="AD88" s="2996">
        <f t="shared" si="314"/>
        <v>99.625806109179692</v>
      </c>
      <c r="AE88" s="1199">
        <f t="shared" si="314"/>
        <v>64.332022088495492</v>
      </c>
      <c r="AF88" s="1199">
        <f t="shared" si="314"/>
        <v>66.588684419296442</v>
      </c>
      <c r="AG88" s="2996">
        <f t="shared" si="314"/>
        <v>64.938026921102107</v>
      </c>
      <c r="AH88" s="2996">
        <f t="shared" si="314"/>
        <v>67.715984992053649</v>
      </c>
      <c r="AI88" s="1199">
        <f t="shared" si="314"/>
        <v>64.414405348532497</v>
      </c>
      <c r="AJ88" s="1199">
        <f t="shared" si="314"/>
        <v>66.730613528886963</v>
      </c>
      <c r="AK88" s="2996">
        <f t="shared" si="314"/>
        <v>64.938026921102121</v>
      </c>
      <c r="AL88" s="2996">
        <f t="shared" si="314"/>
        <v>61.999428908855513</v>
      </c>
      <c r="AM88" s="1201">
        <f t="shared" si="314"/>
        <v>64.938026921102121</v>
      </c>
      <c r="AN88" s="1201">
        <f t="shared" si="314"/>
        <v>75.064641319684512</v>
      </c>
      <c r="AO88" s="1199">
        <f t="shared" si="314"/>
        <v>64.478703817087947</v>
      </c>
      <c r="AP88" s="1199">
        <f t="shared" si="314"/>
        <v>66.208618275402841</v>
      </c>
      <c r="AQ88" s="2996">
        <f t="shared" si="314"/>
        <v>64.938026921102107</v>
      </c>
      <c r="AR88" s="2996">
        <f t="shared" si="314"/>
        <v>60.0278247585793</v>
      </c>
      <c r="AS88" s="1199">
        <f t="shared" si="314"/>
        <v>64.529121749312409</v>
      </c>
      <c r="AT88" s="1199">
        <f t="shared" si="314"/>
        <v>65.585466058738859</v>
      </c>
      <c r="AU88" s="2996">
        <f t="shared" si="314"/>
        <v>64.938026921102121</v>
      </c>
      <c r="AV88" s="2996">
        <f t="shared" si="314"/>
        <v>57.002471049338411</v>
      </c>
      <c r="AW88" s="1199">
        <f t="shared" si="314"/>
        <v>64.565862732864218</v>
      </c>
      <c r="AX88" s="1199">
        <f t="shared" si="314"/>
        <v>64.901473219121982</v>
      </c>
      <c r="AY88" s="2996">
        <f t="shared" si="314"/>
        <v>64.938026921102107</v>
      </c>
      <c r="AZ88" s="2996">
        <f t="shared" si="314"/>
        <v>44.191054898533025</v>
      </c>
      <c r="BA88" s="1201">
        <f t="shared" si="314"/>
        <v>64.938026921102107</v>
      </c>
      <c r="BB88" s="1201">
        <f t="shared" si="314"/>
        <v>53.462224877362068</v>
      </c>
      <c r="BC88" s="1215">
        <f t="shared" si="314"/>
        <v>64.938026921102107</v>
      </c>
      <c r="BD88" s="1215">
        <f t="shared" si="314"/>
        <v>64.093440867985151</v>
      </c>
      <c r="BE88" s="1214">
        <f t="shared" si="314"/>
        <v>64.599666016780219</v>
      </c>
      <c r="BF88" s="1214">
        <f t="shared" si="314"/>
        <v>63.085018537709971</v>
      </c>
      <c r="BG88" s="25"/>
      <c r="BH88" s="25"/>
      <c r="BI88" s="25"/>
      <c r="BJ88" s="25"/>
      <c r="BK88" s="25"/>
      <c r="BL88" s="25"/>
      <c r="BM88" s="25"/>
      <c r="BN88" s="25"/>
    </row>
    <row r="89" spans="2:66" x14ac:dyDescent="0.25">
      <c r="B89" s="3510" t="s">
        <v>39</v>
      </c>
      <c r="C89" s="3511" t="s">
        <v>218</v>
      </c>
      <c r="D89" s="2996">
        <f>+D25+D55</f>
        <v>99.746462779812163</v>
      </c>
      <c r="E89" s="2996">
        <f>+E25+E55</f>
        <v>99.746462779812191</v>
      </c>
      <c r="F89" s="2996">
        <f>+F25+F55</f>
        <v>113.71171232334204</v>
      </c>
      <c r="G89" s="2996">
        <f t="shared" ref="G89:BF89" si="315">+G25+G55</f>
        <v>99.85753196358155</v>
      </c>
      <c r="H89" s="2996">
        <f t="shared" si="315"/>
        <v>96.927718642522223</v>
      </c>
      <c r="I89" s="2994">
        <f t="shared" si="315"/>
        <v>99.809540855810667</v>
      </c>
      <c r="J89" s="3528">
        <f t="shared" si="315"/>
        <v>105.29842807845216</v>
      </c>
      <c r="K89" s="2996">
        <f t="shared" si="315"/>
        <v>99.85753196358155</v>
      </c>
      <c r="L89" s="2996">
        <f t="shared" si="315"/>
        <v>90.357027060067935</v>
      </c>
      <c r="M89" s="1201">
        <f t="shared" si="315"/>
        <v>99.826596986366184</v>
      </c>
      <c r="N89" s="1201">
        <f t="shared" si="315"/>
        <v>100.1172255153499</v>
      </c>
      <c r="O89" s="2996">
        <f t="shared" si="315"/>
        <v>99.857531963581565</v>
      </c>
      <c r="P89" s="2996">
        <f t="shared" si="315"/>
        <v>94.408985827721381</v>
      </c>
      <c r="Q89" s="1199">
        <f t="shared" si="315"/>
        <v>99.834775709532977</v>
      </c>
      <c r="R89" s="1199">
        <f t="shared" si="315"/>
        <v>98.585480712694405</v>
      </c>
      <c r="S89" s="2996">
        <f t="shared" si="315"/>
        <v>99.857531963581565</v>
      </c>
      <c r="T89" s="2996">
        <f t="shared" si="315"/>
        <v>98.653631853520153</v>
      </c>
      <c r="U89" s="1199">
        <f t="shared" si="315"/>
        <v>99.839534070423369</v>
      </c>
      <c r="V89" s="1199">
        <f t="shared" si="315"/>
        <v>98.599473697465527</v>
      </c>
      <c r="W89" s="2996">
        <f t="shared" si="315"/>
        <v>99.857531963581565</v>
      </c>
      <c r="X89" s="2996">
        <f t="shared" si="315"/>
        <v>96.111360143442624</v>
      </c>
      <c r="Y89" s="1201">
        <f t="shared" si="315"/>
        <v>99.857531963581565</v>
      </c>
      <c r="Z89" s="1201">
        <f t="shared" si="315"/>
        <v>96.368010671991129</v>
      </c>
      <c r="AA89" s="1140">
        <f t="shared" si="315"/>
        <v>99.841395668412389</v>
      </c>
      <c r="AB89" s="1140">
        <f t="shared" si="315"/>
        <v>98.183364561798228</v>
      </c>
      <c r="AC89" s="2996">
        <f t="shared" si="315"/>
        <v>99.85753196358155</v>
      </c>
      <c r="AD89" s="2996">
        <f t="shared" si="315"/>
        <v>103.91842042408641</v>
      </c>
      <c r="AE89" s="1199">
        <f t="shared" si="315"/>
        <v>99.843982909445643</v>
      </c>
      <c r="AF89" s="1199">
        <f t="shared" si="315"/>
        <v>98.863344502310554</v>
      </c>
      <c r="AG89" s="2996">
        <f t="shared" si="315"/>
        <v>99.857531963581565</v>
      </c>
      <c r="AH89" s="2996">
        <f t="shared" si="315"/>
        <v>101.59582311595113</v>
      </c>
      <c r="AI89" s="1199">
        <f t="shared" si="315"/>
        <v>99.845824834113671</v>
      </c>
      <c r="AJ89" s="1199">
        <f t="shared" si="315"/>
        <v>99.207368328769377</v>
      </c>
      <c r="AK89" s="2996">
        <f t="shared" si="315"/>
        <v>99.85753196358155</v>
      </c>
      <c r="AL89" s="2996">
        <f t="shared" si="315"/>
        <v>102.0007596066679</v>
      </c>
      <c r="AM89" s="1201">
        <f t="shared" si="315"/>
        <v>99.857531963581536</v>
      </c>
      <c r="AN89" s="1201">
        <f t="shared" si="315"/>
        <v>102.41868904778158</v>
      </c>
      <c r="AO89" s="1199">
        <f t="shared" si="315"/>
        <v>99.84726241907083</v>
      </c>
      <c r="AP89" s="1199">
        <f t="shared" si="315"/>
        <v>99.515565346068882</v>
      </c>
      <c r="AQ89" s="2996">
        <f t="shared" si="315"/>
        <v>99.857531963581536</v>
      </c>
      <c r="AR89" s="2996">
        <f t="shared" si="315"/>
        <v>109.95417098586938</v>
      </c>
      <c r="AS89" s="1199">
        <f t="shared" si="315"/>
        <v>99.848389663040479</v>
      </c>
      <c r="AT89" s="1199">
        <f t="shared" si="315"/>
        <v>100.56799335965925</v>
      </c>
      <c r="AU89" s="2996">
        <f t="shared" si="315"/>
        <v>99.857531963581565</v>
      </c>
      <c r="AV89" s="2996">
        <f t="shared" si="315"/>
        <v>114.19551145639457</v>
      </c>
      <c r="AW89" s="1199">
        <f t="shared" si="315"/>
        <v>99.849211117834813</v>
      </c>
      <c r="AX89" s="1199">
        <f t="shared" si="315"/>
        <v>101.65399245318169</v>
      </c>
      <c r="AY89" s="2996">
        <f t="shared" si="315"/>
        <v>99.857531963581536</v>
      </c>
      <c r="AZ89" s="2996">
        <f t="shared" si="315"/>
        <v>112.94322693429658</v>
      </c>
      <c r="BA89" s="1201">
        <f t="shared" si="315"/>
        <v>99.85753196358155</v>
      </c>
      <c r="BB89" s="1201">
        <f t="shared" si="315"/>
        <v>112.28226230478283</v>
      </c>
      <c r="BC89" s="1215">
        <f t="shared" si="315"/>
        <v>99.857531963581536</v>
      </c>
      <c r="BD89" s="1215">
        <f t="shared" si="315"/>
        <v>107.42809341981153</v>
      </c>
      <c r="BE89" s="1214">
        <f t="shared" si="315"/>
        <v>99.849966891549983</v>
      </c>
      <c r="BF89" s="1214">
        <f t="shared" si="315"/>
        <v>102.64414062427839</v>
      </c>
      <c r="BG89" s="25"/>
      <c r="BH89" s="25"/>
      <c r="BI89" s="25"/>
      <c r="BJ89" s="25"/>
      <c r="BK89" s="25"/>
      <c r="BL89" s="25"/>
      <c r="BM89" s="25"/>
      <c r="BN89" s="25"/>
    </row>
    <row r="90" spans="2:66" x14ac:dyDescent="0.25">
      <c r="B90" s="3510" t="s">
        <v>40</v>
      </c>
      <c r="C90" s="3511" t="s">
        <v>218</v>
      </c>
      <c r="D90" s="2996">
        <f>+D26+D57</f>
        <v>63</v>
      </c>
      <c r="E90" s="2996">
        <f>+E26+E57</f>
        <v>63</v>
      </c>
      <c r="F90" s="3517">
        <f>+F26+F57</f>
        <v>61.40172216753227</v>
      </c>
      <c r="G90" s="2996">
        <f t="shared" ref="G90:BF90" si="316">+G26+G57</f>
        <v>63.499999999999993</v>
      </c>
      <c r="H90" s="2996">
        <f t="shared" si="316"/>
        <v>64.26010255948394</v>
      </c>
      <c r="I90" s="2994">
        <f t="shared" si="316"/>
        <v>63.283958492615938</v>
      </c>
      <c r="J90" s="3528">
        <f t="shared" si="316"/>
        <v>62.834537692539932</v>
      </c>
      <c r="K90" s="2996">
        <f t="shared" si="316"/>
        <v>63.5</v>
      </c>
      <c r="L90" s="2996">
        <f t="shared" si="316"/>
        <v>63.945422750442496</v>
      </c>
      <c r="M90" s="1201">
        <f t="shared" si="316"/>
        <v>63.360740053336414</v>
      </c>
      <c r="N90" s="1201">
        <f t="shared" si="316"/>
        <v>63.21975729157451</v>
      </c>
      <c r="O90" s="2996">
        <f t="shared" si="316"/>
        <v>63.5</v>
      </c>
      <c r="P90" s="2996">
        <f t="shared" si="316"/>
        <v>64.843200321640367</v>
      </c>
      <c r="Q90" s="1199">
        <f t="shared" si="316"/>
        <v>63.39755820077049</v>
      </c>
      <c r="R90" s="1199">
        <f t="shared" si="316"/>
        <v>63.655390789778892</v>
      </c>
      <c r="S90" s="2996">
        <f t="shared" si="316"/>
        <v>63.5</v>
      </c>
      <c r="T90" s="2996">
        <f t="shared" si="316"/>
        <v>63.479470430268883</v>
      </c>
      <c r="U90" s="1199">
        <f t="shared" si="316"/>
        <v>63.418978907796948</v>
      </c>
      <c r="V90" s="1199">
        <f t="shared" si="316"/>
        <v>63.619270324563942</v>
      </c>
      <c r="W90" s="2996">
        <f t="shared" si="316"/>
        <v>63.5</v>
      </c>
      <c r="X90" s="2996">
        <f t="shared" si="316"/>
        <v>64.519830088797818</v>
      </c>
      <c r="Y90" s="1201">
        <f t="shared" si="316"/>
        <v>63.5</v>
      </c>
      <c r="Z90" s="1201">
        <f t="shared" si="316"/>
        <v>64.286288965614489</v>
      </c>
      <c r="AA90" s="1140">
        <f t="shared" si="316"/>
        <v>63.427359261041047</v>
      </c>
      <c r="AB90" s="1140">
        <f t="shared" si="316"/>
        <v>63.769878862709731</v>
      </c>
      <c r="AC90" s="2996">
        <f t="shared" si="316"/>
        <v>63.499999999999993</v>
      </c>
      <c r="AD90" s="2996">
        <f t="shared" si="316"/>
        <v>67.374804278018104</v>
      </c>
      <c r="AE90" s="1199">
        <f t="shared" si="316"/>
        <v>63.439006240632693</v>
      </c>
      <c r="AF90" s="1199">
        <f t="shared" si="316"/>
        <v>64.197298756833447</v>
      </c>
      <c r="AG90" s="2996">
        <f t="shared" si="316"/>
        <v>63.5</v>
      </c>
      <c r="AH90" s="2996">
        <f t="shared" si="316"/>
        <v>66.274173552590611</v>
      </c>
      <c r="AI90" s="1199">
        <f t="shared" si="316"/>
        <v>63.447298030513288</v>
      </c>
      <c r="AJ90" s="1199">
        <f t="shared" si="316"/>
        <v>64.458780918393828</v>
      </c>
      <c r="AK90" s="2996">
        <f t="shared" si="316"/>
        <v>63.499999999999993</v>
      </c>
      <c r="AL90" s="2996">
        <f t="shared" si="316"/>
        <v>61.999428908855521</v>
      </c>
      <c r="AM90" s="1201">
        <f t="shared" si="316"/>
        <v>63.499999999999986</v>
      </c>
      <c r="AN90" s="1201">
        <f t="shared" si="316"/>
        <v>65.097382549226097</v>
      </c>
      <c r="AO90" s="1199">
        <f t="shared" si="316"/>
        <v>63.453769604843622</v>
      </c>
      <c r="AP90" s="1199">
        <f t="shared" si="316"/>
        <v>64.187438711583667</v>
      </c>
      <c r="AQ90" s="2996">
        <f t="shared" si="316"/>
        <v>63.5</v>
      </c>
      <c r="AR90" s="2996">
        <f t="shared" si="316"/>
        <v>61.375416007419943</v>
      </c>
      <c r="AS90" s="1199">
        <f t="shared" si="316"/>
        <v>63.458844117554463</v>
      </c>
      <c r="AT90" s="1199">
        <f t="shared" si="316"/>
        <v>63.903928483222302</v>
      </c>
      <c r="AU90" s="2996">
        <f t="shared" si="316"/>
        <v>63.499999999999993</v>
      </c>
      <c r="AV90" s="2996">
        <f t="shared" si="316"/>
        <v>60.308849405741213</v>
      </c>
      <c r="AW90" s="1199">
        <f t="shared" si="316"/>
        <v>63.462542059532979</v>
      </c>
      <c r="AX90" s="1199">
        <f t="shared" si="316"/>
        <v>63.617430781177703</v>
      </c>
      <c r="AY90" s="2996">
        <f t="shared" si="316"/>
        <v>63.5</v>
      </c>
      <c r="AZ90" s="2996">
        <f t="shared" si="316"/>
        <v>60.735385490274552</v>
      </c>
      <c r="BA90" s="1201">
        <f t="shared" si="316"/>
        <v>63.499999999999993</v>
      </c>
      <c r="BB90" s="1201">
        <f t="shared" si="316"/>
        <v>60.829923844810011</v>
      </c>
      <c r="BC90" s="1215">
        <f t="shared" si="316"/>
        <v>63.5</v>
      </c>
      <c r="BD90" s="1215">
        <f t="shared" si="316"/>
        <v>62.930072008273271</v>
      </c>
      <c r="BE90" s="1214">
        <f t="shared" si="316"/>
        <v>63.465944325082788</v>
      </c>
      <c r="BF90" s="1214">
        <f t="shared" si="316"/>
        <v>63.364654396864012</v>
      </c>
      <c r="BG90" s="25"/>
      <c r="BH90" s="25"/>
      <c r="BI90" s="25"/>
      <c r="BJ90" s="25"/>
      <c r="BK90" s="25"/>
      <c r="BL90" s="25"/>
      <c r="BM90" s="25"/>
      <c r="BN90" s="25"/>
    </row>
    <row r="91" spans="2:66" x14ac:dyDescent="0.25">
      <c r="B91" s="3510" t="s">
        <v>1394</v>
      </c>
      <c r="C91" s="3511" t="s">
        <v>218</v>
      </c>
      <c r="D91" s="2996">
        <f t="shared" ref="D91" si="317">+D27</f>
        <v>1.5</v>
      </c>
      <c r="E91" s="2996">
        <f t="shared" ref="E91" si="318">+E27</f>
        <v>1.5</v>
      </c>
      <c r="F91" s="3517">
        <f t="shared" ref="F91" si="319">+F27</f>
        <v>0</v>
      </c>
      <c r="G91" s="3543">
        <f t="shared" ref="G91:BF91" si="320">+G27</f>
        <v>0.39999999999999997</v>
      </c>
      <c r="H91" s="3543">
        <f t="shared" si="320"/>
        <v>1.4607127377528104</v>
      </c>
      <c r="I91" s="5724">
        <f t="shared" si="320"/>
        <v>0.87529131624493761</v>
      </c>
      <c r="J91" s="3515">
        <f t="shared" si="320"/>
        <v>0.73220901393031168</v>
      </c>
      <c r="K91" s="3543">
        <f t="shared" si="320"/>
        <v>0.39999999999999997</v>
      </c>
      <c r="L91" s="3543">
        <f t="shared" si="320"/>
        <v>1.0471092873810042</v>
      </c>
      <c r="M91" s="1201">
        <f t="shared" si="320"/>
        <v>0.70637188265989315</v>
      </c>
      <c r="N91" s="1212">
        <f t="shared" si="320"/>
        <v>0.84140641127724203</v>
      </c>
      <c r="O91" s="3543">
        <f t="shared" si="320"/>
        <v>0.39999999999999997</v>
      </c>
      <c r="P91" s="3543">
        <f t="shared" si="320"/>
        <v>2.3419439139612024</v>
      </c>
      <c r="Q91" s="1199">
        <f t="shared" si="320"/>
        <v>0.62537195830491576</v>
      </c>
      <c r="R91" s="1199">
        <f t="shared" si="320"/>
        <v>1.2440595314514433</v>
      </c>
      <c r="S91" s="3543">
        <f t="shared" si="320"/>
        <v>0.39999999999999997</v>
      </c>
      <c r="T91" s="3543">
        <f t="shared" si="320"/>
        <v>1.8998953491710142</v>
      </c>
      <c r="U91" s="1199">
        <f t="shared" si="320"/>
        <v>0.57824640284669293</v>
      </c>
      <c r="V91" s="1199">
        <f t="shared" si="320"/>
        <v>1.3787175943762469</v>
      </c>
      <c r="W91" s="3543">
        <f t="shared" si="320"/>
        <v>0.40000000000000008</v>
      </c>
      <c r="X91" s="3543">
        <f t="shared" si="320"/>
        <v>0</v>
      </c>
      <c r="Y91" s="1201">
        <f t="shared" si="320"/>
        <v>0.39999999999999997</v>
      </c>
      <c r="Z91" s="1212">
        <f t="shared" si="320"/>
        <v>1.4360818151382055</v>
      </c>
      <c r="AA91" s="1140">
        <f t="shared" si="320"/>
        <v>0.5598096257096582</v>
      </c>
      <c r="AB91" s="1140">
        <f t="shared" si="320"/>
        <v>1.1481425124642406</v>
      </c>
      <c r="AC91" s="3543">
        <f t="shared" si="320"/>
        <v>0.39999999999999997</v>
      </c>
      <c r="AD91" s="3543">
        <f t="shared" si="320"/>
        <v>1.5956317507497146</v>
      </c>
      <c r="AE91" s="1199">
        <f t="shared" si="320"/>
        <v>0.53418627060802404</v>
      </c>
      <c r="AF91" s="1199">
        <f t="shared" si="320"/>
        <v>1.2011993113753259</v>
      </c>
      <c r="AG91" s="3517">
        <f t="shared" si="320"/>
        <v>0.39999999999999997</v>
      </c>
      <c r="AH91" s="3517">
        <f t="shared" si="320"/>
        <v>0.68267587095787607</v>
      </c>
      <c r="AI91" s="1199">
        <f t="shared" si="320"/>
        <v>0.51594433287075048</v>
      </c>
      <c r="AJ91" s="1199">
        <f t="shared" si="320"/>
        <v>1.1359163052465651</v>
      </c>
      <c r="AK91" s="3517">
        <f t="shared" si="320"/>
        <v>0.4</v>
      </c>
      <c r="AL91" s="3517">
        <f t="shared" si="320"/>
        <v>0</v>
      </c>
      <c r="AM91" s="1201">
        <f t="shared" si="320"/>
        <v>0.39999999999999997</v>
      </c>
      <c r="AN91" s="1212">
        <f t="shared" si="320"/>
        <v>0.71083572304439946</v>
      </c>
      <c r="AO91" s="1199">
        <f t="shared" si="320"/>
        <v>0.50170686934401498</v>
      </c>
      <c r="AP91" s="1199">
        <f t="shared" si="320"/>
        <v>1.0105897819095864</v>
      </c>
      <c r="AQ91" s="3517">
        <f t="shared" si="320"/>
        <v>0.39999999999999997</v>
      </c>
      <c r="AR91" s="3517">
        <f t="shared" si="320"/>
        <v>0</v>
      </c>
      <c r="AS91" s="1199">
        <f t="shared" si="320"/>
        <v>0.49054294138015908</v>
      </c>
      <c r="AT91" s="1199">
        <f t="shared" si="320"/>
        <v>0.90870136563733683</v>
      </c>
      <c r="AU91" s="3517">
        <f t="shared" si="320"/>
        <v>0.40000000000000008</v>
      </c>
      <c r="AV91" s="3517">
        <f t="shared" si="320"/>
        <v>0</v>
      </c>
      <c r="AW91" s="1214">
        <f t="shared" si="320"/>
        <v>0.48240746902743531</v>
      </c>
      <c r="AX91" s="1199">
        <f t="shared" si="320"/>
        <v>0.83628547505773509</v>
      </c>
      <c r="AY91" s="3517">
        <f t="shared" si="320"/>
        <v>0.39999999999999997</v>
      </c>
      <c r="AZ91" s="3517">
        <f t="shared" si="320"/>
        <v>0</v>
      </c>
      <c r="BA91" s="1201">
        <f t="shared" si="320"/>
        <v>0.4</v>
      </c>
      <c r="BB91" s="1212">
        <f t="shared" si="320"/>
        <v>0</v>
      </c>
      <c r="BC91" s="1215">
        <f t="shared" si="320"/>
        <v>0.39999999999999997</v>
      </c>
      <c r="BD91" s="1215">
        <f t="shared" si="320"/>
        <v>0.3498242025707054</v>
      </c>
      <c r="BE91" s="1214">
        <f t="shared" si="320"/>
        <v>0.47492248481784938</v>
      </c>
      <c r="BF91" s="1214">
        <f t="shared" si="320"/>
        <v>0.76293714173820348</v>
      </c>
      <c r="BG91" s="25"/>
      <c r="BH91" s="25"/>
      <c r="BI91" s="25"/>
      <c r="BJ91" s="25"/>
      <c r="BK91" s="25"/>
      <c r="BL91" s="25"/>
      <c r="BM91" s="25"/>
      <c r="BN91" s="25"/>
    </row>
    <row r="92" spans="2:66" x14ac:dyDescent="0.25">
      <c r="B92" s="3510" t="s">
        <v>529</v>
      </c>
      <c r="C92" s="3511" t="s">
        <v>218</v>
      </c>
      <c r="D92" s="2996">
        <f t="shared" ref="D92" si="321">+D28</f>
        <v>15</v>
      </c>
      <c r="E92" s="2996">
        <f t="shared" ref="E92" si="322">+E28</f>
        <v>15.000000000000002</v>
      </c>
      <c r="F92" s="3517">
        <f t="shared" ref="F92" si="323">+F28</f>
        <v>15.943062108919742</v>
      </c>
      <c r="G92" s="3543">
        <f t="shared" ref="G92:BF92" si="324">+G28</f>
        <v>14.56</v>
      </c>
      <c r="H92" s="3543">
        <f t="shared" si="324"/>
        <v>15.555605590673954</v>
      </c>
      <c r="I92" s="5724">
        <f t="shared" si="324"/>
        <v>14.750116526497976</v>
      </c>
      <c r="J92" s="3515">
        <f t="shared" si="324"/>
        <v>15.748842432570461</v>
      </c>
      <c r="K92" s="3543">
        <f t="shared" si="324"/>
        <v>14.56</v>
      </c>
      <c r="L92" s="3543">
        <f t="shared" si="324"/>
        <v>17.970946703731855</v>
      </c>
      <c r="M92" s="1201">
        <f t="shared" si="324"/>
        <v>14.682548753063957</v>
      </c>
      <c r="N92" s="1201">
        <f t="shared" si="324"/>
        <v>16.519397505087145</v>
      </c>
      <c r="O92" s="3543">
        <f t="shared" si="324"/>
        <v>14.560000000000002</v>
      </c>
      <c r="P92" s="3543">
        <f t="shared" si="324"/>
        <v>14.164740174891948</v>
      </c>
      <c r="Q92" s="1199">
        <f t="shared" si="324"/>
        <v>14.650148783321965</v>
      </c>
      <c r="R92" s="1214">
        <f t="shared" si="324"/>
        <v>15.88755050409697</v>
      </c>
      <c r="S92" s="3543">
        <f t="shared" si="324"/>
        <v>14.560000000000002</v>
      </c>
      <c r="T92" s="3543">
        <f t="shared" si="324"/>
        <v>16.814595789435224</v>
      </c>
      <c r="U92" s="1199">
        <f t="shared" si="324"/>
        <v>14.631298561138676</v>
      </c>
      <c r="V92" s="1199">
        <f t="shared" si="324"/>
        <v>16.077894061119039</v>
      </c>
      <c r="W92" s="3543">
        <f t="shared" si="324"/>
        <v>14.56</v>
      </c>
      <c r="X92" s="3543">
        <f t="shared" si="324"/>
        <v>14.298902834699454</v>
      </c>
      <c r="Y92" s="1201">
        <f t="shared" si="324"/>
        <v>14.560000000000002</v>
      </c>
      <c r="Z92" s="1212">
        <f t="shared" si="324"/>
        <v>15.086645044695883</v>
      </c>
      <c r="AA92" s="1140">
        <f t="shared" si="324"/>
        <v>14.623923850283861</v>
      </c>
      <c r="AB92" s="1140">
        <f t="shared" si="324"/>
        <v>15.780377695602567</v>
      </c>
      <c r="AC92" s="3543">
        <f t="shared" si="324"/>
        <v>14.56</v>
      </c>
      <c r="AD92" s="3543">
        <f t="shared" si="324"/>
        <v>11.385048167511478</v>
      </c>
      <c r="AE92" s="1214">
        <f t="shared" si="324"/>
        <v>14.613674508243209</v>
      </c>
      <c r="AF92" s="1214">
        <f t="shared" si="324"/>
        <v>15.259243118571431</v>
      </c>
      <c r="AG92" s="3517">
        <f t="shared" si="324"/>
        <v>14.56</v>
      </c>
      <c r="AH92" s="3517">
        <f t="shared" si="324"/>
        <v>16.231301507894461</v>
      </c>
      <c r="AI92" s="1214">
        <f t="shared" si="324"/>
        <v>14.6063777331483</v>
      </c>
      <c r="AJ92" s="1214">
        <f t="shared" si="324"/>
        <v>15.381626966323038</v>
      </c>
      <c r="AK92" s="3517">
        <f t="shared" si="324"/>
        <v>14.560000000000002</v>
      </c>
      <c r="AL92" s="3517">
        <f t="shared" si="324"/>
        <v>16.22619644980913</v>
      </c>
      <c r="AM92" s="1201">
        <f t="shared" si="324"/>
        <v>14.56</v>
      </c>
      <c r="AN92" s="1212">
        <f t="shared" si="324"/>
        <v>14.80891549417669</v>
      </c>
      <c r="AO92" s="1214">
        <f t="shared" si="324"/>
        <v>14.600682747737606</v>
      </c>
      <c r="AP92" s="1214">
        <f t="shared" si="324"/>
        <v>15.474808969779572</v>
      </c>
      <c r="AQ92" s="3517">
        <f t="shared" si="324"/>
        <v>14.56</v>
      </c>
      <c r="AR92" s="3517">
        <f t="shared" si="324"/>
        <v>15.832833215123577</v>
      </c>
      <c r="AS92" s="1214">
        <f t="shared" si="324"/>
        <v>14.596217176552065</v>
      </c>
      <c r="AT92" s="1214">
        <f t="shared" si="324"/>
        <v>15.510905241479687</v>
      </c>
      <c r="AU92" s="3517">
        <f t="shared" si="324"/>
        <v>14.560000000000002</v>
      </c>
      <c r="AV92" s="3517">
        <f t="shared" si="324"/>
        <v>13.940148517052782</v>
      </c>
      <c r="AW92" s="1214">
        <f t="shared" si="324"/>
        <v>14.592962987610973</v>
      </c>
      <c r="AX92" s="1214">
        <f t="shared" si="324"/>
        <v>15.385729081979262</v>
      </c>
      <c r="AY92" s="3517">
        <f t="shared" si="324"/>
        <v>14.56</v>
      </c>
      <c r="AZ92" s="3517">
        <f t="shared" si="324"/>
        <v>15.754499404993838</v>
      </c>
      <c r="BA92" s="1201">
        <f t="shared" si="324"/>
        <v>14.560000000000002</v>
      </c>
      <c r="BB92" s="1212">
        <f t="shared" si="324"/>
        <v>15.243287657808592</v>
      </c>
      <c r="BC92" s="1215">
        <f t="shared" si="324"/>
        <v>14.56</v>
      </c>
      <c r="BD92" s="1215">
        <f t="shared" si="324"/>
        <v>15.029519707162207</v>
      </c>
      <c r="BE92" s="1214">
        <f t="shared" si="324"/>
        <v>14.589968993927139</v>
      </c>
      <c r="BF92" s="1214">
        <f t="shared" si="324"/>
        <v>15.418072927923683</v>
      </c>
      <c r="BG92" s="25"/>
      <c r="BH92" s="25"/>
      <c r="BI92" s="25"/>
      <c r="BJ92" s="25"/>
      <c r="BK92" s="25"/>
      <c r="BL92" s="25"/>
      <c r="BM92" s="25"/>
      <c r="BN92" s="25"/>
    </row>
    <row r="93" spans="2:66" x14ac:dyDescent="0.25">
      <c r="B93" s="1197" t="s">
        <v>41</v>
      </c>
      <c r="C93" s="3511" t="s">
        <v>218</v>
      </c>
      <c r="D93" s="8046">
        <f t="shared" ref="D93" si="325">+D29</f>
        <v>9.0567340438111668</v>
      </c>
      <c r="E93" s="8046">
        <f t="shared" ref="E93" si="326">+E29</f>
        <v>9.0567340438111668</v>
      </c>
      <c r="F93" s="3517">
        <f t="shared" ref="F93:F94" si="327">+F29</f>
        <v>9.185082091494392</v>
      </c>
      <c r="G93" s="3543">
        <f t="shared" ref="G93:BF93" si="328">+G29</f>
        <v>10.414589223195623</v>
      </c>
      <c r="H93" s="3543">
        <f t="shared" si="328"/>
        <v>0</v>
      </c>
      <c r="I93" s="5724">
        <f t="shared" si="328"/>
        <v>9.8278830636686756</v>
      </c>
      <c r="J93" s="3515">
        <f t="shared" si="328"/>
        <v>4.5808914609474414</v>
      </c>
      <c r="K93" s="3543">
        <f t="shared" si="328"/>
        <v>10.414589223195621</v>
      </c>
      <c r="L93" s="3543">
        <f t="shared" si="328"/>
        <v>4.6668119508655925</v>
      </c>
      <c r="M93" s="1201">
        <f t="shared" si="328"/>
        <v>10.036399543479712</v>
      </c>
      <c r="N93" s="1212">
        <f t="shared" si="328"/>
        <v>4.6106859535816449</v>
      </c>
      <c r="O93" s="3543">
        <f t="shared" si="328"/>
        <v>10.414589223195621</v>
      </c>
      <c r="P93" s="3543">
        <f t="shared" si="328"/>
        <v>5.9227057995778472</v>
      </c>
      <c r="Q93" s="1199">
        <f t="shared" si="328"/>
        <v>10.136386967857124</v>
      </c>
      <c r="R93" s="1214">
        <f t="shared" si="328"/>
        <v>4.9627523856274376</v>
      </c>
      <c r="S93" s="3543">
        <f t="shared" si="328"/>
        <v>10.414589223195621</v>
      </c>
      <c r="T93" s="3543">
        <f t="shared" si="328"/>
        <v>9.9196459096140455</v>
      </c>
      <c r="U93" s="1199">
        <f t="shared" si="328"/>
        <v>10.194559403821048</v>
      </c>
      <c r="V93" s="1199">
        <f t="shared" si="328"/>
        <v>5.9805157679103349</v>
      </c>
      <c r="W93" s="3543">
        <f t="shared" si="328"/>
        <v>10.414589223195623</v>
      </c>
      <c r="X93" s="3543">
        <f t="shared" si="328"/>
        <v>8.7010117827868854</v>
      </c>
      <c r="Y93" s="1201">
        <f t="shared" si="328"/>
        <v>10.414589223195621</v>
      </c>
      <c r="Z93" s="1212">
        <f t="shared" si="328"/>
        <v>8.1484666366185294</v>
      </c>
      <c r="AA93" s="1140">
        <f t="shared" si="328"/>
        <v>10.217318015936209</v>
      </c>
      <c r="AB93" s="1140">
        <f t="shared" si="328"/>
        <v>6.4354882684645451</v>
      </c>
      <c r="AC93" s="3543">
        <f t="shared" si="328"/>
        <v>10.414589223195623</v>
      </c>
      <c r="AD93" s="3543">
        <f t="shared" si="328"/>
        <v>12.552745415461372</v>
      </c>
      <c r="AE93" s="1214">
        <f t="shared" si="328"/>
        <v>10.248947839061628</v>
      </c>
      <c r="AF93" s="1214">
        <f t="shared" si="328"/>
        <v>7.1607841070396807</v>
      </c>
      <c r="AG93" s="3517">
        <f t="shared" si="328"/>
        <v>10.414589223195623</v>
      </c>
      <c r="AH93" s="3517">
        <f t="shared" si="328"/>
        <v>9.729496512891652</v>
      </c>
      <c r="AI93" s="1214">
        <f t="shared" si="328"/>
        <v>10.271465938733053</v>
      </c>
      <c r="AJ93" s="1214">
        <f t="shared" si="328"/>
        <v>7.4841894821163661</v>
      </c>
      <c r="AK93" s="3517">
        <f t="shared" si="328"/>
        <v>10.414589223195623</v>
      </c>
      <c r="AL93" s="3517">
        <f t="shared" si="328"/>
        <v>10.978256952202997</v>
      </c>
      <c r="AM93" s="1201">
        <f t="shared" si="328"/>
        <v>10.414589223195621</v>
      </c>
      <c r="AN93" s="1212">
        <f t="shared" si="328"/>
        <v>10.995101943177874</v>
      </c>
      <c r="AO93" s="1214">
        <f t="shared" si="328"/>
        <v>10.289040860179487</v>
      </c>
      <c r="AP93" s="1214">
        <f t="shared" si="328"/>
        <v>7.8696926449006517</v>
      </c>
      <c r="AQ93" s="3517">
        <f t="shared" si="328"/>
        <v>10.414589223195621</v>
      </c>
      <c r="AR93" s="3517">
        <f t="shared" si="328"/>
        <v>9.8859730481750248</v>
      </c>
      <c r="AS93" s="1214">
        <f t="shared" si="328"/>
        <v>10.302821766914029</v>
      </c>
      <c r="AT93" s="1214">
        <f t="shared" si="328"/>
        <v>8.0729755404215329</v>
      </c>
      <c r="AU93" s="3517">
        <f t="shared" si="328"/>
        <v>10.414589223195623</v>
      </c>
      <c r="AV93" s="3517">
        <f t="shared" si="328"/>
        <v>13.851216150117835</v>
      </c>
      <c r="AW93" s="1214">
        <f t="shared" si="328"/>
        <v>10.312864306251196</v>
      </c>
      <c r="AX93" s="1214">
        <f t="shared" si="328"/>
        <v>8.5334529376805328</v>
      </c>
      <c r="AY93" s="3517">
        <f t="shared" si="328"/>
        <v>10.414589223195621</v>
      </c>
      <c r="AZ93" s="3517">
        <f t="shared" si="328"/>
        <v>8.8671714565540185</v>
      </c>
      <c r="BA93" s="1201">
        <f t="shared" si="328"/>
        <v>10.414589223195621</v>
      </c>
      <c r="BB93" s="1212">
        <f t="shared" si="328"/>
        <v>10.697721751814363</v>
      </c>
      <c r="BC93" s="1215">
        <f t="shared" si="328"/>
        <v>10.414589223195621</v>
      </c>
      <c r="BD93" s="1215">
        <f t="shared" si="328"/>
        <v>10.844071724011197</v>
      </c>
      <c r="BE93" s="1214">
        <f t="shared" si="328"/>
        <v>10.322103874048102</v>
      </c>
      <c r="BF93" s="1214">
        <f t="shared" si="328"/>
        <v>8.5627224848474768</v>
      </c>
      <c r="BG93" s="25"/>
      <c r="BH93" s="25"/>
      <c r="BI93" s="25"/>
      <c r="BJ93" s="25"/>
      <c r="BK93" s="25"/>
      <c r="BL93" s="25"/>
      <c r="BM93" s="25"/>
      <c r="BN93" s="25"/>
    </row>
    <row r="94" spans="2:66" s="4487" customFormat="1" x14ac:dyDescent="0.25">
      <c r="B94" s="7033" t="s">
        <v>1472</v>
      </c>
      <c r="C94" s="3511" t="s">
        <v>218</v>
      </c>
      <c r="D94" s="8047"/>
      <c r="E94" s="8047"/>
      <c r="F94" s="3517">
        <f t="shared" si="327"/>
        <v>1.7906242574425473</v>
      </c>
      <c r="G94" s="7679"/>
      <c r="H94" s="7679"/>
      <c r="I94" s="7680"/>
      <c r="J94" s="7084"/>
      <c r="K94" s="7679"/>
      <c r="L94" s="7679"/>
      <c r="M94" s="7037"/>
      <c r="N94" s="7676"/>
      <c r="O94" s="7679"/>
      <c r="P94" s="7679"/>
      <c r="Q94" s="7036"/>
      <c r="R94" s="7675"/>
      <c r="S94" s="7679"/>
      <c r="T94" s="7679"/>
      <c r="U94" s="7036"/>
      <c r="V94" s="7036"/>
      <c r="W94" s="7679"/>
      <c r="X94" s="7679"/>
      <c r="Y94" s="7037"/>
      <c r="Z94" s="7676"/>
      <c r="AA94" s="7038"/>
      <c r="AB94" s="7038"/>
      <c r="AC94" s="7679"/>
      <c r="AD94" s="7679"/>
      <c r="AE94" s="7675"/>
      <c r="AF94" s="7675"/>
      <c r="AG94" s="7678"/>
      <c r="AH94" s="7678"/>
      <c r="AI94" s="7675"/>
      <c r="AJ94" s="7675"/>
      <c r="AK94" s="7678"/>
      <c r="AL94" s="7678"/>
      <c r="AM94" s="7037"/>
      <c r="AN94" s="7676"/>
      <c r="AO94" s="7675"/>
      <c r="AP94" s="7675"/>
      <c r="AQ94" s="7678"/>
      <c r="AR94" s="7678"/>
      <c r="AS94" s="7675"/>
      <c r="AT94" s="7675"/>
      <c r="AU94" s="7678"/>
      <c r="AV94" s="7678"/>
      <c r="AW94" s="7675"/>
      <c r="AX94" s="7675"/>
      <c r="AY94" s="7678"/>
      <c r="AZ94" s="7678"/>
      <c r="BA94" s="7037"/>
      <c r="BB94" s="7676"/>
      <c r="BC94" s="7681"/>
      <c r="BD94" s="7681"/>
      <c r="BE94" s="7675"/>
      <c r="BF94" s="7675"/>
      <c r="BG94" s="25"/>
      <c r="BH94" s="25"/>
      <c r="BI94" s="25"/>
      <c r="BJ94" s="25"/>
      <c r="BK94" s="25"/>
      <c r="BL94" s="25"/>
      <c r="BM94" s="25"/>
      <c r="BN94" s="25"/>
    </row>
    <row r="95" spans="2:66" x14ac:dyDescent="0.25">
      <c r="B95" s="3510" t="s">
        <v>573</v>
      </c>
      <c r="C95" s="3511" t="s">
        <v>218</v>
      </c>
      <c r="D95" s="2996">
        <f t="shared" ref="D95:E95" si="329">+D31</f>
        <v>15</v>
      </c>
      <c r="E95" s="2996">
        <f t="shared" si="329"/>
        <v>15.000000000000002</v>
      </c>
      <c r="F95" s="2996">
        <f t="shared" ref="F95" si="330">+F31</f>
        <v>18.438055150095614</v>
      </c>
      <c r="G95" s="3543">
        <f t="shared" ref="G95:BF95" si="331">+G31</f>
        <v>0</v>
      </c>
      <c r="H95" s="3543">
        <f t="shared" si="331"/>
        <v>1.9645038361299836</v>
      </c>
      <c r="I95" s="5724">
        <f t="shared" si="331"/>
        <v>6.4812452215218768</v>
      </c>
      <c r="J95" s="3515">
        <f t="shared" si="331"/>
        <v>10.180385827593698</v>
      </c>
      <c r="K95" s="3543">
        <f t="shared" si="331"/>
        <v>0</v>
      </c>
      <c r="L95" s="3543">
        <f t="shared" si="331"/>
        <v>0</v>
      </c>
      <c r="M95" s="1201">
        <f t="shared" si="331"/>
        <v>4.1777983999076342</v>
      </c>
      <c r="N95" s="1212">
        <f t="shared" si="331"/>
        <v>6.6501518770827808</v>
      </c>
      <c r="O95" s="3543">
        <f t="shared" si="331"/>
        <v>0</v>
      </c>
      <c r="P95" s="3543">
        <f t="shared" si="331"/>
        <v>2.6258920494522062</v>
      </c>
      <c r="Q95" s="1199">
        <f t="shared" si="331"/>
        <v>3.0732539768852161</v>
      </c>
      <c r="R95" s="1214">
        <f t="shared" si="331"/>
        <v>5.5702849806614489</v>
      </c>
      <c r="S95" s="3543">
        <f t="shared" si="331"/>
        <v>0</v>
      </c>
      <c r="T95" s="3543">
        <f t="shared" si="331"/>
        <v>1.6023842642733552</v>
      </c>
      <c r="U95" s="1199">
        <f t="shared" si="331"/>
        <v>2.4306327660912679</v>
      </c>
      <c r="V95" s="1199">
        <f t="shared" si="331"/>
        <v>4.7555843956817689</v>
      </c>
      <c r="W95" s="3543">
        <f t="shared" si="331"/>
        <v>0</v>
      </c>
      <c r="X95" s="3543">
        <f t="shared" si="331"/>
        <v>1.4995303961748634</v>
      </c>
      <c r="Y95" s="1201">
        <f t="shared" si="331"/>
        <v>0</v>
      </c>
      <c r="Z95" s="1212">
        <f t="shared" si="331"/>
        <v>1.9214082598927438</v>
      </c>
      <c r="AA95" s="1140">
        <f t="shared" si="331"/>
        <v>2.1792221687680677</v>
      </c>
      <c r="AB95" s="1140">
        <f t="shared" si="331"/>
        <v>4.2110458181597501</v>
      </c>
      <c r="AC95" s="3543">
        <f t="shared" si="331"/>
        <v>0</v>
      </c>
      <c r="AD95" s="3543">
        <f t="shared" si="331"/>
        <v>1.9638544624611876</v>
      </c>
      <c r="AE95" s="1214">
        <f t="shared" si="331"/>
        <v>1.8298127810185103</v>
      </c>
      <c r="AF95" s="1214">
        <f t="shared" si="331"/>
        <v>3.9446063830331188</v>
      </c>
      <c r="AG95" s="3517">
        <f t="shared" si="331"/>
        <v>0</v>
      </c>
      <c r="AH95" s="3517">
        <f t="shared" si="331"/>
        <v>1.201509532885862</v>
      </c>
      <c r="AI95" s="1214">
        <f t="shared" si="331"/>
        <v>1.5810590846011436</v>
      </c>
      <c r="AJ95" s="1214">
        <f t="shared" si="331"/>
        <v>3.5992457020660682</v>
      </c>
      <c r="AK95" s="3517">
        <f t="shared" si="331"/>
        <v>0</v>
      </c>
      <c r="AL95" s="3517">
        <f t="shared" si="331"/>
        <v>1.7160457205590041</v>
      </c>
      <c r="AM95" s="1201">
        <f t="shared" si="331"/>
        <v>0</v>
      </c>
      <c r="AN95" s="1212">
        <f t="shared" si="331"/>
        <v>1.6054579736611541</v>
      </c>
      <c r="AO95" s="1214">
        <f t="shared" si="331"/>
        <v>1.3869118546911139</v>
      </c>
      <c r="AP95" s="1214">
        <f t="shared" si="331"/>
        <v>3.3914707935270867</v>
      </c>
      <c r="AQ95" s="3517">
        <f t="shared" si="331"/>
        <v>0</v>
      </c>
      <c r="AR95" s="3517">
        <f t="shared" si="331"/>
        <v>0</v>
      </c>
      <c r="AS95" s="1214">
        <f t="shared" si="331"/>
        <v>1.2346764733658071</v>
      </c>
      <c r="AT95" s="1214">
        <f t="shared" si="331"/>
        <v>3.0495401762066559</v>
      </c>
      <c r="AU95" s="3517">
        <f t="shared" si="331"/>
        <v>0</v>
      </c>
      <c r="AV95" s="3517">
        <f t="shared" si="331"/>
        <v>1.9279266689111501</v>
      </c>
      <c r="AW95" s="1214">
        <f t="shared" si="331"/>
        <v>1.1237382140104821</v>
      </c>
      <c r="AX95" s="1214">
        <f t="shared" si="331"/>
        <v>2.9601569705811777</v>
      </c>
      <c r="AY95" s="3517">
        <f t="shared" si="331"/>
        <v>0</v>
      </c>
      <c r="AZ95" s="3517">
        <f t="shared" si="331"/>
        <v>1.7191992164874628</v>
      </c>
      <c r="BA95" s="1201">
        <f t="shared" si="331"/>
        <v>0</v>
      </c>
      <c r="BB95" s="1212">
        <f t="shared" si="331"/>
        <v>1.1872746769387914</v>
      </c>
      <c r="BC95" s="1215">
        <f t="shared" si="331"/>
        <v>0</v>
      </c>
      <c r="BD95" s="1215">
        <f t="shared" si="331"/>
        <v>1.3930755864340949</v>
      </c>
      <c r="BE95" s="1214">
        <f t="shared" si="331"/>
        <v>1.021670247516129</v>
      </c>
      <c r="BF95" s="1214">
        <f t="shared" si="331"/>
        <v>2.8513159280215912</v>
      </c>
      <c r="BG95" s="25"/>
      <c r="BH95" s="25"/>
      <c r="BI95" s="25"/>
      <c r="BJ95" s="25"/>
      <c r="BK95" s="25"/>
      <c r="BL95" s="25"/>
      <c r="BM95" s="25"/>
      <c r="BN95" s="25"/>
    </row>
    <row r="96" spans="2:66" x14ac:dyDescent="0.25">
      <c r="B96" s="2941" t="s">
        <v>42</v>
      </c>
      <c r="C96" s="3511" t="s">
        <v>218</v>
      </c>
      <c r="D96" s="2996">
        <f t="shared" ref="D96:E96" si="332">+D32</f>
        <v>4</v>
      </c>
      <c r="E96" s="2996">
        <f t="shared" si="332"/>
        <v>3.9999999999999991</v>
      </c>
      <c r="F96" s="3517">
        <f t="shared" ref="F96" si="333">+F32</f>
        <v>0</v>
      </c>
      <c r="G96" s="3543">
        <f t="shared" ref="G96:BF96" si="334">+G32</f>
        <v>0</v>
      </c>
      <c r="H96" s="3543">
        <f t="shared" si="334"/>
        <v>0</v>
      </c>
      <c r="I96" s="5724">
        <f t="shared" si="334"/>
        <v>1.7283320590725004</v>
      </c>
      <c r="J96" s="3515">
        <f t="shared" si="334"/>
        <v>0</v>
      </c>
      <c r="K96" s="3543">
        <f t="shared" si="334"/>
        <v>0</v>
      </c>
      <c r="L96" s="3543">
        <f t="shared" si="334"/>
        <v>0</v>
      </c>
      <c r="M96" s="1201">
        <f t="shared" si="334"/>
        <v>1.1140795733087023</v>
      </c>
      <c r="N96" s="1212">
        <f t="shared" si="334"/>
        <v>0</v>
      </c>
      <c r="O96" s="3543">
        <f t="shared" si="334"/>
        <v>0</v>
      </c>
      <c r="P96" s="3543">
        <f t="shared" si="334"/>
        <v>0</v>
      </c>
      <c r="Q96" s="1199">
        <f t="shared" si="334"/>
        <v>0.81953439383605753</v>
      </c>
      <c r="R96" s="1214">
        <f t="shared" si="334"/>
        <v>0</v>
      </c>
      <c r="S96" s="3517">
        <f t="shared" si="334"/>
        <v>0</v>
      </c>
      <c r="T96" s="3517">
        <f t="shared" si="334"/>
        <v>0</v>
      </c>
      <c r="U96" s="1199">
        <f t="shared" si="334"/>
        <v>0.64816873762433802</v>
      </c>
      <c r="V96" s="1199">
        <f t="shared" si="334"/>
        <v>0</v>
      </c>
      <c r="W96" s="3517">
        <f t="shared" si="334"/>
        <v>0</v>
      </c>
      <c r="X96" s="3517">
        <f t="shared" si="334"/>
        <v>0</v>
      </c>
      <c r="Y96" s="1201">
        <f t="shared" si="334"/>
        <v>0</v>
      </c>
      <c r="Z96" s="1212">
        <f t="shared" si="334"/>
        <v>0</v>
      </c>
      <c r="AA96" s="1215">
        <f t="shared" si="334"/>
        <v>0.58112591167148464</v>
      </c>
      <c r="AB96" s="1140">
        <f t="shared" si="334"/>
        <v>0</v>
      </c>
      <c r="AC96" s="3517">
        <f t="shared" si="334"/>
        <v>0</v>
      </c>
      <c r="AD96" s="3517">
        <f t="shared" si="334"/>
        <v>0</v>
      </c>
      <c r="AE96" s="1214">
        <f t="shared" si="334"/>
        <v>0.48795007493826942</v>
      </c>
      <c r="AF96" s="1214">
        <f t="shared" si="334"/>
        <v>0</v>
      </c>
      <c r="AG96" s="3517">
        <f t="shared" si="334"/>
        <v>0</v>
      </c>
      <c r="AH96" s="3517">
        <f t="shared" si="334"/>
        <v>1.7176124913300164</v>
      </c>
      <c r="AI96" s="1214">
        <f t="shared" si="334"/>
        <v>0.42161575589363826</v>
      </c>
      <c r="AJ96" s="1214">
        <f t="shared" si="334"/>
        <v>0.21625041041164933</v>
      </c>
      <c r="AK96" s="3517">
        <f t="shared" si="334"/>
        <v>0</v>
      </c>
      <c r="AL96" s="3517">
        <f t="shared" si="334"/>
        <v>5.73308974170601</v>
      </c>
      <c r="AM96" s="1201">
        <f t="shared" si="334"/>
        <v>0</v>
      </c>
      <c r="AN96" s="1212">
        <f t="shared" si="334"/>
        <v>2.6226045759928116</v>
      </c>
      <c r="AO96" s="1214">
        <f t="shared" si="334"/>
        <v>0.36984316125096361</v>
      </c>
      <c r="AP96" s="1214">
        <f t="shared" si="334"/>
        <v>0.82492755502728654</v>
      </c>
      <c r="AQ96" s="3517">
        <f t="shared" si="334"/>
        <v>0</v>
      </c>
      <c r="AR96" s="3517">
        <f t="shared" si="334"/>
        <v>1.8849909978722243</v>
      </c>
      <c r="AS96" s="1214">
        <f t="shared" si="334"/>
        <v>0.32924705956421524</v>
      </c>
      <c r="AT96" s="1214">
        <f t="shared" si="334"/>
        <v>0.93180394272981149</v>
      </c>
      <c r="AU96" s="3517">
        <f t="shared" si="334"/>
        <v>0</v>
      </c>
      <c r="AV96" s="3517">
        <f t="shared" si="334"/>
        <v>0</v>
      </c>
      <c r="AW96" s="1214">
        <f t="shared" si="334"/>
        <v>0.29966352373612848</v>
      </c>
      <c r="AX96" s="1214">
        <f t="shared" si="334"/>
        <v>0.85754697018632153</v>
      </c>
      <c r="AY96" s="3517">
        <f t="shared" si="334"/>
        <v>0</v>
      </c>
      <c r="AZ96" s="3517">
        <f t="shared" si="334"/>
        <v>0</v>
      </c>
      <c r="BA96" s="1201">
        <f t="shared" si="334"/>
        <v>0</v>
      </c>
      <c r="BB96" s="1212">
        <f t="shared" si="334"/>
        <v>0.65111650933706733</v>
      </c>
      <c r="BC96" s="1215">
        <f t="shared" si="334"/>
        <v>0</v>
      </c>
      <c r="BD96" s="1215">
        <f t="shared" si="334"/>
        <v>1.6213466461142954</v>
      </c>
      <c r="BE96" s="1214">
        <f t="shared" si="334"/>
        <v>0.27244539933763434</v>
      </c>
      <c r="BF96" s="1214">
        <f t="shared" si="334"/>
        <v>0.78233384873154765</v>
      </c>
      <c r="BG96" s="25"/>
      <c r="BH96" s="25"/>
      <c r="BI96" s="25"/>
      <c r="BJ96" s="25"/>
      <c r="BK96" s="25"/>
      <c r="BL96" s="25"/>
      <c r="BM96" s="25"/>
      <c r="BN96" s="25"/>
    </row>
    <row r="97" spans="2:66" s="4487" customFormat="1" x14ac:dyDescent="0.25">
      <c r="B97" s="5621" t="s">
        <v>1601</v>
      </c>
      <c r="C97" s="5615" t="s">
        <v>218</v>
      </c>
      <c r="D97" s="2996">
        <f t="shared" ref="D97:E97" si="335">+D33</f>
        <v>0.5</v>
      </c>
      <c r="E97" s="6376">
        <f t="shared" si="335"/>
        <v>0.49999999999999989</v>
      </c>
      <c r="F97" s="6376">
        <f t="shared" ref="F97" si="336">+F33</f>
        <v>1.3069011168064089</v>
      </c>
      <c r="G97" s="5622">
        <f t="shared" ref="G97:BF97" si="337">+G33</f>
        <v>10</v>
      </c>
      <c r="H97" s="5622">
        <f t="shared" si="337"/>
        <v>28.471233246835123</v>
      </c>
      <c r="I97" s="5725">
        <f t="shared" si="337"/>
        <v>5.8952113597028131</v>
      </c>
      <c r="J97" s="5725">
        <f t="shared" si="337"/>
        <v>14.923520133631673</v>
      </c>
      <c r="K97" s="5622">
        <f t="shared" si="337"/>
        <v>10</v>
      </c>
      <c r="L97" s="5622">
        <f t="shared" si="337"/>
        <v>8.5575936684437401</v>
      </c>
      <c r="M97" s="1201">
        <f t="shared" si="337"/>
        <v>7.3540610133918323</v>
      </c>
      <c r="N97" s="1212">
        <f t="shared" si="337"/>
        <v>12.716019345896369</v>
      </c>
      <c r="O97" s="5622">
        <f t="shared" si="337"/>
        <v>10</v>
      </c>
      <c r="P97" s="5622">
        <f t="shared" si="337"/>
        <v>3.2390189968841088</v>
      </c>
      <c r="Q97" s="1199">
        <f t="shared" si="337"/>
        <v>8.0536058146393632</v>
      </c>
      <c r="R97" s="1214">
        <f t="shared" si="337"/>
        <v>10.17296810352733</v>
      </c>
      <c r="S97" s="5622">
        <f t="shared" si="337"/>
        <v>10</v>
      </c>
      <c r="T97" s="5622">
        <f t="shared" si="337"/>
        <v>11.216689849913488</v>
      </c>
      <c r="U97" s="1199">
        <f t="shared" si="337"/>
        <v>8.4605992481421968</v>
      </c>
      <c r="V97" s="1199">
        <f t="shared" si="337"/>
        <v>10.387268001159558</v>
      </c>
      <c r="W97" s="5622">
        <f t="shared" si="337"/>
        <v>10</v>
      </c>
      <c r="X97" s="5622">
        <f t="shared" si="337"/>
        <v>0.49895406420765026</v>
      </c>
      <c r="Y97" s="1201">
        <f t="shared" si="337"/>
        <v>10</v>
      </c>
      <c r="Z97" s="1212">
        <f t="shared" si="337"/>
        <v>4.9951424100048181</v>
      </c>
      <c r="AA97" s="1215">
        <f t="shared" si="337"/>
        <v>8.6198259597802238</v>
      </c>
      <c r="AB97" s="1140">
        <f t="shared" si="337"/>
        <v>8.7335582020793296</v>
      </c>
      <c r="AC97" s="5622">
        <f t="shared" si="337"/>
        <v>10</v>
      </c>
      <c r="AD97" s="5622">
        <f t="shared" si="337"/>
        <v>5.2745415461373106</v>
      </c>
      <c r="AE97" s="1214">
        <f t="shared" si="337"/>
        <v>8.8411185720216068</v>
      </c>
      <c r="AF97" s="1214">
        <f t="shared" si="337"/>
        <v>8.3234380574082021</v>
      </c>
      <c r="AG97" s="6376">
        <f t="shared" si="337"/>
        <v>10</v>
      </c>
      <c r="AH97" s="6376">
        <f t="shared" si="337"/>
        <v>17.81784023200057</v>
      </c>
      <c r="AI97" s="1214">
        <f t="shared" si="337"/>
        <v>8.9986625797526081</v>
      </c>
      <c r="AJ97" s="1214">
        <f t="shared" si="337"/>
        <v>9.5187998617922656</v>
      </c>
      <c r="AK97" s="6376">
        <f t="shared" si="337"/>
        <v>10</v>
      </c>
      <c r="AL97" s="6376">
        <f t="shared" si="337"/>
        <v>28.81515221242373</v>
      </c>
      <c r="AM97" s="1212">
        <f t="shared" si="337"/>
        <v>10</v>
      </c>
      <c r="AN97" s="1212">
        <f t="shared" si="337"/>
        <v>17.998438300723379</v>
      </c>
      <c r="AO97" s="1214">
        <f t="shared" si="337"/>
        <v>9.1216224920289601</v>
      </c>
      <c r="AP97" s="1214">
        <f t="shared" si="337"/>
        <v>11.647781321095326</v>
      </c>
      <c r="AQ97" s="6376">
        <f t="shared" si="337"/>
        <v>9.9999999999999982</v>
      </c>
      <c r="AR97" s="6376">
        <f t="shared" si="337"/>
        <v>23.588302689726664</v>
      </c>
      <c r="AS97" s="1214">
        <f t="shared" si="337"/>
        <v>9.2180382335349904</v>
      </c>
      <c r="AT97" s="1214">
        <f t="shared" si="337"/>
        <v>12.85163359972805</v>
      </c>
      <c r="AU97" s="5622">
        <f t="shared" si="337"/>
        <v>10</v>
      </c>
      <c r="AV97" s="5622">
        <f t="shared" si="337"/>
        <v>19.295147468921314</v>
      </c>
      <c r="AW97" s="5725">
        <f t="shared" si="337"/>
        <v>9.2882991311266938</v>
      </c>
      <c r="AX97" s="5725">
        <f t="shared" si="337"/>
        <v>13.365127705651812</v>
      </c>
      <c r="AY97" s="5622">
        <f t="shared" si="337"/>
        <v>9.9999999999999982</v>
      </c>
      <c r="AZ97" s="5622">
        <f t="shared" si="337"/>
        <v>28.249628779342228</v>
      </c>
      <c r="BA97" s="1218">
        <f t="shared" si="337"/>
        <v>9.9999999999999982</v>
      </c>
      <c r="BB97" s="1218">
        <f t="shared" si="337"/>
        <v>23.982948474163585</v>
      </c>
      <c r="BC97" s="1215">
        <f t="shared" si="337"/>
        <v>10</v>
      </c>
      <c r="BD97" s="1215">
        <f t="shared" si="337"/>
        <v>21.037786277990122</v>
      </c>
      <c r="BE97" s="1214">
        <f t="shared" si="337"/>
        <v>9.3529421765731175</v>
      </c>
      <c r="BF97" s="1214">
        <f t="shared" si="337"/>
        <v>14.670606969144456</v>
      </c>
      <c r="BG97" s="25"/>
      <c r="BH97" s="25"/>
      <c r="BI97" s="25"/>
      <c r="BJ97" s="25"/>
      <c r="BK97" s="25"/>
      <c r="BL97" s="25"/>
      <c r="BM97" s="25"/>
      <c r="BN97" s="25"/>
    </row>
    <row r="98" spans="2:66" ht="15" customHeight="1" x14ac:dyDescent="0.25">
      <c r="B98" s="3510" t="s">
        <v>98</v>
      </c>
      <c r="C98" s="3511" t="s">
        <v>218</v>
      </c>
      <c r="D98" s="2996">
        <f t="shared" ref="D98:E98" si="338">+D34</f>
        <v>180.00000000000006</v>
      </c>
      <c r="E98" s="2996">
        <f t="shared" si="338"/>
        <v>179.99999999999997</v>
      </c>
      <c r="F98" s="2996">
        <f t="shared" ref="F98" si="339">+F34</f>
        <v>211.66989148760425</v>
      </c>
      <c r="G98" s="3543">
        <f t="shared" ref="G98:BF98" si="340">+G34</f>
        <v>0.70000000000000007</v>
      </c>
      <c r="H98" s="3543">
        <f t="shared" si="340"/>
        <v>0.89781765576714156</v>
      </c>
      <c r="I98" s="5724">
        <f t="shared" si="340"/>
        <v>78.17248454792481</v>
      </c>
      <c r="J98" s="3515">
        <f t="shared" si="340"/>
        <v>106.01652901889635</v>
      </c>
      <c r="K98" s="3543">
        <f t="shared" si="340"/>
        <v>0.7</v>
      </c>
      <c r="L98" s="3543">
        <f t="shared" si="340"/>
        <v>0.37472692771756749</v>
      </c>
      <c r="M98" s="1201">
        <f t="shared" si="340"/>
        <v>50.638616873562576</v>
      </c>
      <c r="N98" s="1212">
        <f t="shared" si="340"/>
        <v>69.383312689846349</v>
      </c>
      <c r="O98" s="3543">
        <f t="shared" si="340"/>
        <v>0.7</v>
      </c>
      <c r="P98" s="3543">
        <f t="shared" si="340"/>
        <v>0.78902402251482562</v>
      </c>
      <c r="Q98" s="1199">
        <f t="shared" si="340"/>
        <v>37.435629203701268</v>
      </c>
      <c r="R98" s="1214">
        <f t="shared" si="340"/>
        <v>50.976772161116834</v>
      </c>
      <c r="S98" s="3543">
        <f t="shared" si="340"/>
        <v>0.7</v>
      </c>
      <c r="T98" s="3543">
        <f t="shared" si="340"/>
        <v>0.21399920141761422</v>
      </c>
      <c r="U98" s="1199">
        <f t="shared" si="340"/>
        <v>29.754163664010946</v>
      </c>
      <c r="V98" s="1199">
        <f t="shared" si="340"/>
        <v>40.554016204888256</v>
      </c>
      <c r="W98" s="3543">
        <f t="shared" si="340"/>
        <v>0.69999999999999984</v>
      </c>
      <c r="X98" s="3543">
        <f t="shared" si="340"/>
        <v>0</v>
      </c>
      <c r="Y98" s="1201">
        <f t="shared" si="340"/>
        <v>0.69999999999999984</v>
      </c>
      <c r="Z98" s="1212">
        <f t="shared" si="340"/>
        <v>0.34258337276790929</v>
      </c>
      <c r="AA98" s="1140">
        <f t="shared" si="340"/>
        <v>26.748968990674296</v>
      </c>
      <c r="AB98" s="1140">
        <f t="shared" si="340"/>
        <v>33.771811026362656</v>
      </c>
      <c r="AC98" s="3543">
        <f t="shared" si="340"/>
        <v>0.70000000000000007</v>
      </c>
      <c r="AD98" s="3543">
        <f t="shared" si="340"/>
        <v>0</v>
      </c>
      <c r="AE98" s="1199">
        <f t="shared" si="340"/>
        <v>22.572362109107925</v>
      </c>
      <c r="AF98" s="1199">
        <f t="shared" si="340"/>
        <v>29.767638337530713</v>
      </c>
      <c r="AG98" s="3517">
        <f t="shared" si="340"/>
        <v>0.7</v>
      </c>
      <c r="AH98" s="3517">
        <f t="shared" si="340"/>
        <v>0.83832596953627192</v>
      </c>
      <c r="AI98" s="1199">
        <f t="shared" si="340"/>
        <v>19.598926257932334</v>
      </c>
      <c r="AJ98" s="1199">
        <f t="shared" si="340"/>
        <v>26.12538742000196</v>
      </c>
      <c r="AK98" s="3517">
        <f t="shared" si="340"/>
        <v>0.70000000000000007</v>
      </c>
      <c r="AL98" s="3517">
        <f t="shared" si="340"/>
        <v>0.77069581634152362</v>
      </c>
      <c r="AM98" s="1201">
        <f t="shared" si="340"/>
        <v>0.69999999999999984</v>
      </c>
      <c r="AN98" s="1212">
        <f t="shared" si="340"/>
        <v>0.56886306153347976</v>
      </c>
      <c r="AO98" s="1199">
        <f t="shared" si="340"/>
        <v>17.278219703074445</v>
      </c>
      <c r="AP98" s="1214">
        <f t="shared" si="340"/>
        <v>23.327984711464993</v>
      </c>
      <c r="AQ98" s="3517">
        <f t="shared" si="340"/>
        <v>0.69999999999999984</v>
      </c>
      <c r="AR98" s="3517">
        <f t="shared" si="340"/>
        <v>1.2057395384363576</v>
      </c>
      <c r="AS98" s="1199">
        <f t="shared" si="340"/>
        <v>15.458499444965945</v>
      </c>
      <c r="AT98" s="1199">
        <f t="shared" si="340"/>
        <v>21.097603437663469</v>
      </c>
      <c r="AU98" s="3517">
        <f t="shared" si="340"/>
        <v>0.69999999999999984</v>
      </c>
      <c r="AV98" s="3517">
        <f t="shared" si="340"/>
        <v>0.70828277951760543</v>
      </c>
      <c r="AW98" s="1199">
        <f t="shared" si="340"/>
        <v>14.13241745147196</v>
      </c>
      <c r="AX98" s="1199">
        <f t="shared" si="340"/>
        <v>19.472745294375525</v>
      </c>
      <c r="AY98" s="3517">
        <f t="shared" si="340"/>
        <v>0.69999999999999984</v>
      </c>
      <c r="AZ98" s="3517">
        <f t="shared" si="340"/>
        <v>3.343618690565203</v>
      </c>
      <c r="BA98" s="1201">
        <f t="shared" si="340"/>
        <v>0.69999999999999984</v>
      </c>
      <c r="BB98" s="1212">
        <f t="shared" si="340"/>
        <v>1.8233146824417152</v>
      </c>
      <c r="BC98" s="1215">
        <f t="shared" si="340"/>
        <v>0.69999999999999984</v>
      </c>
      <c r="BD98" s="1215">
        <f t="shared" si="340"/>
        <v>1.2059603152916247</v>
      </c>
      <c r="BE98" s="1214">
        <f t="shared" si="340"/>
        <v>12.912365025309459</v>
      </c>
      <c r="BF98" s="1214">
        <f t="shared" si="340"/>
        <v>18.058103297624921</v>
      </c>
      <c r="BG98" s="25"/>
      <c r="BH98" s="25"/>
      <c r="BI98" s="25"/>
      <c r="BJ98" s="25"/>
      <c r="BK98" s="25"/>
      <c r="BL98" s="25"/>
      <c r="BM98" s="25"/>
      <c r="BN98" s="25"/>
    </row>
    <row r="99" spans="2:66" ht="15" customHeight="1" x14ac:dyDescent="0.25">
      <c r="B99" s="3510" t="s">
        <v>1272</v>
      </c>
      <c r="C99" s="3511" t="s">
        <v>218</v>
      </c>
      <c r="D99" s="2996">
        <f t="shared" ref="D99:E99" si="341">+D35</f>
        <v>3.0326323422769939</v>
      </c>
      <c r="E99" s="2996">
        <f t="shared" si="341"/>
        <v>3.0326323422769921</v>
      </c>
      <c r="F99" s="3517">
        <f t="shared" ref="F99" si="342">+F35</f>
        <v>2.3054640913359812</v>
      </c>
      <c r="G99" s="3543">
        <f t="shared" ref="G99:BF99" si="343">+G35</f>
        <v>0</v>
      </c>
      <c r="H99" s="3543">
        <f t="shared" si="343"/>
        <v>4.8408977050767508</v>
      </c>
      <c r="I99" s="5724">
        <f t="shared" si="343"/>
        <v>1.3103489251343632</v>
      </c>
      <c r="J99" s="3515">
        <f t="shared" si="343"/>
        <v>3.5763966287347597</v>
      </c>
      <c r="K99" s="3543">
        <f t="shared" si="343"/>
        <v>0</v>
      </c>
      <c r="L99" s="3543">
        <f t="shared" si="343"/>
        <v>0</v>
      </c>
      <c r="M99" s="1201">
        <f t="shared" si="343"/>
        <v>0.84464843647153054</v>
      </c>
      <c r="N99" s="1212">
        <f t="shared" si="343"/>
        <v>2.3362160488365924</v>
      </c>
      <c r="O99" s="3543">
        <f t="shared" si="343"/>
        <v>0</v>
      </c>
      <c r="P99" s="3543">
        <f t="shared" si="343"/>
        <v>0</v>
      </c>
      <c r="Q99" s="1199">
        <f t="shared" si="343"/>
        <v>0.62133662708889958</v>
      </c>
      <c r="R99" s="1214">
        <f t="shared" si="343"/>
        <v>1.7093175676040155</v>
      </c>
      <c r="S99" s="3543">
        <f t="shared" si="343"/>
        <v>0</v>
      </c>
      <c r="T99" s="3543">
        <f t="shared" si="343"/>
        <v>0</v>
      </c>
      <c r="U99" s="1199">
        <f t="shared" si="343"/>
        <v>0.49141436924310433</v>
      </c>
      <c r="V99" s="1199">
        <f t="shared" si="343"/>
        <v>1.3583556555552996</v>
      </c>
      <c r="W99" s="3543">
        <f t="shared" si="343"/>
        <v>0</v>
      </c>
      <c r="X99" s="3543">
        <f t="shared" si="343"/>
        <v>0</v>
      </c>
      <c r="Y99" s="1201">
        <f t="shared" si="343"/>
        <v>0</v>
      </c>
      <c r="Z99" s="1212">
        <f t="shared" si="343"/>
        <v>0</v>
      </c>
      <c r="AA99" s="1140">
        <f t="shared" si="343"/>
        <v>0.44058530866753676</v>
      </c>
      <c r="AB99" s="1140">
        <f t="shared" si="343"/>
        <v>1.1311858799443644</v>
      </c>
      <c r="AC99" s="3543">
        <f t="shared" si="343"/>
        <v>0</v>
      </c>
      <c r="AD99" s="3543">
        <f t="shared" si="343"/>
        <v>0</v>
      </c>
      <c r="AE99" s="1199">
        <f t="shared" si="343"/>
        <v>0.36994329466856946</v>
      </c>
      <c r="AF99" s="1199">
        <f t="shared" si="343"/>
        <v>0.99706622604336981</v>
      </c>
      <c r="AG99" s="3517">
        <f t="shared" si="343"/>
        <v>0</v>
      </c>
      <c r="AH99" s="3517">
        <f t="shared" si="343"/>
        <v>0</v>
      </c>
      <c r="AI99" s="1199">
        <f t="shared" si="343"/>
        <v>0.31965139433415218</v>
      </c>
      <c r="AJ99" s="1199">
        <f t="shared" si="343"/>
        <v>0.87153384800243405</v>
      </c>
      <c r="AK99" s="3517">
        <f t="shared" si="343"/>
        <v>0</v>
      </c>
      <c r="AL99" s="3517">
        <f t="shared" si="343"/>
        <v>0</v>
      </c>
      <c r="AM99" s="1212">
        <f t="shared" si="343"/>
        <v>0</v>
      </c>
      <c r="AN99" s="1212">
        <f t="shared" si="343"/>
        <v>0</v>
      </c>
      <c r="AO99" s="1214">
        <f t="shared" si="343"/>
        <v>0.28039958309490931</v>
      </c>
      <c r="AP99" s="1214">
        <f t="shared" si="343"/>
        <v>0.77537684538159857</v>
      </c>
      <c r="AQ99" s="3517">
        <f t="shared" si="343"/>
        <v>0</v>
      </c>
      <c r="AR99" s="3517">
        <f t="shared" si="343"/>
        <v>0</v>
      </c>
      <c r="AS99" s="1199">
        <f t="shared" si="343"/>
        <v>0.24962132035850959</v>
      </c>
      <c r="AT99" s="1199">
        <f t="shared" si="343"/>
        <v>0.69720277296932465</v>
      </c>
      <c r="AU99" s="3517">
        <f t="shared" si="343"/>
        <v>0</v>
      </c>
      <c r="AV99" s="3517">
        <f t="shared" si="343"/>
        <v>0</v>
      </c>
      <c r="AW99" s="1199">
        <f t="shared" si="343"/>
        <v>0.22719232347071813</v>
      </c>
      <c r="AX99" s="1199">
        <f t="shared" si="343"/>
        <v>0.64164154941627072</v>
      </c>
      <c r="AY99" s="3517">
        <f t="shared" si="343"/>
        <v>0</v>
      </c>
      <c r="AZ99" s="3517">
        <f t="shared" si="343"/>
        <v>5.7605021220131221</v>
      </c>
      <c r="BA99" s="1201">
        <f t="shared" si="343"/>
        <v>0</v>
      </c>
      <c r="BB99" s="1212">
        <f t="shared" si="343"/>
        <v>2.0617118993191075</v>
      </c>
      <c r="BC99" s="1215">
        <f t="shared" si="343"/>
        <v>0</v>
      </c>
      <c r="BD99" s="1215">
        <f t="shared" si="343"/>
        <v>1.04707982930876</v>
      </c>
      <c r="BE99" s="1214">
        <f t="shared" si="343"/>
        <v>0.20655668238397015</v>
      </c>
      <c r="BF99" s="1214">
        <f t="shared" si="343"/>
        <v>1.0906029420186245</v>
      </c>
      <c r="BG99" s="25"/>
      <c r="BH99" s="25"/>
      <c r="BI99" s="25"/>
      <c r="BJ99" s="25"/>
      <c r="BK99" s="25"/>
      <c r="BL99" s="25"/>
      <c r="BM99" s="25"/>
      <c r="BN99" s="25"/>
    </row>
    <row r="100" spans="2:66" s="4487" customFormat="1" ht="15" customHeight="1" x14ac:dyDescent="0.25">
      <c r="B100" s="7033" t="s">
        <v>1959</v>
      </c>
      <c r="C100" s="3511" t="s">
        <v>218</v>
      </c>
      <c r="D100" s="2996">
        <f t="shared" ref="D100:E100" si="344">+D36</f>
        <v>0</v>
      </c>
      <c r="E100" s="7585">
        <f t="shared" si="344"/>
        <v>0</v>
      </c>
      <c r="F100" s="7090">
        <f t="shared" ref="F100" si="345">+F36</f>
        <v>0</v>
      </c>
      <c r="G100" s="7082">
        <f t="shared" ref="G100:BF100" si="346">+G36</f>
        <v>170.60964576248358</v>
      </c>
      <c r="H100" s="7082">
        <f t="shared" si="346"/>
        <v>184.72527905523688</v>
      </c>
      <c r="I100" s="7083">
        <f t="shared" si="346"/>
        <v>96.892115672907821</v>
      </c>
      <c r="J100" s="7084">
        <f t="shared" si="346"/>
        <v>92.596929518886483</v>
      </c>
      <c r="K100" s="7082">
        <f t="shared" si="346"/>
        <v>170.3275582653896</v>
      </c>
      <c r="L100" s="7082">
        <f t="shared" si="346"/>
        <v>195.28853973434252</v>
      </c>
      <c r="M100" s="7085">
        <f t="shared" si="346"/>
        <v>122.99121099363194</v>
      </c>
      <c r="N100" s="7086">
        <f t="shared" si="346"/>
        <v>128.20711315579936</v>
      </c>
      <c r="O100" s="7082">
        <f t="shared" si="346"/>
        <v>170.43530503385097</v>
      </c>
      <c r="P100" s="7082">
        <f t="shared" si="346"/>
        <v>199.75123127952557</v>
      </c>
      <c r="Q100" s="7087">
        <f t="shared" si="346"/>
        <v>135.53468592019459</v>
      </c>
      <c r="R100" s="7088">
        <f t="shared" si="346"/>
        <v>147.4052087322865</v>
      </c>
      <c r="S100" s="7082">
        <f t="shared" si="346"/>
        <v>170.43530503385097</v>
      </c>
      <c r="T100" s="7082">
        <f t="shared" si="346"/>
        <v>199.84915666046416</v>
      </c>
      <c r="U100" s="7087">
        <f t="shared" si="346"/>
        <v>142.83244857858941</v>
      </c>
      <c r="V100" s="7087">
        <f t="shared" si="346"/>
        <v>158.17314828260442</v>
      </c>
      <c r="W100" s="7082">
        <f t="shared" si="346"/>
        <v>169.59847764614028</v>
      </c>
      <c r="X100" s="7082">
        <f t="shared" si="346"/>
        <v>200.57953381147541</v>
      </c>
      <c r="Y100" s="7085">
        <f t="shared" si="346"/>
        <v>170.25436824508225</v>
      </c>
      <c r="Z100" s="7086">
        <f t="shared" si="346"/>
        <v>200.05225261544237</v>
      </c>
      <c r="AA100" s="7089">
        <f t="shared" si="346"/>
        <v>145.60097184122301</v>
      </c>
      <c r="AB100" s="7089">
        <f t="shared" si="346"/>
        <v>165.26514149194267</v>
      </c>
      <c r="AC100" s="7082">
        <f t="shared" si="346"/>
        <v>170.60964576248358</v>
      </c>
      <c r="AD100" s="7082">
        <f t="shared" si="346"/>
        <v>202.95374326583689</v>
      </c>
      <c r="AE100" s="7087">
        <f t="shared" si="346"/>
        <v>149.61078119819911</v>
      </c>
      <c r="AF100" s="7087">
        <f t="shared" si="346"/>
        <v>169.73371055344452</v>
      </c>
      <c r="AG100" s="7090">
        <f t="shared" si="346"/>
        <v>168.51648506196378</v>
      </c>
      <c r="AH100" s="7090">
        <f t="shared" si="346"/>
        <v>196.05085662168287</v>
      </c>
      <c r="AI100" s="7087">
        <f t="shared" si="346"/>
        <v>152.18091502187141</v>
      </c>
      <c r="AJ100" s="7087">
        <f t="shared" si="346"/>
        <v>173.04708517481387</v>
      </c>
      <c r="AK100" s="7090">
        <f t="shared" si="346"/>
        <v>168.84793254155306</v>
      </c>
      <c r="AL100" s="7090">
        <f t="shared" si="346"/>
        <v>196.51634401865195</v>
      </c>
      <c r="AM100" s="7086">
        <f t="shared" si="346"/>
        <v>169.32808503640814</v>
      </c>
      <c r="AN100" s="7086">
        <f t="shared" si="346"/>
        <v>198.23759416628499</v>
      </c>
      <c r="AO100" s="7088">
        <f t="shared" si="346"/>
        <v>154.22755281917071</v>
      </c>
      <c r="AP100" s="7088">
        <f t="shared" si="346"/>
        <v>175.63646663065575</v>
      </c>
      <c r="AQ100" s="7090">
        <f t="shared" si="346"/>
        <v>170.74460808184665</v>
      </c>
      <c r="AR100" s="7090">
        <f t="shared" si="346"/>
        <v>208.99667194064051</v>
      </c>
      <c r="AS100" s="7087">
        <f t="shared" si="346"/>
        <v>156.04055931830734</v>
      </c>
      <c r="AT100" s="7087">
        <f t="shared" si="346"/>
        <v>178.99986743521239</v>
      </c>
      <c r="AU100" s="7090">
        <f t="shared" si="346"/>
        <v>169.70928963419979</v>
      </c>
      <c r="AV100" s="7090">
        <f t="shared" si="346"/>
        <v>203.64241565717845</v>
      </c>
      <c r="AW100" s="7087">
        <f t="shared" si="346"/>
        <v>157.26872327992291</v>
      </c>
      <c r="AX100" s="7087">
        <f t="shared" si="346"/>
        <v>180.96367220444242</v>
      </c>
      <c r="AY100" s="7090">
        <f t="shared" si="346"/>
        <v>170.74460808184665</v>
      </c>
      <c r="AZ100" s="7090">
        <f t="shared" si="346"/>
        <v>217.40103415230053</v>
      </c>
      <c r="BA100" s="7085">
        <f t="shared" si="346"/>
        <v>170.42345186098788</v>
      </c>
      <c r="BB100" s="7086">
        <f t="shared" si="346"/>
        <v>210.41616804271175</v>
      </c>
      <c r="BC100" s="7235">
        <f t="shared" si="346"/>
        <v>169.87115026446608</v>
      </c>
      <c r="BD100" s="7235">
        <f t="shared" si="346"/>
        <v>204.42271588962782</v>
      </c>
      <c r="BE100" s="7088">
        <f t="shared" si="346"/>
        <v>158.49272380005797</v>
      </c>
      <c r="BF100" s="7088">
        <f t="shared" si="346"/>
        <v>184.1594945033427</v>
      </c>
      <c r="BG100" s="25"/>
      <c r="BH100" s="25"/>
      <c r="BI100" s="25"/>
      <c r="BJ100" s="25"/>
      <c r="BK100" s="25"/>
      <c r="BL100" s="25"/>
      <c r="BM100" s="25"/>
      <c r="BN100" s="25"/>
    </row>
    <row r="101" spans="2:66" x14ac:dyDescent="0.25">
      <c r="B101" s="3510" t="s">
        <v>2270</v>
      </c>
      <c r="C101" s="3511" t="s">
        <v>218</v>
      </c>
      <c r="D101" s="2996">
        <f t="shared" ref="D101:E101" si="347">+D37</f>
        <v>0</v>
      </c>
      <c r="E101" s="3517">
        <f t="shared" si="347"/>
        <v>0</v>
      </c>
      <c r="F101" s="3517">
        <f t="shared" ref="F101" si="348">+F37</f>
        <v>5.6575805922355364</v>
      </c>
      <c r="G101" s="2996">
        <f t="shared" ref="G101:BF101" si="349">+G37</f>
        <v>2.8447525981502015</v>
      </c>
      <c r="H101" s="3517">
        <f t="shared" si="349"/>
        <v>3.6813338361862731</v>
      </c>
      <c r="I101" s="2994">
        <f t="shared" si="349"/>
        <v>1.6155833192720062</v>
      </c>
      <c r="J101" s="3528">
        <f t="shared" si="349"/>
        <v>4.6669507092128537</v>
      </c>
      <c r="K101" s="2996">
        <f t="shared" si="349"/>
        <v>2.84</v>
      </c>
      <c r="L101" s="3517">
        <f t="shared" si="349"/>
        <v>2.4157927467749567</v>
      </c>
      <c r="M101" s="1201">
        <f t="shared" si="349"/>
        <v>2.0507433255913003</v>
      </c>
      <c r="N101" s="1201">
        <f t="shared" si="349"/>
        <v>3.8863207408062759</v>
      </c>
      <c r="O101" s="2996">
        <f t="shared" si="349"/>
        <v>2.8418153129711574</v>
      </c>
      <c r="P101" s="3517">
        <f t="shared" si="349"/>
        <v>2.2012262538948635</v>
      </c>
      <c r="Q101" s="1199">
        <f t="shared" si="349"/>
        <v>2.2598903614772343</v>
      </c>
      <c r="R101" s="1214">
        <f t="shared" si="349"/>
        <v>3.4341437364131169</v>
      </c>
      <c r="S101" s="2996">
        <f t="shared" si="349"/>
        <v>2.8418153129711574</v>
      </c>
      <c r="T101" s="3517">
        <f t="shared" si="349"/>
        <v>2.4348933527150494</v>
      </c>
      <c r="U101" s="1199">
        <f t="shared" si="349"/>
        <v>2.3815715891703797</v>
      </c>
      <c r="V101" s="1214">
        <f t="shared" si="349"/>
        <v>3.2289748246060097</v>
      </c>
      <c r="W101" s="2996">
        <f t="shared" si="349"/>
        <v>2.8277164807440918</v>
      </c>
      <c r="X101" s="3517">
        <f t="shared" si="349"/>
        <v>2.0998761953551912</v>
      </c>
      <c r="Y101" s="1201">
        <f t="shared" si="349"/>
        <v>2.8387668976515616</v>
      </c>
      <c r="Z101" s="1212">
        <f t="shared" si="349"/>
        <v>2.2458243325896277</v>
      </c>
      <c r="AA101" s="1140">
        <f t="shared" si="349"/>
        <v>2.4277182367627335</v>
      </c>
      <c r="AB101" s="1215">
        <f t="shared" si="349"/>
        <v>3.0401457199451496</v>
      </c>
      <c r="AC101" s="2996">
        <f t="shared" si="349"/>
        <v>2.8447525981502015</v>
      </c>
      <c r="AD101" s="3517">
        <f t="shared" si="349"/>
        <v>3.1215997452296915</v>
      </c>
      <c r="AE101" s="1214">
        <f t="shared" si="349"/>
        <v>2.4945841685485211</v>
      </c>
      <c r="AF101" s="1214">
        <f t="shared" si="349"/>
        <v>3.049803359660864</v>
      </c>
      <c r="AG101" s="2996">
        <f t="shared" si="349"/>
        <v>2.8094871157169981</v>
      </c>
      <c r="AH101" s="3517">
        <f t="shared" si="349"/>
        <v>2.9955817217631608</v>
      </c>
      <c r="AI101" s="1214">
        <f t="shared" si="349"/>
        <v>2.5373936149211054</v>
      </c>
      <c r="AJ101" s="1214">
        <f t="shared" si="349"/>
        <v>3.0429767608163885</v>
      </c>
      <c r="AK101" s="2996">
        <f t="shared" si="349"/>
        <v>2.8150713287523628</v>
      </c>
      <c r="AL101" s="3517">
        <f t="shared" si="349"/>
        <v>3.515260054392273</v>
      </c>
      <c r="AM101" s="1201">
        <f t="shared" si="349"/>
        <v>2.8231609175586043</v>
      </c>
      <c r="AN101" s="1212">
        <f t="shared" si="349"/>
        <v>3.2148056092815112</v>
      </c>
      <c r="AO101" s="1214">
        <f t="shared" si="349"/>
        <v>2.5714912394015266</v>
      </c>
      <c r="AP101" s="1214">
        <f t="shared" si="349"/>
        <v>3.0950841413871388</v>
      </c>
      <c r="AQ101" s="2996">
        <f t="shared" si="349"/>
        <v>2.8470264375651158</v>
      </c>
      <c r="AR101" s="3517">
        <f t="shared" si="349"/>
        <v>2.7060941677123682</v>
      </c>
      <c r="AS101" s="1214">
        <f t="shared" si="349"/>
        <v>2.6017355594129961</v>
      </c>
      <c r="AT101" s="1214">
        <f t="shared" si="349"/>
        <v>3.0558658818391193</v>
      </c>
      <c r="AU101" s="2996">
        <f t="shared" si="349"/>
        <v>2.8295834364046129</v>
      </c>
      <c r="AV101" s="3517">
        <f t="shared" si="349"/>
        <v>2.0390921275798326</v>
      </c>
      <c r="AW101" s="1214">
        <f t="shared" si="349"/>
        <v>2.6222081669474613</v>
      </c>
      <c r="AX101" s="1214">
        <f t="shared" si="349"/>
        <v>2.9748375267413922</v>
      </c>
      <c r="AY101" s="2996">
        <f t="shared" si="349"/>
        <v>2.8470264375651158</v>
      </c>
      <c r="AZ101" s="3517">
        <f t="shared" si="349"/>
        <v>2.4669060732752723</v>
      </c>
      <c r="BA101" s="1201">
        <f t="shared" si="349"/>
        <v>2.8416156112190056</v>
      </c>
      <c r="BB101" s="1212">
        <f t="shared" si="349"/>
        <v>2.4226057098489147</v>
      </c>
      <c r="BC101" s="1215">
        <f t="shared" si="349"/>
        <v>2.832310457417337</v>
      </c>
      <c r="BD101" s="1215">
        <f t="shared" si="349"/>
        <v>2.8124717353051101</v>
      </c>
      <c r="BE101" s="1214">
        <f t="shared" si="349"/>
        <v>2.6426281752969389</v>
      </c>
      <c r="BF101" s="1214">
        <f t="shared" si="349"/>
        <v>2.9302882350659214</v>
      </c>
      <c r="BG101" s="25"/>
      <c r="BH101" s="25"/>
      <c r="BI101" s="25"/>
      <c r="BJ101" s="25"/>
      <c r="BK101" s="25"/>
      <c r="BL101" s="25"/>
      <c r="BM101" s="25"/>
      <c r="BN101" s="25"/>
    </row>
    <row r="102" spans="2:66" s="4233" customFormat="1" x14ac:dyDescent="0.25">
      <c r="B102" s="2992" t="s">
        <v>44</v>
      </c>
      <c r="C102" s="3511" t="s">
        <v>218</v>
      </c>
      <c r="D102" s="2996">
        <f>+D56</f>
        <v>22.433700224115288</v>
      </c>
      <c r="E102" s="2996">
        <f>+E56</f>
        <v>22.433700224115292</v>
      </c>
      <c r="F102" s="3517">
        <f>+F56</f>
        <v>19.612003122984486</v>
      </c>
      <c r="G102" s="2996">
        <f t="shared" ref="G102:BF102" si="350">+G56</f>
        <v>22.458680486105333</v>
      </c>
      <c r="H102" s="2996">
        <f t="shared" si="350"/>
        <v>20.827118033469741</v>
      </c>
      <c r="I102" s="2994">
        <f t="shared" si="350"/>
        <v>22.44788693919498</v>
      </c>
      <c r="J102" s="2994">
        <f t="shared" si="350"/>
        <v>20.221101727674679</v>
      </c>
      <c r="K102" s="2996">
        <f t="shared" si="350"/>
        <v>22.45868048610533</v>
      </c>
      <c r="L102" s="2996">
        <f t="shared" si="350"/>
        <v>21.997267948356782</v>
      </c>
      <c r="M102" s="2995">
        <f t="shared" si="350"/>
        <v>22.451722986200579</v>
      </c>
      <c r="N102" s="2995">
        <f t="shared" si="350"/>
        <v>20.837019670294023</v>
      </c>
      <c r="O102" s="2996">
        <f t="shared" si="350"/>
        <v>22.458680486105333</v>
      </c>
      <c r="P102" s="2996">
        <f t="shared" si="350"/>
        <v>20.06231782088652</v>
      </c>
      <c r="Q102" s="2994">
        <f t="shared" si="350"/>
        <v>22.453562440138359</v>
      </c>
      <c r="R102" s="3513">
        <f t="shared" si="350"/>
        <v>20.629136750799702</v>
      </c>
      <c r="S102" s="2996">
        <f t="shared" si="350"/>
        <v>22.458680486105333</v>
      </c>
      <c r="T102" s="2996">
        <f t="shared" si="350"/>
        <v>19.147709034158968</v>
      </c>
      <c r="U102" s="2994">
        <f t="shared" si="350"/>
        <v>22.454632629885428</v>
      </c>
      <c r="V102" s="2994">
        <f t="shared" si="350"/>
        <v>20.324965826772413</v>
      </c>
      <c r="W102" s="2996">
        <f t="shared" si="350"/>
        <v>22.45868048610533</v>
      </c>
      <c r="X102" s="2996">
        <f t="shared" si="350"/>
        <v>18.909558572404372</v>
      </c>
      <c r="Y102" s="2995">
        <f t="shared" si="350"/>
        <v>22.458680486105333</v>
      </c>
      <c r="Z102" s="1212">
        <f t="shared" si="350"/>
        <v>19.385374285311393</v>
      </c>
      <c r="AA102" s="1140">
        <f t="shared" si="350"/>
        <v>22.455051316724639</v>
      </c>
      <c r="AB102" s="1215">
        <f t="shared" si="350"/>
        <v>20.08825480999424</v>
      </c>
      <c r="AC102" s="2996">
        <f t="shared" si="350"/>
        <v>22.458680486105333</v>
      </c>
      <c r="AD102" s="2996">
        <f t="shared" si="350"/>
        <v>16.002760011676973</v>
      </c>
      <c r="AE102" s="3513">
        <f t="shared" si="350"/>
        <v>22.455633205927821</v>
      </c>
      <c r="AF102" s="3513">
        <f t="shared" si="350"/>
        <v>19.603855952052719</v>
      </c>
      <c r="AG102" s="2996">
        <f t="shared" si="350"/>
        <v>22.458680486105333</v>
      </c>
      <c r="AH102" s="2996">
        <f t="shared" si="350"/>
        <v>19.270574485398928</v>
      </c>
      <c r="AI102" s="3513">
        <f t="shared" si="350"/>
        <v>22.456047468094994</v>
      </c>
      <c r="AJ102" s="3513">
        <f t="shared" si="350"/>
        <v>19.561895233724062</v>
      </c>
      <c r="AK102" s="2996">
        <f t="shared" si="350"/>
        <v>22.458680486105333</v>
      </c>
      <c r="AL102" s="2996">
        <f t="shared" si="350"/>
        <v>20.725618427946873</v>
      </c>
      <c r="AM102" s="2995">
        <f t="shared" si="350"/>
        <v>22.458680486105333</v>
      </c>
      <c r="AN102" s="2995">
        <f t="shared" si="350"/>
        <v>18.823046636074473</v>
      </c>
      <c r="AO102" s="3513">
        <f t="shared" si="350"/>
        <v>22.456370791339513</v>
      </c>
      <c r="AP102" s="3513">
        <f t="shared" si="350"/>
        <v>19.690289712599768</v>
      </c>
      <c r="AQ102" s="2996">
        <f t="shared" si="350"/>
        <v>22.45868048610533</v>
      </c>
      <c r="AR102" s="2996">
        <f t="shared" si="350"/>
        <v>20.399367123138195</v>
      </c>
      <c r="AS102" s="3513">
        <f t="shared" si="350"/>
        <v>22.456624316653489</v>
      </c>
      <c r="AT102" s="3513">
        <f t="shared" si="350"/>
        <v>19.761779426495028</v>
      </c>
      <c r="AU102" s="2996">
        <f t="shared" si="350"/>
        <v>22.458680486105333</v>
      </c>
      <c r="AV102" s="3517">
        <f t="shared" si="350"/>
        <v>19.082345019469837</v>
      </c>
      <c r="AW102" s="3513">
        <f t="shared" si="350"/>
        <v>22.456809067772383</v>
      </c>
      <c r="AX102" s="3513">
        <f t="shared" si="350"/>
        <v>19.707634192938954</v>
      </c>
      <c r="AY102" s="2996">
        <f t="shared" si="350"/>
        <v>22.45868048610533</v>
      </c>
      <c r="AZ102" s="3517">
        <f t="shared" si="350"/>
        <v>17.594806070115951</v>
      </c>
      <c r="BA102" s="1201">
        <f t="shared" si="350"/>
        <v>22.45868048610533</v>
      </c>
      <c r="BB102" s="1212">
        <f t="shared" si="350"/>
        <v>19.004875364427367</v>
      </c>
      <c r="BC102" s="1215">
        <f t="shared" si="350"/>
        <v>22.45868048610533</v>
      </c>
      <c r="BD102" s="1215">
        <f t="shared" si="350"/>
        <v>18.915391834212997</v>
      </c>
      <c r="BE102" s="1214">
        <f t="shared" si="350"/>
        <v>22.456979046741967</v>
      </c>
      <c r="BF102" s="1214">
        <f t="shared" si="350"/>
        <v>19.522323762443911</v>
      </c>
      <c r="BG102" s="25"/>
      <c r="BH102" s="25"/>
      <c r="BI102" s="25"/>
      <c r="BJ102" s="25"/>
      <c r="BK102" s="502"/>
      <c r="BL102" s="25"/>
      <c r="BM102" s="25"/>
      <c r="BN102" s="25"/>
    </row>
    <row r="103" spans="2:66" x14ac:dyDescent="0.25">
      <c r="B103" s="3510" t="s">
        <v>1783</v>
      </c>
      <c r="C103" s="3511" t="s">
        <v>218</v>
      </c>
      <c r="D103" s="2996">
        <f>+D61</f>
        <v>6</v>
      </c>
      <c r="E103" s="2996">
        <f>+E61</f>
        <v>6</v>
      </c>
      <c r="F103" s="3517">
        <f>+F61</f>
        <v>1.4709709539812394</v>
      </c>
      <c r="G103" s="3543">
        <f t="shared" ref="G103:BF103" si="351">+G61</f>
        <v>6</v>
      </c>
      <c r="H103" s="3543">
        <f t="shared" si="351"/>
        <v>1.958874885310127</v>
      </c>
      <c r="I103" s="5724">
        <f t="shared" si="351"/>
        <v>6</v>
      </c>
      <c r="J103" s="3515">
        <f t="shared" si="351"/>
        <v>1.7155417359137939</v>
      </c>
      <c r="K103" s="3543">
        <f t="shared" si="351"/>
        <v>6</v>
      </c>
      <c r="L103" s="3543">
        <f t="shared" si="351"/>
        <v>1.8257971584536801</v>
      </c>
      <c r="M103" s="1218">
        <f t="shared" si="351"/>
        <v>6</v>
      </c>
      <c r="N103" s="1218">
        <f t="shared" si="351"/>
        <v>1.7537748090477454</v>
      </c>
      <c r="O103" s="3543">
        <f t="shared" si="351"/>
        <v>5.9999999999999991</v>
      </c>
      <c r="P103" s="3543">
        <f t="shared" si="351"/>
        <v>0.85687003718966726</v>
      </c>
      <c r="Q103" s="1214">
        <f t="shared" si="351"/>
        <v>5.9999999999999991</v>
      </c>
      <c r="R103" s="1214">
        <f t="shared" si="351"/>
        <v>1.5131000480092351</v>
      </c>
      <c r="S103" s="3543">
        <f t="shared" si="351"/>
        <v>5.9999999999999991</v>
      </c>
      <c r="T103" s="3543">
        <f t="shared" si="351"/>
        <v>1.999065710803567</v>
      </c>
      <c r="U103" s="1214">
        <f t="shared" si="351"/>
        <v>5.9999999999999991</v>
      </c>
      <c r="V103" s="1199">
        <f t="shared" si="351"/>
        <v>1.6128798908171407</v>
      </c>
      <c r="W103" s="3543">
        <f t="shared" si="351"/>
        <v>5.9999999999999991</v>
      </c>
      <c r="X103" s="3543">
        <f t="shared" si="351"/>
        <v>1.1286501024590165</v>
      </c>
      <c r="Y103" s="1201">
        <f t="shared" si="351"/>
        <v>5.9999999999999991</v>
      </c>
      <c r="Z103" s="1212">
        <f t="shared" si="351"/>
        <v>1.3236175766032858</v>
      </c>
      <c r="AA103" s="1215">
        <f t="shared" si="351"/>
        <v>5.9999999999999991</v>
      </c>
      <c r="AB103" s="1140">
        <f t="shared" si="351"/>
        <v>1.5318978800193306</v>
      </c>
      <c r="AC103" s="3543">
        <f t="shared" si="351"/>
        <v>6</v>
      </c>
      <c r="AD103" s="3543">
        <f t="shared" si="351"/>
        <v>1.5392372813884982</v>
      </c>
      <c r="AE103" s="1214">
        <f t="shared" si="351"/>
        <v>5.9999999999999991</v>
      </c>
      <c r="AF103" s="1214">
        <f t="shared" si="351"/>
        <v>1.5327680800359023</v>
      </c>
      <c r="AG103" s="3543">
        <f t="shared" si="351"/>
        <v>6</v>
      </c>
      <c r="AH103" s="3543">
        <f t="shared" si="351"/>
        <v>0.83286456256860886</v>
      </c>
      <c r="AI103" s="1214">
        <f t="shared" si="351"/>
        <v>5.9999999999999991</v>
      </c>
      <c r="AJ103" s="1214">
        <f t="shared" si="351"/>
        <v>1.4446490056434826</v>
      </c>
      <c r="AK103" s="3543">
        <f t="shared" si="351"/>
        <v>6</v>
      </c>
      <c r="AL103" s="3543">
        <f t="shared" si="351"/>
        <v>2.1374333611486138</v>
      </c>
      <c r="AM103" s="1201">
        <f t="shared" si="351"/>
        <v>6</v>
      </c>
      <c r="AN103" s="1201">
        <f t="shared" si="351"/>
        <v>1.4975198542932631</v>
      </c>
      <c r="AO103" s="1214">
        <f t="shared" si="351"/>
        <v>5.9999999999999991</v>
      </c>
      <c r="AP103" s="1214">
        <f t="shared" si="351"/>
        <v>1.5210844386913964</v>
      </c>
      <c r="AQ103" s="3543">
        <f t="shared" si="351"/>
        <v>6</v>
      </c>
      <c r="AR103" s="3543">
        <f t="shared" si="351"/>
        <v>3.9936712313819629</v>
      </c>
      <c r="AS103" s="1214">
        <f t="shared" si="351"/>
        <v>5.9999999999999991</v>
      </c>
      <c r="AT103" s="1214">
        <f t="shared" si="351"/>
        <v>1.7703724850507074</v>
      </c>
      <c r="AU103" s="3517">
        <f t="shared" si="351"/>
        <v>5.9999999999999991</v>
      </c>
      <c r="AV103" s="3517">
        <f t="shared" si="351"/>
        <v>3.1412182463807703</v>
      </c>
      <c r="AW103" s="1214">
        <f t="shared" si="351"/>
        <v>5.9999999999999991</v>
      </c>
      <c r="AX103" s="1214">
        <f t="shared" si="351"/>
        <v>1.8796174145819433</v>
      </c>
      <c r="AY103" s="3517">
        <f t="shared" si="351"/>
        <v>6</v>
      </c>
      <c r="AZ103" s="3517">
        <f t="shared" si="351"/>
        <v>2.2115273228935202</v>
      </c>
      <c r="BA103" s="1201">
        <f t="shared" si="351"/>
        <v>6.0000000000000009</v>
      </c>
      <c r="BB103" s="1201">
        <f t="shared" si="351"/>
        <v>3.1029329453646346</v>
      </c>
      <c r="BC103" s="1215">
        <f t="shared" si="351"/>
        <v>6</v>
      </c>
      <c r="BD103" s="1215">
        <f t="shared" si="351"/>
        <v>2.3128596046842942</v>
      </c>
      <c r="BE103" s="1214">
        <f t="shared" si="351"/>
        <v>5.9999999999999991</v>
      </c>
      <c r="BF103" s="1214">
        <f t="shared" si="351"/>
        <v>1.9087283334164622</v>
      </c>
      <c r="BG103" s="25"/>
      <c r="BH103" s="25"/>
      <c r="BI103" s="25"/>
      <c r="BJ103" s="25"/>
      <c r="BK103" s="25"/>
      <c r="BL103" s="25"/>
      <c r="BM103" s="25"/>
      <c r="BN103" s="25"/>
    </row>
    <row r="104" spans="2:66" ht="16.5" thickBot="1" x14ac:dyDescent="0.3">
      <c r="B104" s="3535" t="s">
        <v>21</v>
      </c>
      <c r="C104" s="3536" t="s">
        <v>218</v>
      </c>
      <c r="D104" s="2286">
        <f t="shared" ref="D104:AI104" si="352">SUM(D87:D103)</f>
        <v>1258.9756412087777</v>
      </c>
      <c r="E104" s="2286">
        <f t="shared" si="352"/>
        <v>1258.9756412087779</v>
      </c>
      <c r="F104" s="2286">
        <f t="shared" si="352"/>
        <v>1288.765742217998</v>
      </c>
      <c r="G104" s="2286">
        <f t="shared" si="352"/>
        <v>1250.1954840135081</v>
      </c>
      <c r="H104" s="2286">
        <f t="shared" si="352"/>
        <v>1271.0790135826578</v>
      </c>
      <c r="I104" s="350">
        <f t="shared" si="352"/>
        <v>1253.9892408045785</v>
      </c>
      <c r="J104" s="3480">
        <f t="shared" si="352"/>
        <v>1279.0069044911643</v>
      </c>
      <c r="K104" s="2286">
        <f t="shared" si="352"/>
        <v>1249.9086439182636</v>
      </c>
      <c r="L104" s="2286">
        <f t="shared" si="352"/>
        <v>1243.6602050633317</v>
      </c>
      <c r="M104" s="1411">
        <f t="shared" si="352"/>
        <v>1252.5389889460532</v>
      </c>
      <c r="N104" s="1411">
        <f t="shared" si="352"/>
        <v>1266.7497935651302</v>
      </c>
      <c r="O104" s="2286">
        <f t="shared" si="352"/>
        <v>1250.0182059996962</v>
      </c>
      <c r="P104" s="2286">
        <f t="shared" si="352"/>
        <v>1270.4266760478447</v>
      </c>
      <c r="Q104" s="189">
        <f t="shared" si="352"/>
        <v>1251.8725334404185</v>
      </c>
      <c r="R104" s="189">
        <f t="shared" si="352"/>
        <v>1267.7364454825467</v>
      </c>
      <c r="S104" s="2286">
        <f t="shared" si="352"/>
        <v>1250.0182059996962</v>
      </c>
      <c r="T104" s="2286">
        <f t="shared" si="352"/>
        <v>1272.8750792710457</v>
      </c>
      <c r="U104" s="189">
        <f t="shared" si="352"/>
        <v>1251.4847912771845</v>
      </c>
      <c r="V104" s="189">
        <f t="shared" si="352"/>
        <v>1268.7915242893816</v>
      </c>
      <c r="W104" s="2286">
        <f t="shared" si="352"/>
        <v>1249.1672797797585</v>
      </c>
      <c r="X104" s="2286">
        <f t="shared" si="352"/>
        <v>1263.855981045082</v>
      </c>
      <c r="Y104" s="189">
        <f t="shared" si="352"/>
        <v>1249.834220795608</v>
      </c>
      <c r="Z104" s="189">
        <f t="shared" si="352"/>
        <v>1269.1078904044643</v>
      </c>
      <c r="AA104" s="189">
        <f t="shared" si="352"/>
        <v>1251.2450812897278</v>
      </c>
      <c r="AB104" s="189">
        <f t="shared" si="352"/>
        <v>1267.9661099387733</v>
      </c>
      <c r="AC104" s="2286">
        <f t="shared" si="352"/>
        <v>1250.1954840135081</v>
      </c>
      <c r="AD104" s="2286">
        <f t="shared" si="352"/>
        <v>1310.2558318515967</v>
      </c>
      <c r="AE104" s="235">
        <f t="shared" si="352"/>
        <v>1251.0767922795826</v>
      </c>
      <c r="AF104" s="235">
        <f t="shared" si="352"/>
        <v>1272.9802132502432</v>
      </c>
      <c r="AG104" s="2286">
        <f t="shared" si="352"/>
        <v>1248.0670578305549</v>
      </c>
      <c r="AH104" s="2286">
        <f t="shared" si="352"/>
        <v>1283.9549324697032</v>
      </c>
      <c r="AI104" s="235">
        <f t="shared" si="352"/>
        <v>1250.6676342623271</v>
      </c>
      <c r="AJ104" s="235">
        <f t="shared" ref="AJ104:BF104" si="353">SUM(AJ87:AJ103)</f>
        <v>1274.361949554177</v>
      </c>
      <c r="AK104" s="2286">
        <f t="shared" si="353"/>
        <v>1248.4040895231794</v>
      </c>
      <c r="AL104" s="2286">
        <f t="shared" si="353"/>
        <v>1293.1333220593656</v>
      </c>
      <c r="AM104" s="2253">
        <f t="shared" si="353"/>
        <v>1248.8923316068408</v>
      </c>
      <c r="AN104" s="2253">
        <f t="shared" si="353"/>
        <v>1294.8840248666088</v>
      </c>
      <c r="AO104" s="235">
        <f t="shared" si="353"/>
        <v>1250.3896807404365</v>
      </c>
      <c r="AP104" s="235">
        <f t="shared" si="353"/>
        <v>1276.433009581639</v>
      </c>
      <c r="AQ104" s="2286">
        <f t="shared" si="353"/>
        <v>1250.3327201722857</v>
      </c>
      <c r="AR104" s="2286">
        <f t="shared" si="353"/>
        <v>1299.8581482895954</v>
      </c>
      <c r="AS104" s="235">
        <f t="shared" si="353"/>
        <v>1250.3834284225379</v>
      </c>
      <c r="AT104" s="235">
        <f t="shared" si="353"/>
        <v>1278.7947495543128</v>
      </c>
      <c r="AU104" s="2286">
        <f t="shared" si="353"/>
        <v>1249.2799587234786</v>
      </c>
      <c r="AV104" s="2286">
        <f t="shared" si="353"/>
        <v>1289.1346245466036</v>
      </c>
      <c r="AW104" s="235">
        <f t="shared" si="353"/>
        <v>1250.2842793658367</v>
      </c>
      <c r="AX104" s="235">
        <f t="shared" si="353"/>
        <v>1279.6187510187799</v>
      </c>
      <c r="AY104" s="2286">
        <f t="shared" si="353"/>
        <v>1250.3327201722857</v>
      </c>
      <c r="AZ104" s="2286">
        <f t="shared" si="353"/>
        <v>1300.3043482839603</v>
      </c>
      <c r="BA104" s="1411">
        <f t="shared" si="353"/>
        <v>1250.0061531250808</v>
      </c>
      <c r="BB104" s="1411">
        <f t="shared" si="353"/>
        <v>1296.8364595092219</v>
      </c>
      <c r="BC104" s="7236">
        <f t="shared" si="353"/>
        <v>1249.4445463747575</v>
      </c>
      <c r="BD104" s="7236">
        <f t="shared" si="353"/>
        <v>1295.8756061505892</v>
      </c>
      <c r="BE104" s="763">
        <f t="shared" si="353"/>
        <v>1250.2886791936151</v>
      </c>
      <c r="BF104" s="763">
        <f t="shared" si="353"/>
        <v>1281.4330287126686</v>
      </c>
      <c r="BG104" s="25"/>
      <c r="BH104" s="25"/>
      <c r="BI104" s="25"/>
      <c r="BJ104" s="25"/>
      <c r="BK104" s="25"/>
      <c r="BL104" s="25"/>
      <c r="BM104" s="25"/>
      <c r="BN104" s="25"/>
    </row>
    <row r="105" spans="2:66" ht="18.75" x14ac:dyDescent="0.25">
      <c r="B105" s="3506" t="s">
        <v>416</v>
      </c>
      <c r="C105" s="3507"/>
      <c r="D105" s="2630"/>
      <c r="E105" s="3508"/>
      <c r="F105" s="3508"/>
      <c r="G105" s="3508"/>
      <c r="H105" s="3508"/>
      <c r="I105" s="3508"/>
      <c r="J105" s="3509"/>
      <c r="K105" s="3508"/>
      <c r="L105" s="3508"/>
      <c r="M105" s="1216"/>
      <c r="N105" s="1196"/>
      <c r="O105" s="3508"/>
      <c r="P105" s="3508"/>
      <c r="Q105" s="1216"/>
      <c r="R105" s="1196"/>
      <c r="S105" s="3508"/>
      <c r="T105" s="3508"/>
      <c r="U105" s="1216"/>
      <c r="V105" s="1196"/>
      <c r="W105" s="3508"/>
      <c r="X105" s="3508"/>
      <c r="Y105" s="1216"/>
      <c r="Z105" s="1196"/>
      <c r="AA105" s="1196"/>
      <c r="AB105" s="1196"/>
      <c r="AC105" s="3508"/>
      <c r="AD105" s="3508"/>
      <c r="AE105" s="1216"/>
      <c r="AF105" s="1196"/>
      <c r="AG105" s="3508"/>
      <c r="AH105" s="3508"/>
      <c r="AI105" s="1216"/>
      <c r="AJ105" s="1196"/>
      <c r="AK105" s="3508"/>
      <c r="AL105" s="3508"/>
      <c r="AM105" s="1216"/>
      <c r="AN105" s="1196"/>
      <c r="AO105" s="1216"/>
      <c r="AP105" s="1196"/>
      <c r="AQ105" s="3508"/>
      <c r="AR105" s="3508"/>
      <c r="AS105" s="1216"/>
      <c r="AT105" s="1196"/>
      <c r="AU105" s="3508"/>
      <c r="AV105" s="3508"/>
      <c r="AW105" s="1216"/>
      <c r="AX105" s="1196"/>
      <c r="AY105" s="3508"/>
      <c r="AZ105" s="3508"/>
      <c r="BA105" s="1216"/>
      <c r="BB105" s="1196"/>
      <c r="BC105" s="1196"/>
      <c r="BD105" s="1196"/>
      <c r="BE105" s="1216"/>
      <c r="BF105" s="1196"/>
      <c r="BG105" s="25"/>
      <c r="BH105" s="25"/>
      <c r="BI105" s="25"/>
      <c r="BJ105" s="25"/>
      <c r="BK105" s="25"/>
      <c r="BL105" s="25"/>
      <c r="BM105" s="25"/>
      <c r="BN105" s="25"/>
    </row>
    <row r="106" spans="2:66" x14ac:dyDescent="0.25">
      <c r="B106" s="3542" t="s">
        <v>409</v>
      </c>
      <c r="C106" s="3511" t="s">
        <v>49</v>
      </c>
      <c r="D106" s="3171">
        <v>55.153754642683637</v>
      </c>
      <c r="E106" s="3517">
        <f>+$D$106</f>
        <v>55.153754642683637</v>
      </c>
      <c r="F106" s="3517">
        <v>56.6</v>
      </c>
      <c r="G106" s="3517">
        <f>+$D$106</f>
        <v>55.153754642683637</v>
      </c>
      <c r="H106" s="3543">
        <v>56.88</v>
      </c>
      <c r="I106" s="3513">
        <f>+$D$106</f>
        <v>55.153754642683637</v>
      </c>
      <c r="J106" s="3514">
        <f>+((F106*F$67)+(H106*H$67))/J$67</f>
        <v>56.74035512842579</v>
      </c>
      <c r="K106" s="3517">
        <f>+$D$106</f>
        <v>55.153754642683637</v>
      </c>
      <c r="L106" s="3543">
        <v>56.59</v>
      </c>
      <c r="M106" s="1212">
        <f>+$D$106</f>
        <v>55.153754642683637</v>
      </c>
      <c r="N106" s="1218">
        <f>+((F106*F$67)+(H106*H$67)+(L106*L$67))/N$67</f>
        <v>56.688216752926948</v>
      </c>
      <c r="O106" s="3517">
        <f>+$D$106</f>
        <v>55.153754642683637</v>
      </c>
      <c r="P106" s="3543">
        <v>55.77</v>
      </c>
      <c r="Q106" s="1214">
        <f>+$D$106</f>
        <v>55.153754642683637</v>
      </c>
      <c r="R106" s="1210">
        <f>+((N106*N$67)+(P106*P$67))/R$67</f>
        <v>56.441823150700451</v>
      </c>
      <c r="S106" s="3517">
        <f>+$D$106</f>
        <v>55.153754642683637</v>
      </c>
      <c r="T106" s="3543">
        <v>56.09</v>
      </c>
      <c r="U106" s="1214">
        <f>+$D$106</f>
        <v>55.153754642683637</v>
      </c>
      <c r="V106" s="1214">
        <f>+((R106*R$67)+(T106*T$67))/V$67</f>
        <v>56.369585827447573</v>
      </c>
      <c r="W106" s="3517">
        <f>+$D$106</f>
        <v>55.153754642683637</v>
      </c>
      <c r="X106" s="3543">
        <v>55.81</v>
      </c>
      <c r="Y106" s="1212">
        <f>+$D$106</f>
        <v>55.153754642683637</v>
      </c>
      <c r="Z106" s="1218">
        <f t="shared" ref="Z106:Z113" si="354">+((P106*P$67)+(T106*T$67)+(X106*X$67))/Z$67</f>
        <v>55.889046545487894</v>
      </c>
      <c r="AA106" s="1215">
        <f>+$D$106</f>
        <v>55.153754642683637</v>
      </c>
      <c r="AB106" s="1215">
        <f t="shared" ref="AB106:AB113" si="355">+((N106*N$67)+(Z106*Z$67))/AB$67</f>
        <v>56.276001362777784</v>
      </c>
      <c r="AC106" s="3517">
        <f>+$D$106</f>
        <v>55.153754642683637</v>
      </c>
      <c r="AD106" s="3543">
        <v>55.81</v>
      </c>
      <c r="AE106" s="1214">
        <f>+$D$106</f>
        <v>55.153754642683637</v>
      </c>
      <c r="AF106" s="1210">
        <f>+((AB106*AB$67)+(AD106*AD$67))/AF$67</f>
        <v>56.220749664006384</v>
      </c>
      <c r="AG106" s="3517">
        <f>+$D$106</f>
        <v>55.153754642683637</v>
      </c>
      <c r="AH106" s="3543">
        <v>55.81</v>
      </c>
      <c r="AI106" s="1214">
        <f>+$D$106</f>
        <v>55.153754642683637</v>
      </c>
      <c r="AJ106" s="1210">
        <f>+((AF106*AF$67)+(AH106*AH$67))/AJ$67</f>
        <v>56.169035564425599</v>
      </c>
      <c r="AK106" s="3517">
        <f>+$D$106</f>
        <v>55.153754642683637</v>
      </c>
      <c r="AL106" s="3543">
        <v>53.71</v>
      </c>
      <c r="AM106" s="1212">
        <f>+$D$106</f>
        <v>55.153754642683637</v>
      </c>
      <c r="AN106" s="1218">
        <f t="shared" ref="AN106:AN108" si="356">+((AD106*AD$67)+(AH106*AH$67)+(AL106*AL$67))/AN$67</f>
        <v>55.073397891997701</v>
      </c>
      <c r="AO106" s="1214">
        <f>+$D$106</f>
        <v>55.153754642683637</v>
      </c>
      <c r="AP106" s="1210">
        <f t="shared" ref="AP106:AP113" si="357">+((AL106*AL$67)+(AJ106*AJ$67))/AP$67</f>
        <v>55.897728271249143</v>
      </c>
      <c r="AQ106" s="3517">
        <f>+$D$106</f>
        <v>55.153754642683637</v>
      </c>
      <c r="AR106" s="3543">
        <v>54.17</v>
      </c>
      <c r="AS106" s="1214">
        <f>+$D$106</f>
        <v>55.153754642683637</v>
      </c>
      <c r="AT106" s="1214">
        <f>+((AP106*AP$67)+(AR106*AR$67))/AT$67</f>
        <v>55.723537417098868</v>
      </c>
      <c r="AU106" s="3517">
        <f>+$D$106</f>
        <v>55.153754642683637</v>
      </c>
      <c r="AV106" s="3517">
        <v>55.25</v>
      </c>
      <c r="AW106" s="1214">
        <f>+$D$106</f>
        <v>55.153754642683637</v>
      </c>
      <c r="AX106" s="1214">
        <f>+((AT106*AT$67)+(AV106*AV$67))/AX$67</f>
        <v>55.685800449731239</v>
      </c>
      <c r="AY106" s="3517">
        <f>+$D$106</f>
        <v>55.153754642683637</v>
      </c>
      <c r="AZ106" s="3517">
        <v>55.76</v>
      </c>
      <c r="BA106" s="1212">
        <f>+$D$106</f>
        <v>55.153754642683637</v>
      </c>
      <c r="BB106" s="1212">
        <f t="shared" ref="BB106:BB108" si="358">+((AR106*AR$67)+(AV106*AV$67)+(AZ106*AZ$67))/BB$67</f>
        <v>55.059476223411167</v>
      </c>
      <c r="BC106" s="1215">
        <f>+$D$106</f>
        <v>55.153754642683637</v>
      </c>
      <c r="BD106" s="1215">
        <f t="shared" ref="BD106:BD113" si="359">+((AN106*AN$67)+(BB106*BB$67))/BD$67</f>
        <v>55.066327506279841</v>
      </c>
      <c r="BE106" s="1214">
        <f>+$D$106</f>
        <v>55.153754642683637</v>
      </c>
      <c r="BF106" s="1210">
        <f>+((AX106*AX$67)+(AZ106*AZ$67))/BF$67</f>
        <v>55.692308291260943</v>
      </c>
      <c r="BG106" s="25"/>
      <c r="BL106" s="25"/>
      <c r="BM106" s="25"/>
      <c r="BN106" s="25"/>
    </row>
    <row r="107" spans="2:66" x14ac:dyDescent="0.25">
      <c r="B107" s="3542" t="s">
        <v>410</v>
      </c>
      <c r="C107" s="3511" t="s">
        <v>49</v>
      </c>
      <c r="D107" s="3171" t="s">
        <v>2330</v>
      </c>
      <c r="E107" s="3517" t="str">
        <f>+$D$107</f>
        <v>10.0-10.5</v>
      </c>
      <c r="F107" s="3517">
        <v>9.41</v>
      </c>
      <c r="G107" s="3517" t="str">
        <f>+$D$107</f>
        <v>10.0-10.5</v>
      </c>
      <c r="H107" s="3544">
        <v>9.98</v>
      </c>
      <c r="I107" s="3513" t="str">
        <f>+$D$107</f>
        <v>10.0-10.5</v>
      </c>
      <c r="J107" s="3514">
        <f t="shared" ref="J107:J113" si="360">+((F107*F$67)+(H107*H$67))/J$67</f>
        <v>9.6957229400096505</v>
      </c>
      <c r="K107" s="3517" t="str">
        <f>+$D$107</f>
        <v>10.0-10.5</v>
      </c>
      <c r="L107" s="3544">
        <v>10.02</v>
      </c>
      <c r="M107" s="1202" t="str">
        <f>+$D$107</f>
        <v>10.0-10.5</v>
      </c>
      <c r="N107" s="1218">
        <f>+((F107*F$67)+(H107*H$67)+(L107*L$67))/N$67</f>
        <v>9.8081719086378261</v>
      </c>
      <c r="O107" s="3517" t="str">
        <f>+$D$107</f>
        <v>10.0-10.5</v>
      </c>
      <c r="P107" s="3544">
        <v>9.9600000000000009</v>
      </c>
      <c r="Q107" s="1200" t="str">
        <f>+$D$107</f>
        <v>10.0-10.5</v>
      </c>
      <c r="R107" s="1210">
        <f t="shared" ref="R107:R113" si="361">+((N107*N$67)+(P107*P$67))/R$67</f>
        <v>9.8489133460279117</v>
      </c>
      <c r="S107" s="3517" t="str">
        <f>+$D$107</f>
        <v>10.0-10.5</v>
      </c>
      <c r="T107" s="3544">
        <v>9.98</v>
      </c>
      <c r="U107" s="1200" t="str">
        <f>+$D$107</f>
        <v>10.0-10.5</v>
      </c>
      <c r="V107" s="1214">
        <f t="shared" ref="V107:V113" si="362">+((R107*R$67)+(T107*T$67))/V$67</f>
        <v>9.8758284281601352</v>
      </c>
      <c r="W107" s="3517" t="str">
        <f>+$D$107</f>
        <v>10.0-10.5</v>
      </c>
      <c r="X107" s="3544">
        <v>9.91</v>
      </c>
      <c r="Y107" s="1202" t="str">
        <f>+$D$107</f>
        <v>10.0-10.5</v>
      </c>
      <c r="Z107" s="1218">
        <f t="shared" si="354"/>
        <v>9.9504183756184457</v>
      </c>
      <c r="AA107" s="1213" t="str">
        <f>+$D$107</f>
        <v>10.0-10.5</v>
      </c>
      <c r="AB107" s="1215">
        <f t="shared" si="355"/>
        <v>9.8815432409747217</v>
      </c>
      <c r="AC107" s="3517" t="str">
        <f>+$D$107</f>
        <v>10.0-10.5</v>
      </c>
      <c r="AD107" s="3544">
        <v>9.94</v>
      </c>
      <c r="AE107" s="1214" t="str">
        <f>+$D$107</f>
        <v>10.0-10.5</v>
      </c>
      <c r="AF107" s="1210">
        <f t="shared" ref="AF107:AF113" si="363">+((AB107*AB$67)+(AD107*AD$67))/AF$67</f>
        <v>9.8884741976173469</v>
      </c>
      <c r="AG107" s="3517" t="str">
        <f>+$D$107</f>
        <v>10.0-10.5</v>
      </c>
      <c r="AH107" s="3544">
        <v>10.220000000000001</v>
      </c>
      <c r="AI107" s="1214" t="str">
        <f>+$D$107</f>
        <v>10.0-10.5</v>
      </c>
      <c r="AJ107" s="1210">
        <f t="shared" ref="AJ107:AJ113" si="364">+((AF107*AF$67)+(AH107*AH$67))/AJ$67</f>
        <v>9.9302138747501019</v>
      </c>
      <c r="AK107" s="3517" t="str">
        <f>+$D$107</f>
        <v>10.0-10.5</v>
      </c>
      <c r="AL107" s="3544">
        <v>10.07</v>
      </c>
      <c r="AM107" s="1202" t="str">
        <f>+$D$107</f>
        <v>10.0-10.5</v>
      </c>
      <c r="AN107" s="1218">
        <f t="shared" si="356"/>
        <v>10.085308406434667</v>
      </c>
      <c r="AO107" s="1214" t="str">
        <f>+$D$107</f>
        <v>10.0-10.5</v>
      </c>
      <c r="AP107" s="1210">
        <f t="shared" si="357"/>
        <v>9.945636585919404</v>
      </c>
      <c r="AQ107" s="3517" t="str">
        <f>+$D$107</f>
        <v>10.0-10.5</v>
      </c>
      <c r="AR107" s="3544">
        <v>10.11</v>
      </c>
      <c r="AS107" s="1214" t="str">
        <f>+$D$107</f>
        <v>10.0-10.5</v>
      </c>
      <c r="AT107" s="1214">
        <f t="shared" ref="AT107:AT113" si="365">+((AP107*AP$67)+(AR107*AR$67))/AT$67</f>
        <v>9.96220782803322</v>
      </c>
      <c r="AU107" s="3517" t="str">
        <f>+$D$107</f>
        <v>10.0-10.5</v>
      </c>
      <c r="AV107" s="3517">
        <v>10.199999999999999</v>
      </c>
      <c r="AW107" s="1214" t="str">
        <f>+$D$107</f>
        <v>10.0-10.5</v>
      </c>
      <c r="AX107" s="1214">
        <f t="shared" ref="AX107:AX113" si="366">+((AT107*AT$67)+(AV107*AV$67))/AX$67</f>
        <v>9.981157873182271</v>
      </c>
      <c r="AY107" s="3517" t="str">
        <f>+$D$107</f>
        <v>10.0-10.5</v>
      </c>
      <c r="AZ107" s="3517">
        <v>10.19</v>
      </c>
      <c r="BA107" s="1212" t="str">
        <f>+$D$107</f>
        <v>10.0-10.5</v>
      </c>
      <c r="BB107" s="1212">
        <f t="shared" si="358"/>
        <v>10.165333011701252</v>
      </c>
      <c r="BC107" s="1215" t="str">
        <f>+$D$107</f>
        <v>10.0-10.5</v>
      </c>
      <c r="BD107" s="1215">
        <f t="shared" si="359"/>
        <v>10.12595043311682</v>
      </c>
      <c r="BE107" s="1214" t="str">
        <f>+$D$107</f>
        <v>10.0-10.5</v>
      </c>
      <c r="BF107" s="1210">
        <f t="shared" ref="BF107:BF112" si="367">+((AX107*AX$67)+(AZ107*AZ$67))/BF$67</f>
        <v>9.9994748503220805</v>
      </c>
      <c r="BG107" s="25"/>
      <c r="BH107" s="25"/>
      <c r="BI107" s="25"/>
      <c r="BJ107" s="25"/>
      <c r="BK107" s="25"/>
      <c r="BL107" s="25"/>
      <c r="BM107" s="25"/>
      <c r="BN107" s="25"/>
    </row>
    <row r="108" spans="2:66" x14ac:dyDescent="0.25">
      <c r="B108" s="3542" t="s">
        <v>411</v>
      </c>
      <c r="C108" s="3511" t="s">
        <v>49</v>
      </c>
      <c r="D108" s="3171">
        <v>5.5377100203287926</v>
      </c>
      <c r="E108" s="3517">
        <f>+$D$108</f>
        <v>5.5377100203287926</v>
      </c>
      <c r="F108" s="3517">
        <v>5.29</v>
      </c>
      <c r="G108" s="3517">
        <f>+$D$108</f>
        <v>5.5377100203287926</v>
      </c>
      <c r="H108" s="3544">
        <v>5.22</v>
      </c>
      <c r="I108" s="3513">
        <f>+$D$108</f>
        <v>5.5377100203287926</v>
      </c>
      <c r="J108" s="3514">
        <f t="shared" si="360"/>
        <v>5.2549112178935511</v>
      </c>
      <c r="K108" s="3517">
        <f>+$D$108</f>
        <v>5.5377100203287926</v>
      </c>
      <c r="L108" s="3544">
        <v>5.53</v>
      </c>
      <c r="M108" s="1218">
        <f>+$D$108</f>
        <v>5.5377100203287926</v>
      </c>
      <c r="N108" s="1218">
        <f>+((F108*F$67)+(H108*H$67)+(L108*L$67))/N$67</f>
        <v>5.3503032565100703</v>
      </c>
      <c r="O108" s="3517">
        <f>+$D$108</f>
        <v>5.5377100203287926</v>
      </c>
      <c r="P108" s="3544">
        <v>5.97</v>
      </c>
      <c r="Q108" s="1210">
        <f>+$D$108</f>
        <v>5.5377100203287926</v>
      </c>
      <c r="R108" s="1210">
        <f t="shared" si="361"/>
        <v>5.5165922208856344</v>
      </c>
      <c r="S108" s="3517">
        <f>+$D$108</f>
        <v>5.5377100203287926</v>
      </c>
      <c r="T108" s="3544">
        <v>5.79</v>
      </c>
      <c r="U108" s="1210">
        <f>+$D$108</f>
        <v>5.5377100203287926</v>
      </c>
      <c r="V108" s="1214">
        <f t="shared" si="362"/>
        <v>5.5727290785097416</v>
      </c>
      <c r="W108" s="3517">
        <f>+$D$108</f>
        <v>5.5377100203287926</v>
      </c>
      <c r="X108" s="3544">
        <v>6.16</v>
      </c>
      <c r="Y108" s="1218">
        <f>+$D$108</f>
        <v>5.5377100203287926</v>
      </c>
      <c r="Z108" s="1218">
        <f t="shared" si="354"/>
        <v>5.9719350250838499</v>
      </c>
      <c r="AA108" s="1219">
        <f>+$D$108</f>
        <v>5.5377100203287926</v>
      </c>
      <c r="AB108" s="1219">
        <f t="shared" si="355"/>
        <v>5.6709435652033831</v>
      </c>
      <c r="AC108" s="3517">
        <f>+$D$108</f>
        <v>5.5377100203287926</v>
      </c>
      <c r="AD108" s="3544">
        <v>6.75</v>
      </c>
      <c r="AE108" s="1214">
        <f>+$D$108</f>
        <v>5.5377100203287926</v>
      </c>
      <c r="AF108" s="1210">
        <f t="shared" si="363"/>
        <v>5.7988824637880096</v>
      </c>
      <c r="AG108" s="3517">
        <f>+$D$108</f>
        <v>5.5377100203287926</v>
      </c>
      <c r="AH108" s="3544">
        <v>6.53</v>
      </c>
      <c r="AI108" s="1214">
        <f>+$D$108</f>
        <v>5.5377100203287926</v>
      </c>
      <c r="AJ108" s="1210">
        <f t="shared" si="364"/>
        <v>5.8909314376182884</v>
      </c>
      <c r="AK108" s="3517">
        <f>+$D$108</f>
        <v>5.5377100203287926</v>
      </c>
      <c r="AL108" s="3544">
        <v>6.78</v>
      </c>
      <c r="AM108" s="1218">
        <f>+$D$108</f>
        <v>5.5377100203287926</v>
      </c>
      <c r="AN108" s="1218">
        <f t="shared" si="356"/>
        <v>6.6821799221484159</v>
      </c>
      <c r="AO108" s="1214">
        <f>+$D$108</f>
        <v>5.5377100203287926</v>
      </c>
      <c r="AP108" s="1210">
        <f t="shared" si="357"/>
        <v>5.9890230588203632</v>
      </c>
      <c r="AQ108" s="3517">
        <f>+$D$108</f>
        <v>5.5377100203287926</v>
      </c>
      <c r="AR108" s="3544">
        <v>6.42</v>
      </c>
      <c r="AS108" s="1214">
        <f>+$D$108</f>
        <v>5.5377100203287926</v>
      </c>
      <c r="AT108" s="1214">
        <f t="shared" si="365"/>
        <v>6.0324744757777733</v>
      </c>
      <c r="AU108" s="3517">
        <f>+$D$108</f>
        <v>5.5377100203287926</v>
      </c>
      <c r="AV108" s="3517">
        <v>6.1</v>
      </c>
      <c r="AW108" s="1214">
        <f>+$D$108</f>
        <v>5.5377100203287926</v>
      </c>
      <c r="AX108" s="1214">
        <f t="shared" si="366"/>
        <v>6.0378556946889805</v>
      </c>
      <c r="AY108" s="3517">
        <f>+$D$108</f>
        <v>5.5377100203287926</v>
      </c>
      <c r="AZ108" s="3517">
        <v>5.77</v>
      </c>
      <c r="BA108" s="1212">
        <f>+$D$108</f>
        <v>5.5377100203287926</v>
      </c>
      <c r="BB108" s="1212">
        <f t="shared" si="358"/>
        <v>6.0924262806076586</v>
      </c>
      <c r="BC108" s="1215">
        <f>+$D$108</f>
        <v>5.5377100203287926</v>
      </c>
      <c r="BD108" s="1215">
        <f t="shared" si="359"/>
        <v>6.3826622531071422</v>
      </c>
      <c r="BE108" s="1214">
        <f>+$D$108</f>
        <v>5.5377100203287926</v>
      </c>
      <c r="BF108" s="1210">
        <f t="shared" si="367"/>
        <v>6.0143627973930833</v>
      </c>
      <c r="BG108" s="25"/>
      <c r="BH108" s="25"/>
      <c r="BI108" s="25"/>
      <c r="BJ108" s="25"/>
      <c r="BK108" s="25"/>
      <c r="BL108" s="25"/>
      <c r="BM108" s="25"/>
      <c r="BN108" s="25"/>
    </row>
    <row r="109" spans="2:66" x14ac:dyDescent="0.25">
      <c r="B109" s="3542" t="s">
        <v>412</v>
      </c>
      <c r="C109" s="3511" t="s">
        <v>49</v>
      </c>
      <c r="D109" s="3171">
        <v>2.8485858543704792</v>
      </c>
      <c r="E109" s="3517">
        <f>+$D$109</f>
        <v>2.8485858543704792</v>
      </c>
      <c r="F109" s="3517">
        <v>2.5</v>
      </c>
      <c r="G109" s="3517">
        <f>+$D$109</f>
        <v>2.8485858543704792</v>
      </c>
      <c r="H109" s="3544">
        <v>2.36</v>
      </c>
      <c r="I109" s="3513">
        <f>+$D$109</f>
        <v>2.8485858543704792</v>
      </c>
      <c r="J109" s="3514">
        <f t="shared" si="360"/>
        <v>2.4298224357871034</v>
      </c>
      <c r="K109" s="3517">
        <f>+$D$109</f>
        <v>2.8485858543704792</v>
      </c>
      <c r="L109" s="3544">
        <v>2.1800000000000002</v>
      </c>
      <c r="M109" s="1218">
        <f>+$D$109</f>
        <v>2.8485858543704792</v>
      </c>
      <c r="N109" s="1218">
        <f t="shared" ref="N109:N112" si="368">+((F109*F$67)+(H109*H$67)+(L109*L$67))/N$67</f>
        <v>2.343191962310891</v>
      </c>
      <c r="O109" s="3517">
        <f>+$D$109</f>
        <v>2.8485858543704792</v>
      </c>
      <c r="P109" s="3544">
        <v>2.06</v>
      </c>
      <c r="Q109" s="1210">
        <f>+$D$109</f>
        <v>2.8485858543704792</v>
      </c>
      <c r="R109" s="1210">
        <f t="shared" si="361"/>
        <v>2.2672004412534186</v>
      </c>
      <c r="S109" s="3517">
        <f>+$D$109</f>
        <v>2.8485858543704792</v>
      </c>
      <c r="T109" s="3544">
        <v>2.0299999999999998</v>
      </c>
      <c r="U109" s="1210">
        <f>+$D$109</f>
        <v>2.8485858543704792</v>
      </c>
      <c r="V109" s="1214">
        <f>+((R109*R$67)+(T109*T$67))/V$67</f>
        <v>2.218497776529865</v>
      </c>
      <c r="W109" s="3517">
        <f>+$D$109</f>
        <v>2.8485858543704792</v>
      </c>
      <c r="X109" s="3544">
        <v>2.06</v>
      </c>
      <c r="Y109" s="1218">
        <f>+$D$109</f>
        <v>2.8485858543704792</v>
      </c>
      <c r="Z109" s="1218">
        <f>+((P109*P$67)+(T109*T$67)+(X109*X$67))/Z$67</f>
        <v>2.0500552458944061</v>
      </c>
      <c r="AA109" s="1219">
        <f>+$D$109</f>
        <v>2.8485858543704792</v>
      </c>
      <c r="AB109" s="1219">
        <f t="shared" si="355"/>
        <v>2.191990797903268</v>
      </c>
      <c r="AC109" s="3517">
        <f>+$D$109</f>
        <v>2.8485858543704792</v>
      </c>
      <c r="AD109" s="3544">
        <v>2.13</v>
      </c>
      <c r="AE109" s="1214">
        <f>+$D$109</f>
        <v>2.8485858543704792</v>
      </c>
      <c r="AF109" s="1210">
        <f t="shared" si="363"/>
        <v>2.1846408260664187</v>
      </c>
      <c r="AG109" s="3517">
        <f>+$D$109</f>
        <v>2.8485858543704792</v>
      </c>
      <c r="AH109" s="3544">
        <v>2.48</v>
      </c>
      <c r="AI109" s="1214">
        <f>+$D$109</f>
        <v>2.8485858543704792</v>
      </c>
      <c r="AJ109" s="1210">
        <f t="shared" si="364"/>
        <v>2.2218270615557314</v>
      </c>
      <c r="AK109" s="3517">
        <f>+$D$109</f>
        <v>2.8485858543704792</v>
      </c>
      <c r="AL109" s="3544">
        <v>2.86</v>
      </c>
      <c r="AM109" s="1218">
        <f>+$D$109</f>
        <v>2.8485858543704792</v>
      </c>
      <c r="AN109" s="1218">
        <f>+((AD109*AD$67)+(AH109*AH$67)+(AL109*AL$67))/AN$67</f>
        <v>2.5106934586582415</v>
      </c>
      <c r="AO109" s="1214">
        <f>+$D$109</f>
        <v>2.8485858543704792</v>
      </c>
      <c r="AP109" s="1210">
        <f t="shared" si="357"/>
        <v>2.292237174777588</v>
      </c>
      <c r="AQ109" s="3517">
        <f>+$D$109</f>
        <v>2.8485858543704792</v>
      </c>
      <c r="AR109" s="3544">
        <v>2.77</v>
      </c>
      <c r="AS109" s="1214">
        <f>+$D$109</f>
        <v>2.8485858543704792</v>
      </c>
      <c r="AT109" s="1214">
        <f t="shared" si="365"/>
        <v>2.3404055794923924</v>
      </c>
      <c r="AU109" s="3517">
        <f>+$D$109</f>
        <v>2.8485858543704792</v>
      </c>
      <c r="AV109" s="3517">
        <v>2.5</v>
      </c>
      <c r="AW109" s="1214">
        <f>+$D$109</f>
        <v>2.8485858543704792</v>
      </c>
      <c r="AX109" s="1214">
        <f t="shared" si="366"/>
        <v>2.3531239185745485</v>
      </c>
      <c r="AY109" s="3517">
        <f>+$D$109</f>
        <v>2.8485858543704792</v>
      </c>
      <c r="AZ109" s="3517">
        <v>2.71</v>
      </c>
      <c r="BA109" s="1212">
        <f>+$D$109</f>
        <v>2.8485858543704792</v>
      </c>
      <c r="BB109" s="1212">
        <f>+((AR109*AR$67)+(AV109*AV$67)+(AZ109*AZ$67))/BB$67</f>
        <v>2.6684238457522893</v>
      </c>
      <c r="BC109" s="1215">
        <f>+$D$109</f>
        <v>2.8485858543704792</v>
      </c>
      <c r="BD109" s="1215">
        <f t="shared" si="359"/>
        <v>2.5907998531791168</v>
      </c>
      <c r="BE109" s="1214">
        <f>+$D$109</f>
        <v>2.8485858543704792</v>
      </c>
      <c r="BF109" s="1210">
        <f t="shared" si="367"/>
        <v>2.384424552813539</v>
      </c>
      <c r="BG109" s="25"/>
      <c r="BH109" s="25"/>
      <c r="BI109" s="25"/>
      <c r="BJ109" s="25"/>
      <c r="BK109" s="25"/>
      <c r="BL109" s="25"/>
      <c r="BM109" s="25"/>
      <c r="BN109" s="25"/>
    </row>
    <row r="110" spans="2:66" x14ac:dyDescent="0.25">
      <c r="B110" s="3542" t="s">
        <v>413</v>
      </c>
      <c r="C110" s="3511" t="s">
        <v>49</v>
      </c>
      <c r="D110" s="3171">
        <v>9.1529079039754571</v>
      </c>
      <c r="E110" s="3517">
        <f>+$D$110</f>
        <v>9.1529079039754571</v>
      </c>
      <c r="F110" s="3517">
        <v>8.98</v>
      </c>
      <c r="G110" s="3517">
        <f>+$D$110</f>
        <v>9.1529079039754571</v>
      </c>
      <c r="H110" s="3544">
        <v>8.75</v>
      </c>
      <c r="I110" s="3513">
        <f>+$D$110</f>
        <v>9.1529079039754571</v>
      </c>
      <c r="J110" s="3514">
        <f t="shared" si="360"/>
        <v>8.8647082873645271</v>
      </c>
      <c r="K110" s="3517">
        <f>+$D$110</f>
        <v>9.1529079039754571</v>
      </c>
      <c r="L110" s="3544">
        <v>9.24</v>
      </c>
      <c r="M110" s="1218">
        <f>+$D$110</f>
        <v>9.1529079039754571</v>
      </c>
      <c r="N110" s="1218">
        <f>+((F110*F$67)+(H110*H$67)+(L110*L$67))/N$67</f>
        <v>8.9948475146716209</v>
      </c>
      <c r="O110" s="3517">
        <f>+$D$110</f>
        <v>9.1529079039754571</v>
      </c>
      <c r="P110" s="3544">
        <v>10.02</v>
      </c>
      <c r="Q110" s="1210">
        <f>+$D$110</f>
        <v>9.1529079039754571</v>
      </c>
      <c r="R110" s="1210">
        <f t="shared" si="361"/>
        <v>9.2699361719917359</v>
      </c>
      <c r="S110" s="3517">
        <f>+$D$110</f>
        <v>9.1529079039754571</v>
      </c>
      <c r="T110" s="3544">
        <v>9.58</v>
      </c>
      <c r="U110" s="1210">
        <f>+$D$110</f>
        <v>9.1529079039754571</v>
      </c>
      <c r="V110" s="1214">
        <f t="shared" si="362"/>
        <v>9.333599353133355</v>
      </c>
      <c r="W110" s="3517">
        <f>+$D$110</f>
        <v>9.1529079039754571</v>
      </c>
      <c r="X110" s="3544">
        <v>10.16</v>
      </c>
      <c r="Y110" s="1218">
        <f>+$D$110</f>
        <v>9.1529079039754571</v>
      </c>
      <c r="Z110" s="1218">
        <f t="shared" si="354"/>
        <v>9.9195356957167551</v>
      </c>
      <c r="AA110" s="1219">
        <f>+$D$110</f>
        <v>9.1529079039754571</v>
      </c>
      <c r="AB110" s="1219">
        <f>+((N110*N$67)+(Z110*Z$67))/AB$67</f>
        <v>9.4718056091647913</v>
      </c>
      <c r="AC110" s="3517">
        <f>+$D$110</f>
        <v>9.1529079039754571</v>
      </c>
      <c r="AD110" s="3544">
        <v>11.09</v>
      </c>
      <c r="AE110" s="1214">
        <f>+$D$110</f>
        <v>9.1529079039754571</v>
      </c>
      <c r="AF110" s="1210">
        <f t="shared" si="363"/>
        <v>9.6636676854966002</v>
      </c>
      <c r="AG110" s="3517">
        <f>+$D$110</f>
        <v>9.1529079039754571</v>
      </c>
      <c r="AH110" s="3544">
        <v>10.69</v>
      </c>
      <c r="AI110" s="1214">
        <f>+$D$110</f>
        <v>9.1529079039754571</v>
      </c>
      <c r="AJ110" s="1210">
        <f t="shared" si="364"/>
        <v>9.7928847151528284</v>
      </c>
      <c r="AK110" s="3517">
        <f>+$D$110</f>
        <v>9.1529079039754571</v>
      </c>
      <c r="AL110" s="3544">
        <v>11.09</v>
      </c>
      <c r="AM110" s="1218">
        <f>+$D$110</f>
        <v>9.1529079039754571</v>
      </c>
      <c r="AN110" s="1218">
        <f t="shared" ref="AN110:AN113" si="369">+((AD110*AD$67)+(AH110*AH$67)+(AL110*AL$67))/AN$67</f>
        <v>10.947558245256799</v>
      </c>
      <c r="AO110" s="1214">
        <f>+$D$110</f>
        <v>9.1529079039754571</v>
      </c>
      <c r="AP110" s="1210">
        <f t="shared" si="357"/>
        <v>9.9359964464188621</v>
      </c>
      <c r="AQ110" s="3517">
        <f>+$D$110</f>
        <v>9.1529079039754571</v>
      </c>
      <c r="AR110" s="3544">
        <v>10.8</v>
      </c>
      <c r="AS110" s="1214">
        <f>+$D$110</f>
        <v>9.1529079039754571</v>
      </c>
      <c r="AT110" s="1214">
        <f t="shared" si="365"/>
        <v>10.023105929716461</v>
      </c>
      <c r="AU110" s="3517">
        <f>+$D$110</f>
        <v>9.1529079039754571</v>
      </c>
      <c r="AV110" s="3517">
        <v>10.039999999999999</v>
      </c>
      <c r="AW110" s="1214">
        <f>+$D$110</f>
        <v>9.1529079039754571</v>
      </c>
      <c r="AX110" s="1214">
        <f t="shared" si="366"/>
        <v>10.02445224566949</v>
      </c>
      <c r="AY110" s="3517">
        <f>+$D$110</f>
        <v>9.1529079039754571</v>
      </c>
      <c r="AZ110" s="3517">
        <v>9.43</v>
      </c>
      <c r="BA110" s="1212">
        <f>+$D$110</f>
        <v>9.1529079039754571</v>
      </c>
      <c r="BB110" s="1212">
        <f t="shared" ref="BB110:BB113" si="370">+((AR110*AR$67)+(AV110*AV$67)+(AZ110*AZ$67))/BB$67</f>
        <v>10.084198391713953</v>
      </c>
      <c r="BC110" s="1215">
        <f>+$D$110</f>
        <v>9.1529079039754571</v>
      </c>
      <c r="BD110" s="1215">
        <f t="shared" si="359"/>
        <v>10.509084427271739</v>
      </c>
      <c r="BE110" s="1214">
        <f>+$D$110</f>
        <v>9.1529079039754571</v>
      </c>
      <c r="BF110" s="1210">
        <f t="shared" si="367"/>
        <v>9.972314449715423</v>
      </c>
      <c r="BG110" s="25"/>
      <c r="BH110" s="25"/>
      <c r="BI110" s="25"/>
      <c r="BJ110" s="25"/>
      <c r="BK110" s="25"/>
      <c r="BL110" s="25"/>
      <c r="BM110" s="25"/>
      <c r="BN110" s="25"/>
    </row>
    <row r="111" spans="2:66" x14ac:dyDescent="0.25">
      <c r="B111" s="3542" t="s">
        <v>414</v>
      </c>
      <c r="C111" s="3511" t="s">
        <v>49</v>
      </c>
      <c r="D111" s="3171">
        <v>2.681272930728583</v>
      </c>
      <c r="E111" s="3517">
        <f>+$D$111</f>
        <v>2.681272930728583</v>
      </c>
      <c r="F111" s="3517">
        <v>2.66</v>
      </c>
      <c r="G111" s="3517">
        <f>+$D$111</f>
        <v>2.681272930728583</v>
      </c>
      <c r="H111" s="3543">
        <v>2.46</v>
      </c>
      <c r="I111" s="3513">
        <f>+$D$111</f>
        <v>2.681272930728583</v>
      </c>
      <c r="J111" s="3514">
        <f t="shared" si="360"/>
        <v>2.5597463368387192</v>
      </c>
      <c r="K111" s="3517">
        <f>+$D$111</f>
        <v>2.681272930728583</v>
      </c>
      <c r="L111" s="3543">
        <v>2.52</v>
      </c>
      <c r="M111" s="1218">
        <f>+$D$111</f>
        <v>2.681272930728583</v>
      </c>
      <c r="N111" s="1218">
        <f>+((F111*F$67)+(H111*H$67)+(L111*L$67))/N$67</f>
        <v>2.5459635716181546</v>
      </c>
      <c r="O111" s="3517">
        <f>+$D$111</f>
        <v>2.681272930728583</v>
      </c>
      <c r="P111" s="3543">
        <v>2.58</v>
      </c>
      <c r="Q111" s="1210">
        <f>+$D$111</f>
        <v>2.681272930728583</v>
      </c>
      <c r="R111" s="1210">
        <f t="shared" si="361"/>
        <v>2.5550968815574415</v>
      </c>
      <c r="S111" s="3517">
        <f>+$D$111</f>
        <v>2.681272930728583</v>
      </c>
      <c r="T111" s="3543">
        <v>2.75</v>
      </c>
      <c r="U111" s="1210">
        <f>+$D$111</f>
        <v>2.681272930728583</v>
      </c>
      <c r="V111" s="1214">
        <f t="shared" si="362"/>
        <v>2.5951149404654421</v>
      </c>
      <c r="W111" s="3517">
        <f>+$D$111</f>
        <v>2.681272930728583</v>
      </c>
      <c r="X111" s="3543">
        <v>2.5299999999999998</v>
      </c>
      <c r="Y111" s="1218">
        <f>+$D$111</f>
        <v>2.681272930728583</v>
      </c>
      <c r="Z111" s="1218">
        <f t="shared" si="354"/>
        <v>2.6201421461464127</v>
      </c>
      <c r="AA111" s="1219">
        <f>+$D$111</f>
        <v>2.681272930728583</v>
      </c>
      <c r="AB111" s="1219">
        <f t="shared" si="355"/>
        <v>2.5842251956817703</v>
      </c>
      <c r="AC111" s="3517">
        <f>+$D$111</f>
        <v>2.681272930728583</v>
      </c>
      <c r="AD111" s="3543">
        <v>2.58</v>
      </c>
      <c r="AE111" s="1214">
        <f>+$D$111</f>
        <v>2.681272930728583</v>
      </c>
      <c r="AF111" s="1210">
        <f t="shared" si="363"/>
        <v>2.5837242331144767</v>
      </c>
      <c r="AG111" s="3517">
        <f>+$D$111</f>
        <v>2.681272930728583</v>
      </c>
      <c r="AH111" s="3543">
        <v>2.65</v>
      </c>
      <c r="AI111" s="1214">
        <f>+$D$111</f>
        <v>2.681272930728583</v>
      </c>
      <c r="AJ111" s="1210">
        <f t="shared" si="364"/>
        <v>2.592068467836619</v>
      </c>
      <c r="AK111" s="3517">
        <f>+$D$111</f>
        <v>2.681272930728583</v>
      </c>
      <c r="AL111" s="3543">
        <v>2.8</v>
      </c>
      <c r="AM111" s="1218">
        <f>+$D$111</f>
        <v>2.681272930728583</v>
      </c>
      <c r="AN111" s="1218">
        <f t="shared" si="369"/>
        <v>2.6820951469660148</v>
      </c>
      <c r="AO111" s="1214">
        <f>+$D$111</f>
        <v>2.681272930728583</v>
      </c>
      <c r="AP111" s="1210">
        <f t="shared" si="357"/>
        <v>2.6150097143860389</v>
      </c>
      <c r="AQ111" s="3517">
        <f>+$D$111</f>
        <v>2.681272930728583</v>
      </c>
      <c r="AR111" s="3543">
        <v>2.88</v>
      </c>
      <c r="AS111" s="1214">
        <f>+$D$111</f>
        <v>2.681272930728583</v>
      </c>
      <c r="AT111" s="1214">
        <f t="shared" si="365"/>
        <v>2.6417262328112696</v>
      </c>
      <c r="AU111" s="3517">
        <f>+$D$111</f>
        <v>2.681272930728583</v>
      </c>
      <c r="AV111" s="3517">
        <v>2.85</v>
      </c>
      <c r="AW111" s="1214">
        <f>+$D$111</f>
        <v>2.681272930728583</v>
      </c>
      <c r="AX111" s="1214">
        <f t="shared" si="366"/>
        <v>2.6583239082475361</v>
      </c>
      <c r="AY111" s="3517">
        <f>+$D$111</f>
        <v>2.681272930728583</v>
      </c>
      <c r="AZ111" s="3517">
        <v>2.82</v>
      </c>
      <c r="BA111" s="1212">
        <f>+$D$111</f>
        <v>2.681272930728583</v>
      </c>
      <c r="BB111" s="1212">
        <f t="shared" si="370"/>
        <v>2.8496254996447599</v>
      </c>
      <c r="BC111" s="1215">
        <f>+$D$111</f>
        <v>2.681272930728583</v>
      </c>
      <c r="BD111" s="1215">
        <f t="shared" si="359"/>
        <v>2.7671786414857045</v>
      </c>
      <c r="BE111" s="1214">
        <f>+$D$111</f>
        <v>2.681272930728583</v>
      </c>
      <c r="BF111" s="1210">
        <f t="shared" si="367"/>
        <v>2.6725040802358633</v>
      </c>
      <c r="BG111" s="25"/>
      <c r="BH111" s="25"/>
      <c r="BI111" s="25"/>
      <c r="BJ111" s="25"/>
      <c r="BK111" s="25"/>
      <c r="BL111" s="25"/>
      <c r="BM111" s="25"/>
      <c r="BN111" s="25"/>
    </row>
    <row r="112" spans="2:66" x14ac:dyDescent="0.25">
      <c r="B112" s="3542" t="s">
        <v>415</v>
      </c>
      <c r="C112" s="3511" t="s">
        <v>49</v>
      </c>
      <c r="D112" s="3171">
        <v>1.6528326456920577</v>
      </c>
      <c r="E112" s="3517">
        <f>+$D$112</f>
        <v>1.6528326456920577</v>
      </c>
      <c r="F112" s="3517">
        <v>1.7</v>
      </c>
      <c r="G112" s="3517">
        <f>+$D$112</f>
        <v>1.6528326456920577</v>
      </c>
      <c r="H112" s="3544">
        <v>1.67</v>
      </c>
      <c r="I112" s="3513">
        <f>+$D$112</f>
        <v>1.6528326456920577</v>
      </c>
      <c r="J112" s="3514">
        <f t="shared" si="360"/>
        <v>1.684961950525808</v>
      </c>
      <c r="K112" s="3517">
        <f>+$D$112</f>
        <v>1.6528326456920577</v>
      </c>
      <c r="L112" s="3544">
        <v>1.67</v>
      </c>
      <c r="M112" s="1218">
        <f>+$D$112</f>
        <v>1.6528326456920577</v>
      </c>
      <c r="N112" s="1218">
        <f t="shared" si="368"/>
        <v>1.6797736220472443</v>
      </c>
      <c r="O112" s="3517">
        <f>+$D$112</f>
        <v>1.6528326456920577</v>
      </c>
      <c r="P112" s="3544">
        <v>1.68</v>
      </c>
      <c r="Q112" s="1210">
        <f>+$D$112</f>
        <v>1.6528326456920577</v>
      </c>
      <c r="R112" s="1210">
        <f t="shared" si="361"/>
        <v>1.6798343681391297</v>
      </c>
      <c r="S112" s="3517">
        <f>+$D$112</f>
        <v>1.6528326456920577</v>
      </c>
      <c r="T112" s="3544">
        <v>1.66</v>
      </c>
      <c r="U112" s="1210">
        <f>+$D$112</f>
        <v>1.6528326456920577</v>
      </c>
      <c r="V112" s="1214">
        <f t="shared" si="362"/>
        <v>1.6757619196378577</v>
      </c>
      <c r="W112" s="3517">
        <f>+$D$112</f>
        <v>1.6528326456920577</v>
      </c>
      <c r="X112" s="3544">
        <v>1.65</v>
      </c>
      <c r="Y112" s="1218">
        <f>+$D$112</f>
        <v>1.6528326456920577</v>
      </c>
      <c r="Z112" s="1218">
        <f t="shared" si="354"/>
        <v>1.6636432876584339</v>
      </c>
      <c r="AA112" s="1219">
        <f>+$D$112</f>
        <v>1.6528326456920577</v>
      </c>
      <c r="AB112" s="1219">
        <f t="shared" si="355"/>
        <v>1.6714535270018755</v>
      </c>
      <c r="AC112" s="3517">
        <f>+$D$112</f>
        <v>1.6528326456920577</v>
      </c>
      <c r="AD112" s="3544">
        <v>1.65</v>
      </c>
      <c r="AE112" s="1214">
        <f>+$D$112</f>
        <v>1.6528326456920577</v>
      </c>
      <c r="AF112" s="1210">
        <f t="shared" si="363"/>
        <v>1.6689098781927261</v>
      </c>
      <c r="AG112" s="3517">
        <f>+$D$112</f>
        <v>1.6528326456920577</v>
      </c>
      <c r="AH112" s="3544">
        <v>1.65</v>
      </c>
      <c r="AI112" s="1214">
        <f>+$D$112</f>
        <v>1.6528326456920577</v>
      </c>
      <c r="AJ112" s="1210">
        <f t="shared" si="364"/>
        <v>1.6665290915248063</v>
      </c>
      <c r="AK112" s="3517">
        <f>+$D$112</f>
        <v>1.6528326456920577</v>
      </c>
      <c r="AL112" s="3544">
        <v>1.64</v>
      </c>
      <c r="AM112" s="1218">
        <f>+$D$112</f>
        <v>1.6528326456920577</v>
      </c>
      <c r="AN112" s="1218">
        <f t="shared" si="369"/>
        <v>1.6464923709142747</v>
      </c>
      <c r="AO112" s="1214">
        <f>+$D$112</f>
        <v>1.6528326456920577</v>
      </c>
      <c r="AP112" s="1210">
        <f t="shared" si="357"/>
        <v>1.6636021163658656</v>
      </c>
      <c r="AQ112" s="3517">
        <f>+$D$112</f>
        <v>1.6528326456920577</v>
      </c>
      <c r="AR112" s="3544">
        <v>1.68</v>
      </c>
      <c r="AS112" s="1214">
        <f>+$D$112</f>
        <v>1.6528326456920577</v>
      </c>
      <c r="AT112" s="1214">
        <f t="shared" si="365"/>
        <v>1.6652553632357694</v>
      </c>
      <c r="AU112" s="3517">
        <f>+$D$112</f>
        <v>1.6528326456920577</v>
      </c>
      <c r="AV112" s="3517">
        <v>1.65</v>
      </c>
      <c r="AW112" s="1214">
        <f>+$D$112</f>
        <v>1.6528326456920577</v>
      </c>
      <c r="AX112" s="1214">
        <f t="shared" si="366"/>
        <v>1.6640396385140852</v>
      </c>
      <c r="AY112" s="3517">
        <f>+$D$112</f>
        <v>1.6528326456920577</v>
      </c>
      <c r="AZ112" s="3517">
        <v>1.64</v>
      </c>
      <c r="BA112" s="1212">
        <f>+$D$112</f>
        <v>1.6528326456920577</v>
      </c>
      <c r="BB112" s="1212">
        <f t="shared" si="370"/>
        <v>1.6567835975176537</v>
      </c>
      <c r="BC112" s="1215">
        <f>+$D$112</f>
        <v>1.6528326456920577</v>
      </c>
      <c r="BD112" s="1215">
        <f t="shared" si="359"/>
        <v>1.6517189672194144</v>
      </c>
      <c r="BE112" s="1214">
        <f>+$D$112</f>
        <v>1.6528326456920577</v>
      </c>
      <c r="BF112" s="1210">
        <f t="shared" si="367"/>
        <v>1.6619311869491571</v>
      </c>
      <c r="BG112" s="25"/>
      <c r="BH112" s="25"/>
      <c r="BI112" s="25"/>
      <c r="BJ112" s="25"/>
      <c r="BK112" s="25"/>
      <c r="BL112" s="25"/>
      <c r="BM112" s="25"/>
      <c r="BN112" s="25"/>
    </row>
    <row r="113" spans="2:66" ht="15.75" thickBot="1" x14ac:dyDescent="0.3">
      <c r="B113" s="3545" t="s">
        <v>1312</v>
      </c>
      <c r="C113" s="3519" t="s">
        <v>49</v>
      </c>
      <c r="D113" s="1362">
        <v>3.6151978836466645</v>
      </c>
      <c r="E113" s="3546">
        <f>+$D$113</f>
        <v>3.6151978836466645</v>
      </c>
      <c r="F113" s="3546">
        <v>3.69</v>
      </c>
      <c r="G113" s="3546">
        <f>+$D$113</f>
        <v>3.6151978836466645</v>
      </c>
      <c r="H113" s="3547">
        <v>3.49</v>
      </c>
      <c r="I113" s="3530">
        <f>+$D$113</f>
        <v>3.6151978836466645</v>
      </c>
      <c r="J113" s="3531">
        <f t="shared" si="360"/>
        <v>3.5897463368387195</v>
      </c>
      <c r="K113" s="3546">
        <f>+$D$113</f>
        <v>3.6151978836466645</v>
      </c>
      <c r="L113" s="3547">
        <v>3.71</v>
      </c>
      <c r="M113" s="1218">
        <f>+$D$113</f>
        <v>3.6151978836466645</v>
      </c>
      <c r="N113" s="1218">
        <f>+((F113*F$67)+(H113*H$67)+(L113*L$67))/N$67</f>
        <v>3.6314464817600047</v>
      </c>
      <c r="O113" s="3546">
        <f>+$D$113</f>
        <v>3.6151978836466645</v>
      </c>
      <c r="P113" s="3547">
        <v>4.05</v>
      </c>
      <c r="Q113" s="1210">
        <f>+$D$113</f>
        <v>3.6151978836466645</v>
      </c>
      <c r="R113" s="1210">
        <f t="shared" si="361"/>
        <v>3.7437608223064931</v>
      </c>
      <c r="S113" s="3546">
        <f>+$D$113</f>
        <v>3.6151978836466645</v>
      </c>
      <c r="T113" s="3547">
        <v>3.79</v>
      </c>
      <c r="U113" s="1210">
        <f>+$D$113</f>
        <v>3.6151978836466645</v>
      </c>
      <c r="V113" s="1214">
        <f t="shared" si="362"/>
        <v>3.7532547809028594</v>
      </c>
      <c r="W113" s="3546">
        <f>+$D$113</f>
        <v>3.6151978836466645</v>
      </c>
      <c r="X113" s="3547">
        <v>3.99</v>
      </c>
      <c r="Y113" s="1218">
        <f>+$D$113</f>
        <v>3.6151978836466645</v>
      </c>
      <c r="Z113" s="1218">
        <f t="shared" si="354"/>
        <v>3.9443583785425158</v>
      </c>
      <c r="AA113" s="1219">
        <f>+$D$113</f>
        <v>3.6151978836466645</v>
      </c>
      <c r="AB113" s="1219">
        <f t="shared" si="355"/>
        <v>3.7928477682617356</v>
      </c>
      <c r="AC113" s="3546">
        <f>+$D$113</f>
        <v>3.6151978836466645</v>
      </c>
      <c r="AD113" s="3547">
        <v>4.34</v>
      </c>
      <c r="AE113" s="1214">
        <f>+$D$113</f>
        <v>3.6151978836466645</v>
      </c>
      <c r="AF113" s="1210">
        <f t="shared" si="363"/>
        <v>3.8577211628584771</v>
      </c>
      <c r="AG113" s="3546">
        <f>+$D$113</f>
        <v>3.6151978836466645</v>
      </c>
      <c r="AH113" s="3547">
        <v>4.1500000000000004</v>
      </c>
      <c r="AI113" s="1214">
        <f>+$D$113</f>
        <v>3.6151978836466645</v>
      </c>
      <c r="AJ113" s="1210">
        <f t="shared" si="364"/>
        <v>3.8945195785695503</v>
      </c>
      <c r="AK113" s="3546">
        <f>+$D$113</f>
        <v>3.6151978836466645</v>
      </c>
      <c r="AL113" s="3547">
        <v>4.3099999999999996</v>
      </c>
      <c r="AM113" s="1218">
        <f>+$D$113</f>
        <v>3.6151978836466645</v>
      </c>
      <c r="AN113" s="1218">
        <f t="shared" si="369"/>
        <v>4.2618172792398044</v>
      </c>
      <c r="AO113" s="1214">
        <f>+$D$113</f>
        <v>3.6151978836466645</v>
      </c>
      <c r="AP113" s="1210">
        <f t="shared" si="357"/>
        <v>3.9403598543820872</v>
      </c>
      <c r="AQ113" s="3546">
        <f>+$D$113</f>
        <v>3.6151978836466645</v>
      </c>
      <c r="AR113" s="3547">
        <v>4.38</v>
      </c>
      <c r="AS113" s="1214">
        <f>+$D$113</f>
        <v>3.6151978836466645</v>
      </c>
      <c r="AT113" s="1214">
        <f t="shared" si="365"/>
        <v>3.9846847020785172</v>
      </c>
      <c r="AU113" s="3546">
        <f>+$D$113</f>
        <v>3.6151978836466645</v>
      </c>
      <c r="AV113" s="3546">
        <v>3.94</v>
      </c>
      <c r="AW113" s="1214">
        <f>+$D$113</f>
        <v>3.6151978836466645</v>
      </c>
      <c r="AX113" s="1214">
        <f t="shared" si="366"/>
        <v>3.981123705453371</v>
      </c>
      <c r="AY113" s="3546">
        <f>+$D$113</f>
        <v>3.6151978836466645</v>
      </c>
      <c r="AZ113" s="3546">
        <v>3.66</v>
      </c>
      <c r="BA113" s="1212">
        <f>+$D$113</f>
        <v>3.6151978836466645</v>
      </c>
      <c r="BB113" s="1212">
        <f t="shared" si="370"/>
        <v>3.991772111106294</v>
      </c>
      <c r="BC113" s="1215">
        <f>+$D$113</f>
        <v>3.6151978836466645</v>
      </c>
      <c r="BD113" s="1215">
        <f t="shared" si="359"/>
        <v>4.1246696745486382</v>
      </c>
      <c r="BE113" s="1214">
        <f>+$D$113</f>
        <v>3.6151978836466645</v>
      </c>
      <c r="BF113" s="1210">
        <f>+((AX113*AX$67)+(AZ113*AZ$67))/BF$67</f>
        <v>3.9529588152491373</v>
      </c>
      <c r="BG113" s="25"/>
      <c r="BH113" s="25"/>
      <c r="BI113" s="25"/>
      <c r="BJ113" s="25"/>
      <c r="BK113" s="25"/>
      <c r="BL113" s="25"/>
      <c r="BM113" s="25"/>
      <c r="BN113" s="25"/>
    </row>
    <row r="114" spans="2:66" hidden="1" x14ac:dyDescent="0.25">
      <c r="B114" s="3537" t="s">
        <v>589</v>
      </c>
      <c r="C114" s="3538" t="s">
        <v>49</v>
      </c>
      <c r="D114" s="742"/>
      <c r="E114" s="3539">
        <f>+$D$114</f>
        <v>0</v>
      </c>
      <c r="F114" s="3539"/>
      <c r="G114" s="3539">
        <f>+$D$114</f>
        <v>0</v>
      </c>
      <c r="H114" s="3539"/>
      <c r="I114" s="3540">
        <f>+$D$114</f>
        <v>0</v>
      </c>
      <c r="J114" s="3541"/>
      <c r="K114" s="1217">
        <f>+$D$114</f>
        <v>0</v>
      </c>
      <c r="L114" s="1217"/>
      <c r="M114" s="1202">
        <f>+$D$114</f>
        <v>0</v>
      </c>
      <c r="N114" s="1218"/>
      <c r="O114" s="1217">
        <f>+$D$114</f>
        <v>0</v>
      </c>
      <c r="P114" s="1217"/>
      <c r="Q114" s="1200">
        <f>+$D$114</f>
        <v>0</v>
      </c>
      <c r="R114" s="1210"/>
      <c r="S114" s="1217">
        <f>+$D$114</f>
        <v>0</v>
      </c>
      <c r="T114" s="1217"/>
      <c r="U114" s="1200">
        <f>+$D$114</f>
        <v>0</v>
      </c>
      <c r="V114" s="1210"/>
      <c r="W114" s="1217">
        <f>+$D$114</f>
        <v>0</v>
      </c>
      <c r="X114" s="1217"/>
      <c r="Y114" s="1202">
        <f>+$D$114</f>
        <v>0</v>
      </c>
      <c r="Z114" s="1218"/>
      <c r="AA114" s="1213">
        <f>+$D$114</f>
        <v>0</v>
      </c>
      <c r="AB114" s="1219"/>
      <c r="AG114" s="2481"/>
      <c r="AH114" s="2481"/>
      <c r="AI114" s="2481"/>
      <c r="AJ114" s="2481"/>
      <c r="AQ114" s="2593"/>
      <c r="AR114" s="2593"/>
      <c r="AS114" s="2593"/>
      <c r="AT114" s="2593"/>
      <c r="AW114" s="25">
        <f t="shared" ref="AW114:AW146" si="371">AS114-AU114</f>
        <v>0</v>
      </c>
      <c r="AX114" s="25">
        <f t="shared" ref="AX114:AX146" si="372">AT114-AV114</f>
        <v>0</v>
      </c>
      <c r="BG114" s="25"/>
      <c r="BH114" s="25"/>
      <c r="BI114" s="25"/>
      <c r="BJ114" s="25"/>
      <c r="BK114" s="25"/>
      <c r="BL114" s="25"/>
      <c r="BM114" s="25"/>
      <c r="BN114" s="25"/>
    </row>
    <row r="115" spans="2:66" hidden="1" x14ac:dyDescent="0.25">
      <c r="B115" s="514" t="s">
        <v>590</v>
      </c>
      <c r="C115" s="62" t="s">
        <v>49</v>
      </c>
      <c r="D115" s="148"/>
      <c r="E115" s="1217">
        <f>+$D$115</f>
        <v>0</v>
      </c>
      <c r="F115" s="1217"/>
      <c r="G115" s="1217">
        <f>+$D$115</f>
        <v>0</v>
      </c>
      <c r="H115" s="1217"/>
      <c r="I115" s="1200">
        <f>+$D$115</f>
        <v>0</v>
      </c>
      <c r="J115" s="1210"/>
      <c r="K115" s="1217">
        <f>+$D$115</f>
        <v>0</v>
      </c>
      <c r="L115" s="1217"/>
      <c r="M115" s="1202">
        <f>+$D$115</f>
        <v>0</v>
      </c>
      <c r="N115" s="1218"/>
      <c r="O115" s="1217">
        <f>+$D$115</f>
        <v>0</v>
      </c>
      <c r="P115" s="1217"/>
      <c r="Q115" s="1200">
        <f>+$D$115</f>
        <v>0</v>
      </c>
      <c r="R115" s="1210"/>
      <c r="S115" s="1217">
        <f>+$D$115</f>
        <v>0</v>
      </c>
      <c r="T115" s="1217"/>
      <c r="U115" s="1200">
        <f>+$D$115</f>
        <v>0</v>
      </c>
      <c r="V115" s="1210"/>
      <c r="W115" s="1217">
        <f>+$D$115</f>
        <v>0</v>
      </c>
      <c r="X115" s="1217"/>
      <c r="Y115" s="1202">
        <f>+$D$115</f>
        <v>0</v>
      </c>
      <c r="Z115" s="1218"/>
      <c r="AA115" s="1213">
        <f>+$D$115</f>
        <v>0</v>
      </c>
      <c r="AB115" s="1219"/>
      <c r="AG115" s="2481"/>
      <c r="AH115" s="2481"/>
      <c r="AI115" s="2481"/>
      <c r="AJ115" s="2481"/>
      <c r="AQ115" s="2593"/>
      <c r="AR115" s="2593"/>
      <c r="AS115" s="2593"/>
      <c r="AT115" s="2593"/>
      <c r="AW115" s="25">
        <f t="shared" si="371"/>
        <v>0</v>
      </c>
      <c r="AX115" s="25">
        <f t="shared" si="372"/>
        <v>0</v>
      </c>
      <c r="BG115" s="25"/>
      <c r="BH115" s="25"/>
      <c r="BI115" s="25"/>
      <c r="BJ115" s="25"/>
      <c r="BK115" s="25"/>
      <c r="BL115" s="25"/>
      <c r="BM115" s="25"/>
      <c r="BN115" s="25"/>
    </row>
    <row r="116" spans="2:66" ht="15" hidden="1" customHeight="1" x14ac:dyDescent="0.25">
      <c r="B116" s="212"/>
      <c r="C116" s="212"/>
      <c r="E116" s="212"/>
      <c r="F116" s="212"/>
      <c r="G116" s="212"/>
      <c r="H116" s="212"/>
      <c r="I116" s="212"/>
      <c r="J116" s="212"/>
      <c r="K116" s="1449"/>
      <c r="L116" s="212"/>
      <c r="M116" s="212"/>
      <c r="N116" s="212"/>
      <c r="O116" s="1449"/>
      <c r="P116" s="212"/>
      <c r="Q116" s="212"/>
      <c r="R116" s="212"/>
      <c r="S116" s="1449"/>
      <c r="T116" s="212"/>
      <c r="U116" s="212"/>
      <c r="V116" s="212"/>
      <c r="W116" s="212"/>
      <c r="X116" s="212"/>
      <c r="Y116" s="212"/>
      <c r="Z116" s="212"/>
      <c r="AA116" s="212"/>
      <c r="AB116" s="212"/>
      <c r="AG116" s="2481"/>
      <c r="AH116" s="2481"/>
      <c r="AI116" s="2481"/>
      <c r="AJ116" s="2481"/>
      <c r="AQ116" s="2593"/>
      <c r="AR116" s="2593"/>
      <c r="AS116" s="2593"/>
      <c r="AT116" s="2593"/>
      <c r="AW116" s="25">
        <f t="shared" si="371"/>
        <v>0</v>
      </c>
      <c r="AX116" s="25">
        <f t="shared" si="372"/>
        <v>0</v>
      </c>
      <c r="BG116" s="25"/>
      <c r="BH116" s="25"/>
      <c r="BI116" s="25"/>
      <c r="BJ116" s="25"/>
      <c r="BK116" s="25"/>
      <c r="BL116" s="25"/>
      <c r="BM116" s="25"/>
      <c r="BN116" s="25"/>
    </row>
    <row r="117" spans="2:66" ht="15" hidden="1" customHeight="1" x14ac:dyDescent="0.25">
      <c r="B117" s="212"/>
      <c r="C117" s="212"/>
      <c r="E117" s="212"/>
      <c r="F117" s="212"/>
      <c r="G117" s="212"/>
      <c r="H117" s="212"/>
      <c r="I117" s="212"/>
      <c r="J117" s="212"/>
      <c r="K117" s="1449"/>
      <c r="L117" s="212"/>
      <c r="M117" s="212"/>
      <c r="N117" s="212"/>
      <c r="O117" s="1449"/>
      <c r="P117" s="212"/>
      <c r="Q117" s="212"/>
      <c r="R117" s="212"/>
      <c r="S117" s="1449"/>
      <c r="T117" s="212"/>
      <c r="U117" s="212"/>
      <c r="V117" s="212"/>
      <c r="W117" s="212"/>
      <c r="X117" s="212"/>
      <c r="Y117" s="212"/>
      <c r="Z117" s="212"/>
      <c r="AA117" s="212"/>
      <c r="AB117" s="212"/>
      <c r="AG117" s="2481"/>
      <c r="AH117" s="2481"/>
      <c r="AI117" s="2481"/>
      <c r="AJ117" s="2481"/>
      <c r="AQ117" s="2593"/>
      <c r="AR117" s="2593"/>
      <c r="AS117" s="2593"/>
      <c r="AT117" s="2593"/>
      <c r="AW117" s="25">
        <f t="shared" si="371"/>
        <v>0</v>
      </c>
      <c r="AX117" s="25">
        <f t="shared" si="372"/>
        <v>0</v>
      </c>
      <c r="BG117" s="25"/>
      <c r="BH117" s="25"/>
      <c r="BI117" s="25"/>
      <c r="BJ117" s="25"/>
      <c r="BK117" s="25"/>
      <c r="BL117" s="25"/>
      <c r="BM117" s="25"/>
      <c r="BN117" s="25"/>
    </row>
    <row r="118" spans="2:66" ht="15" hidden="1" customHeight="1" x14ac:dyDescent="0.25">
      <c r="B118" s="1152" t="s">
        <v>885</v>
      </c>
      <c r="C118" s="212"/>
      <c r="E118" s="212"/>
      <c r="F118" s="212"/>
      <c r="G118" s="212"/>
      <c r="H118" s="212"/>
      <c r="I118" s="212"/>
      <c r="J118" s="212"/>
      <c r="K118" s="1449"/>
      <c r="L118" s="212"/>
      <c r="M118" s="212"/>
      <c r="N118" s="212"/>
      <c r="O118" s="1449"/>
      <c r="P118" s="212"/>
      <c r="Q118" s="212"/>
      <c r="R118" s="212"/>
      <c r="S118" s="1449"/>
      <c r="T118" s="212"/>
      <c r="U118" s="212"/>
      <c r="V118" s="212"/>
      <c r="W118" s="212"/>
      <c r="X118" s="212"/>
      <c r="Y118" s="212"/>
      <c r="Z118" s="212"/>
      <c r="AA118" s="212"/>
      <c r="AB118" s="212"/>
      <c r="AG118" s="2481"/>
      <c r="AH118" s="2481"/>
      <c r="AI118" s="2481"/>
      <c r="AJ118" s="2481"/>
      <c r="AQ118" s="2593"/>
      <c r="AR118" s="2593"/>
      <c r="AS118" s="2593"/>
      <c r="AT118" s="2593"/>
      <c r="AW118" s="25">
        <f t="shared" si="371"/>
        <v>0</v>
      </c>
      <c r="AX118" s="25">
        <f t="shared" si="372"/>
        <v>0</v>
      </c>
      <c r="BG118" s="25"/>
      <c r="BH118" s="25"/>
      <c r="BI118" s="25"/>
      <c r="BJ118" s="25"/>
      <c r="BK118" s="25"/>
      <c r="BL118" s="25"/>
      <c r="BM118" s="25"/>
      <c r="BN118" s="25"/>
    </row>
    <row r="119" spans="2:66" ht="15" hidden="1" customHeight="1" x14ac:dyDescent="0.25">
      <c r="B119" s="1097" t="s">
        <v>752</v>
      </c>
      <c r="C119" s="212"/>
      <c r="E119" s="212"/>
      <c r="F119" s="212"/>
      <c r="G119" s="212"/>
      <c r="H119" s="212"/>
      <c r="I119" s="212"/>
      <c r="J119" s="212"/>
      <c r="K119" s="1449"/>
      <c r="L119" s="212"/>
      <c r="M119" s="212"/>
      <c r="N119" s="212"/>
      <c r="O119" s="1449"/>
      <c r="P119" s="212"/>
      <c r="Q119" s="212"/>
      <c r="R119" s="212"/>
      <c r="S119" s="1449"/>
      <c r="T119" s="212"/>
      <c r="U119" s="212"/>
      <c r="V119" s="212"/>
      <c r="W119" s="212"/>
      <c r="X119" s="212"/>
      <c r="Y119" s="212"/>
      <c r="Z119" s="212"/>
      <c r="AA119" s="212"/>
      <c r="AB119" s="212"/>
      <c r="AG119" s="2481"/>
      <c r="AH119" s="2481"/>
      <c r="AI119" s="2481"/>
      <c r="AJ119" s="2481"/>
      <c r="AQ119" s="2593"/>
      <c r="AR119" s="2593"/>
      <c r="AS119" s="2593"/>
      <c r="AT119" s="2593"/>
      <c r="AW119" s="25">
        <f t="shared" si="371"/>
        <v>0</v>
      </c>
      <c r="AX119" s="25">
        <f t="shared" si="372"/>
        <v>0</v>
      </c>
      <c r="BG119" s="25"/>
      <c r="BH119" s="25"/>
      <c r="BI119" s="25"/>
      <c r="BJ119" s="25"/>
      <c r="BK119" s="25"/>
      <c r="BL119" s="25"/>
      <c r="BM119" s="25"/>
      <c r="BN119" s="25"/>
    </row>
    <row r="120" spans="2:66" ht="15" hidden="1" customHeight="1" x14ac:dyDescent="0.25">
      <c r="B120" s="1153" t="s">
        <v>890</v>
      </c>
      <c r="C120" s="1154" t="s">
        <v>49</v>
      </c>
      <c r="D120" s="685"/>
      <c r="E120" s="1155"/>
      <c r="F120" s="1156">
        <v>8</v>
      </c>
      <c r="G120" s="1155"/>
      <c r="H120" s="1156">
        <v>8</v>
      </c>
      <c r="I120" s="1157"/>
      <c r="J120" s="1158">
        <v>8</v>
      </c>
      <c r="K120" s="1161"/>
      <c r="L120" s="1156">
        <v>8</v>
      </c>
      <c r="M120" s="1159"/>
      <c r="N120" s="1160">
        <v>8</v>
      </c>
      <c r="O120" s="1161"/>
      <c r="P120" s="1156">
        <v>8</v>
      </c>
      <c r="Q120" s="1157"/>
      <c r="R120" s="1158">
        <v>8</v>
      </c>
      <c r="S120" s="1161"/>
      <c r="T120" s="1156">
        <v>8</v>
      </c>
      <c r="U120" s="1157"/>
      <c r="V120" s="1158">
        <v>8</v>
      </c>
      <c r="W120" s="1161"/>
      <c r="X120" s="1162">
        <v>8</v>
      </c>
      <c r="Y120" s="1159"/>
      <c r="Z120" s="1160">
        <v>8</v>
      </c>
      <c r="AA120" s="1163"/>
      <c r="AB120" s="1164">
        <v>8</v>
      </c>
      <c r="AG120" s="2481"/>
      <c r="AH120" s="2481"/>
      <c r="AI120" s="2481"/>
      <c r="AJ120" s="2481"/>
      <c r="AQ120" s="2593"/>
      <c r="AR120" s="2593"/>
      <c r="AS120" s="2593"/>
      <c r="AT120" s="2593"/>
      <c r="AW120" s="25">
        <f t="shared" si="371"/>
        <v>0</v>
      </c>
      <c r="AX120" s="25">
        <f t="shared" si="372"/>
        <v>0</v>
      </c>
      <c r="BG120" s="25"/>
      <c r="BH120" s="25"/>
      <c r="BI120" s="25"/>
      <c r="BJ120" s="25"/>
      <c r="BK120" s="25"/>
      <c r="BL120" s="25"/>
      <c r="BM120" s="25"/>
      <c r="BN120" s="25"/>
    </row>
    <row r="121" spans="2:66" ht="15" hidden="1" customHeight="1" x14ac:dyDescent="0.25">
      <c r="B121" s="1153" t="s">
        <v>891</v>
      </c>
      <c r="C121" s="1154" t="s">
        <v>49</v>
      </c>
      <c r="D121" s="685"/>
      <c r="E121" s="1165"/>
      <c r="F121" s="1166" t="e">
        <f>+'B-FCE'!#REF!</f>
        <v>#REF!</v>
      </c>
      <c r="G121" s="1165"/>
      <c r="H121" s="1166" t="e">
        <f>+'B-FCE'!#REF!</f>
        <v>#REF!</v>
      </c>
      <c r="I121" s="1167"/>
      <c r="J121" s="1168" t="e">
        <f>+'B-FCE'!#REF!</f>
        <v>#REF!</v>
      </c>
      <c r="K121" s="1171"/>
      <c r="L121" s="1166" t="e">
        <f>+'B-FCE'!#REF!</f>
        <v>#REF!</v>
      </c>
      <c r="M121" s="1169"/>
      <c r="N121" s="1170" t="e">
        <f>+'B-FCE'!#REF!</f>
        <v>#REF!</v>
      </c>
      <c r="O121" s="1171"/>
      <c r="P121" s="1166" t="e">
        <f>+'B-FCE'!#REF!</f>
        <v>#REF!</v>
      </c>
      <c r="Q121" s="1167"/>
      <c r="R121" s="1168" t="e">
        <f>+'B-FCE'!#REF!</f>
        <v>#REF!</v>
      </c>
      <c r="S121" s="1171"/>
      <c r="T121" s="1166" t="e">
        <f>+'B-FCE'!#REF!</f>
        <v>#REF!</v>
      </c>
      <c r="U121" s="1167"/>
      <c r="V121" s="1168" t="e">
        <f>+'B-FCE'!#REF!</f>
        <v>#REF!</v>
      </c>
      <c r="W121" s="1171"/>
      <c r="X121" s="1172" t="e">
        <f>+'B-FCE'!#REF!</f>
        <v>#REF!</v>
      </c>
      <c r="Y121" s="1169"/>
      <c r="Z121" s="1170" t="e">
        <f>+'B-FCE'!#REF!</f>
        <v>#REF!</v>
      </c>
      <c r="AA121" s="1173"/>
      <c r="AB121" s="1174" t="e">
        <f>+'B-FCE'!#REF!</f>
        <v>#REF!</v>
      </c>
      <c r="AG121" s="2481"/>
      <c r="AH121" s="2481"/>
      <c r="AI121" s="2481"/>
      <c r="AJ121" s="2481"/>
      <c r="AQ121" s="2593"/>
      <c r="AR121" s="2593"/>
      <c r="AS121" s="2593"/>
      <c r="AT121" s="2593"/>
      <c r="AW121" s="25">
        <f t="shared" si="371"/>
        <v>0</v>
      </c>
      <c r="AX121" s="25">
        <f t="shared" si="372"/>
        <v>0</v>
      </c>
      <c r="BG121" s="25"/>
      <c r="BH121" s="25"/>
      <c r="BI121" s="25"/>
      <c r="BJ121" s="25"/>
      <c r="BK121" s="25"/>
      <c r="BL121" s="25"/>
      <c r="BM121" s="25"/>
      <c r="BN121" s="25"/>
    </row>
    <row r="122" spans="2:66" ht="15" hidden="1" customHeight="1" x14ac:dyDescent="0.25">
      <c r="B122" s="1153" t="s">
        <v>886</v>
      </c>
      <c r="C122" s="1154" t="s">
        <v>49</v>
      </c>
      <c r="D122" s="685"/>
      <c r="E122" s="1165"/>
      <c r="F122" s="1166">
        <v>2.5</v>
      </c>
      <c r="G122" s="1165"/>
      <c r="H122" s="1166">
        <v>2.5</v>
      </c>
      <c r="I122" s="1167"/>
      <c r="J122" s="1168">
        <v>2.5</v>
      </c>
      <c r="K122" s="1171"/>
      <c r="L122" s="1166">
        <v>2.5</v>
      </c>
      <c r="M122" s="1169"/>
      <c r="N122" s="1170">
        <v>2.5</v>
      </c>
      <c r="O122" s="1171"/>
      <c r="P122" s="1166">
        <v>2.5</v>
      </c>
      <c r="Q122" s="1167"/>
      <c r="R122" s="1168">
        <v>2.5</v>
      </c>
      <c r="S122" s="1171"/>
      <c r="T122" s="1166">
        <v>2.5</v>
      </c>
      <c r="U122" s="1167"/>
      <c r="V122" s="1168">
        <v>2.5</v>
      </c>
      <c r="W122" s="1171"/>
      <c r="X122" s="1172">
        <v>2.5</v>
      </c>
      <c r="Y122" s="1169"/>
      <c r="Z122" s="1170">
        <v>2.5</v>
      </c>
      <c r="AA122" s="1173"/>
      <c r="AB122" s="1174">
        <v>2.5</v>
      </c>
      <c r="AG122" s="2481"/>
      <c r="AH122" s="2481"/>
      <c r="AI122" s="2481"/>
      <c r="AJ122" s="2481"/>
      <c r="AQ122" s="2593"/>
      <c r="AR122" s="2593"/>
      <c r="AS122" s="2593"/>
      <c r="AT122" s="2593"/>
      <c r="AW122" s="25">
        <f t="shared" si="371"/>
        <v>0</v>
      </c>
      <c r="AX122" s="25">
        <f t="shared" si="372"/>
        <v>0</v>
      </c>
      <c r="BG122" s="25"/>
      <c r="BH122" s="25"/>
      <c r="BI122" s="25"/>
      <c r="BJ122" s="25"/>
      <c r="BK122" s="25"/>
      <c r="BL122" s="25"/>
      <c r="BM122" s="25"/>
      <c r="BN122" s="25"/>
    </row>
    <row r="123" spans="2:66" ht="15" hidden="1" customHeight="1" x14ac:dyDescent="0.25">
      <c r="B123" s="1175" t="s">
        <v>888</v>
      </c>
      <c r="C123" s="1176" t="s">
        <v>887</v>
      </c>
      <c r="D123" s="1355"/>
      <c r="E123" s="1155"/>
      <c r="F123" s="1156">
        <f>+(F6/(F67/1000))*(100-F120)/100</f>
        <v>715.97542346990735</v>
      </c>
      <c r="G123" s="1155"/>
      <c r="H123" s="1156">
        <f>+(H6/(H67/1000))*(100-H120)/100</f>
        <v>723.18080752928461</v>
      </c>
      <c r="I123" s="1157"/>
      <c r="J123" s="1158">
        <f>+(J6/(J67/1000))*(100-J120)/100</f>
        <v>719.58725420208964</v>
      </c>
      <c r="K123" s="1161"/>
      <c r="L123" s="1156">
        <f>+(L6/(L67/1000))*(100-L120)/100</f>
        <v>720.5542769364879</v>
      </c>
      <c r="M123" s="1159"/>
      <c r="N123" s="1160">
        <f>+(N6/(N67/1000))*(100-N120)/100</f>
        <v>719.92258692382563</v>
      </c>
      <c r="O123" s="1161"/>
      <c r="P123" s="1156">
        <f>+(P6/(P67/1000))*(100-P120)/100</f>
        <v>720.83928032968151</v>
      </c>
      <c r="Q123" s="1157"/>
      <c r="R123" s="1158">
        <f>+(R6/(R67/1000))*(100-R120)/100</f>
        <v>720.16857175222913</v>
      </c>
      <c r="S123" s="1161"/>
      <c r="T123" s="1156">
        <f>+(T6/(T67/1000))*(100-T120)/100</f>
        <v>720.2827921154344</v>
      </c>
      <c r="U123" s="1157"/>
      <c r="V123" s="1158">
        <f>+(V6/(V67/1000))*(100-V120)/100</f>
        <v>720.19202379989133</v>
      </c>
      <c r="W123" s="1161"/>
      <c r="X123" s="1162">
        <f>+(X6/(X67/1000))*(100-X120)/100</f>
        <v>719.71717042349735</v>
      </c>
      <c r="Y123" s="1159"/>
      <c r="Z123" s="1160">
        <f>+(Z6/(Z67/1000))*(100-Z120)/100</f>
        <v>720.29098824056621</v>
      </c>
      <c r="AA123" s="1163"/>
      <c r="AB123" s="1164">
        <f>+(AB6/(AB67/1000))*(100-AB120)/100</f>
        <v>720.11260988901881</v>
      </c>
      <c r="AG123" s="2481"/>
      <c r="AH123" s="2481"/>
      <c r="AI123" s="2481"/>
      <c r="AJ123" s="2481"/>
      <c r="AQ123" s="2593"/>
      <c r="AR123" s="2593"/>
      <c r="AS123" s="2593"/>
      <c r="AT123" s="2593"/>
      <c r="AW123" s="25">
        <f t="shared" si="371"/>
        <v>0</v>
      </c>
      <c r="AX123" s="25">
        <f t="shared" si="372"/>
        <v>0</v>
      </c>
      <c r="BG123" s="25"/>
      <c r="BH123" s="25"/>
      <c r="BI123" s="25"/>
      <c r="BJ123" s="25"/>
      <c r="BK123" s="25"/>
      <c r="BL123" s="25"/>
      <c r="BM123" s="25"/>
      <c r="BN123" s="25"/>
    </row>
    <row r="124" spans="2:66" ht="15" hidden="1" customHeight="1" x14ac:dyDescent="0.25">
      <c r="B124" s="1175" t="s">
        <v>48</v>
      </c>
      <c r="C124" s="1177" t="s">
        <v>352</v>
      </c>
      <c r="D124" s="790"/>
      <c r="E124" s="1155"/>
      <c r="F124" s="1156">
        <f>+F123*F67/1000</f>
        <v>253103.04</v>
      </c>
      <c r="G124" s="1155"/>
      <c r="H124" s="1156">
        <f>+H123*H67/1000</f>
        <v>256950.48</v>
      </c>
      <c r="I124" s="1157"/>
      <c r="J124" s="1158">
        <f>+J123*J67/1000</f>
        <v>510053.51999999996</v>
      </c>
      <c r="K124" s="1161"/>
      <c r="L124" s="1156">
        <f>+L123*L67/1000</f>
        <v>271125.84000000008</v>
      </c>
      <c r="M124" s="1159"/>
      <c r="N124" s="1160">
        <f>+N123*N67/1000</f>
        <v>781179.3600000001</v>
      </c>
      <c r="O124" s="1161"/>
      <c r="P124" s="1156">
        <f>+P123*P67/1000</f>
        <v>286865.20000000007</v>
      </c>
      <c r="Q124" s="1157"/>
      <c r="R124" s="1158">
        <f>+R123*R67/1000</f>
        <v>1068044.5599999998</v>
      </c>
      <c r="S124" s="1161"/>
      <c r="T124" s="1156">
        <f>+T123*T67/1000</f>
        <v>275997.24000000005</v>
      </c>
      <c r="U124" s="1157"/>
      <c r="V124" s="1158">
        <f>+V123*V67/1000</f>
        <v>1344041.7999999998</v>
      </c>
      <c r="W124" s="1161"/>
      <c r="X124" s="1162">
        <f>+X123*X67/1000</f>
        <v>269738.48000000004</v>
      </c>
      <c r="Y124" s="1159"/>
      <c r="Z124" s="1160">
        <f>+Z123*Z67/1000</f>
        <v>832600.92</v>
      </c>
      <c r="AA124" s="1163"/>
      <c r="AB124" s="1164">
        <f>+AB123*AB67/1000</f>
        <v>1613780.28</v>
      </c>
      <c r="AG124" s="2481"/>
      <c r="AH124" s="2481"/>
      <c r="AI124" s="2481"/>
      <c r="AJ124" s="2481"/>
      <c r="AQ124" s="2593"/>
      <c r="AR124" s="2593"/>
      <c r="AS124" s="2593"/>
      <c r="AT124" s="2593"/>
      <c r="AW124" s="25">
        <f t="shared" si="371"/>
        <v>0</v>
      </c>
      <c r="AX124" s="25">
        <f t="shared" si="372"/>
        <v>0</v>
      </c>
      <c r="BG124" s="25"/>
      <c r="BH124" s="25"/>
      <c r="BI124" s="25"/>
      <c r="BJ124" s="25"/>
      <c r="BK124" s="25"/>
      <c r="BL124" s="25"/>
      <c r="BM124" s="25"/>
      <c r="BN124" s="25"/>
    </row>
    <row r="125" spans="2:66" ht="15" hidden="1" customHeight="1" x14ac:dyDescent="0.25">
      <c r="B125" s="1153" t="s">
        <v>209</v>
      </c>
      <c r="C125" s="1177" t="s">
        <v>352</v>
      </c>
      <c r="D125" s="790"/>
      <c r="E125" s="1155"/>
      <c r="F125" s="1156">
        <f>+F124*F120/(100-F120)</f>
        <v>22008.959999999999</v>
      </c>
      <c r="G125" s="1155"/>
      <c r="H125" s="1156">
        <f>+H124*H120/(100-H120)</f>
        <v>22343.52</v>
      </c>
      <c r="I125" s="1157"/>
      <c r="J125" s="1158">
        <f>+J124*J120/(100-J120)</f>
        <v>44352.479999999996</v>
      </c>
      <c r="K125" s="1161"/>
      <c r="L125" s="1156">
        <f>+L124*L120/(100-L120)</f>
        <v>23576.160000000007</v>
      </c>
      <c r="M125" s="1159"/>
      <c r="N125" s="1160">
        <f>+N124*N120/(100-N120)</f>
        <v>67928.640000000014</v>
      </c>
      <c r="O125" s="1161"/>
      <c r="P125" s="1156">
        <f>+P124*P120/(100-P120)</f>
        <v>24944.800000000007</v>
      </c>
      <c r="Q125" s="1157"/>
      <c r="R125" s="1158">
        <f>+R124*R120/(100-R120)</f>
        <v>92873.439999999988</v>
      </c>
      <c r="S125" s="1161"/>
      <c r="T125" s="1156">
        <f>+T124*T120/(100-T120)</f>
        <v>23999.760000000006</v>
      </c>
      <c r="U125" s="1157"/>
      <c r="V125" s="1158">
        <f>+V124*V120/(100-V120)</f>
        <v>116873.19999999998</v>
      </c>
      <c r="W125" s="1161"/>
      <c r="X125" s="1162">
        <f>+X124*X120/(100-X120)</f>
        <v>23455.520000000004</v>
      </c>
      <c r="Y125" s="1159"/>
      <c r="Z125" s="1160">
        <f>+Z124*Z120/(100-Z120)</f>
        <v>72400.08</v>
      </c>
      <c r="AA125" s="1163"/>
      <c r="AB125" s="1164">
        <f>+AB124*AB120/(100-AB120)</f>
        <v>140328.72</v>
      </c>
      <c r="AG125" s="2481"/>
      <c r="AH125" s="2481"/>
      <c r="AI125" s="2481"/>
      <c r="AJ125" s="2481"/>
      <c r="AQ125" s="2593"/>
      <c r="AR125" s="2593"/>
      <c r="AS125" s="2593"/>
      <c r="AT125" s="2593"/>
      <c r="AW125" s="25">
        <f t="shared" si="371"/>
        <v>0</v>
      </c>
      <c r="AX125" s="25">
        <f t="shared" si="372"/>
        <v>0</v>
      </c>
      <c r="BG125" s="25"/>
      <c r="BH125" s="25"/>
      <c r="BI125" s="25"/>
      <c r="BJ125" s="25"/>
      <c r="BK125" s="25"/>
      <c r="BL125" s="25"/>
      <c r="BM125" s="25"/>
      <c r="BN125" s="25"/>
    </row>
    <row r="126" spans="2:66" ht="15" hidden="1" customHeight="1" x14ac:dyDescent="0.25">
      <c r="B126" s="1153" t="s">
        <v>805</v>
      </c>
      <c r="C126" s="1177" t="s">
        <v>352</v>
      </c>
      <c r="D126" s="790"/>
      <c r="E126" s="1155"/>
      <c r="F126" s="1156">
        <f>+F124/(100-F122)*F122</f>
        <v>6489.8215384615387</v>
      </c>
      <c r="G126" s="1155"/>
      <c r="H126" s="1156">
        <f>+H124/(100-H122)*H122</f>
        <v>6588.4738461538464</v>
      </c>
      <c r="I126" s="1157"/>
      <c r="J126" s="1158">
        <f>+J124/(100-J122)*J122</f>
        <v>13078.295384615383</v>
      </c>
      <c r="K126" s="1161"/>
      <c r="L126" s="1156">
        <f>+L124/(100-L122)*L122</f>
        <v>6951.9446153846175</v>
      </c>
      <c r="M126" s="1159"/>
      <c r="N126" s="1160">
        <f>+N124/(100-N122)*N122</f>
        <v>20030.240000000005</v>
      </c>
      <c r="O126" s="1161"/>
      <c r="P126" s="1156">
        <f>+P124/(100-P122)*P122</f>
        <v>7355.5179487179512</v>
      </c>
      <c r="Q126" s="1157"/>
      <c r="R126" s="1158">
        <f>+R124/(100-R122)*R122</f>
        <v>27385.757948717946</v>
      </c>
      <c r="S126" s="1161"/>
      <c r="T126" s="1156">
        <f>+T124/(100-T122)*T122</f>
        <v>7076.8523076923084</v>
      </c>
      <c r="U126" s="1157"/>
      <c r="V126" s="1158">
        <f>+V124/(100-V122)*V122</f>
        <v>34462.610256410255</v>
      </c>
      <c r="W126" s="1161"/>
      <c r="X126" s="1162">
        <f>+X124/(100-X122)*X122</f>
        <v>6916.3712820512828</v>
      </c>
      <c r="Y126" s="1159"/>
      <c r="Z126" s="1160">
        <f>+Z124/(100-Z122)*Z122</f>
        <v>21348.741538461541</v>
      </c>
      <c r="AA126" s="1163"/>
      <c r="AB126" s="1164">
        <f>+AB124/(100-AB122)*AB122</f>
        <v>41378.981538461536</v>
      </c>
      <c r="AG126" s="2481"/>
      <c r="AH126" s="2481"/>
      <c r="AI126" s="2481"/>
      <c r="AJ126" s="2481"/>
      <c r="AQ126" s="2593"/>
      <c r="AR126" s="2593"/>
      <c r="AS126" s="2593"/>
      <c r="AT126" s="2593"/>
      <c r="AW126" s="25">
        <f t="shared" si="371"/>
        <v>0</v>
      </c>
      <c r="AX126" s="25">
        <f t="shared" si="372"/>
        <v>0</v>
      </c>
      <c r="BG126" s="25"/>
      <c r="BH126" s="25"/>
      <c r="BI126" s="25"/>
      <c r="BJ126" s="25"/>
      <c r="BK126" s="25"/>
      <c r="BL126" s="25"/>
      <c r="BM126" s="25"/>
      <c r="BN126" s="25"/>
    </row>
    <row r="127" spans="2:66" ht="15" hidden="1" customHeight="1" x14ac:dyDescent="0.25">
      <c r="B127" s="1153" t="s">
        <v>881</v>
      </c>
      <c r="C127" s="1177" t="s">
        <v>352</v>
      </c>
      <c r="D127" s="790"/>
      <c r="E127" s="1155"/>
      <c r="F127" s="1156">
        <f>+F126*F120/(100-F120)</f>
        <v>564.33230769230772</v>
      </c>
      <c r="G127" s="1155"/>
      <c r="H127" s="1156">
        <f>+H126*H120/(100-H120)</f>
        <v>572.91076923076923</v>
      </c>
      <c r="I127" s="1157"/>
      <c r="J127" s="1158">
        <f>+J126*J120/(100-J120)</f>
        <v>1137.2430769230768</v>
      </c>
      <c r="K127" s="1161"/>
      <c r="L127" s="1156">
        <f>+L126*L120/(100-L120)</f>
        <v>604.51692307692326</v>
      </c>
      <c r="M127" s="1159"/>
      <c r="N127" s="1160">
        <f>+N126*N120/(100-N120)</f>
        <v>1741.7600000000004</v>
      </c>
      <c r="O127" s="1161"/>
      <c r="P127" s="1156">
        <f>+P126*P120/(100-P120)</f>
        <v>639.61025641025662</v>
      </c>
      <c r="Q127" s="1157"/>
      <c r="R127" s="1158">
        <f>+R126*R120/(100-R120)</f>
        <v>2381.3702564102564</v>
      </c>
      <c r="S127" s="1161"/>
      <c r="T127" s="1156">
        <f>+T126*T120/(100-T120)</f>
        <v>615.37846153846158</v>
      </c>
      <c r="U127" s="1157"/>
      <c r="V127" s="1158">
        <f>+V126*V120/(100-V120)</f>
        <v>2996.748717948718</v>
      </c>
      <c r="W127" s="1161"/>
      <c r="X127" s="1162">
        <f>+X126*X120/(100-X120)</f>
        <v>601.42358974358979</v>
      </c>
      <c r="Y127" s="1159"/>
      <c r="Z127" s="1160">
        <f>+Z126*Z120/(100-Z120)</f>
        <v>1856.4123076923079</v>
      </c>
      <c r="AA127" s="1163"/>
      <c r="AB127" s="1164">
        <f>+AB126*AB120/(100-AB120)</f>
        <v>3598.1723076923076</v>
      </c>
      <c r="AG127" s="2481"/>
      <c r="AH127" s="2481"/>
      <c r="AI127" s="2481"/>
      <c r="AJ127" s="2481"/>
      <c r="AQ127" s="2593"/>
      <c r="AR127" s="2593"/>
      <c r="AS127" s="2593"/>
      <c r="AT127" s="2593"/>
      <c r="AW127" s="25">
        <f t="shared" si="371"/>
        <v>0</v>
      </c>
      <c r="AX127" s="25">
        <f t="shared" si="372"/>
        <v>0</v>
      </c>
      <c r="BG127" s="25"/>
      <c r="BH127" s="25"/>
      <c r="BI127" s="25"/>
      <c r="BJ127" s="25"/>
      <c r="BK127" s="25"/>
      <c r="BL127" s="25"/>
      <c r="BM127" s="25"/>
      <c r="BN127" s="25"/>
    </row>
    <row r="128" spans="2:66" ht="15" hidden="1" customHeight="1" x14ac:dyDescent="0.25">
      <c r="B128" s="1153" t="s">
        <v>477</v>
      </c>
      <c r="C128" s="1177" t="s">
        <v>352</v>
      </c>
      <c r="D128" s="790"/>
      <c r="E128" s="1155"/>
      <c r="F128" s="1156">
        <f>SUM(F124:F127)</f>
        <v>282166.15384615387</v>
      </c>
      <c r="G128" s="1155"/>
      <c r="H128" s="1156">
        <f>SUM(H124:H127)</f>
        <v>286455.38461538457</v>
      </c>
      <c r="I128" s="1157"/>
      <c r="J128" s="1158">
        <f>SUM(J124:J127)</f>
        <v>568621.5384615385</v>
      </c>
      <c r="K128" s="1161"/>
      <c r="L128" s="1156">
        <f>SUM(L124:L127)</f>
        <v>302258.46153846168</v>
      </c>
      <c r="M128" s="1159"/>
      <c r="N128" s="1160">
        <f>SUM(N124:N127)</f>
        <v>870880.00000000012</v>
      </c>
      <c r="O128" s="1161"/>
      <c r="P128" s="1156">
        <f>SUM(P124:P127)</f>
        <v>319805.12820512825</v>
      </c>
      <c r="Q128" s="1157"/>
      <c r="R128" s="1158">
        <f>SUM(R124:R127)</f>
        <v>1190685.128205128</v>
      </c>
      <c r="S128" s="1161"/>
      <c r="T128" s="1156">
        <f>SUM(T124:T127)</f>
        <v>307689.23076923081</v>
      </c>
      <c r="U128" s="1157"/>
      <c r="V128" s="1158">
        <f>SUM(V124:V127)</f>
        <v>1498374.3589743588</v>
      </c>
      <c r="W128" s="1161"/>
      <c r="X128" s="1162">
        <f>SUM(X124:X127)</f>
        <v>300711.79487179493</v>
      </c>
      <c r="Y128" s="1159"/>
      <c r="Z128" s="1160">
        <f>SUM(Z124:Z127)</f>
        <v>928206.15384615387</v>
      </c>
      <c r="AA128" s="1163"/>
      <c r="AB128" s="1164">
        <f>SUM(AB124:AB127)</f>
        <v>1799086.1538461538</v>
      </c>
      <c r="AG128" s="2481"/>
      <c r="AH128" s="2481"/>
      <c r="AI128" s="2481"/>
      <c r="AJ128" s="2481"/>
      <c r="AQ128" s="2593"/>
      <c r="AR128" s="2593"/>
      <c r="AS128" s="2593"/>
      <c r="AT128" s="2593"/>
      <c r="AW128" s="25">
        <f t="shared" si="371"/>
        <v>0</v>
      </c>
      <c r="AX128" s="25">
        <f t="shared" si="372"/>
        <v>0</v>
      </c>
      <c r="BG128" s="25"/>
      <c r="BH128" s="25"/>
      <c r="BI128" s="25"/>
      <c r="BJ128" s="25"/>
      <c r="BK128" s="25"/>
      <c r="BL128" s="25"/>
      <c r="BM128" s="25"/>
      <c r="BN128" s="25"/>
    </row>
    <row r="129" spans="2:66" ht="15" hidden="1" customHeight="1" x14ac:dyDescent="0.25">
      <c r="B129" s="1178" t="s">
        <v>889</v>
      </c>
      <c r="C129" s="1177" t="s">
        <v>352</v>
      </c>
      <c r="D129" s="790"/>
      <c r="E129" s="1155"/>
      <c r="F129" s="1156" t="e">
        <f>+'B-FCE'!#REF!+SMS!F146</f>
        <v>#REF!</v>
      </c>
      <c r="G129" s="1155"/>
      <c r="H129" s="1156" t="e">
        <f>+'B-FCE'!#REF!+SMS!H146</f>
        <v>#REF!</v>
      </c>
      <c r="I129" s="1157"/>
      <c r="J129" s="1158" t="e">
        <f>+'B-FCE'!#REF!+SMS!J146</f>
        <v>#REF!</v>
      </c>
      <c r="K129" s="1161"/>
      <c r="L129" s="1156" t="e">
        <f>+'B-FCE'!#REF!+SMS!L146</f>
        <v>#REF!</v>
      </c>
      <c r="M129" s="1159"/>
      <c r="N129" s="1160" t="e">
        <f>+'B-FCE'!#REF!+SMS!N146</f>
        <v>#REF!</v>
      </c>
      <c r="O129" s="1161"/>
      <c r="P129" s="1156" t="e">
        <f>+'B-FCE'!#REF!+SMS!P146</f>
        <v>#REF!</v>
      </c>
      <c r="Q129" s="1157"/>
      <c r="R129" s="1158" t="e">
        <f>+'B-FCE'!#REF!+SMS!R146</f>
        <v>#REF!</v>
      </c>
      <c r="S129" s="1161"/>
      <c r="T129" s="1156" t="e">
        <f>+'B-FCE'!#REF!+SMS!T146</f>
        <v>#REF!</v>
      </c>
      <c r="U129" s="1157"/>
      <c r="V129" s="1158" t="e">
        <f>+'B-FCE'!#REF!+SMS!V146</f>
        <v>#REF!</v>
      </c>
      <c r="W129" s="1161"/>
      <c r="X129" s="1162" t="e">
        <f>+'B-FCE'!#REF!+SMS!X146</f>
        <v>#REF!</v>
      </c>
      <c r="Y129" s="1159"/>
      <c r="Z129" s="1160" t="e">
        <f>+'B-FCE'!#REF!+SMS!Z146</f>
        <v>#REF!</v>
      </c>
      <c r="AA129" s="1163"/>
      <c r="AB129" s="1164" t="e">
        <f>+'B-FCE'!#REF!+SMS!AB146</f>
        <v>#REF!</v>
      </c>
      <c r="AG129" s="2481"/>
      <c r="AH129" s="2481"/>
      <c r="AI129" s="2481"/>
      <c r="AJ129" s="2481"/>
      <c r="AQ129" s="2593"/>
      <c r="AR129" s="2593"/>
      <c r="AS129" s="2593"/>
      <c r="AT129" s="2593"/>
      <c r="AW129" s="25">
        <f t="shared" si="371"/>
        <v>0</v>
      </c>
      <c r="AX129" s="25">
        <f t="shared" si="372"/>
        <v>0</v>
      </c>
      <c r="BG129" s="25"/>
      <c r="BH129" s="25"/>
      <c r="BI129" s="25"/>
      <c r="BJ129" s="25"/>
      <c r="BK129" s="25"/>
      <c r="BL129" s="25"/>
      <c r="BM129" s="25"/>
      <c r="BN129" s="25"/>
    </row>
    <row r="130" spans="2:66" ht="15" hidden="1" customHeight="1" x14ac:dyDescent="0.25">
      <c r="B130" s="1153" t="s">
        <v>209</v>
      </c>
      <c r="C130" s="1177" t="s">
        <v>352</v>
      </c>
      <c r="D130" s="790"/>
      <c r="E130" s="1155"/>
      <c r="F130" s="1156" t="e">
        <f>+F129*F121/(100-F121)</f>
        <v>#REF!</v>
      </c>
      <c r="G130" s="1155"/>
      <c r="H130" s="1156" t="e">
        <f>+H129*H121/(100-H121)</f>
        <v>#REF!</v>
      </c>
      <c r="I130" s="1157"/>
      <c r="J130" s="1158" t="e">
        <f>+J129*J121/(100-J121)</f>
        <v>#REF!</v>
      </c>
      <c r="K130" s="1161"/>
      <c r="L130" s="1156" t="e">
        <f>+L129*L121/(100-L121)</f>
        <v>#REF!</v>
      </c>
      <c r="M130" s="1159"/>
      <c r="N130" s="1160" t="e">
        <f>+N129*N121/(100-N121)</f>
        <v>#REF!</v>
      </c>
      <c r="O130" s="1161"/>
      <c r="P130" s="1156" t="e">
        <f>+P129*P121/(100-P121)</f>
        <v>#REF!</v>
      </c>
      <c r="Q130" s="1157"/>
      <c r="R130" s="1158" t="e">
        <f>+R129*R121/(100-R121)</f>
        <v>#REF!</v>
      </c>
      <c r="S130" s="1161"/>
      <c r="T130" s="1156" t="e">
        <f>+T129*T121/(100-T121)</f>
        <v>#REF!</v>
      </c>
      <c r="U130" s="1157"/>
      <c r="V130" s="1158" t="e">
        <f>+V129*V121/(100-V121)</f>
        <v>#REF!</v>
      </c>
      <c r="W130" s="1161"/>
      <c r="X130" s="1162" t="e">
        <f>+X129*X121/(100-X121)</f>
        <v>#REF!</v>
      </c>
      <c r="Y130" s="1159"/>
      <c r="Z130" s="1160" t="e">
        <f>+Z129*Z121/(100-Z121)</f>
        <v>#REF!</v>
      </c>
      <c r="AA130" s="1163"/>
      <c r="AB130" s="1164" t="e">
        <f>+AB129*AB121/(100-AB121)</f>
        <v>#REF!</v>
      </c>
      <c r="AG130" s="2481"/>
      <c r="AH130" s="2481"/>
      <c r="AI130" s="2481"/>
      <c r="AJ130" s="2481"/>
      <c r="AQ130" s="2593"/>
      <c r="AR130" s="2593"/>
      <c r="AS130" s="2593"/>
      <c r="AT130" s="2593"/>
      <c r="AW130" s="25">
        <f t="shared" si="371"/>
        <v>0</v>
      </c>
      <c r="AX130" s="25">
        <f t="shared" si="372"/>
        <v>0</v>
      </c>
      <c r="BG130" s="25"/>
      <c r="BH130" s="25"/>
      <c r="BI130" s="25"/>
      <c r="BJ130" s="25"/>
      <c r="BK130" s="25"/>
      <c r="BL130" s="25"/>
      <c r="BM130" s="25"/>
      <c r="BN130" s="25"/>
    </row>
    <row r="131" spans="2:66" ht="15" hidden="1" customHeight="1" x14ac:dyDescent="0.25">
      <c r="B131" s="1153" t="s">
        <v>805</v>
      </c>
      <c r="C131" s="1177" t="s">
        <v>352</v>
      </c>
      <c r="D131" s="790"/>
      <c r="E131" s="1155"/>
      <c r="F131" s="1156" t="e">
        <f>+F129/(100-F122)*F122</f>
        <v>#REF!</v>
      </c>
      <c r="G131" s="1155"/>
      <c r="H131" s="1156" t="e">
        <f>+H129/(100-H122)*H122</f>
        <v>#REF!</v>
      </c>
      <c r="I131" s="1157"/>
      <c r="J131" s="1158" t="e">
        <f>+J129/(100-J122)*J122</f>
        <v>#REF!</v>
      </c>
      <c r="K131" s="1161"/>
      <c r="L131" s="1156" t="e">
        <f>+L129/(100-L122)*L122</f>
        <v>#REF!</v>
      </c>
      <c r="M131" s="1159"/>
      <c r="N131" s="1160" t="e">
        <f>+N129/(100-N122)*N122</f>
        <v>#REF!</v>
      </c>
      <c r="O131" s="1161"/>
      <c r="P131" s="1156" t="e">
        <f>+P129/(100-P122)*P122</f>
        <v>#REF!</v>
      </c>
      <c r="Q131" s="1157"/>
      <c r="R131" s="1158" t="e">
        <f>+R129/(100-R122)*R122</f>
        <v>#REF!</v>
      </c>
      <c r="S131" s="1161"/>
      <c r="T131" s="1156" t="e">
        <f>+T129/(100-T122)*T122</f>
        <v>#REF!</v>
      </c>
      <c r="U131" s="1157"/>
      <c r="V131" s="1158" t="e">
        <f>+V129/(100-V122)*V122</f>
        <v>#REF!</v>
      </c>
      <c r="W131" s="1161"/>
      <c r="X131" s="1162" t="e">
        <f>+X129/(100-X122)*X122</f>
        <v>#REF!</v>
      </c>
      <c r="Y131" s="1159"/>
      <c r="Z131" s="1160" t="e">
        <f>+Z129/(100-Z122)*Z122</f>
        <v>#REF!</v>
      </c>
      <c r="AA131" s="1163"/>
      <c r="AB131" s="1164" t="e">
        <f>+AB129/(100-AB122)*AB122</f>
        <v>#REF!</v>
      </c>
      <c r="AG131" s="2481"/>
      <c r="AH131" s="2481"/>
      <c r="AI131" s="2481"/>
      <c r="AJ131" s="2481"/>
      <c r="AQ131" s="2593"/>
      <c r="AR131" s="2593"/>
      <c r="AS131" s="2593"/>
      <c r="AT131" s="2593"/>
      <c r="AW131" s="25">
        <f t="shared" si="371"/>
        <v>0</v>
      </c>
      <c r="AX131" s="25">
        <f t="shared" si="372"/>
        <v>0</v>
      </c>
      <c r="BG131" s="25"/>
      <c r="BH131" s="25"/>
      <c r="BI131" s="25"/>
      <c r="BJ131" s="25"/>
      <c r="BK131" s="25"/>
      <c r="BL131" s="25"/>
      <c r="BM131" s="25"/>
      <c r="BN131" s="25"/>
    </row>
    <row r="132" spans="2:66" ht="15" hidden="1" customHeight="1" x14ac:dyDescent="0.25">
      <c r="B132" s="1153" t="s">
        <v>881</v>
      </c>
      <c r="C132" s="1177" t="s">
        <v>352</v>
      </c>
      <c r="D132" s="790"/>
      <c r="E132" s="1155"/>
      <c r="F132" s="1156" t="e">
        <f>+F131*F121/(100-F121)</f>
        <v>#REF!</v>
      </c>
      <c r="G132" s="1155"/>
      <c r="H132" s="1156" t="e">
        <f>+H131*H121/(100-H121)</f>
        <v>#REF!</v>
      </c>
      <c r="I132" s="1157"/>
      <c r="J132" s="1158" t="e">
        <f>+J131*J121/(100-J121)</f>
        <v>#REF!</v>
      </c>
      <c r="K132" s="1161"/>
      <c r="L132" s="1156" t="e">
        <f>+L131*L121/(100-L121)</f>
        <v>#REF!</v>
      </c>
      <c r="M132" s="1159"/>
      <c r="N132" s="1160" t="e">
        <f>+N131*N121/(100-N121)</f>
        <v>#REF!</v>
      </c>
      <c r="O132" s="1161"/>
      <c r="P132" s="1156" t="e">
        <f>+P131*P121/(100-P121)</f>
        <v>#REF!</v>
      </c>
      <c r="Q132" s="1157"/>
      <c r="R132" s="1158" t="e">
        <f>+R131*R121/(100-R121)</f>
        <v>#REF!</v>
      </c>
      <c r="S132" s="1161"/>
      <c r="T132" s="1156" t="e">
        <f>+T131*T121/(100-T121)</f>
        <v>#REF!</v>
      </c>
      <c r="U132" s="1157"/>
      <c r="V132" s="1158" t="e">
        <f>+V131*V121/(100-V121)</f>
        <v>#REF!</v>
      </c>
      <c r="W132" s="1161"/>
      <c r="X132" s="1162" t="e">
        <f>+X131*X121/(100-X121)</f>
        <v>#REF!</v>
      </c>
      <c r="Y132" s="1159"/>
      <c r="Z132" s="1160" t="e">
        <f>+Z131*Z121/(100-Z121)</f>
        <v>#REF!</v>
      </c>
      <c r="AA132" s="1163"/>
      <c r="AB132" s="1164" t="e">
        <f>+AB131*AB121/(100-AB121)</f>
        <v>#REF!</v>
      </c>
      <c r="AG132" s="2481"/>
      <c r="AH132" s="2481"/>
      <c r="AI132" s="2481"/>
      <c r="AJ132" s="2481"/>
      <c r="AQ132" s="2593"/>
      <c r="AR132" s="2593"/>
      <c r="AS132" s="2593"/>
      <c r="AT132" s="2593"/>
      <c r="AW132" s="25">
        <f t="shared" si="371"/>
        <v>0</v>
      </c>
      <c r="AX132" s="25">
        <f t="shared" si="372"/>
        <v>0</v>
      </c>
      <c r="BG132" s="25"/>
      <c r="BH132" s="25"/>
      <c r="BI132" s="25"/>
      <c r="BJ132" s="25"/>
      <c r="BK132" s="25"/>
      <c r="BL132" s="25"/>
      <c r="BM132" s="25"/>
      <c r="BN132" s="25"/>
    </row>
    <row r="133" spans="2:66" ht="15" hidden="1" customHeight="1" x14ac:dyDescent="0.25">
      <c r="B133" s="1153" t="s">
        <v>477</v>
      </c>
      <c r="C133" s="1177" t="s">
        <v>352</v>
      </c>
      <c r="D133" s="790"/>
      <c r="E133" s="1155"/>
      <c r="F133" s="1156" t="e">
        <f>SUM(F129:F132)</f>
        <v>#REF!</v>
      </c>
      <c r="G133" s="1155"/>
      <c r="H133" s="1156" t="e">
        <f>SUM(H129:H132)</f>
        <v>#REF!</v>
      </c>
      <c r="I133" s="1157"/>
      <c r="J133" s="1158" t="e">
        <f>SUM(J129:J132)</f>
        <v>#REF!</v>
      </c>
      <c r="K133" s="1161"/>
      <c r="L133" s="1156" t="e">
        <f>SUM(L129:L132)</f>
        <v>#REF!</v>
      </c>
      <c r="M133" s="1159"/>
      <c r="N133" s="1160" t="e">
        <f>SUM(N129:N132)</f>
        <v>#REF!</v>
      </c>
      <c r="O133" s="1161"/>
      <c r="P133" s="1156" t="e">
        <f>SUM(P129:P132)</f>
        <v>#REF!</v>
      </c>
      <c r="Q133" s="1157"/>
      <c r="R133" s="1158" t="e">
        <f>SUM(R129:R132)</f>
        <v>#REF!</v>
      </c>
      <c r="S133" s="1161"/>
      <c r="T133" s="1156" t="e">
        <f>SUM(T129:T132)</f>
        <v>#REF!</v>
      </c>
      <c r="U133" s="1157"/>
      <c r="V133" s="1158" t="e">
        <f>SUM(V129:V132)</f>
        <v>#REF!</v>
      </c>
      <c r="W133" s="1161"/>
      <c r="X133" s="1162" t="e">
        <f>SUM(X129:X132)</f>
        <v>#REF!</v>
      </c>
      <c r="Y133" s="1159"/>
      <c r="Z133" s="1160" t="e">
        <f>SUM(Z129:Z132)</f>
        <v>#REF!</v>
      </c>
      <c r="AA133" s="1163"/>
      <c r="AB133" s="1164" t="e">
        <f>SUM(AB129:AB132)</f>
        <v>#REF!</v>
      </c>
      <c r="AG133" s="2481"/>
      <c r="AH133" s="2481"/>
      <c r="AI133" s="2481"/>
      <c r="AJ133" s="2481"/>
      <c r="AQ133" s="2593"/>
      <c r="AR133" s="2593"/>
      <c r="AS133" s="2593"/>
      <c r="AT133" s="2593"/>
      <c r="AW133" s="25">
        <f t="shared" si="371"/>
        <v>0</v>
      </c>
      <c r="AX133" s="25">
        <f t="shared" si="372"/>
        <v>0</v>
      </c>
      <c r="BG133" s="25"/>
      <c r="BH133" s="25"/>
      <c r="BI133" s="25"/>
      <c r="BJ133" s="25"/>
      <c r="BK133" s="25"/>
      <c r="BL133" s="25"/>
      <c r="BM133" s="25"/>
      <c r="BN133" s="25"/>
    </row>
    <row r="134" spans="2:66" ht="15" hidden="1" customHeight="1" x14ac:dyDescent="0.25">
      <c r="B134" s="1178"/>
      <c r="C134" s="1176"/>
      <c r="D134" s="1355"/>
      <c r="E134" s="1155"/>
      <c r="F134" s="1156"/>
      <c r="G134" s="1155"/>
      <c r="H134" s="1156"/>
      <c r="I134" s="1157"/>
      <c r="J134" s="1158"/>
      <c r="K134" s="1161"/>
      <c r="L134" s="1156"/>
      <c r="M134" s="1159"/>
      <c r="N134" s="1160"/>
      <c r="O134" s="1161"/>
      <c r="P134" s="1156"/>
      <c r="Q134" s="1157"/>
      <c r="R134" s="1158"/>
      <c r="S134" s="1161"/>
      <c r="T134" s="1156"/>
      <c r="U134" s="1157"/>
      <c r="V134" s="1158"/>
      <c r="W134" s="1161"/>
      <c r="X134" s="1162"/>
      <c r="Y134" s="1159"/>
      <c r="Z134" s="1160"/>
      <c r="AA134" s="1163"/>
      <c r="AB134" s="1164"/>
      <c r="AG134" s="2481"/>
      <c r="AH134" s="2481"/>
      <c r="AI134" s="2481"/>
      <c r="AJ134" s="2481"/>
      <c r="AQ134" s="2593"/>
      <c r="AR134" s="2593"/>
      <c r="AS134" s="2593"/>
      <c r="AT134" s="2593"/>
      <c r="AW134" s="25">
        <f t="shared" si="371"/>
        <v>0</v>
      </c>
      <c r="AX134" s="25">
        <f t="shared" si="372"/>
        <v>0</v>
      </c>
      <c r="BG134" s="25"/>
      <c r="BH134" s="25"/>
      <c r="BI134" s="25"/>
      <c r="BJ134" s="25"/>
      <c r="BK134" s="25"/>
      <c r="BL134" s="25"/>
      <c r="BM134" s="25"/>
      <c r="BN134" s="25"/>
    </row>
    <row r="135" spans="2:66" ht="15" hidden="1" customHeight="1" x14ac:dyDescent="0.25">
      <c r="B135" s="1153" t="s">
        <v>892</v>
      </c>
      <c r="C135" s="1177" t="s">
        <v>352</v>
      </c>
      <c r="D135" s="790"/>
      <c r="E135" s="1155"/>
      <c r="F135" s="1156" t="e">
        <f>+F128-F133</f>
        <v>#REF!</v>
      </c>
      <c r="G135" s="1155"/>
      <c r="H135" s="1156" t="e">
        <f>+H128-H133</f>
        <v>#REF!</v>
      </c>
      <c r="I135" s="1157"/>
      <c r="J135" s="1158" t="e">
        <f>+J128-J133</f>
        <v>#REF!</v>
      </c>
      <c r="K135" s="1161"/>
      <c r="L135" s="1156" t="e">
        <f>+L128-L133</f>
        <v>#REF!</v>
      </c>
      <c r="M135" s="1159"/>
      <c r="N135" s="1160" t="e">
        <f>+N128-N133</f>
        <v>#REF!</v>
      </c>
      <c r="O135" s="1161"/>
      <c r="P135" s="1156" t="e">
        <f>+P128-P133</f>
        <v>#REF!</v>
      </c>
      <c r="Q135" s="1157"/>
      <c r="R135" s="1158" t="e">
        <f>+R128-R133</f>
        <v>#REF!</v>
      </c>
      <c r="S135" s="1161"/>
      <c r="T135" s="1156" t="e">
        <f>+T128-T133</f>
        <v>#REF!</v>
      </c>
      <c r="U135" s="1157"/>
      <c r="V135" s="1158" t="e">
        <f>+V128-V133</f>
        <v>#REF!</v>
      </c>
      <c r="W135" s="1161"/>
      <c r="X135" s="1162" t="e">
        <f>+X128-X133</f>
        <v>#REF!</v>
      </c>
      <c r="Y135" s="1159"/>
      <c r="Z135" s="1160" t="e">
        <f>+Z128-Z133</f>
        <v>#REF!</v>
      </c>
      <c r="AA135" s="1163"/>
      <c r="AB135" s="1164" t="e">
        <f>+AB128-AB133</f>
        <v>#REF!</v>
      </c>
      <c r="AG135" s="2481"/>
      <c r="AH135" s="2481"/>
      <c r="AI135" s="2481"/>
      <c r="AJ135" s="2481"/>
      <c r="AQ135" s="2593"/>
      <c r="AR135" s="2593"/>
      <c r="AS135" s="2593"/>
      <c r="AT135" s="2593"/>
      <c r="AW135" s="25">
        <f t="shared" si="371"/>
        <v>0</v>
      </c>
      <c r="AX135" s="25">
        <f t="shared" si="372"/>
        <v>0</v>
      </c>
      <c r="BG135" s="25"/>
      <c r="BH135" s="25"/>
      <c r="BI135" s="25"/>
      <c r="BJ135" s="25"/>
      <c r="BK135" s="25"/>
      <c r="BL135" s="25"/>
      <c r="BM135" s="25"/>
      <c r="BN135" s="25"/>
    </row>
    <row r="136" spans="2:66" ht="15" hidden="1" customHeight="1" x14ac:dyDescent="0.25">
      <c r="B136" s="1178"/>
      <c r="C136" s="1176"/>
      <c r="E136" s="212"/>
      <c r="F136" s="212"/>
      <c r="G136" s="212"/>
      <c r="H136" s="212"/>
      <c r="I136" s="212"/>
      <c r="J136" s="212"/>
      <c r="K136" s="1449"/>
      <c r="L136" s="212"/>
      <c r="M136" s="212"/>
      <c r="N136" s="212"/>
      <c r="O136" s="1449"/>
      <c r="P136" s="212"/>
      <c r="Q136" s="212"/>
      <c r="R136" s="212"/>
      <c r="S136" s="1449"/>
      <c r="T136" s="212"/>
      <c r="U136" s="212"/>
      <c r="V136" s="212"/>
      <c r="W136" s="212"/>
      <c r="X136" s="212"/>
      <c r="Y136" s="212"/>
      <c r="Z136" s="212"/>
      <c r="AA136" s="212"/>
      <c r="AB136" s="212"/>
      <c r="AG136" s="2481"/>
      <c r="AH136" s="2481"/>
      <c r="AI136" s="2481"/>
      <c r="AJ136" s="2481"/>
      <c r="AQ136" s="2593"/>
      <c r="AR136" s="2593"/>
      <c r="AS136" s="2593"/>
      <c r="AT136" s="2593"/>
      <c r="AW136" s="25">
        <f t="shared" si="371"/>
        <v>0</v>
      </c>
      <c r="AX136" s="25">
        <f t="shared" si="372"/>
        <v>0</v>
      </c>
      <c r="BG136" s="25"/>
      <c r="BH136" s="25"/>
      <c r="BI136" s="25"/>
      <c r="BJ136" s="25"/>
      <c r="BK136" s="25"/>
      <c r="BL136" s="25"/>
      <c r="BM136" s="25"/>
      <c r="BN136" s="25"/>
    </row>
    <row r="137" spans="2:66" ht="15.75" hidden="1" customHeight="1" x14ac:dyDescent="0.25">
      <c r="B137" s="1179" t="s">
        <v>754</v>
      </c>
      <c r="C137" s="1176"/>
      <c r="E137" s="212"/>
      <c r="F137" s="212"/>
      <c r="G137" s="212"/>
      <c r="H137" s="212"/>
      <c r="I137" s="212"/>
      <c r="J137" s="212"/>
      <c r="K137" s="1449"/>
      <c r="L137" s="212"/>
      <c r="M137" s="212"/>
      <c r="N137" s="212"/>
      <c r="O137" s="1449"/>
      <c r="P137" s="212"/>
      <c r="Q137" s="212"/>
      <c r="R137" s="212"/>
      <c r="S137" s="1449"/>
      <c r="T137" s="212"/>
      <c r="U137" s="212"/>
      <c r="V137" s="212"/>
      <c r="W137" s="212"/>
      <c r="X137" s="212"/>
      <c r="Y137" s="212"/>
      <c r="Z137" s="212"/>
      <c r="AA137" s="212"/>
      <c r="AB137" s="212"/>
      <c r="AG137" s="2481"/>
      <c r="AH137" s="2481"/>
      <c r="AI137" s="2481"/>
      <c r="AJ137" s="2481"/>
      <c r="AQ137" s="2593"/>
      <c r="AR137" s="2593"/>
      <c r="AS137" s="2593"/>
      <c r="AT137" s="2593"/>
      <c r="AW137" s="25">
        <f t="shared" si="371"/>
        <v>0</v>
      </c>
      <c r="AX137" s="25">
        <f t="shared" si="372"/>
        <v>0</v>
      </c>
      <c r="BG137" s="25"/>
      <c r="BH137" s="25"/>
      <c r="BI137" s="25"/>
      <c r="BJ137" s="25"/>
      <c r="BK137" s="25"/>
      <c r="BL137" s="25"/>
      <c r="BM137" s="25"/>
      <c r="BN137" s="25"/>
    </row>
    <row r="138" spans="2:66" ht="15" hidden="1" customHeight="1" x14ac:dyDescent="0.25">
      <c r="B138" s="1153" t="s">
        <v>19</v>
      </c>
      <c r="C138" s="1177" t="s">
        <v>352</v>
      </c>
      <c r="D138" s="790"/>
      <c r="E138" s="1155"/>
      <c r="F138" s="1156">
        <f>+F7+F42</f>
        <v>16982</v>
      </c>
      <c r="G138" s="1155"/>
      <c r="H138" s="1156">
        <f>+H7+H42</f>
        <v>21120</v>
      </c>
      <c r="I138" s="1157"/>
      <c r="J138" s="1158">
        <f>+J7+J42</f>
        <v>38102</v>
      </c>
      <c r="K138" s="1161"/>
      <c r="L138" s="1156">
        <f>+L7+L42</f>
        <v>19567</v>
      </c>
      <c r="M138" s="1159"/>
      <c r="N138" s="1160">
        <f>+N7+N42</f>
        <v>57669</v>
      </c>
      <c r="O138" s="1161"/>
      <c r="P138" s="1156">
        <f>+P7+P42</f>
        <v>30125</v>
      </c>
      <c r="Q138" s="1157"/>
      <c r="R138" s="1158">
        <f>+R7+R42</f>
        <v>87794</v>
      </c>
      <c r="S138" s="1161"/>
      <c r="T138" s="1156">
        <f>+T7+T42</f>
        <v>24036</v>
      </c>
      <c r="U138" s="1157"/>
      <c r="V138" s="1158">
        <f>+V7+V42</f>
        <v>111830</v>
      </c>
      <c r="W138" s="1161"/>
      <c r="X138" s="1162">
        <f>+X7+X42</f>
        <v>27437</v>
      </c>
      <c r="Y138" s="1159"/>
      <c r="Z138" s="1160">
        <f>+Z7+Z42</f>
        <v>81598</v>
      </c>
      <c r="AA138" s="1163"/>
      <c r="AB138" s="1164">
        <f>+AB7+AB42</f>
        <v>139267</v>
      </c>
      <c r="AG138" s="2481"/>
      <c r="AH138" s="2481"/>
      <c r="AI138" s="2481"/>
      <c r="AJ138" s="2481"/>
      <c r="AQ138" s="2593"/>
      <c r="AR138" s="2593"/>
      <c r="AS138" s="2593"/>
      <c r="AT138" s="2593"/>
      <c r="AW138" s="25">
        <f t="shared" si="371"/>
        <v>0</v>
      </c>
      <c r="AX138" s="25">
        <f t="shared" si="372"/>
        <v>0</v>
      </c>
      <c r="BG138" s="25"/>
      <c r="BH138" s="25"/>
      <c r="BI138" s="25"/>
      <c r="BJ138" s="25"/>
      <c r="BK138" s="25"/>
      <c r="BL138" s="25"/>
      <c r="BM138" s="25"/>
      <c r="BN138" s="25"/>
    </row>
    <row r="139" spans="2:66" ht="15" hidden="1" customHeight="1" x14ac:dyDescent="0.25">
      <c r="B139" s="1153" t="s">
        <v>886</v>
      </c>
      <c r="C139" s="1180" t="s">
        <v>49</v>
      </c>
      <c r="D139" s="1337"/>
      <c r="E139" s="1181"/>
      <c r="F139" s="1182">
        <v>1.25</v>
      </c>
      <c r="G139" s="1181"/>
      <c r="H139" s="1182">
        <v>1.25</v>
      </c>
      <c r="I139" s="1183"/>
      <c r="J139" s="1184">
        <v>1.25</v>
      </c>
      <c r="K139" s="1187"/>
      <c r="L139" s="1182">
        <v>1.25</v>
      </c>
      <c r="M139" s="1185"/>
      <c r="N139" s="1186">
        <v>1.25</v>
      </c>
      <c r="O139" s="1187"/>
      <c r="P139" s="1182">
        <v>1.25</v>
      </c>
      <c r="Q139" s="1183"/>
      <c r="R139" s="1184">
        <v>1.25</v>
      </c>
      <c r="S139" s="1187"/>
      <c r="T139" s="1182">
        <v>1.25</v>
      </c>
      <c r="U139" s="1183"/>
      <c r="V139" s="1184">
        <v>1.25</v>
      </c>
      <c r="W139" s="1187"/>
      <c r="X139" s="1188">
        <v>1.25</v>
      </c>
      <c r="Y139" s="1185"/>
      <c r="Z139" s="1186">
        <v>1.25</v>
      </c>
      <c r="AA139" s="1189"/>
      <c r="AB139" s="1190">
        <v>1.25</v>
      </c>
      <c r="AG139" s="2481"/>
      <c r="AH139" s="2481"/>
      <c r="AI139" s="2481"/>
      <c r="AJ139" s="2481"/>
      <c r="AQ139" s="2593"/>
      <c r="AR139" s="2593"/>
      <c r="AS139" s="2593"/>
      <c r="AT139" s="2593"/>
      <c r="AW139" s="25">
        <f t="shared" si="371"/>
        <v>0</v>
      </c>
      <c r="AX139" s="25">
        <f t="shared" si="372"/>
        <v>0</v>
      </c>
      <c r="BG139" s="25"/>
      <c r="BH139" s="25"/>
      <c r="BI139" s="25"/>
      <c r="BJ139" s="25"/>
      <c r="BK139" s="25"/>
      <c r="BL139" s="25"/>
      <c r="BM139" s="25"/>
      <c r="BN139" s="25"/>
    </row>
    <row r="140" spans="2:66" ht="15" hidden="1" customHeight="1" x14ac:dyDescent="0.25">
      <c r="B140" s="1153" t="s">
        <v>886</v>
      </c>
      <c r="C140" s="1177" t="s">
        <v>352</v>
      </c>
      <c r="D140" s="790"/>
      <c r="E140" s="1155"/>
      <c r="F140" s="1156">
        <f>+F138*F139/(100-F139)</f>
        <v>214.96202531645571</v>
      </c>
      <c r="G140" s="1155"/>
      <c r="H140" s="1156">
        <f>+H138*H139/(100-H139)</f>
        <v>267.34177215189874</v>
      </c>
      <c r="I140" s="1157"/>
      <c r="J140" s="1158">
        <f>+J138*J139/(100-J139)</f>
        <v>482.30379746835445</v>
      </c>
      <c r="K140" s="1161"/>
      <c r="L140" s="1156">
        <f>+L138*L139/(100-L139)</f>
        <v>247.68354430379748</v>
      </c>
      <c r="M140" s="1159"/>
      <c r="N140" s="1160">
        <f>+N138*N139/(100-N139)</f>
        <v>729.98734177215192</v>
      </c>
      <c r="O140" s="1161"/>
      <c r="P140" s="1156">
        <f>+P138*P139/(100-P139)</f>
        <v>381.32911392405066</v>
      </c>
      <c r="Q140" s="1157"/>
      <c r="R140" s="1158">
        <f>+R138*R139/(100-R139)</f>
        <v>1111.3164556962026</v>
      </c>
      <c r="S140" s="1161"/>
      <c r="T140" s="1156">
        <f>+T138*T139/(100-T139)</f>
        <v>304.25316455696202</v>
      </c>
      <c r="U140" s="1157"/>
      <c r="V140" s="1158">
        <f>+V138*V139/(100-V139)</f>
        <v>1415.5696202531647</v>
      </c>
      <c r="W140" s="1161"/>
      <c r="X140" s="1162">
        <f>+X138*X139/(100-X139)</f>
        <v>347.30379746835445</v>
      </c>
      <c r="Y140" s="1159"/>
      <c r="Z140" s="1160">
        <f>+Z138*Z139/(100-Z139)</f>
        <v>1032.8860759493671</v>
      </c>
      <c r="AA140" s="1163"/>
      <c r="AB140" s="1164">
        <f>+AB138*AB139/(100-AB139)</f>
        <v>1762.873417721519</v>
      </c>
      <c r="AG140" s="2481"/>
      <c r="AH140" s="2481"/>
      <c r="AI140" s="2481"/>
      <c r="AJ140" s="2481"/>
      <c r="AQ140" s="2593"/>
      <c r="AR140" s="2593"/>
      <c r="AS140" s="2593"/>
      <c r="AT140" s="2593"/>
      <c r="AW140" s="25">
        <f t="shared" si="371"/>
        <v>0</v>
      </c>
      <c r="AX140" s="25">
        <f t="shared" si="372"/>
        <v>0</v>
      </c>
      <c r="BG140" s="25"/>
      <c r="BH140" s="25"/>
      <c r="BI140" s="25"/>
      <c r="BJ140" s="25"/>
      <c r="BK140" s="25"/>
      <c r="BL140" s="25"/>
      <c r="BM140" s="25"/>
      <c r="BN140" s="25"/>
    </row>
    <row r="141" spans="2:66" ht="15" hidden="1" customHeight="1" x14ac:dyDescent="0.25">
      <c r="B141" s="1153" t="s">
        <v>477</v>
      </c>
      <c r="C141" s="1177" t="s">
        <v>352</v>
      </c>
      <c r="D141" s="790"/>
      <c r="E141" s="1155"/>
      <c r="F141" s="1156">
        <f>+F140+F138</f>
        <v>17196.962025316454</v>
      </c>
      <c r="G141" s="1155"/>
      <c r="H141" s="1156">
        <f>+H140+H138</f>
        <v>21387.3417721519</v>
      </c>
      <c r="I141" s="1157"/>
      <c r="J141" s="1158">
        <f>+J140+J138</f>
        <v>38584.303797468354</v>
      </c>
      <c r="K141" s="1161"/>
      <c r="L141" s="1156">
        <f>+L140+L138</f>
        <v>19814.683544303796</v>
      </c>
      <c r="M141" s="1159"/>
      <c r="N141" s="1160">
        <f>+N140+N138</f>
        <v>58398.987341772154</v>
      </c>
      <c r="O141" s="1161"/>
      <c r="P141" s="1156">
        <f>+P140+P138</f>
        <v>30506.32911392405</v>
      </c>
      <c r="Q141" s="1157"/>
      <c r="R141" s="1158">
        <f>+R140+R138</f>
        <v>88905.3164556962</v>
      </c>
      <c r="S141" s="1161"/>
      <c r="T141" s="1156">
        <f>+T140+T138</f>
        <v>24340.253164556962</v>
      </c>
      <c r="U141" s="1157"/>
      <c r="V141" s="1158">
        <f>+V140+V138</f>
        <v>113245.56962025317</v>
      </c>
      <c r="W141" s="1161"/>
      <c r="X141" s="1162">
        <f>+X140+X138</f>
        <v>27784.303797468354</v>
      </c>
      <c r="Y141" s="1159"/>
      <c r="Z141" s="1160">
        <f>+Z140+Z138</f>
        <v>82630.886075949369</v>
      </c>
      <c r="AA141" s="1163"/>
      <c r="AB141" s="1164">
        <f>+AB140+AB138</f>
        <v>141029.87341772151</v>
      </c>
      <c r="AG141" s="2481"/>
      <c r="AH141" s="2481"/>
      <c r="AI141" s="2481"/>
      <c r="AJ141" s="2481"/>
      <c r="AQ141" s="2593"/>
      <c r="AR141" s="2593"/>
      <c r="AS141" s="2593"/>
      <c r="AT141" s="2593"/>
      <c r="AW141" s="25">
        <f t="shared" si="371"/>
        <v>0</v>
      </c>
      <c r="AX141" s="25">
        <f t="shared" si="372"/>
        <v>0</v>
      </c>
      <c r="BG141" s="25"/>
      <c r="BH141" s="25"/>
      <c r="BI141" s="25"/>
      <c r="BJ141" s="25"/>
      <c r="BK141" s="25"/>
      <c r="BL141" s="25"/>
      <c r="BM141" s="25"/>
      <c r="BN141" s="25"/>
    </row>
    <row r="142" spans="2:66" ht="15" hidden="1" customHeight="1" x14ac:dyDescent="0.25">
      <c r="B142" s="1153"/>
      <c r="C142" s="1177"/>
      <c r="D142" s="790"/>
      <c r="E142" s="1155"/>
      <c r="F142" s="1156"/>
      <c r="G142" s="1155"/>
      <c r="H142" s="1156"/>
      <c r="I142" s="1157"/>
      <c r="J142" s="1158"/>
      <c r="K142" s="1161"/>
      <c r="L142" s="1156"/>
      <c r="M142" s="1159"/>
      <c r="N142" s="1160"/>
      <c r="O142" s="1161"/>
      <c r="P142" s="1156"/>
      <c r="Q142" s="1157"/>
      <c r="R142" s="1158"/>
      <c r="S142" s="1161"/>
      <c r="T142" s="1156"/>
      <c r="U142" s="1157"/>
      <c r="V142" s="1158"/>
      <c r="W142" s="1161"/>
      <c r="X142" s="1162"/>
      <c r="Y142" s="1159"/>
      <c r="Z142" s="1160"/>
      <c r="AA142" s="1163"/>
      <c r="AB142" s="1164"/>
      <c r="AG142" s="2481"/>
      <c r="AH142" s="2481"/>
      <c r="AI142" s="2481"/>
      <c r="AJ142" s="2481"/>
      <c r="AQ142" s="2593"/>
      <c r="AR142" s="2593"/>
      <c r="AS142" s="2593"/>
      <c r="AT142" s="2593"/>
      <c r="AW142" s="25">
        <f t="shared" si="371"/>
        <v>0</v>
      </c>
      <c r="AX142" s="25">
        <f t="shared" si="372"/>
        <v>0</v>
      </c>
      <c r="BG142" s="25"/>
      <c r="BH142" s="25"/>
      <c r="BI142" s="25"/>
      <c r="BJ142" s="25"/>
      <c r="BK142" s="25"/>
      <c r="BL142" s="25"/>
      <c r="BM142" s="25"/>
      <c r="BN142" s="25"/>
    </row>
    <row r="143" spans="2:66" ht="15.75" hidden="1" customHeight="1" x14ac:dyDescent="0.25">
      <c r="B143" s="1179" t="s">
        <v>753</v>
      </c>
      <c r="C143" s="1176"/>
      <c r="D143" s="1355"/>
      <c r="E143" s="1155"/>
      <c r="F143" s="1156"/>
      <c r="G143" s="1155"/>
      <c r="H143" s="1156"/>
      <c r="I143" s="1157"/>
      <c r="J143" s="1158"/>
      <c r="K143" s="1161"/>
      <c r="L143" s="1156"/>
      <c r="M143" s="1159"/>
      <c r="N143" s="1160"/>
      <c r="O143" s="1161"/>
      <c r="P143" s="1156"/>
      <c r="Q143" s="1157"/>
      <c r="R143" s="1158"/>
      <c r="S143" s="1161"/>
      <c r="T143" s="1156"/>
      <c r="U143" s="1157"/>
      <c r="V143" s="1158"/>
      <c r="W143" s="1161"/>
      <c r="X143" s="1162"/>
      <c r="Y143" s="1159"/>
      <c r="Z143" s="1160"/>
      <c r="AA143" s="1163"/>
      <c r="AB143" s="1164"/>
      <c r="AG143" s="2481"/>
      <c r="AH143" s="2481"/>
      <c r="AI143" s="2481"/>
      <c r="AJ143" s="2481"/>
      <c r="AQ143" s="2593"/>
      <c r="AR143" s="2593"/>
      <c r="AS143" s="2593"/>
      <c r="AT143" s="2593"/>
      <c r="AW143" s="25">
        <f t="shared" si="371"/>
        <v>0</v>
      </c>
      <c r="AX143" s="25">
        <f t="shared" si="372"/>
        <v>0</v>
      </c>
      <c r="BG143" s="25"/>
      <c r="BH143" s="25"/>
      <c r="BI143" s="25"/>
      <c r="BJ143" s="25"/>
      <c r="BK143" s="25"/>
      <c r="BL143" s="25"/>
      <c r="BM143" s="25"/>
      <c r="BN143" s="25"/>
    </row>
    <row r="144" spans="2:66" ht="15" hidden="1" customHeight="1" x14ac:dyDescent="0.25">
      <c r="B144" s="1153" t="s">
        <v>19</v>
      </c>
      <c r="C144" s="1177" t="s">
        <v>352</v>
      </c>
      <c r="D144" s="790"/>
      <c r="E144" s="1155"/>
      <c r="F144" s="1156">
        <f>+F8+F43</f>
        <v>40198</v>
      </c>
      <c r="G144" s="1155"/>
      <c r="H144" s="1156">
        <f>+H8+H43</f>
        <v>34439</v>
      </c>
      <c r="I144" s="1157"/>
      <c r="J144" s="1158">
        <f>+J8+J43</f>
        <v>74637</v>
      </c>
      <c r="K144" s="1161"/>
      <c r="L144" s="1156">
        <f>+L8+L43</f>
        <v>33999</v>
      </c>
      <c r="M144" s="1159"/>
      <c r="N144" s="1160">
        <f>+N8+N43</f>
        <v>108636</v>
      </c>
      <c r="O144" s="1161"/>
      <c r="P144" s="1156">
        <f>+P8+P43</f>
        <v>37571</v>
      </c>
      <c r="Q144" s="1157"/>
      <c r="R144" s="1158">
        <f>+R8+R43</f>
        <v>146207</v>
      </c>
      <c r="S144" s="1161"/>
      <c r="T144" s="1156">
        <f>+T8+T43</f>
        <v>37802</v>
      </c>
      <c r="U144" s="1157"/>
      <c r="V144" s="1158">
        <f>+V8+V43</f>
        <v>184009</v>
      </c>
      <c r="W144" s="1161"/>
      <c r="X144" s="1162">
        <f>+X8+X43</f>
        <v>36021</v>
      </c>
      <c r="Y144" s="1159"/>
      <c r="Z144" s="1160">
        <f>+Z8+Z43</f>
        <v>111394</v>
      </c>
      <c r="AA144" s="1163"/>
      <c r="AB144" s="1164">
        <f>+AB8+AB43</f>
        <v>220030</v>
      </c>
      <c r="AG144" s="2481"/>
      <c r="AH144" s="2481"/>
      <c r="AI144" s="2481"/>
      <c r="AJ144" s="2481"/>
      <c r="AQ144" s="2593"/>
      <c r="AR144" s="2593"/>
      <c r="AS144" s="2593"/>
      <c r="AT144" s="2593"/>
      <c r="AW144" s="25">
        <f t="shared" si="371"/>
        <v>0</v>
      </c>
      <c r="AX144" s="25">
        <f t="shared" si="372"/>
        <v>0</v>
      </c>
      <c r="BG144" s="25"/>
      <c r="BH144" s="25"/>
      <c r="BI144" s="25"/>
      <c r="BJ144" s="25"/>
      <c r="BK144" s="25"/>
      <c r="BL144" s="25"/>
      <c r="BM144" s="25"/>
      <c r="BN144" s="25"/>
    </row>
    <row r="145" spans="2:66" ht="15" hidden="1" customHeight="1" x14ac:dyDescent="0.25">
      <c r="B145" s="1153" t="s">
        <v>886</v>
      </c>
      <c r="C145" s="1180" t="s">
        <v>49</v>
      </c>
      <c r="D145" s="1337"/>
      <c r="E145" s="1181"/>
      <c r="F145" s="1182">
        <v>1.25</v>
      </c>
      <c r="G145" s="1181"/>
      <c r="H145" s="1182">
        <v>1.25</v>
      </c>
      <c r="I145" s="1183"/>
      <c r="J145" s="1184">
        <v>1.25</v>
      </c>
      <c r="K145" s="1187"/>
      <c r="L145" s="1182">
        <v>1.25</v>
      </c>
      <c r="M145" s="1185"/>
      <c r="N145" s="1186">
        <v>1.25</v>
      </c>
      <c r="O145" s="1187"/>
      <c r="P145" s="1182">
        <v>1.25</v>
      </c>
      <c r="Q145" s="1183"/>
      <c r="R145" s="1184">
        <v>1.25</v>
      </c>
      <c r="S145" s="1187"/>
      <c r="T145" s="1182">
        <v>1.25</v>
      </c>
      <c r="U145" s="1183"/>
      <c r="V145" s="1184">
        <v>1.25</v>
      </c>
      <c r="W145" s="1187"/>
      <c r="X145" s="1188">
        <v>1.25</v>
      </c>
      <c r="Y145" s="1185"/>
      <c r="Z145" s="1186">
        <v>1.25</v>
      </c>
      <c r="AA145" s="1189"/>
      <c r="AB145" s="1190">
        <v>1.25</v>
      </c>
      <c r="AG145" s="2481"/>
      <c r="AH145" s="2481"/>
      <c r="AI145" s="2481"/>
      <c r="AJ145" s="2481"/>
      <c r="AQ145" s="2593"/>
      <c r="AR145" s="2593"/>
      <c r="AS145" s="2593"/>
      <c r="AT145" s="2593"/>
      <c r="AW145" s="25">
        <f t="shared" si="371"/>
        <v>0</v>
      </c>
      <c r="AX145" s="25">
        <f t="shared" si="372"/>
        <v>0</v>
      </c>
      <c r="BG145" s="25"/>
      <c r="BH145" s="25"/>
      <c r="BI145" s="25"/>
      <c r="BJ145" s="25"/>
      <c r="BK145" s="25"/>
      <c r="BL145" s="25"/>
      <c r="BM145" s="25"/>
      <c r="BN145" s="25"/>
    </row>
    <row r="146" spans="2:66" ht="15" hidden="1" customHeight="1" x14ac:dyDescent="0.25">
      <c r="B146" s="1153" t="s">
        <v>886</v>
      </c>
      <c r="C146" s="1177" t="s">
        <v>352</v>
      </c>
      <c r="D146" s="790"/>
      <c r="E146" s="1155"/>
      <c r="F146" s="1156">
        <f>+F144*F145/(100-F145)</f>
        <v>508.8354430379747</v>
      </c>
      <c r="G146" s="1155"/>
      <c r="H146" s="1156">
        <f>+H144*H145/(100-H145)</f>
        <v>435.9367088607595</v>
      </c>
      <c r="I146" s="1157"/>
      <c r="J146" s="1158">
        <f>+J144*J145/(100-J145)</f>
        <v>944.77215189873414</v>
      </c>
      <c r="K146" s="1161"/>
      <c r="L146" s="1156">
        <f>+L144*L145/(100-L145)</f>
        <v>430.36708860759495</v>
      </c>
      <c r="M146" s="1159"/>
      <c r="N146" s="1160">
        <f>+N144*N145/(100-N145)</f>
        <v>1375.1392405063291</v>
      </c>
      <c r="O146" s="1161"/>
      <c r="P146" s="1156">
        <f>+P144*P145/(100-P145)</f>
        <v>475.58227848101268</v>
      </c>
      <c r="Q146" s="1157"/>
      <c r="R146" s="1158">
        <f>+R144*R145/(100-R145)</f>
        <v>1850.7215189873418</v>
      </c>
      <c r="S146" s="1161"/>
      <c r="T146" s="1156">
        <f>+T144*T145/(100-T145)</f>
        <v>478.50632911392404</v>
      </c>
      <c r="U146" s="1157"/>
      <c r="V146" s="1158">
        <f>+V144*V145/(100-V145)</f>
        <v>2329.2278481012659</v>
      </c>
      <c r="W146" s="1161"/>
      <c r="X146" s="1162">
        <f>+X144*X145/(100-X145)</f>
        <v>455.96202531645571</v>
      </c>
      <c r="Y146" s="1159"/>
      <c r="Z146" s="1160">
        <f>+Z144*Z145/(100-Z145)</f>
        <v>1410.0506329113923</v>
      </c>
      <c r="AA146" s="1163"/>
      <c r="AB146" s="1164">
        <f>+AB144*AB145/(100-AB145)</f>
        <v>2785.1898734177216</v>
      </c>
      <c r="AG146" s="2481"/>
      <c r="AH146" s="2481"/>
      <c r="AI146" s="2481"/>
      <c r="AJ146" s="2481"/>
      <c r="AQ146" s="2593"/>
      <c r="AR146" s="2593"/>
      <c r="AS146" s="2593"/>
      <c r="AT146" s="2593"/>
      <c r="AW146" s="25">
        <f t="shared" si="371"/>
        <v>0</v>
      </c>
      <c r="AX146" s="25">
        <f t="shared" si="372"/>
        <v>0</v>
      </c>
      <c r="BG146" s="25"/>
      <c r="BH146" s="25"/>
      <c r="BI146" s="25"/>
      <c r="BJ146" s="25"/>
      <c r="BK146" s="25"/>
      <c r="BL146" s="25"/>
      <c r="BM146" s="25"/>
      <c r="BN146" s="25"/>
    </row>
    <row r="147" spans="2:66" ht="15" hidden="1" customHeight="1" x14ac:dyDescent="0.25">
      <c r="B147" s="1153" t="s">
        <v>477</v>
      </c>
      <c r="C147" s="1177" t="s">
        <v>352</v>
      </c>
      <c r="D147" s="790"/>
      <c r="E147" s="1155"/>
      <c r="F147" s="1156">
        <f>+F146+F144</f>
        <v>40706.835443037977</v>
      </c>
      <c r="G147" s="1155"/>
      <c r="H147" s="1156">
        <f>+H146+H144</f>
        <v>34874.936708860761</v>
      </c>
      <c r="I147" s="1157"/>
      <c r="J147" s="1158">
        <f>+J146+J144</f>
        <v>75581.772151898738</v>
      </c>
      <c r="K147" s="1161"/>
      <c r="L147" s="1156">
        <f>+L146+L144</f>
        <v>34429.367088607592</v>
      </c>
      <c r="M147" s="1159"/>
      <c r="N147" s="1160">
        <f>+N146+N144</f>
        <v>110011.13924050632</v>
      </c>
      <c r="O147" s="1161"/>
      <c r="P147" s="1156">
        <f>+P146+P144</f>
        <v>38046.582278481015</v>
      </c>
      <c r="Q147" s="1157"/>
      <c r="R147" s="1158">
        <f>+R146+R144</f>
        <v>148057.72151898735</v>
      </c>
      <c r="S147" s="1161"/>
      <c r="T147" s="1156">
        <f>+T146+T144</f>
        <v>38280.506329113923</v>
      </c>
      <c r="U147" s="1157"/>
      <c r="V147" s="1158">
        <f>+V146+V144</f>
        <v>186338.22784810126</v>
      </c>
      <c r="W147" s="1161"/>
      <c r="X147" s="1162">
        <f>+X146+X144</f>
        <v>36476.962025316454</v>
      </c>
      <c r="Y147" s="1159"/>
      <c r="Z147" s="1160">
        <f>+Z146+Z144</f>
        <v>112804.05063291139</v>
      </c>
      <c r="AA147" s="1163"/>
      <c r="AB147" s="1164">
        <f>+AB146+AB144</f>
        <v>222815.18987341772</v>
      </c>
      <c r="AG147" s="2481"/>
      <c r="AH147" s="2481"/>
      <c r="AI147" s="2481"/>
      <c r="AJ147" s="2481"/>
      <c r="AQ147" s="2593"/>
      <c r="AR147" s="2593"/>
      <c r="AS147" s="2593"/>
      <c r="AT147" s="2593"/>
      <c r="AW147" s="25">
        <f t="shared" ref="AW147:AW154" si="373">AS147-AU147</f>
        <v>0</v>
      </c>
      <c r="AX147" s="25">
        <f t="shared" ref="AX147:AX154" si="374">AT147-AV147</f>
        <v>0</v>
      </c>
      <c r="BG147" s="25"/>
      <c r="BH147" s="25"/>
      <c r="BI147" s="25"/>
      <c r="BJ147" s="25"/>
      <c r="BK147" s="25"/>
      <c r="BL147" s="25"/>
      <c r="BM147" s="25"/>
      <c r="BN147" s="25"/>
    </row>
    <row r="148" spans="2:66" ht="15" hidden="1" customHeight="1" x14ac:dyDescent="0.25">
      <c r="B148" s="212"/>
      <c r="C148" s="212"/>
      <c r="E148" s="212"/>
      <c r="F148" s="212"/>
      <c r="G148" s="212"/>
      <c r="H148" s="212"/>
      <c r="I148" s="212"/>
      <c r="J148" s="212"/>
      <c r="K148" s="1449"/>
      <c r="L148" s="212"/>
      <c r="M148" s="212"/>
      <c r="N148" s="212"/>
      <c r="O148" s="1449"/>
      <c r="P148" s="212"/>
      <c r="Q148" s="212"/>
      <c r="R148" s="212"/>
      <c r="S148" s="1449"/>
      <c r="T148" s="212"/>
      <c r="U148" s="212"/>
      <c r="V148" s="212"/>
      <c r="W148" s="212"/>
      <c r="X148" s="212"/>
      <c r="Y148" s="212"/>
      <c r="Z148" s="212"/>
      <c r="AA148" s="212"/>
      <c r="AB148" s="212"/>
      <c r="AG148" s="2481"/>
      <c r="AH148" s="2481"/>
      <c r="AI148" s="2481"/>
      <c r="AJ148" s="2481"/>
      <c r="AQ148" s="2593"/>
      <c r="AR148" s="2593"/>
      <c r="AS148" s="2593"/>
      <c r="AT148" s="2593"/>
      <c r="AW148" s="25">
        <f t="shared" si="373"/>
        <v>0</v>
      </c>
      <c r="AX148" s="25">
        <f t="shared" si="374"/>
        <v>0</v>
      </c>
      <c r="BG148" s="25"/>
      <c r="BH148" s="25"/>
      <c r="BI148" s="25"/>
      <c r="BJ148" s="25"/>
      <c r="BK148" s="25"/>
      <c r="BL148" s="25"/>
      <c r="BM148" s="25"/>
      <c r="BN148" s="25"/>
    </row>
    <row r="149" spans="2:66" ht="15" hidden="1" customHeight="1" x14ac:dyDescent="0.25">
      <c r="B149" s="212"/>
      <c r="C149" s="212"/>
      <c r="E149" s="212"/>
      <c r="F149" s="212"/>
      <c r="G149" s="212"/>
      <c r="H149" s="212"/>
      <c r="I149" s="212"/>
      <c r="J149" s="212"/>
      <c r="K149" s="1449"/>
      <c r="L149" s="212"/>
      <c r="M149" s="212"/>
      <c r="N149" s="212"/>
      <c r="O149" s="1449"/>
      <c r="P149" s="212"/>
      <c r="Q149" s="212"/>
      <c r="R149" s="212"/>
      <c r="S149" s="1449"/>
      <c r="T149" s="212"/>
      <c r="U149" s="212"/>
      <c r="V149" s="212"/>
      <c r="W149" s="212"/>
      <c r="X149" s="212"/>
      <c r="Y149" s="212"/>
      <c r="Z149" s="212"/>
      <c r="AA149" s="212"/>
      <c r="AB149" s="212"/>
      <c r="AG149" s="2481"/>
      <c r="AH149" s="2481"/>
      <c r="AI149" s="2481"/>
      <c r="AJ149" s="2481"/>
      <c r="AQ149" s="2593"/>
      <c r="AR149" s="2593"/>
      <c r="AS149" s="2593"/>
      <c r="AT149" s="2593"/>
      <c r="AW149" s="25">
        <f t="shared" si="373"/>
        <v>0</v>
      </c>
      <c r="AX149" s="25">
        <f t="shared" si="374"/>
        <v>0</v>
      </c>
      <c r="BG149" s="25"/>
      <c r="BH149" s="25"/>
      <c r="BI149" s="25"/>
      <c r="BJ149" s="25"/>
      <c r="BK149" s="25"/>
      <c r="BL149" s="25"/>
      <c r="BM149" s="25"/>
      <c r="BN149" s="25"/>
    </row>
    <row r="150" spans="2:66" ht="15" hidden="1" customHeight="1" x14ac:dyDescent="0.25">
      <c r="B150" s="212"/>
      <c r="C150" s="212"/>
      <c r="E150" s="212"/>
      <c r="F150" s="212"/>
      <c r="G150" s="212"/>
      <c r="H150" s="212"/>
      <c r="I150" s="212"/>
      <c r="J150" s="212"/>
      <c r="K150" s="1449"/>
      <c r="L150" s="212"/>
      <c r="M150" s="212"/>
      <c r="N150" s="212"/>
      <c r="O150" s="1449"/>
      <c r="P150" s="212"/>
      <c r="Q150" s="212"/>
      <c r="R150" s="212"/>
      <c r="S150" s="1449"/>
      <c r="T150" s="212"/>
      <c r="U150" s="212"/>
      <c r="V150" s="212"/>
      <c r="W150" s="212"/>
      <c r="X150" s="212"/>
      <c r="Y150" s="212"/>
      <c r="Z150" s="212"/>
      <c r="AA150" s="212"/>
      <c r="AB150" s="212"/>
      <c r="AG150" s="2481"/>
      <c r="AH150" s="2481"/>
      <c r="AI150" s="2481"/>
      <c r="AJ150" s="2481"/>
      <c r="AQ150" s="2593"/>
      <c r="AR150" s="2593"/>
      <c r="AS150" s="2593"/>
      <c r="AT150" s="2593"/>
      <c r="AW150" s="25">
        <f t="shared" si="373"/>
        <v>0</v>
      </c>
      <c r="AX150" s="25">
        <f t="shared" si="374"/>
        <v>0</v>
      </c>
      <c r="BG150" s="25"/>
      <c r="BH150" s="25"/>
      <c r="BI150" s="25"/>
      <c r="BJ150" s="25"/>
      <c r="BK150" s="25"/>
      <c r="BL150" s="25"/>
      <c r="BM150" s="25"/>
      <c r="BN150" s="25"/>
    </row>
    <row r="151" spans="2:66" ht="15" hidden="1" customHeight="1" x14ac:dyDescent="0.25">
      <c r="B151" s="212"/>
      <c r="C151" s="212"/>
      <c r="E151" s="212"/>
      <c r="F151" s="212"/>
      <c r="G151" s="212"/>
      <c r="H151" s="212"/>
      <c r="I151" s="212"/>
      <c r="J151" s="212"/>
      <c r="K151" s="1449"/>
      <c r="L151" s="212"/>
      <c r="M151" s="212"/>
      <c r="N151" s="212"/>
      <c r="O151" s="1449"/>
      <c r="P151" s="212"/>
      <c r="Q151" s="212"/>
      <c r="R151" s="212"/>
      <c r="S151" s="1449"/>
      <c r="T151" s="212"/>
      <c r="U151" s="212"/>
      <c r="V151" s="212"/>
      <c r="W151" s="212"/>
      <c r="X151" s="212"/>
      <c r="Y151" s="212"/>
      <c r="Z151" s="212"/>
      <c r="AA151" s="212"/>
      <c r="AB151" s="212"/>
      <c r="AG151" s="2481"/>
      <c r="AH151" s="2481"/>
      <c r="AI151" s="2481"/>
      <c r="AJ151" s="2481"/>
      <c r="AQ151" s="2593"/>
      <c r="AR151" s="2593"/>
      <c r="AS151" s="2593"/>
      <c r="AT151" s="2593"/>
      <c r="AW151" s="25">
        <f t="shared" si="373"/>
        <v>0</v>
      </c>
      <c r="AX151" s="25">
        <f t="shared" si="374"/>
        <v>0</v>
      </c>
      <c r="BG151" s="25"/>
      <c r="BH151" s="25"/>
      <c r="BI151" s="25"/>
      <c r="BJ151" s="25"/>
      <c r="BK151" s="25"/>
      <c r="BL151" s="25"/>
      <c r="BM151" s="25"/>
      <c r="BN151" s="25"/>
    </row>
    <row r="152" spans="2:66" ht="15" hidden="1" customHeight="1" x14ac:dyDescent="0.25">
      <c r="B152" s="212"/>
      <c r="C152" s="212"/>
      <c r="E152" s="212"/>
      <c r="F152" s="212"/>
      <c r="G152" s="212"/>
      <c r="H152" s="212"/>
      <c r="I152" s="212"/>
      <c r="J152" s="212"/>
      <c r="K152" s="1449"/>
      <c r="L152" s="212"/>
      <c r="M152" s="212"/>
      <c r="N152" s="212"/>
      <c r="O152" s="1449"/>
      <c r="P152" s="212"/>
      <c r="Q152" s="212"/>
      <c r="R152" s="212"/>
      <c r="S152" s="1449"/>
      <c r="T152" s="212"/>
      <c r="U152" s="212"/>
      <c r="V152" s="212"/>
      <c r="W152" s="212"/>
      <c r="X152" s="212"/>
      <c r="Y152" s="212"/>
      <c r="Z152" s="212"/>
      <c r="AA152" s="212"/>
      <c r="AB152" s="212"/>
      <c r="AG152" s="2481"/>
      <c r="AH152" s="2481"/>
      <c r="AI152" s="2481"/>
      <c r="AJ152" s="2481"/>
      <c r="AQ152" s="2593"/>
      <c r="AR152" s="2593"/>
      <c r="AS152" s="2593"/>
      <c r="AT152" s="2593"/>
      <c r="AW152" s="25">
        <f t="shared" si="373"/>
        <v>0</v>
      </c>
      <c r="AX152" s="25">
        <f t="shared" si="374"/>
        <v>0</v>
      </c>
      <c r="BG152" s="25"/>
      <c r="BH152" s="25"/>
      <c r="BI152" s="25"/>
      <c r="BJ152" s="25"/>
      <c r="BK152" s="25"/>
      <c r="BL152" s="25"/>
      <c r="BM152" s="25"/>
      <c r="BN152" s="25"/>
    </row>
    <row r="153" spans="2:66" ht="15" hidden="1" customHeight="1" x14ac:dyDescent="0.25">
      <c r="B153" s="212"/>
      <c r="C153" s="212"/>
      <c r="E153" s="212"/>
      <c r="F153" s="212"/>
      <c r="G153" s="212"/>
      <c r="H153" s="212"/>
      <c r="I153" s="212"/>
      <c r="J153" s="212"/>
      <c r="K153" s="1449"/>
      <c r="L153" s="212"/>
      <c r="M153" s="212"/>
      <c r="N153" s="212"/>
      <c r="O153" s="1449"/>
      <c r="P153" s="212"/>
      <c r="Q153" s="212"/>
      <c r="R153" s="212"/>
      <c r="S153" s="1449"/>
      <c r="T153" s="212"/>
      <c r="U153" s="212"/>
      <c r="V153" s="212"/>
      <c r="W153" s="212"/>
      <c r="X153" s="212"/>
      <c r="Y153" s="212"/>
      <c r="Z153" s="212"/>
      <c r="AA153" s="212"/>
      <c r="AB153" s="212"/>
      <c r="AG153" s="2481"/>
      <c r="AH153" s="2481"/>
      <c r="AI153" s="2481"/>
      <c r="AJ153" s="2481"/>
      <c r="AQ153" s="2593"/>
      <c r="AR153" s="2593"/>
      <c r="AS153" s="2593"/>
      <c r="AT153" s="2593"/>
      <c r="AW153" s="25">
        <f t="shared" si="373"/>
        <v>0</v>
      </c>
      <c r="AX153" s="25">
        <f t="shared" si="374"/>
        <v>0</v>
      </c>
      <c r="BG153" s="25"/>
      <c r="BH153" s="25"/>
      <c r="BI153" s="25"/>
      <c r="BJ153" s="25"/>
      <c r="BK153" s="25"/>
      <c r="BL153" s="25"/>
      <c r="BM153" s="25"/>
      <c r="BN153" s="25"/>
    </row>
    <row r="154" spans="2:66" ht="15" hidden="1" customHeight="1" x14ac:dyDescent="0.25">
      <c r="B154" s="212"/>
      <c r="C154" s="212"/>
      <c r="E154" s="212"/>
      <c r="F154" s="212"/>
      <c r="G154" s="212"/>
      <c r="H154" s="212"/>
      <c r="I154" s="212"/>
      <c r="J154" s="212"/>
      <c r="K154" s="1449"/>
      <c r="L154" s="212"/>
      <c r="M154" s="212"/>
      <c r="N154" s="212"/>
      <c r="O154" s="1449"/>
      <c r="P154" s="212"/>
      <c r="Q154" s="212"/>
      <c r="R154" s="212"/>
      <c r="S154" s="1449"/>
      <c r="T154" s="212"/>
      <c r="U154" s="212"/>
      <c r="V154" s="212"/>
      <c r="W154" s="212"/>
      <c r="X154" s="212"/>
      <c r="Y154" s="212"/>
      <c r="Z154" s="212"/>
      <c r="AA154" s="212"/>
      <c r="AB154" s="212"/>
      <c r="AG154" s="2481"/>
      <c r="AH154" s="2481"/>
      <c r="AI154" s="2481"/>
      <c r="AJ154" s="2481"/>
      <c r="AQ154" s="2593"/>
      <c r="AR154" s="2593"/>
      <c r="AS154" s="2593"/>
      <c r="AT154" s="2593"/>
      <c r="AW154" s="25">
        <f t="shared" si="373"/>
        <v>0</v>
      </c>
      <c r="AX154" s="25">
        <f t="shared" si="374"/>
        <v>0</v>
      </c>
      <c r="BG154" s="25"/>
      <c r="BH154" s="25"/>
      <c r="BI154" s="25"/>
      <c r="BJ154" s="25"/>
      <c r="BK154" s="25"/>
      <c r="BL154" s="25"/>
      <c r="BM154" s="25"/>
      <c r="BN154" s="25"/>
    </row>
    <row r="155" spans="2:66" ht="15" customHeight="1" x14ac:dyDescent="0.25">
      <c r="B155" s="212"/>
      <c r="C155" s="212"/>
      <c r="E155" s="212"/>
      <c r="F155" s="212"/>
      <c r="G155" s="212"/>
      <c r="H155" s="212"/>
      <c r="I155" s="212"/>
      <c r="J155" s="212"/>
      <c r="K155" s="1449"/>
      <c r="L155" s="212"/>
      <c r="M155" s="212"/>
      <c r="N155" s="212"/>
      <c r="O155" s="1449"/>
      <c r="P155" s="212"/>
      <c r="Q155" s="212"/>
      <c r="R155" s="212"/>
      <c r="S155" s="1449"/>
      <c r="T155" s="212"/>
      <c r="U155" s="212"/>
      <c r="V155" s="212"/>
      <c r="W155" s="212"/>
      <c r="X155" s="212"/>
      <c r="Y155" s="212"/>
      <c r="Z155" s="212"/>
      <c r="AA155" s="212"/>
      <c r="AB155" s="212"/>
      <c r="AG155" s="2481"/>
      <c r="AH155" s="2481"/>
      <c r="AI155" s="2481"/>
      <c r="AJ155" s="2481"/>
      <c r="AQ155" s="2593"/>
      <c r="AR155" s="2593"/>
      <c r="AS155" s="2593"/>
      <c r="AT155" s="2593"/>
    </row>
    <row r="156" spans="2:66" ht="15" customHeight="1" x14ac:dyDescent="0.25">
      <c r="B156" s="212"/>
      <c r="C156" s="212"/>
      <c r="E156" s="212"/>
      <c r="F156" s="175"/>
      <c r="G156" s="212"/>
      <c r="H156" s="175"/>
      <c r="I156" s="212"/>
      <c r="J156" s="212"/>
      <c r="K156" s="1449"/>
      <c r="L156" s="175"/>
      <c r="M156" s="212"/>
      <c r="N156" s="212"/>
      <c r="O156" s="1449"/>
      <c r="P156" s="175"/>
      <c r="Q156" s="212"/>
      <c r="R156" s="212"/>
      <c r="S156" s="212"/>
      <c r="T156" s="175"/>
      <c r="U156" s="212"/>
      <c r="V156" s="212"/>
      <c r="W156" s="212"/>
      <c r="X156" s="175"/>
      <c r="Y156" s="212"/>
      <c r="Z156" s="212"/>
      <c r="AA156" s="212"/>
      <c r="AB156" s="212"/>
      <c r="AD156" s="175"/>
      <c r="AH156" s="175"/>
      <c r="AQ156" s="2593"/>
      <c r="AR156" s="2593"/>
      <c r="AS156" s="2593"/>
      <c r="AT156" s="2593"/>
    </row>
    <row r="157" spans="2:66" ht="15" hidden="1" customHeight="1" x14ac:dyDescent="0.25">
      <c r="B157" s="212"/>
      <c r="C157" s="212"/>
      <c r="E157" s="212"/>
      <c r="F157" s="175">
        <f t="shared" ref="F157:AX157" si="375">F9+F45</f>
        <v>21706</v>
      </c>
      <c r="G157" s="175">
        <f t="shared" si="375"/>
        <v>24344.12954164097</v>
      </c>
      <c r="H157" s="175">
        <f t="shared" si="375"/>
        <v>22832</v>
      </c>
      <c r="I157" s="175">
        <f t="shared" si="375"/>
        <v>42719.809201177683</v>
      </c>
      <c r="J157" s="175">
        <f t="shared" si="375"/>
        <v>44538</v>
      </c>
      <c r="K157" s="175">
        <f t="shared" si="375"/>
        <v>23634.156324975098</v>
      </c>
      <c r="L157" s="175">
        <f t="shared" si="375"/>
        <v>24061</v>
      </c>
      <c r="M157" s="175">
        <f t="shared" si="375"/>
        <v>66353.965526152781</v>
      </c>
      <c r="N157" s="175">
        <f t="shared" si="375"/>
        <v>68599</v>
      </c>
      <c r="O157" s="175">
        <f t="shared" si="375"/>
        <v>23900.396281224799</v>
      </c>
      <c r="P157" s="175">
        <f t="shared" si="375"/>
        <v>25805</v>
      </c>
      <c r="Q157" s="175">
        <f t="shared" si="375"/>
        <v>90254.361807377572</v>
      </c>
      <c r="R157" s="175">
        <f t="shared" si="375"/>
        <v>94404</v>
      </c>
      <c r="S157" s="175">
        <f t="shared" si="375"/>
        <v>23900.396281224799</v>
      </c>
      <c r="T157" s="175">
        <f t="shared" si="375"/>
        <v>24324</v>
      </c>
      <c r="U157" s="175">
        <f t="shared" si="375"/>
        <v>114154.75808860238</v>
      </c>
      <c r="V157" s="175">
        <f t="shared" si="375"/>
        <v>118728</v>
      </c>
      <c r="W157" s="175">
        <f t="shared" si="375"/>
        <v>13186.531291652831</v>
      </c>
      <c r="X157" s="175">
        <f t="shared" si="375"/>
        <v>24181</v>
      </c>
      <c r="Y157" s="175">
        <f t="shared" si="375"/>
        <v>60987.323854102426</v>
      </c>
      <c r="Z157" s="175">
        <f t="shared" si="375"/>
        <v>74310</v>
      </c>
      <c r="AA157" s="175">
        <f t="shared" si="375"/>
        <v>127341.28938025521</v>
      </c>
      <c r="AB157" s="175">
        <f t="shared" si="375"/>
        <v>142909</v>
      </c>
      <c r="AC157" s="175">
        <f t="shared" si="375"/>
        <v>24344.12954164097</v>
      </c>
      <c r="AD157" s="175">
        <f t="shared" si="375"/>
        <v>20310</v>
      </c>
      <c r="AE157" s="175">
        <f t="shared" si="375"/>
        <v>151685.4189218962</v>
      </c>
      <c r="AF157" s="175">
        <f t="shared" si="375"/>
        <v>163219</v>
      </c>
      <c r="AG157" s="175">
        <f t="shared" si="375"/>
        <v>23888.156324975098</v>
      </c>
      <c r="AH157" s="175">
        <f t="shared" si="375"/>
        <v>24270</v>
      </c>
      <c r="AI157" s="175">
        <f t="shared" si="375"/>
        <v>175573.57524687127</v>
      </c>
      <c r="AJ157" s="175">
        <f t="shared" si="375"/>
        <v>187489</v>
      </c>
      <c r="AK157" s="175">
        <f t="shared" si="375"/>
        <v>24598.12954164097</v>
      </c>
      <c r="AL157" s="175">
        <f t="shared" si="375"/>
        <v>22364</v>
      </c>
      <c r="AM157" s="175">
        <f t="shared" si="375"/>
        <v>72830.415408257046</v>
      </c>
      <c r="AN157" s="175">
        <f t="shared" si="375"/>
        <v>66944</v>
      </c>
      <c r="AO157" s="175">
        <f t="shared" si="375"/>
        <v>200171.70478851226</v>
      </c>
      <c r="AP157" s="175">
        <f t="shared" si="375"/>
        <v>209853</v>
      </c>
      <c r="AQ157" s="175">
        <f t="shared" si="375"/>
        <v>24699.11614997391</v>
      </c>
      <c r="AR157" s="175">
        <f t="shared" si="375"/>
        <v>22499</v>
      </c>
      <c r="AS157" s="175">
        <f t="shared" si="375"/>
        <v>224870.82093848614</v>
      </c>
      <c r="AT157" s="175">
        <f t="shared" si="375"/>
        <v>232352</v>
      </c>
      <c r="AU157" s="175">
        <f t="shared" si="375"/>
        <v>22214.209891643342</v>
      </c>
      <c r="AV157" s="175">
        <f t="shared" si="375"/>
        <v>18988</v>
      </c>
      <c r="AW157" s="175">
        <f t="shared" si="375"/>
        <v>247085.03083012952</v>
      </c>
      <c r="AX157" s="175">
        <f t="shared" si="375"/>
        <v>251340</v>
      </c>
    </row>
    <row r="158" spans="2:66" hidden="1" x14ac:dyDescent="0.25">
      <c r="B158" s="212"/>
      <c r="C158" s="212"/>
      <c r="E158" s="212"/>
      <c r="F158" s="212"/>
      <c r="G158" s="212"/>
      <c r="H158" s="212"/>
      <c r="I158" s="212"/>
      <c r="J158" s="212"/>
      <c r="K158" s="1449"/>
      <c r="L158" s="212"/>
      <c r="M158" s="212"/>
      <c r="N158" s="212"/>
      <c r="O158" s="1449"/>
      <c r="P158" s="212"/>
      <c r="Q158" s="212"/>
      <c r="R158" s="212"/>
      <c r="S158" s="212"/>
      <c r="T158" s="1673"/>
      <c r="U158" s="212"/>
      <c r="V158" s="212"/>
      <c r="W158" s="212"/>
      <c r="X158" s="212"/>
      <c r="Y158" s="212"/>
      <c r="Z158" s="212"/>
      <c r="AA158" s="212"/>
      <c r="AB158" s="212"/>
    </row>
    <row r="159" spans="2:66" hidden="1" x14ac:dyDescent="0.25">
      <c r="B159" s="212"/>
      <c r="C159" s="212"/>
      <c r="E159" s="212"/>
      <c r="F159" s="212">
        <f t="shared" ref="F159:AX159" si="376">F157/F2</f>
        <v>723.5333333333333</v>
      </c>
      <c r="G159" s="212">
        <f t="shared" si="376"/>
        <v>785.29450134325714</v>
      </c>
      <c r="H159" s="212">
        <f t="shared" si="376"/>
        <v>736.51612903225805</v>
      </c>
      <c r="I159" s="212">
        <f t="shared" si="376"/>
        <v>700.32474100291279</v>
      </c>
      <c r="J159" s="212">
        <f t="shared" si="376"/>
        <v>730.13114754098365</v>
      </c>
      <c r="K159" s="212">
        <f t="shared" si="376"/>
        <v>787.80521083250323</v>
      </c>
      <c r="L159" s="212">
        <f t="shared" si="376"/>
        <v>802.0333333333333</v>
      </c>
      <c r="M159" s="212">
        <f t="shared" si="376"/>
        <v>729.16445633134924</v>
      </c>
      <c r="N159" s="212">
        <f t="shared" si="376"/>
        <v>753.83516483516485</v>
      </c>
      <c r="O159" s="212">
        <f t="shared" si="376"/>
        <v>770.9805252008</v>
      </c>
      <c r="P159" s="212">
        <f t="shared" si="376"/>
        <v>832.41935483870964</v>
      </c>
      <c r="Q159" s="212">
        <f t="shared" si="376"/>
        <v>739.78985088014406</v>
      </c>
      <c r="R159" s="212">
        <f t="shared" si="376"/>
        <v>773.80327868852464</v>
      </c>
      <c r="S159" s="212">
        <f t="shared" si="376"/>
        <v>770.9805252008</v>
      </c>
      <c r="T159" s="212">
        <f t="shared" si="376"/>
        <v>784.64516129032256</v>
      </c>
      <c r="U159" s="212">
        <f t="shared" si="376"/>
        <v>746.10952999086521</v>
      </c>
      <c r="V159" s="212">
        <f t="shared" si="376"/>
        <v>776</v>
      </c>
      <c r="W159" s="212">
        <f t="shared" si="376"/>
        <v>439.55104305509434</v>
      </c>
      <c r="X159" s="212">
        <f t="shared" si="376"/>
        <v>806.0333333333333</v>
      </c>
      <c r="Y159" s="212">
        <f t="shared" si="376"/>
        <v>662.90569406633074</v>
      </c>
      <c r="Z159" s="212">
        <f t="shared" si="376"/>
        <v>807.71739130434787</v>
      </c>
      <c r="AA159" s="212">
        <f t="shared" si="376"/>
        <v>695.85404032926351</v>
      </c>
      <c r="AB159" s="212">
        <f t="shared" si="376"/>
        <v>780.92349726775956</v>
      </c>
      <c r="AC159" s="212">
        <f t="shared" si="376"/>
        <v>785.29450134325714</v>
      </c>
      <c r="AD159" s="212">
        <f t="shared" si="376"/>
        <v>655.16129032258061</v>
      </c>
      <c r="AE159" s="212">
        <f t="shared" si="376"/>
        <v>708.81036879390751</v>
      </c>
      <c r="AF159" s="212">
        <f t="shared" si="376"/>
        <v>762.70560747663546</v>
      </c>
      <c r="AG159" s="212">
        <f t="shared" si="376"/>
        <v>796.27187749916993</v>
      </c>
      <c r="AH159" s="212">
        <f t="shared" si="376"/>
        <v>809</v>
      </c>
      <c r="AI159" s="212">
        <f t="shared" si="376"/>
        <v>719.5638329789806</v>
      </c>
      <c r="AJ159" s="212">
        <f t="shared" si="376"/>
        <v>768.39754098360652</v>
      </c>
      <c r="AK159" s="212">
        <f t="shared" si="376"/>
        <v>793.48804973035385</v>
      </c>
      <c r="AL159" s="212">
        <f t="shared" si="376"/>
        <v>721.41935483870964</v>
      </c>
      <c r="AM159" s="212">
        <f t="shared" si="376"/>
        <v>791.63495008975053</v>
      </c>
      <c r="AN159" s="212">
        <f t="shared" si="376"/>
        <v>727.6521739130435</v>
      </c>
      <c r="AO159" s="212">
        <f t="shared" si="376"/>
        <v>727.89710832186279</v>
      </c>
      <c r="AP159" s="212">
        <f t="shared" si="376"/>
        <v>763.1018181818182</v>
      </c>
      <c r="AQ159" s="212">
        <f t="shared" si="376"/>
        <v>796.74568225722294</v>
      </c>
      <c r="AR159" s="212">
        <f t="shared" si="376"/>
        <v>725.77419354838707</v>
      </c>
      <c r="AS159" s="212">
        <f t="shared" si="376"/>
        <v>734.87196385126185</v>
      </c>
      <c r="AT159" s="212">
        <f t="shared" si="376"/>
        <v>759.32026143790847</v>
      </c>
      <c r="AU159" s="212">
        <f t="shared" si="376"/>
        <v>793.3646389872622</v>
      </c>
      <c r="AV159" s="212">
        <f t="shared" si="376"/>
        <v>678.14285714285711</v>
      </c>
      <c r="AW159" s="212">
        <f t="shared" si="376"/>
        <v>739.77554140757343</v>
      </c>
      <c r="AX159" s="212">
        <f t="shared" si="376"/>
        <v>752.51497005988028</v>
      </c>
    </row>
    <row r="160" spans="2:66" hidden="1" x14ac:dyDescent="0.25">
      <c r="B160" s="212"/>
      <c r="C160" s="212"/>
      <c r="E160" s="212"/>
      <c r="F160" s="212"/>
      <c r="G160" s="212"/>
      <c r="H160" s="212"/>
      <c r="I160" s="212"/>
      <c r="J160" s="212"/>
      <c r="K160" s="1449"/>
      <c r="L160" s="212"/>
      <c r="M160" s="212"/>
      <c r="N160" s="212"/>
      <c r="O160" s="1449"/>
      <c r="P160" s="212"/>
      <c r="Q160" s="212"/>
      <c r="R160" s="212"/>
      <c r="S160" s="212"/>
      <c r="T160" s="1673"/>
      <c r="U160" s="212"/>
      <c r="V160" s="212"/>
      <c r="W160" s="212"/>
      <c r="X160" s="212"/>
      <c r="Y160" s="212"/>
      <c r="Z160" s="212"/>
      <c r="AA160" s="212"/>
      <c r="AB160" s="212"/>
    </row>
    <row r="161" spans="2:58" hidden="1" x14ac:dyDescent="0.25">
      <c r="B161" s="212"/>
      <c r="C161" s="212"/>
      <c r="E161" s="212"/>
      <c r="F161" s="175">
        <f t="shared" ref="F161:AK161" si="377">F9+F45</f>
        <v>21706</v>
      </c>
      <c r="G161" s="175">
        <f t="shared" si="377"/>
        <v>24344.12954164097</v>
      </c>
      <c r="H161" s="175">
        <f t="shared" si="377"/>
        <v>22832</v>
      </c>
      <c r="I161" s="175">
        <f t="shared" si="377"/>
        <v>42719.809201177683</v>
      </c>
      <c r="J161" s="175">
        <f t="shared" si="377"/>
        <v>44538</v>
      </c>
      <c r="K161" s="175">
        <f t="shared" si="377"/>
        <v>23634.156324975098</v>
      </c>
      <c r="L161" s="175">
        <f t="shared" si="377"/>
        <v>24061</v>
      </c>
      <c r="M161" s="175">
        <f t="shared" si="377"/>
        <v>66353.965526152781</v>
      </c>
      <c r="N161" s="175">
        <f t="shared" si="377"/>
        <v>68599</v>
      </c>
      <c r="O161" s="175">
        <f t="shared" si="377"/>
        <v>23900.396281224799</v>
      </c>
      <c r="P161" s="175">
        <f t="shared" si="377"/>
        <v>25805</v>
      </c>
      <c r="Q161" s="175">
        <f t="shared" si="377"/>
        <v>90254.361807377572</v>
      </c>
      <c r="R161" s="175">
        <f t="shared" si="377"/>
        <v>94404</v>
      </c>
      <c r="S161" s="175">
        <f t="shared" si="377"/>
        <v>23900.396281224799</v>
      </c>
      <c r="T161" s="175">
        <f t="shared" si="377"/>
        <v>24324</v>
      </c>
      <c r="U161" s="175">
        <f t="shared" si="377"/>
        <v>114154.75808860238</v>
      </c>
      <c r="V161" s="175">
        <f t="shared" si="377"/>
        <v>118728</v>
      </c>
      <c r="W161" s="175">
        <f t="shared" si="377"/>
        <v>13186.531291652831</v>
      </c>
      <c r="X161" s="175">
        <f t="shared" si="377"/>
        <v>24181</v>
      </c>
      <c r="Y161" s="175">
        <f t="shared" si="377"/>
        <v>60987.323854102426</v>
      </c>
      <c r="Z161" s="175">
        <f t="shared" si="377"/>
        <v>74310</v>
      </c>
      <c r="AA161" s="175">
        <f t="shared" si="377"/>
        <v>127341.28938025521</v>
      </c>
      <c r="AB161" s="175">
        <f t="shared" si="377"/>
        <v>142909</v>
      </c>
      <c r="AC161" s="175">
        <f t="shared" si="377"/>
        <v>24344.12954164097</v>
      </c>
      <c r="AD161" s="175">
        <f t="shared" si="377"/>
        <v>20310</v>
      </c>
      <c r="AE161" s="175">
        <f t="shared" si="377"/>
        <v>151685.4189218962</v>
      </c>
      <c r="AF161" s="175">
        <f t="shared" si="377"/>
        <v>163219</v>
      </c>
      <c r="AG161" s="175">
        <f t="shared" si="377"/>
        <v>23888.156324975098</v>
      </c>
      <c r="AH161" s="175">
        <f t="shared" si="377"/>
        <v>24270</v>
      </c>
      <c r="AI161" s="175">
        <f t="shared" si="377"/>
        <v>175573.57524687127</v>
      </c>
      <c r="AJ161" s="175">
        <f t="shared" si="377"/>
        <v>187489</v>
      </c>
      <c r="AK161" s="175">
        <f t="shared" si="377"/>
        <v>24598.12954164097</v>
      </c>
      <c r="AL161" s="175">
        <f t="shared" ref="AL161:BF161" si="378">AL9+AL45</f>
        <v>22364</v>
      </c>
      <c r="AM161" s="175">
        <f t="shared" si="378"/>
        <v>72830.415408257046</v>
      </c>
      <c r="AN161" s="175">
        <f t="shared" si="378"/>
        <v>66944</v>
      </c>
      <c r="AO161" s="175">
        <f t="shared" si="378"/>
        <v>200171.70478851226</v>
      </c>
      <c r="AP161" s="175">
        <f t="shared" si="378"/>
        <v>209853</v>
      </c>
      <c r="AQ161" s="175">
        <f t="shared" si="378"/>
        <v>24699.11614997391</v>
      </c>
      <c r="AR161" s="175">
        <f t="shared" si="378"/>
        <v>22499</v>
      </c>
      <c r="AS161" s="175">
        <f t="shared" si="378"/>
        <v>224870.82093848614</v>
      </c>
      <c r="AT161" s="175">
        <f t="shared" si="378"/>
        <v>232352</v>
      </c>
      <c r="AU161" s="175">
        <f t="shared" si="378"/>
        <v>22214.209891643342</v>
      </c>
      <c r="AV161" s="175">
        <f t="shared" si="378"/>
        <v>18988</v>
      </c>
      <c r="AW161" s="175">
        <f t="shared" si="378"/>
        <v>247085.03083012952</v>
      </c>
      <c r="AX161" s="175">
        <f t="shared" si="378"/>
        <v>251340</v>
      </c>
      <c r="AY161" s="175">
        <f t="shared" si="378"/>
        <v>24699.11614997391</v>
      </c>
      <c r="AZ161" s="175">
        <f t="shared" si="378"/>
        <v>23069</v>
      </c>
      <c r="BA161" s="175">
        <f t="shared" si="378"/>
        <v>71612.442191591166</v>
      </c>
      <c r="BB161" s="175">
        <f t="shared" si="378"/>
        <v>64556</v>
      </c>
      <c r="BC161" s="175">
        <f t="shared" si="378"/>
        <v>144442.85759984821</v>
      </c>
      <c r="BD161" s="175">
        <f t="shared" si="378"/>
        <v>131500</v>
      </c>
      <c r="BE161" s="175">
        <f t="shared" si="378"/>
        <v>271784.1469801034</v>
      </c>
      <c r="BF161" s="175">
        <f t="shared" si="378"/>
        <v>274409</v>
      </c>
    </row>
    <row r="162" spans="2:58" hidden="1" x14ac:dyDescent="0.25"/>
    <row r="163" spans="2:58" hidden="1" x14ac:dyDescent="0.25"/>
    <row r="164" spans="2:58" hidden="1" x14ac:dyDescent="0.25"/>
    <row r="165" spans="2:58" hidden="1" x14ac:dyDescent="0.25">
      <c r="AN165">
        <v>750</v>
      </c>
    </row>
  </sheetData>
  <mergeCells count="37">
    <mergeCell ref="D93:D94"/>
    <mergeCell ref="E93:E94"/>
    <mergeCell ref="B68:B69"/>
    <mergeCell ref="B3:B4"/>
    <mergeCell ref="C3:C4"/>
    <mergeCell ref="E3:F3"/>
    <mergeCell ref="G3:H3"/>
    <mergeCell ref="D3:D4"/>
    <mergeCell ref="D29:D30"/>
    <mergeCell ref="D12:D13"/>
    <mergeCell ref="E12:E13"/>
    <mergeCell ref="E29:E30"/>
    <mergeCell ref="BE3:BF3"/>
    <mergeCell ref="BA3:BB3"/>
    <mergeCell ref="BC3:BD3"/>
    <mergeCell ref="AG3:AH3"/>
    <mergeCell ref="AI3:AJ3"/>
    <mergeCell ref="AW3:AX3"/>
    <mergeCell ref="AQ3:AR3"/>
    <mergeCell ref="AS3:AT3"/>
    <mergeCell ref="AO3:AP3"/>
    <mergeCell ref="AU3:AV3"/>
    <mergeCell ref="AM3:AN3"/>
    <mergeCell ref="AY3:AZ3"/>
    <mergeCell ref="AK3:AL3"/>
    <mergeCell ref="AA3:AB3"/>
    <mergeCell ref="Y3:Z3"/>
    <mergeCell ref="AC3:AD3"/>
    <mergeCell ref="AE3:AF3"/>
    <mergeCell ref="M3:N3"/>
    <mergeCell ref="O3:P3"/>
    <mergeCell ref="Q3:R3"/>
    <mergeCell ref="I3:J3"/>
    <mergeCell ref="K3:L3"/>
    <mergeCell ref="S3:T3"/>
    <mergeCell ref="U3:V3"/>
    <mergeCell ref="W3:X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S156"/>
  <sheetViews>
    <sheetView zoomScaleNormal="100" workbookViewId="0">
      <pane xSplit="3" topLeftCell="D1" activePane="topRight" state="frozen"/>
      <selection pane="topRight" activeCell="F83" sqref="F83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customWidth="1"/>
    <col min="7" max="7" width="10.140625" hidden="1" customWidth="1"/>
    <col min="8" max="8" width="9.85546875" style="90" hidden="1" customWidth="1"/>
    <col min="9" max="9" width="10.7109375" hidden="1" customWidth="1"/>
    <col min="10" max="10" width="14" hidden="1" customWidth="1"/>
    <col min="11" max="11" width="10.140625" hidden="1" customWidth="1"/>
    <col min="12" max="12" width="9.85546875" hidden="1" customWidth="1"/>
    <col min="13" max="14" width="11.5703125" hidden="1" customWidth="1"/>
    <col min="15" max="15" width="10.140625" hidden="1" customWidth="1"/>
    <col min="16" max="16" width="10.28515625" hidden="1" customWidth="1"/>
    <col min="17" max="17" width="11.7109375" hidden="1" customWidth="1"/>
    <col min="18" max="18" width="12.42578125" hidden="1" customWidth="1"/>
    <col min="19" max="19" width="10.140625" hidden="1" customWidth="1"/>
    <col min="20" max="20" width="12" style="90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3" width="9.7109375" hidden="1" customWidth="1"/>
    <col min="34" max="34" width="9.7109375" style="90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2787" hidden="1" customWidth="1"/>
    <col min="54" max="54" width="10.140625" style="2787" hidden="1" customWidth="1"/>
    <col min="55" max="55" width="10" style="2787" hidden="1" customWidth="1"/>
    <col min="56" max="56" width="11.42578125" style="2787" hidden="1" customWidth="1"/>
    <col min="57" max="57" width="10" hidden="1" customWidth="1"/>
    <col min="58" max="58" width="11.28515625" hidden="1" customWidth="1"/>
    <col min="59" max="59" width="13.7109375" hidden="1" customWidth="1"/>
    <col min="60" max="62" width="9.140625" hidden="1" customWidth="1"/>
    <col min="63" max="66" width="0" hidden="1" customWidth="1"/>
    <col min="68" max="68" width="9.140625" style="258"/>
  </cols>
  <sheetData>
    <row r="1" spans="1:68" ht="22.5" x14ac:dyDescent="0.3">
      <c r="A1" s="137"/>
      <c r="B1" s="365" t="s">
        <v>233</v>
      </c>
      <c r="C1" s="191"/>
      <c r="D1" s="191"/>
      <c r="E1" s="191"/>
      <c r="F1" s="191"/>
      <c r="G1" s="191"/>
      <c r="H1" s="191"/>
      <c r="I1" s="191"/>
      <c r="J1" s="191"/>
      <c r="K1" s="547"/>
      <c r="L1" s="324"/>
      <c r="M1" s="324"/>
      <c r="N1" s="324"/>
      <c r="O1" s="1602"/>
      <c r="P1" s="547"/>
      <c r="Q1" s="324"/>
      <c r="R1" s="324"/>
      <c r="S1" s="324"/>
      <c r="T1" s="1667"/>
      <c r="U1" s="324"/>
      <c r="V1" s="324"/>
      <c r="W1" s="324"/>
      <c r="X1" s="324"/>
      <c r="Y1" s="324"/>
      <c r="Z1" s="324"/>
      <c r="AA1" s="324"/>
      <c r="AB1" s="324"/>
    </row>
    <row r="2" spans="1:68" ht="16.5" thickBot="1" x14ac:dyDescent="0.3">
      <c r="A2" s="90"/>
      <c r="B2" s="43"/>
      <c r="C2" s="191"/>
      <c r="D2" s="4702">
        <v>365</v>
      </c>
      <c r="E2" s="4702">
        <v>30</v>
      </c>
      <c r="F2" s="4702">
        <v>30</v>
      </c>
      <c r="G2" s="4702">
        <v>31</v>
      </c>
      <c r="H2" s="4702">
        <v>31</v>
      </c>
      <c r="I2" s="4702">
        <f>+E2+G2</f>
        <v>61</v>
      </c>
      <c r="J2" s="4702">
        <f>+F2+H2</f>
        <v>61</v>
      </c>
      <c r="K2" s="4773">
        <v>30</v>
      </c>
      <c r="L2" s="4702">
        <v>30</v>
      </c>
      <c r="M2" s="4702">
        <f>+I2+K2</f>
        <v>91</v>
      </c>
      <c r="N2" s="4702">
        <f>+J2+L2</f>
        <v>91</v>
      </c>
      <c r="O2" s="4773">
        <v>31</v>
      </c>
      <c r="P2" s="4773">
        <v>31</v>
      </c>
      <c r="Q2" s="4702">
        <f>+M2+O2</f>
        <v>122</v>
      </c>
      <c r="R2" s="4702">
        <f>+N2+P2</f>
        <v>122</v>
      </c>
      <c r="S2" s="4702">
        <v>31</v>
      </c>
      <c r="T2" s="4774">
        <v>31</v>
      </c>
      <c r="U2" s="4702">
        <f>+Q2+S2</f>
        <v>153</v>
      </c>
      <c r="V2" s="4702">
        <f>+R2+T2</f>
        <v>153</v>
      </c>
      <c r="W2" s="4702">
        <v>30</v>
      </c>
      <c r="X2" s="4773">
        <v>30</v>
      </c>
      <c r="Y2" s="4702">
        <f>+O2+S2+W2</f>
        <v>92</v>
      </c>
      <c r="Z2" s="4702">
        <f>+P2+T2+X2</f>
        <v>92</v>
      </c>
      <c r="AA2" s="4702">
        <f>+U2+W2</f>
        <v>183</v>
      </c>
      <c r="AB2" s="4702">
        <f>+V2+X2</f>
        <v>183</v>
      </c>
      <c r="AC2" s="4702">
        <v>31</v>
      </c>
      <c r="AD2" s="4774">
        <v>31</v>
      </c>
      <c r="AE2" s="4702">
        <f>+AA2+AC2</f>
        <v>214</v>
      </c>
      <c r="AF2" s="4702">
        <f>+AB2+AD2</f>
        <v>214</v>
      </c>
      <c r="AG2" s="4702">
        <v>30</v>
      </c>
      <c r="AH2" s="4774">
        <v>30</v>
      </c>
      <c r="AI2" s="4702">
        <f>+AE2+AG2</f>
        <v>244</v>
      </c>
      <c r="AJ2" s="4702">
        <f>+AF2+AH2</f>
        <v>244</v>
      </c>
      <c r="AK2" s="93">
        <v>31</v>
      </c>
      <c r="AL2" s="1660">
        <v>31</v>
      </c>
      <c r="AM2" s="93">
        <f>+AC2+AG2+AK2</f>
        <v>92</v>
      </c>
      <c r="AN2" s="93">
        <f>+AD2+AH2+AL2</f>
        <v>92</v>
      </c>
      <c r="AO2" s="93">
        <f>+AK2+AI2</f>
        <v>275</v>
      </c>
      <c r="AP2" s="93">
        <f>+AL2+AJ2</f>
        <v>275</v>
      </c>
      <c r="AQ2" s="93">
        <v>31</v>
      </c>
      <c r="AR2" s="1660">
        <v>31</v>
      </c>
      <c r="AS2" s="93">
        <f>+AO2+AQ2</f>
        <v>306</v>
      </c>
      <c r="AT2" s="93">
        <f>+AP2+AR2</f>
        <v>306</v>
      </c>
      <c r="AU2" s="93">
        <v>28</v>
      </c>
      <c r="AV2" s="1660">
        <v>28</v>
      </c>
      <c r="AW2" s="93">
        <f>+AS2+AU2</f>
        <v>334</v>
      </c>
      <c r="AX2" s="93">
        <f>+AT2+AV2</f>
        <v>334</v>
      </c>
      <c r="AY2" s="93">
        <v>31</v>
      </c>
      <c r="AZ2" s="1660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8" ht="16.5" hidden="1" thickBot="1" x14ac:dyDescent="0.3">
      <c r="A3" s="90"/>
      <c r="B3" s="43" t="s">
        <v>1954</v>
      </c>
      <c r="C3" s="191"/>
      <c r="D3" s="4701"/>
      <c r="E3" s="4701"/>
      <c r="F3" s="7182">
        <f>11.0833333333333/24</f>
        <v>0.46180555555555419</v>
      </c>
      <c r="G3" s="4701"/>
      <c r="H3" s="4701">
        <f>29/24</f>
        <v>1.2083333333333333</v>
      </c>
      <c r="I3" s="4701"/>
      <c r="J3" s="4702">
        <f>+F3+H3</f>
        <v>1.6701388888888875</v>
      </c>
      <c r="K3" s="4771"/>
      <c r="L3" s="4701">
        <f>9.33/24</f>
        <v>0.38874999999999998</v>
      </c>
      <c r="M3" s="4701"/>
      <c r="N3" s="4701">
        <f>+F3+H3+L3</f>
        <v>2.0588888888888874</v>
      </c>
      <c r="O3" s="4771"/>
      <c r="P3" s="4775">
        <v>0</v>
      </c>
      <c r="Q3" s="4701"/>
      <c r="R3" s="4702">
        <f>+N3+P3</f>
        <v>2.0588888888888874</v>
      </c>
      <c r="S3" s="4701"/>
      <c r="T3" s="4772">
        <f>23.4166666666667/24</f>
        <v>0.97569444444444586</v>
      </c>
      <c r="U3" s="4701"/>
      <c r="V3" s="4702">
        <f>+R3+T3</f>
        <v>3.0345833333333334</v>
      </c>
      <c r="W3" s="4701"/>
      <c r="X3" s="4771">
        <f>7.83/24</f>
        <v>0.32624999999999998</v>
      </c>
      <c r="Y3" s="4701"/>
      <c r="Z3" s="4701">
        <f>+P3+T3+X3</f>
        <v>1.3019444444444459</v>
      </c>
      <c r="AA3" s="4701"/>
      <c r="AB3" s="4701">
        <f>+N3+Z3</f>
        <v>3.3608333333333333</v>
      </c>
      <c r="AC3" s="4701"/>
      <c r="AD3" s="4772">
        <v>4.0694444444444446</v>
      </c>
      <c r="AE3" s="4701"/>
      <c r="AF3" s="4702">
        <f>+AB3+AD3</f>
        <v>7.4302777777777784</v>
      </c>
      <c r="AG3" s="4701"/>
      <c r="AH3" s="4772">
        <f>21.42/24</f>
        <v>0.89250000000000007</v>
      </c>
      <c r="AI3" s="4701"/>
      <c r="AJ3" s="4702">
        <f>+AF3+AH3</f>
        <v>8.3227777777777785</v>
      </c>
      <c r="AK3" s="93"/>
      <c r="AL3" s="2888">
        <f>7.25/24</f>
        <v>0.30208333333333331</v>
      </c>
      <c r="AM3" s="93"/>
      <c r="AN3" s="2889">
        <f>+AD3+AH3+AL3</f>
        <v>5.2640277777777778</v>
      </c>
      <c r="AO3" s="93"/>
      <c r="AP3" s="93">
        <f>+AL3+AJ3</f>
        <v>8.6248611111111124</v>
      </c>
      <c r="AQ3" s="93"/>
      <c r="AR3" s="1660">
        <v>0.58680555555555414</v>
      </c>
      <c r="AS3" s="93"/>
      <c r="AT3" s="93">
        <f>AP3+AR3</f>
        <v>9.211666666666666</v>
      </c>
      <c r="AU3" s="93"/>
      <c r="AV3" s="375">
        <v>0.42375000000000002</v>
      </c>
      <c r="AW3" s="93"/>
      <c r="AX3" s="2715">
        <f>AV3+F3+H3+L3+P3+T3+X3+AD3+AH3+AL3+AR3</f>
        <v>9.6354166666666661</v>
      </c>
      <c r="AY3" s="93"/>
      <c r="AZ3" s="1660">
        <v>1.0277777777777779</v>
      </c>
      <c r="BA3" s="93"/>
      <c r="BB3" s="2715">
        <f t="shared" ref="BB3" si="0">+AZ3+AV3+AR3</f>
        <v>2.0383333333333322</v>
      </c>
      <c r="BC3" s="93"/>
      <c r="BD3" s="93">
        <f>+AN3+BB3</f>
        <v>7.30236111111111</v>
      </c>
      <c r="BE3" s="93"/>
      <c r="BF3" s="2715">
        <f t="shared" ref="BF3" si="1">+AX3+AZ3</f>
        <v>10.663194444444445</v>
      </c>
    </row>
    <row r="4" spans="1:68" ht="15.75" thickBot="1" x14ac:dyDescent="0.3">
      <c r="A4" s="90"/>
      <c r="B4" s="8052" t="s">
        <v>171</v>
      </c>
      <c r="C4" s="7733" t="s">
        <v>172</v>
      </c>
      <c r="D4" s="7733" t="s">
        <v>2320</v>
      </c>
      <c r="E4" s="7733" t="s">
        <v>2319</v>
      </c>
      <c r="F4" s="7733"/>
      <c r="G4" s="7733" t="s">
        <v>1956</v>
      </c>
      <c r="H4" s="7733"/>
      <c r="I4" s="8051" t="s">
        <v>14</v>
      </c>
      <c r="J4" s="7710"/>
      <c r="K4" s="7732" t="s">
        <v>1986</v>
      </c>
      <c r="L4" s="7733"/>
      <c r="M4" s="7734" t="s">
        <v>607</v>
      </c>
      <c r="N4" s="7734"/>
      <c r="O4" s="7733" t="s">
        <v>2008</v>
      </c>
      <c r="P4" s="7733"/>
      <c r="Q4" s="8051" t="s">
        <v>17</v>
      </c>
      <c r="R4" s="8051"/>
      <c r="S4" s="7733" t="s">
        <v>2011</v>
      </c>
      <c r="T4" s="7733"/>
      <c r="U4" s="8051" t="s">
        <v>18</v>
      </c>
      <c r="V4" s="7710"/>
      <c r="W4" s="7768" t="s">
        <v>2042</v>
      </c>
      <c r="X4" s="7768"/>
      <c r="Y4" s="7769" t="s">
        <v>139</v>
      </c>
      <c r="Z4" s="7770"/>
      <c r="AA4" s="7771" t="s">
        <v>626</v>
      </c>
      <c r="AB4" s="7772"/>
      <c r="AC4" s="7733" t="s">
        <v>2067</v>
      </c>
      <c r="AD4" s="7733"/>
      <c r="AE4" s="8051" t="s">
        <v>24</v>
      </c>
      <c r="AF4" s="7710"/>
      <c r="AG4" s="7733" t="s">
        <v>2170</v>
      </c>
      <c r="AH4" s="7733"/>
      <c r="AI4" s="8051" t="s">
        <v>27</v>
      </c>
      <c r="AJ4" s="7710"/>
      <c r="AK4" s="7733" t="s">
        <v>2194</v>
      </c>
      <c r="AL4" s="7733"/>
      <c r="AM4" s="7769" t="s">
        <v>1577</v>
      </c>
      <c r="AN4" s="7770"/>
      <c r="AO4" s="8051" t="s">
        <v>1575</v>
      </c>
      <c r="AP4" s="7710"/>
      <c r="AQ4" s="7733" t="s">
        <v>2206</v>
      </c>
      <c r="AR4" s="7733"/>
      <c r="AS4" s="8051" t="s">
        <v>28</v>
      </c>
      <c r="AT4" s="7710"/>
      <c r="AU4" s="7733" t="s">
        <v>2243</v>
      </c>
      <c r="AV4" s="7733"/>
      <c r="AW4" s="8051" t="s">
        <v>30</v>
      </c>
      <c r="AX4" s="7710"/>
      <c r="AY4" s="7733" t="s">
        <v>2261</v>
      </c>
      <c r="AZ4" s="7733"/>
      <c r="BA4" s="7769" t="s">
        <v>1611</v>
      </c>
      <c r="BB4" s="7770"/>
      <c r="BC4" s="7771" t="s">
        <v>638</v>
      </c>
      <c r="BD4" s="7772"/>
      <c r="BE4" s="7709" t="s">
        <v>1984</v>
      </c>
      <c r="BF4" s="7710"/>
    </row>
    <row r="5" spans="1:68" ht="15.75" thickBot="1" x14ac:dyDescent="0.3">
      <c r="A5" s="90"/>
      <c r="B5" s="8053"/>
      <c r="C5" s="8054"/>
      <c r="D5" s="8054"/>
      <c r="E5" s="3481" t="s">
        <v>173</v>
      </c>
      <c r="F5" s="3481" t="s">
        <v>174</v>
      </c>
      <c r="G5" s="3481" t="s">
        <v>173</v>
      </c>
      <c r="H5" s="7177" t="s">
        <v>174</v>
      </c>
      <c r="I5" s="3482" t="s">
        <v>173</v>
      </c>
      <c r="J5" s="859" t="s">
        <v>174</v>
      </c>
      <c r="K5" s="1451" t="s">
        <v>173</v>
      </c>
      <c r="L5" s="1997" t="s">
        <v>174</v>
      </c>
      <c r="M5" s="1998" t="s">
        <v>173</v>
      </c>
      <c r="N5" s="1998" t="s">
        <v>174</v>
      </c>
      <c r="O5" s="761" t="s">
        <v>173</v>
      </c>
      <c r="P5" s="761" t="s">
        <v>174</v>
      </c>
      <c r="Q5" s="1999" t="s">
        <v>173</v>
      </c>
      <c r="R5" s="1999" t="s">
        <v>174</v>
      </c>
      <c r="S5" s="761" t="s">
        <v>173</v>
      </c>
      <c r="T5" s="761" t="s">
        <v>174</v>
      </c>
      <c r="U5" s="1999" t="s">
        <v>173</v>
      </c>
      <c r="V5" s="859" t="s">
        <v>174</v>
      </c>
      <c r="W5" s="211" t="s">
        <v>173</v>
      </c>
      <c r="X5" s="376" t="s">
        <v>174</v>
      </c>
      <c r="Y5" s="660" t="s">
        <v>173</v>
      </c>
      <c r="Z5" s="159" t="s">
        <v>174</v>
      </c>
      <c r="AA5" s="662" t="s">
        <v>173</v>
      </c>
      <c r="AB5" s="441" t="s">
        <v>174</v>
      </c>
      <c r="AC5" s="761" t="s">
        <v>173</v>
      </c>
      <c r="AD5" s="2003" t="s">
        <v>174</v>
      </c>
      <c r="AE5" s="2441" t="s">
        <v>173</v>
      </c>
      <c r="AF5" s="859" t="s">
        <v>174</v>
      </c>
      <c r="AG5" s="761" t="s">
        <v>173</v>
      </c>
      <c r="AH5" s="2003" t="s">
        <v>174</v>
      </c>
      <c r="AI5" s="2484" t="s">
        <v>173</v>
      </c>
      <c r="AJ5" s="859" t="s">
        <v>174</v>
      </c>
      <c r="AK5" s="761" t="s">
        <v>173</v>
      </c>
      <c r="AL5" s="2003" t="s">
        <v>174</v>
      </c>
      <c r="AM5" s="2547" t="s">
        <v>173</v>
      </c>
      <c r="AN5" s="159" t="s">
        <v>174</v>
      </c>
      <c r="AO5" s="2552" t="s">
        <v>173</v>
      </c>
      <c r="AP5" s="859" t="s">
        <v>174</v>
      </c>
      <c r="AQ5" s="761" t="s">
        <v>173</v>
      </c>
      <c r="AR5" s="2003" t="s">
        <v>174</v>
      </c>
      <c r="AS5" s="2604" t="s">
        <v>173</v>
      </c>
      <c r="AT5" s="859" t="s">
        <v>174</v>
      </c>
      <c r="AU5" s="761" t="s">
        <v>173</v>
      </c>
      <c r="AV5" s="2003" t="s">
        <v>174</v>
      </c>
      <c r="AW5" s="2640" t="s">
        <v>173</v>
      </c>
      <c r="AX5" s="859" t="s">
        <v>174</v>
      </c>
      <c r="AY5" s="761" t="s">
        <v>173</v>
      </c>
      <c r="AZ5" s="2003" t="s">
        <v>174</v>
      </c>
      <c r="BA5" s="2781" t="s">
        <v>173</v>
      </c>
      <c r="BB5" s="159" t="s">
        <v>174</v>
      </c>
      <c r="BC5" s="2784" t="s">
        <v>173</v>
      </c>
      <c r="BD5" s="441" t="s">
        <v>174</v>
      </c>
      <c r="BE5" s="7202" t="s">
        <v>173</v>
      </c>
      <c r="BF5" s="5211" t="s">
        <v>174</v>
      </c>
    </row>
    <row r="6" spans="1:68" ht="18.75" x14ac:dyDescent="0.25">
      <c r="A6" s="90"/>
      <c r="B6" s="3400" t="s">
        <v>87</v>
      </c>
      <c r="C6" s="3251" t="s">
        <v>50</v>
      </c>
      <c r="D6" s="3468">
        <v>3000000</v>
      </c>
      <c r="E6" s="3468">
        <f>+'Maj Production Summ'!E17</f>
        <v>208000</v>
      </c>
      <c r="F6" s="2894">
        <f>+'Maj Production Summ'!F17</f>
        <v>237076.80000000005</v>
      </c>
      <c r="G6" s="5602">
        <f>+'Maj Production Summ'!G17</f>
        <v>260000</v>
      </c>
      <c r="H6" s="2894">
        <f>+'Maj Production Summ'!H17</f>
        <v>255730.90000000002</v>
      </c>
      <c r="I6" s="3483">
        <f>+E6+G6</f>
        <v>468000</v>
      </c>
      <c r="J6" s="171">
        <f>+F6+H6</f>
        <v>492807.70000000007</v>
      </c>
      <c r="K6" s="5707">
        <f>+'Maj Production Summ'!K17</f>
        <v>252000</v>
      </c>
      <c r="L6" s="2894">
        <f>+'Maj Production Summ'!L17</f>
        <v>261489.89999999997</v>
      </c>
      <c r="M6" s="354">
        <f>+K6+G6+E6</f>
        <v>720000</v>
      </c>
      <c r="N6" s="354">
        <f>+L6+H6+F6</f>
        <v>754297.60000000009</v>
      </c>
      <c r="O6" s="5861">
        <f>+'Maj Production Summ'!O17</f>
        <v>255000</v>
      </c>
      <c r="P6" s="2894">
        <f>+'Maj Production Summ'!P17</f>
        <v>268142.30000000005</v>
      </c>
      <c r="Q6" s="2004">
        <f>+M6+O6</f>
        <v>975000</v>
      </c>
      <c r="R6" s="235">
        <f>+N6+P6</f>
        <v>1022439.9000000001</v>
      </c>
      <c r="S6" s="5926">
        <f>+'Maj Production Summ'!S17</f>
        <v>255000</v>
      </c>
      <c r="T6" s="2894">
        <f>+'Maj Production Summ'!T17</f>
        <v>253263.6</v>
      </c>
      <c r="U6" s="2004">
        <f>+Q6+S6</f>
        <v>1230000</v>
      </c>
      <c r="V6" s="235">
        <f>+R6+T6</f>
        <v>1275703.5000000002</v>
      </c>
      <c r="W6" s="6024">
        <f>+'Maj Production Summ'!W17</f>
        <v>140000</v>
      </c>
      <c r="X6" s="2894">
        <f>+'Maj Production Summ'!X17</f>
        <v>243297.40000000002</v>
      </c>
      <c r="Y6" s="736">
        <f>+W6+S6+O6</f>
        <v>650000</v>
      </c>
      <c r="Z6" s="88">
        <f>+X6+T6+P6</f>
        <v>764703.3</v>
      </c>
      <c r="AA6" s="2293">
        <f>M6+Y6</f>
        <v>1370000</v>
      </c>
      <c r="AB6" s="442">
        <f>+N6+Z6</f>
        <v>1519000.9000000001</v>
      </c>
      <c r="AC6" s="6159">
        <f>+'Maj Production Summ'!AC17</f>
        <v>260000</v>
      </c>
      <c r="AD6" s="2894">
        <f>+'Maj Production Summ'!AD17</f>
        <v>202962.09999999998</v>
      </c>
      <c r="AE6" s="2004">
        <f>+AA6+AC6</f>
        <v>1630000</v>
      </c>
      <c r="AF6" s="235">
        <f>+AB6+AD6</f>
        <v>1721963</v>
      </c>
      <c r="AG6" s="6324">
        <f>+'Maj Production Summ'!AG17</f>
        <v>252000</v>
      </c>
      <c r="AH6" s="2894">
        <f>+'Maj Production Summ'!AH17</f>
        <v>244148.19999999998</v>
      </c>
      <c r="AI6" s="2004">
        <f>+AE6+AG6</f>
        <v>1882000</v>
      </c>
      <c r="AJ6" s="235">
        <f>+AF6+AH6</f>
        <v>1966111.2</v>
      </c>
      <c r="AK6" s="6580">
        <f>+'Maj Production Summ'!AK17</f>
        <v>260000</v>
      </c>
      <c r="AL6" s="2894">
        <f>+'Maj Production Summ'!AL17</f>
        <v>251560.99999999997</v>
      </c>
      <c r="AM6" s="736">
        <f>+AK6+AG6+AC6</f>
        <v>772000</v>
      </c>
      <c r="AN6" s="88">
        <f>+AL6+AH6+AD6</f>
        <v>698671.29999999993</v>
      </c>
      <c r="AO6" s="235">
        <f>+AK6+AI6</f>
        <v>2142000</v>
      </c>
      <c r="AP6" s="235">
        <f>+AL6+AJ6</f>
        <v>2217672.1999999997</v>
      </c>
      <c r="AQ6" s="6670">
        <f>+'Maj Production Summ'!AQ17</f>
        <v>264000</v>
      </c>
      <c r="AR6" s="2894">
        <f>+'Maj Production Summ'!AR17</f>
        <v>244851.4</v>
      </c>
      <c r="AS6" s="2004">
        <f>+AO6+AQ6</f>
        <v>2406000</v>
      </c>
      <c r="AT6" s="235">
        <f>+AP6+AR6</f>
        <v>2462523.5999999996</v>
      </c>
      <c r="AU6" s="6869">
        <f>+'Maj Production Summ'!AU17</f>
        <v>236000</v>
      </c>
      <c r="AV6" s="2894">
        <f>+'Maj Production Summ'!AV17</f>
        <v>196575.3</v>
      </c>
      <c r="AW6" s="2004">
        <f>+AS6+AU6</f>
        <v>2642000</v>
      </c>
      <c r="AX6" s="235">
        <f>+AT6+AV6</f>
        <v>2659098.8999999994</v>
      </c>
      <c r="AY6" s="6988">
        <f>+'Maj Production Summ'!AY17</f>
        <v>264000</v>
      </c>
      <c r="AZ6" s="2894">
        <f>+'Maj Production Summ'!AZ17</f>
        <v>251871.70000000004</v>
      </c>
      <c r="BA6" s="736">
        <f>+AY6+AU6+AQ6</f>
        <v>764000</v>
      </c>
      <c r="BB6" s="183">
        <f>+AZ6+AV6+AR6</f>
        <v>693298.4</v>
      </c>
      <c r="BC6" s="2293">
        <f>AM6+BA6</f>
        <v>1536000</v>
      </c>
      <c r="BD6" s="442">
        <f>+AN6+BB6</f>
        <v>1391969.7</v>
      </c>
      <c r="BE6" s="7201">
        <f>+AW6+AY6</f>
        <v>2906000</v>
      </c>
      <c r="BF6" s="3603">
        <f>+AX6+AZ6</f>
        <v>2910970.5999999996</v>
      </c>
      <c r="BG6" s="4234">
        <f>AY6+AU6+AQ6+AK6+AG6+AC6+W6+S6+O6+K6+G6+E6-BE6</f>
        <v>0</v>
      </c>
      <c r="BH6" s="4234">
        <f t="shared" ref="BH6" si="2">AZ6+AV6+AR6+AL6+AH6+AD6+X6+T6+P6+L6+H6+F6-BF6</f>
        <v>0</v>
      </c>
      <c r="BI6" s="4234"/>
      <c r="BJ6" s="25"/>
      <c r="BK6" s="25"/>
      <c r="BL6" s="25"/>
      <c r="BM6" s="25"/>
      <c r="BN6" s="25"/>
    </row>
    <row r="7" spans="1:68" x14ac:dyDescent="0.25">
      <c r="A7" s="138"/>
      <c r="B7" s="1687" t="s">
        <v>234</v>
      </c>
      <c r="C7" s="3484"/>
      <c r="D7" s="3484"/>
      <c r="E7" s="3484"/>
      <c r="F7" s="3484"/>
      <c r="G7" s="3484"/>
      <c r="H7" s="3484"/>
      <c r="I7" s="3484"/>
      <c r="J7" s="1252"/>
      <c r="K7" s="3484"/>
      <c r="L7" s="3484"/>
      <c r="M7" s="761"/>
      <c r="N7" s="761"/>
      <c r="O7" s="3484"/>
      <c r="P7" s="3484"/>
      <c r="Q7" s="761"/>
      <c r="R7" s="761"/>
      <c r="S7" s="3484"/>
      <c r="T7" s="3484"/>
      <c r="U7" s="761"/>
      <c r="V7" s="761"/>
      <c r="W7" s="3484"/>
      <c r="X7" s="3484"/>
      <c r="Y7" s="612"/>
      <c r="Z7" s="612"/>
      <c r="AA7" s="612"/>
      <c r="AB7" s="619"/>
      <c r="AC7" s="3484"/>
      <c r="AD7" s="3484"/>
      <c r="AE7" s="761"/>
      <c r="AF7" s="761"/>
      <c r="AG7" s="3484"/>
      <c r="AH7" s="3484"/>
      <c r="AI7" s="761"/>
      <c r="AJ7" s="761"/>
      <c r="AK7" s="3484"/>
      <c r="AL7" s="3484"/>
      <c r="AM7" s="612"/>
      <c r="AN7" s="612"/>
      <c r="AO7" s="761"/>
      <c r="AP7" s="761"/>
      <c r="AQ7" s="3484"/>
      <c r="AR7" s="3484"/>
      <c r="AS7" s="761"/>
      <c r="AT7" s="761"/>
      <c r="AU7" s="3484"/>
      <c r="AV7" s="3484"/>
      <c r="AW7" s="761"/>
      <c r="AX7" s="761"/>
      <c r="AY7" s="3484"/>
      <c r="AZ7" s="3484"/>
      <c r="BA7" s="612"/>
      <c r="BB7" s="612"/>
      <c r="BC7" s="612"/>
      <c r="BD7" s="619"/>
      <c r="BE7" s="761"/>
      <c r="BF7" s="761"/>
      <c r="BG7" s="4234">
        <f t="shared" ref="BG7:BG70" si="3">AY7+AU7+AQ7+AK7+AG7+AC7+W7+S7+O7+K7+G7+E7-BE7</f>
        <v>0</v>
      </c>
      <c r="BH7" s="4234">
        <f t="shared" ref="BH7:BH70" si="4">AZ7+AV7+AR7+AL7+AH7+AD7+X7+T7+P7+L7+H7+F7-BF7</f>
        <v>0</v>
      </c>
      <c r="BI7" s="25"/>
      <c r="BJ7" s="25"/>
      <c r="BK7" s="25"/>
      <c r="BL7" s="25"/>
      <c r="BM7" s="25"/>
      <c r="BN7" s="25"/>
    </row>
    <row r="8" spans="1:68" x14ac:dyDescent="0.25">
      <c r="A8" s="137"/>
      <c r="B8" s="2047" t="s">
        <v>420</v>
      </c>
      <c r="C8" s="2893" t="s">
        <v>50</v>
      </c>
      <c r="D8" s="2883">
        <v>2992200</v>
      </c>
      <c r="E8" s="2883">
        <v>205700</v>
      </c>
      <c r="F8" s="2945">
        <v>236781.70000000004</v>
      </c>
      <c r="G8" s="5601">
        <v>259100</v>
      </c>
      <c r="H8" s="7179">
        <v>252875.2</v>
      </c>
      <c r="I8" s="2884">
        <f>+E8+G8</f>
        <v>464800</v>
      </c>
      <c r="J8" s="37">
        <f t="shared" ref="J8:J31" si="5">+F8+H8</f>
        <v>489656.9</v>
      </c>
      <c r="K8" s="5706">
        <v>251100</v>
      </c>
      <c r="L8" s="5703">
        <v>260408.09999999998</v>
      </c>
      <c r="M8" s="1988">
        <f t="shared" ref="M8:N8" si="6">+K8+G8+E8</f>
        <v>715900</v>
      </c>
      <c r="N8" s="1988">
        <f t="shared" si="6"/>
        <v>750065</v>
      </c>
      <c r="O8" s="5857">
        <v>254100</v>
      </c>
      <c r="P8" s="5849">
        <v>268142.30000000005</v>
      </c>
      <c r="Q8" s="1989">
        <f t="shared" ref="Q8:R11" si="7">+M8+O8</f>
        <v>970000</v>
      </c>
      <c r="R8" s="1989">
        <f t="shared" si="7"/>
        <v>1018207.3</v>
      </c>
      <c r="S8" s="5923">
        <v>254100</v>
      </c>
      <c r="T8" s="7179">
        <v>253091</v>
      </c>
      <c r="U8" s="4335">
        <f t="shared" ref="U8:U11" si="8">+Q8+S8</f>
        <v>1224100</v>
      </c>
      <c r="V8" s="4335">
        <f t="shared" ref="V8:V11" si="9">+R8+T8</f>
        <v>1271298.3</v>
      </c>
      <c r="W8" s="6021">
        <v>133350</v>
      </c>
      <c r="X8" s="6015">
        <v>242990.00000000003</v>
      </c>
      <c r="Y8" s="66">
        <f t="shared" ref="Y8:Z8" si="10">+W8+S8+O8</f>
        <v>641550</v>
      </c>
      <c r="Z8" s="67">
        <f t="shared" si="10"/>
        <v>764223.3</v>
      </c>
      <c r="AA8" s="443">
        <f>M8+Y8</f>
        <v>1357450</v>
      </c>
      <c r="AB8" s="451">
        <f>+N8+Z8</f>
        <v>1514288.3</v>
      </c>
      <c r="AC8" s="6156">
        <v>259100</v>
      </c>
      <c r="AD8" s="6148">
        <v>191885.69999999995</v>
      </c>
      <c r="AE8" s="2236">
        <f t="shared" ref="AE8:AE11" si="11">+AA8+AC8</f>
        <v>1616550</v>
      </c>
      <c r="AF8" s="2236">
        <f t="shared" ref="AF8:AF11" si="12">+AB8+AD8</f>
        <v>1706174</v>
      </c>
      <c r="AG8" s="6318">
        <v>251100</v>
      </c>
      <c r="AH8" s="7184">
        <v>243986.3</v>
      </c>
      <c r="AI8" s="4635">
        <f t="shared" ref="AI8:AI11" si="13">+AE8+AG8</f>
        <v>1867650</v>
      </c>
      <c r="AJ8" s="4635">
        <f t="shared" ref="AJ8:AJ11" si="14">+AF8+AH8</f>
        <v>1950160.3</v>
      </c>
      <c r="AK8" s="6577">
        <v>259100</v>
      </c>
      <c r="AL8" s="6571">
        <v>251518.19999999998</v>
      </c>
      <c r="AM8" s="66">
        <f t="shared" ref="AM8:AM11" si="15">+AK8+AG8+AC8</f>
        <v>769300</v>
      </c>
      <c r="AN8" s="67">
        <f t="shared" ref="AN8:AN11" si="16">+AL8+AH8+AD8</f>
        <v>687390.2</v>
      </c>
      <c r="AO8" s="2236">
        <f>+AK8+AI8</f>
        <v>2126750</v>
      </c>
      <c r="AP8" s="2236">
        <f>+AL8+AJ8</f>
        <v>2201678.5</v>
      </c>
      <c r="AQ8" s="6669">
        <v>263100</v>
      </c>
      <c r="AR8" s="6666">
        <v>243469</v>
      </c>
      <c r="AS8" s="2236">
        <f t="shared" ref="AS8:AS10" si="17">+AO8+AQ8</f>
        <v>2389850</v>
      </c>
      <c r="AT8" s="2236">
        <f t="shared" ref="AT8:AT10" si="18">+AP8+AR8</f>
        <v>2445147.5</v>
      </c>
      <c r="AU8" s="6868">
        <v>235100</v>
      </c>
      <c r="AV8" s="6866">
        <v>196575.3</v>
      </c>
      <c r="AW8" s="5026">
        <f t="shared" ref="AW8:AW11" si="19">+AS8+AU8</f>
        <v>2624950</v>
      </c>
      <c r="AX8" s="5026">
        <f t="shared" ref="AX8:AX11" si="20">+AT8+AV8</f>
        <v>2641722.7999999998</v>
      </c>
      <c r="AY8" s="6987">
        <v>263100</v>
      </c>
      <c r="AZ8" s="6985">
        <v>251775.50000000003</v>
      </c>
      <c r="BA8" s="66">
        <f t="shared" ref="BA8:BA11" si="21">+AY8+AU8+AQ8</f>
        <v>761300</v>
      </c>
      <c r="BB8" s="67">
        <f t="shared" ref="BB8:BB11" si="22">+AZ8+AV8+AR8</f>
        <v>691819.8</v>
      </c>
      <c r="BC8" s="443">
        <f>AM8+BA8</f>
        <v>1530600</v>
      </c>
      <c r="BD8" s="451">
        <f>+AN8+BB8</f>
        <v>1379210</v>
      </c>
      <c r="BE8" s="2236">
        <f t="shared" ref="BE8:BE11" si="23">+AW8+AY8</f>
        <v>2888050</v>
      </c>
      <c r="BF8" s="2236">
        <f t="shared" ref="BF8:BF11" si="24">+AX8+AZ8</f>
        <v>2893498.3</v>
      </c>
      <c r="BG8" s="4234">
        <f t="shared" si="3"/>
        <v>0</v>
      </c>
      <c r="BH8" s="4234">
        <f t="shared" si="4"/>
        <v>0</v>
      </c>
      <c r="BI8" s="25"/>
      <c r="BJ8" s="25"/>
      <c r="BK8" s="25"/>
      <c r="BL8" s="25"/>
      <c r="BM8" s="25"/>
      <c r="BN8" s="25"/>
    </row>
    <row r="9" spans="1:68" x14ac:dyDescent="0.25">
      <c r="A9" s="137"/>
      <c r="B9" s="2047" t="s">
        <v>421</v>
      </c>
      <c r="C9" s="2893" t="s">
        <v>50</v>
      </c>
      <c r="D9" s="2883">
        <v>3800</v>
      </c>
      <c r="E9" s="2883">
        <v>1800</v>
      </c>
      <c r="F9" s="2945">
        <v>295.10000000000002</v>
      </c>
      <c r="G9" s="5601">
        <v>900</v>
      </c>
      <c r="H9" s="7179">
        <v>2855.7000000000003</v>
      </c>
      <c r="I9" s="2884">
        <f>+E9+G9</f>
        <v>2700</v>
      </c>
      <c r="J9" s="37">
        <f t="shared" si="5"/>
        <v>3150.8</v>
      </c>
      <c r="K9" s="5706">
        <v>900</v>
      </c>
      <c r="L9" s="5703">
        <v>1081.8</v>
      </c>
      <c r="M9" s="2211">
        <f t="shared" ref="M9" si="25">+K9+G9+E9</f>
        <v>3600</v>
      </c>
      <c r="N9" s="2211">
        <f t="shared" ref="N9" si="26">+L9+H9+F9</f>
        <v>4232.6000000000004</v>
      </c>
      <c r="O9" s="5857">
        <v>900</v>
      </c>
      <c r="P9" s="5849">
        <v>0</v>
      </c>
      <c r="Q9" s="1989">
        <f t="shared" si="7"/>
        <v>4500</v>
      </c>
      <c r="R9" s="1989">
        <f t="shared" si="7"/>
        <v>4232.6000000000004</v>
      </c>
      <c r="S9" s="5923">
        <v>900</v>
      </c>
      <c r="T9" s="7179">
        <v>172.60000000000002</v>
      </c>
      <c r="U9" s="4335">
        <f t="shared" si="8"/>
        <v>5400</v>
      </c>
      <c r="V9" s="4335">
        <f t="shared" si="9"/>
        <v>4405.2000000000007</v>
      </c>
      <c r="W9" s="6021">
        <v>4150</v>
      </c>
      <c r="X9" s="6015">
        <v>307.39999999999998</v>
      </c>
      <c r="Y9" s="66">
        <f t="shared" ref="Y9:Y10" si="27">+W9+S9+O9</f>
        <v>5950</v>
      </c>
      <c r="Z9" s="67">
        <f t="shared" ref="Z9:Z10" si="28">+X9+T9+P9</f>
        <v>480</v>
      </c>
      <c r="AA9" s="443">
        <f t="shared" ref="AA9:AA10" si="29">M9+Y9</f>
        <v>9550</v>
      </c>
      <c r="AB9" s="451">
        <f t="shared" ref="AB9:AB10" si="30">+N9+Z9</f>
        <v>4712.6000000000004</v>
      </c>
      <c r="AC9" s="6156">
        <v>900</v>
      </c>
      <c r="AD9" s="6148">
        <v>3611.2000000000003</v>
      </c>
      <c r="AE9" s="2236">
        <f t="shared" si="11"/>
        <v>10450</v>
      </c>
      <c r="AF9" s="2236">
        <f t="shared" si="12"/>
        <v>8323.8000000000011</v>
      </c>
      <c r="AG9" s="6318">
        <v>900</v>
      </c>
      <c r="AH9" s="7184">
        <v>161.9</v>
      </c>
      <c r="AI9" s="4635">
        <f t="shared" si="13"/>
        <v>11350</v>
      </c>
      <c r="AJ9" s="4635">
        <f t="shared" si="14"/>
        <v>8485.7000000000007</v>
      </c>
      <c r="AK9" s="6577">
        <v>900</v>
      </c>
      <c r="AL9" s="6571">
        <v>42.8</v>
      </c>
      <c r="AM9" s="66">
        <f t="shared" si="15"/>
        <v>2700</v>
      </c>
      <c r="AN9" s="67">
        <f t="shared" si="16"/>
        <v>3815.9</v>
      </c>
      <c r="AO9" s="2236">
        <f t="shared" ref="AO9:AP13" si="31">+AK9+AI9</f>
        <v>12250</v>
      </c>
      <c r="AP9" s="2236">
        <f t="shared" ref="AP9:AP11" si="32">+AL9+AJ9</f>
        <v>8528.5</v>
      </c>
      <c r="AQ9" s="6669">
        <v>900</v>
      </c>
      <c r="AR9" s="6666">
        <v>794.2</v>
      </c>
      <c r="AS9" s="2236">
        <f t="shared" si="17"/>
        <v>13150</v>
      </c>
      <c r="AT9" s="2236">
        <f t="shared" si="18"/>
        <v>9322.7000000000007</v>
      </c>
      <c r="AU9" s="6868">
        <v>900</v>
      </c>
      <c r="AV9" s="6866">
        <v>0</v>
      </c>
      <c r="AW9" s="5026">
        <f t="shared" si="19"/>
        <v>14050</v>
      </c>
      <c r="AX9" s="5026">
        <f t="shared" si="20"/>
        <v>9322.7000000000007</v>
      </c>
      <c r="AY9" s="6987">
        <v>900</v>
      </c>
      <c r="AZ9" s="6985">
        <v>96.2</v>
      </c>
      <c r="BA9" s="66">
        <f t="shared" si="21"/>
        <v>2700</v>
      </c>
      <c r="BB9" s="67">
        <f t="shared" si="22"/>
        <v>890.40000000000009</v>
      </c>
      <c r="BC9" s="443">
        <f t="shared" ref="BC9:BC11" si="33">AM9+BA9</f>
        <v>5400</v>
      </c>
      <c r="BD9" s="451">
        <f t="shared" ref="BD9:BD11" si="34">+AN9+BB9</f>
        <v>4706.3</v>
      </c>
      <c r="BE9" s="2236">
        <f t="shared" si="23"/>
        <v>14950</v>
      </c>
      <c r="BF9" s="2236">
        <f t="shared" si="24"/>
        <v>9418.9000000000015</v>
      </c>
      <c r="BG9" s="4234">
        <f t="shared" si="3"/>
        <v>0</v>
      </c>
      <c r="BH9" s="4234">
        <f t="shared" si="4"/>
        <v>0</v>
      </c>
      <c r="BI9" s="25"/>
      <c r="BJ9" s="25"/>
      <c r="BK9" s="25"/>
      <c r="BL9" s="25"/>
      <c r="BM9" s="25"/>
      <c r="BN9" s="25"/>
    </row>
    <row r="10" spans="1:68" x14ac:dyDescent="0.25">
      <c r="A10" s="137"/>
      <c r="B10" s="2276" t="s">
        <v>422</v>
      </c>
      <c r="C10" s="3216" t="s">
        <v>50</v>
      </c>
      <c r="D10" s="3178">
        <v>4000</v>
      </c>
      <c r="E10" s="3178">
        <v>500</v>
      </c>
      <c r="F10" s="3217">
        <v>0</v>
      </c>
      <c r="G10" s="5600">
        <v>0</v>
      </c>
      <c r="H10" s="3217">
        <v>0</v>
      </c>
      <c r="I10" s="3179">
        <f>+E10+G10</f>
        <v>500</v>
      </c>
      <c r="J10" s="154">
        <f t="shared" si="5"/>
        <v>0</v>
      </c>
      <c r="K10" s="5705">
        <v>0</v>
      </c>
      <c r="L10" s="3217">
        <v>0</v>
      </c>
      <c r="M10" s="2206">
        <f t="shared" ref="M10" si="35">+K10+G10+E10</f>
        <v>500</v>
      </c>
      <c r="N10" s="2206">
        <f t="shared" ref="N10" si="36">+L10+H10+F10</f>
        <v>0</v>
      </c>
      <c r="O10" s="5856">
        <v>0</v>
      </c>
      <c r="P10" s="3217">
        <v>0</v>
      </c>
      <c r="Q10" s="4277">
        <f t="shared" si="7"/>
        <v>500</v>
      </c>
      <c r="R10" s="2208">
        <f t="shared" si="7"/>
        <v>0</v>
      </c>
      <c r="S10" s="5922">
        <v>0</v>
      </c>
      <c r="T10" s="3217">
        <v>0</v>
      </c>
      <c r="U10" s="4347">
        <f t="shared" si="8"/>
        <v>500</v>
      </c>
      <c r="V10" s="4336">
        <f t="shared" si="9"/>
        <v>0</v>
      </c>
      <c r="W10" s="6020">
        <v>2500</v>
      </c>
      <c r="X10" s="3217">
        <v>0</v>
      </c>
      <c r="Y10" s="2226">
        <f t="shared" si="27"/>
        <v>2500</v>
      </c>
      <c r="Z10" s="162">
        <f t="shared" si="28"/>
        <v>0</v>
      </c>
      <c r="AA10" s="2277">
        <f t="shared" si="29"/>
        <v>3000</v>
      </c>
      <c r="AB10" s="2278">
        <f t="shared" si="30"/>
        <v>0</v>
      </c>
      <c r="AC10" s="6155">
        <v>0</v>
      </c>
      <c r="AD10" s="3217">
        <v>3773.2</v>
      </c>
      <c r="AE10" s="2238">
        <f t="shared" si="11"/>
        <v>3000</v>
      </c>
      <c r="AF10" s="2238">
        <f t="shared" si="12"/>
        <v>3773.2</v>
      </c>
      <c r="AG10" s="6317">
        <v>0</v>
      </c>
      <c r="AH10" s="3217">
        <v>0</v>
      </c>
      <c r="AI10" s="4636">
        <f t="shared" si="13"/>
        <v>3000</v>
      </c>
      <c r="AJ10" s="4636">
        <f t="shared" si="14"/>
        <v>3773.2</v>
      </c>
      <c r="AK10" s="6576">
        <v>0</v>
      </c>
      <c r="AL10" s="3217"/>
      <c r="AM10" s="2226">
        <f t="shared" si="15"/>
        <v>0</v>
      </c>
      <c r="AN10" s="162">
        <f t="shared" si="16"/>
        <v>3773.2</v>
      </c>
      <c r="AO10" s="2236">
        <f t="shared" si="31"/>
        <v>3000</v>
      </c>
      <c r="AP10" s="2236">
        <f t="shared" si="32"/>
        <v>3773.2</v>
      </c>
      <c r="AQ10" s="6668">
        <v>0</v>
      </c>
      <c r="AR10" s="3217">
        <v>588.20000000000005</v>
      </c>
      <c r="AS10" s="2238">
        <f t="shared" si="17"/>
        <v>3000</v>
      </c>
      <c r="AT10" s="2238">
        <f t="shared" si="18"/>
        <v>4361.3999999999996</v>
      </c>
      <c r="AU10" s="6867">
        <v>0</v>
      </c>
      <c r="AV10" s="3217">
        <v>0</v>
      </c>
      <c r="AW10" s="5027">
        <f t="shared" si="19"/>
        <v>3000</v>
      </c>
      <c r="AX10" s="5027">
        <f t="shared" si="20"/>
        <v>4361.3999999999996</v>
      </c>
      <c r="AY10" s="6986">
        <v>0</v>
      </c>
      <c r="AZ10" s="3217">
        <v>0</v>
      </c>
      <c r="BA10" s="2226">
        <f t="shared" si="21"/>
        <v>0</v>
      </c>
      <c r="BB10" s="162">
        <f t="shared" si="22"/>
        <v>588.20000000000005</v>
      </c>
      <c r="BC10" s="443">
        <f t="shared" si="33"/>
        <v>0</v>
      </c>
      <c r="BD10" s="451">
        <f t="shared" si="34"/>
        <v>4361.3999999999996</v>
      </c>
      <c r="BE10" s="2238">
        <f t="shared" si="23"/>
        <v>3000</v>
      </c>
      <c r="BF10" s="2238">
        <f t="shared" si="24"/>
        <v>4361.3999999999996</v>
      </c>
      <c r="BG10" s="4234">
        <f t="shared" si="3"/>
        <v>0</v>
      </c>
      <c r="BH10" s="4234">
        <f t="shared" si="4"/>
        <v>0</v>
      </c>
      <c r="BI10" s="25"/>
      <c r="BJ10" s="25"/>
      <c r="BK10" s="25"/>
      <c r="BL10" s="25"/>
      <c r="BM10" s="25"/>
      <c r="BN10" s="25"/>
    </row>
    <row r="11" spans="1:68" s="3130" customFormat="1" ht="15.75" thickBot="1" x14ac:dyDescent="0.3">
      <c r="A11" s="137"/>
      <c r="B11" s="2047" t="s">
        <v>1747</v>
      </c>
      <c r="C11" s="4196"/>
      <c r="D11" s="4195"/>
      <c r="E11" s="4195"/>
      <c r="F11" s="4193">
        <v>0</v>
      </c>
      <c r="G11" s="5601">
        <v>0</v>
      </c>
      <c r="H11" s="7179">
        <v>0</v>
      </c>
      <c r="I11" s="4194">
        <f>+E11+G11</f>
        <v>0</v>
      </c>
      <c r="J11" s="154">
        <f t="shared" si="5"/>
        <v>0</v>
      </c>
      <c r="K11" s="5706">
        <v>0</v>
      </c>
      <c r="L11" s="5703">
        <v>0</v>
      </c>
      <c r="M11" s="4192">
        <f t="shared" ref="M11" si="37">+K11+G11+E11</f>
        <v>0</v>
      </c>
      <c r="N11" s="4192">
        <f t="shared" ref="N11" si="38">+L11+H11+F11</f>
        <v>0</v>
      </c>
      <c r="O11" s="5857">
        <v>0</v>
      </c>
      <c r="P11" s="5849">
        <v>0</v>
      </c>
      <c r="Q11" s="4277">
        <f t="shared" si="7"/>
        <v>0</v>
      </c>
      <c r="R11" s="3833">
        <f t="shared" si="7"/>
        <v>0</v>
      </c>
      <c r="S11" s="5923">
        <v>0</v>
      </c>
      <c r="T11" s="7179">
        <v>0</v>
      </c>
      <c r="U11" s="4347">
        <f t="shared" si="8"/>
        <v>0</v>
      </c>
      <c r="V11" s="3833">
        <f t="shared" si="9"/>
        <v>0</v>
      </c>
      <c r="W11" s="6021">
        <v>0</v>
      </c>
      <c r="X11" s="6015">
        <v>0</v>
      </c>
      <c r="Y11" s="2226">
        <f t="shared" ref="Y11" si="39">+W11+S11+O11</f>
        <v>0</v>
      </c>
      <c r="Z11" s="162">
        <f t="shared" ref="Z11" si="40">+X11+T11+P11</f>
        <v>0</v>
      </c>
      <c r="AA11" s="2277">
        <f t="shared" ref="AA11" si="41">M11+Y11</f>
        <v>0</v>
      </c>
      <c r="AB11" s="2278">
        <f t="shared" ref="AB11" si="42">+N11+Z11</f>
        <v>0</v>
      </c>
      <c r="AC11" s="6156">
        <v>0</v>
      </c>
      <c r="AD11" s="6148">
        <v>3692</v>
      </c>
      <c r="AE11" s="3833">
        <f t="shared" si="11"/>
        <v>0</v>
      </c>
      <c r="AF11" s="3833">
        <f t="shared" si="12"/>
        <v>3692</v>
      </c>
      <c r="AG11" s="6318">
        <v>0</v>
      </c>
      <c r="AH11" s="7184">
        <v>0</v>
      </c>
      <c r="AI11" s="3833">
        <f t="shared" si="13"/>
        <v>0</v>
      </c>
      <c r="AJ11" s="3833">
        <f t="shared" si="14"/>
        <v>3692</v>
      </c>
      <c r="AK11" s="6577">
        <v>0</v>
      </c>
      <c r="AL11" s="6571"/>
      <c r="AM11" s="2281">
        <f t="shared" si="15"/>
        <v>0</v>
      </c>
      <c r="AN11" s="162">
        <f t="shared" si="16"/>
        <v>3692</v>
      </c>
      <c r="AO11" s="3833">
        <f t="shared" si="31"/>
        <v>0</v>
      </c>
      <c r="AP11" s="4923">
        <f t="shared" si="32"/>
        <v>3692</v>
      </c>
      <c r="AQ11" s="6669">
        <v>0</v>
      </c>
      <c r="AR11" s="6666">
        <v>0</v>
      </c>
      <c r="AS11" s="4965">
        <f t="shared" ref="AS11" si="43">+AO11+AQ11</f>
        <v>0</v>
      </c>
      <c r="AT11" s="4965">
        <f t="shared" ref="AT11" si="44">+AP11+AR11</f>
        <v>3692</v>
      </c>
      <c r="AU11" s="6868">
        <v>0</v>
      </c>
      <c r="AV11" s="6866">
        <v>0</v>
      </c>
      <c r="AW11" s="5027">
        <f t="shared" si="19"/>
        <v>0</v>
      </c>
      <c r="AX11" s="5027">
        <f t="shared" si="20"/>
        <v>3692</v>
      </c>
      <c r="AY11" s="6987">
        <v>0</v>
      </c>
      <c r="AZ11" s="6985">
        <v>0</v>
      </c>
      <c r="BA11" s="2281">
        <f t="shared" si="21"/>
        <v>0</v>
      </c>
      <c r="BB11" s="162">
        <f t="shared" si="22"/>
        <v>0</v>
      </c>
      <c r="BC11" s="2282">
        <f t="shared" si="33"/>
        <v>0</v>
      </c>
      <c r="BD11" s="451">
        <f t="shared" si="34"/>
        <v>3692</v>
      </c>
      <c r="BE11" s="3833">
        <f t="shared" si="23"/>
        <v>0</v>
      </c>
      <c r="BF11" s="5107">
        <f t="shared" si="24"/>
        <v>3692</v>
      </c>
      <c r="BG11" s="4234">
        <f t="shared" si="3"/>
        <v>0</v>
      </c>
      <c r="BH11" s="4234">
        <f t="shared" si="4"/>
        <v>0</v>
      </c>
      <c r="BI11" s="25"/>
      <c r="BJ11" s="25"/>
      <c r="BK11" s="25"/>
      <c r="BL11" s="25"/>
      <c r="BM11" s="25"/>
      <c r="BN11" s="25"/>
      <c r="BP11" s="258"/>
    </row>
    <row r="12" spans="1:68" ht="15.75" thickBot="1" x14ac:dyDescent="0.3">
      <c r="A12" s="138"/>
      <c r="B12" s="2290" t="s">
        <v>235</v>
      </c>
      <c r="C12" s="2291"/>
      <c r="D12" s="2291"/>
      <c r="E12" s="2291"/>
      <c r="F12" s="2291"/>
      <c r="G12" s="2291"/>
      <c r="H12" s="2291"/>
      <c r="I12" s="2291"/>
      <c r="J12" s="3485"/>
      <c r="K12" s="2291"/>
      <c r="L12" s="2291"/>
      <c r="M12" s="2291"/>
      <c r="N12" s="2291"/>
      <c r="O12" s="2291"/>
      <c r="P12" s="2291"/>
      <c r="Q12" s="4280"/>
      <c r="R12" s="2291"/>
      <c r="S12" s="2291"/>
      <c r="T12" s="2291"/>
      <c r="U12" s="4280"/>
      <c r="V12" s="2291"/>
      <c r="W12" s="2291"/>
      <c r="X12" s="2291"/>
      <c r="Y12" s="2291"/>
      <c r="Z12" s="2291"/>
      <c r="AA12" s="2291"/>
      <c r="AB12" s="2292"/>
      <c r="AC12" s="2291"/>
      <c r="AD12" s="2291"/>
      <c r="AE12" s="2291"/>
      <c r="AF12" s="2291"/>
      <c r="AG12" s="2291"/>
      <c r="AH12" s="2291"/>
      <c r="AI12" s="2291"/>
      <c r="AJ12" s="2291"/>
      <c r="AK12" s="2291"/>
      <c r="AL12" s="2291"/>
      <c r="AM12" s="2291"/>
      <c r="AN12" s="2291"/>
      <c r="AO12" s="2291"/>
      <c r="AP12" s="2291"/>
      <c r="AQ12" s="2291"/>
      <c r="AR12" s="2291"/>
      <c r="AS12" s="2291"/>
      <c r="AT12" s="2291"/>
      <c r="AU12" s="2291"/>
      <c r="AV12" s="2291"/>
      <c r="AW12" s="2291"/>
      <c r="AX12" s="2291"/>
      <c r="AY12" s="2291"/>
      <c r="AZ12" s="2291"/>
      <c r="BA12" s="2291"/>
      <c r="BB12" s="2291"/>
      <c r="BC12" s="2291"/>
      <c r="BD12" s="2292"/>
      <c r="BE12" s="2291"/>
      <c r="BF12" s="2291"/>
      <c r="BG12" s="4234">
        <f t="shared" si="3"/>
        <v>0</v>
      </c>
      <c r="BH12" s="4234">
        <f t="shared" si="4"/>
        <v>0</v>
      </c>
      <c r="BI12" s="25"/>
      <c r="BJ12" s="25"/>
      <c r="BK12" s="25"/>
      <c r="BL12" s="25"/>
      <c r="BM12" s="25"/>
      <c r="BN12" s="25"/>
    </row>
    <row r="13" spans="1:68" x14ac:dyDescent="0.25">
      <c r="A13" s="137" t="s">
        <v>446</v>
      </c>
      <c r="B13" s="1733" t="s">
        <v>20</v>
      </c>
      <c r="C13" s="767" t="s">
        <v>50</v>
      </c>
      <c r="D13" s="254">
        <f>+'Maj Production Summ'!D23</f>
        <v>3420</v>
      </c>
      <c r="E13" s="147">
        <f>+'Maj Production Summ'!E23</f>
        <v>1620</v>
      </c>
      <c r="F13" s="254">
        <f>+'Maj Production Summ'!F23</f>
        <v>246.31997000000001</v>
      </c>
      <c r="G13" s="147">
        <f>+'Maj Production Summ'!G23</f>
        <v>810</v>
      </c>
      <c r="H13" s="254">
        <f>+'Maj Production Summ'!H23</f>
        <v>2383.6527900000001</v>
      </c>
      <c r="I13" s="349">
        <f>+E13+G13</f>
        <v>2430</v>
      </c>
      <c r="J13" s="41">
        <f t="shared" si="5"/>
        <v>2629.9727600000001</v>
      </c>
      <c r="K13" s="147">
        <f>+'Maj Production Summ'!K23</f>
        <v>810</v>
      </c>
      <c r="L13" s="254">
        <f>+'Maj Production Summ'!L23</f>
        <v>902.97845999999993</v>
      </c>
      <c r="M13" s="586">
        <f t="shared" ref="M13:N13" si="45">+K13+G13+E13</f>
        <v>3240</v>
      </c>
      <c r="N13" s="586">
        <f t="shared" si="45"/>
        <v>3532.9512199999999</v>
      </c>
      <c r="O13" s="147">
        <f>+'Maj Production Summ'!O23</f>
        <v>810</v>
      </c>
      <c r="P13" s="254">
        <f>+'Maj Production Summ'!P23</f>
        <v>0</v>
      </c>
      <c r="Q13" s="349">
        <f t="shared" ref="Q13:R15" si="46">+M13+O13</f>
        <v>4050</v>
      </c>
      <c r="R13" s="349">
        <f t="shared" si="46"/>
        <v>3532.9512199999999</v>
      </c>
      <c r="S13" s="147">
        <f>+'Maj Production Summ'!S23</f>
        <v>810</v>
      </c>
      <c r="T13" s="254">
        <f>+'Maj Production Summ'!T23</f>
        <v>144.06922</v>
      </c>
      <c r="U13" s="349">
        <f t="shared" ref="U13:U15" si="47">+Q13+S13</f>
        <v>4860</v>
      </c>
      <c r="V13" s="349">
        <f t="shared" ref="V13:V15" si="48">+R13+T13</f>
        <v>3677.0204399999998</v>
      </c>
      <c r="W13" s="147">
        <f>+'Maj Production Summ'!W23</f>
        <v>3735</v>
      </c>
      <c r="X13" s="254">
        <f>+'Maj Production Summ'!X23</f>
        <v>256.58677999999998</v>
      </c>
      <c r="Y13" s="586">
        <f t="shared" ref="Y13:Z13" si="49">+W13+S13+O13</f>
        <v>5355</v>
      </c>
      <c r="Z13" s="586">
        <f t="shared" si="49"/>
        <v>400.65599999999995</v>
      </c>
      <c r="AA13" s="975">
        <f>M13+Y13</f>
        <v>8595</v>
      </c>
      <c r="AB13" s="432">
        <f>+N13+Z13</f>
        <v>3933.6072199999999</v>
      </c>
      <c r="AC13" s="147">
        <f>+'Maj Production Summ'!AC23</f>
        <v>810</v>
      </c>
      <c r="AD13" s="254">
        <f>+'Maj Production Summ'!AD23</f>
        <v>3014.2686399999998</v>
      </c>
      <c r="AE13" s="349">
        <f t="shared" ref="AE13:AE15" si="50">+AA13+AC13</f>
        <v>9405</v>
      </c>
      <c r="AF13" s="349">
        <f t="shared" ref="AF13:AF15" si="51">+AB13+AD13</f>
        <v>6947.8758600000001</v>
      </c>
      <c r="AG13" s="147">
        <f>+'Maj Production Summ'!AG23</f>
        <v>810</v>
      </c>
      <c r="AH13" s="254">
        <f>+'Maj Production Summ'!AH23</f>
        <v>135.13793000000001</v>
      </c>
      <c r="AI13" s="349">
        <f t="shared" ref="AI13:AI15" si="52">+AE13+AG13</f>
        <v>10215</v>
      </c>
      <c r="AJ13" s="349">
        <f t="shared" ref="AJ13:AJ15" si="53">+AF13+AH13</f>
        <v>7083.01379</v>
      </c>
      <c r="AK13" s="147">
        <f>+'Maj Production Summ'!AK23</f>
        <v>810</v>
      </c>
      <c r="AL13" s="254">
        <f>+'Maj Production Summ'!AL23</f>
        <v>35.725159999999995</v>
      </c>
      <c r="AM13" s="586">
        <f t="shared" ref="AM13:AM15" si="54">+AK13+AG13+AC13</f>
        <v>2430</v>
      </c>
      <c r="AN13" s="586">
        <f t="shared" ref="AN13:AN15" si="55">+AL13+AH13+AD13</f>
        <v>3185.1317299999996</v>
      </c>
      <c r="AO13" s="2236">
        <f t="shared" si="31"/>
        <v>11025</v>
      </c>
      <c r="AP13" s="2236">
        <f t="shared" si="31"/>
        <v>7118.7389499999999</v>
      </c>
      <c r="AQ13" s="147">
        <f>+'Maj Production Summ'!AQ23</f>
        <v>810</v>
      </c>
      <c r="AR13" s="254">
        <f>+'Maj Production Summ'!AR23</f>
        <v>662.91874000000007</v>
      </c>
      <c r="AS13" s="349">
        <f t="shared" ref="AS13:AS15" si="56">+AO13+AQ13</f>
        <v>11835</v>
      </c>
      <c r="AT13" s="349">
        <f t="shared" ref="AT13:AT15" si="57">+AP13+AR13</f>
        <v>7781.65769</v>
      </c>
      <c r="AU13" s="147">
        <f>+'Maj Production Summ'!AU23</f>
        <v>810</v>
      </c>
      <c r="AV13" s="254">
        <f>+'Maj Production Summ'!AV23</f>
        <v>0</v>
      </c>
      <c r="AW13" s="349">
        <f t="shared" ref="AW13:AW15" si="58">+AS13+AU13</f>
        <v>12645</v>
      </c>
      <c r="AX13" s="349">
        <f t="shared" ref="AX13:AX15" si="59">+AT13+AV13</f>
        <v>7781.65769</v>
      </c>
      <c r="AY13" s="147">
        <f>+'Maj Production Summ'!AY23</f>
        <v>810</v>
      </c>
      <c r="AZ13" s="254">
        <f>+'Maj Production Summ'!AZ23</f>
        <v>80.298139999999989</v>
      </c>
      <c r="BA13" s="586">
        <f t="shared" ref="BA13:BA15" si="60">+AY13+AU13+AQ13</f>
        <v>2430</v>
      </c>
      <c r="BB13" s="586">
        <f t="shared" ref="BB13:BB15" si="61">+AZ13+AV13+AR13</f>
        <v>743.21688000000006</v>
      </c>
      <c r="BC13" s="443">
        <f t="shared" ref="BC13:BC15" si="62">AM13+BA13</f>
        <v>4860</v>
      </c>
      <c r="BD13" s="451">
        <f t="shared" ref="BD13:BD15" si="63">+AN13+BB13</f>
        <v>3928.3486099999996</v>
      </c>
      <c r="BE13" s="349">
        <f t="shared" ref="BE13:BE15" si="64">+AW13+AY13</f>
        <v>13455</v>
      </c>
      <c r="BF13" s="349">
        <f t="shared" ref="BF13:BF15" si="65">+AX13+AZ13</f>
        <v>7861.9558299999999</v>
      </c>
      <c r="BG13" s="4234">
        <f t="shared" si="3"/>
        <v>0</v>
      </c>
      <c r="BH13" s="4234">
        <f t="shared" si="4"/>
        <v>0</v>
      </c>
      <c r="BI13" s="25"/>
      <c r="BJ13" s="25"/>
      <c r="BK13" s="25"/>
      <c r="BL13" s="25"/>
      <c r="BM13" s="25"/>
      <c r="BN13" s="25"/>
    </row>
    <row r="14" spans="1:68" x14ac:dyDescent="0.25">
      <c r="A14" s="212"/>
      <c r="B14" s="1758" t="s">
        <v>113</v>
      </c>
      <c r="C14" s="2893" t="s">
        <v>50</v>
      </c>
      <c r="D14" s="5459">
        <f>+'Maj Production Summ'!D24</f>
        <v>0</v>
      </c>
      <c r="E14" s="2883">
        <f>+'Maj Production Summ'!E24</f>
        <v>0</v>
      </c>
      <c r="F14" s="5459">
        <v>34.774583999999997</v>
      </c>
      <c r="G14" s="5601">
        <f>+'Maj Production Summ'!G24</f>
        <v>0</v>
      </c>
      <c r="H14" s="7181">
        <v>230</v>
      </c>
      <c r="I14" s="2884">
        <f>+E14+G14</f>
        <v>0</v>
      </c>
      <c r="J14" s="37">
        <f t="shared" si="5"/>
        <v>264.774584</v>
      </c>
      <c r="K14" s="5706">
        <f>+'Maj Production Summ'!K24</f>
        <v>0</v>
      </c>
      <c r="L14" s="5706">
        <v>127.47931200000001</v>
      </c>
      <c r="M14" s="2211">
        <f t="shared" ref="M14:M15" si="66">+K14+G14+E14</f>
        <v>0</v>
      </c>
      <c r="N14" s="2211">
        <f t="shared" ref="N14:N15" si="67">+L14+H14+F14</f>
        <v>392.253896</v>
      </c>
      <c r="O14" s="5857">
        <f>+'Maj Production Summ'!O24</f>
        <v>0</v>
      </c>
      <c r="P14" s="5857">
        <v>0</v>
      </c>
      <c r="Q14" s="2210">
        <f t="shared" si="46"/>
        <v>0</v>
      </c>
      <c r="R14" s="2210">
        <f t="shared" si="46"/>
        <v>392.253896</v>
      </c>
      <c r="S14" s="5923">
        <f>+'Maj Production Summ'!S24</f>
        <v>0</v>
      </c>
      <c r="T14" s="7181">
        <v>20</v>
      </c>
      <c r="U14" s="4335">
        <f t="shared" si="47"/>
        <v>0</v>
      </c>
      <c r="V14" s="4335">
        <f t="shared" si="48"/>
        <v>412.253896</v>
      </c>
      <c r="W14" s="6021">
        <f>+'Maj Production Summ'!W24</f>
        <v>0</v>
      </c>
      <c r="X14" s="6021">
        <v>36.224015999999999</v>
      </c>
      <c r="Y14" s="2211">
        <f t="shared" ref="Y14:Y15" si="68">+W14+S14+O14</f>
        <v>0</v>
      </c>
      <c r="Z14" s="2211">
        <f t="shared" ref="Z14:Z15" si="69">+X14+T14+P14</f>
        <v>56.224015999999999</v>
      </c>
      <c r="AA14" s="2212">
        <f t="shared" ref="AA14:AA15" si="70">M14+Y14</f>
        <v>0</v>
      </c>
      <c r="AB14" s="428">
        <f t="shared" ref="AB14:AB15" si="71">+N14+Z14</f>
        <v>448.477912</v>
      </c>
      <c r="AC14" s="6156">
        <f>+'Maj Production Summ'!AC24</f>
        <v>0</v>
      </c>
      <c r="AD14" s="6156">
        <v>433.34399999999999</v>
      </c>
      <c r="AE14" s="2236">
        <f t="shared" si="50"/>
        <v>0</v>
      </c>
      <c r="AF14" s="2236">
        <f t="shared" si="51"/>
        <v>881.821912</v>
      </c>
      <c r="AG14" s="6318">
        <f>+'Maj Production Summ'!AG24</f>
        <v>0</v>
      </c>
      <c r="AH14" s="7187">
        <v>19.078296000000002</v>
      </c>
      <c r="AI14" s="4635">
        <f t="shared" si="52"/>
        <v>0</v>
      </c>
      <c r="AJ14" s="4635">
        <f t="shared" si="53"/>
        <v>900.90020800000002</v>
      </c>
      <c r="AK14" s="6577">
        <f>+'Maj Production Summ'!AK24</f>
        <v>0</v>
      </c>
      <c r="AL14" s="6577">
        <v>5</v>
      </c>
      <c r="AM14" s="2544">
        <f t="shared" si="54"/>
        <v>0</v>
      </c>
      <c r="AN14" s="2544">
        <f t="shared" si="55"/>
        <v>457.42229600000002</v>
      </c>
      <c r="AO14" s="2236">
        <f t="shared" ref="AO14:AP17" si="72">+AK14+AI14</f>
        <v>0</v>
      </c>
      <c r="AP14" s="2236">
        <f t="shared" ref="AP14:AP15" si="73">+AL14+AJ14</f>
        <v>905.90020800000002</v>
      </c>
      <c r="AQ14" s="6669">
        <f>+'Maj Production Summ'!AQ24</f>
        <v>0</v>
      </c>
      <c r="AR14" s="6669">
        <v>93.588527999999997</v>
      </c>
      <c r="AS14" s="2236">
        <f t="shared" si="56"/>
        <v>0</v>
      </c>
      <c r="AT14" s="2236">
        <f t="shared" si="57"/>
        <v>999.48873600000002</v>
      </c>
      <c r="AU14" s="6868">
        <f>+'Maj Production Summ'!AU24</f>
        <v>0</v>
      </c>
      <c r="AV14" s="6868">
        <v>0</v>
      </c>
      <c r="AW14" s="5026">
        <f t="shared" si="58"/>
        <v>0</v>
      </c>
      <c r="AX14" s="5026">
        <f t="shared" si="59"/>
        <v>999.48873600000002</v>
      </c>
      <c r="AY14" s="6987">
        <f>+'Maj Production Summ'!AY24</f>
        <v>0</v>
      </c>
      <c r="AZ14" s="6987">
        <v>11.336208000000001</v>
      </c>
      <c r="BA14" s="2777">
        <f t="shared" si="60"/>
        <v>0</v>
      </c>
      <c r="BB14" s="2777">
        <f t="shared" si="61"/>
        <v>104.924736</v>
      </c>
      <c r="BC14" s="443">
        <f t="shared" si="62"/>
        <v>0</v>
      </c>
      <c r="BD14" s="451">
        <f t="shared" si="63"/>
        <v>562.34703200000001</v>
      </c>
      <c r="BE14" s="2236">
        <f t="shared" si="64"/>
        <v>0</v>
      </c>
      <c r="BF14" s="2236">
        <f t="shared" si="65"/>
        <v>1010.8249440000001</v>
      </c>
      <c r="BG14" s="4234">
        <f t="shared" si="3"/>
        <v>0</v>
      </c>
      <c r="BH14" s="4234">
        <f t="shared" si="4"/>
        <v>0</v>
      </c>
      <c r="BI14" s="25"/>
      <c r="BJ14" s="25"/>
      <c r="BK14" s="25"/>
      <c r="BL14" s="25"/>
      <c r="BM14" s="25"/>
      <c r="BN14" s="25"/>
    </row>
    <row r="15" spans="1:68" ht="30" x14ac:dyDescent="0.25">
      <c r="A15" s="137"/>
      <c r="B15" s="2284" t="s">
        <v>1628</v>
      </c>
      <c r="C15" s="2893" t="s">
        <v>50</v>
      </c>
      <c r="D15" s="5456">
        <f>+'Maj Production Summ'!D25</f>
        <v>2600</v>
      </c>
      <c r="E15" s="2893">
        <f>+'Maj Production Summ'!E25</f>
        <v>325</v>
      </c>
      <c r="F15" s="2945">
        <v>190</v>
      </c>
      <c r="G15" s="5589">
        <f>+'Maj Production Summ'!G25</f>
        <v>0</v>
      </c>
      <c r="H15" s="7179">
        <v>336.51568800000001</v>
      </c>
      <c r="I15" s="3259">
        <f>+E15+G15</f>
        <v>325</v>
      </c>
      <c r="J15" s="37">
        <f t="shared" si="5"/>
        <v>526.51568799999995</v>
      </c>
      <c r="K15" s="5701">
        <f>+'Maj Production Summ'!K25</f>
        <v>0</v>
      </c>
      <c r="L15" s="5703">
        <v>0</v>
      </c>
      <c r="M15" s="2211">
        <f t="shared" si="66"/>
        <v>325</v>
      </c>
      <c r="N15" s="2211">
        <f t="shared" si="67"/>
        <v>526.51568799999995</v>
      </c>
      <c r="O15" s="5833">
        <f>+'Maj Production Summ'!O25</f>
        <v>0</v>
      </c>
      <c r="P15" s="5849">
        <v>0</v>
      </c>
      <c r="Q15" s="558">
        <f t="shared" si="46"/>
        <v>325</v>
      </c>
      <c r="R15" s="2210">
        <f t="shared" si="46"/>
        <v>526.51568799999995</v>
      </c>
      <c r="S15" s="5908">
        <f>+'Maj Production Summ'!S25</f>
        <v>0</v>
      </c>
      <c r="T15" s="7179">
        <v>0</v>
      </c>
      <c r="U15" s="4339">
        <f t="shared" si="47"/>
        <v>325</v>
      </c>
      <c r="V15" s="4335">
        <f t="shared" si="48"/>
        <v>526.51568799999995</v>
      </c>
      <c r="W15" s="6003">
        <f>+'Maj Production Summ'!W25</f>
        <v>1625</v>
      </c>
      <c r="X15" s="6015">
        <v>0</v>
      </c>
      <c r="Y15" s="2211">
        <f t="shared" si="68"/>
        <v>1625</v>
      </c>
      <c r="Z15" s="2211">
        <f t="shared" si="69"/>
        <v>0</v>
      </c>
      <c r="AA15" s="2283">
        <f t="shared" si="70"/>
        <v>1950</v>
      </c>
      <c r="AB15" s="428">
        <f t="shared" si="71"/>
        <v>526.51568799999995</v>
      </c>
      <c r="AC15" s="6134">
        <f>+'Maj Production Summ'!AC25</f>
        <v>0</v>
      </c>
      <c r="AD15" s="6148">
        <v>5603</v>
      </c>
      <c r="AE15" s="558">
        <f t="shared" si="50"/>
        <v>1950</v>
      </c>
      <c r="AF15" s="2236">
        <f t="shared" si="51"/>
        <v>6129.5156879999995</v>
      </c>
      <c r="AG15" s="6296">
        <f>+'Maj Production Summ'!AG25</f>
        <v>0</v>
      </c>
      <c r="AH15" s="7184">
        <v>0</v>
      </c>
      <c r="AI15" s="4639">
        <f t="shared" si="52"/>
        <v>1950</v>
      </c>
      <c r="AJ15" s="4635">
        <f t="shared" si="53"/>
        <v>6129.5156879999995</v>
      </c>
      <c r="AK15" s="6563">
        <f>+'Maj Production Summ'!AK25</f>
        <v>0</v>
      </c>
      <c r="AL15" s="6571"/>
      <c r="AM15" s="2544">
        <f t="shared" si="54"/>
        <v>0</v>
      </c>
      <c r="AN15" s="2544">
        <f t="shared" si="55"/>
        <v>5603</v>
      </c>
      <c r="AO15" s="2236">
        <f t="shared" si="72"/>
        <v>1950</v>
      </c>
      <c r="AP15" s="2236">
        <f t="shared" si="73"/>
        <v>6129.5156879999995</v>
      </c>
      <c r="AQ15" s="6664">
        <f>+'Maj Production Summ'!AQ25</f>
        <v>0</v>
      </c>
      <c r="AR15" s="6666">
        <v>800.6</v>
      </c>
      <c r="AS15" s="558">
        <f t="shared" si="56"/>
        <v>1950</v>
      </c>
      <c r="AT15" s="2236">
        <f t="shared" si="57"/>
        <v>6930.1156879999999</v>
      </c>
      <c r="AU15" s="6863">
        <f>+'Maj Production Summ'!AU25</f>
        <v>0</v>
      </c>
      <c r="AV15" s="6866">
        <v>920</v>
      </c>
      <c r="AW15" s="5030">
        <f t="shared" si="58"/>
        <v>1950</v>
      </c>
      <c r="AX15" s="5026">
        <f t="shared" si="59"/>
        <v>7850.1156879999999</v>
      </c>
      <c r="AY15" s="6980">
        <f>+'Maj Production Summ'!AY25</f>
        <v>0</v>
      </c>
      <c r="AZ15" s="6985">
        <v>310</v>
      </c>
      <c r="BA15" s="2777">
        <f t="shared" si="60"/>
        <v>0</v>
      </c>
      <c r="BB15" s="2777">
        <f t="shared" si="61"/>
        <v>2030.6</v>
      </c>
      <c r="BC15" s="443">
        <f t="shared" si="62"/>
        <v>0</v>
      </c>
      <c r="BD15" s="451">
        <f t="shared" si="63"/>
        <v>7633.6</v>
      </c>
      <c r="BE15" s="558">
        <f t="shared" si="64"/>
        <v>1950</v>
      </c>
      <c r="BF15" s="2236">
        <f t="shared" si="65"/>
        <v>8160.1156879999999</v>
      </c>
      <c r="BG15" s="4234">
        <f t="shared" si="3"/>
        <v>0</v>
      </c>
      <c r="BH15" s="4234">
        <f t="shared" si="4"/>
        <v>0</v>
      </c>
      <c r="BI15" s="25"/>
      <c r="BJ15" s="25"/>
      <c r="BK15" s="25"/>
      <c r="BL15" s="25"/>
      <c r="BM15" s="25"/>
      <c r="BN15" s="25"/>
    </row>
    <row r="16" spans="1:68" ht="16.5" thickBot="1" x14ac:dyDescent="0.3">
      <c r="A16" s="137"/>
      <c r="B16" s="2285" t="s">
        <v>126</v>
      </c>
      <c r="C16" s="3411" t="s">
        <v>50</v>
      </c>
      <c r="D16" s="2286">
        <f>SUM(D13:D15)</f>
        <v>6020</v>
      </c>
      <c r="E16" s="2286">
        <f t="shared" ref="E16:AF16" si="74">SUM(E13:E15)</f>
        <v>1945</v>
      </c>
      <c r="F16" s="2287">
        <f t="shared" si="74"/>
        <v>471.09455400000002</v>
      </c>
      <c r="G16" s="2286">
        <f t="shared" ref="G16:H16" si="75">SUM(G13:G15)</f>
        <v>810</v>
      </c>
      <c r="H16" s="2287">
        <f t="shared" si="75"/>
        <v>2950.1684780000001</v>
      </c>
      <c r="I16" s="350">
        <f t="shared" si="74"/>
        <v>2755</v>
      </c>
      <c r="J16" s="3480">
        <f t="shared" si="74"/>
        <v>3421.2630320000003</v>
      </c>
      <c r="K16" s="2286">
        <f t="shared" si="74"/>
        <v>810</v>
      </c>
      <c r="L16" s="2287">
        <f t="shared" si="74"/>
        <v>1030.457772</v>
      </c>
      <c r="M16" s="2253">
        <f t="shared" si="74"/>
        <v>3565</v>
      </c>
      <c r="N16" s="2253">
        <f t="shared" si="74"/>
        <v>4451.7208040000005</v>
      </c>
      <c r="O16" s="2286">
        <f t="shared" ref="O16:P16" si="76">SUM(O13:O15)</f>
        <v>810</v>
      </c>
      <c r="P16" s="2287">
        <f t="shared" si="76"/>
        <v>0</v>
      </c>
      <c r="Q16" s="350">
        <f t="shared" ref="Q16:T16" si="77">SUM(Q13:Q15)</f>
        <v>4375</v>
      </c>
      <c r="R16" s="350">
        <f t="shared" si="77"/>
        <v>4451.7208040000005</v>
      </c>
      <c r="S16" s="2286">
        <f t="shared" si="77"/>
        <v>810</v>
      </c>
      <c r="T16" s="2287">
        <f t="shared" si="77"/>
        <v>164.06922</v>
      </c>
      <c r="U16" s="350">
        <f t="shared" ref="U16:X16" si="78">SUM(U13:U15)</f>
        <v>5185</v>
      </c>
      <c r="V16" s="350">
        <f t="shared" si="78"/>
        <v>4615.7900239999999</v>
      </c>
      <c r="W16" s="2286">
        <f t="shared" si="78"/>
        <v>5360</v>
      </c>
      <c r="X16" s="2287">
        <f t="shared" si="78"/>
        <v>292.81079599999998</v>
      </c>
      <c r="Y16" s="2253">
        <f t="shared" si="74"/>
        <v>6980</v>
      </c>
      <c r="Z16" s="2253">
        <f t="shared" si="74"/>
        <v>456.88001599999996</v>
      </c>
      <c r="AA16" s="2288">
        <f t="shared" si="74"/>
        <v>10545</v>
      </c>
      <c r="AB16" s="2289">
        <f t="shared" si="74"/>
        <v>4908.6008199999997</v>
      </c>
      <c r="AC16" s="2286">
        <f t="shared" si="74"/>
        <v>810</v>
      </c>
      <c r="AD16" s="2287">
        <f t="shared" si="74"/>
        <v>9050.6126399999994</v>
      </c>
      <c r="AE16" s="350">
        <f t="shared" si="74"/>
        <v>11355</v>
      </c>
      <c r="AF16" s="350">
        <f t="shared" si="74"/>
        <v>13959.213459999999</v>
      </c>
      <c r="AG16" s="2286">
        <f t="shared" ref="AG16:AH16" si="79">SUM(AG13:AG15)</f>
        <v>810</v>
      </c>
      <c r="AH16" s="2287">
        <f t="shared" si="79"/>
        <v>154.21622600000001</v>
      </c>
      <c r="AI16" s="350">
        <f t="shared" ref="AI16:AL16" si="80">SUM(AI13:AI15)</f>
        <v>12165</v>
      </c>
      <c r="AJ16" s="350">
        <f t="shared" si="80"/>
        <v>14113.429685999999</v>
      </c>
      <c r="AK16" s="2286">
        <f t="shared" si="80"/>
        <v>810</v>
      </c>
      <c r="AL16" s="2287">
        <f t="shared" si="80"/>
        <v>40.725159999999995</v>
      </c>
      <c r="AM16" s="2253">
        <f t="shared" ref="AM16:AT16" si="81">SUM(AM13:AM15)</f>
        <v>2430</v>
      </c>
      <c r="AN16" s="2253">
        <f t="shared" si="81"/>
        <v>9245.5540259999998</v>
      </c>
      <c r="AO16" s="350">
        <f t="shared" si="81"/>
        <v>12975</v>
      </c>
      <c r="AP16" s="350">
        <f t="shared" si="81"/>
        <v>14154.154845999999</v>
      </c>
      <c r="AQ16" s="2286">
        <f t="shared" si="81"/>
        <v>810</v>
      </c>
      <c r="AR16" s="2287">
        <f t="shared" si="81"/>
        <v>1557.1072680000002</v>
      </c>
      <c r="AS16" s="350">
        <f t="shared" si="81"/>
        <v>13785</v>
      </c>
      <c r="AT16" s="350">
        <f t="shared" si="81"/>
        <v>15711.262113999999</v>
      </c>
      <c r="AU16" s="2286">
        <f t="shared" ref="AU16:AV16" si="82">SUM(AU13:AU15)</f>
        <v>810</v>
      </c>
      <c r="AV16" s="2287">
        <f t="shared" si="82"/>
        <v>920</v>
      </c>
      <c r="AW16" s="350">
        <f t="shared" ref="AW16:AZ16" si="83">SUM(AW13:AW15)</f>
        <v>14595</v>
      </c>
      <c r="AX16" s="350">
        <f t="shared" si="83"/>
        <v>16631.262113999997</v>
      </c>
      <c r="AY16" s="2286">
        <f t="shared" si="83"/>
        <v>810</v>
      </c>
      <c r="AZ16" s="2287">
        <f t="shared" si="83"/>
        <v>401.63434799999999</v>
      </c>
      <c r="BA16" s="2253">
        <f t="shared" ref="BA16:BD16" si="84">SUM(BA13:BA15)</f>
        <v>2430</v>
      </c>
      <c r="BB16" s="2253">
        <f t="shared" si="84"/>
        <v>2878.7416160000002</v>
      </c>
      <c r="BC16" s="2288">
        <f t="shared" si="84"/>
        <v>4860</v>
      </c>
      <c r="BD16" s="2289">
        <f t="shared" si="84"/>
        <v>12124.295642000001</v>
      </c>
      <c r="BE16" s="350">
        <f t="shared" ref="BE16:BF16" si="85">SUM(BE13:BE15)</f>
        <v>15405</v>
      </c>
      <c r="BF16" s="350">
        <f t="shared" si="85"/>
        <v>17032.896462000001</v>
      </c>
      <c r="BG16" s="4234">
        <f t="shared" si="3"/>
        <v>0</v>
      </c>
      <c r="BH16" s="4234">
        <f t="shared" si="4"/>
        <v>0</v>
      </c>
      <c r="BI16" s="25"/>
      <c r="BJ16" s="25"/>
      <c r="BK16" s="25"/>
      <c r="BL16" s="25"/>
      <c r="BM16" s="25"/>
      <c r="BN16" s="25"/>
    </row>
    <row r="17" spans="1:66" ht="15.75" thickBot="1" x14ac:dyDescent="0.3">
      <c r="A17" s="175"/>
      <c r="B17" s="1640" t="s">
        <v>675</v>
      </c>
      <c r="C17" s="773" t="s">
        <v>50</v>
      </c>
      <c r="D17" s="2052">
        <f>+'Maj Production Summ'!D27</f>
        <v>5103</v>
      </c>
      <c r="E17" s="2052">
        <f>+'Maj Production Summ'!E27</f>
        <v>644.51199999999994</v>
      </c>
      <c r="F17" s="2279">
        <f>+'Maj Production Summ'!F27</f>
        <v>160.65</v>
      </c>
      <c r="G17" s="2052">
        <f>+'Maj Production Summ'!G27</f>
        <v>279.98</v>
      </c>
      <c r="H17" s="2279">
        <f>+'Maj Production Summ'!H27</f>
        <v>603.86199999999997</v>
      </c>
      <c r="I17" s="2280" t="s">
        <v>32</v>
      </c>
      <c r="J17" s="504">
        <f t="shared" si="5"/>
        <v>764.51199999999994</v>
      </c>
      <c r="K17" s="2052">
        <f>+'Maj Production Summ'!K27</f>
        <v>273.99599999999998</v>
      </c>
      <c r="L17" s="2279">
        <f>+'Maj Production Summ'!L27</f>
        <v>0</v>
      </c>
      <c r="M17" s="2281">
        <f t="shared" ref="M17:N21" si="86">+K17+G17+E17</f>
        <v>1198.4879999999998</v>
      </c>
      <c r="N17" s="2281">
        <f t="shared" si="86"/>
        <v>764.51199999999994</v>
      </c>
      <c r="O17" s="2052">
        <f>+'Maj Production Summ'!O27</f>
        <v>276.24</v>
      </c>
      <c r="P17" s="2279">
        <f>+'Maj Production Summ'!P27</f>
        <v>0</v>
      </c>
      <c r="Q17" s="1558">
        <f t="shared" ref="Q17:R21" si="87">+M17+O17</f>
        <v>1474.7279999999998</v>
      </c>
      <c r="R17" s="504">
        <f t="shared" si="87"/>
        <v>764.51199999999994</v>
      </c>
      <c r="S17" s="2052">
        <f>+'Maj Production Summ'!S27</f>
        <v>276.24</v>
      </c>
      <c r="T17" s="2279">
        <f>+'Maj Production Summ'!T27</f>
        <v>0</v>
      </c>
      <c r="U17" s="1558">
        <f t="shared" ref="U17:U21" si="88">+Q17+S17</f>
        <v>1750.9679999999998</v>
      </c>
      <c r="V17" s="504">
        <f t="shared" ref="V17:V21" si="89">+R17+T17</f>
        <v>764.51199999999994</v>
      </c>
      <c r="W17" s="2052">
        <f>+'Maj Production Summ'!W27</f>
        <v>498.97</v>
      </c>
      <c r="X17" s="2279">
        <f>+'Maj Production Summ'!X27</f>
        <v>0</v>
      </c>
      <c r="Y17" s="2281">
        <f t="shared" ref="Y17:Z18" si="90">+W17+S17+O17</f>
        <v>1051.45</v>
      </c>
      <c r="Z17" s="503">
        <f t="shared" si="90"/>
        <v>0</v>
      </c>
      <c r="AA17" s="2282">
        <f>M17+Y17</f>
        <v>2249.9380000000001</v>
      </c>
      <c r="AB17" s="2278">
        <f>+N17+Z17</f>
        <v>764.51199999999994</v>
      </c>
      <c r="AC17" s="2052">
        <f>+'Maj Production Summ'!AC27</f>
        <v>279.98</v>
      </c>
      <c r="AD17" s="2279">
        <f>+'Maj Production Summ'!AD27</f>
        <v>549.08699999999999</v>
      </c>
      <c r="AE17" s="1558">
        <f t="shared" ref="AE17:AE21" si="91">+AA17+AC17</f>
        <v>2529.9180000000001</v>
      </c>
      <c r="AF17" s="504">
        <f t="shared" ref="AF17:AF21" si="92">+AB17+AD17</f>
        <v>1313.5989999999999</v>
      </c>
      <c r="AG17" s="2052">
        <f>+'Maj Production Summ'!AG27</f>
        <v>273.99599999999998</v>
      </c>
      <c r="AH17" s="2279">
        <f>+'Maj Production Summ'!AH27</f>
        <v>833.46900000000005</v>
      </c>
      <c r="AI17" s="1558">
        <f t="shared" ref="AI17:AI21" si="93">+AE17+AG17</f>
        <v>2803.9140000000002</v>
      </c>
      <c r="AJ17" s="504">
        <f t="shared" ref="AJ17:AJ21" si="94">+AF17+AH17</f>
        <v>2147.0680000000002</v>
      </c>
      <c r="AK17" s="2052">
        <f>+'Maj Production Summ'!AK27</f>
        <v>279.98</v>
      </c>
      <c r="AL17" s="2279">
        <f>+'Maj Production Summ'!AL27</f>
        <v>1510.7470000000001</v>
      </c>
      <c r="AM17" s="2281">
        <f t="shared" ref="AM17:AM21" si="95">+AK17+AG17+AC17</f>
        <v>833.95600000000002</v>
      </c>
      <c r="AN17" s="503">
        <f t="shared" ref="AN17:AN21" si="96">+AL17+AH17+AD17</f>
        <v>2893.3030000000003</v>
      </c>
      <c r="AO17" s="2236">
        <f t="shared" si="72"/>
        <v>3083.8940000000002</v>
      </c>
      <c r="AP17" s="2236">
        <f t="shared" si="72"/>
        <v>3657.8150000000005</v>
      </c>
      <c r="AQ17" s="2052">
        <f>+'Maj Production Summ'!AQ27</f>
        <v>282.97199999999998</v>
      </c>
      <c r="AR17" s="2279">
        <f>+'Maj Production Summ'!AR27</f>
        <v>1549.45</v>
      </c>
      <c r="AS17" s="1558">
        <f t="shared" ref="AS17:AS21" si="97">+AO17+AQ17</f>
        <v>3366.866</v>
      </c>
      <c r="AT17" s="504">
        <f t="shared" ref="AT17:AT21" si="98">+AP17+AR17</f>
        <v>5207.2650000000003</v>
      </c>
      <c r="AU17" s="2052">
        <f>+'Maj Production Summ'!AU27</f>
        <v>262.02800000000002</v>
      </c>
      <c r="AV17" s="2279">
        <f>+'Maj Production Summ'!AV27</f>
        <v>755.40500000000009</v>
      </c>
      <c r="AW17" s="1558">
        <f t="shared" ref="AW17:AW21" si="99">+AS17+AU17</f>
        <v>3628.8940000000002</v>
      </c>
      <c r="AX17" s="504">
        <f t="shared" ref="AX17:AX21" si="100">+AT17+AV17</f>
        <v>5962.67</v>
      </c>
      <c r="AY17" s="2052">
        <f>+'Maj Production Summ'!AY27</f>
        <v>282.97199999999998</v>
      </c>
      <c r="AZ17" s="2279">
        <f>+'Maj Production Summ'!AZ27</f>
        <v>209.86</v>
      </c>
      <c r="BA17" s="2281">
        <f t="shared" ref="BA17:BA21" si="101">+AY17+AU17+AQ17</f>
        <v>827.97199999999998</v>
      </c>
      <c r="BB17" s="503">
        <f t="shared" ref="BB17:BB21" si="102">+AZ17+AV17+AR17</f>
        <v>2514.7150000000001</v>
      </c>
      <c r="BC17" s="443">
        <f t="shared" ref="BC17:BC20" si="103">AM17+BA17</f>
        <v>1661.9279999999999</v>
      </c>
      <c r="BD17" s="451">
        <f t="shared" ref="BD17:BD20" si="104">+AN17+BB17</f>
        <v>5408.018</v>
      </c>
      <c r="BE17" s="1558">
        <f t="shared" ref="BE17:BE21" si="105">+AW17+AY17</f>
        <v>3911.866</v>
      </c>
      <c r="BF17" s="504">
        <f t="shared" ref="BF17:BF21" si="106">+AX17+AZ17</f>
        <v>6172.53</v>
      </c>
      <c r="BG17" s="4234">
        <f t="shared" si="3"/>
        <v>0</v>
      </c>
      <c r="BH17" s="4234">
        <f t="shared" si="4"/>
        <v>0</v>
      </c>
      <c r="BI17" s="25"/>
      <c r="BJ17" s="25"/>
      <c r="BK17" s="25"/>
      <c r="BL17" s="25"/>
      <c r="BM17" s="25"/>
      <c r="BN17" s="25"/>
    </row>
    <row r="18" spans="1:66" x14ac:dyDescent="0.25">
      <c r="A18" s="137"/>
      <c r="B18" s="2053" t="s">
        <v>236</v>
      </c>
      <c r="C18" s="767" t="s">
        <v>50</v>
      </c>
      <c r="D18" s="147">
        <v>1071000</v>
      </c>
      <c r="E18" s="147">
        <v>74256</v>
      </c>
      <c r="F18" s="254">
        <v>77508.948299999975</v>
      </c>
      <c r="G18" s="147">
        <v>97240</v>
      </c>
      <c r="H18" s="254">
        <v>88384.934200000003</v>
      </c>
      <c r="I18" s="349">
        <f>+E18+G18</f>
        <v>171496</v>
      </c>
      <c r="J18" s="41">
        <f t="shared" si="5"/>
        <v>165893.88249999998</v>
      </c>
      <c r="K18" s="147">
        <v>94248</v>
      </c>
      <c r="L18" s="254">
        <v>82876.476500000019</v>
      </c>
      <c r="M18" s="586">
        <f t="shared" si="86"/>
        <v>265744</v>
      </c>
      <c r="N18" s="586">
        <f>+L18+H18+F18</f>
        <v>248770.359</v>
      </c>
      <c r="O18" s="147">
        <v>95370</v>
      </c>
      <c r="P18" s="254">
        <v>93382.704500000007</v>
      </c>
      <c r="Q18" s="349">
        <f t="shared" si="87"/>
        <v>361114</v>
      </c>
      <c r="R18" s="349">
        <f t="shared" si="87"/>
        <v>342153.06349999999</v>
      </c>
      <c r="S18" s="147">
        <v>95370</v>
      </c>
      <c r="T18" s="254">
        <v>91267.827300000004</v>
      </c>
      <c r="U18" s="349">
        <f t="shared" si="88"/>
        <v>456484</v>
      </c>
      <c r="V18" s="349">
        <f t="shared" si="89"/>
        <v>433420.89079999999</v>
      </c>
      <c r="W18" s="147">
        <v>52360</v>
      </c>
      <c r="X18" s="254">
        <v>85644.341079999984</v>
      </c>
      <c r="Y18" s="586">
        <f t="shared" si="90"/>
        <v>243100</v>
      </c>
      <c r="Z18" s="586">
        <f t="shared" si="90"/>
        <v>270294.87287999998</v>
      </c>
      <c r="AA18" s="975">
        <f>M18+Y18</f>
        <v>508844</v>
      </c>
      <c r="AB18" s="432">
        <f>+N18+Z18</f>
        <v>519065.23187999998</v>
      </c>
      <c r="AC18" s="147">
        <v>97240</v>
      </c>
      <c r="AD18" s="254">
        <v>78915.736300000004</v>
      </c>
      <c r="AE18" s="349">
        <f t="shared" si="91"/>
        <v>606084</v>
      </c>
      <c r="AF18" s="349">
        <f t="shared" si="92"/>
        <v>597980.96817999997</v>
      </c>
      <c r="AG18" s="147">
        <v>94248</v>
      </c>
      <c r="AH18" s="254">
        <v>94911.346619999982</v>
      </c>
      <c r="AI18" s="349">
        <f t="shared" si="93"/>
        <v>700332</v>
      </c>
      <c r="AJ18" s="349">
        <f t="shared" si="94"/>
        <v>692892.31479999993</v>
      </c>
      <c r="AK18" s="147">
        <v>97240</v>
      </c>
      <c r="AL18" s="254">
        <v>97411.773899999986</v>
      </c>
      <c r="AM18" s="586">
        <f t="shared" si="95"/>
        <v>288728</v>
      </c>
      <c r="AN18" s="586">
        <f t="shared" si="96"/>
        <v>271238.85681999999</v>
      </c>
      <c r="AO18" s="2236">
        <f t="shared" ref="AO18:AP23" si="107">+AK18+AI18</f>
        <v>797572</v>
      </c>
      <c r="AP18" s="2236">
        <f t="shared" ref="AP18:AP21" si="108">+AL18+AJ18</f>
        <v>790304.08869999996</v>
      </c>
      <c r="AQ18" s="147">
        <v>98736</v>
      </c>
      <c r="AR18" s="254">
        <v>94120.661200000002</v>
      </c>
      <c r="AS18" s="349">
        <f t="shared" si="97"/>
        <v>896308</v>
      </c>
      <c r="AT18" s="349">
        <f t="shared" si="98"/>
        <v>884424.74989999994</v>
      </c>
      <c r="AU18" s="147">
        <v>88264</v>
      </c>
      <c r="AV18" s="254">
        <v>71994.837500000009</v>
      </c>
      <c r="AW18" s="349">
        <f t="shared" si="99"/>
        <v>984572</v>
      </c>
      <c r="AX18" s="349">
        <f t="shared" si="100"/>
        <v>956419.58739999996</v>
      </c>
      <c r="AY18" s="147">
        <v>98736</v>
      </c>
      <c r="AZ18" s="254">
        <v>86992.666500000036</v>
      </c>
      <c r="BA18" s="586">
        <f t="shared" si="101"/>
        <v>285736</v>
      </c>
      <c r="BB18" s="586">
        <f t="shared" si="102"/>
        <v>253108.16520000005</v>
      </c>
      <c r="BC18" s="443">
        <f t="shared" si="103"/>
        <v>574464</v>
      </c>
      <c r="BD18" s="451">
        <f t="shared" si="104"/>
        <v>524347.02202000003</v>
      </c>
      <c r="BE18" s="349">
        <f t="shared" si="105"/>
        <v>1083308</v>
      </c>
      <c r="BF18" s="349">
        <f t="shared" si="106"/>
        <v>1043412.2539</v>
      </c>
      <c r="BG18" s="4234">
        <f t="shared" si="3"/>
        <v>0</v>
      </c>
      <c r="BH18" s="4234">
        <f t="shared" si="4"/>
        <v>0</v>
      </c>
      <c r="BI18" s="25"/>
      <c r="BJ18" s="25"/>
      <c r="BK18" s="25"/>
      <c r="BL18" s="25"/>
      <c r="BM18" s="25"/>
      <c r="BN18" s="25"/>
    </row>
    <row r="19" spans="1:66" x14ac:dyDescent="0.25">
      <c r="A19" s="137" t="s">
        <v>446</v>
      </c>
      <c r="B19" s="1636" t="s">
        <v>537</v>
      </c>
      <c r="C19" s="2893" t="s">
        <v>50</v>
      </c>
      <c r="D19" s="2945">
        <v>1017450</v>
      </c>
      <c r="E19" s="2945">
        <v>70543.199999999997</v>
      </c>
      <c r="F19" s="2945">
        <v>75275.0478</v>
      </c>
      <c r="G19" s="5596">
        <v>92378</v>
      </c>
      <c r="H19" s="7179">
        <v>77751.078862886585</v>
      </c>
      <c r="I19" s="2884">
        <f>+E19+G19</f>
        <v>162921.20000000001</v>
      </c>
      <c r="J19" s="37">
        <f t="shared" si="5"/>
        <v>153026.12666288659</v>
      </c>
      <c r="K19" s="5703">
        <v>89535.6</v>
      </c>
      <c r="L19" s="5703">
        <v>75099.025971134019</v>
      </c>
      <c r="M19" s="2211">
        <f t="shared" ref="M19:M20" si="109">+K19+G19+E19</f>
        <v>252456.8</v>
      </c>
      <c r="N19" s="2211">
        <f t="shared" ref="N19:N20" si="110">+L19+H19+F19</f>
        <v>228125.1526340206</v>
      </c>
      <c r="O19" s="5849">
        <v>90601.5</v>
      </c>
      <c r="P19" s="5849">
        <v>78023.680000000008</v>
      </c>
      <c r="Q19" s="2210">
        <f t="shared" si="87"/>
        <v>343058.3</v>
      </c>
      <c r="R19" s="2210">
        <f t="shared" si="87"/>
        <v>306148.8326340206</v>
      </c>
      <c r="S19" s="5916">
        <v>90601.5</v>
      </c>
      <c r="T19" s="7179">
        <v>83331.982839999982</v>
      </c>
      <c r="U19" s="4335">
        <f t="shared" si="88"/>
        <v>433659.8</v>
      </c>
      <c r="V19" s="4335">
        <f t="shared" si="89"/>
        <v>389480.81547402055</v>
      </c>
      <c r="W19" s="6015">
        <v>49742</v>
      </c>
      <c r="X19" s="6015">
        <v>82045.410979999971</v>
      </c>
      <c r="Y19" s="2211">
        <f t="shared" ref="Y19:Y21" si="111">+W19+S19+O19</f>
        <v>230945</v>
      </c>
      <c r="Z19" s="2211">
        <f t="shared" ref="Z19:Z21" si="112">+X19+T19+P19</f>
        <v>243401.07381999993</v>
      </c>
      <c r="AA19" s="2212">
        <f t="shared" ref="AA19:AA20" si="113">M19+Y19</f>
        <v>483401.8</v>
      </c>
      <c r="AB19" s="428">
        <f t="shared" ref="AB19:AB20" si="114">+N19+Z19</f>
        <v>471526.22645402054</v>
      </c>
      <c r="AC19" s="6148">
        <v>92378</v>
      </c>
      <c r="AD19" s="6148">
        <v>65815.383400000006</v>
      </c>
      <c r="AE19" s="2236">
        <f t="shared" si="91"/>
        <v>575779.80000000005</v>
      </c>
      <c r="AF19" s="2236">
        <f t="shared" si="92"/>
        <v>537341.60985402053</v>
      </c>
      <c r="AG19" s="6310">
        <v>89535.6</v>
      </c>
      <c r="AH19" s="7184">
        <v>91053.364400000006</v>
      </c>
      <c r="AI19" s="4635">
        <f t="shared" si="93"/>
        <v>665315.4</v>
      </c>
      <c r="AJ19" s="4635">
        <f t="shared" si="94"/>
        <v>628394.97425402049</v>
      </c>
      <c r="AK19" s="6571">
        <v>92378</v>
      </c>
      <c r="AL19" s="6571">
        <v>86706.035699999979</v>
      </c>
      <c r="AM19" s="2544">
        <f t="shared" si="95"/>
        <v>274291.59999999998</v>
      </c>
      <c r="AN19" s="2544">
        <f t="shared" si="96"/>
        <v>243574.78349999996</v>
      </c>
      <c r="AO19" s="2236">
        <f t="shared" si="107"/>
        <v>757693.4</v>
      </c>
      <c r="AP19" s="2236">
        <f t="shared" si="108"/>
        <v>715101.0099540205</v>
      </c>
      <c r="AQ19" s="6666">
        <v>93799.2</v>
      </c>
      <c r="AR19" s="6666">
        <v>83547</v>
      </c>
      <c r="AS19" s="2236">
        <f t="shared" si="97"/>
        <v>851492.6</v>
      </c>
      <c r="AT19" s="2236">
        <f t="shared" si="98"/>
        <v>798648.0099540205</v>
      </c>
      <c r="AU19" s="6866">
        <v>83850.8</v>
      </c>
      <c r="AV19" s="6866">
        <v>69316.338400000022</v>
      </c>
      <c r="AW19" s="5026">
        <f t="shared" si="99"/>
        <v>935343.4</v>
      </c>
      <c r="AX19" s="5026">
        <f t="shared" si="100"/>
        <v>867964.34835402051</v>
      </c>
      <c r="AY19" s="6985">
        <v>93799.2</v>
      </c>
      <c r="AZ19" s="6985">
        <v>73580.46550000002</v>
      </c>
      <c r="BA19" s="2777">
        <f t="shared" si="101"/>
        <v>271449.2</v>
      </c>
      <c r="BB19" s="2777">
        <f t="shared" si="102"/>
        <v>226443.80390000006</v>
      </c>
      <c r="BC19" s="443">
        <f t="shared" si="103"/>
        <v>545740.80000000005</v>
      </c>
      <c r="BD19" s="451">
        <f t="shared" si="104"/>
        <v>470018.58740000002</v>
      </c>
      <c r="BE19" s="2236">
        <f t="shared" si="105"/>
        <v>1029142.6</v>
      </c>
      <c r="BF19" s="2236">
        <f t="shared" si="106"/>
        <v>941544.81385402055</v>
      </c>
      <c r="BG19" s="4234">
        <f t="shared" si="3"/>
        <v>0</v>
      </c>
      <c r="BH19" s="4234">
        <f t="shared" si="4"/>
        <v>0</v>
      </c>
      <c r="BI19" s="25"/>
      <c r="BJ19" s="25"/>
      <c r="BK19" s="25"/>
      <c r="BL19" s="25"/>
      <c r="BM19" s="25"/>
      <c r="BN19" s="25"/>
    </row>
    <row r="20" spans="1:66" x14ac:dyDescent="0.25">
      <c r="A20" s="137"/>
      <c r="B20" s="1636" t="s">
        <v>536</v>
      </c>
      <c r="C20" s="2893" t="s">
        <v>50</v>
      </c>
      <c r="D20" s="7661">
        <v>0</v>
      </c>
      <c r="E20" s="7661">
        <v>0</v>
      </c>
      <c r="F20" s="2945">
        <v>4000</v>
      </c>
      <c r="G20" s="5596">
        <v>0</v>
      </c>
      <c r="H20" s="7179">
        <v>0</v>
      </c>
      <c r="I20" s="2884">
        <f>+E20+G20</f>
        <v>0</v>
      </c>
      <c r="J20" s="37">
        <f>+F20+H20</f>
        <v>4000</v>
      </c>
      <c r="K20" s="5703">
        <v>0</v>
      </c>
      <c r="L20" s="5703">
        <v>0</v>
      </c>
      <c r="M20" s="2211">
        <f t="shared" si="109"/>
        <v>0</v>
      </c>
      <c r="N20" s="2211">
        <f t="shared" si="110"/>
        <v>4000</v>
      </c>
      <c r="O20" s="5849">
        <v>0</v>
      </c>
      <c r="P20" s="5849">
        <v>10000</v>
      </c>
      <c r="Q20" s="2210">
        <f t="shared" si="87"/>
        <v>0</v>
      </c>
      <c r="R20" s="558">
        <f t="shared" si="87"/>
        <v>14000</v>
      </c>
      <c r="S20" s="5916">
        <v>0</v>
      </c>
      <c r="T20" s="7179">
        <v>0</v>
      </c>
      <c r="U20" s="4335">
        <f t="shared" si="88"/>
        <v>0</v>
      </c>
      <c r="V20" s="4339">
        <f t="shared" si="89"/>
        <v>14000</v>
      </c>
      <c r="W20" s="6015">
        <v>0</v>
      </c>
      <c r="X20" s="6015">
        <v>6000</v>
      </c>
      <c r="Y20" s="2211">
        <f t="shared" si="111"/>
        <v>0</v>
      </c>
      <c r="Z20" s="2211">
        <f t="shared" si="112"/>
        <v>16000</v>
      </c>
      <c r="AA20" s="2212">
        <f t="shared" si="113"/>
        <v>0</v>
      </c>
      <c r="AB20" s="428">
        <f t="shared" si="114"/>
        <v>20000</v>
      </c>
      <c r="AC20" s="6148">
        <v>0</v>
      </c>
      <c r="AD20" s="6148">
        <v>6000</v>
      </c>
      <c r="AE20" s="2236">
        <f t="shared" si="91"/>
        <v>0</v>
      </c>
      <c r="AF20" s="558">
        <f t="shared" si="92"/>
        <v>26000</v>
      </c>
      <c r="AG20" s="6310">
        <v>0</v>
      </c>
      <c r="AH20" s="7184">
        <v>9000</v>
      </c>
      <c r="AI20" s="4635">
        <f t="shared" si="93"/>
        <v>0</v>
      </c>
      <c r="AJ20" s="4639">
        <f t="shared" si="94"/>
        <v>35000</v>
      </c>
      <c r="AK20" s="6571">
        <v>0</v>
      </c>
      <c r="AL20" s="6571">
        <v>17825</v>
      </c>
      <c r="AM20" s="2544">
        <f t="shared" si="95"/>
        <v>0</v>
      </c>
      <c r="AN20" s="2544">
        <f t="shared" si="96"/>
        <v>32825</v>
      </c>
      <c r="AO20" s="2236">
        <f t="shared" si="107"/>
        <v>0</v>
      </c>
      <c r="AP20" s="2236">
        <f t="shared" si="108"/>
        <v>52825</v>
      </c>
      <c r="AQ20" s="6666">
        <v>0</v>
      </c>
      <c r="AR20" s="6666">
        <v>8000</v>
      </c>
      <c r="AS20" s="2236">
        <f t="shared" si="97"/>
        <v>0</v>
      </c>
      <c r="AT20" s="558">
        <f t="shared" si="98"/>
        <v>60825</v>
      </c>
      <c r="AU20" s="6866">
        <v>0</v>
      </c>
      <c r="AV20" s="6866">
        <v>5000</v>
      </c>
      <c r="AW20" s="5026">
        <f t="shared" si="99"/>
        <v>0</v>
      </c>
      <c r="AX20" s="5030">
        <f t="shared" si="100"/>
        <v>65825</v>
      </c>
      <c r="AY20" s="6985">
        <v>0</v>
      </c>
      <c r="AZ20" s="6985">
        <v>14000</v>
      </c>
      <c r="BA20" s="2777">
        <f t="shared" si="101"/>
        <v>0</v>
      </c>
      <c r="BB20" s="2777">
        <f t="shared" si="102"/>
        <v>27000</v>
      </c>
      <c r="BC20" s="443">
        <f t="shared" si="103"/>
        <v>0</v>
      </c>
      <c r="BD20" s="451">
        <f t="shared" si="104"/>
        <v>59825</v>
      </c>
      <c r="BE20" s="2236">
        <f t="shared" si="105"/>
        <v>0</v>
      </c>
      <c r="BF20" s="558">
        <f t="shared" si="106"/>
        <v>79825</v>
      </c>
      <c r="BG20" s="4234">
        <f t="shared" si="3"/>
        <v>0</v>
      </c>
      <c r="BH20" s="4234">
        <f t="shared" si="4"/>
        <v>0</v>
      </c>
      <c r="BI20" s="25"/>
      <c r="BJ20" s="25"/>
      <c r="BK20" s="25"/>
      <c r="BL20" s="25"/>
      <c r="BM20" s="25"/>
      <c r="BN20" s="25"/>
    </row>
    <row r="21" spans="1:66" ht="16.5" thickBot="1" x14ac:dyDescent="0.3">
      <c r="A21" s="137" t="s">
        <v>446</v>
      </c>
      <c r="B21" s="1626" t="s">
        <v>104</v>
      </c>
      <c r="C21" s="2217" t="s">
        <v>50</v>
      </c>
      <c r="D21" s="1062">
        <v>1049580</v>
      </c>
      <c r="E21" s="213">
        <v>72770.880000000005</v>
      </c>
      <c r="F21" s="213">
        <v>73016.796365999995</v>
      </c>
      <c r="G21" s="213">
        <v>95295.2</v>
      </c>
      <c r="H21" s="213">
        <v>75418.546496999988</v>
      </c>
      <c r="I21" s="2272">
        <f>+E21+G21</f>
        <v>168066.08000000002</v>
      </c>
      <c r="J21" s="1878">
        <f t="shared" si="5"/>
        <v>148435.342863</v>
      </c>
      <c r="K21" s="213">
        <v>92363.04</v>
      </c>
      <c r="L21" s="213">
        <v>72846.055192</v>
      </c>
      <c r="M21" s="2273">
        <f t="shared" si="86"/>
        <v>260429.12</v>
      </c>
      <c r="N21" s="2273">
        <f t="shared" si="86"/>
        <v>221281.39805499997</v>
      </c>
      <c r="O21" s="213">
        <v>93462.6</v>
      </c>
      <c r="P21" s="213">
        <v>75682.969600000011</v>
      </c>
      <c r="Q21" s="2272">
        <f t="shared" si="87"/>
        <v>353891.72</v>
      </c>
      <c r="R21" s="2272">
        <f t="shared" si="87"/>
        <v>296964.36765499995</v>
      </c>
      <c r="S21" s="213">
        <v>93462.6</v>
      </c>
      <c r="T21" s="213">
        <v>80832.023354799981</v>
      </c>
      <c r="U21" s="4346">
        <f t="shared" si="88"/>
        <v>447354.31999999995</v>
      </c>
      <c r="V21" s="4346">
        <f t="shared" si="89"/>
        <v>377796.3910097999</v>
      </c>
      <c r="W21" s="213">
        <v>51312.800000000003</v>
      </c>
      <c r="X21" s="213">
        <v>79584.048650599972</v>
      </c>
      <c r="Y21" s="2273">
        <f t="shared" si="111"/>
        <v>238238.00000000003</v>
      </c>
      <c r="Z21" s="2273">
        <f t="shared" si="112"/>
        <v>236099.04160539998</v>
      </c>
      <c r="AA21" s="2274">
        <f>+U21+W21</f>
        <v>498667.11999999994</v>
      </c>
      <c r="AB21" s="2275">
        <f>+V21+X21</f>
        <v>457380.43966039986</v>
      </c>
      <c r="AC21" s="213">
        <v>95295.2</v>
      </c>
      <c r="AD21" s="213">
        <v>63840.921898000001</v>
      </c>
      <c r="AE21" s="557">
        <f t="shared" si="91"/>
        <v>593962.31999999995</v>
      </c>
      <c r="AF21" s="557">
        <f t="shared" si="92"/>
        <v>521221.36155839986</v>
      </c>
      <c r="AG21" s="213">
        <v>92363.04</v>
      </c>
      <c r="AH21" s="213">
        <v>88321.763468000005</v>
      </c>
      <c r="AI21" s="557">
        <f t="shared" si="93"/>
        <v>686325.36</v>
      </c>
      <c r="AJ21" s="557">
        <f t="shared" si="94"/>
        <v>609543.12502639985</v>
      </c>
      <c r="AK21" s="213">
        <v>95295.2</v>
      </c>
      <c r="AL21" s="213">
        <v>84104.854628999979</v>
      </c>
      <c r="AM21" s="2273">
        <f t="shared" si="95"/>
        <v>282953.44</v>
      </c>
      <c r="AN21" s="2273">
        <f t="shared" si="96"/>
        <v>236267.539995</v>
      </c>
      <c r="AO21" s="2236">
        <f t="shared" si="107"/>
        <v>781620.55999999994</v>
      </c>
      <c r="AP21" s="2236">
        <f t="shared" si="108"/>
        <v>693647.9796553998</v>
      </c>
      <c r="AQ21" s="213">
        <v>96761.279999999999</v>
      </c>
      <c r="AR21" s="213">
        <v>81040.671480000005</v>
      </c>
      <c r="AS21" s="557">
        <f t="shared" si="97"/>
        <v>878381.84</v>
      </c>
      <c r="AT21" s="557">
        <f t="shared" si="98"/>
        <v>774688.65113539982</v>
      </c>
      <c r="AU21" s="213">
        <v>86498.72</v>
      </c>
      <c r="AV21" s="213">
        <v>67236.848248000024</v>
      </c>
      <c r="AW21" s="557">
        <f t="shared" si="99"/>
        <v>964880.55999999994</v>
      </c>
      <c r="AX21" s="557">
        <f t="shared" si="100"/>
        <v>841925.49938339985</v>
      </c>
      <c r="AY21" s="213">
        <v>96761.279999999999</v>
      </c>
      <c r="AZ21" s="213">
        <v>71373.051535000021</v>
      </c>
      <c r="BA21" s="2273">
        <f t="shared" si="101"/>
        <v>280021.28000000003</v>
      </c>
      <c r="BB21" s="2273">
        <f t="shared" si="102"/>
        <v>219650.57126300008</v>
      </c>
      <c r="BC21" s="2293">
        <f>AM21+BA21</f>
        <v>562974.71999999997</v>
      </c>
      <c r="BD21" s="442">
        <f>+AN21+BB21</f>
        <v>455918.11125800008</v>
      </c>
      <c r="BE21" s="557">
        <f t="shared" si="105"/>
        <v>1061641.8399999999</v>
      </c>
      <c r="BF21" s="557">
        <f t="shared" si="106"/>
        <v>913298.55091839982</v>
      </c>
      <c r="BG21" s="4234">
        <f t="shared" si="3"/>
        <v>0</v>
      </c>
      <c r="BH21" s="4234">
        <f t="shared" si="4"/>
        <v>0</v>
      </c>
      <c r="BI21" s="25"/>
      <c r="BJ21" s="25"/>
      <c r="BK21" s="25"/>
      <c r="BL21" s="25"/>
      <c r="BM21" s="25"/>
      <c r="BN21" s="25"/>
    </row>
    <row r="22" spans="1:66" ht="16.5" thickBot="1" x14ac:dyDescent="0.3">
      <c r="A22" s="138"/>
      <c r="B22" s="1628" t="s">
        <v>426</v>
      </c>
      <c r="C22" s="1637"/>
      <c r="D22" s="2074"/>
      <c r="E22" s="2074"/>
      <c r="F22" s="2074"/>
      <c r="G22" s="2074"/>
      <c r="H22" s="2074"/>
      <c r="I22" s="1637"/>
      <c r="J22" s="3486"/>
      <c r="K22" s="2074"/>
      <c r="L22" s="2074"/>
      <c r="M22" s="1637"/>
      <c r="N22" s="1637"/>
      <c r="O22" s="2074"/>
      <c r="P22" s="2074"/>
      <c r="Q22" s="1637"/>
      <c r="R22" s="1637"/>
      <c r="S22" s="2074"/>
      <c r="T22" s="2074"/>
      <c r="U22" s="1637"/>
      <c r="V22" s="1637"/>
      <c r="W22" s="2074"/>
      <c r="X22" s="2074"/>
      <c r="Y22" s="1637"/>
      <c r="Z22" s="1637"/>
      <c r="AA22" s="1637"/>
      <c r="AB22" s="1314"/>
      <c r="AC22" s="2074"/>
      <c r="AD22" s="2074"/>
      <c r="AE22" s="1637"/>
      <c r="AF22" s="1637"/>
      <c r="AG22" s="2074"/>
      <c r="AH22" s="2074"/>
      <c r="AI22" s="1637"/>
      <c r="AJ22" s="1637"/>
      <c r="AK22" s="2074"/>
      <c r="AL22" s="2074"/>
      <c r="AM22" s="1637"/>
      <c r="AN22" s="1637"/>
      <c r="AO22" s="1637"/>
      <c r="AP22" s="1637"/>
      <c r="AQ22" s="2074"/>
      <c r="AR22" s="2074"/>
      <c r="AS22" s="1637"/>
      <c r="AT22" s="1637"/>
      <c r="AU22" s="2074"/>
      <c r="AV22" s="2074"/>
      <c r="AW22" s="1637"/>
      <c r="AX22" s="1637"/>
      <c r="AY22" s="2074"/>
      <c r="AZ22" s="2074"/>
      <c r="BA22" s="1637"/>
      <c r="BB22" s="1637"/>
      <c r="BC22" s="1637"/>
      <c r="BD22" s="1314"/>
      <c r="BE22" s="1637"/>
      <c r="BF22" s="1637"/>
      <c r="BG22" s="4234">
        <f t="shared" si="3"/>
        <v>0</v>
      </c>
      <c r="BH22" s="4234">
        <f t="shared" si="4"/>
        <v>0</v>
      </c>
      <c r="BI22" s="25"/>
      <c r="BJ22" s="25"/>
      <c r="BK22" s="25"/>
      <c r="BL22" s="25"/>
      <c r="BM22" s="25"/>
      <c r="BN22" s="25"/>
    </row>
    <row r="23" spans="1:66" x14ac:dyDescent="0.25">
      <c r="A23" s="137" t="s">
        <v>446</v>
      </c>
      <c r="B23" s="1631" t="s">
        <v>237</v>
      </c>
      <c r="C23" s="710" t="s">
        <v>50</v>
      </c>
      <c r="D23" s="147">
        <f t="shared" ref="D23:E25" si="115">+D$6*D39/1000</f>
        <v>1045122.0000000001</v>
      </c>
      <c r="E23" s="147">
        <f t="shared" si="115"/>
        <v>78000</v>
      </c>
      <c r="F23" s="254">
        <v>90935.947439999974</v>
      </c>
      <c r="G23" s="147">
        <f t="shared" ref="G23" si="116">+G$6*G39/1000</f>
        <v>92560</v>
      </c>
      <c r="H23" s="254">
        <v>88475.2503</v>
      </c>
      <c r="I23" s="669">
        <f>+E23+G23</f>
        <v>170560</v>
      </c>
      <c r="J23" s="41">
        <f t="shared" si="5"/>
        <v>179411.19773999997</v>
      </c>
      <c r="K23" s="147">
        <f t="shared" ref="K23:K25" si="117">+K$6*K39/1000</f>
        <v>89712</v>
      </c>
      <c r="L23" s="254">
        <v>91104.908899999995</v>
      </c>
      <c r="M23" s="673">
        <f t="shared" ref="M23:N23" si="118">+K23+G23+E23</f>
        <v>260272</v>
      </c>
      <c r="N23" s="673">
        <f t="shared" si="118"/>
        <v>270516.10663999995</v>
      </c>
      <c r="O23" s="147">
        <f t="shared" ref="O23:O25" si="119">+O$6*O39/1000</f>
        <v>90780</v>
      </c>
      <c r="P23" s="254">
        <v>97220.250600000014</v>
      </c>
      <c r="Q23" s="669">
        <f t="shared" ref="Q23:R25" si="120">+M23+O23</f>
        <v>351052</v>
      </c>
      <c r="R23" s="41">
        <f t="shared" si="120"/>
        <v>367736.35723999998</v>
      </c>
      <c r="S23" s="147">
        <f t="shared" ref="S23:S25" si="121">+S$6*S39/1000</f>
        <v>90780</v>
      </c>
      <c r="T23" s="254">
        <v>92678.77111999999</v>
      </c>
      <c r="U23" s="669">
        <f t="shared" ref="U23:U25" si="122">+Q23+S23</f>
        <v>441832</v>
      </c>
      <c r="V23" s="41">
        <f t="shared" ref="V23:V25" si="123">+R23+T23</f>
        <v>460415.12835999997</v>
      </c>
      <c r="W23" s="147">
        <f t="shared" ref="W23:W25" si="124">+W$6*W39/1000</f>
        <v>53620</v>
      </c>
      <c r="X23" s="254">
        <v>94980.636339999997</v>
      </c>
      <c r="Y23" s="673">
        <f t="shared" ref="Y23:Z23" si="125">+W23+S23+O23</f>
        <v>235180</v>
      </c>
      <c r="Z23" s="71">
        <f t="shared" si="125"/>
        <v>284879.65805999999</v>
      </c>
      <c r="AA23" s="671">
        <f>M23+Y23</f>
        <v>495452</v>
      </c>
      <c r="AB23" s="432">
        <f>+N23+Z23</f>
        <v>555395.76469999994</v>
      </c>
      <c r="AC23" s="147">
        <f t="shared" ref="AC23:AC25" si="126">+AC$6*AC39/1000</f>
        <v>92040</v>
      </c>
      <c r="AD23" s="254">
        <v>82612.429080000002</v>
      </c>
      <c r="AE23" s="669">
        <f t="shared" ref="AE23:AE25" si="127">+AA23+AC23</f>
        <v>587492</v>
      </c>
      <c r="AF23" s="41">
        <f t="shared" ref="AF23:AF25" si="128">+AB23+AD23</f>
        <v>638008.19377999997</v>
      </c>
      <c r="AG23" s="147">
        <f t="shared" ref="AG23:AG25" si="129">+AG$6*AG39/1000</f>
        <v>89208</v>
      </c>
      <c r="AH23" s="254">
        <v>89431</v>
      </c>
      <c r="AI23" s="669">
        <f t="shared" ref="AI23:AI25" si="130">+AE23+AG23</f>
        <v>676700</v>
      </c>
      <c r="AJ23" s="41">
        <f t="shared" ref="AJ23:AJ25" si="131">+AF23+AH23</f>
        <v>727439.19377999997</v>
      </c>
      <c r="AK23" s="147">
        <f t="shared" ref="AK23:AK25" si="132">+AK$6*AK39/1000</f>
        <v>92040</v>
      </c>
      <c r="AL23" s="254">
        <v>95439.613600000026</v>
      </c>
      <c r="AM23" s="673">
        <f t="shared" ref="AM23:AM25" si="133">+AK23+AG23+AC23</f>
        <v>273288</v>
      </c>
      <c r="AN23" s="71">
        <f t="shared" ref="AN23:AN25" si="134">+AL23+AH23+AD23</f>
        <v>267483.04268000007</v>
      </c>
      <c r="AO23" s="2236">
        <f t="shared" si="107"/>
        <v>768740</v>
      </c>
      <c r="AP23" s="2236">
        <f t="shared" si="107"/>
        <v>822878.80738000001</v>
      </c>
      <c r="AQ23" s="147">
        <f t="shared" ref="AQ23:AQ25" si="135">+AQ$6*AQ39/1000</f>
        <v>93456</v>
      </c>
      <c r="AR23" s="254">
        <v>94365.280469999998</v>
      </c>
      <c r="AS23" s="669">
        <f t="shared" ref="AS23:AS25" si="136">+AO23+AQ23</f>
        <v>862196</v>
      </c>
      <c r="AT23" s="41">
        <f t="shared" ref="AT23:AT25" si="137">+AP23+AR23</f>
        <v>917244.08785000001</v>
      </c>
      <c r="AU23" s="147">
        <f t="shared" ref="AU23:AU25" si="138">+AU$6*AU39/1000</f>
        <v>83544</v>
      </c>
      <c r="AV23" s="254">
        <v>84493.69425</v>
      </c>
      <c r="AW23" s="669">
        <f t="shared" ref="AW23:AW25" si="139">+AS23+AU23</f>
        <v>945740</v>
      </c>
      <c r="AX23" s="41">
        <f t="shared" ref="AX23:AX25" si="140">+AT23+AV23</f>
        <v>1001737.7821</v>
      </c>
      <c r="AY23" s="147">
        <f t="shared" ref="AY23:AY25" si="141">+AY$6*AY39/1000</f>
        <v>93456</v>
      </c>
      <c r="AZ23" s="254">
        <v>92471.241399999999</v>
      </c>
      <c r="BA23" s="673">
        <f t="shared" ref="BA23:BA25" si="142">+AY23+AU23+AQ23</f>
        <v>270456</v>
      </c>
      <c r="BB23" s="71">
        <f t="shared" ref="BB23:BB25" si="143">+AZ23+AV23+AR23</f>
        <v>271330.21612</v>
      </c>
      <c r="BC23" s="443">
        <f t="shared" ref="BC23" si="144">AM23+BA23</f>
        <v>543744</v>
      </c>
      <c r="BD23" s="451">
        <f t="shared" ref="BD23" si="145">+AN23+BB23</f>
        <v>538813.25880000007</v>
      </c>
      <c r="BE23" s="669">
        <f t="shared" ref="BE23:BE25" si="146">+AW23+AY23</f>
        <v>1039196</v>
      </c>
      <c r="BF23" s="41">
        <f t="shared" ref="BF23:BF25" si="147">+AX23+AZ23</f>
        <v>1094209.0234999999</v>
      </c>
      <c r="BG23" s="4234">
        <f t="shared" si="3"/>
        <v>0</v>
      </c>
      <c r="BH23" s="4234">
        <f t="shared" si="4"/>
        <v>0</v>
      </c>
      <c r="BI23" s="25"/>
      <c r="BJ23" s="25"/>
      <c r="BK23" s="25"/>
      <c r="BL23" s="25"/>
      <c r="BM23" s="25"/>
      <c r="BN23" s="25"/>
    </row>
    <row r="24" spans="1:66" x14ac:dyDescent="0.25">
      <c r="A24" s="137" t="s">
        <v>446</v>
      </c>
      <c r="B24" s="1629" t="s">
        <v>1</v>
      </c>
      <c r="C24" s="3180" t="s">
        <v>50</v>
      </c>
      <c r="D24" s="2883">
        <f t="shared" si="115"/>
        <v>81166</v>
      </c>
      <c r="E24" s="2883">
        <f t="shared" si="115"/>
        <v>5408</v>
      </c>
      <c r="F24" s="2945">
        <v>7521.2660300000034</v>
      </c>
      <c r="G24" s="5601">
        <f t="shared" ref="G24" si="148">+G$6*G40/1000</f>
        <v>7540</v>
      </c>
      <c r="H24" s="7179">
        <v>7479.2059999999992</v>
      </c>
      <c r="I24" s="675">
        <f>+E24+G24</f>
        <v>12948</v>
      </c>
      <c r="J24" s="60">
        <f t="shared" si="5"/>
        <v>15000.472030000003</v>
      </c>
      <c r="K24" s="5706">
        <f t="shared" si="117"/>
        <v>7308</v>
      </c>
      <c r="L24" s="5703">
        <v>8335.2548999999999</v>
      </c>
      <c r="M24" s="66">
        <f t="shared" ref="M24:M25" si="149">+K24+G24+E24</f>
        <v>20256</v>
      </c>
      <c r="N24" s="66">
        <f t="shared" ref="N24:N25" si="150">+L24+H24+F24</f>
        <v>23335.726930000001</v>
      </c>
      <c r="O24" s="5857">
        <f t="shared" si="119"/>
        <v>7395</v>
      </c>
      <c r="P24" s="5849">
        <v>10931.993400000003</v>
      </c>
      <c r="Q24" s="675">
        <f t="shared" si="120"/>
        <v>27651</v>
      </c>
      <c r="R24" s="60">
        <f t="shared" si="120"/>
        <v>34267.720330000004</v>
      </c>
      <c r="S24" s="5923">
        <f t="shared" si="121"/>
        <v>7395</v>
      </c>
      <c r="T24" s="7179">
        <v>9434.9160300000003</v>
      </c>
      <c r="U24" s="4332">
        <f t="shared" si="122"/>
        <v>35046</v>
      </c>
      <c r="V24" s="60">
        <f t="shared" si="123"/>
        <v>43702.636360000004</v>
      </c>
      <c r="W24" s="6021">
        <f t="shared" si="124"/>
        <v>3920</v>
      </c>
      <c r="X24" s="6015">
        <v>8937.2429000000029</v>
      </c>
      <c r="Y24" s="66">
        <f t="shared" ref="Y24:Y25" si="151">+W24+S24+O24</f>
        <v>18710</v>
      </c>
      <c r="Z24" s="67">
        <f t="shared" ref="Z24:Z25" si="152">+X24+T24+P24</f>
        <v>29304.152330000008</v>
      </c>
      <c r="AA24" s="746">
        <f t="shared" ref="AA24:AA25" si="153">M24+Y24</f>
        <v>38966</v>
      </c>
      <c r="AB24" s="451">
        <f t="shared" ref="AB24:AB25" si="154">+N24+Z24</f>
        <v>52639.879260000009</v>
      </c>
      <c r="AC24" s="6156">
        <f t="shared" si="126"/>
        <v>7540</v>
      </c>
      <c r="AD24" s="6148">
        <v>6146.5302000000011</v>
      </c>
      <c r="AE24" s="675">
        <f t="shared" si="127"/>
        <v>46506</v>
      </c>
      <c r="AF24" s="60">
        <f t="shared" si="128"/>
        <v>58786.40946000001</v>
      </c>
      <c r="AG24" s="6318">
        <f t="shared" si="129"/>
        <v>7308</v>
      </c>
      <c r="AH24" s="7184">
        <v>9215</v>
      </c>
      <c r="AI24" s="4631">
        <f t="shared" si="130"/>
        <v>53814</v>
      </c>
      <c r="AJ24" s="60">
        <f t="shared" si="131"/>
        <v>68001.40946000001</v>
      </c>
      <c r="AK24" s="6577">
        <f t="shared" si="132"/>
        <v>7540</v>
      </c>
      <c r="AL24" s="6571">
        <v>8963.0492999999988</v>
      </c>
      <c r="AM24" s="66">
        <f t="shared" si="133"/>
        <v>22388</v>
      </c>
      <c r="AN24" s="67">
        <f t="shared" si="134"/>
        <v>24324.5795</v>
      </c>
      <c r="AO24" s="2236">
        <f t="shared" ref="AO24:AP27" si="155">+AK24+AI24</f>
        <v>61354</v>
      </c>
      <c r="AP24" s="2236">
        <f t="shared" ref="AP24:AP25" si="156">+AL24+AJ24</f>
        <v>76964.458760000009</v>
      </c>
      <c r="AQ24" s="6669">
        <f t="shared" si="135"/>
        <v>7656</v>
      </c>
      <c r="AR24" s="6666">
        <v>7792.9575640000003</v>
      </c>
      <c r="AS24" s="675">
        <f t="shared" si="136"/>
        <v>69010</v>
      </c>
      <c r="AT24" s="60">
        <f t="shared" si="137"/>
        <v>84757.416324000005</v>
      </c>
      <c r="AU24" s="6868">
        <f t="shared" si="138"/>
        <v>6844</v>
      </c>
      <c r="AV24" s="6866">
        <v>5861.8010599999998</v>
      </c>
      <c r="AW24" s="5024">
        <f t="shared" si="139"/>
        <v>75854</v>
      </c>
      <c r="AX24" s="60">
        <f t="shared" si="140"/>
        <v>90619.217384000003</v>
      </c>
      <c r="AY24" s="6987">
        <f t="shared" si="141"/>
        <v>7656</v>
      </c>
      <c r="AZ24" s="6985">
        <v>8283.8433999999997</v>
      </c>
      <c r="BA24" s="66">
        <f t="shared" si="142"/>
        <v>22156</v>
      </c>
      <c r="BB24" s="67">
        <f t="shared" si="143"/>
        <v>21938.602024</v>
      </c>
      <c r="BC24" s="443">
        <f t="shared" ref="BC24:BC25" si="157">AM24+BA24</f>
        <v>44544</v>
      </c>
      <c r="BD24" s="451">
        <f t="shared" ref="BD24:BD25" si="158">+AN24+BB24</f>
        <v>46263.181524</v>
      </c>
      <c r="BE24" s="675">
        <f t="shared" si="146"/>
        <v>83510</v>
      </c>
      <c r="BF24" s="60">
        <f t="shared" si="147"/>
        <v>98903.060784000001</v>
      </c>
      <c r="BG24" s="4234">
        <f t="shared" si="3"/>
        <v>0</v>
      </c>
      <c r="BH24" s="4234">
        <f t="shared" si="4"/>
        <v>0</v>
      </c>
      <c r="BI24" s="25"/>
      <c r="BJ24" s="25"/>
      <c r="BK24" s="25"/>
      <c r="BL24" s="25"/>
      <c r="BM24" s="25"/>
      <c r="BN24" s="25"/>
    </row>
    <row r="25" spans="1:66" ht="15.75" thickBot="1" x14ac:dyDescent="0.3">
      <c r="A25" s="137" t="s">
        <v>446</v>
      </c>
      <c r="B25" s="1633" t="s">
        <v>124</v>
      </c>
      <c r="C25" s="3284" t="s">
        <v>50</v>
      </c>
      <c r="D25" s="3178">
        <f t="shared" si="115"/>
        <v>448711.99999999994</v>
      </c>
      <c r="E25" s="3178">
        <f t="shared" si="115"/>
        <v>25792</v>
      </c>
      <c r="F25" s="3217">
        <v>29664.505649999996</v>
      </c>
      <c r="G25" s="5600">
        <f t="shared" ref="G25" si="159">+G$6*G41/1000</f>
        <v>39000</v>
      </c>
      <c r="H25" s="3217">
        <v>39876.654799999997</v>
      </c>
      <c r="I25" s="3403">
        <f>+E25+G25</f>
        <v>64792</v>
      </c>
      <c r="J25" s="504">
        <f t="shared" si="5"/>
        <v>69541.160449999996</v>
      </c>
      <c r="K25" s="5705">
        <f t="shared" si="117"/>
        <v>37800</v>
      </c>
      <c r="L25" s="3217">
        <v>40595.159399999997</v>
      </c>
      <c r="M25" s="66">
        <f t="shared" si="149"/>
        <v>102592</v>
      </c>
      <c r="N25" s="66">
        <f t="shared" si="150"/>
        <v>110136.31984999999</v>
      </c>
      <c r="O25" s="5856">
        <f t="shared" si="119"/>
        <v>38250</v>
      </c>
      <c r="P25" s="3217">
        <v>38284.482700000008</v>
      </c>
      <c r="Q25" s="675">
        <f t="shared" si="120"/>
        <v>140842</v>
      </c>
      <c r="R25" s="60">
        <f t="shared" si="120"/>
        <v>148420.80254999999</v>
      </c>
      <c r="S25" s="5922">
        <f t="shared" si="121"/>
        <v>38250</v>
      </c>
      <c r="T25" s="3217">
        <v>35925.433679999995</v>
      </c>
      <c r="U25" s="4332">
        <f t="shared" si="122"/>
        <v>179092</v>
      </c>
      <c r="V25" s="60">
        <f t="shared" si="123"/>
        <v>184346.23622999998</v>
      </c>
      <c r="W25" s="6020">
        <f t="shared" si="124"/>
        <v>16940</v>
      </c>
      <c r="X25" s="3217">
        <v>31276.365060000004</v>
      </c>
      <c r="Y25" s="66">
        <f t="shared" si="151"/>
        <v>93440</v>
      </c>
      <c r="Z25" s="67">
        <f t="shared" si="152"/>
        <v>105486.28144000001</v>
      </c>
      <c r="AA25" s="746">
        <f t="shared" si="153"/>
        <v>196032</v>
      </c>
      <c r="AB25" s="451">
        <f t="shared" si="154"/>
        <v>215622.60128999999</v>
      </c>
      <c r="AC25" s="6155">
        <f t="shared" si="126"/>
        <v>39520</v>
      </c>
      <c r="AD25" s="3217">
        <v>25464.928199999998</v>
      </c>
      <c r="AE25" s="675">
        <f t="shared" si="127"/>
        <v>235552</v>
      </c>
      <c r="AF25" s="60">
        <f t="shared" si="128"/>
        <v>241087.52948999999</v>
      </c>
      <c r="AG25" s="6317">
        <f t="shared" si="129"/>
        <v>38304</v>
      </c>
      <c r="AH25" s="3217">
        <v>33363</v>
      </c>
      <c r="AI25" s="4631">
        <f t="shared" si="130"/>
        <v>273856</v>
      </c>
      <c r="AJ25" s="60">
        <f t="shared" si="131"/>
        <v>274450.52948999999</v>
      </c>
      <c r="AK25" s="6576">
        <f t="shared" si="132"/>
        <v>39520</v>
      </c>
      <c r="AL25" s="3217">
        <v>32920.386899999998</v>
      </c>
      <c r="AM25" s="66">
        <f t="shared" si="133"/>
        <v>117344</v>
      </c>
      <c r="AN25" s="67">
        <f t="shared" si="134"/>
        <v>91748.315099999993</v>
      </c>
      <c r="AO25" s="2236">
        <f t="shared" si="155"/>
        <v>313376</v>
      </c>
      <c r="AP25" s="2236">
        <f t="shared" si="156"/>
        <v>307370.91638999997</v>
      </c>
      <c r="AQ25" s="6668">
        <f t="shared" si="135"/>
        <v>40128</v>
      </c>
      <c r="AR25" s="3217">
        <v>31787.504239999998</v>
      </c>
      <c r="AS25" s="675">
        <f t="shared" si="136"/>
        <v>353504</v>
      </c>
      <c r="AT25" s="60">
        <f t="shared" si="137"/>
        <v>339158.42062999995</v>
      </c>
      <c r="AU25" s="6867">
        <f t="shared" si="138"/>
        <v>35872</v>
      </c>
      <c r="AV25" s="3217">
        <v>17532.9774</v>
      </c>
      <c r="AW25" s="5024">
        <f t="shared" si="139"/>
        <v>389376</v>
      </c>
      <c r="AX25" s="60">
        <f t="shared" si="140"/>
        <v>356691.39802999992</v>
      </c>
      <c r="AY25" s="6986">
        <f t="shared" si="141"/>
        <v>40128</v>
      </c>
      <c r="AZ25" s="3217">
        <v>34108.780900000012</v>
      </c>
      <c r="BA25" s="66">
        <f t="shared" si="142"/>
        <v>116128</v>
      </c>
      <c r="BB25" s="67">
        <f t="shared" si="143"/>
        <v>83429.262540000011</v>
      </c>
      <c r="BC25" s="443">
        <f t="shared" si="157"/>
        <v>233472</v>
      </c>
      <c r="BD25" s="451">
        <f t="shared" si="158"/>
        <v>175177.57764</v>
      </c>
      <c r="BE25" s="675">
        <f t="shared" si="146"/>
        <v>429504</v>
      </c>
      <c r="BF25" s="60">
        <f t="shared" si="147"/>
        <v>390800.17892999994</v>
      </c>
      <c r="BG25" s="4234">
        <f t="shared" si="3"/>
        <v>0</v>
      </c>
      <c r="BH25" s="4234">
        <f t="shared" si="4"/>
        <v>0</v>
      </c>
      <c r="BI25" s="25"/>
      <c r="BJ25" s="25"/>
      <c r="BK25" s="25"/>
      <c r="BL25" s="25"/>
      <c r="BM25" s="25"/>
      <c r="BN25" s="25"/>
    </row>
    <row r="26" spans="1:66" ht="16.5" thickBot="1" x14ac:dyDescent="0.3">
      <c r="A26" s="137" t="s">
        <v>446</v>
      </c>
      <c r="B26" s="1634" t="s">
        <v>238</v>
      </c>
      <c r="C26" s="469" t="s">
        <v>50</v>
      </c>
      <c r="D26" s="2269">
        <f>SUM(D23:D25)</f>
        <v>1575000</v>
      </c>
      <c r="E26" s="2269">
        <f t="shared" ref="E26:L26" si="160">SUM(E23:E25)</f>
        <v>109200</v>
      </c>
      <c r="F26" s="2372">
        <f t="shared" si="160"/>
        <v>128121.71911999997</v>
      </c>
      <c r="G26" s="2269">
        <f t="shared" ref="G26:H26" si="161">SUM(G23:G25)</f>
        <v>139100</v>
      </c>
      <c r="H26" s="2372">
        <f t="shared" si="161"/>
        <v>135831.11110000001</v>
      </c>
      <c r="I26" s="38">
        <f t="shared" si="160"/>
        <v>248300</v>
      </c>
      <c r="J26" s="39">
        <f t="shared" si="160"/>
        <v>263952.83022</v>
      </c>
      <c r="K26" s="2269">
        <f t="shared" si="160"/>
        <v>134820</v>
      </c>
      <c r="L26" s="2372">
        <f t="shared" si="160"/>
        <v>140035.32319999998</v>
      </c>
      <c r="M26" s="331">
        <f t="shared" ref="M26:R26" si="162">SUM(M23:M25)</f>
        <v>383120</v>
      </c>
      <c r="N26" s="65">
        <f t="shared" si="162"/>
        <v>403988.15341999993</v>
      </c>
      <c r="O26" s="2269">
        <f t="shared" si="162"/>
        <v>136425</v>
      </c>
      <c r="P26" s="2372">
        <f t="shared" si="162"/>
        <v>146436.72670000003</v>
      </c>
      <c r="Q26" s="38">
        <f t="shared" si="162"/>
        <v>519545</v>
      </c>
      <c r="R26" s="39">
        <f t="shared" si="162"/>
        <v>550424.88011999999</v>
      </c>
      <c r="S26" s="2269">
        <f t="shared" ref="S26:T26" si="163">SUM(S23:S25)</f>
        <v>136425</v>
      </c>
      <c r="T26" s="2372">
        <f t="shared" si="163"/>
        <v>138039.12082999997</v>
      </c>
      <c r="U26" s="38">
        <f t="shared" ref="U26:X26" si="164">SUM(U23:U25)</f>
        <v>655970</v>
      </c>
      <c r="V26" s="39">
        <f t="shared" si="164"/>
        <v>688464.00095000002</v>
      </c>
      <c r="W26" s="2269">
        <f t="shared" si="164"/>
        <v>74480</v>
      </c>
      <c r="X26" s="2372">
        <f t="shared" si="164"/>
        <v>135194.24429999999</v>
      </c>
      <c r="Y26" s="331">
        <f t="shared" ref="Y26:Z26" si="165">SUM(Y23:Y25)</f>
        <v>347330</v>
      </c>
      <c r="Z26" s="65">
        <f t="shared" si="165"/>
        <v>419670.09182999999</v>
      </c>
      <c r="AA26" s="437">
        <f t="shared" ref="AA26:AF26" si="166">SUM(AA23:AA25)</f>
        <v>730450</v>
      </c>
      <c r="AB26" s="434">
        <f t="shared" si="166"/>
        <v>823658.24524999992</v>
      </c>
      <c r="AC26" s="2269">
        <f t="shared" si="166"/>
        <v>139100</v>
      </c>
      <c r="AD26" s="2372">
        <f t="shared" si="166"/>
        <v>114223.88748</v>
      </c>
      <c r="AE26" s="38">
        <f t="shared" si="166"/>
        <v>869550</v>
      </c>
      <c r="AF26" s="39">
        <f t="shared" si="166"/>
        <v>937882.13272999995</v>
      </c>
      <c r="AG26" s="2269">
        <f t="shared" ref="AG26:AH26" si="167">SUM(AG23:AG25)</f>
        <v>134820</v>
      </c>
      <c r="AH26" s="2372">
        <f t="shared" si="167"/>
        <v>132009</v>
      </c>
      <c r="AI26" s="38">
        <f t="shared" ref="AI26:AL26" si="168">SUM(AI23:AI25)</f>
        <v>1004370</v>
      </c>
      <c r="AJ26" s="39">
        <f t="shared" si="168"/>
        <v>1069891.13273</v>
      </c>
      <c r="AK26" s="2269">
        <f t="shared" si="168"/>
        <v>139100</v>
      </c>
      <c r="AL26" s="2372">
        <f t="shared" si="168"/>
        <v>137323.04980000004</v>
      </c>
      <c r="AM26" s="331">
        <f t="shared" ref="AM26:AT26" si="169">SUM(AM23:AM25)</f>
        <v>413020</v>
      </c>
      <c r="AN26" s="65">
        <f t="shared" si="169"/>
        <v>383555.93728000007</v>
      </c>
      <c r="AO26" s="38">
        <f t="shared" si="169"/>
        <v>1143470</v>
      </c>
      <c r="AP26" s="39">
        <f t="shared" si="169"/>
        <v>1207214.1825299999</v>
      </c>
      <c r="AQ26" s="2269">
        <f t="shared" si="169"/>
        <v>141240</v>
      </c>
      <c r="AR26" s="2372">
        <f t="shared" si="169"/>
        <v>133945.74227399999</v>
      </c>
      <c r="AS26" s="38">
        <f t="shared" si="169"/>
        <v>1284710</v>
      </c>
      <c r="AT26" s="39">
        <f t="shared" si="169"/>
        <v>1341159.924804</v>
      </c>
      <c r="AU26" s="2269">
        <f t="shared" ref="AU26:AV26" si="170">SUM(AU23:AU25)</f>
        <v>126260</v>
      </c>
      <c r="AV26" s="2372">
        <f t="shared" si="170"/>
        <v>107888.47271</v>
      </c>
      <c r="AW26" s="38">
        <f t="shared" ref="AW26:AZ26" si="171">SUM(AW23:AW25)</f>
        <v>1410970</v>
      </c>
      <c r="AX26" s="39">
        <f t="shared" si="171"/>
        <v>1449048.3975140001</v>
      </c>
      <c r="AY26" s="2269">
        <f t="shared" si="171"/>
        <v>141240</v>
      </c>
      <c r="AZ26" s="2372">
        <f t="shared" si="171"/>
        <v>134863.86570000002</v>
      </c>
      <c r="BA26" s="331">
        <f t="shared" ref="BA26:BD26" si="172">SUM(BA23:BA25)</f>
        <v>408740</v>
      </c>
      <c r="BB26" s="65">
        <f t="shared" si="172"/>
        <v>376698.08068400004</v>
      </c>
      <c r="BC26" s="437">
        <f t="shared" si="172"/>
        <v>821760</v>
      </c>
      <c r="BD26" s="434">
        <f t="shared" si="172"/>
        <v>760254.01796400012</v>
      </c>
      <c r="BE26" s="38">
        <f t="shared" ref="BE26:BF26" si="173">SUM(BE23:BE25)</f>
        <v>1552210</v>
      </c>
      <c r="BF26" s="39">
        <f t="shared" si="173"/>
        <v>1583912.2632139998</v>
      </c>
      <c r="BG26" s="4234">
        <f t="shared" si="3"/>
        <v>0</v>
      </c>
      <c r="BH26" s="4234">
        <f t="shared" si="4"/>
        <v>0</v>
      </c>
      <c r="BI26" s="25"/>
      <c r="BJ26" s="25"/>
      <c r="BK26" s="25"/>
      <c r="BL26" s="25"/>
      <c r="BM26" s="25"/>
      <c r="BN26" s="25"/>
    </row>
    <row r="27" spans="1:66" x14ac:dyDescent="0.25">
      <c r="A27" s="137" t="s">
        <v>446</v>
      </c>
      <c r="B27" s="1638" t="s">
        <v>19</v>
      </c>
      <c r="C27" s="58" t="s">
        <v>50</v>
      </c>
      <c r="D27" s="1121">
        <f t="shared" ref="D27:E30" si="174">+D$6*D43/1000</f>
        <v>3449646.8225320759</v>
      </c>
      <c r="E27" s="1121">
        <f t="shared" si="174"/>
        <v>239175.51302889059</v>
      </c>
      <c r="F27" s="1223">
        <v>274384.69999999995</v>
      </c>
      <c r="G27" s="5594">
        <f t="shared" ref="G27" si="175">+G$6*G43/1000</f>
        <v>298969.39128611318</v>
      </c>
      <c r="H27" s="5103">
        <v>288586</v>
      </c>
      <c r="I27" s="675">
        <f>+E27+G27</f>
        <v>538144.90431500378</v>
      </c>
      <c r="J27" s="60">
        <f t="shared" si="5"/>
        <v>562970.69999999995</v>
      </c>
      <c r="K27" s="5704">
        <f t="shared" ref="K27:K30" si="176">+K$6*K43/1000</f>
        <v>289770.33309269435</v>
      </c>
      <c r="L27" s="5103">
        <v>305588</v>
      </c>
      <c r="M27" s="66">
        <f t="shared" ref="M27:M31" si="177">+K27+G27+E27</f>
        <v>827915.23740769806</v>
      </c>
      <c r="N27" s="66">
        <f t="shared" ref="N27:N31" si="178">+L27+H27+F27</f>
        <v>868558.7</v>
      </c>
      <c r="O27" s="5855">
        <f t="shared" ref="O27:O30" si="179">+O$6*O43/1000</f>
        <v>293219.97991522646</v>
      </c>
      <c r="P27" s="5103">
        <v>314445.58999999997</v>
      </c>
      <c r="Q27" s="669">
        <f t="shared" ref="Q27:R29" si="180">+M27+O27</f>
        <v>1121135.2173229246</v>
      </c>
      <c r="R27" s="41">
        <f t="shared" si="180"/>
        <v>1183004.29</v>
      </c>
      <c r="S27" s="5921">
        <f t="shared" ref="S27:S30" si="181">+S$6*S43/1000</f>
        <v>293219.97991522646</v>
      </c>
      <c r="T27" s="5103">
        <v>298752</v>
      </c>
      <c r="U27" s="669">
        <f t="shared" ref="U27:U30" si="182">+Q27+S27</f>
        <v>1414355.197238151</v>
      </c>
      <c r="V27" s="41">
        <f t="shared" ref="V27:V30" si="183">+R27+T27</f>
        <v>1481756.29</v>
      </c>
      <c r="W27" s="6019">
        <f t="shared" ref="W27:W30" si="184">+W$6*W43/1000</f>
        <v>160983.51838483021</v>
      </c>
      <c r="X27" s="5103">
        <v>288743.09999999998</v>
      </c>
      <c r="Y27" s="66">
        <f t="shared" ref="Y27:Y29" si="185">+W27+S27+O27</f>
        <v>747423.47821528313</v>
      </c>
      <c r="Z27" s="67">
        <f t="shared" ref="Z27:Z29" si="186">+X27+T27+P27</f>
        <v>901940.69</v>
      </c>
      <c r="AA27" s="746">
        <f t="shared" ref="AA27:AA31" si="187">M27+Y27</f>
        <v>1575338.7156229811</v>
      </c>
      <c r="AB27" s="451">
        <f t="shared" ref="AB27:AB31" si="188">+N27+Z27</f>
        <v>1770499.39</v>
      </c>
      <c r="AC27" s="6154">
        <f t="shared" ref="AC27:AC30" si="189">+AC$6*AC43/1000</f>
        <v>298969.39128611318</v>
      </c>
      <c r="AD27" s="5103">
        <v>238110</v>
      </c>
      <c r="AE27" s="669">
        <f t="shared" ref="AE27:AE30" si="190">+AA27+AC27</f>
        <v>1874308.1069090944</v>
      </c>
      <c r="AF27" s="41">
        <f t="shared" ref="AF27:AF30" si="191">+AB27+AD27</f>
        <v>2008609.39</v>
      </c>
      <c r="AG27" s="6316">
        <f t="shared" ref="AG27:AG30" si="192">+AG$6*AG43/1000</f>
        <v>289770.33309269435</v>
      </c>
      <c r="AH27" s="5103">
        <v>290904</v>
      </c>
      <c r="AI27" s="669">
        <f t="shared" ref="AI27:AI30" si="193">+AE27+AG27</f>
        <v>2164078.4400017885</v>
      </c>
      <c r="AJ27" s="41">
        <f t="shared" ref="AJ27:AJ30" si="194">+AF27+AH27</f>
        <v>2299513.3899999997</v>
      </c>
      <c r="AK27" s="6575">
        <f t="shared" ref="AK27:AK30" si="195">+AK$6*AK43/1000</f>
        <v>298969.39128611318</v>
      </c>
      <c r="AL27" s="5103">
        <v>289069.39999999997</v>
      </c>
      <c r="AM27" s="66">
        <f t="shared" ref="AM27:AM31" si="196">+AK27+AG27+AC27</f>
        <v>887709.11566492065</v>
      </c>
      <c r="AN27" s="67">
        <f t="shared" ref="AN27:AN31" si="197">+AL27+AH27+AD27</f>
        <v>818083.39999999991</v>
      </c>
      <c r="AO27" s="2236">
        <f t="shared" si="155"/>
        <v>2463047.8312879018</v>
      </c>
      <c r="AP27" s="2236">
        <f t="shared" si="155"/>
        <v>2588582.7899999996</v>
      </c>
      <c r="AQ27" s="6667">
        <f t="shared" ref="AQ27:AQ30" si="198">+AQ$6*AQ43/1000</f>
        <v>303568.92038282263</v>
      </c>
      <c r="AR27" s="5103">
        <v>281651.3</v>
      </c>
      <c r="AS27" s="669">
        <f t="shared" ref="AS27:AS30" si="199">+AO27+AQ27</f>
        <v>2766616.7516707247</v>
      </c>
      <c r="AT27" s="41">
        <f t="shared" ref="AT27:AT30" si="200">+AP27+AR27</f>
        <v>2870234.0899999994</v>
      </c>
      <c r="AU27" s="6865">
        <f t="shared" ref="AU27:AU30" si="201">+AU$6*AU43/1000</f>
        <v>271372.21670585661</v>
      </c>
      <c r="AV27" s="5103">
        <v>233607.7</v>
      </c>
      <c r="AW27" s="669">
        <f t="shared" ref="AW27:AW30" si="202">+AS27+AU27</f>
        <v>3037988.9683765816</v>
      </c>
      <c r="AX27" s="41">
        <f t="shared" ref="AX27:AX30" si="203">+AT27+AV27</f>
        <v>3103841.7899999996</v>
      </c>
      <c r="AY27" s="6984">
        <f t="shared" ref="AY27:AY30" si="204">+AY$6*AY43/1000</f>
        <v>303568.92038282263</v>
      </c>
      <c r="AZ27" s="5103">
        <v>298183.2</v>
      </c>
      <c r="BA27" s="66">
        <f t="shared" ref="BA27:BA31" si="205">+AY27+AU27+AQ27</f>
        <v>878510.05747150187</v>
      </c>
      <c r="BB27" s="67">
        <f t="shared" ref="BB27:BB31" si="206">+AZ27+AV27+AR27</f>
        <v>813442.2</v>
      </c>
      <c r="BC27" s="443">
        <f t="shared" ref="BC27:BC31" si="207">AM27+BA27</f>
        <v>1766219.1731364224</v>
      </c>
      <c r="BD27" s="451">
        <f t="shared" ref="BD27:BD31" si="208">+AN27+BB27</f>
        <v>1631525.5999999999</v>
      </c>
      <c r="BE27" s="669">
        <f t="shared" ref="BE27:BE30" si="209">+AW27+AY27</f>
        <v>3341557.8887594044</v>
      </c>
      <c r="BF27" s="41">
        <f t="shared" ref="BF27:BF30" si="210">+AX27+AZ27</f>
        <v>3402024.9899999998</v>
      </c>
      <c r="BG27" s="4234">
        <f t="shared" si="3"/>
        <v>0</v>
      </c>
      <c r="BH27" s="4234">
        <f t="shared" si="4"/>
        <v>0</v>
      </c>
      <c r="BI27" s="25"/>
      <c r="BJ27" s="25"/>
      <c r="BK27" s="25"/>
      <c r="BL27" s="25"/>
      <c r="BM27" s="25"/>
      <c r="BN27" s="25"/>
    </row>
    <row r="28" spans="1:66" x14ac:dyDescent="0.25">
      <c r="A28" s="137" t="s">
        <v>446</v>
      </c>
      <c r="B28" s="1629" t="s">
        <v>239</v>
      </c>
      <c r="C28" s="3180" t="s">
        <v>50</v>
      </c>
      <c r="D28" s="2883">
        <f t="shared" si="174"/>
        <v>640648.69561309973</v>
      </c>
      <c r="E28" s="2883">
        <f t="shared" si="174"/>
        <v>44418.30956250825</v>
      </c>
      <c r="F28" s="2945">
        <v>51024.1</v>
      </c>
      <c r="G28" s="5601">
        <f t="shared" ref="G28" si="211">+G$6*G44/1000</f>
        <v>55522.886953135305</v>
      </c>
      <c r="H28" s="7179">
        <v>64925.1</v>
      </c>
      <c r="I28" s="675">
        <f>+E28+G28</f>
        <v>99941.196515643562</v>
      </c>
      <c r="J28" s="60">
        <f t="shared" si="5"/>
        <v>115949.2</v>
      </c>
      <c r="K28" s="5706">
        <f t="shared" si="176"/>
        <v>53814.490431500373</v>
      </c>
      <c r="L28" s="5703">
        <v>62108.3</v>
      </c>
      <c r="M28" s="66">
        <f t="shared" si="177"/>
        <v>153755.68694714393</v>
      </c>
      <c r="N28" s="66">
        <f t="shared" si="178"/>
        <v>178057.5</v>
      </c>
      <c r="O28" s="5857">
        <f t="shared" si="179"/>
        <v>54455.139127113471</v>
      </c>
      <c r="P28" s="5849">
        <v>73148.350000000006</v>
      </c>
      <c r="Q28" s="675">
        <f t="shared" si="180"/>
        <v>208210.82607425741</v>
      </c>
      <c r="R28" s="60">
        <f t="shared" si="180"/>
        <v>251205.85</v>
      </c>
      <c r="S28" s="5923">
        <f t="shared" si="181"/>
        <v>54455.139127113471</v>
      </c>
      <c r="T28" s="7179">
        <v>49554.400000000001</v>
      </c>
      <c r="U28" s="4332">
        <f t="shared" si="182"/>
        <v>262665.96520137088</v>
      </c>
      <c r="V28" s="60">
        <f t="shared" si="183"/>
        <v>300760.25</v>
      </c>
      <c r="W28" s="6021">
        <f t="shared" si="184"/>
        <v>29896.93912861132</v>
      </c>
      <c r="X28" s="6015">
        <v>44799.8</v>
      </c>
      <c r="Y28" s="66">
        <f t="shared" si="185"/>
        <v>138807.21738283825</v>
      </c>
      <c r="Z28" s="67">
        <f t="shared" si="186"/>
        <v>167502.55000000002</v>
      </c>
      <c r="AA28" s="746">
        <f t="shared" si="187"/>
        <v>292562.90432998218</v>
      </c>
      <c r="AB28" s="451">
        <f t="shared" si="188"/>
        <v>345560.05000000005</v>
      </c>
      <c r="AC28" s="6156">
        <f t="shared" si="189"/>
        <v>55522.886953135305</v>
      </c>
      <c r="AD28" s="6148">
        <v>44690.3</v>
      </c>
      <c r="AE28" s="675">
        <f t="shared" si="190"/>
        <v>348085.79128311749</v>
      </c>
      <c r="AF28" s="60">
        <f t="shared" si="191"/>
        <v>390250.35000000003</v>
      </c>
      <c r="AG28" s="6318">
        <f t="shared" si="192"/>
        <v>53814.490431500373</v>
      </c>
      <c r="AH28" s="7184">
        <v>49590</v>
      </c>
      <c r="AI28" s="4631">
        <f t="shared" si="193"/>
        <v>401900.28171461786</v>
      </c>
      <c r="AJ28" s="60">
        <f t="shared" si="194"/>
        <v>439840.35000000003</v>
      </c>
      <c r="AK28" s="6577">
        <f t="shared" si="195"/>
        <v>55522.886953135305</v>
      </c>
      <c r="AL28" s="6571">
        <v>66070.5</v>
      </c>
      <c r="AM28" s="66">
        <f t="shared" si="196"/>
        <v>164860.26433777099</v>
      </c>
      <c r="AN28" s="67">
        <f t="shared" si="197"/>
        <v>160350.79999999999</v>
      </c>
      <c r="AO28" s="2236">
        <f t="shared" ref="AO28:AP33" si="212">+AK28+AI28</f>
        <v>457423.16866775317</v>
      </c>
      <c r="AP28" s="2236">
        <f t="shared" ref="AP28:AP31" si="213">+AL28+AJ28</f>
        <v>505910.85000000003</v>
      </c>
      <c r="AQ28" s="6669">
        <f t="shared" si="198"/>
        <v>56377.085213952771</v>
      </c>
      <c r="AR28" s="6666">
        <v>69909.899999999994</v>
      </c>
      <c r="AS28" s="675">
        <f t="shared" si="199"/>
        <v>513800.25388170592</v>
      </c>
      <c r="AT28" s="60">
        <f t="shared" si="200"/>
        <v>575820.75</v>
      </c>
      <c r="AU28" s="6868">
        <f t="shared" si="201"/>
        <v>50397.69738823051</v>
      </c>
      <c r="AV28" s="6866">
        <v>43733.599999999999</v>
      </c>
      <c r="AW28" s="5024">
        <f t="shared" si="202"/>
        <v>564197.9512699364</v>
      </c>
      <c r="AX28" s="60">
        <f t="shared" si="203"/>
        <v>619554.35</v>
      </c>
      <c r="AY28" s="6987">
        <f t="shared" si="204"/>
        <v>56377.085213952771</v>
      </c>
      <c r="AZ28" s="6985">
        <v>50059</v>
      </c>
      <c r="BA28" s="66">
        <f t="shared" si="205"/>
        <v>163151.86781613604</v>
      </c>
      <c r="BB28" s="67">
        <f t="shared" si="206"/>
        <v>163702.5</v>
      </c>
      <c r="BC28" s="443">
        <f t="shared" si="207"/>
        <v>328012.13215390703</v>
      </c>
      <c r="BD28" s="451">
        <f t="shared" si="208"/>
        <v>324053.3</v>
      </c>
      <c r="BE28" s="675">
        <f t="shared" si="209"/>
        <v>620575.03648388921</v>
      </c>
      <c r="BF28" s="60">
        <f t="shared" si="210"/>
        <v>669613.35</v>
      </c>
      <c r="BG28" s="4234">
        <f t="shared" si="3"/>
        <v>0</v>
      </c>
      <c r="BH28" s="4234">
        <f t="shared" si="4"/>
        <v>0</v>
      </c>
      <c r="BI28" s="25"/>
      <c r="BJ28" s="25"/>
      <c r="BK28" s="25"/>
      <c r="BL28" s="25"/>
      <c r="BM28" s="25"/>
      <c r="BN28" s="25"/>
    </row>
    <row r="29" spans="1:66" x14ac:dyDescent="0.25">
      <c r="A29" s="137" t="s">
        <v>446</v>
      </c>
      <c r="B29" s="1629" t="s">
        <v>240</v>
      </c>
      <c r="C29" s="3180" t="s">
        <v>50</v>
      </c>
      <c r="D29" s="2883">
        <f t="shared" si="174"/>
        <v>1020.0000000000001</v>
      </c>
      <c r="E29" s="2883">
        <f t="shared" si="174"/>
        <v>70.72</v>
      </c>
      <c r="F29" s="2945">
        <v>0</v>
      </c>
      <c r="G29" s="5601">
        <f t="shared" ref="G29" si="214">+G$6*G45/1000</f>
        <v>88.4</v>
      </c>
      <c r="H29" s="7179">
        <v>0</v>
      </c>
      <c r="I29" s="675">
        <f>+E29+G29</f>
        <v>159.12</v>
      </c>
      <c r="J29" s="60">
        <f t="shared" si="5"/>
        <v>0</v>
      </c>
      <c r="K29" s="5706">
        <f t="shared" si="176"/>
        <v>85.68</v>
      </c>
      <c r="L29" s="5703">
        <v>0</v>
      </c>
      <c r="M29" s="66">
        <f t="shared" si="177"/>
        <v>244.8</v>
      </c>
      <c r="N29" s="66">
        <f t="shared" si="178"/>
        <v>0</v>
      </c>
      <c r="O29" s="5857">
        <f t="shared" si="179"/>
        <v>86.7</v>
      </c>
      <c r="P29" s="5849">
        <v>0</v>
      </c>
      <c r="Q29" s="675">
        <f t="shared" si="180"/>
        <v>331.5</v>
      </c>
      <c r="R29" s="60">
        <f t="shared" si="180"/>
        <v>0</v>
      </c>
      <c r="S29" s="5923">
        <f t="shared" si="181"/>
        <v>86.7</v>
      </c>
      <c r="T29" s="7179">
        <v>0</v>
      </c>
      <c r="U29" s="4332">
        <f t="shared" si="182"/>
        <v>418.2</v>
      </c>
      <c r="V29" s="60">
        <f t="shared" si="183"/>
        <v>0</v>
      </c>
      <c r="W29" s="6021">
        <f t="shared" si="184"/>
        <v>47.6</v>
      </c>
      <c r="X29" s="6015"/>
      <c r="Y29" s="66">
        <f t="shared" si="185"/>
        <v>221</v>
      </c>
      <c r="Z29" s="67">
        <f t="shared" si="186"/>
        <v>0</v>
      </c>
      <c r="AA29" s="746">
        <f t="shared" si="187"/>
        <v>465.8</v>
      </c>
      <c r="AB29" s="451">
        <f t="shared" si="188"/>
        <v>0</v>
      </c>
      <c r="AC29" s="6156">
        <f t="shared" si="189"/>
        <v>88.4</v>
      </c>
      <c r="AD29" s="6148">
        <v>123</v>
      </c>
      <c r="AE29" s="675">
        <f t="shared" si="190"/>
        <v>554.20000000000005</v>
      </c>
      <c r="AF29" s="60">
        <f t="shared" si="191"/>
        <v>123</v>
      </c>
      <c r="AG29" s="6318">
        <f t="shared" si="192"/>
        <v>85.68</v>
      </c>
      <c r="AH29" s="7184">
        <v>0</v>
      </c>
      <c r="AI29" s="4631">
        <f t="shared" si="193"/>
        <v>639.88000000000011</v>
      </c>
      <c r="AJ29" s="60">
        <f t="shared" si="194"/>
        <v>123</v>
      </c>
      <c r="AK29" s="6577">
        <f t="shared" si="195"/>
        <v>88.4</v>
      </c>
      <c r="AL29" s="6571">
        <v>61.6</v>
      </c>
      <c r="AM29" s="66">
        <f t="shared" si="196"/>
        <v>262.48</v>
      </c>
      <c r="AN29" s="67">
        <f t="shared" si="197"/>
        <v>184.6</v>
      </c>
      <c r="AO29" s="2236">
        <f t="shared" si="212"/>
        <v>728.28000000000009</v>
      </c>
      <c r="AP29" s="2236">
        <f t="shared" si="213"/>
        <v>184.6</v>
      </c>
      <c r="AQ29" s="6669">
        <f t="shared" si="198"/>
        <v>89.76</v>
      </c>
      <c r="AR29" s="6666">
        <v>664.7</v>
      </c>
      <c r="AS29" s="675">
        <f t="shared" si="199"/>
        <v>818.04000000000008</v>
      </c>
      <c r="AT29" s="60">
        <f t="shared" si="200"/>
        <v>849.30000000000007</v>
      </c>
      <c r="AU29" s="6868">
        <f t="shared" si="201"/>
        <v>80.239999999999995</v>
      </c>
      <c r="AV29" s="6866">
        <v>177.9</v>
      </c>
      <c r="AW29" s="5024">
        <f t="shared" si="202"/>
        <v>898.28000000000009</v>
      </c>
      <c r="AX29" s="60">
        <f t="shared" si="203"/>
        <v>1027.2</v>
      </c>
      <c r="AY29" s="6987">
        <f t="shared" si="204"/>
        <v>89.76</v>
      </c>
      <c r="AZ29" s="6985">
        <v>572</v>
      </c>
      <c r="BA29" s="66">
        <f t="shared" si="205"/>
        <v>259.76</v>
      </c>
      <c r="BB29" s="67">
        <f t="shared" si="206"/>
        <v>1414.6</v>
      </c>
      <c r="BC29" s="443">
        <f t="shared" si="207"/>
        <v>522.24</v>
      </c>
      <c r="BD29" s="451">
        <f t="shared" si="208"/>
        <v>1599.1999999999998</v>
      </c>
      <c r="BE29" s="675">
        <f t="shared" si="209"/>
        <v>988.04000000000008</v>
      </c>
      <c r="BF29" s="60">
        <f t="shared" si="210"/>
        <v>1599.2</v>
      </c>
      <c r="BG29" s="4234">
        <f t="shared" si="3"/>
        <v>0</v>
      </c>
      <c r="BH29" s="4234">
        <f t="shared" si="4"/>
        <v>0</v>
      </c>
      <c r="BI29" s="25"/>
      <c r="BJ29" s="25"/>
      <c r="BK29" s="25"/>
      <c r="BL29" s="25"/>
      <c r="BM29" s="25"/>
      <c r="BN29" s="25"/>
    </row>
    <row r="30" spans="1:66" x14ac:dyDescent="0.25">
      <c r="A30" s="137"/>
      <c r="B30" s="1632" t="s">
        <v>1252</v>
      </c>
      <c r="C30" s="3180" t="s">
        <v>50</v>
      </c>
      <c r="D30" s="2883">
        <f t="shared" si="174"/>
        <v>837771.3711863613</v>
      </c>
      <c r="E30" s="2883">
        <f t="shared" si="174"/>
        <v>58085.481735587724</v>
      </c>
      <c r="F30" s="7573">
        <v>58405.599999999999</v>
      </c>
      <c r="G30" s="5601">
        <f t="shared" ref="G30" si="215">+G$6*G46/1000</f>
        <v>72606.852169484642</v>
      </c>
      <c r="H30" s="7179">
        <v>70699.929999999993</v>
      </c>
      <c r="I30" s="675">
        <f>+E30+G30</f>
        <v>130692.33390507236</v>
      </c>
      <c r="J30" s="60">
        <f t="shared" si="5"/>
        <v>129105.53</v>
      </c>
      <c r="K30" s="5706">
        <f t="shared" si="176"/>
        <v>70372.795179654364</v>
      </c>
      <c r="L30" s="5703">
        <v>65129.030000000006</v>
      </c>
      <c r="M30" s="66">
        <f t="shared" si="177"/>
        <v>201065.12908472674</v>
      </c>
      <c r="N30" s="66">
        <f t="shared" si="178"/>
        <v>194234.56</v>
      </c>
      <c r="O30" s="5857">
        <f t="shared" si="179"/>
        <v>71210.566550840726</v>
      </c>
      <c r="P30" s="5849">
        <v>55609.19</v>
      </c>
      <c r="Q30" s="675">
        <f t="shared" ref="Q30" si="216">+M30+O30</f>
        <v>272275.69563556748</v>
      </c>
      <c r="R30" s="60">
        <f t="shared" ref="R30" si="217">+N30+P30</f>
        <v>249843.75</v>
      </c>
      <c r="S30" s="5923">
        <f t="shared" si="181"/>
        <v>71210.566550840726</v>
      </c>
      <c r="T30" s="7179">
        <v>70042.69</v>
      </c>
      <c r="U30" s="4332">
        <f t="shared" si="182"/>
        <v>343486.26218640822</v>
      </c>
      <c r="V30" s="60">
        <f t="shared" si="183"/>
        <v>319886.44</v>
      </c>
      <c r="W30" s="6021">
        <f t="shared" si="184"/>
        <v>39095.997322030191</v>
      </c>
      <c r="X30" s="6015">
        <v>68744.03</v>
      </c>
      <c r="Y30" s="66">
        <f t="shared" ref="Y30:Y31" si="218">+W30+S30+O30</f>
        <v>181517.13042371164</v>
      </c>
      <c r="Z30" s="67">
        <f t="shared" ref="Z30:Z31" si="219">+X30+T30+P30</f>
        <v>194395.91</v>
      </c>
      <c r="AA30" s="746">
        <f t="shared" si="187"/>
        <v>382582.25950843841</v>
      </c>
      <c r="AB30" s="451">
        <f t="shared" si="188"/>
        <v>388630.47</v>
      </c>
      <c r="AC30" s="6156">
        <f t="shared" si="189"/>
        <v>72606.852169484642</v>
      </c>
      <c r="AD30" s="6148">
        <v>56421.73</v>
      </c>
      <c r="AE30" s="675">
        <f t="shared" si="190"/>
        <v>455189.11167792307</v>
      </c>
      <c r="AF30" s="60">
        <f t="shared" si="191"/>
        <v>445052.19999999995</v>
      </c>
      <c r="AG30" s="6318">
        <f t="shared" si="192"/>
        <v>70372.795179654364</v>
      </c>
      <c r="AH30" s="7184">
        <v>67509</v>
      </c>
      <c r="AI30" s="4631">
        <f t="shared" si="193"/>
        <v>525561.90685757739</v>
      </c>
      <c r="AJ30" s="60">
        <f t="shared" si="194"/>
        <v>512561.19999999995</v>
      </c>
      <c r="AK30" s="6577">
        <f t="shared" si="195"/>
        <v>72606.852169484642</v>
      </c>
      <c r="AL30" s="6571">
        <v>70198.73</v>
      </c>
      <c r="AM30" s="66">
        <f t="shared" si="196"/>
        <v>215586.49951862363</v>
      </c>
      <c r="AN30" s="67">
        <f t="shared" si="197"/>
        <v>194129.46</v>
      </c>
      <c r="AO30" s="2236">
        <f t="shared" si="212"/>
        <v>598168.75902706198</v>
      </c>
      <c r="AP30" s="2236">
        <f t="shared" si="213"/>
        <v>582759.92999999993</v>
      </c>
      <c r="AQ30" s="6669">
        <f t="shared" si="198"/>
        <v>73723.880664399796</v>
      </c>
      <c r="AR30" s="6666">
        <v>58461.93</v>
      </c>
      <c r="AS30" s="675">
        <f t="shared" si="199"/>
        <v>671892.63969146181</v>
      </c>
      <c r="AT30" s="60">
        <f t="shared" si="200"/>
        <v>641221.86</v>
      </c>
      <c r="AU30" s="6868">
        <f t="shared" si="201"/>
        <v>65904.681199993764</v>
      </c>
      <c r="AV30" s="6866">
        <v>46259.03</v>
      </c>
      <c r="AW30" s="5024">
        <f t="shared" si="202"/>
        <v>737797.32089145551</v>
      </c>
      <c r="AX30" s="60">
        <f t="shared" si="203"/>
        <v>687480.89</v>
      </c>
      <c r="AY30" s="6987">
        <f t="shared" si="204"/>
        <v>73723.880664399796</v>
      </c>
      <c r="AZ30" s="6985">
        <v>64323.73</v>
      </c>
      <c r="BA30" s="66">
        <f t="shared" si="205"/>
        <v>213352.44252879336</v>
      </c>
      <c r="BB30" s="67">
        <f t="shared" si="206"/>
        <v>169044.69</v>
      </c>
      <c r="BC30" s="443">
        <f t="shared" si="207"/>
        <v>428938.94204741699</v>
      </c>
      <c r="BD30" s="451">
        <f t="shared" si="208"/>
        <v>363174.15</v>
      </c>
      <c r="BE30" s="675">
        <f t="shared" si="209"/>
        <v>811521.20155585534</v>
      </c>
      <c r="BF30" s="60">
        <f t="shared" si="210"/>
        <v>751804.62</v>
      </c>
      <c r="BG30" s="4234">
        <f t="shared" si="3"/>
        <v>0</v>
      </c>
      <c r="BH30" s="4234">
        <f t="shared" si="4"/>
        <v>0</v>
      </c>
      <c r="BI30" s="25"/>
      <c r="BJ30" s="25"/>
      <c r="BK30" s="25"/>
      <c r="BL30" s="25"/>
      <c r="BM30" s="25"/>
      <c r="BN30" s="25"/>
    </row>
    <row r="31" spans="1:66" ht="15.75" thickBot="1" x14ac:dyDescent="0.3">
      <c r="A31" s="137" t="s">
        <v>446</v>
      </c>
      <c r="B31" s="2050" t="s">
        <v>6</v>
      </c>
      <c r="C31" s="702" t="s">
        <v>50</v>
      </c>
      <c r="D31" s="105">
        <f>+D$6*D47/1000</f>
        <v>20126</v>
      </c>
      <c r="E31" s="105">
        <f>+E$6*E47/1000</f>
        <v>3328</v>
      </c>
      <c r="F31" s="213">
        <v>355.6</v>
      </c>
      <c r="G31" s="105">
        <f>+G$6*G47/1000</f>
        <v>520</v>
      </c>
      <c r="H31" s="213">
        <v>822.79999999999984</v>
      </c>
      <c r="I31" s="3406">
        <f>+E31+G31</f>
        <v>3848</v>
      </c>
      <c r="J31" s="186">
        <f t="shared" si="5"/>
        <v>1178.3999999999999</v>
      </c>
      <c r="K31" s="105">
        <f>+K$6*K47/1000</f>
        <v>504</v>
      </c>
      <c r="L31" s="213">
        <v>1133.6999999999998</v>
      </c>
      <c r="M31" s="2051">
        <f t="shared" si="177"/>
        <v>4352</v>
      </c>
      <c r="N31" s="2051">
        <f t="shared" si="178"/>
        <v>2312.0999999999995</v>
      </c>
      <c r="O31" s="105">
        <f>+O$6*O47/1000</f>
        <v>510</v>
      </c>
      <c r="P31" s="213">
        <v>512.09999999999991</v>
      </c>
      <c r="Q31" s="2222">
        <f>+M31+O31</f>
        <v>4862</v>
      </c>
      <c r="R31" s="186">
        <f>+N31+P31</f>
        <v>2824.1999999999994</v>
      </c>
      <c r="S31" s="105">
        <f>+S$6*S47/1000</f>
        <v>510</v>
      </c>
      <c r="T31" s="213">
        <v>1048.7999999999997</v>
      </c>
      <c r="U31" s="4341">
        <f>+Q31+S31</f>
        <v>5372</v>
      </c>
      <c r="V31" s="186">
        <f>+R31+T31</f>
        <v>3872.9999999999991</v>
      </c>
      <c r="W31" s="105">
        <f>+W$6*W47/1000</f>
        <v>2100</v>
      </c>
      <c r="X31" s="213">
        <v>490</v>
      </c>
      <c r="Y31" s="2051">
        <f t="shared" si="218"/>
        <v>3120</v>
      </c>
      <c r="Z31" s="72">
        <f t="shared" si="219"/>
        <v>2050.8999999999996</v>
      </c>
      <c r="AA31" s="2224">
        <f t="shared" si="187"/>
        <v>7472</v>
      </c>
      <c r="AB31" s="1559">
        <f t="shared" si="188"/>
        <v>4362.9999999999991</v>
      </c>
      <c r="AC31" s="105">
        <f>+AC$6*AC47/1000</f>
        <v>2080</v>
      </c>
      <c r="AD31" s="213">
        <v>1053.5</v>
      </c>
      <c r="AE31" s="2440">
        <f>+AA31+AC31</f>
        <v>9552</v>
      </c>
      <c r="AF31" s="186">
        <f>+AB31+AD31</f>
        <v>5416.4999999999991</v>
      </c>
      <c r="AG31" s="105">
        <f>+AG$6*AG47/1000</f>
        <v>504</v>
      </c>
      <c r="AH31" s="213">
        <v>527</v>
      </c>
      <c r="AI31" s="4644">
        <f>+AE31+AG31</f>
        <v>10056</v>
      </c>
      <c r="AJ31" s="186">
        <f>+AF31+AH31</f>
        <v>5943.4999999999991</v>
      </c>
      <c r="AK31" s="105">
        <f>+AK$6*AK47/1000</f>
        <v>520</v>
      </c>
      <c r="AL31" s="213">
        <v>793.09999999999991</v>
      </c>
      <c r="AM31" s="2051">
        <f t="shared" si="196"/>
        <v>3104</v>
      </c>
      <c r="AN31" s="72">
        <f t="shared" si="197"/>
        <v>2373.6</v>
      </c>
      <c r="AO31" s="2236">
        <f t="shared" si="212"/>
        <v>10576</v>
      </c>
      <c r="AP31" s="2236">
        <f t="shared" si="213"/>
        <v>6736.5999999999985</v>
      </c>
      <c r="AQ31" s="105">
        <f>+AQ$6*AQ47/1000</f>
        <v>528</v>
      </c>
      <c r="AR31" s="213">
        <v>2995.05</v>
      </c>
      <c r="AS31" s="2603">
        <f>+AO31+AQ31</f>
        <v>11104</v>
      </c>
      <c r="AT31" s="186">
        <f>+AP31+AR31</f>
        <v>9731.6499999999978</v>
      </c>
      <c r="AU31" s="105">
        <f>+AU$6*AU47/1000</f>
        <v>472</v>
      </c>
      <c r="AV31" s="213">
        <v>1503.5</v>
      </c>
      <c r="AW31" s="5032">
        <f>+AS31+AU31</f>
        <v>11576</v>
      </c>
      <c r="AX31" s="186">
        <f>+AT31+AV31</f>
        <v>11235.149999999998</v>
      </c>
      <c r="AY31" s="105">
        <f>+AY$6*AY47/1000</f>
        <v>528</v>
      </c>
      <c r="AZ31" s="213">
        <v>73.8</v>
      </c>
      <c r="BA31" s="2051">
        <f t="shared" si="205"/>
        <v>1528</v>
      </c>
      <c r="BB31" s="72">
        <f t="shared" si="206"/>
        <v>4572.3500000000004</v>
      </c>
      <c r="BC31" s="443">
        <f t="shared" si="207"/>
        <v>4632</v>
      </c>
      <c r="BD31" s="451">
        <f t="shared" si="208"/>
        <v>6945.9500000000007</v>
      </c>
      <c r="BE31" s="2789">
        <f>+AW31+AY31</f>
        <v>12104</v>
      </c>
      <c r="BF31" s="186">
        <f>+AX31+AZ31</f>
        <v>11308.949999999997</v>
      </c>
      <c r="BG31" s="4234">
        <f t="shared" si="3"/>
        <v>0</v>
      </c>
      <c r="BH31" s="4234">
        <f t="shared" si="4"/>
        <v>0</v>
      </c>
      <c r="BI31" s="25"/>
      <c r="BJ31" s="25"/>
      <c r="BK31" s="25"/>
      <c r="BL31" s="25"/>
      <c r="BM31" s="25"/>
      <c r="BN31" s="25"/>
    </row>
    <row r="32" spans="1:66" ht="15.75" x14ac:dyDescent="0.25">
      <c r="A32" s="138" t="s">
        <v>446</v>
      </c>
      <c r="B32" s="1628" t="s">
        <v>424</v>
      </c>
      <c r="C32" s="2048"/>
      <c r="D32" s="2049"/>
      <c r="E32" s="2049"/>
      <c r="F32" s="2049"/>
      <c r="G32" s="2049"/>
      <c r="H32" s="2049"/>
      <c r="I32" s="2048"/>
      <c r="J32" s="2048"/>
      <c r="K32" s="2049"/>
      <c r="L32" s="2049"/>
      <c r="M32" s="2048"/>
      <c r="N32" s="2048"/>
      <c r="O32" s="2049"/>
      <c r="P32" s="2049"/>
      <c r="Q32" s="2048"/>
      <c r="R32" s="2048"/>
      <c r="S32" s="2049"/>
      <c r="T32" s="2049"/>
      <c r="U32" s="2048"/>
      <c r="V32" s="2048"/>
      <c r="W32" s="2049"/>
      <c r="X32" s="2049"/>
      <c r="Y32" s="2048"/>
      <c r="Z32" s="2048"/>
      <c r="AA32" s="2048"/>
      <c r="AB32" s="2048"/>
      <c r="AC32" s="2049"/>
      <c r="AD32" s="2049"/>
      <c r="AE32" s="2048"/>
      <c r="AF32" s="2048"/>
      <c r="AG32" s="2049"/>
      <c r="AH32" s="2049"/>
      <c r="AI32" s="2048"/>
      <c r="AJ32" s="2048"/>
      <c r="AK32" s="2049"/>
      <c r="AL32" s="2049"/>
      <c r="AM32" s="2048"/>
      <c r="AN32" s="2048"/>
      <c r="AO32" s="2048"/>
      <c r="AP32" s="2048"/>
      <c r="AQ32" s="2049"/>
      <c r="AR32" s="2049"/>
      <c r="AS32" s="2048"/>
      <c r="AT32" s="2048"/>
      <c r="AU32" s="2049"/>
      <c r="AV32" s="2049"/>
      <c r="AW32" s="2048"/>
      <c r="AX32" s="2048"/>
      <c r="AY32" s="2049"/>
      <c r="AZ32" s="2049"/>
      <c r="BA32" s="2048"/>
      <c r="BB32" s="2048"/>
      <c r="BC32" s="2048"/>
      <c r="BD32" s="2048"/>
      <c r="BE32" s="2048"/>
      <c r="BF32" s="2048"/>
      <c r="BG32" s="4234">
        <f t="shared" si="3"/>
        <v>0</v>
      </c>
      <c r="BH32" s="4234">
        <f t="shared" si="4"/>
        <v>0</v>
      </c>
      <c r="BI32" s="25"/>
      <c r="BJ32" s="25"/>
      <c r="BK32" s="25"/>
      <c r="BL32" s="25"/>
      <c r="BM32" s="25"/>
      <c r="BN32" s="25"/>
    </row>
    <row r="33" spans="1:66" x14ac:dyDescent="0.25">
      <c r="A33" s="137"/>
      <c r="B33" s="1629" t="s">
        <v>759</v>
      </c>
      <c r="C33" s="520" t="s">
        <v>50</v>
      </c>
      <c r="D33" s="1620">
        <v>10000</v>
      </c>
      <c r="E33" s="1620">
        <v>0</v>
      </c>
      <c r="F33" s="1619">
        <v>0</v>
      </c>
      <c r="G33" s="1819">
        <v>0</v>
      </c>
      <c r="H33" s="7176">
        <v>0</v>
      </c>
      <c r="I33" s="1617">
        <f t="shared" ref="I33:J36" si="220">+E33+G33</f>
        <v>0</v>
      </c>
      <c r="J33" s="1617">
        <f t="shared" si="220"/>
        <v>0</v>
      </c>
      <c r="K33" s="1819">
        <v>0</v>
      </c>
      <c r="L33" s="5702">
        <v>0</v>
      </c>
      <c r="M33" s="1618">
        <f t="shared" ref="M33:N37" si="221">+K33+G33+E33</f>
        <v>0</v>
      </c>
      <c r="N33" s="1618">
        <f t="shared" si="221"/>
        <v>0</v>
      </c>
      <c r="O33" s="1819">
        <v>0</v>
      </c>
      <c r="P33" s="5837">
        <v>0</v>
      </c>
      <c r="Q33" s="1617">
        <f t="shared" ref="Q33:R37" si="222">+M33+O33</f>
        <v>0</v>
      </c>
      <c r="R33" s="1617">
        <f t="shared" si="222"/>
        <v>0</v>
      </c>
      <c r="S33" s="1819"/>
      <c r="T33" s="7176"/>
      <c r="U33" s="4335">
        <f t="shared" ref="U33:U37" si="223">+Q33+S33</f>
        <v>0</v>
      </c>
      <c r="V33" s="4335">
        <f t="shared" ref="V33:V37" si="224">+R33+T33</f>
        <v>0</v>
      </c>
      <c r="W33" s="1819">
        <v>8000</v>
      </c>
      <c r="X33" s="6007">
        <v>0</v>
      </c>
      <c r="Y33" s="732">
        <f t="shared" ref="Y33:Z37" si="225">+W33+S33+O33</f>
        <v>8000</v>
      </c>
      <c r="Z33" s="732">
        <f t="shared" si="225"/>
        <v>0</v>
      </c>
      <c r="AA33" s="439">
        <f>M33+Y33</f>
        <v>8000</v>
      </c>
      <c r="AB33" s="439">
        <f>+N33+Z33</f>
        <v>0</v>
      </c>
      <c r="AC33" s="1819">
        <v>0</v>
      </c>
      <c r="AD33" s="6138">
        <v>6298.5</v>
      </c>
      <c r="AE33" s="2236">
        <f t="shared" ref="AE33:AE37" si="226">+AA33+AC33</f>
        <v>8000</v>
      </c>
      <c r="AF33" s="2236">
        <f t="shared" ref="AF33:AF37" si="227">+AB33+AD33</f>
        <v>6298.5</v>
      </c>
      <c r="AG33" s="1819">
        <v>0</v>
      </c>
      <c r="AH33" s="7183">
        <v>678</v>
      </c>
      <c r="AI33" s="4635">
        <f t="shared" ref="AI33:AI37" si="228">+AE33+AG33</f>
        <v>8000</v>
      </c>
      <c r="AJ33" s="4635">
        <f t="shared" ref="AJ33:AJ37" si="229">+AF33+AH33</f>
        <v>6976.5</v>
      </c>
      <c r="AK33" s="1819">
        <v>0</v>
      </c>
      <c r="AL33" s="6564">
        <v>775</v>
      </c>
      <c r="AM33" s="2544">
        <f t="shared" ref="AM33:AM37" si="230">+AK33+AG33+AC33</f>
        <v>0</v>
      </c>
      <c r="AN33" s="2544">
        <f t="shared" ref="AN33:AN37" si="231">+AL33+AH33+AD33</f>
        <v>7751.5</v>
      </c>
      <c r="AO33" s="2236">
        <f t="shared" si="212"/>
        <v>8000</v>
      </c>
      <c r="AP33" s="2236">
        <f t="shared" si="212"/>
        <v>7751.5</v>
      </c>
      <c r="AQ33" s="1819">
        <v>0</v>
      </c>
      <c r="AR33" s="6665">
        <v>0</v>
      </c>
      <c r="AS33" s="2236">
        <f t="shared" ref="AS33:AS37" si="232">+AO33+AQ33</f>
        <v>8000</v>
      </c>
      <c r="AT33" s="2236">
        <f t="shared" ref="AT33:AT37" si="233">+AP33+AR33</f>
        <v>7751.5</v>
      </c>
      <c r="AU33" s="1819">
        <v>0</v>
      </c>
      <c r="AV33" s="6864">
        <v>0</v>
      </c>
      <c r="AW33" s="5026">
        <f t="shared" ref="AW33:AW37" si="234">+AS33+AU33</f>
        <v>8000</v>
      </c>
      <c r="AX33" s="5026">
        <f t="shared" ref="AX33:AX37" si="235">+AT33+AV33</f>
        <v>7751.5</v>
      </c>
      <c r="AY33" s="1819">
        <v>0</v>
      </c>
      <c r="AZ33" s="6981">
        <v>0</v>
      </c>
      <c r="BA33" s="2777">
        <f t="shared" ref="BA33:BA37" si="236">+AY33+AU33+AQ33</f>
        <v>0</v>
      </c>
      <c r="BB33" s="2777">
        <f t="shared" ref="BB33:BB37" si="237">+AZ33+AV33+AR33</f>
        <v>0</v>
      </c>
      <c r="BC33" s="443">
        <f t="shared" ref="BC33:BC37" si="238">AM33+BA33</f>
        <v>0</v>
      </c>
      <c r="BD33" s="451">
        <f t="shared" ref="BD33:BD37" si="239">+AN33+BB33</f>
        <v>7751.5</v>
      </c>
      <c r="BE33" s="2236">
        <f t="shared" ref="BE33:BE37" si="240">+AW33+AY33</f>
        <v>8000</v>
      </c>
      <c r="BF33" s="2236">
        <f t="shared" ref="BF33:BF37" si="241">+AX33+AZ33</f>
        <v>7751.5</v>
      </c>
      <c r="BG33" s="4234">
        <f t="shared" si="3"/>
        <v>0</v>
      </c>
      <c r="BH33" s="4234">
        <f t="shared" si="4"/>
        <v>0</v>
      </c>
      <c r="BI33" s="25"/>
      <c r="BJ33" s="25"/>
      <c r="BK33" s="25"/>
      <c r="BL33" s="25"/>
      <c r="BM33" s="25"/>
      <c r="BN33" s="25"/>
    </row>
    <row r="34" spans="1:66" x14ac:dyDescent="0.25">
      <c r="A34" s="137" t="s">
        <v>446</v>
      </c>
      <c r="B34" s="1629" t="s">
        <v>427</v>
      </c>
      <c r="C34" s="520" t="s">
        <v>50</v>
      </c>
      <c r="D34" s="1620">
        <f>+D23+D24+D65+D33</f>
        <v>1261431.111111111</v>
      </c>
      <c r="E34" s="1620">
        <f>+E23+E24+E65+E33</f>
        <v>92675.555555555547</v>
      </c>
      <c r="F34" s="1620">
        <f>+F23+F24+F65+F33</f>
        <v>108804.06776999998</v>
      </c>
      <c r="G34" s="1819">
        <f>+G23+G24+G65+G33</f>
        <v>111222.22222222222</v>
      </c>
      <c r="H34" s="1819">
        <f>+H23+H24+H65+H33</f>
        <v>107330.1413</v>
      </c>
      <c r="I34" s="1617">
        <f t="shared" si="220"/>
        <v>203897.77777777775</v>
      </c>
      <c r="J34" s="1617">
        <f t="shared" si="220"/>
        <v>216134.20906999998</v>
      </c>
      <c r="K34" s="1819">
        <f>+K23+K24+K65+K33</f>
        <v>107800</v>
      </c>
      <c r="L34" s="1819">
        <f>+L23+L24+L65+L33</f>
        <v>111287.9614</v>
      </c>
      <c r="M34" s="2211">
        <f t="shared" si="221"/>
        <v>311697.77777777775</v>
      </c>
      <c r="N34" s="2211">
        <f t="shared" si="221"/>
        <v>327422.17046999995</v>
      </c>
      <c r="O34" s="1819">
        <f>+O23+O24+O65+O33</f>
        <v>109083.33333333333</v>
      </c>
      <c r="P34" s="1819">
        <f>+P23+P24+P65+P33</f>
        <v>121205.84560000002</v>
      </c>
      <c r="Q34" s="1617">
        <f t="shared" si="222"/>
        <v>420781.11111111107</v>
      </c>
      <c r="R34" s="1617">
        <f t="shared" si="222"/>
        <v>448628.01606999995</v>
      </c>
      <c r="S34" s="1819">
        <f>+S23+S24+S65+S33</f>
        <v>109083.33333333333</v>
      </c>
      <c r="T34" s="1819">
        <f>+T23+T24+T65+T33</f>
        <v>114726.73264999999</v>
      </c>
      <c r="U34" s="4335">
        <f t="shared" si="223"/>
        <v>529864.44444444438</v>
      </c>
      <c r="V34" s="4335">
        <f t="shared" si="224"/>
        <v>563354.74871999992</v>
      </c>
      <c r="W34" s="1819">
        <f>+W23+W24+W65+W33</f>
        <v>71933.333333333328</v>
      </c>
      <c r="X34" s="1819">
        <f>+X23+X24+X65+X33</f>
        <v>116778.98483999999</v>
      </c>
      <c r="Y34" s="2211">
        <f t="shared" si="225"/>
        <v>290100</v>
      </c>
      <c r="Z34" s="2211">
        <f t="shared" si="225"/>
        <v>352711.56309000001</v>
      </c>
      <c r="AA34" s="2212">
        <f t="shared" ref="AA34:AA37" si="242">M34+Y34</f>
        <v>601797.77777777775</v>
      </c>
      <c r="AB34" s="2212">
        <f t="shared" ref="AB34:AB37" si="243">+N34+Z34</f>
        <v>680133.73355999996</v>
      </c>
      <c r="AC34" s="1819">
        <f>+AC23+AC24+AC65+AC33</f>
        <v>110644.44444444444</v>
      </c>
      <c r="AD34" s="1819">
        <f>+AD23+AD24+AD65+AD33</f>
        <v>107202.80928000002</v>
      </c>
      <c r="AE34" s="2236">
        <f t="shared" si="226"/>
        <v>712442.22222222225</v>
      </c>
      <c r="AF34" s="2236">
        <f t="shared" si="227"/>
        <v>787336.54284000001</v>
      </c>
      <c r="AG34" s="1819">
        <f>+AG23+AG24+AG65+AG33</f>
        <v>107240</v>
      </c>
      <c r="AH34" s="1819">
        <f>+AH23+AH24+AH65+AH33</f>
        <v>110878.65</v>
      </c>
      <c r="AI34" s="4635">
        <f t="shared" si="228"/>
        <v>819682.22222222225</v>
      </c>
      <c r="AJ34" s="4635">
        <f t="shared" si="229"/>
        <v>898215.19284000003</v>
      </c>
      <c r="AK34" s="1819">
        <f>+AK23+AK24+AK65+AK33</f>
        <v>110644.44444444444</v>
      </c>
      <c r="AL34" s="1819">
        <f>+AL23+AL24+AL65+AL33</f>
        <v>116030.36690000002</v>
      </c>
      <c r="AM34" s="2544">
        <f t="shared" si="230"/>
        <v>328528.88888888888</v>
      </c>
      <c r="AN34" s="2544">
        <f t="shared" si="231"/>
        <v>334111.82618000003</v>
      </c>
      <c r="AO34" s="2236">
        <f t="shared" ref="AO34:AO37" si="244">+AK34+AI34</f>
        <v>930326.66666666674</v>
      </c>
      <c r="AP34" s="2236">
        <f t="shared" ref="AP34:AP37" si="245">+AL34+AJ34</f>
        <v>1014245.5597400001</v>
      </c>
      <c r="AQ34" s="1819">
        <f>+AQ23+AQ24+AQ65+AQ33</f>
        <v>112346.66666666666</v>
      </c>
      <c r="AR34" s="1819">
        <f>+AR23+AR24+AR65+AR33</f>
        <v>111726.497634</v>
      </c>
      <c r="AS34" s="2236">
        <f t="shared" si="232"/>
        <v>1042673.3333333334</v>
      </c>
      <c r="AT34" s="2236">
        <f t="shared" si="233"/>
        <v>1125972.0573740001</v>
      </c>
      <c r="AU34" s="1819">
        <f>+AU23+AU24+AU65+AU33</f>
        <v>100431.11111111111</v>
      </c>
      <c r="AV34" s="1819">
        <f>+AV23+AV24+AV65+AV33</f>
        <v>102692.19531</v>
      </c>
      <c r="AW34" s="5026">
        <f t="shared" si="234"/>
        <v>1143104.4444444445</v>
      </c>
      <c r="AX34" s="5026">
        <f t="shared" si="235"/>
        <v>1228664.2526840002</v>
      </c>
      <c r="AY34" s="1819">
        <f>+AY23+AY24+AY65+AY33</f>
        <v>112346.66666666666</v>
      </c>
      <c r="AZ34" s="1819">
        <f>+AZ23+AZ24+AZ65+AZ33</f>
        <v>112411.4816</v>
      </c>
      <c r="BA34" s="2777">
        <f t="shared" si="236"/>
        <v>325124.44444444438</v>
      </c>
      <c r="BB34" s="2777">
        <f t="shared" si="237"/>
        <v>326830.17454399995</v>
      </c>
      <c r="BC34" s="443">
        <f t="shared" si="238"/>
        <v>653653.33333333326</v>
      </c>
      <c r="BD34" s="451">
        <f t="shared" si="239"/>
        <v>660942.00072399992</v>
      </c>
      <c r="BE34" s="2236">
        <f t="shared" si="240"/>
        <v>1255451.1111111112</v>
      </c>
      <c r="BF34" s="2236">
        <f t="shared" si="241"/>
        <v>1341075.7342840002</v>
      </c>
      <c r="BG34" s="4234">
        <f t="shared" si="3"/>
        <v>0</v>
      </c>
      <c r="BH34" s="4234">
        <f t="shared" si="4"/>
        <v>0</v>
      </c>
      <c r="BI34" s="25"/>
      <c r="BJ34" s="25"/>
      <c r="BK34" s="25"/>
      <c r="BL34" s="25"/>
      <c r="BM34" s="25"/>
      <c r="BN34" s="25"/>
    </row>
    <row r="35" spans="1:66" x14ac:dyDescent="0.25">
      <c r="A35" s="137" t="s">
        <v>446</v>
      </c>
      <c r="B35" s="1629" t="s">
        <v>549</v>
      </c>
      <c r="C35" s="520" t="s">
        <v>50</v>
      </c>
      <c r="D35" s="1620">
        <f>+D27+D63</f>
        <v>4206886.3689415567</v>
      </c>
      <c r="E35" s="1620">
        <f>+E27+E63</f>
        <v>291677.45491328125</v>
      </c>
      <c r="F35" s="1620">
        <f>+F27+F63</f>
        <v>348770.22069999995</v>
      </c>
      <c r="G35" s="1819">
        <f>+G27+G63</f>
        <v>364596.81864160148</v>
      </c>
      <c r="H35" s="1819">
        <f>+H27+H63</f>
        <v>354317.93660000002</v>
      </c>
      <c r="I35" s="1617">
        <f t="shared" si="220"/>
        <v>656274.27355488273</v>
      </c>
      <c r="J35" s="1617">
        <f t="shared" si="220"/>
        <v>703088.15729999996</v>
      </c>
      <c r="K35" s="1819">
        <f>+K27+K63</f>
        <v>353378.45499109069</v>
      </c>
      <c r="L35" s="1819">
        <f>+L27+L63</f>
        <v>375777.95199999999</v>
      </c>
      <c r="M35" s="2211">
        <f t="shared" si="221"/>
        <v>1009652.7285459734</v>
      </c>
      <c r="N35" s="2211">
        <f t="shared" si="221"/>
        <v>1078866.1092999999</v>
      </c>
      <c r="O35" s="1819">
        <f>+O27+O63</f>
        <v>357585.34136003227</v>
      </c>
      <c r="P35" s="1819">
        <f>+P27+P63</f>
        <v>391296.01819999993</v>
      </c>
      <c r="Q35" s="1617">
        <f t="shared" si="222"/>
        <v>1367238.0699060056</v>
      </c>
      <c r="R35" s="1617">
        <f t="shared" si="222"/>
        <v>1470162.1274999999</v>
      </c>
      <c r="S35" s="1819">
        <f>+S27+S63</f>
        <v>357585.34136003227</v>
      </c>
      <c r="T35" s="1819">
        <f>+T27+T63</f>
        <v>372987.68689999997</v>
      </c>
      <c r="U35" s="4335">
        <f t="shared" si="223"/>
        <v>1724823.411266038</v>
      </c>
      <c r="V35" s="4335">
        <f t="shared" si="224"/>
        <v>1843149.8144</v>
      </c>
      <c r="W35" s="1819">
        <f>+W27+W63</f>
        <v>196321.36388393928</v>
      </c>
      <c r="X35" s="1819">
        <f>+X27+X63</f>
        <v>365909.41859999998</v>
      </c>
      <c r="Y35" s="2211">
        <f t="shared" si="225"/>
        <v>911492.04660400376</v>
      </c>
      <c r="Z35" s="2211">
        <f t="shared" si="225"/>
        <v>1130193.1236999999</v>
      </c>
      <c r="AA35" s="2212">
        <f t="shared" si="242"/>
        <v>1921144.7751499773</v>
      </c>
      <c r="AB35" s="2212">
        <f t="shared" si="243"/>
        <v>2209059.233</v>
      </c>
      <c r="AC35" s="1819">
        <f>+AC27+AC63</f>
        <v>364596.81864160148</v>
      </c>
      <c r="AD35" s="1819">
        <f>+AD27+AD63</f>
        <v>300238.40399999998</v>
      </c>
      <c r="AE35" s="2236">
        <f t="shared" si="226"/>
        <v>2285741.5937915789</v>
      </c>
      <c r="AF35" s="2236">
        <f t="shared" si="227"/>
        <v>2509297.6370000001</v>
      </c>
      <c r="AG35" s="1819">
        <f>+AG27+AG63</f>
        <v>353378.45499109069</v>
      </c>
      <c r="AH35" s="1819">
        <f>+AH27+AH63</f>
        <v>362289.76850000001</v>
      </c>
      <c r="AI35" s="4635">
        <f t="shared" si="228"/>
        <v>2639120.0487826695</v>
      </c>
      <c r="AJ35" s="4635">
        <f t="shared" si="229"/>
        <v>2871587.4055000003</v>
      </c>
      <c r="AK35" s="1819">
        <f>+AK27+AK63</f>
        <v>364596.81864160148</v>
      </c>
      <c r="AL35" s="1819">
        <f>+AL27+AL63</f>
        <v>359727.3848</v>
      </c>
      <c r="AM35" s="2544">
        <f t="shared" si="230"/>
        <v>1082572.0922742938</v>
      </c>
      <c r="AN35" s="2544">
        <f t="shared" si="231"/>
        <v>1022255.5573</v>
      </c>
      <c r="AO35" s="2236">
        <f t="shared" si="244"/>
        <v>3003716.8674242711</v>
      </c>
      <c r="AP35" s="2236">
        <f t="shared" si="245"/>
        <v>3231314.7903000005</v>
      </c>
      <c r="AQ35" s="1819">
        <f>+AQ27+AQ63</f>
        <v>370206.00046685687</v>
      </c>
      <c r="AR35" s="1819">
        <f>+AR27+AR63</f>
        <v>357305.66379999998</v>
      </c>
      <c r="AS35" s="2236">
        <f t="shared" si="232"/>
        <v>3373922.8678911282</v>
      </c>
      <c r="AT35" s="2236">
        <f t="shared" si="233"/>
        <v>3588620.4541000007</v>
      </c>
      <c r="AU35" s="1819">
        <f>+AU27+AU63</f>
        <v>330941.72769006906</v>
      </c>
      <c r="AV35" s="1819">
        <f>+AV27+AV63</f>
        <v>297756.25300000003</v>
      </c>
      <c r="AW35" s="5026">
        <f t="shared" si="234"/>
        <v>3704864.5955811972</v>
      </c>
      <c r="AX35" s="5026">
        <f t="shared" si="235"/>
        <v>3886376.7071000007</v>
      </c>
      <c r="AY35" s="1819">
        <f>+AY27+AY63</f>
        <v>370206.00046685687</v>
      </c>
      <c r="AZ35" s="1819">
        <f>+AZ27+AZ63</f>
        <v>379299.58</v>
      </c>
      <c r="BA35" s="2777">
        <f t="shared" si="236"/>
        <v>1071353.7286237828</v>
      </c>
      <c r="BB35" s="2777">
        <f t="shared" si="237"/>
        <v>1034361.4968000001</v>
      </c>
      <c r="BC35" s="443">
        <f t="shared" si="238"/>
        <v>2153925.8208980765</v>
      </c>
      <c r="BD35" s="451">
        <f t="shared" si="239"/>
        <v>2056617.0541000001</v>
      </c>
      <c r="BE35" s="2236">
        <f t="shared" si="240"/>
        <v>4075070.5960480543</v>
      </c>
      <c r="BF35" s="2236">
        <f t="shared" si="241"/>
        <v>4265676.2871000003</v>
      </c>
      <c r="BG35" s="4234">
        <f t="shared" si="3"/>
        <v>0</v>
      </c>
      <c r="BH35" s="4234">
        <f t="shared" si="4"/>
        <v>0</v>
      </c>
      <c r="BI35" s="25"/>
      <c r="BJ35" s="25"/>
      <c r="BK35" s="25"/>
      <c r="BL35" s="25"/>
      <c r="BM35" s="25"/>
      <c r="BN35" s="25"/>
    </row>
    <row r="36" spans="1:66" x14ac:dyDescent="0.25">
      <c r="A36" s="137" t="s">
        <v>446</v>
      </c>
      <c r="B36" s="1629" t="s">
        <v>582</v>
      </c>
      <c r="C36" s="520" t="s">
        <v>50</v>
      </c>
      <c r="D36" s="1620">
        <f>+D28+D69</f>
        <v>753704.3477801173</v>
      </c>
      <c r="E36" s="1620">
        <f>+E28+E69</f>
        <v>52256.834779421471</v>
      </c>
      <c r="F36" s="1620">
        <f>+F28+F69</f>
        <v>60503.798499999997</v>
      </c>
      <c r="G36" s="1819">
        <f>+G28+G69</f>
        <v>65321.043474276834</v>
      </c>
      <c r="H36" s="1819">
        <f>+H28+H69</f>
        <v>71211.455400000006</v>
      </c>
      <c r="I36" s="1617">
        <f t="shared" si="220"/>
        <v>117577.87825369831</v>
      </c>
      <c r="J36" s="1617">
        <f t="shared" si="220"/>
        <v>131715.25390000001</v>
      </c>
      <c r="K36" s="1819">
        <f>+K28+K69</f>
        <v>63311.16521352985</v>
      </c>
      <c r="L36" s="1819">
        <f>+L28+L69</f>
        <v>69952.059900000007</v>
      </c>
      <c r="M36" s="2211">
        <f t="shared" si="221"/>
        <v>180889.04346722816</v>
      </c>
      <c r="N36" s="2211">
        <f t="shared" si="221"/>
        <v>201667.31380000003</v>
      </c>
      <c r="O36" s="1819">
        <f>+O28+O69</f>
        <v>64064.86956130997</v>
      </c>
      <c r="P36" s="1819">
        <f>+P28+P69</f>
        <v>79928.753700000001</v>
      </c>
      <c r="Q36" s="1617">
        <f t="shared" si="222"/>
        <v>244953.91302853811</v>
      </c>
      <c r="R36" s="1617">
        <f t="shared" si="222"/>
        <v>281596.0675</v>
      </c>
      <c r="S36" s="1819">
        <f>+S28+S69</f>
        <v>64064.86956130997</v>
      </c>
      <c r="T36" s="1819">
        <f>+T28+T69</f>
        <v>56672.035000000003</v>
      </c>
      <c r="U36" s="4335">
        <f t="shared" si="223"/>
        <v>309018.7825898481</v>
      </c>
      <c r="V36" s="4335">
        <f t="shared" si="224"/>
        <v>338268.10250000004</v>
      </c>
      <c r="W36" s="1819">
        <f>+W28+W69</f>
        <v>35172.869563072141</v>
      </c>
      <c r="X36" s="1819">
        <f>+X28+X69</f>
        <v>49363.923000000003</v>
      </c>
      <c r="Y36" s="2211">
        <f t="shared" si="225"/>
        <v>163302.60868569207</v>
      </c>
      <c r="Z36" s="2211">
        <f t="shared" si="225"/>
        <v>185964.71170000001</v>
      </c>
      <c r="AA36" s="2212">
        <f t="shared" si="242"/>
        <v>344191.65215292026</v>
      </c>
      <c r="AB36" s="2212">
        <f t="shared" si="243"/>
        <v>387632.02550000005</v>
      </c>
      <c r="AC36" s="1819">
        <f>+AC28+AC69</f>
        <v>65321.043474276834</v>
      </c>
      <c r="AD36" s="1819">
        <f>+AD28+AD69</f>
        <v>50209.861199999999</v>
      </c>
      <c r="AE36" s="2236">
        <f t="shared" si="226"/>
        <v>409512.6956271971</v>
      </c>
      <c r="AF36" s="2236">
        <f t="shared" si="227"/>
        <v>437841.88670000003</v>
      </c>
      <c r="AG36" s="1819">
        <f>+AG28+AG69</f>
        <v>63311.16521352985</v>
      </c>
      <c r="AH36" s="1819">
        <f>+AH28+AH69</f>
        <v>58730.275099999999</v>
      </c>
      <c r="AI36" s="4635">
        <f t="shared" si="228"/>
        <v>472823.86084072693</v>
      </c>
      <c r="AJ36" s="4635">
        <f t="shared" si="229"/>
        <v>496572.1618</v>
      </c>
      <c r="AK36" s="1819">
        <f>+AK28+AK69</f>
        <v>65321.043474276834</v>
      </c>
      <c r="AL36" s="1819">
        <f>+AL28+AL69</f>
        <v>78020.843999999997</v>
      </c>
      <c r="AM36" s="2544">
        <f t="shared" si="230"/>
        <v>193953.25216208352</v>
      </c>
      <c r="AN36" s="2544">
        <f t="shared" si="231"/>
        <v>186960.9803</v>
      </c>
      <c r="AO36" s="2236">
        <f t="shared" si="244"/>
        <v>538144.90431500378</v>
      </c>
      <c r="AP36" s="2236">
        <f t="shared" si="245"/>
        <v>574593.00580000004</v>
      </c>
      <c r="AQ36" s="1819">
        <f>+AQ28+AQ69</f>
        <v>66325.982604650315</v>
      </c>
      <c r="AR36" s="1819">
        <f>+AR28+AR69</f>
        <v>83538.171600000001</v>
      </c>
      <c r="AS36" s="2236">
        <f t="shared" si="232"/>
        <v>604470.88691965409</v>
      </c>
      <c r="AT36" s="2236">
        <f t="shared" si="233"/>
        <v>658131.17740000004</v>
      </c>
      <c r="AU36" s="1819">
        <f>+AU28+AU69</f>
        <v>59291.408692035897</v>
      </c>
      <c r="AV36" s="1819">
        <f>+AV28+AV69</f>
        <v>52900.443699999996</v>
      </c>
      <c r="AW36" s="5026">
        <f t="shared" si="234"/>
        <v>663762.29561169003</v>
      </c>
      <c r="AX36" s="5026">
        <f t="shared" si="235"/>
        <v>711031.62109999999</v>
      </c>
      <c r="AY36" s="1819">
        <f>+AY28+AY69</f>
        <v>66325.982604650315</v>
      </c>
      <c r="AZ36" s="1819">
        <f>+AZ28+AZ69</f>
        <v>58746.112000000001</v>
      </c>
      <c r="BA36" s="2777">
        <f t="shared" si="236"/>
        <v>191943.37390133651</v>
      </c>
      <c r="BB36" s="2777">
        <f t="shared" si="237"/>
        <v>195184.7273</v>
      </c>
      <c r="BC36" s="443">
        <f t="shared" si="238"/>
        <v>385896.62606342003</v>
      </c>
      <c r="BD36" s="451">
        <f t="shared" si="239"/>
        <v>382145.70759999997</v>
      </c>
      <c r="BE36" s="2236">
        <f t="shared" si="240"/>
        <v>730088.27821634035</v>
      </c>
      <c r="BF36" s="2236">
        <f t="shared" si="241"/>
        <v>769777.73309999995</v>
      </c>
      <c r="BG36" s="4234">
        <f t="shared" si="3"/>
        <v>0</v>
      </c>
      <c r="BH36" s="4234">
        <f t="shared" si="4"/>
        <v>0</v>
      </c>
      <c r="BI36" s="25"/>
      <c r="BJ36" s="25"/>
      <c r="BK36" s="25"/>
      <c r="BL36" s="25"/>
      <c r="BM36" s="25"/>
      <c r="BN36" s="25"/>
    </row>
    <row r="37" spans="1:66" ht="15.75" thickBot="1" x14ac:dyDescent="0.3">
      <c r="A37" s="137"/>
      <c r="B37" s="1630" t="s">
        <v>1264</v>
      </c>
      <c r="C37" s="702" t="s">
        <v>50</v>
      </c>
      <c r="D37" s="105">
        <f>D30+D67</f>
        <v>850529.31084909779</v>
      </c>
      <c r="E37" s="105">
        <f>E30+E67</f>
        <v>58970.032218870787</v>
      </c>
      <c r="F37" s="105">
        <f t="shared" ref="F37:J37" si="246">F30+F67</f>
        <v>59193.784599999999</v>
      </c>
      <c r="G37" s="105">
        <f>G30+G67</f>
        <v>73712.540273588471</v>
      </c>
      <c r="H37" s="105">
        <f t="shared" ref="H37" si="247">H30+H67</f>
        <v>71973.92289999999</v>
      </c>
      <c r="I37" s="105">
        <f t="shared" si="246"/>
        <v>132682.57249245927</v>
      </c>
      <c r="J37" s="105">
        <f t="shared" si="246"/>
        <v>131167.70749999999</v>
      </c>
      <c r="K37" s="105">
        <f>K30+K67</f>
        <v>71444.462111324232</v>
      </c>
      <c r="L37" s="105">
        <f t="shared" ref="L37" si="248">L30+L67</f>
        <v>66010.117900000012</v>
      </c>
      <c r="M37" s="2211">
        <f t="shared" si="221"/>
        <v>204127.03460378348</v>
      </c>
      <c r="N37" s="2211">
        <f t="shared" si="221"/>
        <v>197177.82540000003</v>
      </c>
      <c r="O37" s="105">
        <f>O30+O67</f>
        <v>72294.99142217332</v>
      </c>
      <c r="P37" s="105">
        <f t="shared" ref="P37" si="249">P30+P67</f>
        <v>56440.592000000004</v>
      </c>
      <c r="Q37" s="557">
        <f t="shared" si="222"/>
        <v>276422.02602595679</v>
      </c>
      <c r="R37" s="557">
        <f t="shared" si="222"/>
        <v>253618.41740000003</v>
      </c>
      <c r="S37" s="105">
        <f>S30+S67</f>
        <v>72294.99142217332</v>
      </c>
      <c r="T37" s="105">
        <f t="shared" ref="T37" si="250">T30+T67</f>
        <v>70933.258000000002</v>
      </c>
      <c r="U37" s="557">
        <f t="shared" si="223"/>
        <v>348717.01744813012</v>
      </c>
      <c r="V37" s="557">
        <f t="shared" si="224"/>
        <v>324551.67540000007</v>
      </c>
      <c r="W37" s="105">
        <f>W30+W67</f>
        <v>39691.36783962456</v>
      </c>
      <c r="X37" s="105">
        <f t="shared" ref="X37" si="251">X30+X67</f>
        <v>69527.346799999999</v>
      </c>
      <c r="Y37" s="2211">
        <f t="shared" si="225"/>
        <v>184281.35068397119</v>
      </c>
      <c r="Z37" s="2211">
        <f t="shared" si="225"/>
        <v>196901.19680000001</v>
      </c>
      <c r="AA37" s="2212">
        <f t="shared" si="242"/>
        <v>388408.3852877547</v>
      </c>
      <c r="AB37" s="2212">
        <f t="shared" si="243"/>
        <v>394079.02220000001</v>
      </c>
      <c r="AC37" s="105">
        <f>AC30+AC67</f>
        <v>73712.540273588471</v>
      </c>
      <c r="AD37" s="105">
        <f t="shared" ref="AD37" si="252">AD30+AD67</f>
        <v>57404.360800000002</v>
      </c>
      <c r="AE37" s="557">
        <f t="shared" si="226"/>
        <v>462120.9255613432</v>
      </c>
      <c r="AF37" s="557">
        <f t="shared" si="227"/>
        <v>451483.38300000003</v>
      </c>
      <c r="AG37" s="105">
        <f>AG30+AG67</f>
        <v>71444.462111324232</v>
      </c>
      <c r="AH37" s="105">
        <f t="shared" ref="AH37" si="253">AH30+AH67</f>
        <v>68581.207800000004</v>
      </c>
      <c r="AI37" s="557">
        <f t="shared" si="228"/>
        <v>533565.38767266739</v>
      </c>
      <c r="AJ37" s="557">
        <f t="shared" si="229"/>
        <v>520064.59080000001</v>
      </c>
      <c r="AK37" s="105">
        <f>AK30+AK67</f>
        <v>73712.540273588471</v>
      </c>
      <c r="AL37" s="105">
        <f t="shared" ref="AL37" si="254">AL30+AL67</f>
        <v>71446.156999999992</v>
      </c>
      <c r="AM37" s="2544">
        <f t="shared" si="230"/>
        <v>218869.54265850116</v>
      </c>
      <c r="AN37" s="2544">
        <f t="shared" si="231"/>
        <v>197431.72559999998</v>
      </c>
      <c r="AO37" s="2236">
        <f t="shared" si="244"/>
        <v>607277.92794625589</v>
      </c>
      <c r="AP37" s="2236">
        <f t="shared" si="245"/>
        <v>591510.74780000001</v>
      </c>
      <c r="AQ37" s="105">
        <f>AQ30+AQ67</f>
        <v>74846.579354720612</v>
      </c>
      <c r="AR37" s="105">
        <f t="shared" ref="AR37" si="255">AR30+AR67</f>
        <v>59435.999199999998</v>
      </c>
      <c r="AS37" s="557">
        <f t="shared" si="232"/>
        <v>682124.50730097655</v>
      </c>
      <c r="AT37" s="557">
        <f t="shared" si="233"/>
        <v>650946.74699999997</v>
      </c>
      <c r="AU37" s="105">
        <f>AU30+AU67</f>
        <v>66908.305786795696</v>
      </c>
      <c r="AV37" s="105">
        <f t="shared" ref="AV37" si="256">AV30+AV67</f>
        <v>46905.9735</v>
      </c>
      <c r="AW37" s="557">
        <f t="shared" si="234"/>
        <v>749032.81308777223</v>
      </c>
      <c r="AX37" s="557">
        <f t="shared" si="235"/>
        <v>697852.72049999994</v>
      </c>
      <c r="AY37" s="105">
        <f>AY30+AY67</f>
        <v>74846.579354720612</v>
      </c>
      <c r="AZ37" s="105">
        <f t="shared" ref="AZ37" si="257">AZ30+AZ67</f>
        <v>65238.555</v>
      </c>
      <c r="BA37" s="2777">
        <f t="shared" si="236"/>
        <v>216601.46449623693</v>
      </c>
      <c r="BB37" s="2777">
        <f t="shared" si="237"/>
        <v>171580.52770000001</v>
      </c>
      <c r="BC37" s="443">
        <f t="shared" si="238"/>
        <v>435471.00715473806</v>
      </c>
      <c r="BD37" s="451">
        <f t="shared" si="239"/>
        <v>369012.25329999998</v>
      </c>
      <c r="BE37" s="557">
        <f t="shared" si="240"/>
        <v>823879.39244249288</v>
      </c>
      <c r="BF37" s="557">
        <f t="shared" si="241"/>
        <v>763091.27549999999</v>
      </c>
      <c r="BG37" s="4234">
        <f t="shared" si="3"/>
        <v>0</v>
      </c>
      <c r="BH37" s="4234">
        <f t="shared" si="4"/>
        <v>0</v>
      </c>
      <c r="BI37" s="25"/>
      <c r="BJ37" s="25"/>
      <c r="BK37" s="25"/>
      <c r="BL37" s="25"/>
      <c r="BM37" s="25"/>
      <c r="BN37" s="25"/>
    </row>
    <row r="38" spans="1:66" ht="16.5" thickBot="1" x14ac:dyDescent="0.3">
      <c r="A38" s="138"/>
      <c r="B38" s="2270" t="s">
        <v>425</v>
      </c>
      <c r="C38" s="2271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4234">
        <f t="shared" si="3"/>
        <v>0</v>
      </c>
      <c r="BH38" s="4234">
        <f t="shared" si="4"/>
        <v>0</v>
      </c>
      <c r="BI38" s="25"/>
      <c r="BJ38" s="25"/>
      <c r="BK38" s="25"/>
      <c r="BL38" s="25"/>
      <c r="BM38" s="25"/>
      <c r="BN38" s="25"/>
    </row>
    <row r="39" spans="1:66" x14ac:dyDescent="0.25">
      <c r="A39" s="137"/>
      <c r="B39" s="1631" t="s">
        <v>237</v>
      </c>
      <c r="C39" s="710" t="s">
        <v>241</v>
      </c>
      <c r="D39" s="147">
        <v>348.37400000000002</v>
      </c>
      <c r="E39" s="147">
        <f>+'Maj Techno Summ'!E10</f>
        <v>375</v>
      </c>
      <c r="F39" s="147">
        <f t="shared" ref="F39:H39" si="258">+F23/F$6*1000</f>
        <v>383.57168411248995</v>
      </c>
      <c r="G39" s="147">
        <f>+'Maj Techno Summ'!G10</f>
        <v>356</v>
      </c>
      <c r="H39" s="147">
        <f t="shared" si="258"/>
        <v>345.97012054468189</v>
      </c>
      <c r="I39" s="41">
        <f t="shared" ref="I39:J41" si="259">+I23/I$6*1000</f>
        <v>364.44444444444446</v>
      </c>
      <c r="J39" s="41">
        <f t="shared" si="259"/>
        <v>364.0592420532389</v>
      </c>
      <c r="K39" s="147">
        <f>+'Maj Techno Summ'!K10</f>
        <v>356</v>
      </c>
      <c r="L39" s="147">
        <f t="shared" ref="L39" si="260">+L23/L$6*1000</f>
        <v>348.40698971547278</v>
      </c>
      <c r="M39" s="71">
        <f t="shared" ref="M39:N41" si="261">+M23/M$6*1000</f>
        <v>361.48888888888894</v>
      </c>
      <c r="N39" s="71">
        <f t="shared" si="261"/>
        <v>358.6331265537633</v>
      </c>
      <c r="O39" s="147">
        <f>+'Maj Techno Summ'!O10</f>
        <v>356</v>
      </c>
      <c r="P39" s="147">
        <f t="shared" ref="P39:P41" si="262">+P23/P$6*1000</f>
        <v>362.56961546164109</v>
      </c>
      <c r="Q39" s="41">
        <f t="shared" ref="Q39:R41" si="263">+Q23/Q$6*1000</f>
        <v>360.05333333333334</v>
      </c>
      <c r="R39" s="41">
        <f t="shared" si="263"/>
        <v>359.66549940001357</v>
      </c>
      <c r="S39" s="147">
        <f>+'Maj Techno Summ'!S10</f>
        <v>356</v>
      </c>
      <c r="T39" s="147">
        <f t="shared" ref="T39:T41" si="264">+T23/T$6*1000</f>
        <v>365.93798366603016</v>
      </c>
      <c r="U39" s="41">
        <f t="shared" ref="U39:V41" si="265">+U23/U$6*1000</f>
        <v>359.21300813008128</v>
      </c>
      <c r="V39" s="41">
        <f t="shared" si="265"/>
        <v>360.91076677300003</v>
      </c>
      <c r="W39" s="147">
        <f>+'Maj Techno Summ'!W10</f>
        <v>383</v>
      </c>
      <c r="X39" s="147">
        <f t="shared" ref="X39:X41" si="266">+X23/X$6*1000</f>
        <v>390.38903144875366</v>
      </c>
      <c r="Y39" s="71">
        <f t="shared" ref="Y39:AB41" si="267">+Y23/Y$6*1000</f>
        <v>361.81538461538457</v>
      </c>
      <c r="Z39" s="71">
        <f t="shared" si="267"/>
        <v>372.53619548915242</v>
      </c>
      <c r="AA39" s="432">
        <f t="shared" si="267"/>
        <v>361.64379562043797</v>
      </c>
      <c r="AB39" s="432">
        <f t="shared" si="267"/>
        <v>365.63228152136048</v>
      </c>
      <c r="AC39" s="147">
        <f>+'Maj Techno Summ'!AC10</f>
        <v>354</v>
      </c>
      <c r="AD39" s="147">
        <f t="shared" ref="AD39:AD41" si="268">+AD23/AD$6*1000</f>
        <v>407.03377172388349</v>
      </c>
      <c r="AE39" s="41">
        <f t="shared" ref="AE39:AF39" si="269">+AE23/AE$6*1000</f>
        <v>360.42453987730062</v>
      </c>
      <c r="AF39" s="41">
        <f t="shared" si="269"/>
        <v>370.51213863480228</v>
      </c>
      <c r="AG39" s="147">
        <f>+'Maj Techno Summ'!AG10</f>
        <v>354</v>
      </c>
      <c r="AH39" s="147">
        <f t="shared" ref="AH39:AH41" si="270">+AH23/AH$6*1000</f>
        <v>366.29801079835937</v>
      </c>
      <c r="AI39" s="41">
        <f t="shared" ref="AI39:AJ41" si="271">+AI23/AI$6*1000</f>
        <v>359.56429330499469</v>
      </c>
      <c r="AJ39" s="41">
        <f t="shared" si="271"/>
        <v>369.98883571793908</v>
      </c>
      <c r="AK39" s="147">
        <f>+'Maj Techno Summ'!AK10</f>
        <v>354</v>
      </c>
      <c r="AL39" s="147">
        <f t="shared" ref="AL39:AL41" si="272">+AL23/AL$6*1000</f>
        <v>379.38954607431214</v>
      </c>
      <c r="AM39" s="71">
        <f t="shared" ref="AM39:AP39" si="273">+AM23/AM$6*1000</f>
        <v>354</v>
      </c>
      <c r="AN39" s="71">
        <f t="shared" si="273"/>
        <v>382.84532752383001</v>
      </c>
      <c r="AO39" s="41">
        <f t="shared" si="273"/>
        <v>358.88888888888886</v>
      </c>
      <c r="AP39" s="41">
        <f t="shared" si="273"/>
        <v>371.05520255879122</v>
      </c>
      <c r="AQ39" s="147">
        <f>+'Maj Techno Summ'!AQ10</f>
        <v>354</v>
      </c>
      <c r="AR39" s="147">
        <f t="shared" ref="AR39:AR41" si="274">+AR23/AR$6*1000</f>
        <v>385.39816586713408</v>
      </c>
      <c r="AS39" s="41">
        <f t="shared" ref="AS39:AT39" si="275">+AS23/AS$6*1000</f>
        <v>358.35245220282627</v>
      </c>
      <c r="AT39" s="41">
        <f t="shared" si="275"/>
        <v>372.4813390011775</v>
      </c>
      <c r="AU39" s="147">
        <f>+'Maj Techno Summ'!AU10</f>
        <v>354</v>
      </c>
      <c r="AV39" s="147">
        <f t="shared" ref="AV39:AV41" si="276">+AV23/AV$6*1000</f>
        <v>429.82864200130945</v>
      </c>
      <c r="AW39" s="41">
        <f t="shared" ref="AW39:AX41" si="277">+AW23/AW$6*1000</f>
        <v>357.96366389099165</v>
      </c>
      <c r="AX39" s="41">
        <f t="shared" si="277"/>
        <v>376.72076886647579</v>
      </c>
      <c r="AY39" s="147">
        <f>+'Maj Techno Summ'!AY10</f>
        <v>354</v>
      </c>
      <c r="AZ39" s="147">
        <f t="shared" ref="AZ39:AZ41" si="278">+AZ23/AZ$6*1000</f>
        <v>367.13628962682185</v>
      </c>
      <c r="BA39" s="71">
        <f t="shared" ref="BA39:BE39" si="279">+BA23/BA$6*1000</f>
        <v>354</v>
      </c>
      <c r="BB39" s="71">
        <f t="shared" si="279"/>
        <v>391.36137645781383</v>
      </c>
      <c r="BC39" s="432">
        <f t="shared" si="279"/>
        <v>354</v>
      </c>
      <c r="BD39" s="432">
        <f t="shared" si="279"/>
        <v>387.08691633158401</v>
      </c>
      <c r="BE39" s="41">
        <f t="shared" si="279"/>
        <v>357.60357880247761</v>
      </c>
      <c r="BF39" s="155">
        <f>+BF23/BF$6*1000</f>
        <v>375.89147190287667</v>
      </c>
      <c r="BG39" s="4234"/>
      <c r="BH39" s="4234"/>
      <c r="BI39" s="25"/>
      <c r="BJ39" s="25"/>
      <c r="BK39" s="25"/>
      <c r="BL39" s="25"/>
      <c r="BM39" s="25"/>
      <c r="BN39" s="25"/>
    </row>
    <row r="40" spans="1:66" x14ac:dyDescent="0.25">
      <c r="A40" s="137"/>
      <c r="B40" s="1629" t="s">
        <v>1</v>
      </c>
      <c r="C40" s="3180" t="s">
        <v>241</v>
      </c>
      <c r="D40" s="2883">
        <v>27.055333333333333</v>
      </c>
      <c r="E40" s="2883">
        <f>+'Maj Techno Summ'!E11</f>
        <v>26</v>
      </c>
      <c r="F40" s="2883">
        <f t="shared" ref="F40:H40" si="280">+F24/F$6*1000</f>
        <v>31.725019192093036</v>
      </c>
      <c r="G40" s="5601">
        <f>+'Maj Techno Summ'!G11</f>
        <v>29</v>
      </c>
      <c r="H40" s="7181">
        <f t="shared" si="280"/>
        <v>29.24639142160763</v>
      </c>
      <c r="I40" s="37">
        <f t="shared" si="259"/>
        <v>27.666666666666664</v>
      </c>
      <c r="J40" s="37">
        <f t="shared" si="259"/>
        <v>30.438793935240867</v>
      </c>
      <c r="K40" s="5706">
        <f>+'Maj Techno Summ'!K11</f>
        <v>29</v>
      </c>
      <c r="L40" s="5706">
        <f t="shared" ref="L40" si="281">+L24/L$6*1000</f>
        <v>31.876010889904354</v>
      </c>
      <c r="M40" s="67">
        <f t="shared" si="261"/>
        <v>28.133333333333333</v>
      </c>
      <c r="N40" s="67">
        <f t="shared" si="261"/>
        <v>30.937029270675126</v>
      </c>
      <c r="O40" s="5857">
        <f>+'Maj Techno Summ'!O11</f>
        <v>29</v>
      </c>
      <c r="P40" s="5857">
        <f t="shared" si="262"/>
        <v>40.769372829277593</v>
      </c>
      <c r="Q40" s="37">
        <f t="shared" si="263"/>
        <v>28.36</v>
      </c>
      <c r="R40" s="37">
        <f t="shared" si="263"/>
        <v>33.515632879741879</v>
      </c>
      <c r="S40" s="5923">
        <f>+'Maj Techno Summ'!S11</f>
        <v>29</v>
      </c>
      <c r="T40" s="7181">
        <f t="shared" si="264"/>
        <v>37.253344065234799</v>
      </c>
      <c r="U40" s="37">
        <f t="shared" si="265"/>
        <v>28.492682926829268</v>
      </c>
      <c r="V40" s="37">
        <f t="shared" si="265"/>
        <v>34.257675361085077</v>
      </c>
      <c r="W40" s="6021">
        <f>+'Maj Techno Summ'!W11</f>
        <v>28</v>
      </c>
      <c r="X40" s="6021">
        <f t="shared" si="266"/>
        <v>36.733820007940906</v>
      </c>
      <c r="Y40" s="67">
        <f t="shared" si="267"/>
        <v>28.784615384615385</v>
      </c>
      <c r="Z40" s="67">
        <f t="shared" si="267"/>
        <v>38.320943992264716</v>
      </c>
      <c r="AA40" s="428">
        <f t="shared" si="267"/>
        <v>28.442335766423358</v>
      </c>
      <c r="AB40" s="428">
        <f t="shared" si="267"/>
        <v>34.654277861191524</v>
      </c>
      <c r="AC40" s="6156">
        <f>+'Maj Techno Summ'!AC11</f>
        <v>29</v>
      </c>
      <c r="AD40" s="6156">
        <f t="shared" si="268"/>
        <v>30.284127923390631</v>
      </c>
      <c r="AE40" s="37">
        <f t="shared" ref="AE40:AF40" si="282">+AE24/AE$6*1000</f>
        <v>28.53128834355828</v>
      </c>
      <c r="AF40" s="37">
        <f t="shared" si="282"/>
        <v>34.139182700209012</v>
      </c>
      <c r="AG40" s="6318">
        <f>+'Maj Techno Summ'!AG11</f>
        <v>29</v>
      </c>
      <c r="AH40" s="7187">
        <f t="shared" si="270"/>
        <v>37.743468925840951</v>
      </c>
      <c r="AI40" s="37">
        <f t="shared" si="271"/>
        <v>28.594048884165783</v>
      </c>
      <c r="AJ40" s="37">
        <f t="shared" si="271"/>
        <v>34.586756567990662</v>
      </c>
      <c r="AK40" s="6577">
        <f>+'Maj Techno Summ'!AK11</f>
        <v>29</v>
      </c>
      <c r="AL40" s="6577">
        <f t="shared" si="272"/>
        <v>35.629725195876944</v>
      </c>
      <c r="AM40" s="67">
        <f t="shared" ref="AM40:AP40" si="283">+AM24/AM$6*1000</f>
        <v>29</v>
      </c>
      <c r="AN40" s="67">
        <f t="shared" si="283"/>
        <v>34.815484048078119</v>
      </c>
      <c r="AO40" s="37">
        <f t="shared" si="283"/>
        <v>28.643323996265174</v>
      </c>
      <c r="AP40" s="37">
        <f t="shared" si="283"/>
        <v>34.705065410478618</v>
      </c>
      <c r="AQ40" s="6669">
        <f>+'Maj Techno Summ'!AQ11</f>
        <v>29</v>
      </c>
      <c r="AR40" s="6669">
        <f t="shared" si="274"/>
        <v>31.827294285431901</v>
      </c>
      <c r="AS40" s="37">
        <f t="shared" ref="AS40:AT40" si="284">+AS24/AS$6*1000</f>
        <v>28.682460515378224</v>
      </c>
      <c r="AT40" s="37">
        <f t="shared" si="284"/>
        <v>34.418925497404381</v>
      </c>
      <c r="AU40" s="6868">
        <f>+'Maj Techno Summ'!AU11</f>
        <v>29</v>
      </c>
      <c r="AV40" s="6868">
        <f t="shared" si="276"/>
        <v>29.819621590301526</v>
      </c>
      <c r="AW40" s="37">
        <f t="shared" si="277"/>
        <v>28.710825132475396</v>
      </c>
      <c r="AX40" s="37">
        <f t="shared" si="277"/>
        <v>34.07891951066582</v>
      </c>
      <c r="AY40" s="6987">
        <f>+'Maj Techno Summ'!AY11</f>
        <v>29</v>
      </c>
      <c r="AZ40" s="6987">
        <f t="shared" si="278"/>
        <v>32.889139192692141</v>
      </c>
      <c r="BA40" s="67">
        <f t="shared" ref="BA40:BF40" si="285">+BA24/BA$6*1000</f>
        <v>29</v>
      </c>
      <c r="BB40" s="67">
        <f t="shared" si="285"/>
        <v>31.643808818828944</v>
      </c>
      <c r="BC40" s="428">
        <f t="shared" si="285"/>
        <v>29</v>
      </c>
      <c r="BD40" s="428">
        <f t="shared" si="285"/>
        <v>33.235767649252715</v>
      </c>
      <c r="BE40" s="37">
        <f t="shared" si="285"/>
        <v>28.737095664143151</v>
      </c>
      <c r="BF40" s="103">
        <f t="shared" si="285"/>
        <v>33.975973781390991</v>
      </c>
      <c r="BG40" s="4234"/>
      <c r="BH40" s="4234"/>
      <c r="BI40" s="25"/>
      <c r="BJ40" s="25"/>
      <c r="BK40" s="25"/>
      <c r="BL40" s="25"/>
      <c r="BM40" s="25"/>
      <c r="BN40" s="25"/>
    </row>
    <row r="41" spans="1:66" ht="15.75" thickBot="1" x14ac:dyDescent="0.3">
      <c r="A41" s="137"/>
      <c r="B41" s="1633" t="s">
        <v>124</v>
      </c>
      <c r="C41" s="3284" t="s">
        <v>241</v>
      </c>
      <c r="D41" s="3178">
        <v>149.57066666666665</v>
      </c>
      <c r="E41" s="3178">
        <f>+'Maj Techno Summ'!E12</f>
        <v>124</v>
      </c>
      <c r="F41" s="3178">
        <f t="shared" ref="F41:H41" si="286">+F25/F$6*1000</f>
        <v>125.12614330039881</v>
      </c>
      <c r="G41" s="5600">
        <f>+'Maj Techno Summ'!G12</f>
        <v>150</v>
      </c>
      <c r="H41" s="7180">
        <f t="shared" si="286"/>
        <v>155.9320942443795</v>
      </c>
      <c r="I41" s="154">
        <f t="shared" si="259"/>
        <v>138.44444444444446</v>
      </c>
      <c r="J41" s="154">
        <f t="shared" si="259"/>
        <v>141.1121629187206</v>
      </c>
      <c r="K41" s="5705">
        <f>+'Maj Techno Summ'!K12</f>
        <v>150</v>
      </c>
      <c r="L41" s="5705">
        <f t="shared" ref="L41" si="287">+L25/L$6*1000</f>
        <v>155.24561139837525</v>
      </c>
      <c r="M41" s="162">
        <f t="shared" si="261"/>
        <v>142.48888888888888</v>
      </c>
      <c r="N41" s="162">
        <f t="shared" si="261"/>
        <v>146.01175961583328</v>
      </c>
      <c r="O41" s="5856">
        <f>+'Maj Techno Summ'!O12</f>
        <v>150</v>
      </c>
      <c r="P41" s="5856">
        <f t="shared" si="262"/>
        <v>142.77673720259727</v>
      </c>
      <c r="Q41" s="154">
        <f t="shared" si="263"/>
        <v>144.45333333333332</v>
      </c>
      <c r="R41" s="154">
        <f t="shared" si="263"/>
        <v>145.16335145958209</v>
      </c>
      <c r="S41" s="5922">
        <f>+'Maj Techno Summ'!S12</f>
        <v>150</v>
      </c>
      <c r="T41" s="7180">
        <f t="shared" si="264"/>
        <v>141.84996849132682</v>
      </c>
      <c r="U41" s="154">
        <f t="shared" si="265"/>
        <v>145.60325203252034</v>
      </c>
      <c r="V41" s="154">
        <f t="shared" si="265"/>
        <v>144.50555025521209</v>
      </c>
      <c r="W41" s="6020">
        <f>+'Maj Techno Summ'!W12</f>
        <v>121</v>
      </c>
      <c r="X41" s="6020">
        <f t="shared" si="266"/>
        <v>128.55199052682025</v>
      </c>
      <c r="Y41" s="162">
        <f t="shared" si="267"/>
        <v>143.75384615384615</v>
      </c>
      <c r="Z41" s="162">
        <f t="shared" si="267"/>
        <v>137.94406463264903</v>
      </c>
      <c r="AA41" s="2268">
        <f t="shared" si="267"/>
        <v>143.08905109489049</v>
      </c>
      <c r="AB41" s="2268">
        <f t="shared" si="267"/>
        <v>141.95027882471959</v>
      </c>
      <c r="AC41" s="6155">
        <f>+'Maj Techno Summ'!AC12</f>
        <v>152</v>
      </c>
      <c r="AD41" s="6155">
        <f t="shared" si="268"/>
        <v>125.46642057802912</v>
      </c>
      <c r="AE41" s="154">
        <f t="shared" ref="AE41:AF41" si="288">+AE25/AE$6*1000</f>
        <v>144.51042944785274</v>
      </c>
      <c r="AF41" s="154">
        <f t="shared" si="288"/>
        <v>140.00738081480262</v>
      </c>
      <c r="AG41" s="6317">
        <f>+'Maj Techno Summ'!AG12</f>
        <v>152</v>
      </c>
      <c r="AH41" s="7186">
        <f t="shared" si="270"/>
        <v>136.65060811425192</v>
      </c>
      <c r="AI41" s="154">
        <f t="shared" si="271"/>
        <v>145.51328374070138</v>
      </c>
      <c r="AJ41" s="154">
        <f t="shared" si="271"/>
        <v>139.5905427373589</v>
      </c>
      <c r="AK41" s="6576">
        <f>+'Maj Techno Summ'!AK12</f>
        <v>152</v>
      </c>
      <c r="AL41" s="6576">
        <f t="shared" si="272"/>
        <v>130.86443009846519</v>
      </c>
      <c r="AM41" s="162">
        <f t="shared" ref="AM41:AP41" si="289">+AM25/AM$6*1000</f>
        <v>152</v>
      </c>
      <c r="AN41" s="162">
        <f t="shared" si="289"/>
        <v>131.31828243123769</v>
      </c>
      <c r="AO41" s="154">
        <f t="shared" si="289"/>
        <v>146.30065359477123</v>
      </c>
      <c r="AP41" s="154">
        <f t="shared" si="289"/>
        <v>138.60069869207902</v>
      </c>
      <c r="AQ41" s="6668">
        <f>+'Maj Techno Summ'!AQ12</f>
        <v>152</v>
      </c>
      <c r="AR41" s="6668">
        <f t="shared" si="274"/>
        <v>129.82365728764466</v>
      </c>
      <c r="AS41" s="154">
        <f t="shared" ref="AS41:AT41" si="290">+AS25/AS$6*1000</f>
        <v>146.92601828761428</v>
      </c>
      <c r="AT41" s="154">
        <f t="shared" si="290"/>
        <v>137.72798791857264</v>
      </c>
      <c r="AU41" s="6867">
        <f>+'Maj Techno Summ'!AU12</f>
        <v>152</v>
      </c>
      <c r="AV41" s="6867">
        <f t="shared" si="276"/>
        <v>89.192169107715984</v>
      </c>
      <c r="AW41" s="154">
        <f t="shared" si="277"/>
        <v>147.37925813777443</v>
      </c>
      <c r="AX41" s="154">
        <f t="shared" si="277"/>
        <v>134.13995170694852</v>
      </c>
      <c r="AY41" s="6986">
        <f>+'Maj Techno Summ'!AY12</f>
        <v>152</v>
      </c>
      <c r="AZ41" s="6986">
        <f t="shared" si="278"/>
        <v>135.4212517722317</v>
      </c>
      <c r="BA41" s="162">
        <f t="shared" ref="BA41:BF41" si="291">+BA25/BA$6*1000</f>
        <v>152</v>
      </c>
      <c r="BB41" s="162">
        <f t="shared" si="291"/>
        <v>120.33673024487004</v>
      </c>
      <c r="BC41" s="2268">
        <f t="shared" si="291"/>
        <v>152</v>
      </c>
      <c r="BD41" s="2268">
        <f t="shared" si="291"/>
        <v>125.84870032731315</v>
      </c>
      <c r="BE41" s="154">
        <f t="shared" si="291"/>
        <v>147.79903647625602</v>
      </c>
      <c r="BF41" s="104">
        <f t="shared" si="291"/>
        <v>134.25081618137949</v>
      </c>
      <c r="BG41" s="4234"/>
      <c r="BH41" s="4234"/>
      <c r="BI41" s="25"/>
      <c r="BJ41" s="25"/>
      <c r="BK41" s="25"/>
      <c r="BL41" s="25"/>
      <c r="BM41" s="25"/>
      <c r="BN41" s="25"/>
    </row>
    <row r="42" spans="1:66" ht="16.5" thickBot="1" x14ac:dyDescent="0.3">
      <c r="A42" s="137"/>
      <c r="B42" s="1634" t="s">
        <v>238</v>
      </c>
      <c r="C42" s="469" t="s">
        <v>241</v>
      </c>
      <c r="D42" s="2269">
        <f>SUM(D39:D41)</f>
        <v>525</v>
      </c>
      <c r="E42" s="2269">
        <f t="shared" ref="E42:L42" si="292">SUM(E39:E41)</f>
        <v>525</v>
      </c>
      <c r="F42" s="2269">
        <f t="shared" si="292"/>
        <v>540.42284660498183</v>
      </c>
      <c r="G42" s="2269">
        <f t="shared" ref="G42:H42" si="293">SUM(G39:G41)</f>
        <v>535</v>
      </c>
      <c r="H42" s="2269">
        <f t="shared" si="293"/>
        <v>531.14860621066907</v>
      </c>
      <c r="I42" s="682">
        <f t="shared" si="292"/>
        <v>530.55555555555566</v>
      </c>
      <c r="J42" s="39">
        <f t="shared" si="292"/>
        <v>535.61019890720036</v>
      </c>
      <c r="K42" s="2269">
        <f t="shared" si="292"/>
        <v>535</v>
      </c>
      <c r="L42" s="2269">
        <f t="shared" si="292"/>
        <v>535.52861200375241</v>
      </c>
      <c r="M42" s="683">
        <f t="shared" ref="M42:R42" si="294">SUM(M39:M41)</f>
        <v>532.11111111111109</v>
      </c>
      <c r="N42" s="65">
        <f t="shared" si="294"/>
        <v>535.5819154402717</v>
      </c>
      <c r="O42" s="2269">
        <f t="shared" si="294"/>
        <v>535</v>
      </c>
      <c r="P42" s="2269">
        <f t="shared" si="294"/>
        <v>546.11572549351592</v>
      </c>
      <c r="Q42" s="682">
        <f t="shared" si="294"/>
        <v>532.86666666666667</v>
      </c>
      <c r="R42" s="39">
        <f t="shared" si="294"/>
        <v>538.34448373933753</v>
      </c>
      <c r="S42" s="2269">
        <f t="shared" ref="S42:T42" si="295">SUM(S39:S41)</f>
        <v>535</v>
      </c>
      <c r="T42" s="2269">
        <f t="shared" si="295"/>
        <v>545.04129622259177</v>
      </c>
      <c r="U42" s="682">
        <f t="shared" ref="U42:X42" si="296">SUM(U39:U41)</f>
        <v>533.30894308943084</v>
      </c>
      <c r="V42" s="39">
        <f t="shared" si="296"/>
        <v>539.67399238929715</v>
      </c>
      <c r="W42" s="2269">
        <f t="shared" si="296"/>
        <v>532</v>
      </c>
      <c r="X42" s="2269">
        <f t="shared" si="296"/>
        <v>555.67484198351485</v>
      </c>
      <c r="Y42" s="683">
        <f t="shared" ref="Y42:AF42" si="297">SUM(Y39:Y41)</f>
        <v>534.35384615384612</v>
      </c>
      <c r="Z42" s="65">
        <f t="shared" si="297"/>
        <v>548.80120411406619</v>
      </c>
      <c r="AA42" s="684">
        <f t="shared" si="297"/>
        <v>533.17518248175179</v>
      </c>
      <c r="AB42" s="434">
        <f t="shared" si="297"/>
        <v>542.2368382072716</v>
      </c>
      <c r="AC42" s="2269">
        <f t="shared" si="297"/>
        <v>535</v>
      </c>
      <c r="AD42" s="2269">
        <f t="shared" si="297"/>
        <v>562.7843202253033</v>
      </c>
      <c r="AE42" s="682">
        <f t="shared" si="297"/>
        <v>533.46625766871171</v>
      </c>
      <c r="AF42" s="39">
        <f t="shared" si="297"/>
        <v>544.65870214981396</v>
      </c>
      <c r="AG42" s="2269">
        <f t="shared" ref="AG42:AH42" si="298">SUM(AG39:AG41)</f>
        <v>535</v>
      </c>
      <c r="AH42" s="2269">
        <f t="shared" si="298"/>
        <v>540.69208783845227</v>
      </c>
      <c r="AI42" s="682">
        <f t="shared" ref="AI42:AL42" si="299">SUM(AI39:AI41)</f>
        <v>533.67162592986188</v>
      </c>
      <c r="AJ42" s="39">
        <f t="shared" si="299"/>
        <v>544.16613502328869</v>
      </c>
      <c r="AK42" s="2269">
        <f t="shared" si="299"/>
        <v>535</v>
      </c>
      <c r="AL42" s="2269">
        <f t="shared" si="299"/>
        <v>545.88370136865422</v>
      </c>
      <c r="AM42" s="683">
        <f t="shared" ref="AM42:AT42" si="300">SUM(AM39:AM41)</f>
        <v>535</v>
      </c>
      <c r="AN42" s="65">
        <f t="shared" si="300"/>
        <v>548.97909400314586</v>
      </c>
      <c r="AO42" s="682">
        <f t="shared" si="300"/>
        <v>533.83286647992531</v>
      </c>
      <c r="AP42" s="39">
        <f t="shared" si="300"/>
        <v>544.36096666134881</v>
      </c>
      <c r="AQ42" s="2269">
        <f t="shared" si="300"/>
        <v>535</v>
      </c>
      <c r="AR42" s="2269">
        <f t="shared" si="300"/>
        <v>547.04911744021069</v>
      </c>
      <c r="AS42" s="682">
        <f t="shared" si="300"/>
        <v>533.96093100581879</v>
      </c>
      <c r="AT42" s="39">
        <f t="shared" si="300"/>
        <v>544.6282524171545</v>
      </c>
      <c r="AU42" s="2269">
        <f t="shared" ref="AU42:AV42" si="301">SUM(AU39:AU41)</f>
        <v>535</v>
      </c>
      <c r="AV42" s="2269">
        <f t="shared" si="301"/>
        <v>548.84043269932704</v>
      </c>
      <c r="AW42" s="682">
        <f t="shared" ref="AW42:AZ42" si="302">SUM(AW39:AW41)</f>
        <v>534.05374716124152</v>
      </c>
      <c r="AX42" s="39">
        <f t="shared" si="302"/>
        <v>544.93964008409012</v>
      </c>
      <c r="AY42" s="2269">
        <f t="shared" si="302"/>
        <v>535</v>
      </c>
      <c r="AZ42" s="2269">
        <f t="shared" si="302"/>
        <v>535.44668059174569</v>
      </c>
      <c r="BA42" s="683">
        <f t="shared" ref="BA42:BD42" si="303">SUM(BA39:BA41)</f>
        <v>535</v>
      </c>
      <c r="BB42" s="65">
        <f t="shared" si="303"/>
        <v>543.34191552151287</v>
      </c>
      <c r="BC42" s="684">
        <f t="shared" si="303"/>
        <v>535</v>
      </c>
      <c r="BD42" s="434">
        <f t="shared" si="303"/>
        <v>546.17138430814987</v>
      </c>
      <c r="BE42" s="682">
        <f t="shared" ref="BE42:BF42" si="304">SUM(BE39:BE41)</f>
        <v>534.13971094287683</v>
      </c>
      <c r="BF42" s="39">
        <f t="shared" si="304"/>
        <v>544.11826186564713</v>
      </c>
      <c r="BG42" s="4234"/>
      <c r="BH42" s="4234"/>
      <c r="BI42" s="25"/>
      <c r="BJ42" s="25"/>
      <c r="BK42" s="25"/>
      <c r="BL42" s="25"/>
      <c r="BM42" s="25"/>
      <c r="BN42" s="25"/>
    </row>
    <row r="43" spans="1:66" x14ac:dyDescent="0.25">
      <c r="A43" s="137" t="s">
        <v>446</v>
      </c>
      <c r="B43" s="1638" t="s">
        <v>19</v>
      </c>
      <c r="C43" s="58" t="s">
        <v>241</v>
      </c>
      <c r="D43" s="1121">
        <v>1149.8822741773586</v>
      </c>
      <c r="E43" s="1121">
        <f>+$D$43</f>
        <v>1149.8822741773586</v>
      </c>
      <c r="F43" s="1121">
        <f t="shared" ref="F43:H43" si="305">+F27/F$6*1000</f>
        <v>1157.366304927348</v>
      </c>
      <c r="G43" s="5594">
        <f>+$D$43</f>
        <v>1149.8822741773586</v>
      </c>
      <c r="H43" s="7178">
        <f t="shared" si="305"/>
        <v>1128.4752839801524</v>
      </c>
      <c r="I43" s="2239">
        <f t="shared" ref="I43:J46" si="306">+I27/I$6*1000</f>
        <v>1149.8822741773583</v>
      </c>
      <c r="J43" s="60">
        <f t="shared" si="306"/>
        <v>1142.3739929388278</v>
      </c>
      <c r="K43" s="5704">
        <f>+$D$43</f>
        <v>1149.8822741773586</v>
      </c>
      <c r="L43" s="5704">
        <f t="shared" ref="L43" si="307">+L27/L$6*1000</f>
        <v>1168.6416951476904</v>
      </c>
      <c r="M43" s="2207">
        <f>+$D$43</f>
        <v>1149.8822741773586</v>
      </c>
      <c r="N43" s="2207">
        <f>+N27/N$6*1000</f>
        <v>1151.4801319797384</v>
      </c>
      <c r="O43" s="5855">
        <f>+$D$43</f>
        <v>1149.8822741773586</v>
      </c>
      <c r="P43" s="5855">
        <f t="shared" ref="P43:P45" si="308">+P27/P$6*1000</f>
        <v>1172.6817812780748</v>
      </c>
      <c r="Q43" s="2209">
        <f t="shared" ref="Q43:R46" si="309">+Q27/Q$6*1000</f>
        <v>1149.8822741773586</v>
      </c>
      <c r="R43" s="2209">
        <f t="shared" si="309"/>
        <v>1157.040418708229</v>
      </c>
      <c r="S43" s="5921">
        <f>+$D$43</f>
        <v>1149.8822741773586</v>
      </c>
      <c r="T43" s="7178">
        <f t="shared" ref="T43:T45" si="310">+T27/T$6*1000</f>
        <v>1179.6089134008994</v>
      </c>
      <c r="U43" s="4337">
        <f t="shared" ref="U43:V45" si="311">+U27/U$6*1000</f>
        <v>1149.8822741773583</v>
      </c>
      <c r="V43" s="4337">
        <f t="shared" si="311"/>
        <v>1161.5209098352398</v>
      </c>
      <c r="W43" s="6019">
        <f>+$D$43</f>
        <v>1149.8822741773586</v>
      </c>
      <c r="X43" s="6019">
        <f t="shared" ref="X43:X45" si="312">+X27/X$6*1000</f>
        <v>1186.7907343029558</v>
      </c>
      <c r="Y43" s="2207">
        <f t="shared" ref="Y43:AB46" si="313">+Y27/Y$6*1000</f>
        <v>1149.8822741773586</v>
      </c>
      <c r="Z43" s="2207">
        <f t="shared" si="313"/>
        <v>1179.4648852698817</v>
      </c>
      <c r="AA43" s="2205">
        <f t="shared" si="313"/>
        <v>1149.8822741773583</v>
      </c>
      <c r="AB43" s="451">
        <f t="shared" si="313"/>
        <v>1165.5683614144007</v>
      </c>
      <c r="AC43" s="6154">
        <f>+$D$43</f>
        <v>1149.8822741773586</v>
      </c>
      <c r="AD43" s="6154">
        <f t="shared" ref="AD43:AD45" si="314">+AD27/AD$6*1000</f>
        <v>1173.1746961624856</v>
      </c>
      <c r="AE43" s="2239">
        <f t="shared" ref="AE43:AF43" si="315">+AE27/AE$6*1000</f>
        <v>1149.8822741773583</v>
      </c>
      <c r="AF43" s="2239">
        <f t="shared" si="315"/>
        <v>1166.464895006455</v>
      </c>
      <c r="AG43" s="6316">
        <f>+$D$43</f>
        <v>1149.8822741773586</v>
      </c>
      <c r="AH43" s="7185">
        <f t="shared" ref="AH43:AH45" si="316">+AH27/AH$6*1000</f>
        <v>1191.5058149107797</v>
      </c>
      <c r="AI43" s="4637">
        <f t="shared" ref="AI43:AJ45" si="317">+AI27/AI$6*1000</f>
        <v>1149.8822741773583</v>
      </c>
      <c r="AJ43" s="4637">
        <f t="shared" si="317"/>
        <v>1169.574432005677</v>
      </c>
      <c r="AK43" s="6575">
        <f>+$D$43</f>
        <v>1149.8822741773586</v>
      </c>
      <c r="AL43" s="6575">
        <f t="shared" ref="AL43:AL45" si="318">+AL27/AL$6*1000</f>
        <v>1149.1026033447156</v>
      </c>
      <c r="AM43" s="2244">
        <f t="shared" ref="AM43:AP43" si="319">+AM27/AM$6*1000</f>
        <v>1149.8822741773583</v>
      </c>
      <c r="AN43" s="2244">
        <f t="shared" si="319"/>
        <v>1170.913131826082</v>
      </c>
      <c r="AO43" s="2239">
        <f t="shared" si="319"/>
        <v>1149.8822741773583</v>
      </c>
      <c r="AP43" s="2239">
        <f t="shared" si="319"/>
        <v>1167.2522160849562</v>
      </c>
      <c r="AQ43" s="6667">
        <f>+$D$43</f>
        <v>1149.8822741773586</v>
      </c>
      <c r="AR43" s="6667">
        <f t="shared" ref="AR43:AR45" si="320">+AR27/AR$6*1000</f>
        <v>1150.2948318857887</v>
      </c>
      <c r="AS43" s="2239">
        <f t="shared" ref="AS43:AT43" si="321">+AS27/AS$6*1000</f>
        <v>1149.8822741773586</v>
      </c>
      <c r="AT43" s="6751">
        <f t="shared" si="321"/>
        <v>1165.5661249297264</v>
      </c>
      <c r="AU43" s="6865">
        <f>+$D$43</f>
        <v>1149.8822741773586</v>
      </c>
      <c r="AV43" s="6865">
        <f t="shared" ref="AV43:AV45" si="322">+AV27/AV$6*1000</f>
        <v>1188.3878595123601</v>
      </c>
      <c r="AW43" s="5028">
        <f t="shared" ref="AW43:AX45" si="323">+AW27/AW$6*1000</f>
        <v>1149.8822741773586</v>
      </c>
      <c r="AX43" s="5028">
        <f t="shared" si="323"/>
        <v>1167.2532337928462</v>
      </c>
      <c r="AY43" s="6984">
        <f>+$D$43</f>
        <v>1149.8822741773586</v>
      </c>
      <c r="AZ43" s="6984">
        <f t="shared" ref="AZ43:AZ45" si="324">+AZ27/AZ$6*1000</f>
        <v>1183.869406527212</v>
      </c>
      <c r="BA43" s="2244">
        <f t="shared" ref="BA43:BF43" si="325">+BA27/BA$6*1000</f>
        <v>1149.8822741773583</v>
      </c>
      <c r="BB43" s="2244">
        <f t="shared" si="325"/>
        <v>1173.2930582271642</v>
      </c>
      <c r="BC43" s="2780">
        <f t="shared" si="325"/>
        <v>1149.8822741773583</v>
      </c>
      <c r="BD43" s="451">
        <f t="shared" si="325"/>
        <v>1172.0985018567574</v>
      </c>
      <c r="BE43" s="2239">
        <f t="shared" si="325"/>
        <v>1149.8822741773586</v>
      </c>
      <c r="BF43" s="2239">
        <f t="shared" si="325"/>
        <v>1168.6909479607937</v>
      </c>
      <c r="BG43" s="4234"/>
      <c r="BH43" s="4234"/>
      <c r="BI43" s="25"/>
      <c r="BJ43" s="25"/>
      <c r="BK43" s="25"/>
      <c r="BL43" s="25"/>
      <c r="BM43" s="25"/>
      <c r="BN43" s="25"/>
    </row>
    <row r="44" spans="1:66" x14ac:dyDescent="0.25">
      <c r="A44" s="137" t="s">
        <v>446</v>
      </c>
      <c r="B44" s="1629" t="s">
        <v>239</v>
      </c>
      <c r="C44" s="3180" t="s">
        <v>241</v>
      </c>
      <c r="D44" s="2883">
        <v>213.54956520436656</v>
      </c>
      <c r="E44" s="2883">
        <f>+$D$44</f>
        <v>213.54956520436656</v>
      </c>
      <c r="F44" s="2883">
        <f t="shared" ref="F44:H44" si="326">+F28/F$6*1000</f>
        <v>215.22181841496086</v>
      </c>
      <c r="G44" s="5601">
        <f>+$D$44</f>
        <v>213.54956520436656</v>
      </c>
      <c r="H44" s="7181">
        <f t="shared" si="326"/>
        <v>253.88054396242299</v>
      </c>
      <c r="I44" s="2884">
        <f t="shared" si="306"/>
        <v>213.54956520436659</v>
      </c>
      <c r="J44" s="37">
        <f t="shared" si="306"/>
        <v>235.28284967949969</v>
      </c>
      <c r="K44" s="5706">
        <f>+$D$44</f>
        <v>213.54956520436656</v>
      </c>
      <c r="L44" s="5706">
        <f t="shared" ref="L44" si="327">+L28/L$6*1000</f>
        <v>237.51701308540027</v>
      </c>
      <c r="M44" s="2211">
        <f>+$D$44</f>
        <v>213.54956520436656</v>
      </c>
      <c r="N44" s="2211">
        <f>+N28/N$6*1000</f>
        <v>236.05735985372348</v>
      </c>
      <c r="O44" s="5857">
        <f>+$D$44</f>
        <v>213.54956520436656</v>
      </c>
      <c r="P44" s="5857">
        <f t="shared" si="308"/>
        <v>272.79675754254362</v>
      </c>
      <c r="Q44" s="2210">
        <f t="shared" si="309"/>
        <v>213.54956520436659</v>
      </c>
      <c r="R44" s="2210">
        <f t="shared" si="309"/>
        <v>245.6925341039605</v>
      </c>
      <c r="S44" s="5923">
        <f>+$D$44</f>
        <v>213.54956520436656</v>
      </c>
      <c r="T44" s="7181">
        <f t="shared" si="310"/>
        <v>195.66333259102376</v>
      </c>
      <c r="U44" s="4335">
        <f t="shared" si="311"/>
        <v>213.54956520436659</v>
      </c>
      <c r="V44" s="4335">
        <f t="shared" si="311"/>
        <v>235.76030793989352</v>
      </c>
      <c r="W44" s="6021">
        <f>+$D$44</f>
        <v>213.54956520436656</v>
      </c>
      <c r="X44" s="6021">
        <f t="shared" si="312"/>
        <v>184.13595870732692</v>
      </c>
      <c r="Y44" s="2211">
        <f t="shared" si="313"/>
        <v>213.54956520436656</v>
      </c>
      <c r="Z44" s="2211">
        <f t="shared" si="313"/>
        <v>219.04253584364028</v>
      </c>
      <c r="AA44" s="2212">
        <f t="shared" si="313"/>
        <v>213.54956520436656</v>
      </c>
      <c r="AB44" s="428">
        <f t="shared" si="313"/>
        <v>227.49166903061086</v>
      </c>
      <c r="AC44" s="6156">
        <f>+$D$44</f>
        <v>213.54956520436656</v>
      </c>
      <c r="AD44" s="6156">
        <f t="shared" si="314"/>
        <v>220.19037051745133</v>
      </c>
      <c r="AE44" s="2236">
        <f t="shared" ref="AE44:AF44" si="328">+AE28/AE$6*1000</f>
        <v>213.54956520436656</v>
      </c>
      <c r="AF44" s="4691">
        <f t="shared" si="328"/>
        <v>226.63108905359758</v>
      </c>
      <c r="AG44" s="6318">
        <f>+$D$44</f>
        <v>213.54956520436656</v>
      </c>
      <c r="AH44" s="7187">
        <f t="shared" si="316"/>
        <v>203.11433793081414</v>
      </c>
      <c r="AI44" s="4635">
        <f t="shared" si="317"/>
        <v>213.54956520436656</v>
      </c>
      <c r="AJ44" s="4691">
        <f t="shared" si="317"/>
        <v>223.7108206290672</v>
      </c>
      <c r="AK44" s="6577">
        <f>+$D$44</f>
        <v>213.54956520436656</v>
      </c>
      <c r="AL44" s="6577">
        <f t="shared" si="318"/>
        <v>262.64206295888476</v>
      </c>
      <c r="AM44" s="2544">
        <f t="shared" ref="AM44:AP44" si="329">+AM28/AM$6*1000</f>
        <v>213.54956520436659</v>
      </c>
      <c r="AN44" s="2544">
        <f t="shared" si="329"/>
        <v>229.50821079955625</v>
      </c>
      <c r="AO44" s="2236">
        <f t="shared" si="329"/>
        <v>213.54956520436656</v>
      </c>
      <c r="AP44" s="2236">
        <f t="shared" si="329"/>
        <v>228.12697476209519</v>
      </c>
      <c r="AQ44" s="6669">
        <f>+$D$44</f>
        <v>213.54956520436656</v>
      </c>
      <c r="AR44" s="6669">
        <f t="shared" si="320"/>
        <v>285.51970705497291</v>
      </c>
      <c r="AS44" s="2236">
        <f t="shared" ref="AS44:AT44" si="330">+AS28/AS$6*1000</f>
        <v>213.54956520436656</v>
      </c>
      <c r="AT44" s="6752">
        <f t="shared" si="330"/>
        <v>233.83359655923707</v>
      </c>
      <c r="AU44" s="6868">
        <f>+$D$44</f>
        <v>213.54956520436656</v>
      </c>
      <c r="AV44" s="6868">
        <f t="shared" si="322"/>
        <v>222.47759509968952</v>
      </c>
      <c r="AW44" s="5026">
        <f t="shared" si="323"/>
        <v>213.54956520436656</v>
      </c>
      <c r="AX44" s="5026">
        <f t="shared" si="323"/>
        <v>232.99409811346248</v>
      </c>
      <c r="AY44" s="6987">
        <f>+$D$44</f>
        <v>213.54956520436656</v>
      </c>
      <c r="AZ44" s="6987">
        <f t="shared" si="324"/>
        <v>198.74801337347543</v>
      </c>
      <c r="BA44" s="2777">
        <f t="shared" ref="BA44:BF44" si="331">+BA28/BA$6*1000</f>
        <v>213.54956520436656</v>
      </c>
      <c r="BB44" s="2777">
        <f t="shared" si="331"/>
        <v>236.12127187946777</v>
      </c>
      <c r="BC44" s="2779">
        <f t="shared" si="331"/>
        <v>213.54956520436656</v>
      </c>
      <c r="BD44" s="428">
        <f t="shared" si="331"/>
        <v>232.80197837639713</v>
      </c>
      <c r="BE44" s="2236">
        <f t="shared" si="331"/>
        <v>213.54956520436656</v>
      </c>
      <c r="BF44" s="2236">
        <f t="shared" si="331"/>
        <v>230.03095599797541</v>
      </c>
      <c r="BG44" s="4234"/>
      <c r="BH44" s="4234"/>
      <c r="BI44" s="25"/>
      <c r="BJ44" s="25"/>
      <c r="BK44" s="25"/>
      <c r="BL44" s="25"/>
      <c r="BM44" s="25"/>
      <c r="BN44" s="25"/>
    </row>
    <row r="45" spans="1:66" x14ac:dyDescent="0.25">
      <c r="A45" s="137" t="s">
        <v>446</v>
      </c>
      <c r="B45" s="1629" t="s">
        <v>240</v>
      </c>
      <c r="C45" s="3180" t="s">
        <v>241</v>
      </c>
      <c r="D45" s="2883">
        <v>0.34</v>
      </c>
      <c r="E45" s="2883">
        <f>+$D$45</f>
        <v>0.34</v>
      </c>
      <c r="F45" s="2883">
        <f t="shared" ref="F45:H45" si="332">+F29/F$6*1000</f>
        <v>0</v>
      </c>
      <c r="G45" s="5601">
        <f>+$D$45</f>
        <v>0.34</v>
      </c>
      <c r="H45" s="7181">
        <f t="shared" si="332"/>
        <v>0</v>
      </c>
      <c r="I45" s="2884">
        <f t="shared" si="306"/>
        <v>0.34</v>
      </c>
      <c r="J45" s="37">
        <f t="shared" si="306"/>
        <v>0</v>
      </c>
      <c r="K45" s="5706">
        <f>+$D$45</f>
        <v>0.34</v>
      </c>
      <c r="L45" s="5706">
        <f t="shared" ref="L45" si="333">+L29/L$6*1000</f>
        <v>0</v>
      </c>
      <c r="M45" s="2211">
        <f>+$D$45</f>
        <v>0.34</v>
      </c>
      <c r="N45" s="2211">
        <f>+N29/N$6*1000</f>
        <v>0</v>
      </c>
      <c r="O45" s="5857">
        <f>+$D$45</f>
        <v>0.34</v>
      </c>
      <c r="P45" s="5857">
        <f t="shared" si="308"/>
        <v>0</v>
      </c>
      <c r="Q45" s="2210">
        <f t="shared" si="309"/>
        <v>0.34</v>
      </c>
      <c r="R45" s="2210">
        <f t="shared" si="309"/>
        <v>0</v>
      </c>
      <c r="S45" s="5923">
        <f>+$D$45</f>
        <v>0.34</v>
      </c>
      <c r="T45" s="7181">
        <f t="shared" si="310"/>
        <v>0</v>
      </c>
      <c r="U45" s="4335">
        <f t="shared" si="311"/>
        <v>0.33999999999999997</v>
      </c>
      <c r="V45" s="4335">
        <f t="shared" si="311"/>
        <v>0</v>
      </c>
      <c r="W45" s="6021">
        <f>+$D$45</f>
        <v>0.34</v>
      </c>
      <c r="X45" s="6021">
        <f t="shared" si="312"/>
        <v>0</v>
      </c>
      <c r="Y45" s="2211">
        <f t="shared" si="313"/>
        <v>0.34</v>
      </c>
      <c r="Z45" s="2211">
        <f t="shared" si="313"/>
        <v>0</v>
      </c>
      <c r="AA45" s="2212">
        <f t="shared" si="313"/>
        <v>0.34</v>
      </c>
      <c r="AB45" s="428">
        <f t="shared" si="313"/>
        <v>0</v>
      </c>
      <c r="AC45" s="6156">
        <f>+$D$45</f>
        <v>0.34</v>
      </c>
      <c r="AD45" s="6156">
        <f t="shared" si="314"/>
        <v>0.60602447452011987</v>
      </c>
      <c r="AE45" s="2236">
        <f t="shared" ref="AE45:AF45" si="334">+AE29/AE$6*1000</f>
        <v>0.34</v>
      </c>
      <c r="AF45" s="2236">
        <f t="shared" si="334"/>
        <v>7.1430106221794548E-2</v>
      </c>
      <c r="AG45" s="6318">
        <f>+$D$45</f>
        <v>0.34</v>
      </c>
      <c r="AH45" s="7187">
        <f t="shared" si="316"/>
        <v>0</v>
      </c>
      <c r="AI45" s="4635">
        <f t="shared" si="317"/>
        <v>0.34000000000000008</v>
      </c>
      <c r="AJ45" s="4635">
        <f t="shared" si="317"/>
        <v>6.2560042382139941E-2</v>
      </c>
      <c r="AK45" s="6577">
        <f>+$D$45</f>
        <v>0.34</v>
      </c>
      <c r="AL45" s="6577">
        <f t="shared" si="318"/>
        <v>0.24487102531791499</v>
      </c>
      <c r="AM45" s="2544">
        <f t="shared" ref="AM45:AP45" si="335">+AM29/AM$6*1000</f>
        <v>0.34</v>
      </c>
      <c r="AN45" s="2544">
        <f t="shared" si="335"/>
        <v>0.26421580505739972</v>
      </c>
      <c r="AO45" s="2236">
        <f t="shared" si="335"/>
        <v>0.34</v>
      </c>
      <c r="AP45" s="2236">
        <f t="shared" si="335"/>
        <v>8.3240435624345216E-2</v>
      </c>
      <c r="AQ45" s="6669">
        <f>+$D$45</f>
        <v>0.34</v>
      </c>
      <c r="AR45" s="6669">
        <f t="shared" si="320"/>
        <v>2.7147077778603679</v>
      </c>
      <c r="AS45" s="2236">
        <f t="shared" ref="AS45:AT45" si="336">+AS29/AS$6*1000</f>
        <v>0.34</v>
      </c>
      <c r="AT45" s="2236">
        <f t="shared" si="336"/>
        <v>0.34489009567258572</v>
      </c>
      <c r="AU45" s="6868">
        <f>+$D$45</f>
        <v>0.34</v>
      </c>
      <c r="AV45" s="6868">
        <f t="shared" si="322"/>
        <v>0.90499671118395852</v>
      </c>
      <c r="AW45" s="5026">
        <f t="shared" si="323"/>
        <v>0.34</v>
      </c>
      <c r="AX45" s="5026">
        <f t="shared" si="323"/>
        <v>0.38629627502760439</v>
      </c>
      <c r="AY45" s="6987">
        <f>+$D$45</f>
        <v>0.34</v>
      </c>
      <c r="AZ45" s="6987">
        <f t="shared" si="324"/>
        <v>2.2709974959473413</v>
      </c>
      <c r="BA45" s="2777">
        <f t="shared" ref="BA45:BF45" si="337">+BA29/BA$6*1000</f>
        <v>0.33999999999999997</v>
      </c>
      <c r="BB45" s="2777">
        <f t="shared" si="337"/>
        <v>2.0403912658676262</v>
      </c>
      <c r="BC45" s="2779">
        <f t="shared" si="337"/>
        <v>0.34</v>
      </c>
      <c r="BD45" s="428">
        <f t="shared" si="337"/>
        <v>1.1488755825647641</v>
      </c>
      <c r="BE45" s="2236">
        <f t="shared" si="337"/>
        <v>0.34</v>
      </c>
      <c r="BF45" s="2236">
        <f t="shared" si="337"/>
        <v>0.54937002798997703</v>
      </c>
      <c r="BG45" s="4234"/>
      <c r="BH45" s="4234"/>
      <c r="BI45" s="25"/>
      <c r="BJ45" s="25"/>
      <c r="BK45" s="25"/>
      <c r="BL45" s="25"/>
      <c r="BM45" s="25"/>
      <c r="BN45" s="25"/>
    </row>
    <row r="46" spans="1:66" x14ac:dyDescent="0.25">
      <c r="A46" s="137"/>
      <c r="B46" s="1629" t="s">
        <v>1252</v>
      </c>
      <c r="C46" s="3180" t="s">
        <v>241</v>
      </c>
      <c r="D46" s="2883">
        <v>279.25712372878712</v>
      </c>
      <c r="E46" s="2883">
        <f>+$D$46</f>
        <v>279.25712372878712</v>
      </c>
      <c r="F46" s="2883">
        <f>+F30/F$6*1000</f>
        <v>246.35729856316595</v>
      </c>
      <c r="G46" s="5601">
        <f>+$D$46</f>
        <v>279.25712372878712</v>
      </c>
      <c r="H46" s="7181">
        <f>+H30/H$6*1000</f>
        <v>276.46221086305951</v>
      </c>
      <c r="I46" s="2884">
        <f t="shared" si="306"/>
        <v>279.25712372878706</v>
      </c>
      <c r="J46" s="37">
        <f t="shared" si="306"/>
        <v>261.97953075814354</v>
      </c>
      <c r="K46" s="5706">
        <f>+$D$46</f>
        <v>279.25712372878712</v>
      </c>
      <c r="L46" s="5706">
        <f>+L30/L$6*1000</f>
        <v>249.06900801904783</v>
      </c>
      <c r="M46" s="2211">
        <f t="shared" ref="M46:N46" si="338">+M30/M$6*1000</f>
        <v>279.25712372878712</v>
      </c>
      <c r="N46" s="2211">
        <f t="shared" si="338"/>
        <v>257.50388175701471</v>
      </c>
      <c r="O46" s="5857">
        <f>+$D$46</f>
        <v>279.25712372878712</v>
      </c>
      <c r="P46" s="5857">
        <f>+P30/P$6*1000</f>
        <v>207.38686137920047</v>
      </c>
      <c r="Q46" s="2210">
        <f t="shared" si="309"/>
        <v>279.25712372878712</v>
      </c>
      <c r="R46" s="2210">
        <f t="shared" si="309"/>
        <v>244.3603286608826</v>
      </c>
      <c r="S46" s="5923">
        <f>+$D$46</f>
        <v>279.25712372878712</v>
      </c>
      <c r="T46" s="7181">
        <f>+T30/T$6*1000</f>
        <v>276.56042952875976</v>
      </c>
      <c r="U46" s="4335">
        <f t="shared" ref="U46:V46" si="339">+U30/U$6*1000</f>
        <v>279.25712372878718</v>
      </c>
      <c r="V46" s="4335">
        <f t="shared" si="339"/>
        <v>250.75296885208826</v>
      </c>
      <c r="W46" s="6021">
        <f>+$D$46</f>
        <v>279.25712372878712</v>
      </c>
      <c r="X46" s="6021">
        <f>+X30/X$6*1000</f>
        <v>282.55143704782705</v>
      </c>
      <c r="Y46" s="2211">
        <f t="shared" si="313"/>
        <v>279.25712372878712</v>
      </c>
      <c r="Z46" s="2211">
        <f t="shared" si="313"/>
        <v>254.21089460448255</v>
      </c>
      <c r="AA46" s="2212">
        <f>+AA30/AA$6*1000</f>
        <v>279.25712372878712</v>
      </c>
      <c r="AB46" s="428">
        <f>+AB30/AB$6*1000</f>
        <v>255.84610911027107</v>
      </c>
      <c r="AC46" s="6156">
        <f>+$D$46</f>
        <v>279.25712372878712</v>
      </c>
      <c r="AD46" s="6156">
        <f>+AD30/AD$6*1000</f>
        <v>277.99145751842343</v>
      </c>
      <c r="AE46" s="2236">
        <f t="shared" ref="AE46:AF46" si="340">+AE30/AE$6*1000</f>
        <v>279.25712372878712</v>
      </c>
      <c r="AF46" s="2236">
        <f t="shared" si="340"/>
        <v>258.45630829466137</v>
      </c>
      <c r="AG46" s="6318">
        <f>+$D$46</f>
        <v>279.25712372878712</v>
      </c>
      <c r="AH46" s="7187">
        <f>+AH30/AH$6*1000</f>
        <v>276.50828472214829</v>
      </c>
      <c r="AI46" s="4635">
        <f t="shared" ref="AI46:AJ46" si="341">+AI30/AI$6*1000</f>
        <v>279.25712372878712</v>
      </c>
      <c r="AJ46" s="4635">
        <f t="shared" si="341"/>
        <v>260.69797069463823</v>
      </c>
      <c r="AK46" s="6577">
        <f>+$D$46</f>
        <v>279.25712372878712</v>
      </c>
      <c r="AL46" s="6577">
        <f>+AL30/AL$6*1000</f>
        <v>279.05251608953694</v>
      </c>
      <c r="AM46" s="2544">
        <f t="shared" ref="AM46:AP46" si="342">+AM30/AM$6*1000</f>
        <v>279.25712372878706</v>
      </c>
      <c r="AN46" s="2544">
        <f t="shared" si="342"/>
        <v>277.85520888005561</v>
      </c>
      <c r="AO46" s="2236">
        <f t="shared" si="342"/>
        <v>279.25712372878706</v>
      </c>
      <c r="AP46" s="2236">
        <f t="shared" si="342"/>
        <v>262.78001320483702</v>
      </c>
      <c r="AQ46" s="6669">
        <f>+$D$46</f>
        <v>279.25712372878712</v>
      </c>
      <c r="AR46" s="6669">
        <f>+AR30/AR$6*1000</f>
        <v>238.76494069464175</v>
      </c>
      <c r="AS46" s="2236">
        <f t="shared" ref="AS46:AT46" si="343">+AS30/AS$6*1000</f>
        <v>279.25712372878712</v>
      </c>
      <c r="AT46" s="2236">
        <f t="shared" si="343"/>
        <v>260.39216842429454</v>
      </c>
      <c r="AU46" s="6868">
        <f>+$D$46</f>
        <v>279.25712372878712</v>
      </c>
      <c r="AV46" s="6868">
        <f>+AV30/AV$6*1000</f>
        <v>235.32473306666708</v>
      </c>
      <c r="AW46" s="5026">
        <f t="shared" ref="AW46:AX46" si="344">+AW30/AW$6*1000</f>
        <v>279.25712372878706</v>
      </c>
      <c r="AX46" s="5026">
        <f t="shared" si="344"/>
        <v>258.53904493736587</v>
      </c>
      <c r="AY46" s="6987">
        <f>+$D$46</f>
        <v>279.25712372878712</v>
      </c>
      <c r="AZ46" s="6987">
        <f>+AZ30/AZ$6*1000</f>
        <v>255.38291916082667</v>
      </c>
      <c r="BA46" s="2777">
        <f t="shared" ref="BA46:BB46" si="345">+BA30/BA$6*1000</f>
        <v>279.25712372878712</v>
      </c>
      <c r="BB46" s="2777">
        <f t="shared" si="345"/>
        <v>243.82674184737769</v>
      </c>
      <c r="BC46" s="2779">
        <f>+BC30/BC$6*1000</f>
        <v>279.25712372878706</v>
      </c>
      <c r="BD46" s="428">
        <f>+BD30/BD$6*1000</f>
        <v>260.90664904559344</v>
      </c>
      <c r="BE46" s="2236">
        <f t="shared" ref="BE46:BF46" si="346">+BE30/BE$6*1000</f>
        <v>279.25712372878706</v>
      </c>
      <c r="BF46" s="2236">
        <f t="shared" si="346"/>
        <v>258.26596118834044</v>
      </c>
      <c r="BG46" s="4234"/>
      <c r="BH46" s="4234"/>
      <c r="BI46" s="25"/>
      <c r="BJ46" s="25"/>
      <c r="BK46" s="25"/>
      <c r="BL46" s="25"/>
      <c r="BM46" s="25"/>
      <c r="BN46" s="25"/>
    </row>
    <row r="47" spans="1:66" ht="15.75" thickBot="1" x14ac:dyDescent="0.3">
      <c r="A47" s="137" t="s">
        <v>446</v>
      </c>
      <c r="B47" s="1630" t="s">
        <v>6</v>
      </c>
      <c r="C47" s="702" t="s">
        <v>241</v>
      </c>
      <c r="D47" s="1362">
        <v>6.7086666666666668</v>
      </c>
      <c r="E47" s="1362">
        <v>16</v>
      </c>
      <c r="F47" s="1362">
        <f>+F31/F$6*1000</f>
        <v>1.4999358857551643</v>
      </c>
      <c r="G47" s="1362">
        <v>2</v>
      </c>
      <c r="H47" s="1362">
        <f>+H31/H$6*1000</f>
        <v>3.2174445872594974</v>
      </c>
      <c r="I47" s="557">
        <f>+I31/I$6*1000</f>
        <v>8.2222222222222232</v>
      </c>
      <c r="J47" s="42">
        <f>+J31/J$6*1000</f>
        <v>2.3911964037899565</v>
      </c>
      <c r="K47" s="1362">
        <v>2</v>
      </c>
      <c r="L47" s="1362">
        <f>+L31/L$6*1000</f>
        <v>4.3355403019390035</v>
      </c>
      <c r="M47" s="462">
        <f>+M31/M$6*1000</f>
        <v>6.0444444444444443</v>
      </c>
      <c r="N47" s="462">
        <f>+N31/N$6*1000</f>
        <v>3.0652357902239107</v>
      </c>
      <c r="O47" s="1362">
        <v>2</v>
      </c>
      <c r="P47" s="1362">
        <f>+P31/P$6*1000</f>
        <v>1.9098068450968004</v>
      </c>
      <c r="Q47" s="557">
        <f>+Q31/Q$6*1000</f>
        <v>4.9866666666666672</v>
      </c>
      <c r="R47" s="557">
        <f>+R31/R$6*1000</f>
        <v>2.7622161459074501</v>
      </c>
      <c r="S47" s="1362">
        <v>2</v>
      </c>
      <c r="T47" s="1362">
        <f>+T31/T$6*1000</f>
        <v>4.1411399032470504</v>
      </c>
      <c r="U47" s="557">
        <f>+U31/U$6*1000</f>
        <v>4.3674796747967477</v>
      </c>
      <c r="V47" s="557">
        <f>+V31/V$6*1000</f>
        <v>3.0359719166718588</v>
      </c>
      <c r="W47" s="1362">
        <v>15</v>
      </c>
      <c r="X47" s="1362">
        <f>+X31/X$6*1000</f>
        <v>2.0139960394151353</v>
      </c>
      <c r="Y47" s="462">
        <f>+Y31/Y$6*1000</f>
        <v>4.8</v>
      </c>
      <c r="Z47" s="462">
        <f>+Z31/Z$6*1000</f>
        <v>2.6819552106025952</v>
      </c>
      <c r="AA47" s="1063">
        <f>+AA31/AA$6*1000</f>
        <v>5.4540145985401463</v>
      </c>
      <c r="AB47" s="433">
        <f>+AB31/AB$6*1000</f>
        <v>2.8722826958167036</v>
      </c>
      <c r="AC47" s="1362">
        <v>8</v>
      </c>
      <c r="AD47" s="1362">
        <f>+AD31/AD$6*1000</f>
        <v>5.190624259406067</v>
      </c>
      <c r="AE47" s="557">
        <f>+AE31/AE$6*1000</f>
        <v>5.860122699386503</v>
      </c>
      <c r="AF47" s="557">
        <f>+AF31/AF$6*1000</f>
        <v>3.1455379703280495</v>
      </c>
      <c r="AG47" s="105">
        <v>2</v>
      </c>
      <c r="AH47" s="105">
        <f>+AH31/AH$6*1000</f>
        <v>2.1585250270122818</v>
      </c>
      <c r="AI47" s="557">
        <f>+AI31/AI$6*1000</f>
        <v>5.343251859723698</v>
      </c>
      <c r="AJ47" s="557">
        <f>+AJ31/AJ$6*1000</f>
        <v>3.0229724544573062</v>
      </c>
      <c r="AK47" s="105">
        <v>2</v>
      </c>
      <c r="AL47" s="105">
        <f>+AL31/AL$6*1000</f>
        <v>3.1527144509681548</v>
      </c>
      <c r="AM47" s="462">
        <f>+AM31/AM$6*1000</f>
        <v>4.0207253886010363</v>
      </c>
      <c r="AN47" s="462">
        <f>+AN31/AN$6*1000</f>
        <v>3.3973057144325236</v>
      </c>
      <c r="AO47" s="557">
        <f>+AO31/AO$6*1000</f>
        <v>4.9374416433239965</v>
      </c>
      <c r="AP47" s="557">
        <f>+AP31/AP$6*1000</f>
        <v>3.0376897000377241</v>
      </c>
      <c r="AQ47" s="105">
        <v>2</v>
      </c>
      <c r="AR47" s="105">
        <f>+AR31/AR$6*1000</f>
        <v>12.232113028555281</v>
      </c>
      <c r="AS47" s="557">
        <f>+AS31/AS$6*1000</f>
        <v>4.6151288445552785</v>
      </c>
      <c r="AT47" s="557">
        <f>+AT31/AT$6*1000</f>
        <v>3.9519012122360975</v>
      </c>
      <c r="AU47" s="105">
        <v>2</v>
      </c>
      <c r="AV47" s="105">
        <f>+AV31/AV$6*1000</f>
        <v>7.6484685512371096</v>
      </c>
      <c r="AW47" s="557">
        <f>+AW31/AW$6*1000</f>
        <v>4.3815291445874331</v>
      </c>
      <c r="AX47" s="557">
        <f>+AX31/AX$6*1000</f>
        <v>4.2251719182013128</v>
      </c>
      <c r="AY47" s="105">
        <v>2</v>
      </c>
      <c r="AZ47" s="105">
        <f>+AZ31/AZ$6*1000</f>
        <v>0.29300632028131773</v>
      </c>
      <c r="BA47" s="462">
        <f>+BA31/BA$6*1000</f>
        <v>2</v>
      </c>
      <c r="BB47" s="462">
        <f>+BB31/BB$6*1000</f>
        <v>6.5950678668809859</v>
      </c>
      <c r="BC47" s="1063">
        <f>+BC31/BC$6*1000</f>
        <v>3.015625</v>
      </c>
      <c r="BD47" s="433">
        <f>+BD31/BD$6*1000</f>
        <v>4.9900152280613588</v>
      </c>
      <c r="BE47" s="557">
        <f>+BE31/BE$6*1000</f>
        <v>4.1651754989676526</v>
      </c>
      <c r="BF47" s="557">
        <f>+BF31/BF$6*1000</f>
        <v>3.8849413319392503</v>
      </c>
      <c r="BG47" s="4234"/>
      <c r="BH47" s="4234"/>
      <c r="BI47" s="25"/>
      <c r="BJ47" s="25"/>
      <c r="BK47" s="25"/>
      <c r="BL47" s="25"/>
      <c r="BM47" s="25"/>
      <c r="BN47" s="25"/>
    </row>
    <row r="48" spans="1:66" ht="16.5" thickBot="1" x14ac:dyDescent="0.3">
      <c r="A48" s="138" t="s">
        <v>446</v>
      </c>
      <c r="B48" s="1628" t="s">
        <v>47</v>
      </c>
      <c r="C48" s="2220"/>
      <c r="D48" s="2220"/>
      <c r="E48" s="2220"/>
      <c r="F48" s="2220"/>
      <c r="G48" s="4487"/>
      <c r="I48" s="2220"/>
      <c r="J48" s="2220"/>
      <c r="K48" s="4487"/>
      <c r="L48" s="4487"/>
      <c r="M48" s="2220"/>
      <c r="N48" s="2220"/>
      <c r="O48" s="4487"/>
      <c r="P48" s="4487"/>
      <c r="Q48" s="2220"/>
      <c r="R48" s="2220"/>
      <c r="S48" s="4487"/>
      <c r="U48" s="4233"/>
      <c r="V48" s="4233"/>
      <c r="W48" s="4487"/>
      <c r="X48" s="4487"/>
      <c r="Y48" s="2220"/>
      <c r="Z48" s="2220"/>
      <c r="AA48" s="2220"/>
      <c r="AB48" s="2220"/>
      <c r="AC48" s="4487"/>
      <c r="AD48" s="4487"/>
      <c r="AE48" s="2438"/>
      <c r="AF48" s="2438"/>
      <c r="AG48" s="4487"/>
      <c r="AI48" s="4487"/>
      <c r="AJ48" s="4487"/>
      <c r="AK48" s="4487"/>
      <c r="AL48" s="4487"/>
      <c r="AM48" s="2551"/>
      <c r="AN48" s="2551"/>
      <c r="AO48" s="2551"/>
      <c r="AP48" s="2551"/>
      <c r="AQ48" s="4487"/>
      <c r="AR48" s="4487"/>
      <c r="AS48" s="2601"/>
      <c r="AT48" s="2601"/>
      <c r="AU48" s="4487"/>
      <c r="AV48" s="4487"/>
      <c r="AW48" s="4487"/>
      <c r="AX48" s="4487"/>
      <c r="AY48" s="4487"/>
      <c r="AZ48" s="4487"/>
      <c r="BE48" s="2787"/>
      <c r="BF48" s="2787"/>
      <c r="BG48" s="4234"/>
      <c r="BH48" s="4234"/>
      <c r="BI48" s="25"/>
      <c r="BJ48" s="25"/>
      <c r="BK48" s="25"/>
      <c r="BL48" s="25"/>
      <c r="BM48" s="25"/>
      <c r="BN48" s="25"/>
    </row>
    <row r="49" spans="1:71" x14ac:dyDescent="0.25">
      <c r="A49" s="137" t="s">
        <v>446</v>
      </c>
      <c r="B49" s="2075" t="s">
        <v>260</v>
      </c>
      <c r="C49" s="2040" t="s">
        <v>242</v>
      </c>
      <c r="D49" s="2076">
        <f>+'Maj Techno Summ'!D14</f>
        <v>2.4702702969758947</v>
      </c>
      <c r="E49" s="2076">
        <f>+'Maj Techno Summ'!E14</f>
        <v>2.2528865108420164</v>
      </c>
      <c r="F49" s="2077">
        <f>+F6/3551/F50</f>
        <v>2.2602287624284432</v>
      </c>
      <c r="G49" s="2076">
        <f>+'Maj Techno Summ'!G14</f>
        <v>2.4406270534121841</v>
      </c>
      <c r="H49" s="2077">
        <f>+'Maj Techno Summ'!H14</f>
        <v>2.4173399790859662</v>
      </c>
      <c r="I49" s="2078">
        <f>+(I6/3551)/(E50+G50)</f>
        <v>2.3534618015046065</v>
      </c>
      <c r="J49" s="2078">
        <f>+(J6/3551)/(F50+H50)</f>
        <v>2.3391197955694407</v>
      </c>
      <c r="K49" s="2076">
        <f>+'Maj Techno Summ'!K14</f>
        <v>2.4471008652249489</v>
      </c>
      <c r="L49" s="2077">
        <f>+'Maj Techno Summ'!L14</f>
        <v>2.4868497260238507</v>
      </c>
      <c r="M49" s="2079">
        <f>+(M6/3551)/(E50+G50+K50)</f>
        <v>2.3854092467738996</v>
      </c>
      <c r="N49" s="2079">
        <f>+(N6/3551)/(F50+H50+L50)</f>
        <v>2.38830343326492</v>
      </c>
      <c r="O49" s="2076">
        <f>+'Maj Techno Summ'!O14</f>
        <v>2.3936919177696425</v>
      </c>
      <c r="P49" s="2077">
        <f>+'Maj Techno Summ'!P14</f>
        <v>2.4358635913554569</v>
      </c>
      <c r="Q49" s="2078">
        <f>+(Q6/3551)/(M50+O50)</f>
        <v>2.3875699435553979</v>
      </c>
      <c r="R49" s="2078">
        <f>+(R6/3551)/(N50+P50)</f>
        <v>2.4005958398230085</v>
      </c>
      <c r="S49" s="2076">
        <f>+'Maj Techno Summ'!S14</f>
        <v>2.3936919177696425</v>
      </c>
      <c r="T49" s="2077">
        <f>+'Maj Techno Summ'!T14</f>
        <v>2.3754677151130301</v>
      </c>
      <c r="U49" s="2078">
        <f>+(U6/3551)/(Q50+S50)</f>
        <v>2.3888365589100689</v>
      </c>
      <c r="V49" s="2078">
        <f>+(V6/3551)/(R50+T50)</f>
        <v>2.395564983302219</v>
      </c>
      <c r="W49" s="2076">
        <f>+'Maj Techno Summ'!W14</f>
        <v>2.3168490916157101</v>
      </c>
      <c r="X49" s="2077">
        <f>+'Maj Techno Summ'!X14</f>
        <v>2.3089599228862205</v>
      </c>
      <c r="Y49" s="2080">
        <f>+(Y6/3551)/(O50+S50+W50)</f>
        <v>2.3767135047072849</v>
      </c>
      <c r="Z49" s="2080">
        <f>+(Z6/3551)/(P50+T50+X50)</f>
        <v>2.3743513256456312</v>
      </c>
      <c r="AA49" s="2081">
        <f>+(AA6/3551)/(M50+Y50)</f>
        <v>2.3812756104139621</v>
      </c>
      <c r="AB49" s="2082">
        <f>+(AB6/3551)/(N50+Z50)</f>
        <v>2.3812591561396621</v>
      </c>
      <c r="AC49" s="2076">
        <f>+'Maj Techno Summ'!AC14</f>
        <v>2.4406270534121841</v>
      </c>
      <c r="AD49" s="2077">
        <f>+'Maj Techno Summ'!AD14</f>
        <v>2.1223595645794298</v>
      </c>
      <c r="AE49" s="2078">
        <f>+(AE6/3551)/(AA50+AC50)</f>
        <v>2.3905484587496737</v>
      </c>
      <c r="AF49" s="2078">
        <f>+(AF6/3551)/(AB50+AD50)</f>
        <v>2.3475063174045778</v>
      </c>
      <c r="AG49" s="2076">
        <f>+'Maj Techno Summ'!AG14</f>
        <v>2.4471008652249489</v>
      </c>
      <c r="AH49" s="2077">
        <f>+'Maj Techno Summ'!AH14</f>
        <v>2.3620869272753087</v>
      </c>
      <c r="AI49" s="2078">
        <f>+(AI6/3551)/(AE50+AG50)</f>
        <v>2.3979687964214418</v>
      </c>
      <c r="AJ49" s="2078">
        <f>+(AJ6/3551)/(AF50+AH50)</f>
        <v>2.3493071156442009</v>
      </c>
      <c r="AK49" s="2076">
        <f>+'Maj Techno Summ'!AK14</f>
        <v>2.4406270534121841</v>
      </c>
      <c r="AL49" s="2077">
        <f>+'Maj Techno Summ'!AL14</f>
        <v>2.307723312740801</v>
      </c>
      <c r="AM49" s="2080">
        <f>+(AM6/3551)/(AC50+AG50+AK50)</f>
        <v>2.4427364977107255</v>
      </c>
      <c r="AN49" s="2080">
        <f>+(AN6/3551)/(AD50+AH50+AL50)</f>
        <v>2.2684138231452518</v>
      </c>
      <c r="AO49" s="2078">
        <f>+(AO6/3551)/(AK50+AI50)</f>
        <v>2.4030670502663787</v>
      </c>
      <c r="AP49" s="2078">
        <f>+(AP6/3551)/(AL50+AJ50)</f>
        <v>2.3445148661815201</v>
      </c>
      <c r="AQ49" s="2076">
        <f>+'Maj Techno Summ'!AQ14</f>
        <v>2.478175161926218</v>
      </c>
      <c r="AR49" s="2077">
        <f>+'Maj Techno Summ'!AR14</f>
        <v>2.2672002493376202</v>
      </c>
      <c r="AS49" s="2078">
        <f>+(AS6/3551)/(AO50+AQ50)</f>
        <v>2.4110852285703435</v>
      </c>
      <c r="AT49" s="2078">
        <f>+(AT6/3551)/(AP50+AR50)</f>
        <v>2.3365921003198635</v>
      </c>
      <c r="AU49" s="2076">
        <f>+'Maj Techno Summ'!AU14</f>
        <v>2.4614871136977587</v>
      </c>
      <c r="AV49" s="2077">
        <f>+'Maj Techno Summ'!AV14</f>
        <v>2.0074321710463376</v>
      </c>
      <c r="AW49" s="2078">
        <f>+(AW6/3551)/(AS50+AU50)</f>
        <v>2.4155033336878282</v>
      </c>
      <c r="AX49" s="2078">
        <f>+(AX6/3551)/(AT50+AV50)</f>
        <v>2.3086080391861521</v>
      </c>
      <c r="AY49" s="2076">
        <f>+'Maj Techno Summ'!AY14</f>
        <v>2.478175161926218</v>
      </c>
      <c r="AZ49" s="2077">
        <f>+'Maj Techno Summ'!AZ14</f>
        <v>2.3665177008969525</v>
      </c>
      <c r="BA49" s="2080">
        <f>+(BA6/3551)/(AQ50+AU50+AY50)</f>
        <v>2.4729961124760065</v>
      </c>
      <c r="BB49" s="2080">
        <f>+(BB6/3551)/(AR50+AV50+AZ50)</f>
        <v>2.2196034453298354</v>
      </c>
      <c r="BC49" s="2081">
        <f>+(BC6/3551)/(AM50+BA50)</f>
        <v>2.4576943754640177</v>
      </c>
      <c r="BD49" s="2082">
        <f>+(BD6/3551)/(AN50+BB50)</f>
        <v>2.2438374054957788</v>
      </c>
      <c r="BE49" s="2078">
        <f>+(BE6/3551)/(AW50+AY50)</f>
        <v>2.4210656444128076</v>
      </c>
      <c r="BF49" s="2078">
        <f>+(BF6/3551)/(AX50+AZ50)</f>
        <v>2.313506431173844</v>
      </c>
      <c r="BG49" s="4234">
        <f>BA6/BA50/3551</f>
        <v>2.4729961124760065</v>
      </c>
      <c r="BH49" s="4234">
        <f t="shared" ref="BH49:BL49" si="347">BB6/BB50/3551</f>
        <v>2.2196034453298354</v>
      </c>
      <c r="BI49" s="4234">
        <f t="shared" si="347"/>
        <v>2.4576943754640181</v>
      </c>
      <c r="BJ49" s="4234">
        <f t="shared" si="347"/>
        <v>2.2438374054957788</v>
      </c>
      <c r="BK49" s="4234">
        <f t="shared" si="347"/>
        <v>2.4210656444128076</v>
      </c>
      <c r="BL49" s="4234">
        <f t="shared" si="347"/>
        <v>2.313506431173844</v>
      </c>
      <c r="BM49" s="25"/>
      <c r="BN49" s="4234">
        <f>BA49-BG49</f>
        <v>0</v>
      </c>
      <c r="BO49" s="4234"/>
      <c r="BP49" s="7699"/>
      <c r="BQ49" s="4234"/>
      <c r="BR49" s="4234"/>
      <c r="BS49" s="4234"/>
    </row>
    <row r="50" spans="1:71" ht="15.75" thickBot="1" x14ac:dyDescent="0.3">
      <c r="A50" s="137" t="s">
        <v>446</v>
      </c>
      <c r="B50" s="1630" t="s">
        <v>423</v>
      </c>
      <c r="C50" s="702" t="s">
        <v>243</v>
      </c>
      <c r="D50" s="105">
        <f>+D6/(D49*3551)</f>
        <v>342.00000000000006</v>
      </c>
      <c r="E50" s="1362">
        <f>+E6/(E49*3551)</f>
        <v>26</v>
      </c>
      <c r="F50" s="181">
        <f>+F78/24</f>
        <v>29.53833333333333</v>
      </c>
      <c r="G50" s="1362">
        <f>+G6/(G49*3551)</f>
        <v>30.000000000000004</v>
      </c>
      <c r="H50" s="181">
        <f>+H6/(H49*3551)</f>
        <v>29.791666666666664</v>
      </c>
      <c r="I50" s="561">
        <f>+E50+G50</f>
        <v>56</v>
      </c>
      <c r="J50" s="561">
        <f>+F50+H50</f>
        <v>59.33</v>
      </c>
      <c r="K50" s="1362">
        <f>+K6/(K49*3551)</f>
        <v>29</v>
      </c>
      <c r="L50" s="181">
        <f>+L6/(L49*3551)</f>
        <v>29.611111111111111</v>
      </c>
      <c r="M50" s="2064">
        <f>+K50+G50+E50</f>
        <v>85</v>
      </c>
      <c r="N50" s="2064">
        <f>+L50+H50+F50</f>
        <v>88.941111111111098</v>
      </c>
      <c r="O50" s="1362">
        <f>+O6/(O49*3551)</f>
        <v>30</v>
      </c>
      <c r="P50" s="181">
        <f>+P6/(P49*3551)</f>
        <v>30.999999999999996</v>
      </c>
      <c r="Q50" s="561">
        <f>+M50+O50</f>
        <v>115</v>
      </c>
      <c r="R50" s="561">
        <f>+N50+P50</f>
        <v>119.9411111111111</v>
      </c>
      <c r="S50" s="1362">
        <f>+S6/(S49*3551)</f>
        <v>30</v>
      </c>
      <c r="T50" s="181">
        <f>+T6/(T49*3551)</f>
        <v>30.024305555555554</v>
      </c>
      <c r="U50" s="561">
        <f>+Q50+S50</f>
        <v>145</v>
      </c>
      <c r="V50" s="561">
        <f>+R50+T50</f>
        <v>149.96541666666664</v>
      </c>
      <c r="W50" s="1362">
        <f>+W6/(W49*3551)</f>
        <v>17.016867469879518</v>
      </c>
      <c r="X50" s="181">
        <f>+X6/(X49*3551)</f>
        <v>29.673611111111111</v>
      </c>
      <c r="Y50" s="2051">
        <f>+W50+S50+O50</f>
        <v>77.016867469879514</v>
      </c>
      <c r="Z50" s="72">
        <f>+X50+T50+P50</f>
        <v>90.697916666666657</v>
      </c>
      <c r="AA50" s="2083">
        <f>M50+Y50</f>
        <v>162.01686746987951</v>
      </c>
      <c r="AB50" s="450">
        <f>+N50+Z50</f>
        <v>179.63902777777776</v>
      </c>
      <c r="AC50" s="1362">
        <f>+AC6/(AC49*3551)</f>
        <v>30.000000000000004</v>
      </c>
      <c r="AD50" s="181">
        <f>+AD6/(AD49*3551)</f>
        <v>26.930555555555561</v>
      </c>
      <c r="AE50" s="561">
        <f>+AA50+AC50</f>
        <v>192.01686746987951</v>
      </c>
      <c r="AF50" s="561">
        <f>+AB50+AD50</f>
        <v>206.56958333333333</v>
      </c>
      <c r="AG50" s="1362">
        <f>+AG6/(AG49*3551)</f>
        <v>29</v>
      </c>
      <c r="AH50" s="181">
        <f>+AH6/(AH49*3551)</f>
        <v>29.107638888888889</v>
      </c>
      <c r="AI50" s="561">
        <f>+AE50+AG50</f>
        <v>221.01686746987951</v>
      </c>
      <c r="AJ50" s="561">
        <f>+AF50+AH50</f>
        <v>235.67722222222221</v>
      </c>
      <c r="AK50" s="1362">
        <f>+AK6/(AK49*3551)</f>
        <v>30.000000000000004</v>
      </c>
      <c r="AL50" s="181">
        <f>+AL6/(AL49*3551)</f>
        <v>30.697916666666668</v>
      </c>
      <c r="AM50" s="2051">
        <f>+AK50+AG50+AC50</f>
        <v>89</v>
      </c>
      <c r="AN50" s="72">
        <f>+AL50+AH50+AD50</f>
        <v>86.736111111111114</v>
      </c>
      <c r="AO50" s="561">
        <f>+AK50+AI50</f>
        <v>251.01686746987951</v>
      </c>
      <c r="AP50" s="561">
        <f>+AL50+AJ50</f>
        <v>266.3751388888889</v>
      </c>
      <c r="AQ50" s="1362">
        <f>+AQ6/(AQ49*3551)</f>
        <v>30</v>
      </c>
      <c r="AR50" s="181">
        <f>+AR6/(AR49*3551)</f>
        <v>30.413194444444393</v>
      </c>
      <c r="AS50" s="561">
        <f>+AO50+AQ50</f>
        <v>281.01686746987951</v>
      </c>
      <c r="AT50" s="557">
        <f>+AP50+AR50</f>
        <v>296.7883333333333</v>
      </c>
      <c r="AU50" s="1362">
        <f>+AU6/(AU49*3551)</f>
        <v>27</v>
      </c>
      <c r="AV50" s="181">
        <f>+AV6/(AV49*3551)</f>
        <v>27.576388888888886</v>
      </c>
      <c r="AW50" s="561">
        <f>+AS50+AU50</f>
        <v>308.01686746987951</v>
      </c>
      <c r="AX50" s="561">
        <f>+AT50+AV50</f>
        <v>324.36472222222221</v>
      </c>
      <c r="AY50" s="1362">
        <f>+AY6/(AY49*3551)</f>
        <v>30</v>
      </c>
      <c r="AZ50" s="181">
        <f>+AZ6/(AZ49*3551)</f>
        <v>29.972222222222232</v>
      </c>
      <c r="BA50" s="2051">
        <f>+AY50+AU50+AQ50</f>
        <v>87</v>
      </c>
      <c r="BB50" s="72">
        <f>+AZ50+AV50+AR50</f>
        <v>87.961805555555515</v>
      </c>
      <c r="BC50" s="443">
        <f t="shared" ref="BC50" si="348">AM50+BA50</f>
        <v>176</v>
      </c>
      <c r="BD50" s="443">
        <f t="shared" ref="BD50" si="349">AN50+BB50</f>
        <v>174.69791666666663</v>
      </c>
      <c r="BE50" s="561">
        <f>+AW50+AY50</f>
        <v>338.01686746987951</v>
      </c>
      <c r="BF50" s="561">
        <f>+AX50+AZ50</f>
        <v>354.33694444444444</v>
      </c>
      <c r="BG50" s="4234"/>
      <c r="BH50" s="4234"/>
      <c r="BI50" s="1137"/>
      <c r="BJ50" s="25"/>
      <c r="BK50" s="25"/>
      <c r="BL50" s="25"/>
      <c r="BM50" s="25"/>
      <c r="BN50" s="25"/>
    </row>
    <row r="51" spans="1:71" s="4487" customFormat="1" ht="15.75" thickBot="1" x14ac:dyDescent="0.3">
      <c r="A51" s="137"/>
      <c r="B51" s="4269" t="s">
        <v>2282</v>
      </c>
      <c r="C51" s="773" t="s">
        <v>66</v>
      </c>
      <c r="D51" s="7194">
        <f>+D6/D50</f>
        <v>8771.9298245614027</v>
      </c>
      <c r="E51" s="7194">
        <f>+E6/E50</f>
        <v>8000</v>
      </c>
      <c r="F51" s="7194">
        <f t="shared" ref="F51:BF51" si="350">+F6/F50</f>
        <v>8026.0723353834028</v>
      </c>
      <c r="G51" s="7194">
        <f t="shared" si="350"/>
        <v>8666.6666666666661</v>
      </c>
      <c r="H51" s="7194">
        <f t="shared" si="350"/>
        <v>8583.9742657342667</v>
      </c>
      <c r="I51" s="7192">
        <f t="shared" si="350"/>
        <v>8357.1428571428569</v>
      </c>
      <c r="J51" s="37">
        <f t="shared" si="350"/>
        <v>8306.214394067083</v>
      </c>
      <c r="K51" s="7194">
        <f t="shared" si="350"/>
        <v>8689.6551724137935</v>
      </c>
      <c r="L51" s="7194">
        <f t="shared" si="350"/>
        <v>8830.803377110693</v>
      </c>
      <c r="M51" s="7189">
        <f t="shared" si="350"/>
        <v>8470.5882352941171</v>
      </c>
      <c r="N51" s="7189">
        <f t="shared" si="350"/>
        <v>8480.8654915237312</v>
      </c>
      <c r="O51" s="7194">
        <f t="shared" si="350"/>
        <v>8500</v>
      </c>
      <c r="P51" s="7194">
        <f t="shared" si="350"/>
        <v>8649.7516129032283</v>
      </c>
      <c r="Q51" s="7191">
        <f t="shared" si="350"/>
        <v>8478.2608695652179</v>
      </c>
      <c r="R51" s="7191">
        <f t="shared" si="350"/>
        <v>8524.5158272115041</v>
      </c>
      <c r="S51" s="7194">
        <f t="shared" si="350"/>
        <v>8500</v>
      </c>
      <c r="T51" s="7194">
        <f t="shared" si="350"/>
        <v>8435.2858563663704</v>
      </c>
      <c r="U51" s="7191">
        <f t="shared" si="350"/>
        <v>8482.7586206896558</v>
      </c>
      <c r="V51" s="7191">
        <f t="shared" si="350"/>
        <v>8506.6512557061797</v>
      </c>
      <c r="W51" s="7194">
        <f t="shared" si="350"/>
        <v>8227.1311243273867</v>
      </c>
      <c r="X51" s="7194">
        <f t="shared" si="350"/>
        <v>8199.116686168969</v>
      </c>
      <c r="Y51" s="7189">
        <f t="shared" si="350"/>
        <v>8439.709655215569</v>
      </c>
      <c r="Z51" s="7189">
        <f t="shared" si="350"/>
        <v>8431.3215573676371</v>
      </c>
      <c r="AA51" s="7190">
        <f t="shared" si="350"/>
        <v>8455.9096925799786</v>
      </c>
      <c r="AB51" s="428">
        <f t="shared" si="350"/>
        <v>8455.8512634519393</v>
      </c>
      <c r="AC51" s="7194">
        <f t="shared" si="350"/>
        <v>8666.6666666666661</v>
      </c>
      <c r="AD51" s="7194">
        <f t="shared" si="350"/>
        <v>7536.4988138215549</v>
      </c>
      <c r="AE51" s="7191">
        <f t="shared" si="350"/>
        <v>8488.837577020091</v>
      </c>
      <c r="AF51" s="7191">
        <f t="shared" si="350"/>
        <v>8335.9949331036551</v>
      </c>
      <c r="AG51" s="7194">
        <f t="shared" si="350"/>
        <v>8689.6551724137935</v>
      </c>
      <c r="AH51" s="7194">
        <f t="shared" si="350"/>
        <v>8387.7706787546213</v>
      </c>
      <c r="AI51" s="7191">
        <f t="shared" si="350"/>
        <v>8515.18719609254</v>
      </c>
      <c r="AJ51" s="7191">
        <f t="shared" si="350"/>
        <v>8342.3895676525572</v>
      </c>
      <c r="AK51" s="7194">
        <f t="shared" si="350"/>
        <v>8666.6666666666661</v>
      </c>
      <c r="AL51" s="7194">
        <f t="shared" si="350"/>
        <v>8194.7254835425847</v>
      </c>
      <c r="AM51" s="7189">
        <f t="shared" si="350"/>
        <v>8674.1573033707864</v>
      </c>
      <c r="AN51" s="7189">
        <f t="shared" si="350"/>
        <v>8055.1374859887901</v>
      </c>
      <c r="AO51" s="7191">
        <f t="shared" si="350"/>
        <v>8533.2910954959116</v>
      </c>
      <c r="AP51" s="7191">
        <f t="shared" si="350"/>
        <v>8325.3722898105789</v>
      </c>
      <c r="AQ51" s="7194">
        <f t="shared" si="350"/>
        <v>8800</v>
      </c>
      <c r="AR51" s="7194">
        <f t="shared" si="350"/>
        <v>8050.8280853978895</v>
      </c>
      <c r="AS51" s="7191">
        <f t="shared" si="350"/>
        <v>8561.7636466532895</v>
      </c>
      <c r="AT51" s="7191">
        <f t="shared" si="350"/>
        <v>8297.238548235835</v>
      </c>
      <c r="AU51" s="7194">
        <f t="shared" si="350"/>
        <v>8740.7407407407409</v>
      </c>
      <c r="AV51" s="7194">
        <f t="shared" si="350"/>
        <v>7128.3916393855452</v>
      </c>
      <c r="AW51" s="7191">
        <f t="shared" si="350"/>
        <v>8577.452337925477</v>
      </c>
      <c r="AX51" s="7191">
        <f t="shared" si="350"/>
        <v>8197.8671471500256</v>
      </c>
      <c r="AY51" s="7194">
        <f t="shared" si="350"/>
        <v>8800</v>
      </c>
      <c r="AZ51" s="7194">
        <f t="shared" si="350"/>
        <v>8403.5043558850775</v>
      </c>
      <c r="BA51" s="7189">
        <f t="shared" si="350"/>
        <v>8781.6091954022995</v>
      </c>
      <c r="BB51" s="7189">
        <f t="shared" si="350"/>
        <v>7881.8118343662454</v>
      </c>
      <c r="BC51" s="7190">
        <f t="shared" si="350"/>
        <v>8727.2727272727279</v>
      </c>
      <c r="BD51" s="428">
        <f t="shared" si="350"/>
        <v>7967.8666269155101</v>
      </c>
      <c r="BE51" s="7191">
        <f t="shared" si="350"/>
        <v>8597.2041033098794</v>
      </c>
      <c r="BF51" s="7191">
        <f t="shared" si="350"/>
        <v>8215.2613370983199</v>
      </c>
      <c r="BG51" s="4234"/>
      <c r="BH51" s="4234"/>
      <c r="BI51" s="1137"/>
      <c r="BJ51" s="25"/>
      <c r="BK51" s="25"/>
      <c r="BL51" s="25"/>
      <c r="BM51" s="25"/>
      <c r="BN51" s="25"/>
      <c r="BP51" s="258"/>
    </row>
    <row r="52" spans="1:71" ht="15.75" thickBot="1" x14ac:dyDescent="0.3">
      <c r="A52" s="137" t="s">
        <v>446</v>
      </c>
      <c r="B52" s="1631" t="s">
        <v>244</v>
      </c>
      <c r="C52" s="710" t="s">
        <v>49</v>
      </c>
      <c r="D52" s="1360">
        <v>70</v>
      </c>
      <c r="E52" s="1360">
        <f>+$D$52</f>
        <v>70</v>
      </c>
      <c r="F52" s="1139">
        <f>+F109</f>
        <v>71.488901927598349</v>
      </c>
      <c r="G52" s="1360">
        <f>+$D$52</f>
        <v>70</v>
      </c>
      <c r="H52" s="1139">
        <f>+H109</f>
        <v>68.028877042636068</v>
      </c>
      <c r="I52" s="1361">
        <f>+(I43/(I43+I44+I46))*100</f>
        <v>70</v>
      </c>
      <c r="J52" s="1361">
        <f>+J109</f>
        <v>69.672398800616946</v>
      </c>
      <c r="K52" s="1360">
        <f>+$D$52</f>
        <v>70</v>
      </c>
      <c r="L52" s="1139">
        <f>+L109</f>
        <v>70.603076765400957</v>
      </c>
      <c r="M52" s="1467">
        <f>+$D$52</f>
        <v>70</v>
      </c>
      <c r="N52" s="2057">
        <f>+N109</f>
        <v>69.997031713950832</v>
      </c>
      <c r="O52" s="1360">
        <f>+$D$52</f>
        <v>70</v>
      </c>
      <c r="P52" s="1139">
        <f>+P109</f>
        <v>70.948413654028116</v>
      </c>
      <c r="Q52" s="720">
        <f>+$D$52</f>
        <v>70</v>
      </c>
      <c r="R52" s="2056">
        <f>+R109</f>
        <v>70.247412925722941</v>
      </c>
      <c r="S52" s="1360">
        <f>+$D$52</f>
        <v>70</v>
      </c>
      <c r="T52" s="1139">
        <f>+T109</f>
        <v>71.412130955035664</v>
      </c>
      <c r="U52" s="720">
        <f>+$D$52</f>
        <v>70</v>
      </c>
      <c r="V52" s="2056">
        <f>+V109</f>
        <v>70.479175690666111</v>
      </c>
      <c r="W52" s="1360">
        <f>+$D$52</f>
        <v>70</v>
      </c>
      <c r="X52" s="1139">
        <f>+X109</f>
        <v>71.775411644618927</v>
      </c>
      <c r="Y52" s="2067">
        <f>+(Y43/(Y43+Y44+Y46))*100</f>
        <v>70</v>
      </c>
      <c r="Z52" s="2068">
        <f>+Z109</f>
        <v>71.365148800778968</v>
      </c>
      <c r="AA52" s="2069">
        <f>+(AA43/(AA43+AA44+AA46))*100</f>
        <v>70</v>
      </c>
      <c r="AB52" s="2070">
        <f>+AB109</f>
        <v>70.68736864117443</v>
      </c>
      <c r="AC52" s="1360">
        <f>+$D$52</f>
        <v>70</v>
      </c>
      <c r="AD52" s="1139">
        <f>+AD109</f>
        <v>70.192964767058328</v>
      </c>
      <c r="AE52" s="720">
        <f>+$D$52</f>
        <v>70</v>
      </c>
      <c r="AF52" s="1361">
        <f>+AF109</f>
        <v>70.62839610990207</v>
      </c>
      <c r="AG52" s="1360">
        <f>+$D$52</f>
        <v>70</v>
      </c>
      <c r="AH52" s="1139">
        <f>+AH109</f>
        <v>71.299475739148974</v>
      </c>
      <c r="AI52" s="720">
        <f>+$D$52</f>
        <v>70</v>
      </c>
      <c r="AJ52" s="1361">
        <f>+AJ109</f>
        <v>70.712593423492194</v>
      </c>
      <c r="AK52" s="1360">
        <f>+$D$52</f>
        <v>70</v>
      </c>
      <c r="AL52" s="1139">
        <f>+AL109</f>
        <v>67.962178746849304</v>
      </c>
      <c r="AM52" s="2067">
        <f>+(AM43/(AM43+AM44+AM46))*100</f>
        <v>70</v>
      </c>
      <c r="AN52" s="2068">
        <f>+AN109</f>
        <v>69.768783385287577</v>
      </c>
      <c r="AO52" s="720">
        <f>+$D$52</f>
        <v>70</v>
      </c>
      <c r="AP52" s="2056">
        <f>+AP109</f>
        <v>70.394459906663442</v>
      </c>
      <c r="AQ52" s="1360">
        <f>+$D$52</f>
        <v>70</v>
      </c>
      <c r="AR52" s="1139">
        <f>+AR109</f>
        <v>68.691563814948694</v>
      </c>
      <c r="AS52" s="720">
        <f>+$D$52</f>
        <v>70</v>
      </c>
      <c r="AT52" s="1361">
        <f>+AT109</f>
        <v>70.223630565554814</v>
      </c>
      <c r="AU52" s="1360">
        <f>+$D$52</f>
        <v>70</v>
      </c>
      <c r="AV52" s="1139">
        <f>+AV109</f>
        <v>72.190192142263896</v>
      </c>
      <c r="AW52" s="720">
        <f>+$D$52</f>
        <v>70</v>
      </c>
      <c r="AX52" s="1361">
        <f>+AX109</f>
        <v>70.36790572236832</v>
      </c>
      <c r="AY52" s="1360">
        <f>+$D$52</f>
        <v>70</v>
      </c>
      <c r="AZ52" s="1139">
        <f>+AZ109</f>
        <v>72.275284582999859</v>
      </c>
      <c r="BA52" s="2067">
        <f>+(BA43/(BA43+BA44+BA46))*100</f>
        <v>70</v>
      </c>
      <c r="BB52" s="2068">
        <f>+BB109</f>
        <v>70.969266257123536</v>
      </c>
      <c r="BC52" s="2069">
        <f>+(BC43/(BC43+BC44+BC46))*100</f>
        <v>70</v>
      </c>
      <c r="BD52" s="2070">
        <f>+BD109</f>
        <v>70.362197475061009</v>
      </c>
      <c r="BE52" s="720">
        <f>+$D$52</f>
        <v>70</v>
      </c>
      <c r="BF52" s="2056">
        <f>+BF109</f>
        <v>70.531050500906105</v>
      </c>
      <c r="BG52" s="4234"/>
      <c r="BH52" s="4234"/>
      <c r="BI52" s="25"/>
      <c r="BJ52" s="25"/>
      <c r="BK52" s="25"/>
      <c r="BL52" s="25"/>
      <c r="BM52" s="25"/>
      <c r="BN52" s="25"/>
    </row>
    <row r="53" spans="1:71" ht="15.75" thickBot="1" x14ac:dyDescent="0.3">
      <c r="A53" s="137"/>
      <c r="B53" s="1630" t="s">
        <v>1271</v>
      </c>
      <c r="C53" s="702" t="s">
        <v>49</v>
      </c>
      <c r="D53" s="1362">
        <v>17</v>
      </c>
      <c r="E53" s="1362">
        <v>17</v>
      </c>
      <c r="F53" s="181">
        <f>+F111</f>
        <v>15.217146620866739</v>
      </c>
      <c r="G53" s="1362">
        <v>17</v>
      </c>
      <c r="H53" s="181">
        <f>+H111</f>
        <v>16.666216811948523</v>
      </c>
      <c r="I53" s="2071">
        <f>+I111</f>
        <v>17.000000000000014</v>
      </c>
      <c r="J53" s="561">
        <f>+J111</f>
        <v>15.977904309274036</v>
      </c>
      <c r="K53" s="1362">
        <v>17</v>
      </c>
      <c r="L53" s="181">
        <f>+L111</f>
        <v>15.047416471674611</v>
      </c>
      <c r="M53" s="1749">
        <f>+M111</f>
        <v>17</v>
      </c>
      <c r="N53" s="2064">
        <f>+N111</f>
        <v>15.653337714843328</v>
      </c>
      <c r="O53" s="1362">
        <v>17</v>
      </c>
      <c r="P53" s="181">
        <f>+P111</f>
        <v>12.547111298604772</v>
      </c>
      <c r="Q53" s="1962">
        <f>+Q111</f>
        <v>17</v>
      </c>
      <c r="R53" s="2062">
        <f>+R111</f>
        <v>14.835852432252036</v>
      </c>
      <c r="S53" s="1362">
        <v>17</v>
      </c>
      <c r="T53" s="181">
        <f>+T111</f>
        <v>16.742641892683451</v>
      </c>
      <c r="U53" s="1962">
        <f>+U111</f>
        <v>17.000000000000014</v>
      </c>
      <c r="V53" s="2062">
        <f>+V111</f>
        <v>15.215277139685186</v>
      </c>
      <c r="W53" s="1362">
        <v>17</v>
      </c>
      <c r="X53" s="181">
        <f>+X111</f>
        <v>17.088308088955316</v>
      </c>
      <c r="Y53" s="2072">
        <f>+Y111</f>
        <v>17.000000000000007</v>
      </c>
      <c r="Z53" s="2072">
        <f>+Z111</f>
        <v>15.381380613189572</v>
      </c>
      <c r="AA53" s="2073">
        <f>+AA111</f>
        <v>17</v>
      </c>
      <c r="AB53" s="466">
        <f>+AB111</f>
        <v>15.516111134092439</v>
      </c>
      <c r="AC53" s="1362">
        <v>17</v>
      </c>
      <c r="AD53" s="181">
        <f>+AD111</f>
        <v>16.632684498704275</v>
      </c>
      <c r="AE53" s="1962">
        <f>+AE111</f>
        <v>17.000000000000021</v>
      </c>
      <c r="AF53" s="561">
        <f>+AF111</f>
        <v>15.649296088963972</v>
      </c>
      <c r="AG53" s="1362">
        <v>17</v>
      </c>
      <c r="AH53" s="181">
        <f>+AH111</f>
        <v>16.546201866162754</v>
      </c>
      <c r="AI53" s="1962">
        <f>+AI111</f>
        <v>17.000000000000014</v>
      </c>
      <c r="AJ53" s="561">
        <f>+AJ111</f>
        <v>15.761826783821098</v>
      </c>
      <c r="AK53" s="1362">
        <v>17</v>
      </c>
      <c r="AL53" s="181">
        <f>+AL111</f>
        <v>16.50419807859916</v>
      </c>
      <c r="AM53" s="2072">
        <f>+AM111</f>
        <v>17</v>
      </c>
      <c r="AN53" s="2072">
        <f>+AN111</f>
        <v>16.555984687432669</v>
      </c>
      <c r="AO53" s="1962">
        <f>+AO111</f>
        <v>17</v>
      </c>
      <c r="AP53" s="2062">
        <f>+AP111</f>
        <v>15.847694995915113</v>
      </c>
      <c r="AQ53" s="1362">
        <v>17</v>
      </c>
      <c r="AR53" s="181">
        <f>+AR111</f>
        <v>14.258202945770389</v>
      </c>
      <c r="AS53" s="1962">
        <f>+AS111</f>
        <v>17</v>
      </c>
      <c r="AT53" s="561">
        <f>+AT111</f>
        <v>15.688242002309257</v>
      </c>
      <c r="AU53" s="1362">
        <v>17</v>
      </c>
      <c r="AV53" s="181">
        <f>+AV111</f>
        <v>14.295112121795412</v>
      </c>
      <c r="AW53" s="1962">
        <f>+AW111</f>
        <v>16.999999999999986</v>
      </c>
      <c r="AX53" s="561">
        <f>+AX111</f>
        <v>15.586036185642657</v>
      </c>
      <c r="AY53" s="1362">
        <v>17</v>
      </c>
      <c r="AZ53" s="181">
        <f>+AZ111</f>
        <v>15.591139578588084</v>
      </c>
      <c r="BA53" s="2072">
        <f t="shared" ref="BA53:BF53" si="351">+BA111</f>
        <v>17</v>
      </c>
      <c r="BB53" s="2072">
        <f t="shared" si="351"/>
        <v>14.748408201545113</v>
      </c>
      <c r="BC53" s="2073">
        <f t="shared" si="351"/>
        <v>17</v>
      </c>
      <c r="BD53" s="466">
        <f t="shared" si="351"/>
        <v>15.662476433184631</v>
      </c>
      <c r="BE53" s="1962">
        <f t="shared" si="351"/>
        <v>17.000000000000004</v>
      </c>
      <c r="BF53" s="2062">
        <f t="shared" si="351"/>
        <v>15.586472696673079</v>
      </c>
      <c r="BG53" s="4234"/>
      <c r="BH53" s="4234"/>
      <c r="BI53" s="25"/>
      <c r="BJ53" s="25"/>
      <c r="BK53" s="25"/>
      <c r="BL53" s="25"/>
      <c r="BM53" s="25"/>
      <c r="BN53" s="25"/>
    </row>
    <row r="54" spans="1:71" x14ac:dyDescent="0.25">
      <c r="A54" s="137"/>
      <c r="B54" s="1631" t="s">
        <v>567</v>
      </c>
      <c r="C54" s="710" t="s">
        <v>49</v>
      </c>
      <c r="D54" s="767"/>
      <c r="E54" s="2054" t="s">
        <v>32</v>
      </c>
      <c r="F54" s="2055">
        <v>0.59</v>
      </c>
      <c r="G54" s="2054" t="s">
        <v>32</v>
      </c>
      <c r="H54" s="2055">
        <v>0.77</v>
      </c>
      <c r="I54" s="770" t="s">
        <v>32</v>
      </c>
      <c r="J54" s="2056">
        <f>+((F54*F58)+(H54*H58))/J58</f>
        <v>0.67452289305233615</v>
      </c>
      <c r="K54" s="2054" t="s">
        <v>32</v>
      </c>
      <c r="L54" s="2055">
        <v>0.8</v>
      </c>
      <c r="M54" s="771" t="s">
        <v>32</v>
      </c>
      <c r="N54" s="2057">
        <f>+((F54*F58)+(H54*H58)+(L54*L58))/N58</f>
        <v>0.7164360675085566</v>
      </c>
      <c r="O54" s="2054" t="s">
        <v>32</v>
      </c>
      <c r="P54" s="2055">
        <v>0.81</v>
      </c>
      <c r="Q54" s="770" t="s">
        <v>32</v>
      </c>
      <c r="R54" s="2056">
        <f>+((N54*N58)+(P54*P58))/R58</f>
        <v>0.74149334780489662</v>
      </c>
      <c r="S54" s="2054" t="s">
        <v>32</v>
      </c>
      <c r="T54" s="2055">
        <v>0.83</v>
      </c>
      <c r="U54" s="770" t="s">
        <v>32</v>
      </c>
      <c r="V54" s="2056">
        <f>+((R54*R58)+(T54*T58))/V58</f>
        <v>0.75968684094903338</v>
      </c>
      <c r="W54" s="2054" t="s">
        <v>32</v>
      </c>
      <c r="X54" s="2055">
        <v>0.66</v>
      </c>
      <c r="Y54" s="771" t="s">
        <v>32</v>
      </c>
      <c r="Z54" s="2057">
        <f>+((P54*P58)+(T54*T58)+(X54*X58))/Z58</f>
        <v>0.76585177423982886</v>
      </c>
      <c r="AA54" s="772" t="s">
        <v>32</v>
      </c>
      <c r="AB54" s="2058">
        <f>+((N54*N58)+(Z54*Z58))/AB58</f>
        <v>0.74216105866616577</v>
      </c>
      <c r="AC54" s="2054" t="s">
        <v>32</v>
      </c>
      <c r="AD54" s="2055">
        <v>1.36</v>
      </c>
      <c r="AE54" s="770" t="s">
        <v>32</v>
      </c>
      <c r="AF54" s="2056">
        <f>+((AB54*AB58)+(AD54*AD58))/AF58</f>
        <v>0.81924650967465895</v>
      </c>
      <c r="AG54" s="2054" t="s">
        <v>32</v>
      </c>
      <c r="AH54" s="2055">
        <v>0.56999999999999995</v>
      </c>
      <c r="AI54" s="770" t="s">
        <v>32</v>
      </c>
      <c r="AJ54" s="2056">
        <f>+((AF54*AF58)+(AH54*AH58))/AJ58</f>
        <v>0.78821275400220958</v>
      </c>
      <c r="AK54" s="2054" t="s">
        <v>32</v>
      </c>
      <c r="AL54" s="2055">
        <v>0.42</v>
      </c>
      <c r="AM54" s="771" t="s">
        <v>32</v>
      </c>
      <c r="AN54" s="2057">
        <f>+((AD54*AD58)+(AH54*AH58)+(AL54*AL58))/AN58</f>
        <v>0.76012107749737523</v>
      </c>
      <c r="AO54" s="770" t="s">
        <v>32</v>
      </c>
      <c r="AP54" s="2056">
        <f>+((AL54*AL58)+(AJ54*AJ58))/AP58</f>
        <v>0.74786699610083784</v>
      </c>
      <c r="AQ54" s="2054" t="s">
        <v>32</v>
      </c>
      <c r="AR54" s="2055">
        <v>0.66</v>
      </c>
      <c r="AS54" s="770" t="s">
        <v>32</v>
      </c>
      <c r="AT54" s="2056">
        <f>+((AP54*AP58)+(AR54*AR58))/AT58</f>
        <v>0.73862091216085524</v>
      </c>
      <c r="AU54" s="2054" t="s">
        <v>32</v>
      </c>
      <c r="AV54" s="2055">
        <v>0.46</v>
      </c>
      <c r="AW54" s="770" t="s">
        <v>32</v>
      </c>
      <c r="AX54" s="2056">
        <f>+((AT54*AT58)+(AV54*AV58))/AX58</f>
        <v>0.71583957664331743</v>
      </c>
      <c r="AY54" s="2054" t="s">
        <v>32</v>
      </c>
      <c r="AZ54" s="2055">
        <v>0.5</v>
      </c>
      <c r="BA54" s="771" t="s">
        <v>32</v>
      </c>
      <c r="BB54" s="2057">
        <f>+((AR54*AR58)+(AV54*AV58)+(AZ54*AZ58))/BB58</f>
        <v>0.54325166797223201</v>
      </c>
      <c r="BC54" s="772" t="s">
        <v>32</v>
      </c>
      <c r="BD54" s="2058">
        <f>+((AN54*AN58)+(BB54*BB58))/BD58</f>
        <v>0.64753259228442805</v>
      </c>
      <c r="BE54" s="770" t="s">
        <v>32</v>
      </c>
      <c r="BF54" s="2056">
        <f>+((AX54*AX58)+(AZ54*AZ58))/BF58</f>
        <v>0.69560721443346629</v>
      </c>
      <c r="BG54" s="4234"/>
      <c r="BH54" s="4234"/>
      <c r="BI54" s="25"/>
      <c r="BJ54" s="25"/>
      <c r="BK54" s="25"/>
      <c r="BL54" s="25"/>
      <c r="BM54" s="25"/>
      <c r="BN54" s="25"/>
    </row>
    <row r="55" spans="1:71" x14ac:dyDescent="0.25">
      <c r="A55" s="137"/>
      <c r="B55" s="1629" t="s">
        <v>568</v>
      </c>
      <c r="C55" s="520" t="s">
        <v>49</v>
      </c>
      <c r="D55" s="148"/>
      <c r="E55" s="1567" t="s">
        <v>32</v>
      </c>
      <c r="F55" s="1056">
        <v>4.47</v>
      </c>
      <c r="G55" s="1567" t="s">
        <v>32</v>
      </c>
      <c r="H55" s="1056">
        <v>5.25</v>
      </c>
      <c r="I55" s="737" t="s">
        <v>32</v>
      </c>
      <c r="J55" s="2045">
        <f>+((F55*F64)+(H55*H64))/J64</f>
        <v>4.8800661207689275</v>
      </c>
      <c r="K55" s="1567" t="s">
        <v>32</v>
      </c>
      <c r="L55" s="1056">
        <v>5.94</v>
      </c>
      <c r="M55" s="768" t="s">
        <v>32</v>
      </c>
      <c r="N55" s="2046">
        <f>+((F55*F64)+(H55*H64)+(L55*L64))/N64</f>
        <v>5.2568597070527474</v>
      </c>
      <c r="O55" s="1567" t="s">
        <v>32</v>
      </c>
      <c r="P55" s="1056">
        <v>6.68</v>
      </c>
      <c r="Q55" s="737" t="s">
        <v>32</v>
      </c>
      <c r="R55" s="2045">
        <f>+((N55*N64)+(P55*P64))/R64</f>
        <v>5.6596618846239455</v>
      </c>
      <c r="S55" s="1567" t="s">
        <v>32</v>
      </c>
      <c r="T55" s="1056">
        <v>5.95</v>
      </c>
      <c r="U55" s="737" t="s">
        <v>32</v>
      </c>
      <c r="V55" s="2045">
        <f>+((R55*R64)+(T55*T64))/V64</f>
        <v>5.7216322892793485</v>
      </c>
      <c r="W55" s="1567" t="s">
        <v>32</v>
      </c>
      <c r="X55" s="1056">
        <v>5.44</v>
      </c>
      <c r="Y55" s="768" t="s">
        <v>32</v>
      </c>
      <c r="Z55" s="2046">
        <f>+((P55*P64)+(T55*T64)+(X55*X64))/Z64</f>
        <v>6.0298714634146338</v>
      </c>
      <c r="AA55" s="738" t="s">
        <v>32</v>
      </c>
      <c r="AB55" s="438">
        <f>+((N55*N64)+(Z55*Z64))/AB64</f>
        <v>5.6715167532348589</v>
      </c>
      <c r="AC55" s="1567" t="s">
        <v>32</v>
      </c>
      <c r="AD55" s="1056">
        <v>5.85</v>
      </c>
      <c r="AE55" s="737" t="s">
        <v>32</v>
      </c>
      <c r="AF55" s="2045">
        <f>+((AB55*AB64)+(AD55*AD64))/AF64</f>
        <v>5.6972903630237424</v>
      </c>
      <c r="AG55" s="1567" t="s">
        <v>32</v>
      </c>
      <c r="AH55" s="1056">
        <v>4.9000000000000004</v>
      </c>
      <c r="AI55" s="737" t="s">
        <v>32</v>
      </c>
      <c r="AJ55" s="2045">
        <f>+((AF55*AF64)+(AH55*AH64))/AJ64</f>
        <v>5.6018351842180465</v>
      </c>
      <c r="AK55" s="1567" t="s">
        <v>32</v>
      </c>
      <c r="AL55" s="1056">
        <v>5.2</v>
      </c>
      <c r="AM55" s="768" t="s">
        <v>32</v>
      </c>
      <c r="AN55" s="2097">
        <f>+((AD55*AD64)+(AH55*AH64)+(AL55*AL64))/AN64</f>
        <v>5.3298701298701303</v>
      </c>
      <c r="AO55" s="737" t="s">
        <v>32</v>
      </c>
      <c r="AP55" s="2045">
        <f>+((AL55*AL64)+(AJ55*AJ64))/AP64</f>
        <v>5.5611004949925178</v>
      </c>
      <c r="AQ55" s="1567" t="s">
        <v>32</v>
      </c>
      <c r="AR55" s="1056">
        <v>5.48</v>
      </c>
      <c r="AS55" s="737" t="s">
        <v>32</v>
      </c>
      <c r="AT55" s="2045">
        <f>+((AP55*AP64)+(AR55*AR64))/AT64</f>
        <v>5.5544287873616467</v>
      </c>
      <c r="AU55" s="1567" t="s">
        <v>32</v>
      </c>
      <c r="AV55" s="1056">
        <v>5</v>
      </c>
      <c r="AW55" s="737" t="s">
        <v>32</v>
      </c>
      <c r="AX55" s="2045">
        <f>+((AT55*AT64)+(AV55*AV64))/AX64</f>
        <v>5.5015045574830932</v>
      </c>
      <c r="AY55" s="1567" t="s">
        <v>32</v>
      </c>
      <c r="AZ55" s="1056">
        <v>5.14</v>
      </c>
      <c r="BA55" s="768" t="s">
        <v>32</v>
      </c>
      <c r="BB55" s="2097">
        <f>+((AR55*AR64)+(AV55*AV64)+(AZ55*AZ64))/BB64</f>
        <v>5.185873379099923</v>
      </c>
      <c r="BC55" s="738" t="s">
        <v>32</v>
      </c>
      <c r="BD55" s="438">
        <f>+((AN55*AN64)+(BB55*BB64))/BD64</f>
        <v>5.2589743375756308</v>
      </c>
      <c r="BE55" s="737" t="s">
        <v>32</v>
      </c>
      <c r="BF55" s="2045">
        <f>+((AX55*AX64)+(AZ55*AZ64))/BF64</f>
        <v>5.4715562806752605</v>
      </c>
      <c r="BG55" s="4234"/>
      <c r="BH55" s="4234"/>
      <c r="BI55" s="25"/>
      <c r="BJ55" s="25"/>
      <c r="BK55" s="25"/>
      <c r="BL55" s="25"/>
      <c r="BM55" s="25"/>
      <c r="BN55" s="25"/>
    </row>
    <row r="56" spans="1:71" x14ac:dyDescent="0.25">
      <c r="A56" s="137"/>
      <c r="B56" s="1629" t="s">
        <v>1267</v>
      </c>
      <c r="C56" s="520" t="s">
        <v>49</v>
      </c>
      <c r="D56" s="148"/>
      <c r="E56" s="1567" t="s">
        <v>32</v>
      </c>
      <c r="F56" s="1056">
        <v>1.23</v>
      </c>
      <c r="G56" s="1567" t="s">
        <v>32</v>
      </c>
      <c r="H56" s="1056">
        <v>1.47</v>
      </c>
      <c r="I56" s="2042"/>
      <c r="J56" s="2045">
        <f>+((F56*F66)+(H56*H66))/J66</f>
        <v>1.3784074605451937</v>
      </c>
      <c r="K56" s="1567" t="s">
        <v>32</v>
      </c>
      <c r="L56" s="1056">
        <v>2.21</v>
      </c>
      <c r="M56" s="2043"/>
      <c r="N56" s="2046">
        <f>+((J56*J66)+(L56*L66))/N66</f>
        <v>1.6288302139037434</v>
      </c>
      <c r="O56" s="1567" t="s">
        <v>32</v>
      </c>
      <c r="P56" s="1056">
        <v>2.76</v>
      </c>
      <c r="Q56" s="2042"/>
      <c r="R56" s="2045">
        <f>+((N56*N66)+(P56*P66))/R66</f>
        <v>1.8802339485313231</v>
      </c>
      <c r="S56" s="1567" t="s">
        <v>32</v>
      </c>
      <c r="T56" s="1056">
        <v>2.35</v>
      </c>
      <c r="U56" s="2042"/>
      <c r="V56" s="2045">
        <f>+((R56*R66)+(T56*T66))/V66</f>
        <v>1.9702584576591724</v>
      </c>
      <c r="W56" s="1567" t="s">
        <v>32</v>
      </c>
      <c r="X56" s="1056">
        <v>1.84</v>
      </c>
      <c r="Y56" s="2043"/>
      <c r="Z56" s="2046">
        <f>+((P56*P65)+(T56*T65)+(X56*X65))/Z65</f>
        <v>2.3186670746305946</v>
      </c>
      <c r="AA56" s="774"/>
      <c r="AB56" s="438">
        <f>+((N56*N66)+(Z56*Z66))/AB66</f>
        <v>1.9472451046297417</v>
      </c>
      <c r="AC56" s="1567" t="s">
        <v>32</v>
      </c>
      <c r="AD56" s="1056">
        <v>1.54</v>
      </c>
      <c r="AE56" s="2042"/>
      <c r="AF56" s="2045">
        <f>+((AB56*AB66)+(AD56*AD66))/AF66</f>
        <v>1.885241959790614</v>
      </c>
      <c r="AG56" s="1567" t="s">
        <v>32</v>
      </c>
      <c r="AH56" s="1056">
        <v>2.2599999999999998</v>
      </c>
      <c r="AI56" s="2042"/>
      <c r="AJ56" s="2045">
        <f>+((AF56*AF66)+(AH56*AH66))/AJ66</f>
        <v>1.9389677269246568</v>
      </c>
      <c r="AK56" s="1567" t="s">
        <v>32</v>
      </c>
      <c r="AL56" s="1056">
        <v>1.7</v>
      </c>
      <c r="AM56" s="2043"/>
      <c r="AN56" s="2097">
        <f>+((AD56*AD65)+(AH56*AH65)+(AL56*AL65))/AN65</f>
        <v>1.8310273140996434</v>
      </c>
      <c r="AO56" s="2042"/>
      <c r="AP56" s="2045">
        <f>+((AL56*AL66)+(AJ56*AJ66))/AP66</f>
        <v>1.9049748959116102</v>
      </c>
      <c r="AQ56" s="1567" t="s">
        <v>32</v>
      </c>
      <c r="AR56" s="1056">
        <v>1.41</v>
      </c>
      <c r="AS56" s="2042"/>
      <c r="AT56" s="2045">
        <f>+((AP56*AP66)+(AR56*AR66))/AT66</f>
        <v>1.8556222672749496</v>
      </c>
      <c r="AU56" s="1567" t="s">
        <v>32</v>
      </c>
      <c r="AV56" s="1056">
        <v>1.23</v>
      </c>
      <c r="AW56" s="2042"/>
      <c r="AX56" s="2045">
        <f>+((AT56*AT66)+(AV56*AV66))/AX66</f>
        <v>1.8168317915966941</v>
      </c>
      <c r="AY56" s="1567" t="s">
        <v>32</v>
      </c>
      <c r="AZ56" s="1056">
        <v>1.1000000000000001</v>
      </c>
      <c r="BA56" s="2043"/>
      <c r="BB56" s="2097">
        <f>+((AR56*AR65)+(AV56*AV65)+(AZ56*AZ65))/BB65</f>
        <v>1.2361664713885046</v>
      </c>
      <c r="BC56" s="774"/>
      <c r="BD56" s="438">
        <f>+((AN56*AN66)+(BB56*BB66))/BD66</f>
        <v>1.5735083248747266</v>
      </c>
      <c r="BE56" s="2042"/>
      <c r="BF56" s="2045">
        <f>+((AX56*AX66)+(AZ56*AZ66))/BF66</f>
        <v>1.7591183781379995</v>
      </c>
      <c r="BG56" s="4234"/>
      <c r="BH56" s="4234"/>
      <c r="BI56" s="25"/>
      <c r="BJ56" s="25"/>
      <c r="BK56" s="25"/>
      <c r="BL56" s="25"/>
      <c r="BM56" s="25"/>
      <c r="BN56" s="25"/>
    </row>
    <row r="57" spans="1:71" ht="15.75" thickBot="1" x14ac:dyDescent="0.3">
      <c r="A57" s="137"/>
      <c r="B57" s="1639" t="s">
        <v>569</v>
      </c>
      <c r="C57" s="778" t="s">
        <v>49</v>
      </c>
      <c r="D57" s="839"/>
      <c r="E57" s="2059" t="s">
        <v>32</v>
      </c>
      <c r="F57" s="2060">
        <v>7.47</v>
      </c>
      <c r="G57" s="2059" t="s">
        <v>32</v>
      </c>
      <c r="H57" s="2060">
        <v>7.54</v>
      </c>
      <c r="I57" s="2061" t="s">
        <v>32</v>
      </c>
      <c r="J57" s="2062">
        <f>+((F57*F68)+(H57*H68))/J68</f>
        <v>7.497923609481342</v>
      </c>
      <c r="K57" s="2059" t="s">
        <v>32</v>
      </c>
      <c r="L57" s="2060">
        <v>8.91</v>
      </c>
      <c r="M57" s="2063" t="s">
        <v>32</v>
      </c>
      <c r="N57" s="2064">
        <f>+((F57*F68)+(H57*H68)+(L57*L68))/N68</f>
        <v>7.9718815045800033</v>
      </c>
      <c r="O57" s="2059" t="s">
        <v>32</v>
      </c>
      <c r="P57" s="2060">
        <v>11.03</v>
      </c>
      <c r="Q57" s="2061" t="s">
        <v>32</v>
      </c>
      <c r="R57" s="2062">
        <f>+((N57*N68)+(P57*P68))/R68</f>
        <v>8.6722637937252074</v>
      </c>
      <c r="S57" s="2059" t="s">
        <v>32</v>
      </c>
      <c r="T57" s="2060">
        <v>10.47</v>
      </c>
      <c r="U57" s="2061" t="s">
        <v>32</v>
      </c>
      <c r="V57" s="2062">
        <f>+((R57*R68)+(T57*T68))/V68</f>
        <v>9.0189382913695244</v>
      </c>
      <c r="W57" s="2059" t="s">
        <v>32</v>
      </c>
      <c r="X57" s="2060">
        <v>10.7</v>
      </c>
      <c r="Y57" s="2063" t="s">
        <v>32</v>
      </c>
      <c r="Z57" s="2064">
        <f>+((P57*P68)+(T57*T68)+(X57*X68))/Z68</f>
        <v>10.733189730200175</v>
      </c>
      <c r="AA57" s="2065" t="s">
        <v>32</v>
      </c>
      <c r="AB57" s="450">
        <f>+((N57*N68)+(Z57*Z68))/AB68</f>
        <v>9.2043604462956168</v>
      </c>
      <c r="AC57" s="2059" t="s">
        <v>32</v>
      </c>
      <c r="AD57" s="2060">
        <v>9.8699999999999992</v>
      </c>
      <c r="AE57" s="2061" t="s">
        <v>32</v>
      </c>
      <c r="AF57" s="2062">
        <f>+((AB57*AB68)+(AD57*AD68))/AF68</f>
        <v>9.2820634376012663</v>
      </c>
      <c r="AG57" s="2059" t="s">
        <v>32</v>
      </c>
      <c r="AH57" s="2060">
        <v>9.69</v>
      </c>
      <c r="AI57" s="2061" t="s">
        <v>32</v>
      </c>
      <c r="AJ57" s="2062">
        <f>+((AF57*AF68)+(AH57*AH68))/AJ68</f>
        <v>9.3480364961170945</v>
      </c>
      <c r="AK57" s="2059" t="s">
        <v>32</v>
      </c>
      <c r="AL57" s="2060">
        <v>8.3000000000000007</v>
      </c>
      <c r="AM57" s="2063" t="s">
        <v>32</v>
      </c>
      <c r="AN57" s="2064">
        <f>+((AD57*AD68)+(AH57*AH68)+(AL57*AL68))/AN68</f>
        <v>9.108924070089147</v>
      </c>
      <c r="AO57" s="2061" t="s">
        <v>32</v>
      </c>
      <c r="AP57" s="2062">
        <f>+((AL57*AL68)+(AJ57*AJ68))/AP68</f>
        <v>9.1674084164308205</v>
      </c>
      <c r="AQ57" s="2059" t="s">
        <v>32</v>
      </c>
      <c r="AR57" s="2060">
        <v>7.78</v>
      </c>
      <c r="AS57" s="2061" t="s">
        <v>32</v>
      </c>
      <c r="AT57" s="2062">
        <f>+((AP57*AP68)+(AR57*AR68))/AT68</f>
        <v>8.9405839012301982</v>
      </c>
      <c r="AU57" s="2059" t="s">
        <v>32</v>
      </c>
      <c r="AV57" s="2060">
        <v>7.19</v>
      </c>
      <c r="AW57" s="2061" t="s">
        <v>32</v>
      </c>
      <c r="AX57" s="2062">
        <f>+((AT57*AT68)+(AV57*AV68))/AX68</f>
        <v>8.7681425964156432</v>
      </c>
      <c r="AY57" s="2059" t="s">
        <v>32</v>
      </c>
      <c r="AZ57" s="2060">
        <v>7.04</v>
      </c>
      <c r="BA57" s="2063" t="s">
        <v>32</v>
      </c>
      <c r="BB57" s="2064">
        <f>+((AR57*AR68)+(AV57*AV68)+(AZ57*AZ68))/BB68</f>
        <v>7.4052138235294125</v>
      </c>
      <c r="BC57" s="2065" t="s">
        <v>32</v>
      </c>
      <c r="BD57" s="450">
        <f>+((AN57*AN68)+(BB57*BB68))/BD68</f>
        <v>8.193486416865527</v>
      </c>
      <c r="BE57" s="2061" t="s">
        <v>32</v>
      </c>
      <c r="BF57" s="2062">
        <f>+((AX57*AX68)+(AZ57*AZ68))/BF68</f>
        <v>8.6208120313098711</v>
      </c>
      <c r="BG57" s="4234"/>
      <c r="BH57" s="4234"/>
      <c r="BI57" s="25"/>
      <c r="BJ57" s="25"/>
      <c r="BK57" s="25"/>
      <c r="BL57" s="25"/>
      <c r="BM57" s="25"/>
      <c r="BN57" s="25"/>
    </row>
    <row r="58" spans="1:71" ht="15.75" x14ac:dyDescent="0.25">
      <c r="A58" s="137"/>
      <c r="B58" s="2075" t="s">
        <v>1526</v>
      </c>
      <c r="C58" s="2218" t="s">
        <v>50</v>
      </c>
      <c r="D58" s="2265"/>
      <c r="E58" s="2266" t="s">
        <v>32</v>
      </c>
      <c r="F58" s="2267">
        <f>+RMHP!E28</f>
        <v>74827</v>
      </c>
      <c r="G58" s="2266" t="s">
        <v>32</v>
      </c>
      <c r="H58" s="2267">
        <f>+RMHP!G28</f>
        <v>66242</v>
      </c>
      <c r="I58" s="2254" t="s">
        <v>32</v>
      </c>
      <c r="J58" s="2255">
        <f t="shared" ref="I58:J69" si="352">+F58+H58</f>
        <v>141069</v>
      </c>
      <c r="K58" s="2266" t="s">
        <v>32</v>
      </c>
      <c r="L58" s="2267">
        <f>+RMHP!K28</f>
        <v>70756</v>
      </c>
      <c r="M58" s="2256" t="s">
        <v>32</v>
      </c>
      <c r="N58" s="2256">
        <f>F58+H58+L58</f>
        <v>211825</v>
      </c>
      <c r="O58" s="2266" t="s">
        <v>32</v>
      </c>
      <c r="P58" s="2267">
        <f>+RMHP!O28</f>
        <v>77478</v>
      </c>
      <c r="Q58" s="2254" t="s">
        <v>32</v>
      </c>
      <c r="R58" s="2255">
        <f t="shared" ref="R58:R69" si="353">+N58+P58</f>
        <v>289303</v>
      </c>
      <c r="S58" s="2266" t="s">
        <v>32</v>
      </c>
      <c r="T58" s="2267">
        <f>+RMHP!S28</f>
        <v>74857</v>
      </c>
      <c r="U58" s="2254" t="s">
        <v>32</v>
      </c>
      <c r="V58" s="2255">
        <f t="shared" ref="V58:V69" si="354">+R58+T58</f>
        <v>364160</v>
      </c>
      <c r="W58" s="2266" t="s">
        <v>32</v>
      </c>
      <c r="X58" s="2267">
        <f>+RMHP!W28</f>
        <v>77679</v>
      </c>
      <c r="Y58" s="2256" t="s">
        <v>32</v>
      </c>
      <c r="Z58" s="2256">
        <f>P58+T58+X58</f>
        <v>230014</v>
      </c>
      <c r="AA58" s="2257" t="s">
        <v>32</v>
      </c>
      <c r="AB58" s="2260">
        <f t="shared" ref="AB58:AB69" si="355">+N58+Z58</f>
        <v>441839</v>
      </c>
      <c r="AC58" s="2266" t="s">
        <v>32</v>
      </c>
      <c r="AD58" s="2267">
        <f>+RMHP!AC28</f>
        <v>62985</v>
      </c>
      <c r="AE58" s="2254" t="s">
        <v>32</v>
      </c>
      <c r="AF58" s="2255">
        <f t="shared" ref="AF58:AF69" si="356">+AB58+AD58</f>
        <v>504824</v>
      </c>
      <c r="AG58" s="2266" t="s">
        <v>32</v>
      </c>
      <c r="AH58" s="2267">
        <f>+RMHP!AG28</f>
        <v>71795</v>
      </c>
      <c r="AI58" s="2254" t="s">
        <v>32</v>
      </c>
      <c r="AJ58" s="2255">
        <f t="shared" ref="AJ58:AJ69" si="357">+AF58+AH58</f>
        <v>576619</v>
      </c>
      <c r="AK58" s="2266" t="s">
        <v>32</v>
      </c>
      <c r="AL58" s="2267">
        <f>+RMHP!AK28</f>
        <v>70956</v>
      </c>
      <c r="AM58" s="2256" t="s">
        <v>32</v>
      </c>
      <c r="AN58" s="2256">
        <f>AD58+AH58+AL58</f>
        <v>205736</v>
      </c>
      <c r="AO58" s="2254" t="s">
        <v>32</v>
      </c>
      <c r="AP58" s="2255">
        <f>+AL58+AJ58</f>
        <v>647575</v>
      </c>
      <c r="AQ58" s="2266" t="s">
        <v>32</v>
      </c>
      <c r="AR58" s="2267">
        <f>+RMHP!AQ28</f>
        <v>76157</v>
      </c>
      <c r="AS58" s="2254" t="s">
        <v>32</v>
      </c>
      <c r="AT58" s="2255">
        <f t="shared" ref="AT58:AT69" si="358">+AP58+AR58</f>
        <v>723732</v>
      </c>
      <c r="AU58" s="2266" t="s">
        <v>32</v>
      </c>
      <c r="AV58" s="2267">
        <f>+RMHP!AU28</f>
        <v>64445</v>
      </c>
      <c r="AW58" s="2254" t="s">
        <v>32</v>
      </c>
      <c r="AX58" s="2255">
        <f t="shared" ref="AX58:AX69" si="359">+AT58+AV58</f>
        <v>788177</v>
      </c>
      <c r="AY58" s="2266" t="s">
        <v>32</v>
      </c>
      <c r="AZ58" s="2267">
        <f>+RMHP!AY28</f>
        <v>81524</v>
      </c>
      <c r="BA58" s="2256" t="s">
        <v>32</v>
      </c>
      <c r="BB58" s="2256">
        <f>AR58+AV58+AZ58</f>
        <v>222126</v>
      </c>
      <c r="BC58" s="2257" t="s">
        <v>32</v>
      </c>
      <c r="BD58" s="442">
        <f>+AN58+BB58</f>
        <v>427862</v>
      </c>
      <c r="BE58" s="2254" t="s">
        <v>32</v>
      </c>
      <c r="BF58" s="2255">
        <f t="shared" ref="BF58:BF69" si="360">+AX58+AZ58</f>
        <v>869701</v>
      </c>
      <c r="BG58" s="4234"/>
      <c r="BH58" s="4234"/>
      <c r="BI58" s="502"/>
      <c r="BJ58" s="25"/>
      <c r="BK58" s="25"/>
      <c r="BL58" s="25"/>
      <c r="BM58" s="25"/>
      <c r="BN58" s="25"/>
    </row>
    <row r="59" spans="1:71" ht="15.75" thickBot="1" x14ac:dyDescent="0.3">
      <c r="A59" s="137" t="s">
        <v>446</v>
      </c>
      <c r="B59" s="1638" t="s">
        <v>550</v>
      </c>
      <c r="C59" s="58" t="s">
        <v>50</v>
      </c>
      <c r="D59" s="2037">
        <f>+(D27/((100-D71)/100))-D27</f>
        <v>757239.54640948074</v>
      </c>
      <c r="E59" s="2037">
        <f>+(E27/((100-E71)/100))-E27</f>
        <v>52501.941884390661</v>
      </c>
      <c r="F59" s="2037">
        <f>+F58-((F54/100)*F58)</f>
        <v>74385.520699999994</v>
      </c>
      <c r="G59" s="5590">
        <f>+(G27/((100-G71)/100))-G27</f>
        <v>65627.427355488297</v>
      </c>
      <c r="H59" s="7176">
        <f>+H58-((H54/100)*H58)</f>
        <v>65731.936600000001</v>
      </c>
      <c r="I59" s="2038">
        <f>+E59+G59</f>
        <v>118129.36923987896</v>
      </c>
      <c r="J59" s="37">
        <f t="shared" si="352"/>
        <v>140117.45730000001</v>
      </c>
      <c r="K59" s="5702">
        <f>+(K27/((100-K71)/100))-K27</f>
        <v>63608.121898396348</v>
      </c>
      <c r="L59" s="5702">
        <f>+L58-((L54/100)*L58)</f>
        <v>70189.952000000005</v>
      </c>
      <c r="M59" s="2039">
        <f>+K59+G59+E59</f>
        <v>181737.49113827531</v>
      </c>
      <c r="N59" s="2039">
        <f>+N58-((N54/100)*N58)</f>
        <v>210307.4093</v>
      </c>
      <c r="O59" s="5837">
        <f>+(O27/((100-O71)/100))-O27</f>
        <v>64365.361444805807</v>
      </c>
      <c r="P59" s="5837">
        <f>+P58-((P54/100)*P58)</f>
        <v>76850.428199999995</v>
      </c>
      <c r="Q59" s="2038">
        <f>+M59+O59</f>
        <v>246102.85258308111</v>
      </c>
      <c r="R59" s="37">
        <f t="shared" si="353"/>
        <v>287157.83750000002</v>
      </c>
      <c r="S59" s="5909">
        <f>+(S27/((100-S71)/100))-S27</f>
        <v>64365.361444805807</v>
      </c>
      <c r="T59" s="7176">
        <f>+T58-((T54/100)*T58)</f>
        <v>74235.686900000001</v>
      </c>
      <c r="U59" s="4331">
        <f>+Q59+S59</f>
        <v>310468.21402788692</v>
      </c>
      <c r="V59" s="37">
        <f t="shared" si="354"/>
        <v>361393.52439999999</v>
      </c>
      <c r="W59" s="6007">
        <f>+(W27/((100-W71)/100))-W27</f>
        <v>35337.845499109069</v>
      </c>
      <c r="X59" s="6007">
        <f>+X58-((X54/100)*X58)</f>
        <v>77166.318599999999</v>
      </c>
      <c r="Y59" s="66">
        <f>+W59+S59+O59</f>
        <v>164068.56838872068</v>
      </c>
      <c r="Z59" s="67">
        <f t="shared" ref="Z59:Z65" si="361">+X59+T59+P59</f>
        <v>228252.43369999999</v>
      </c>
      <c r="AA59" s="608">
        <f>M59+Y59</f>
        <v>345806.05952699599</v>
      </c>
      <c r="AB59" s="451">
        <f t="shared" si="355"/>
        <v>438559.84299999999</v>
      </c>
      <c r="AC59" s="6138">
        <f>+(AC27/((100-AC71)/100))-AC27</f>
        <v>65627.427355488297</v>
      </c>
      <c r="AD59" s="6138">
        <f>+AD58-((AD54/100)*AD58)</f>
        <v>62128.404000000002</v>
      </c>
      <c r="AE59" s="2435">
        <f>+AA59+AC59</f>
        <v>411433.48688248429</v>
      </c>
      <c r="AF59" s="37">
        <f t="shared" si="356"/>
        <v>500688.24699999997</v>
      </c>
      <c r="AG59" s="6300">
        <f>+(AG27/((100-AG71)/100))-AG27</f>
        <v>63608.121898396348</v>
      </c>
      <c r="AH59" s="7183">
        <f>+AH58-((AH54/100)*AH58)</f>
        <v>71385.768500000006</v>
      </c>
      <c r="AI59" s="4630">
        <f>+AE59+AG59</f>
        <v>475041.60878088063</v>
      </c>
      <c r="AJ59" s="37">
        <f t="shared" si="357"/>
        <v>572074.01549999998</v>
      </c>
      <c r="AK59" s="6564">
        <f>+(AK27/((100-AK71)/100))-AK27</f>
        <v>65627.427355488297</v>
      </c>
      <c r="AL59" s="6564">
        <f>+AL58-((AL54/100)*AL58)</f>
        <v>70657.984800000006</v>
      </c>
      <c r="AM59" s="66">
        <f>+AK59+AG59+AC59</f>
        <v>194862.97660937294</v>
      </c>
      <c r="AN59" s="67">
        <f t="shared" ref="AN59:AN60" si="362">+AL59+AH59+AD59</f>
        <v>204172.15730000002</v>
      </c>
      <c r="AO59" s="557">
        <f>+AK59+AI59</f>
        <v>540669.03613636899</v>
      </c>
      <c r="AP59" s="557">
        <f>+AL59+AJ59</f>
        <v>642732.00029999996</v>
      </c>
      <c r="AQ59" s="6665">
        <f>+(AQ27/((100-AQ71)/100))-AQ27</f>
        <v>66637.080084034242</v>
      </c>
      <c r="AR59" s="6665">
        <f>+AR58-((AR54/100)*AR58)</f>
        <v>75654.363800000006</v>
      </c>
      <c r="AS59" s="2598">
        <f>+AO59+AQ59</f>
        <v>607306.11622040323</v>
      </c>
      <c r="AT59" s="37">
        <f t="shared" si="358"/>
        <v>718386.36410000001</v>
      </c>
      <c r="AU59" s="6864">
        <f>+(AU27/((100-AU71)/100))-AU27</f>
        <v>59569.510984212451</v>
      </c>
      <c r="AV59" s="6864">
        <f>+AV58-((AV54/100)*AV58)</f>
        <v>64148.553</v>
      </c>
      <c r="AW59" s="5023">
        <f>+AS59+AU59</f>
        <v>666875.62720461562</v>
      </c>
      <c r="AX59" s="37">
        <f t="shared" si="359"/>
        <v>782534.91709999996</v>
      </c>
      <c r="AY59" s="6981">
        <f>+(AY27/((100-AY71)/100))-AY27</f>
        <v>66637.080084034242</v>
      </c>
      <c r="AZ59" s="6981">
        <f>+AZ58-((AZ54/100)*AZ58)</f>
        <v>81116.38</v>
      </c>
      <c r="BA59" s="66">
        <f>+AY59+AU59+AQ59</f>
        <v>192843.67115228093</v>
      </c>
      <c r="BB59" s="67">
        <f t="shared" ref="BB59:BB60" si="363">+AZ59+AV59+AR59</f>
        <v>220919.29680000001</v>
      </c>
      <c r="BC59" s="443">
        <f t="shared" ref="BC59" si="364">AM59+BA59</f>
        <v>387706.64776165388</v>
      </c>
      <c r="BD59" s="443">
        <f t="shared" ref="BD59" si="365">AN59+BB59</f>
        <v>425091.45410000003</v>
      </c>
      <c r="BE59" s="2778">
        <f>+AW59+AY59</f>
        <v>733512.70728864986</v>
      </c>
      <c r="BF59" s="37">
        <f t="shared" si="360"/>
        <v>863651.29709999997</v>
      </c>
      <c r="BG59" s="4234">
        <f t="shared" si="3"/>
        <v>0</v>
      </c>
      <c r="BH59" s="4234">
        <f t="shared" si="4"/>
        <v>0</v>
      </c>
      <c r="BI59" s="502"/>
      <c r="BJ59" s="25"/>
      <c r="BK59" s="25"/>
      <c r="BL59" s="25"/>
      <c r="BM59" s="25"/>
      <c r="BN59" s="25"/>
    </row>
    <row r="60" spans="1:71" ht="15.75" hidden="1" customHeight="1" thickBot="1" x14ac:dyDescent="0.3">
      <c r="A60" s="137"/>
      <c r="B60" s="1638" t="s">
        <v>1050</v>
      </c>
      <c r="C60" s="58" t="s">
        <v>50</v>
      </c>
      <c r="D60" s="1565" t="s">
        <v>32</v>
      </c>
      <c r="E60" s="1567" t="s">
        <v>32</v>
      </c>
      <c r="F60" s="2037"/>
      <c r="G60" s="1567" t="s">
        <v>32</v>
      </c>
      <c r="H60" s="7176"/>
      <c r="I60" s="775" t="s">
        <v>32</v>
      </c>
      <c r="J60" s="37">
        <f t="shared" si="352"/>
        <v>0</v>
      </c>
      <c r="K60" s="1567" t="s">
        <v>32</v>
      </c>
      <c r="L60" s="5702"/>
      <c r="M60" s="776" t="s">
        <v>32</v>
      </c>
      <c r="N60" s="776"/>
      <c r="O60" s="1567" t="s">
        <v>32</v>
      </c>
      <c r="P60" s="5837"/>
      <c r="Q60" s="775" t="s">
        <v>32</v>
      </c>
      <c r="R60" s="37">
        <f t="shared" si="353"/>
        <v>0</v>
      </c>
      <c r="S60" s="1567" t="s">
        <v>32</v>
      </c>
      <c r="T60" s="7176"/>
      <c r="U60" s="775" t="s">
        <v>32</v>
      </c>
      <c r="V60" s="37">
        <f t="shared" si="354"/>
        <v>0</v>
      </c>
      <c r="W60" s="1567" t="s">
        <v>32</v>
      </c>
      <c r="X60" s="6007"/>
      <c r="Y60" s="776" t="s">
        <v>32</v>
      </c>
      <c r="Z60" s="67">
        <f t="shared" si="361"/>
        <v>0</v>
      </c>
      <c r="AA60" s="777" t="s">
        <v>32</v>
      </c>
      <c r="AB60" s="451">
        <f t="shared" si="355"/>
        <v>0</v>
      </c>
      <c r="AC60" s="1567" t="s">
        <v>32</v>
      </c>
      <c r="AD60" s="6138"/>
      <c r="AE60" s="775" t="s">
        <v>32</v>
      </c>
      <c r="AF60" s="37">
        <f t="shared" si="356"/>
        <v>0</v>
      </c>
      <c r="AG60" s="1567" t="s">
        <v>32</v>
      </c>
      <c r="AH60" s="7183"/>
      <c r="AI60" s="775" t="s">
        <v>32</v>
      </c>
      <c r="AJ60" s="37">
        <f t="shared" si="357"/>
        <v>0</v>
      </c>
      <c r="AK60" s="1567" t="s">
        <v>32</v>
      </c>
      <c r="AL60" s="6564"/>
      <c r="AM60" s="776" t="s">
        <v>32</v>
      </c>
      <c r="AN60" s="67">
        <f t="shared" si="362"/>
        <v>0</v>
      </c>
      <c r="AO60" s="557" t="e">
        <f t="shared" ref="AO60:AO61" si="366">+AK60+AI60</f>
        <v>#VALUE!</v>
      </c>
      <c r="AP60" s="557">
        <f t="shared" ref="AO60:AP67" si="367">+AL60+AJ60</f>
        <v>0</v>
      </c>
      <c r="AQ60" s="1567" t="s">
        <v>32</v>
      </c>
      <c r="AR60" s="6665"/>
      <c r="AS60" s="775" t="s">
        <v>32</v>
      </c>
      <c r="AT60" s="37">
        <f t="shared" si="358"/>
        <v>0</v>
      </c>
      <c r="AU60" s="1567" t="s">
        <v>32</v>
      </c>
      <c r="AV60" s="6864"/>
      <c r="AW60" s="775" t="s">
        <v>32</v>
      </c>
      <c r="AX60" s="37">
        <f t="shared" si="359"/>
        <v>0</v>
      </c>
      <c r="AY60" s="1567" t="s">
        <v>32</v>
      </c>
      <c r="AZ60" s="6981"/>
      <c r="BA60" s="776" t="s">
        <v>32</v>
      </c>
      <c r="BB60" s="67">
        <f t="shared" si="363"/>
        <v>0</v>
      </c>
      <c r="BC60" s="777" t="s">
        <v>32</v>
      </c>
      <c r="BD60" s="451">
        <f t="shared" ref="BD60" si="368">+AP60+BB60</f>
        <v>0</v>
      </c>
      <c r="BE60" s="775" t="s">
        <v>32</v>
      </c>
      <c r="BF60" s="37">
        <f t="shared" si="360"/>
        <v>0</v>
      </c>
      <c r="BG60" s="4234" t="e">
        <f t="shared" si="3"/>
        <v>#VALUE!</v>
      </c>
      <c r="BH60" s="4234">
        <f t="shared" si="4"/>
        <v>0</v>
      </c>
      <c r="BI60" s="25"/>
      <c r="BJ60" s="25"/>
      <c r="BK60" s="25"/>
      <c r="BL60" s="25"/>
      <c r="BM60" s="25"/>
      <c r="BN60" s="25"/>
    </row>
    <row r="61" spans="1:71" ht="15.75" thickBot="1" x14ac:dyDescent="0.3">
      <c r="A61" s="137"/>
      <c r="B61" s="1638" t="s">
        <v>557</v>
      </c>
      <c r="C61" s="58" t="s">
        <v>50</v>
      </c>
      <c r="D61" s="2037"/>
      <c r="E61" s="1567"/>
      <c r="F61" s="2037">
        <f>+F60-((F54/100)*F60)</f>
        <v>0</v>
      </c>
      <c r="G61" s="1567">
        <v>0</v>
      </c>
      <c r="H61" s="7176">
        <f>+H60-((H54/100)*H60)</f>
        <v>0</v>
      </c>
      <c r="I61" s="2038">
        <f>+E61+G61</f>
        <v>0</v>
      </c>
      <c r="J61" s="37">
        <f t="shared" si="352"/>
        <v>0</v>
      </c>
      <c r="K61" s="1567">
        <v>0</v>
      </c>
      <c r="L61" s="5702">
        <f>+L60-((L54/100)*L60)</f>
        <v>0</v>
      </c>
      <c r="M61" s="2039">
        <f>+K61+G61+E61</f>
        <v>0</v>
      </c>
      <c r="N61" s="2039">
        <f>+N60-((N54/100)*N60)</f>
        <v>0</v>
      </c>
      <c r="O61" s="1567">
        <v>0</v>
      </c>
      <c r="P61" s="5837">
        <f>+P60-((P54/100)*P60)</f>
        <v>0</v>
      </c>
      <c r="Q61" s="2038">
        <f>+M61+O61</f>
        <v>0</v>
      </c>
      <c r="R61" s="37">
        <f t="shared" si="353"/>
        <v>0</v>
      </c>
      <c r="S61" s="1567">
        <v>0</v>
      </c>
      <c r="T61" s="7176">
        <f>+T60-((T54/100)*T60)</f>
        <v>0</v>
      </c>
      <c r="U61" s="4331">
        <f>+Q61+S61</f>
        <v>0</v>
      </c>
      <c r="V61" s="37">
        <f t="shared" si="354"/>
        <v>0</v>
      </c>
      <c r="W61" s="1567">
        <v>0</v>
      </c>
      <c r="X61" s="6007">
        <f>+X60-((X54/100)*X60)</f>
        <v>0</v>
      </c>
      <c r="Y61" s="66">
        <f>+W61+S61+O61</f>
        <v>0</v>
      </c>
      <c r="Z61" s="67">
        <f>+X61+T61+P61</f>
        <v>0</v>
      </c>
      <c r="AA61" s="608">
        <f>M61+Y61</f>
        <v>0</v>
      </c>
      <c r="AB61" s="451">
        <f t="shared" ref="AB61" si="369">+N61+Z61</f>
        <v>0</v>
      </c>
      <c r="AC61" s="1567">
        <v>0</v>
      </c>
      <c r="AD61" s="6138">
        <f>+AD60-((AD54/100)*AD60)</f>
        <v>0</v>
      </c>
      <c r="AE61" s="2435">
        <f>+AA61+AC61</f>
        <v>0</v>
      </c>
      <c r="AF61" s="37">
        <f t="shared" si="356"/>
        <v>0</v>
      </c>
      <c r="AG61" s="1567">
        <v>0</v>
      </c>
      <c r="AH61" s="7183">
        <f>+AH60-((AH54/100)*AH60)</f>
        <v>0</v>
      </c>
      <c r="AI61" s="4630">
        <f>+AE61+AG61</f>
        <v>0</v>
      </c>
      <c r="AJ61" s="37">
        <f t="shared" si="357"/>
        <v>0</v>
      </c>
      <c r="AK61" s="1567">
        <v>0</v>
      </c>
      <c r="AL61" s="6564">
        <f>+AL60-((AL54/100)*AL60)</f>
        <v>0</v>
      </c>
      <c r="AM61" s="66">
        <f>+AK61+AG61+AC61</f>
        <v>0</v>
      </c>
      <c r="AN61" s="67">
        <f>+AL61+AH61+AD61</f>
        <v>0</v>
      </c>
      <c r="AO61" s="557">
        <f t="shared" si="366"/>
        <v>0</v>
      </c>
      <c r="AP61" s="557">
        <f t="shared" si="367"/>
        <v>0</v>
      </c>
      <c r="AQ61" s="1567">
        <v>0</v>
      </c>
      <c r="AR61" s="6665">
        <f>+AR60-((AR54/100)*AR60)</f>
        <v>0</v>
      </c>
      <c r="AS61" s="2598">
        <f>+AO61+AQ61</f>
        <v>0</v>
      </c>
      <c r="AT61" s="37">
        <f t="shared" si="358"/>
        <v>0</v>
      </c>
      <c r="AU61" s="1567">
        <v>0</v>
      </c>
      <c r="AV61" s="6864">
        <f>+AV60-((AV54/100)*AV60)</f>
        <v>0</v>
      </c>
      <c r="AW61" s="5023">
        <f>+AS61+AU61</f>
        <v>0</v>
      </c>
      <c r="AX61" s="37">
        <f t="shared" si="359"/>
        <v>0</v>
      </c>
      <c r="AY61" s="1567"/>
      <c r="AZ61" s="6981">
        <f>+AZ60-((AZ54/100)*AZ60)</f>
        <v>0</v>
      </c>
      <c r="BA61" s="66">
        <f>+AY61+AU61+AQ61</f>
        <v>0</v>
      </c>
      <c r="BB61" s="67">
        <f>+AZ61+AV61+AR61</f>
        <v>0</v>
      </c>
      <c r="BC61" s="443">
        <f t="shared" ref="BC61" si="370">AM61+BA61</f>
        <v>0</v>
      </c>
      <c r="BD61" s="443">
        <f t="shared" ref="BD61:BD63" si="371">AN61+BB61</f>
        <v>0</v>
      </c>
      <c r="BE61" s="2778">
        <f>+AW61+AY61</f>
        <v>0</v>
      </c>
      <c r="BF61" s="37">
        <f t="shared" si="360"/>
        <v>0</v>
      </c>
      <c r="BG61" s="4234">
        <f t="shared" si="3"/>
        <v>0</v>
      </c>
      <c r="BH61" s="4234">
        <f t="shared" si="4"/>
        <v>0</v>
      </c>
      <c r="BI61" s="25"/>
      <c r="BJ61" s="25"/>
      <c r="BK61" s="25"/>
      <c r="BL61" s="25"/>
      <c r="BM61" s="25"/>
      <c r="BN61" s="25"/>
    </row>
    <row r="62" spans="1:71" ht="15.75" thickBot="1" x14ac:dyDescent="0.3">
      <c r="A62" s="137"/>
      <c r="B62" s="1638" t="s">
        <v>1269</v>
      </c>
      <c r="C62" s="58" t="s">
        <v>50</v>
      </c>
      <c r="D62" s="1565" t="s">
        <v>32</v>
      </c>
      <c r="E62" s="1567" t="s">
        <v>32</v>
      </c>
      <c r="F62" s="2037">
        <f>+F58+F60</f>
        <v>74827</v>
      </c>
      <c r="G62" s="1567" t="s">
        <v>32</v>
      </c>
      <c r="H62" s="7176">
        <f>+H58+H60</f>
        <v>66242</v>
      </c>
      <c r="I62" s="775" t="s">
        <v>32</v>
      </c>
      <c r="J62" s="37">
        <f t="shared" si="352"/>
        <v>141069</v>
      </c>
      <c r="K62" s="1567" t="s">
        <v>32</v>
      </c>
      <c r="L62" s="5702">
        <f>+L58+L60</f>
        <v>70756</v>
      </c>
      <c r="M62" s="776" t="s">
        <v>32</v>
      </c>
      <c r="N62" s="776">
        <f>+N58+N60</f>
        <v>211825</v>
      </c>
      <c r="O62" s="1567" t="s">
        <v>32</v>
      </c>
      <c r="P62" s="5837">
        <f>+P58+P60</f>
        <v>77478</v>
      </c>
      <c r="Q62" s="775" t="s">
        <v>32</v>
      </c>
      <c r="R62" s="37">
        <f t="shared" si="353"/>
        <v>289303</v>
      </c>
      <c r="S62" s="1567" t="s">
        <v>32</v>
      </c>
      <c r="T62" s="7176">
        <f>+T58+T60</f>
        <v>74857</v>
      </c>
      <c r="U62" s="775" t="s">
        <v>32</v>
      </c>
      <c r="V62" s="37">
        <f t="shared" si="354"/>
        <v>364160</v>
      </c>
      <c r="W62" s="1567" t="s">
        <v>32</v>
      </c>
      <c r="X62" s="6007">
        <f>+X58+X60</f>
        <v>77679</v>
      </c>
      <c r="Y62" s="776" t="s">
        <v>32</v>
      </c>
      <c r="Z62" s="67">
        <f t="shared" si="361"/>
        <v>230014</v>
      </c>
      <c r="AA62" s="777" t="s">
        <v>32</v>
      </c>
      <c r="AB62" s="451">
        <f t="shared" si="355"/>
        <v>441839</v>
      </c>
      <c r="AC62" s="1567" t="s">
        <v>32</v>
      </c>
      <c r="AD62" s="6138">
        <f>+AD58+AD60</f>
        <v>62985</v>
      </c>
      <c r="AE62" s="775" t="s">
        <v>32</v>
      </c>
      <c r="AF62" s="37">
        <f t="shared" si="356"/>
        <v>504824</v>
      </c>
      <c r="AG62" s="1567" t="s">
        <v>32</v>
      </c>
      <c r="AH62" s="7183">
        <f>+AH58+AH60</f>
        <v>71795</v>
      </c>
      <c r="AI62" s="775" t="s">
        <v>32</v>
      </c>
      <c r="AJ62" s="37">
        <f t="shared" si="357"/>
        <v>576619</v>
      </c>
      <c r="AK62" s="1567" t="s">
        <v>32</v>
      </c>
      <c r="AL62" s="6564">
        <f>+AL58+AL60</f>
        <v>70956</v>
      </c>
      <c r="AM62" s="776" t="s">
        <v>32</v>
      </c>
      <c r="AN62" s="67">
        <f t="shared" ref="AN62" si="372">+AL62+AH62+AD62</f>
        <v>205736</v>
      </c>
      <c r="AO62" s="775" t="s">
        <v>32</v>
      </c>
      <c r="AP62" s="557">
        <f t="shared" si="367"/>
        <v>647575</v>
      </c>
      <c r="AQ62" s="1567" t="s">
        <v>32</v>
      </c>
      <c r="AR62" s="6665">
        <f>+AR58+AR60</f>
        <v>76157</v>
      </c>
      <c r="AS62" s="775" t="s">
        <v>32</v>
      </c>
      <c r="AT62" s="37">
        <f t="shared" si="358"/>
        <v>723732</v>
      </c>
      <c r="AU62" s="1567" t="s">
        <v>32</v>
      </c>
      <c r="AV62" s="6864">
        <f>+AV58+AV60</f>
        <v>64445</v>
      </c>
      <c r="AW62" s="775" t="s">
        <v>32</v>
      </c>
      <c r="AX62" s="37">
        <f t="shared" si="359"/>
        <v>788177</v>
      </c>
      <c r="AY62" s="1567" t="s">
        <v>32</v>
      </c>
      <c r="AZ62" s="6981">
        <f>+AZ58+AZ60</f>
        <v>81524</v>
      </c>
      <c r="BA62" s="776" t="s">
        <v>32</v>
      </c>
      <c r="BB62" s="67">
        <f t="shared" ref="BB62" si="373">+AZ62+AV62+AR62</f>
        <v>222126</v>
      </c>
      <c r="BC62" s="777" t="s">
        <v>32</v>
      </c>
      <c r="BD62" s="443">
        <f t="shared" si="371"/>
        <v>427862</v>
      </c>
      <c r="BE62" s="775" t="s">
        <v>32</v>
      </c>
      <c r="BF62" s="37">
        <f t="shared" si="360"/>
        <v>869701</v>
      </c>
      <c r="BG62" s="4234"/>
      <c r="BH62" s="4234">
        <f t="shared" si="4"/>
        <v>0</v>
      </c>
      <c r="BI62" s="25"/>
      <c r="BJ62" s="25"/>
      <c r="BK62" s="25"/>
      <c r="BL62" s="25"/>
      <c r="BM62" s="25"/>
      <c r="BN62" s="25"/>
    </row>
    <row r="63" spans="1:71" ht="15.75" thickBot="1" x14ac:dyDescent="0.3">
      <c r="A63" s="137" t="s">
        <v>446</v>
      </c>
      <c r="B63" s="1639" t="s">
        <v>1268</v>
      </c>
      <c r="C63" s="778" t="s">
        <v>50</v>
      </c>
      <c r="D63" s="4203">
        <f>+D59+D61</f>
        <v>757239.54640948074</v>
      </c>
      <c r="E63" s="4203">
        <f>+E59+E61</f>
        <v>52501.941884390661</v>
      </c>
      <c r="F63" s="4203">
        <f>+F59+F61</f>
        <v>74385.520699999994</v>
      </c>
      <c r="G63" s="5590">
        <f>+G59+G61</f>
        <v>65627.427355488297</v>
      </c>
      <c r="H63" s="7176">
        <f>+H59+H61</f>
        <v>65731.936600000001</v>
      </c>
      <c r="I63" s="678">
        <f>+E63+G63</f>
        <v>118129.36923987896</v>
      </c>
      <c r="J63" s="42">
        <f t="shared" si="352"/>
        <v>140117.45730000001</v>
      </c>
      <c r="K63" s="5702">
        <f>+K59+K61</f>
        <v>63608.121898396348</v>
      </c>
      <c r="L63" s="5702">
        <f>+L59+L61</f>
        <v>70189.952000000005</v>
      </c>
      <c r="M63" s="4200">
        <f>+K63+G63+E63</f>
        <v>181737.49113827531</v>
      </c>
      <c r="N63" s="4200">
        <f>+N59+N61</f>
        <v>210307.4093</v>
      </c>
      <c r="O63" s="5837">
        <f>+O59+O61</f>
        <v>64365.361444805807</v>
      </c>
      <c r="P63" s="5837">
        <f>+P59+P61</f>
        <v>76850.428199999995</v>
      </c>
      <c r="Q63" s="678">
        <f>+M63+O63</f>
        <v>246102.85258308111</v>
      </c>
      <c r="R63" s="42">
        <f t="shared" si="353"/>
        <v>287157.83750000002</v>
      </c>
      <c r="S63" s="5909">
        <f>+S59+S61</f>
        <v>64365.361444805807</v>
      </c>
      <c r="T63" s="7176">
        <f>+T59+T61</f>
        <v>74235.686900000001</v>
      </c>
      <c r="U63" s="678">
        <f>+Q63+S63</f>
        <v>310468.21402788692</v>
      </c>
      <c r="V63" s="42">
        <f t="shared" si="354"/>
        <v>361393.52439999999</v>
      </c>
      <c r="W63" s="6007">
        <f>+W59+W61</f>
        <v>35337.845499109069</v>
      </c>
      <c r="X63" s="6007">
        <f>+X59+X61</f>
        <v>77166.318599999999</v>
      </c>
      <c r="Y63" s="66">
        <f>+W63+S63+O63</f>
        <v>164068.56838872068</v>
      </c>
      <c r="Z63" s="67">
        <f>+X63+T63+P63</f>
        <v>228252.43369999999</v>
      </c>
      <c r="AA63" s="608">
        <f>M63+Y63</f>
        <v>345806.05952699599</v>
      </c>
      <c r="AB63" s="451">
        <f t="shared" si="355"/>
        <v>438559.84299999999</v>
      </c>
      <c r="AC63" s="6138">
        <f>+AC59+AC61</f>
        <v>65627.427355488297</v>
      </c>
      <c r="AD63" s="6138">
        <f>+AD59+AD61</f>
        <v>62128.404000000002</v>
      </c>
      <c r="AE63" s="678">
        <f>+AA63+AC63</f>
        <v>411433.48688248429</v>
      </c>
      <c r="AF63" s="42">
        <f t="shared" si="356"/>
        <v>500688.24699999997</v>
      </c>
      <c r="AG63" s="6300">
        <f>+AG59+AG61</f>
        <v>63608.121898396348</v>
      </c>
      <c r="AH63" s="7183">
        <f>+AH59+AH61</f>
        <v>71385.768500000006</v>
      </c>
      <c r="AI63" s="678">
        <f>+AE63+AG63</f>
        <v>475041.60878088063</v>
      </c>
      <c r="AJ63" s="42">
        <f t="shared" si="357"/>
        <v>572074.01549999998</v>
      </c>
      <c r="AK63" s="6564">
        <f>+AK59+AK61</f>
        <v>65627.427355488297</v>
      </c>
      <c r="AL63" s="6564">
        <f>+AL59+AL61</f>
        <v>70657.984800000006</v>
      </c>
      <c r="AM63" s="66">
        <f>+AK63+AG63+AC63</f>
        <v>194862.97660937294</v>
      </c>
      <c r="AN63" s="67">
        <f>+AL63+AH63+AD63</f>
        <v>204172.15730000002</v>
      </c>
      <c r="AO63" s="557">
        <f t="shared" si="367"/>
        <v>540669.03613636899</v>
      </c>
      <c r="AP63" s="557">
        <f t="shared" si="367"/>
        <v>642732.00029999996</v>
      </c>
      <c r="AQ63" s="6665">
        <f>+AQ59+AQ61</f>
        <v>66637.080084034242</v>
      </c>
      <c r="AR63" s="6665">
        <f>+AR59+AR61</f>
        <v>75654.363800000006</v>
      </c>
      <c r="AS63" s="678">
        <f>+AO63+AQ63</f>
        <v>607306.11622040323</v>
      </c>
      <c r="AT63" s="42">
        <f t="shared" si="358"/>
        <v>718386.36410000001</v>
      </c>
      <c r="AU63" s="6864">
        <f>+AU59+AU61</f>
        <v>59569.510984212451</v>
      </c>
      <c r="AV63" s="6864">
        <f>+AV59+AV61</f>
        <v>64148.553</v>
      </c>
      <c r="AW63" s="678">
        <f>+AS63+AU63</f>
        <v>666875.62720461562</v>
      </c>
      <c r="AX63" s="42">
        <f t="shared" si="359"/>
        <v>782534.91709999996</v>
      </c>
      <c r="AY63" s="6981">
        <f>+AY59+AY61</f>
        <v>66637.080084034242</v>
      </c>
      <c r="AZ63" s="6981">
        <f>+AZ59+AZ61</f>
        <v>81116.38</v>
      </c>
      <c r="BA63" s="66">
        <f>+AY63+AU63+AQ63</f>
        <v>192843.67115228093</v>
      </c>
      <c r="BB63" s="67">
        <f>+AZ63+AV63+AR63</f>
        <v>220919.29680000001</v>
      </c>
      <c r="BC63" s="443">
        <f t="shared" ref="BC63" si="374">AM63+BA63</f>
        <v>387706.64776165388</v>
      </c>
      <c r="BD63" s="443">
        <f t="shared" si="371"/>
        <v>425091.45410000003</v>
      </c>
      <c r="BE63" s="678">
        <f>+AW63+AY63</f>
        <v>733512.70728864986</v>
      </c>
      <c r="BF63" s="42">
        <f t="shared" si="360"/>
        <v>863651.29709999997</v>
      </c>
      <c r="BG63" s="4234">
        <f t="shared" si="3"/>
        <v>0</v>
      </c>
      <c r="BH63" s="4234">
        <f t="shared" si="4"/>
        <v>0</v>
      </c>
      <c r="BI63" s="25"/>
      <c r="BJ63" s="25"/>
      <c r="BK63" s="25"/>
      <c r="BL63" s="25"/>
      <c r="BM63" s="25"/>
      <c r="BN63" s="25"/>
    </row>
    <row r="64" spans="1:71" ht="15.75" x14ac:dyDescent="0.25">
      <c r="A64" s="137"/>
      <c r="B64" s="1638" t="s">
        <v>245</v>
      </c>
      <c r="C64" s="58" t="s">
        <v>50</v>
      </c>
      <c r="D64" s="4256" t="s">
        <v>32</v>
      </c>
      <c r="E64" s="1567" t="s">
        <v>32</v>
      </c>
      <c r="F64" s="4203">
        <f>+RMHP!E29</f>
        <v>10831</v>
      </c>
      <c r="G64" s="1567" t="s">
        <v>32</v>
      </c>
      <c r="H64" s="7176">
        <f>+RMHP!G29</f>
        <v>12006</v>
      </c>
      <c r="I64" s="4257" t="s">
        <v>32</v>
      </c>
      <c r="J64" s="60">
        <f t="shared" si="352"/>
        <v>22837</v>
      </c>
      <c r="K64" s="1567" t="s">
        <v>32</v>
      </c>
      <c r="L64" s="5702">
        <f>+RMHP!K29</f>
        <v>12596</v>
      </c>
      <c r="M64" s="4258" t="s">
        <v>32</v>
      </c>
      <c r="N64" s="4258">
        <f>F64+H64+L64</f>
        <v>35433</v>
      </c>
      <c r="O64" s="1567" t="s">
        <v>32</v>
      </c>
      <c r="P64" s="5837">
        <f>+RMHP!O29</f>
        <v>13988</v>
      </c>
      <c r="Q64" s="2262" t="s">
        <v>32</v>
      </c>
      <c r="R64" s="96">
        <f t="shared" si="353"/>
        <v>49421</v>
      </c>
      <c r="S64" s="1567" t="s">
        <v>32</v>
      </c>
      <c r="T64" s="7176">
        <f>+RMHP!S29</f>
        <v>13411</v>
      </c>
      <c r="U64" s="2262" t="s">
        <v>32</v>
      </c>
      <c r="V64" s="96">
        <f t="shared" si="354"/>
        <v>62832</v>
      </c>
      <c r="W64" s="1567" t="s">
        <v>32</v>
      </c>
      <c r="X64" s="6007">
        <f>+RMHP!W29</f>
        <v>13601</v>
      </c>
      <c r="Y64" s="2263" t="s">
        <v>32</v>
      </c>
      <c r="Z64" s="1951">
        <f>P64+T64+X64</f>
        <v>41000</v>
      </c>
      <c r="AA64" s="2264" t="s">
        <v>32</v>
      </c>
      <c r="AB64" s="465">
        <f t="shared" si="355"/>
        <v>76433</v>
      </c>
      <c r="AC64" s="1567" t="s">
        <v>32</v>
      </c>
      <c r="AD64" s="6138">
        <f>+RMHP!AC29</f>
        <v>12900</v>
      </c>
      <c r="AE64" s="2262" t="s">
        <v>32</v>
      </c>
      <c r="AF64" s="96">
        <f t="shared" si="356"/>
        <v>89333</v>
      </c>
      <c r="AG64" s="1567" t="s">
        <v>32</v>
      </c>
      <c r="AH64" s="7183">
        <f>+RMHP!AG29</f>
        <v>12150</v>
      </c>
      <c r="AI64" s="2262" t="s">
        <v>32</v>
      </c>
      <c r="AJ64" s="96">
        <f t="shared" si="357"/>
        <v>101483</v>
      </c>
      <c r="AK64" s="1567" t="s">
        <v>32</v>
      </c>
      <c r="AL64" s="6564">
        <f>+RMHP!AK29</f>
        <v>11448</v>
      </c>
      <c r="AM64" s="2263" t="s">
        <v>32</v>
      </c>
      <c r="AN64" s="1951">
        <f>AD64+AH64+AL64</f>
        <v>36498</v>
      </c>
      <c r="AO64" s="2262" t="s">
        <v>32</v>
      </c>
      <c r="AP64" s="2255">
        <f>+AL64+AJ64</f>
        <v>112931</v>
      </c>
      <c r="AQ64" s="1567" t="s">
        <v>32</v>
      </c>
      <c r="AR64" s="6665">
        <f>+RMHP!AQ29</f>
        <v>10123</v>
      </c>
      <c r="AS64" s="2262" t="s">
        <v>32</v>
      </c>
      <c r="AT64" s="96">
        <f t="shared" si="358"/>
        <v>123054</v>
      </c>
      <c r="AU64" s="1567" t="s">
        <v>32</v>
      </c>
      <c r="AV64" s="6864">
        <f>+RMHP!AU29</f>
        <v>12986</v>
      </c>
      <c r="AW64" s="2262" t="s">
        <v>32</v>
      </c>
      <c r="AX64" s="96">
        <f t="shared" si="359"/>
        <v>136040</v>
      </c>
      <c r="AY64" s="1567" t="s">
        <v>32</v>
      </c>
      <c r="AZ64" s="6981">
        <f>+RMHP!AY29</f>
        <v>12288</v>
      </c>
      <c r="BA64" s="2263" t="s">
        <v>32</v>
      </c>
      <c r="BB64" s="1951">
        <f>AR64+AV64+AZ64</f>
        <v>35397</v>
      </c>
      <c r="BC64" s="2264" t="s">
        <v>32</v>
      </c>
      <c r="BD64" s="442">
        <f>+AN64+BB64</f>
        <v>71895</v>
      </c>
      <c r="BE64" s="2262" t="s">
        <v>32</v>
      </c>
      <c r="BF64" s="96">
        <f t="shared" si="360"/>
        <v>148328</v>
      </c>
      <c r="BG64" s="4234"/>
      <c r="BH64" s="4234">
        <f t="shared" si="4"/>
        <v>0</v>
      </c>
      <c r="BI64" s="25"/>
      <c r="BJ64" s="25"/>
      <c r="BK64" s="25"/>
      <c r="BL64" s="25"/>
      <c r="BM64" s="25"/>
      <c r="BN64" s="25"/>
    </row>
    <row r="65" spans="1:68" ht="15.75" thickBot="1" x14ac:dyDescent="0.3">
      <c r="A65" s="137" t="s">
        <v>446</v>
      </c>
      <c r="B65" s="1630" t="s">
        <v>246</v>
      </c>
      <c r="C65" s="702" t="s">
        <v>50</v>
      </c>
      <c r="D65" s="4203">
        <f>+((D23+D24)/((100-D72)/100))-(D23+D24)</f>
        <v>125143.11111111101</v>
      </c>
      <c r="E65" s="4203">
        <f>+((E23+E24)/((100-E72)/100))-(E23+E24)</f>
        <v>9267.5555555555475</v>
      </c>
      <c r="F65" s="4203">
        <f>+F64-((F55/100)*F64)</f>
        <v>10346.854300000001</v>
      </c>
      <c r="G65" s="5590">
        <f>+((G23+G24)/((100-G72)/100))-(G23+G24)</f>
        <v>11122.222222222219</v>
      </c>
      <c r="H65" s="7176">
        <f>+H64-((H55/100)*H64)</f>
        <v>11375.684999999999</v>
      </c>
      <c r="I65" s="678">
        <f>+E65+G65</f>
        <v>20389.777777777766</v>
      </c>
      <c r="J65" s="42">
        <f t="shared" si="352"/>
        <v>21722.5393</v>
      </c>
      <c r="K65" s="5702">
        <f>+((K23+K24)/((100-K72)/100))-(K23+K24)</f>
        <v>10780</v>
      </c>
      <c r="L65" s="5702">
        <f>+L64-((L55/100)*L64)</f>
        <v>11847.7976</v>
      </c>
      <c r="M65" s="4200">
        <f>+K65+G65+E65</f>
        <v>31169.777777777766</v>
      </c>
      <c r="N65" s="4200">
        <f>+N64-((N55/100)*N64)</f>
        <v>33570.336900000002</v>
      </c>
      <c r="O65" s="5837">
        <f>+((O23+O24)/((100-O72)/100))-(O23+O24)</f>
        <v>10908.333333333328</v>
      </c>
      <c r="P65" s="5837">
        <f>+P64-((P55/100)*P64)</f>
        <v>13053.6016</v>
      </c>
      <c r="Q65" s="678">
        <f>+M65+O65</f>
        <v>42078.111111111095</v>
      </c>
      <c r="R65" s="42">
        <f t="shared" si="353"/>
        <v>46623.938500000004</v>
      </c>
      <c r="S65" s="5909">
        <f>+((S23+S24)/((100-S72)/100))-(S23+S24)</f>
        <v>10908.333333333328</v>
      </c>
      <c r="T65" s="7176">
        <f>+T64-((T55/100)*T64)</f>
        <v>12613.0455</v>
      </c>
      <c r="U65" s="678">
        <f>+Q65+S65</f>
        <v>52986.444444444423</v>
      </c>
      <c r="V65" s="42">
        <f t="shared" si="354"/>
        <v>59236.984000000004</v>
      </c>
      <c r="W65" s="6007">
        <f>+((W23+W24)/((100-W72)/100))-(W23+W24)</f>
        <v>6393.3333333333285</v>
      </c>
      <c r="X65" s="6007">
        <f>+X64-((X55/100)*X64)</f>
        <v>12861.105600000001</v>
      </c>
      <c r="Y65" s="66">
        <f>+W65+S65+O65</f>
        <v>28209.999999999985</v>
      </c>
      <c r="Z65" s="67">
        <f t="shared" si="361"/>
        <v>38527.752700000005</v>
      </c>
      <c r="AA65" s="608">
        <f>M65+Y65</f>
        <v>59379.777777777752</v>
      </c>
      <c r="AB65" s="451">
        <f t="shared" si="355"/>
        <v>72098.089600000007</v>
      </c>
      <c r="AC65" s="6138">
        <f>+((AC23+AC24)/((100-AC72)/100))-(AC23+AC24)</f>
        <v>11064.444444444438</v>
      </c>
      <c r="AD65" s="6138">
        <f>+AD64-((AD55/100)*AD64)</f>
        <v>12145.35</v>
      </c>
      <c r="AE65" s="678">
        <f>+AA65+AC65</f>
        <v>70444.22222222219</v>
      </c>
      <c r="AF65" s="42">
        <f t="shared" si="356"/>
        <v>84243.439600000012</v>
      </c>
      <c r="AG65" s="6300">
        <f>+((AG23+AG24)/((100-AG72)/100))-(AG23+AG24)</f>
        <v>10724</v>
      </c>
      <c r="AH65" s="7183">
        <f>+AH64-((AH55/100)*AH64)</f>
        <v>11554.65</v>
      </c>
      <c r="AI65" s="678">
        <f>+AE65+AG65</f>
        <v>81168.22222222219</v>
      </c>
      <c r="AJ65" s="42">
        <f t="shared" si="357"/>
        <v>95798.089600000007</v>
      </c>
      <c r="AK65" s="6564">
        <f>+((AK23+AK24)/((100-AK72)/100))-(AK23+AK24)</f>
        <v>11064.444444444438</v>
      </c>
      <c r="AL65" s="6564">
        <f>+AL64-((AL55/100)*AL64)</f>
        <v>10852.704</v>
      </c>
      <c r="AM65" s="66">
        <f>+AK65+AG65+AC65</f>
        <v>32852.888888888876</v>
      </c>
      <c r="AN65" s="67">
        <f t="shared" ref="AN65:AN67" si="375">+AL65+AH65+AD65</f>
        <v>34552.703999999998</v>
      </c>
      <c r="AO65" s="557">
        <f t="shared" si="367"/>
        <v>92232.666666666628</v>
      </c>
      <c r="AP65" s="557">
        <f t="shared" si="367"/>
        <v>106650.7936</v>
      </c>
      <c r="AQ65" s="6665">
        <f>+((AQ23+AQ24)/((100-AQ72)/100))-(AQ23+AQ24)</f>
        <v>11234.666666666657</v>
      </c>
      <c r="AR65" s="6665">
        <f>+AR64-((AR55/100)*AR64)</f>
        <v>9568.2595999999994</v>
      </c>
      <c r="AS65" s="678">
        <f>+AO65+AQ65</f>
        <v>103467.33333333328</v>
      </c>
      <c r="AT65" s="42">
        <f t="shared" si="358"/>
        <v>116219.05320000001</v>
      </c>
      <c r="AU65" s="6864">
        <f>+((AU23+AU24)/((100-AU72)/100))-(AU23+AU24)</f>
        <v>10043.111111111109</v>
      </c>
      <c r="AV65" s="6864">
        <f>+AV64-((AV55/100)*AV64)</f>
        <v>12336.7</v>
      </c>
      <c r="AW65" s="678">
        <f>+AS65+AU65</f>
        <v>113510.44444444439</v>
      </c>
      <c r="AX65" s="42">
        <f t="shared" si="359"/>
        <v>128555.75320000001</v>
      </c>
      <c r="AY65" s="6981">
        <f>+((AY23+AY24)/((100-AY72)/100))-(AY23+AY24)</f>
        <v>11234.666666666657</v>
      </c>
      <c r="AZ65" s="6981">
        <f>+AZ64-((AZ55/100)*AZ64)</f>
        <v>11656.3968</v>
      </c>
      <c r="BA65" s="66">
        <f>+AY65+AU65+AQ65</f>
        <v>32512.444444444423</v>
      </c>
      <c r="BB65" s="67">
        <f t="shared" ref="BB65:BB67" si="376">+AZ65+AV65+AR65</f>
        <v>33561.356399999997</v>
      </c>
      <c r="BC65" s="443">
        <f t="shared" ref="BC65" si="377">AM65+BA65</f>
        <v>65365.333333333299</v>
      </c>
      <c r="BD65" s="443">
        <f t="shared" ref="BD65" si="378">AN65+BB65</f>
        <v>68114.060399999988</v>
      </c>
      <c r="BE65" s="678">
        <f>+AW65+AY65</f>
        <v>124745.11111111105</v>
      </c>
      <c r="BF65" s="42">
        <f t="shared" si="360"/>
        <v>140212.15</v>
      </c>
      <c r="BG65" s="4234">
        <f t="shared" si="3"/>
        <v>0</v>
      </c>
      <c r="BH65" s="4234">
        <f t="shared" si="4"/>
        <v>0</v>
      </c>
      <c r="BI65" s="25"/>
      <c r="BJ65" s="25"/>
      <c r="BK65" s="25"/>
      <c r="BL65" s="25"/>
      <c r="BM65" s="25"/>
      <c r="BN65" s="25"/>
    </row>
    <row r="66" spans="1:68" ht="16.5" thickBot="1" x14ac:dyDescent="0.3">
      <c r="A66" s="137"/>
      <c r="B66" s="1631" t="s">
        <v>1265</v>
      </c>
      <c r="C66" s="702" t="s">
        <v>50</v>
      </c>
      <c r="D66" s="4203"/>
      <c r="E66" s="4203"/>
      <c r="F66" s="4203">
        <f>+RMHP!E31</f>
        <v>798</v>
      </c>
      <c r="G66" s="5590"/>
      <c r="H66" s="7176">
        <f>+RMHP!G31</f>
        <v>1293</v>
      </c>
      <c r="I66" s="4204"/>
      <c r="J66" s="42">
        <f t="shared" si="352"/>
        <v>2091</v>
      </c>
      <c r="K66" s="5702"/>
      <c r="L66" s="5702">
        <f>+RMHP!K31</f>
        <v>901</v>
      </c>
      <c r="M66" s="4205"/>
      <c r="N66" s="4205">
        <f>F66+H66+L66</f>
        <v>2992</v>
      </c>
      <c r="O66" s="5837"/>
      <c r="P66" s="5837">
        <f>+RMHP!O31</f>
        <v>855</v>
      </c>
      <c r="Q66" s="2214"/>
      <c r="R66" s="1878">
        <f t="shared" si="353"/>
        <v>3847</v>
      </c>
      <c r="S66" s="5909"/>
      <c r="T66" s="7176">
        <f>+RMHP!S31</f>
        <v>912</v>
      </c>
      <c r="U66" s="4333"/>
      <c r="V66" s="1878">
        <f t="shared" si="354"/>
        <v>4759</v>
      </c>
      <c r="W66" s="6007"/>
      <c r="X66" s="6007">
        <f>+RMHP!W31</f>
        <v>798</v>
      </c>
      <c r="Y66" s="2259"/>
      <c r="Z66" s="2258">
        <f>P66+T66+X66</f>
        <v>2565</v>
      </c>
      <c r="AA66" s="2216"/>
      <c r="AB66" s="2260">
        <f t="shared" si="355"/>
        <v>5557</v>
      </c>
      <c r="AC66" s="6138"/>
      <c r="AD66" s="6138">
        <f>+RMHP!AC31</f>
        <v>998</v>
      </c>
      <c r="AE66" s="2436"/>
      <c r="AF66" s="1878">
        <f t="shared" si="356"/>
        <v>6555</v>
      </c>
      <c r="AG66" s="6300"/>
      <c r="AH66" s="7183">
        <f>+RMHP!AG31</f>
        <v>1097</v>
      </c>
      <c r="AI66" s="4632"/>
      <c r="AJ66" s="1878">
        <f t="shared" si="357"/>
        <v>7652</v>
      </c>
      <c r="AK66" s="6564"/>
      <c r="AL66" s="6564">
        <f>+RMHP!AK31</f>
        <v>1269</v>
      </c>
      <c r="AM66" s="2259"/>
      <c r="AN66" s="2258">
        <f>AD66+AH66+AL66</f>
        <v>3364</v>
      </c>
      <c r="AO66" s="2545"/>
      <c r="AP66" s="2255">
        <f>+AL66+AJ66</f>
        <v>8921</v>
      </c>
      <c r="AQ66" s="6665"/>
      <c r="AR66" s="6665">
        <f>+RMHP!AQ31</f>
        <v>988</v>
      </c>
      <c r="AS66" s="2599"/>
      <c r="AT66" s="1878">
        <f t="shared" si="358"/>
        <v>9909</v>
      </c>
      <c r="AU66" s="6864"/>
      <c r="AV66" s="6864">
        <f>+RMHP!AU31</f>
        <v>655</v>
      </c>
      <c r="AW66" s="5025"/>
      <c r="AX66" s="1878">
        <f t="shared" si="359"/>
        <v>10564</v>
      </c>
      <c r="AY66" s="6981"/>
      <c r="AZ66" s="6981">
        <f>+RMHP!AY31</f>
        <v>925</v>
      </c>
      <c r="BA66" s="2259"/>
      <c r="BB66" s="2258">
        <f>AR66+AV66+AZ66</f>
        <v>2568</v>
      </c>
      <c r="BC66" s="2782"/>
      <c r="BD66" s="442">
        <f>+AN66+BB66</f>
        <v>5932</v>
      </c>
      <c r="BE66" s="2783"/>
      <c r="BF66" s="1878">
        <f t="shared" si="360"/>
        <v>11489</v>
      </c>
      <c r="BG66" s="4234">
        <f t="shared" si="3"/>
        <v>0</v>
      </c>
      <c r="BH66" s="4234">
        <f t="shared" si="4"/>
        <v>0</v>
      </c>
      <c r="BI66" s="25"/>
      <c r="BJ66" s="25"/>
      <c r="BK66" s="25"/>
      <c r="BL66" s="25"/>
      <c r="BM66" s="25"/>
      <c r="BN66" s="25"/>
    </row>
    <row r="67" spans="1:68" ht="15.75" thickBot="1" x14ac:dyDescent="0.3">
      <c r="A67" s="137"/>
      <c r="B67" s="1630" t="s">
        <v>1266</v>
      </c>
      <c r="C67" s="702" t="s">
        <v>50</v>
      </c>
      <c r="D67" s="4203">
        <f>D30/((100-D73)/100)-D30</f>
        <v>12757.939662736491</v>
      </c>
      <c r="E67" s="4203">
        <f>E30/((100-E73)/100)-E30</f>
        <v>884.55048328306293</v>
      </c>
      <c r="F67" s="4203">
        <f>+F66-((F56/100)*F66)</f>
        <v>788.18460000000005</v>
      </c>
      <c r="G67" s="5590">
        <f>G30/((100-G73)/100)-G30</f>
        <v>1105.6881041038287</v>
      </c>
      <c r="H67" s="7176">
        <f>+H66-((H56/100)*H66)</f>
        <v>1273.9929</v>
      </c>
      <c r="I67" s="42">
        <f t="shared" si="352"/>
        <v>1990.2385873868916</v>
      </c>
      <c r="J67" s="42">
        <f t="shared" si="352"/>
        <v>2062.1774999999998</v>
      </c>
      <c r="K67" s="5702">
        <f>K30/((100-K73)/100)-K30</f>
        <v>1071.6669316698681</v>
      </c>
      <c r="L67" s="5702">
        <f>+L66-((L56/100)*L66)</f>
        <v>881.08789999999999</v>
      </c>
      <c r="M67" s="4205">
        <f>E67+G67+K67</f>
        <v>3061.9055190567597</v>
      </c>
      <c r="N67" s="4205">
        <f>+N66-((N56/100)*N66)</f>
        <v>2943.2653999999998</v>
      </c>
      <c r="O67" s="5837">
        <f>O30/((100-O73)/100)-O30</f>
        <v>1084.4248713325942</v>
      </c>
      <c r="P67" s="5837">
        <f>+P66-((P56/100)*P66)</f>
        <v>831.40200000000004</v>
      </c>
      <c r="Q67" s="2041">
        <f>M67+O67</f>
        <v>4146.3303903893539</v>
      </c>
      <c r="R67" s="42">
        <f t="shared" si="353"/>
        <v>3774.6673999999998</v>
      </c>
      <c r="S67" s="5909">
        <f>S30/((100-S73)/100)-S30</f>
        <v>1084.4248713325942</v>
      </c>
      <c r="T67" s="7176">
        <f>+T66-((T56/100)*T66)</f>
        <v>890.56799999999998</v>
      </c>
      <c r="U67" s="4340">
        <f>Q67+S67</f>
        <v>5230.755261721948</v>
      </c>
      <c r="V67" s="42">
        <f t="shared" si="354"/>
        <v>4665.2353999999996</v>
      </c>
      <c r="W67" s="6007">
        <f>W30/((100-W73)/100)-W30</f>
        <v>595.37051759436872</v>
      </c>
      <c r="X67" s="6007">
        <f>+X66-((X56/100)*X66)</f>
        <v>783.31680000000006</v>
      </c>
      <c r="Y67" s="66">
        <f>+W67+S67+O67</f>
        <v>2764.2202602595571</v>
      </c>
      <c r="Z67" s="1043">
        <f>+Z66-((Z56/100)*Z66)</f>
        <v>2505.5261895357253</v>
      </c>
      <c r="AA67" s="608">
        <f>M67+Y67</f>
        <v>5826.1257793163168</v>
      </c>
      <c r="AB67" s="432">
        <f t="shared" si="355"/>
        <v>5448.7915895357255</v>
      </c>
      <c r="AC67" s="6138">
        <f>AC30/((100-AC73)/100)-AC30</f>
        <v>1105.6881041038287</v>
      </c>
      <c r="AD67" s="6138">
        <f>+AD66-((AD56/100)*AD66)</f>
        <v>982.63080000000002</v>
      </c>
      <c r="AE67" s="2439">
        <f>AA67+AC67</f>
        <v>6931.8138834201454</v>
      </c>
      <c r="AF67" s="42">
        <f t="shared" si="356"/>
        <v>6431.4223895357254</v>
      </c>
      <c r="AG67" s="6300">
        <f>AG30/((100-AG73)/100)-AG30</f>
        <v>1071.6669316698681</v>
      </c>
      <c r="AH67" s="7183">
        <f>+AH66-((AH56/100)*AH66)</f>
        <v>1072.2077999999999</v>
      </c>
      <c r="AI67" s="4643">
        <f>AE67+AG67</f>
        <v>8003.4808150900135</v>
      </c>
      <c r="AJ67" s="42">
        <f t="shared" si="357"/>
        <v>7503.6301895357255</v>
      </c>
      <c r="AK67" s="6564">
        <f>AK30/((100-AK73)/100)-AK30</f>
        <v>1105.6881041038287</v>
      </c>
      <c r="AL67" s="6564">
        <f>+AL66-((AL56/100)*AL66)</f>
        <v>1247.4269999999999</v>
      </c>
      <c r="AM67" s="66">
        <f>+AK67+AG67+AC67</f>
        <v>3283.0431398775254</v>
      </c>
      <c r="AN67" s="67">
        <f t="shared" si="375"/>
        <v>3302.2655999999997</v>
      </c>
      <c r="AO67" s="557">
        <f t="shared" si="367"/>
        <v>9109.1689191938422</v>
      </c>
      <c r="AP67" s="557">
        <f t="shared" si="367"/>
        <v>8751.0571895357261</v>
      </c>
      <c r="AQ67" s="6665">
        <f>AQ30/((100-AQ73)/100)-AQ30</f>
        <v>1122.6986903208162</v>
      </c>
      <c r="AR67" s="6665">
        <f>+AR66-((AR56/100)*AR66)</f>
        <v>974.06920000000002</v>
      </c>
      <c r="AS67" s="2602">
        <f>AO67+AQ67</f>
        <v>10231.867609514658</v>
      </c>
      <c r="AT67" s="42">
        <f t="shared" si="358"/>
        <v>9725.126389535726</v>
      </c>
      <c r="AU67" s="6864">
        <f>AU30/((100-AU73)/100)-AU30</f>
        <v>1003.6245868019323</v>
      </c>
      <c r="AV67" s="6864">
        <f>+AV66-((AV56/100)*AV66)</f>
        <v>646.94349999999997</v>
      </c>
      <c r="AW67" s="5031">
        <f>AS67+AU67</f>
        <v>11235.492196316591</v>
      </c>
      <c r="AX67" s="42">
        <f t="shared" si="359"/>
        <v>10372.069889535725</v>
      </c>
      <c r="AY67" s="6981">
        <f>AY30/((100-AY73)/100)-AY30</f>
        <v>1122.6986903208162</v>
      </c>
      <c r="AZ67" s="6981">
        <f>+AZ66-((AZ56/100)*AZ66)</f>
        <v>914.82500000000005</v>
      </c>
      <c r="BA67" s="66">
        <f>+AY67+AU67+AQ67</f>
        <v>3249.0219674435648</v>
      </c>
      <c r="BB67" s="67">
        <f t="shared" si="376"/>
        <v>2535.8377</v>
      </c>
      <c r="BC67" s="443">
        <f t="shared" ref="BC67" si="379">AM67+BA67</f>
        <v>6532.0651073210902</v>
      </c>
      <c r="BD67" s="443">
        <f t="shared" ref="BD67" si="380">AN67+BB67</f>
        <v>5838.1032999999998</v>
      </c>
      <c r="BE67" s="2788">
        <f>AW67+AY67</f>
        <v>12358.190886637407</v>
      </c>
      <c r="BF67" s="42">
        <f t="shared" si="360"/>
        <v>11286.894889535726</v>
      </c>
      <c r="BG67" s="4234">
        <f t="shared" si="3"/>
        <v>0</v>
      </c>
      <c r="BH67" s="4234">
        <f t="shared" si="4"/>
        <v>-0.23938953572542232</v>
      </c>
      <c r="BI67" s="25"/>
      <c r="BJ67" s="25"/>
      <c r="BK67" s="25"/>
      <c r="BL67" s="25"/>
      <c r="BM67" s="25"/>
      <c r="BN67" s="25"/>
    </row>
    <row r="68" spans="1:68" ht="15.75" x14ac:dyDescent="0.25">
      <c r="A68" s="137"/>
      <c r="B68" s="1631" t="s">
        <v>570</v>
      </c>
      <c r="C68" s="710" t="s">
        <v>50</v>
      </c>
      <c r="D68" s="1565" t="s">
        <v>32</v>
      </c>
      <c r="E68" s="1567" t="s">
        <v>32</v>
      </c>
      <c r="F68" s="4203">
        <f>+RMHP!E30</f>
        <v>10245</v>
      </c>
      <c r="G68" s="1567" t="s">
        <v>32</v>
      </c>
      <c r="H68" s="7176">
        <f>+RMHP!G30</f>
        <v>6799</v>
      </c>
      <c r="I68" s="4259" t="s">
        <v>32</v>
      </c>
      <c r="J68" s="41">
        <f t="shared" si="352"/>
        <v>17044</v>
      </c>
      <c r="K68" s="1567" t="s">
        <v>32</v>
      </c>
      <c r="L68" s="5702">
        <f>+RMHP!K30</f>
        <v>8611</v>
      </c>
      <c r="M68" s="4260" t="s">
        <v>32</v>
      </c>
      <c r="N68" s="4260">
        <f>F68+H68+L68</f>
        <v>25655</v>
      </c>
      <c r="O68" s="1567" t="s">
        <v>32</v>
      </c>
      <c r="P68" s="5837">
        <f>+RMHP!O30</f>
        <v>7621</v>
      </c>
      <c r="Q68" s="2254" t="s">
        <v>32</v>
      </c>
      <c r="R68" s="2255">
        <f t="shared" si="353"/>
        <v>33276</v>
      </c>
      <c r="S68" s="1567" t="s">
        <v>32</v>
      </c>
      <c r="T68" s="7176">
        <f>+RMHP!S30</f>
        <v>7950</v>
      </c>
      <c r="U68" s="2254" t="s">
        <v>32</v>
      </c>
      <c r="V68" s="2255">
        <f t="shared" si="354"/>
        <v>41226</v>
      </c>
      <c r="W68" s="1567" t="s">
        <v>32</v>
      </c>
      <c r="X68" s="6007">
        <f>+RMHP!W30</f>
        <v>5111</v>
      </c>
      <c r="Y68" s="736"/>
      <c r="Z68" s="1951">
        <f>P68+T68+X68</f>
        <v>20682</v>
      </c>
      <c r="AA68" s="2257" t="s">
        <v>32</v>
      </c>
      <c r="AB68" s="465">
        <f t="shared" si="355"/>
        <v>46337</v>
      </c>
      <c r="AC68" s="1567" t="s">
        <v>32</v>
      </c>
      <c r="AD68" s="6138">
        <f>+RMHP!AC30</f>
        <v>6124</v>
      </c>
      <c r="AE68" s="2254" t="s">
        <v>32</v>
      </c>
      <c r="AF68" s="2255">
        <f t="shared" si="356"/>
        <v>52461</v>
      </c>
      <c r="AG68" s="1567" t="s">
        <v>32</v>
      </c>
      <c r="AH68" s="7183">
        <f>+RMHP!AG30</f>
        <v>10121</v>
      </c>
      <c r="AI68" s="2254" t="s">
        <v>32</v>
      </c>
      <c r="AJ68" s="2255">
        <f t="shared" si="357"/>
        <v>62582</v>
      </c>
      <c r="AK68" s="1567" t="s">
        <v>32</v>
      </c>
      <c r="AL68" s="6564">
        <f>+RMHP!AK30</f>
        <v>13032</v>
      </c>
      <c r="AM68" s="736"/>
      <c r="AN68" s="1951">
        <f>AD68+AH68+AL68</f>
        <v>29277</v>
      </c>
      <c r="AO68" s="2254" t="s">
        <v>32</v>
      </c>
      <c r="AP68" s="2255">
        <f>+AL68+AJ68</f>
        <v>75614</v>
      </c>
      <c r="AQ68" s="1567" t="s">
        <v>32</v>
      </c>
      <c r="AR68" s="6665">
        <f>+RMHP!AQ30</f>
        <v>14778</v>
      </c>
      <c r="AS68" s="2254" t="s">
        <v>32</v>
      </c>
      <c r="AT68" s="2255">
        <f t="shared" si="358"/>
        <v>90392</v>
      </c>
      <c r="AU68" s="1567" t="s">
        <v>32</v>
      </c>
      <c r="AV68" s="6864">
        <f>+RMHP!AU30</f>
        <v>9877</v>
      </c>
      <c r="AW68" s="2254" t="s">
        <v>32</v>
      </c>
      <c r="AX68" s="2255">
        <f t="shared" si="359"/>
        <v>100269</v>
      </c>
      <c r="AY68" s="1567" t="s">
        <v>32</v>
      </c>
      <c r="AZ68" s="6981">
        <f>+RMHP!AY30</f>
        <v>9345</v>
      </c>
      <c r="BA68" s="736"/>
      <c r="BB68" s="1951">
        <f>AR68+AV68+AZ68</f>
        <v>34000</v>
      </c>
      <c r="BC68" s="2257" t="s">
        <v>32</v>
      </c>
      <c r="BD68" s="442">
        <f>+AN68+BB68</f>
        <v>63277</v>
      </c>
      <c r="BE68" s="2254" t="s">
        <v>32</v>
      </c>
      <c r="BF68" s="2255">
        <f t="shared" si="360"/>
        <v>109614</v>
      </c>
      <c r="BG68" s="4234"/>
      <c r="BH68" s="4234">
        <f t="shared" si="4"/>
        <v>0</v>
      </c>
      <c r="BI68" s="25"/>
      <c r="BJ68" s="25"/>
      <c r="BK68" s="25"/>
      <c r="BL68" s="25"/>
      <c r="BM68" s="25"/>
      <c r="BN68" s="25"/>
    </row>
    <row r="69" spans="1:68" ht="15.75" thickBot="1" x14ac:dyDescent="0.3">
      <c r="A69" s="137" t="s">
        <v>446</v>
      </c>
      <c r="B69" s="1630" t="s">
        <v>571</v>
      </c>
      <c r="C69" s="702" t="s">
        <v>50</v>
      </c>
      <c r="D69" s="213">
        <f>+(D28/((100-D74)/100))-D28</f>
        <v>113055.65216701757</v>
      </c>
      <c r="E69" s="213">
        <f>+(E28/((100-E74)/100))-E28</f>
        <v>7838.5252169132218</v>
      </c>
      <c r="F69" s="213">
        <f>+F68-((F57/100)*F68)</f>
        <v>9479.6985000000004</v>
      </c>
      <c r="G69" s="213">
        <f>+(G28/((100-G74)/100))-G28</f>
        <v>9798.1565211415291</v>
      </c>
      <c r="H69" s="213">
        <f>+H68-((H57/100)*H68)</f>
        <v>6286.3554000000004</v>
      </c>
      <c r="I69" s="678">
        <f>+E69+G69</f>
        <v>17636.681738054751</v>
      </c>
      <c r="J69" s="42">
        <f t="shared" si="352"/>
        <v>15766.053900000001</v>
      </c>
      <c r="K69" s="213">
        <f>+(K28/((100-K74)/100))-K28</f>
        <v>9496.6747820294768</v>
      </c>
      <c r="L69" s="213">
        <f>+L68-((L57/100)*L68)</f>
        <v>7843.7599</v>
      </c>
      <c r="M69" s="1439">
        <f>+K69+G69+E69</f>
        <v>27133.356520084228</v>
      </c>
      <c r="N69" s="1439">
        <f>+N68-((N57/100)*N68)</f>
        <v>23609.8138</v>
      </c>
      <c r="O69" s="213">
        <f>+(O28/((100-O74)/100))-O28</f>
        <v>9609.7304341964991</v>
      </c>
      <c r="P69" s="213">
        <f>+P68-((P57/100)*P68)</f>
        <v>6780.4036999999998</v>
      </c>
      <c r="Q69" s="678">
        <f>+M69+O69</f>
        <v>36743.086954280727</v>
      </c>
      <c r="R69" s="42">
        <f t="shared" si="353"/>
        <v>30390.217499999999</v>
      </c>
      <c r="S69" s="213">
        <f>+(S28/((100-S74)/100))-S28</f>
        <v>9609.7304341964991</v>
      </c>
      <c r="T69" s="213">
        <f>+T68-((T57/100)*T68)</f>
        <v>7117.6350000000002</v>
      </c>
      <c r="U69" s="678">
        <f>+Q69+S69</f>
        <v>46352.817388477226</v>
      </c>
      <c r="V69" s="42">
        <f t="shared" si="354"/>
        <v>37507.852500000001</v>
      </c>
      <c r="W69" s="213">
        <f>+(W28/((100-W74)/100))-W28</f>
        <v>5275.9304344608208</v>
      </c>
      <c r="X69" s="213">
        <f>+X68-((X57/100)*X68)</f>
        <v>4564.1229999999996</v>
      </c>
      <c r="Y69" s="2051">
        <f>+W69+S69+O69</f>
        <v>24495.391302853819</v>
      </c>
      <c r="Z69" s="72">
        <f>+X69+T69+P69</f>
        <v>18462.161700000001</v>
      </c>
      <c r="AA69" s="608">
        <f>M69+Y69</f>
        <v>51628.74782293805</v>
      </c>
      <c r="AB69" s="1559">
        <f t="shared" si="355"/>
        <v>42071.9755</v>
      </c>
      <c r="AC69" s="213">
        <f>+(AC28/((100-AC74)/100))-AC28</f>
        <v>9798.1565211415291</v>
      </c>
      <c r="AD69" s="213">
        <f>+AD68-((AD57/100)*AD68)</f>
        <v>5519.5612000000001</v>
      </c>
      <c r="AE69" s="678">
        <f>+AA69+AC69</f>
        <v>61426.904344079579</v>
      </c>
      <c r="AF69" s="42">
        <f t="shared" si="356"/>
        <v>47591.536699999997</v>
      </c>
      <c r="AG69" s="213">
        <f>+(AG28/((100-AG74)/100))-AG28</f>
        <v>9496.6747820294768</v>
      </c>
      <c r="AH69" s="213">
        <f>+AH68-((AH57/100)*AH68)</f>
        <v>9140.2751000000007</v>
      </c>
      <c r="AI69" s="678">
        <f>+AE69+AG69</f>
        <v>70923.579126109049</v>
      </c>
      <c r="AJ69" s="42">
        <f t="shared" si="357"/>
        <v>56731.811799999996</v>
      </c>
      <c r="AK69" s="213">
        <f>+(AK28/((100-AK74)/100))-AK28</f>
        <v>9798.1565211415291</v>
      </c>
      <c r="AL69" s="213">
        <f>+AL68-((AL57/100)*AL68)</f>
        <v>11950.344000000001</v>
      </c>
      <c r="AM69" s="2051">
        <f>+AK69+AG69+AC69</f>
        <v>29092.987824312535</v>
      </c>
      <c r="AN69" s="72">
        <f>+AL69+AH69+AD69</f>
        <v>26610.180300000004</v>
      </c>
      <c r="AO69" s="557">
        <f t="shared" ref="AO69" si="381">+AK69+AI69</f>
        <v>80721.735647250578</v>
      </c>
      <c r="AP69" s="557">
        <f t="shared" ref="AP69" si="382">+AL69+AJ69</f>
        <v>68682.155799999993</v>
      </c>
      <c r="AQ69" s="213">
        <f>+(AQ28/((100-AQ74)/100))-AQ28</f>
        <v>9948.8973906975443</v>
      </c>
      <c r="AR69" s="213">
        <f>+AR68-((AR57/100)*AR68)</f>
        <v>13628.2716</v>
      </c>
      <c r="AS69" s="678">
        <f>+AO69+AQ69</f>
        <v>90670.633037948122</v>
      </c>
      <c r="AT69" s="42">
        <f t="shared" si="358"/>
        <v>82310.427399999986</v>
      </c>
      <c r="AU69" s="213">
        <f>+(AU28/((100-AU74)/100))-AU28</f>
        <v>8893.7113038053867</v>
      </c>
      <c r="AV69" s="213">
        <f>+AV68-((AV57/100)*AV68)</f>
        <v>9166.8436999999994</v>
      </c>
      <c r="AW69" s="678">
        <f>+AS69+AU69</f>
        <v>99564.344341753516</v>
      </c>
      <c r="AX69" s="42">
        <f t="shared" si="359"/>
        <v>91477.271099999984</v>
      </c>
      <c r="AY69" s="213">
        <f>+(AY28/((100-AY74)/100))-AY28</f>
        <v>9948.8973906975443</v>
      </c>
      <c r="AZ69" s="213">
        <f>+AZ68-((AZ57/100)*AZ68)</f>
        <v>8687.1119999999992</v>
      </c>
      <c r="BA69" s="2051">
        <f>+AY69+AU69+AQ69</f>
        <v>28791.506085200475</v>
      </c>
      <c r="BB69" s="72">
        <f>+AZ69+AV69+AR69</f>
        <v>31482.227299999999</v>
      </c>
      <c r="BC69" s="443">
        <f t="shared" ref="BC69" si="383">AM69+BA69</f>
        <v>57884.49390951301</v>
      </c>
      <c r="BD69" s="443">
        <f t="shared" ref="BD69" si="384">AN69+BB69</f>
        <v>58092.407600000006</v>
      </c>
      <c r="BE69" s="678">
        <f>+AW69+AY69</f>
        <v>109513.24173245106</v>
      </c>
      <c r="BF69" s="42">
        <f t="shared" si="360"/>
        <v>100164.38309999998</v>
      </c>
      <c r="BG69" s="4234">
        <f t="shared" si="3"/>
        <v>0</v>
      </c>
      <c r="BH69" s="4234">
        <f t="shared" si="4"/>
        <v>0</v>
      </c>
      <c r="BI69" s="25"/>
      <c r="BJ69" s="25"/>
      <c r="BK69" s="25"/>
      <c r="BL69" s="25"/>
      <c r="BM69" s="25"/>
      <c r="BN69" s="25"/>
    </row>
    <row r="70" spans="1:68" ht="30.75" hidden="1" customHeight="1" thickBot="1" x14ac:dyDescent="0.3">
      <c r="A70" s="137"/>
      <c r="B70" s="1640" t="s">
        <v>559</v>
      </c>
      <c r="C70" s="773" t="s">
        <v>49</v>
      </c>
      <c r="D70" s="2052"/>
      <c r="E70" s="2052">
        <v>0</v>
      </c>
      <c r="F70" s="4261">
        <f>+(F61/(F63+F27+F93))*100</f>
        <v>0</v>
      </c>
      <c r="G70" s="2052">
        <v>0</v>
      </c>
      <c r="H70" s="4261">
        <f>+(H61/(H63+H27+H93))*100</f>
        <v>0</v>
      </c>
      <c r="I70" s="4212" t="s">
        <v>32</v>
      </c>
      <c r="J70" s="4262">
        <f>+(J61/(J63+J27+J93))*100</f>
        <v>0</v>
      </c>
      <c r="K70" s="2052">
        <v>0</v>
      </c>
      <c r="L70" s="4261">
        <f>+(L61/(L63+L27+L93))*100</f>
        <v>0</v>
      </c>
      <c r="M70" s="4263" t="s">
        <v>32</v>
      </c>
      <c r="N70" s="4264">
        <f>+(N61/(N63+N27+N93))*100</f>
        <v>0</v>
      </c>
      <c r="O70" s="2052">
        <v>0</v>
      </c>
      <c r="P70" s="4261">
        <f>+(P61/(P63+P27+P93))*100</f>
        <v>0</v>
      </c>
      <c r="Q70" s="779" t="s">
        <v>32</v>
      </c>
      <c r="R70" s="580">
        <f>+(R61/(R63+R27+R93))*100</f>
        <v>0</v>
      </c>
      <c r="S70" s="2052">
        <v>0</v>
      </c>
      <c r="T70" s="4261">
        <f>+(T61/(T63+T27+T93))*100</f>
        <v>0</v>
      </c>
      <c r="U70" s="779" t="s">
        <v>32</v>
      </c>
      <c r="V70" s="580">
        <f>+(V61/(V63+V27+V93))*100</f>
        <v>0</v>
      </c>
      <c r="W70" s="2052">
        <v>0</v>
      </c>
      <c r="X70" s="4261">
        <f>+(X61/(X63+X27+X93))*100</f>
        <v>0</v>
      </c>
      <c r="Y70" s="2084" t="s">
        <v>32</v>
      </c>
      <c r="Z70" s="579">
        <f>+(Z61/(Z63+Z27+Z93))*100</f>
        <v>0</v>
      </c>
      <c r="AA70" s="2085" t="s">
        <v>32</v>
      </c>
      <c r="AB70" s="2086">
        <f>+(AB61/(AB63+AB27+AB93))*100</f>
        <v>0</v>
      </c>
      <c r="AC70" s="2052">
        <v>0</v>
      </c>
      <c r="AD70" s="4261">
        <f>+(AD61/(AD63+AD27+AD93))*100</f>
        <v>0</v>
      </c>
      <c r="AE70" s="779" t="s">
        <v>32</v>
      </c>
      <c r="AF70" s="580">
        <f>+(AF61/(AF63+AF27+AF93))*100</f>
        <v>0</v>
      </c>
      <c r="AG70" s="2052">
        <v>0</v>
      </c>
      <c r="AH70" s="4261">
        <f>+(AH61/(AH63+AH27+AH93))*100</f>
        <v>0</v>
      </c>
      <c r="AI70" s="779" t="s">
        <v>32</v>
      </c>
      <c r="AJ70" s="580">
        <f>+(AJ61/(AJ63+AJ27+AJ93))*100</f>
        <v>0</v>
      </c>
      <c r="AK70" s="2052">
        <v>0</v>
      </c>
      <c r="AL70" s="4261">
        <f>+(AL61/(AL63+AL27+AL93))*100</f>
        <v>0</v>
      </c>
      <c r="AM70" s="2084" t="s">
        <v>32</v>
      </c>
      <c r="AN70" s="579">
        <f>+(AN61/(AN63+AN27+AN93))*100</f>
        <v>0</v>
      </c>
      <c r="AO70" s="779" t="s">
        <v>32</v>
      </c>
      <c r="AP70" s="580">
        <f>+(AP61/(AP63+AP27+AP93))*100</f>
        <v>0</v>
      </c>
      <c r="AQ70" s="2052">
        <v>0</v>
      </c>
      <c r="AR70" s="4261">
        <f>+(AR61/(AR63+AR27+AR93))*100</f>
        <v>0</v>
      </c>
      <c r="AS70" s="779" t="s">
        <v>32</v>
      </c>
      <c r="AT70" s="580">
        <f>+(AT61/(AT63+AT27+AT93))*100</f>
        <v>0</v>
      </c>
      <c r="AU70" s="2052">
        <v>0</v>
      </c>
      <c r="AV70" s="4261">
        <f>+(AV61/(AV63+AV27+AV93))*100</f>
        <v>0</v>
      </c>
      <c r="AW70" s="779" t="s">
        <v>32</v>
      </c>
      <c r="AX70" s="580">
        <f>+(AX61/(AX63+AX27+AX93))*100</f>
        <v>0</v>
      </c>
      <c r="AY70" s="2052">
        <v>0</v>
      </c>
      <c r="AZ70" s="4261">
        <f>+(AZ61/(AZ63+AZ27+AZ93))*100</f>
        <v>0</v>
      </c>
      <c r="BA70" s="2084" t="s">
        <v>32</v>
      </c>
      <c r="BB70" s="579">
        <f>+(BB61/(BB63+BB27+BB93))*100</f>
        <v>0</v>
      </c>
      <c r="BC70" s="2085" t="s">
        <v>32</v>
      </c>
      <c r="BD70" s="2086">
        <f>+(BD61/(BD63+BD27+BD93))*100</f>
        <v>0</v>
      </c>
      <c r="BE70" s="779" t="s">
        <v>32</v>
      </c>
      <c r="BF70" s="580">
        <f>+(BF61/(BF63+BF27+BF93))*100</f>
        <v>0</v>
      </c>
      <c r="BG70" s="4234" t="e">
        <f t="shared" si="3"/>
        <v>#VALUE!</v>
      </c>
      <c r="BH70" s="4234">
        <f t="shared" si="4"/>
        <v>0</v>
      </c>
      <c r="BI70" s="25"/>
      <c r="BJ70" s="25"/>
      <c r="BK70" s="25"/>
      <c r="BL70" s="25"/>
      <c r="BM70" s="25"/>
      <c r="BN70" s="25"/>
    </row>
    <row r="71" spans="1:68" ht="30" x14ac:dyDescent="0.25">
      <c r="A71" s="188" t="s">
        <v>601</v>
      </c>
      <c r="B71" s="3631" t="s">
        <v>558</v>
      </c>
      <c r="C71" s="710" t="s">
        <v>49</v>
      </c>
      <c r="D71" s="2066">
        <v>18</v>
      </c>
      <c r="E71" s="1139">
        <f>+$D$71</f>
        <v>18</v>
      </c>
      <c r="F71" s="1139">
        <f>+(F59/(F63+F27+F93))*100</f>
        <v>21.32794495777317</v>
      </c>
      <c r="G71" s="1139">
        <f>+$D$71</f>
        <v>18</v>
      </c>
      <c r="H71" s="1139">
        <f>+(H59/(H63+H27+H93))*100</f>
        <v>18.551681924645752</v>
      </c>
      <c r="I71" s="4265">
        <f>+(I59/(I63+I27+I93))*100</f>
        <v>18.000000000000011</v>
      </c>
      <c r="J71" s="2056">
        <f>+(J59/(J63+J27+J93))*100</f>
        <v>19.928860391857437</v>
      </c>
      <c r="K71" s="1139">
        <f>+$D$71</f>
        <v>18</v>
      </c>
      <c r="L71" s="1139">
        <f>+(L59/(L63+L27+L93))*100</f>
        <v>18.678571115316529</v>
      </c>
      <c r="M71" s="1467">
        <f>+$D$71</f>
        <v>18</v>
      </c>
      <c r="N71" s="92">
        <f>+(N59/(N63+N27+N93))*100</f>
        <v>19.493374338772551</v>
      </c>
      <c r="O71" s="1139">
        <f>+$D$71</f>
        <v>18</v>
      </c>
      <c r="P71" s="1139">
        <f>+(P59/(P63+P27+P93))*100</f>
        <v>19.639971945924596</v>
      </c>
      <c r="Q71" s="780">
        <f>+(Q59/(Q63+Q27+Q93))*100</f>
        <v>18.000000000000007</v>
      </c>
      <c r="R71" s="581">
        <f>+(R59/(R63+R27+R93))*100</f>
        <v>19.532392525191071</v>
      </c>
      <c r="S71" s="1139">
        <f>+$D$71</f>
        <v>18</v>
      </c>
      <c r="T71" s="1139">
        <f>+(T59/(T63+T27+T93))*100</f>
        <v>19.902985944922893</v>
      </c>
      <c r="U71" s="780">
        <f>+(U59/(U63+U27+U93))*100</f>
        <v>18.000000000000004</v>
      </c>
      <c r="V71" s="581">
        <f>+(V59/(V63+V27+V93))*100</f>
        <v>19.607387396105093</v>
      </c>
      <c r="W71" s="1139">
        <f>+$D$71</f>
        <v>18</v>
      </c>
      <c r="X71" s="1139">
        <f>+(X59/(X63+X27+X93))*100</f>
        <v>21.088912905069453</v>
      </c>
      <c r="Y71" s="184">
        <f>+(Y59/(Y63+Y27+Y93))*100</f>
        <v>18.000000000000004</v>
      </c>
      <c r="Z71" s="184">
        <f>+(Z59/(Z27+Z63+Z93))*100</f>
        <v>20.195878820493306</v>
      </c>
      <c r="AA71" s="781">
        <f>+(AA59/(AA63+AA27+AA93))*100</f>
        <v>18.000000000000004</v>
      </c>
      <c r="AB71" s="468">
        <f>+(AB59/(AB63+AB27+AB93))*100</f>
        <v>19.852787849623045</v>
      </c>
      <c r="AC71" s="1139">
        <f>+$D$71</f>
        <v>18</v>
      </c>
      <c r="AD71" s="1139">
        <f>+(AD59/(AD63+AD27+AD93))*100</f>
        <v>20.693023667951554</v>
      </c>
      <c r="AE71" s="780">
        <f>+(AE59/(AE63+AE27+AE93))*100</f>
        <v>18.000000000000004</v>
      </c>
      <c r="AF71" s="581">
        <f>+(AF59/(AF63+AF27+AF93))*100</f>
        <v>19.953322380624389</v>
      </c>
      <c r="AG71" s="1139">
        <f>+$D$71</f>
        <v>18</v>
      </c>
      <c r="AH71" s="1139">
        <f>+(AH59/(AH63+AH27+AH93))*100</f>
        <v>19.704053138337525</v>
      </c>
      <c r="AI71" s="780">
        <f>+(AI59/(AI63+AI27+AI93))*100</f>
        <v>18.000000000000007</v>
      </c>
      <c r="AJ71" s="581">
        <f>+(AJ59/(AJ63+AJ27+AJ93))*100</f>
        <v>19.921873678798597</v>
      </c>
      <c r="AK71" s="1139">
        <f>+$D$71</f>
        <v>18</v>
      </c>
      <c r="AL71" s="1139">
        <f>+(AL59/(AL63+AL27+AL93))*100</f>
        <v>19.642092258081544</v>
      </c>
      <c r="AM71" s="184">
        <f>+(AM59/(AM63+AM27+AM93))*100</f>
        <v>18.000000000000011</v>
      </c>
      <c r="AN71" s="184">
        <f>+(AN59/(AN27+AN63+AN93))*100</f>
        <v>19.972711895963005</v>
      </c>
      <c r="AO71" s="780">
        <f>+(AO59/(AO63+AO27+AO93))*100</f>
        <v>18.000000000000007</v>
      </c>
      <c r="AP71" s="581">
        <f>+(AP59/(AP63+AP27+AP93))*100</f>
        <v>19.89072690254136</v>
      </c>
      <c r="AQ71" s="1139">
        <f>+$D$71</f>
        <v>18</v>
      </c>
      <c r="AR71" s="1139">
        <f>+(AR59/(AR63+AR27+AR93))*100</f>
        <v>21.173569709308374</v>
      </c>
      <c r="AS71" s="2949">
        <f>+(AS59/(AS63+AS27+AS93))*100</f>
        <v>18.000000000000004</v>
      </c>
      <c r="AT71" s="2631">
        <f>+(AT59/(AT63+AT27+AT93))*100</f>
        <v>20.018454815394129</v>
      </c>
      <c r="AU71" s="1139">
        <f>+$D$71</f>
        <v>18</v>
      </c>
      <c r="AV71" s="1139">
        <f>+(AV59/(AV63+AV27+AV93))*100</f>
        <v>21.543981815219844</v>
      </c>
      <c r="AW71" s="2949">
        <f>+(AW59/(AW63+AW27+AW93))*100</f>
        <v>18.000000000000004</v>
      </c>
      <c r="AX71" s="2631">
        <f>+(AX59/(AX63+AX27+AX93))*100</f>
        <v>20.135333655906063</v>
      </c>
      <c r="AY71" s="1139">
        <f>+$D$71</f>
        <v>18</v>
      </c>
      <c r="AZ71" s="1139">
        <f>+(AZ59/(AZ63+AZ27+AZ93))*100</f>
        <v>21.385834384525289</v>
      </c>
      <c r="BA71" s="2948">
        <f>+(BA59/(BA63+BA27+BA93))*100</f>
        <v>18.000000000000004</v>
      </c>
      <c r="BB71" s="184">
        <f>+(BB59/(BB27+BB63+BB93))*100</f>
        <v>21.35803560780802</v>
      </c>
      <c r="BC71" s="2947">
        <f>+(BC59/(BC63+BC27+BC93))*100</f>
        <v>18.000000000000004</v>
      </c>
      <c r="BD71" s="468">
        <f>+(BD59/(BD63+BD27+BD93))*100</f>
        <v>20.669450992470988</v>
      </c>
      <c r="BE71" s="2949">
        <f>+(BE59/(BE63+BE27+BE93))*100</f>
        <v>18.000000000000004</v>
      </c>
      <c r="BF71" s="581">
        <f>+(BF59/(BF63+BF27+BF93))*100</f>
        <v>20.246526903876934</v>
      </c>
      <c r="BG71" s="4234"/>
      <c r="BH71" s="4234"/>
      <c r="BI71" s="25"/>
      <c r="BJ71" s="25"/>
      <c r="BK71" s="25"/>
      <c r="BL71" s="25"/>
      <c r="BM71" s="25"/>
      <c r="BN71" s="25"/>
    </row>
    <row r="72" spans="1:68" x14ac:dyDescent="0.25">
      <c r="A72" s="188" t="s">
        <v>601</v>
      </c>
      <c r="B72" s="1629" t="s">
        <v>556</v>
      </c>
      <c r="C72" s="520" t="s">
        <v>49</v>
      </c>
      <c r="D72" s="725">
        <v>10</v>
      </c>
      <c r="E72" s="180">
        <f>+$D$72</f>
        <v>10</v>
      </c>
      <c r="F72" s="180">
        <f>+(F65/(F65+F23+F24+F33))*100</f>
        <v>9.5096208368533901</v>
      </c>
      <c r="G72" s="180">
        <f>+$D$72</f>
        <v>10</v>
      </c>
      <c r="H72" s="180">
        <f>+(H65/(H65+H23+H24+H33))*100</f>
        <v>10.598779487491459</v>
      </c>
      <c r="I72" s="4266">
        <f>+(I65/(I65+I23+I24))*100</f>
        <v>9.9999999999999964</v>
      </c>
      <c r="J72" s="2045">
        <f>+(J65/(J65+J23+J24+J33))*100</f>
        <v>10.050486405400388</v>
      </c>
      <c r="K72" s="180">
        <f>+$D$72</f>
        <v>10</v>
      </c>
      <c r="L72" s="180">
        <f>+(L65/(L65+L23+L24+L33))*100</f>
        <v>10.646072990245287</v>
      </c>
      <c r="M72" s="75">
        <f>+$D$72</f>
        <v>10</v>
      </c>
      <c r="N72" s="87">
        <f>+(N65/(N65+N23+N24+N33))*100</f>
        <v>10.252921129870735</v>
      </c>
      <c r="O72" s="180">
        <f>+$D$72</f>
        <v>10</v>
      </c>
      <c r="P72" s="180">
        <f>+(P65/(P65+P23+P24+P33))*100</f>
        <v>10.769778912379453</v>
      </c>
      <c r="Q72" s="782">
        <f>+(Q65/(Q65+Q23+Q24))*100</f>
        <v>9.9999999999999964</v>
      </c>
      <c r="R72" s="378">
        <f>+(R65/(R65+R23+R24+R33))*100</f>
        <v>10.392560613674473</v>
      </c>
      <c r="S72" s="180">
        <f>+$D$72</f>
        <v>10</v>
      </c>
      <c r="T72" s="180">
        <f>+(T65/(T65+T23+T24+T33))*100</f>
        <v>10.993989987040742</v>
      </c>
      <c r="U72" s="782">
        <f>+(U65/(U65+U23+U24))*100</f>
        <v>9.9999999999999947</v>
      </c>
      <c r="V72" s="378">
        <f>+(V65/(V65+V23+V24+V33))*100</f>
        <v>10.515041212414118</v>
      </c>
      <c r="W72" s="180">
        <f>+$D$72</f>
        <v>10</v>
      </c>
      <c r="X72" s="180">
        <f>+(X65/(X65+X23+X24+X33))*100</f>
        <v>11.013202090788104</v>
      </c>
      <c r="Y72" s="184">
        <f>+(Y65/(Y65+Y23+Y24))*100</f>
        <v>9.9999999999999947</v>
      </c>
      <c r="Z72" s="184">
        <f>+(Z65/(Z65+Z23+Z24+Z33))*100</f>
        <v>10.9233029851559</v>
      </c>
      <c r="AA72" s="781">
        <f>+(AA65/(AA65+AA23+AA24))*100</f>
        <v>9.9999999999999964</v>
      </c>
      <c r="AB72" s="468">
        <f>+(AB65/(AB65+AB23+AB24+AB33))*100</f>
        <v>10.600575451921717</v>
      </c>
      <c r="AC72" s="180">
        <f>+$D$72</f>
        <v>10</v>
      </c>
      <c r="AD72" s="180">
        <f>+(AD65/(AD65+AD23+AD24+AD33))*100</f>
        <v>11.32932064147489</v>
      </c>
      <c r="AE72" s="782">
        <f>+(AE65/(AE65+AE23+AE24))*100</f>
        <v>9.9999999999999947</v>
      </c>
      <c r="AF72" s="378">
        <f>+(AF65/(AF65+AF23+AF24+AF33))*100</f>
        <v>10.699800532073066</v>
      </c>
      <c r="AG72" s="180">
        <f>+$D$72</f>
        <v>10</v>
      </c>
      <c r="AH72" s="180">
        <f>+(AH65/(AH65+AH23+AH24+AH33))*100</f>
        <v>10.420987268513821</v>
      </c>
      <c r="AI72" s="782">
        <f>+(AI65/(AI65+AI23+AI24))*100</f>
        <v>9.9999999999999947</v>
      </c>
      <c r="AJ72" s="378">
        <f>+(AJ65/(AJ65+AJ23+AJ24+AJ33))*100</f>
        <v>10.665382901963964</v>
      </c>
      <c r="AK72" s="180">
        <f>+$D$72</f>
        <v>10</v>
      </c>
      <c r="AL72" s="180">
        <f>+(AL65/(AL65+AL23+AL24+AL33))*100</f>
        <v>9.3533307615525594</v>
      </c>
      <c r="AM72" s="184">
        <f>+(AM65/(AM65+AM23+AM24))*100</f>
        <v>9.9999999999999964</v>
      </c>
      <c r="AN72" s="184">
        <f>+(AN65/(AN65+AN23+AN24+AN33))*100</f>
        <v>10.34165847855532</v>
      </c>
      <c r="AO72" s="782">
        <f>+(AO65/(AO65+AO23+AO24))*100</f>
        <v>9.9999999999999964</v>
      </c>
      <c r="AP72" s="378">
        <f>+(AP65/(AP65+AP23+AP24+AP33))*100</f>
        <v>10.515283264078548</v>
      </c>
      <c r="AQ72" s="180">
        <f>+$D$72</f>
        <v>10</v>
      </c>
      <c r="AR72" s="180">
        <f>+(AR65/(AR65+AR23+AR24+AR33))*100</f>
        <v>8.5640020967490162</v>
      </c>
      <c r="AS72" s="2946">
        <f>+(AS65/(AS65+AS23+AS24))*100</f>
        <v>9.9999999999999964</v>
      </c>
      <c r="AT72" s="3802">
        <f>+(AT65/(AT65+AT23+AT24+AT33))*100</f>
        <v>10.321664062520956</v>
      </c>
      <c r="AU72" s="180">
        <f>+$D$72</f>
        <v>10</v>
      </c>
      <c r="AV72" s="180">
        <f>+(AV65/(AV65+AV23+AV24+AV33))*100</f>
        <v>12.013279064449675</v>
      </c>
      <c r="AW72" s="2946">
        <f>+(AW65/(AW65+AW23+AW24))*100</f>
        <v>9.9999999999999947</v>
      </c>
      <c r="AX72" s="3802">
        <f>+(AX65/(AX65+AX23+AX24+AX33))*100</f>
        <v>10.463049846137523</v>
      </c>
      <c r="AY72" s="180">
        <f>+$D$72</f>
        <v>10</v>
      </c>
      <c r="AZ72" s="180">
        <f>+(AZ65/(AZ65+AZ23+AZ24+AZ33))*100</f>
        <v>10.369400557745163</v>
      </c>
      <c r="BA72" s="2948">
        <f>+(BA65/(BA65+BA23+BA24))*100</f>
        <v>9.9999999999999929</v>
      </c>
      <c r="BB72" s="184">
        <f>+(BB65/(BB65+BB23+BB24+BB33))*100</f>
        <v>10.26874475308942</v>
      </c>
      <c r="BC72" s="2947">
        <f>+(BC65/(BC65+BC23+BC24))*100</f>
        <v>9.9999999999999964</v>
      </c>
      <c r="BD72" s="468">
        <f>+(BD65/(BD65+BD23+BD24+BD33))*100</f>
        <v>10.305603264036394</v>
      </c>
      <c r="BE72" s="2946">
        <f>+(BE65/(BE65+BE23+BE24))*100</f>
        <v>9.9999999999999964</v>
      </c>
      <c r="BF72" s="378">
        <f>+(BF65/(BF65+BF23+BF24+BF33))*100</f>
        <v>10.455199987259425</v>
      </c>
      <c r="BG72" s="4234"/>
      <c r="BH72" s="4234"/>
      <c r="BI72" s="25"/>
      <c r="BJ72" s="25"/>
      <c r="BK72" s="25"/>
      <c r="BL72" s="25"/>
      <c r="BM72" s="25"/>
      <c r="BN72" s="25"/>
    </row>
    <row r="73" spans="1:68" x14ac:dyDescent="0.25">
      <c r="A73" s="188"/>
      <c r="B73" s="1629" t="s">
        <v>1270</v>
      </c>
      <c r="C73" s="520" t="s">
        <v>49</v>
      </c>
      <c r="D73" s="382">
        <v>1.5</v>
      </c>
      <c r="E73" s="1056">
        <f>+$D$73</f>
        <v>1.5</v>
      </c>
      <c r="F73" s="1056">
        <f>+(F67/(F67+F30))*100</f>
        <v>1.3315327028439401</v>
      </c>
      <c r="G73" s="1056">
        <f>+$D$73</f>
        <v>1.5</v>
      </c>
      <c r="H73" s="1056">
        <f>+(H67/(H67+H30))*100</f>
        <v>1.7700756727823157</v>
      </c>
      <c r="I73" s="4266">
        <f>+$D$73</f>
        <v>1.5</v>
      </c>
      <c r="J73" s="2045">
        <f>+(J67/(J67+J30))*100</f>
        <v>1.5721685918769297</v>
      </c>
      <c r="K73" s="1056">
        <f>+$D$73</f>
        <v>1.5</v>
      </c>
      <c r="L73" s="1056">
        <f>+(L67/(L67+L30))*100</f>
        <v>1.3347770433235353</v>
      </c>
      <c r="M73" s="75">
        <f>+$D$73</f>
        <v>1.5</v>
      </c>
      <c r="N73" s="1954">
        <f t="shared" ref="N73" si="385">+(N67/(N67+N30))*100</f>
        <v>1.4926959428775604</v>
      </c>
      <c r="O73" s="1056">
        <f>+$D$73</f>
        <v>1.5</v>
      </c>
      <c r="P73" s="1056">
        <f>+(P67/(P67+P30))*100</f>
        <v>1.4730568382415266</v>
      </c>
      <c r="Q73" s="1283">
        <f>+$D$73</f>
        <v>1.5</v>
      </c>
      <c r="R73" s="393">
        <f t="shared" ref="R73" si="386">+(R67/(R67+R30))*100</f>
        <v>1.4883254294764792</v>
      </c>
      <c r="S73" s="1056">
        <f>+$D$73</f>
        <v>1.5</v>
      </c>
      <c r="T73" s="1056">
        <f>+(T67/(T67+T30))*100</f>
        <v>1.2555013333801754</v>
      </c>
      <c r="U73" s="1283">
        <f>+$D$73</f>
        <v>1.5</v>
      </c>
      <c r="V73" s="393">
        <f t="shared" ref="V73" si="387">+(V67/(V67+V30))*100</f>
        <v>1.4374399374923084</v>
      </c>
      <c r="W73" s="1056">
        <f>+$D$73</f>
        <v>1.5</v>
      </c>
      <c r="X73" s="1056">
        <f>+(X67/(X67+X30))*100</f>
        <v>1.1266312264917322</v>
      </c>
      <c r="Y73" s="1284">
        <f>+$D$73</f>
        <v>1.5</v>
      </c>
      <c r="Z73" s="402">
        <f t="shared" ref="Z73:AB73" si="388">+(Z67/(Z67+Z30))*100</f>
        <v>1.2724773561955771</v>
      </c>
      <c r="AA73" s="781">
        <f>D73</f>
        <v>1.5</v>
      </c>
      <c r="AB73" s="468">
        <f t="shared" si="388"/>
        <v>1.3826638751701346</v>
      </c>
      <c r="AC73" s="1056">
        <f>+$D$73</f>
        <v>1.5</v>
      </c>
      <c r="AD73" s="1056">
        <f>+(AD67/(AD67+AD30))*100</f>
        <v>1.7117703016039856</v>
      </c>
      <c r="AE73" s="1283">
        <f>+$D$73</f>
        <v>1.5</v>
      </c>
      <c r="AF73" s="393">
        <f t="shared" ref="AF73" si="389">+(AF67/(AF67+AF30))*100</f>
        <v>1.4245084584677929</v>
      </c>
      <c r="AG73" s="1056">
        <f>+$D$73</f>
        <v>1.5</v>
      </c>
      <c r="AH73" s="1056">
        <f>+(AH67/(AH67+AH30))*100</f>
        <v>1.5634134107506925</v>
      </c>
      <c r="AI73" s="1283">
        <f>+$D$73</f>
        <v>1.5</v>
      </c>
      <c r="AJ73" s="393">
        <f t="shared" ref="AJ73" si="390">+(AJ67/(AJ67+AJ30))*100</f>
        <v>1.4428259236066887</v>
      </c>
      <c r="AK73" s="1056">
        <f>+$D$73</f>
        <v>1.5</v>
      </c>
      <c r="AL73" s="1056">
        <f>+(AL67/(AL67+AL30))*100</f>
        <v>1.7459679461835858</v>
      </c>
      <c r="AM73" s="1284">
        <f>+$D$73</f>
        <v>1.5</v>
      </c>
      <c r="AN73" s="402">
        <f t="shared" ref="AN73" si="391">+(AN67/(AN67+AN30))*100</f>
        <v>1.6726114255266378</v>
      </c>
      <c r="AO73" s="1283">
        <f>+$D$73</f>
        <v>1.5</v>
      </c>
      <c r="AP73" s="393">
        <f t="shared" ref="AP73" si="392">+(AP67/(AP67+AP30))*100</f>
        <v>1.4794411902836992</v>
      </c>
      <c r="AQ73" s="1056">
        <f>+$D$73</f>
        <v>1.5</v>
      </c>
      <c r="AR73" s="1056">
        <f>+(AR67/(AR67+AR30))*100</f>
        <v>1.6388539153220798</v>
      </c>
      <c r="AS73" s="1283">
        <f>+$D$73</f>
        <v>1.5</v>
      </c>
      <c r="AT73" s="396">
        <f t="shared" ref="AT73" si="393">+(AT67/(AT67+AT30))*100</f>
        <v>1.4939966837354826</v>
      </c>
      <c r="AU73" s="1056">
        <f>+$D$73</f>
        <v>1.5</v>
      </c>
      <c r="AV73" s="1056">
        <f>+(AV67/(AV67+AV30))*100</f>
        <v>1.3792347791267991</v>
      </c>
      <c r="AW73" s="1283">
        <f>+$D$73</f>
        <v>1.5</v>
      </c>
      <c r="AX73" s="396">
        <f t="shared" ref="AX73" si="394">+(AX67/(AX67+AX30))*100</f>
        <v>1.4862829973777767</v>
      </c>
      <c r="AY73" s="1056">
        <f>+$D$73</f>
        <v>1.5</v>
      </c>
      <c r="AZ73" s="1056">
        <f>+(AZ67/(AZ67+AZ30))*100</f>
        <v>1.4022766138826956</v>
      </c>
      <c r="BA73" s="1284">
        <f>+$D$73</f>
        <v>1.5</v>
      </c>
      <c r="BB73" s="402">
        <f t="shared" ref="BB73" si="395">+(BB67/(BB67+BB30))*100</f>
        <v>1.4779286052982572</v>
      </c>
      <c r="BC73" s="781">
        <v>2.7</v>
      </c>
      <c r="BD73" s="468">
        <f t="shared" ref="BD73" si="396">+(BD67/(BD67+BD30))*100</f>
        <v>1.5820892796353112</v>
      </c>
      <c r="BE73" s="1283">
        <f>+$D$73</f>
        <v>1.5</v>
      </c>
      <c r="BF73" s="393">
        <f t="shared" ref="BF73" si="397">+(BF67/(BF67+BF30))*100</f>
        <v>1.4791010867378869</v>
      </c>
      <c r="BG73" s="4234"/>
      <c r="BH73" s="4234"/>
      <c r="BI73" s="25"/>
      <c r="BJ73" s="25"/>
      <c r="BK73" s="25"/>
      <c r="BL73" s="25"/>
      <c r="BM73" s="25"/>
      <c r="BN73" s="25"/>
    </row>
    <row r="74" spans="1:68" ht="15.75" thickBot="1" x14ac:dyDescent="0.3">
      <c r="A74" s="188" t="s">
        <v>601</v>
      </c>
      <c r="B74" s="1630" t="s">
        <v>572</v>
      </c>
      <c r="C74" s="702" t="s">
        <v>49</v>
      </c>
      <c r="D74" s="934">
        <v>15</v>
      </c>
      <c r="E74" s="181">
        <f>+$D$74</f>
        <v>15</v>
      </c>
      <c r="F74" s="2060">
        <f>+(F69/(F69+F28))*100</f>
        <v>15.667939426976641</v>
      </c>
      <c r="G74" s="181">
        <f>+$D$74</f>
        <v>15</v>
      </c>
      <c r="H74" s="2060">
        <f>+(H69/(H69+H28))*100</f>
        <v>8.8277305451616979</v>
      </c>
      <c r="I74" s="4267">
        <f>+(I69/(I69+I28))*100</f>
        <v>15.000000000000002</v>
      </c>
      <c r="J74" s="2062">
        <f>+(J69/(J69+J28))*100</f>
        <v>11.969801092263619</v>
      </c>
      <c r="K74" s="181">
        <f>+$D$74</f>
        <v>15</v>
      </c>
      <c r="L74" s="2060">
        <f>+(L69/(L69+L28))*100</f>
        <v>11.213050639556647</v>
      </c>
      <c r="M74" s="1749">
        <f>+$D$74</f>
        <v>15</v>
      </c>
      <c r="N74" s="4268">
        <f>+(N69/(N69+N28))*100</f>
        <v>11.707308118069454</v>
      </c>
      <c r="O74" s="181">
        <f>+$D$74</f>
        <v>15</v>
      </c>
      <c r="P74" s="2060">
        <f>+(P69/(P69+P28))*100</f>
        <v>8.4830594574878244</v>
      </c>
      <c r="Q74" s="783">
        <f>+(Q69/(Q69+Q28))*100</f>
        <v>15.000000000000002</v>
      </c>
      <c r="R74" s="582">
        <f>+(R69/(R69+R28))*100</f>
        <v>10.792131356734943</v>
      </c>
      <c r="S74" s="181">
        <f>+$D$74</f>
        <v>15</v>
      </c>
      <c r="T74" s="2060">
        <f>+(T69/(T69+T28))*100</f>
        <v>12.55934253993173</v>
      </c>
      <c r="U74" s="783">
        <f>+(U69/(U69+U28))*100</f>
        <v>15.000000000000005</v>
      </c>
      <c r="V74" s="582">
        <f>+(V69/(V69+V28))*100</f>
        <v>11.088202589246499</v>
      </c>
      <c r="W74" s="181">
        <f>+$D$74</f>
        <v>15</v>
      </c>
      <c r="X74" s="2060">
        <f>+(X69/(X69+X28))*100</f>
        <v>9.2458676754681743</v>
      </c>
      <c r="Y74" s="184">
        <f>+(Y69/(Y69+Y28))*100</f>
        <v>15.000000000000005</v>
      </c>
      <c r="Z74" s="184">
        <f>+(Z69/(Z69+Z28))*100</f>
        <v>9.9277769052137863</v>
      </c>
      <c r="AA74" s="781">
        <f>+(AA69/(AA69+AA28))*100</f>
        <v>15.000000000000002</v>
      </c>
      <c r="AB74" s="468">
        <f>+(AB69/(AB69+AB28))*100</f>
        <v>10.853586064188599</v>
      </c>
      <c r="AC74" s="181">
        <f>+$D$74</f>
        <v>15</v>
      </c>
      <c r="AD74" s="2060">
        <f>+(AD69/(AD69+AD28))*100</f>
        <v>10.992982390479105</v>
      </c>
      <c r="AE74" s="783">
        <f>+(AE69/(AE69+AE28))*100</f>
        <v>15.000000000000005</v>
      </c>
      <c r="AF74" s="582">
        <f>+(AF69/(AF69+AF28))*100</f>
        <v>10.869571447057259</v>
      </c>
      <c r="AG74" s="181">
        <f>+$D$74</f>
        <v>15</v>
      </c>
      <c r="AH74" s="2060">
        <f>+(AH69/(AH69+AH28))*100</f>
        <v>15.563140278905319</v>
      </c>
      <c r="AI74" s="783">
        <f>+(AI69/(AI69+AI28))*100</f>
        <v>15.000000000000005</v>
      </c>
      <c r="AJ74" s="582">
        <f>+(AJ69/(AJ69+AJ28))*100</f>
        <v>11.424686312328836</v>
      </c>
      <c r="AK74" s="181">
        <f>+$D$74</f>
        <v>15</v>
      </c>
      <c r="AL74" s="2060">
        <f>+(AL69/(AL69+AL28))*100</f>
        <v>15.3168607096842</v>
      </c>
      <c r="AM74" s="184">
        <f>+(AM69/(AM69+AM28))*100</f>
        <v>15.000000000000005</v>
      </c>
      <c r="AN74" s="184">
        <f>+(AN69/(AN69+AN28))*100</f>
        <v>14.233012822943572</v>
      </c>
      <c r="AO74" s="783">
        <f>+(AO69/(AO69+AO28))*100</f>
        <v>15.000000000000002</v>
      </c>
      <c r="AP74" s="582">
        <f>+(AP69/(AP69+AP28))*100</f>
        <v>11.953183402289159</v>
      </c>
      <c r="AQ74" s="181">
        <f>+$D$74</f>
        <v>15</v>
      </c>
      <c r="AR74" s="2060">
        <f>+(AR69/(AR69+AR28))*100</f>
        <v>16.313825570968085</v>
      </c>
      <c r="AS74" s="5095">
        <f>+(AS69/(AS69+AS28))*100</f>
        <v>15.000000000000002</v>
      </c>
      <c r="AT74" s="4752">
        <f>+(AT69/(AT69+AT28))*100</f>
        <v>12.506690189815037</v>
      </c>
      <c r="AU74" s="181">
        <f>+$D$74</f>
        <v>15</v>
      </c>
      <c r="AV74" s="2060">
        <f>+(AV69/(AV69+AV28))*100</f>
        <v>17.328481689086477</v>
      </c>
      <c r="AW74" s="5095">
        <f>+(AW69/(AW69+AW28))*100</f>
        <v>15.000000000000005</v>
      </c>
      <c r="AX74" s="4752">
        <f>+(AX69/(AX69+AX28))*100</f>
        <v>12.865429382518917</v>
      </c>
      <c r="AY74" s="181">
        <f>+$D$74</f>
        <v>15</v>
      </c>
      <c r="AZ74" s="2060">
        <f>+(AZ69/(AZ69+AZ28))*100</f>
        <v>14.787552238350681</v>
      </c>
      <c r="BA74" s="184">
        <f t="shared" ref="BA74:BF74" si="398">+(BA69/(BA69+BA28))*100</f>
        <v>15</v>
      </c>
      <c r="BB74" s="184">
        <f t="shared" si="398"/>
        <v>16.129452204327258</v>
      </c>
      <c r="BC74" s="781">
        <f t="shared" si="398"/>
        <v>15.000000000000002</v>
      </c>
      <c r="BD74" s="468">
        <f t="shared" si="398"/>
        <v>15.201638130345446</v>
      </c>
      <c r="BE74" s="783">
        <f t="shared" si="398"/>
        <v>15.000000000000002</v>
      </c>
      <c r="BF74" s="582">
        <f t="shared" si="398"/>
        <v>13.012117497426736</v>
      </c>
      <c r="BG74" s="4234"/>
      <c r="BH74" s="4234"/>
      <c r="BI74" s="25"/>
      <c r="BJ74" s="25"/>
      <c r="BK74" s="25"/>
      <c r="BL74" s="25"/>
      <c r="BM74" s="25"/>
      <c r="BN74" s="25"/>
    </row>
    <row r="75" spans="1:68" s="4233" customFormat="1" ht="15.75" thickBot="1" x14ac:dyDescent="0.3">
      <c r="A75" s="137"/>
      <c r="B75" s="4251" t="s">
        <v>1765</v>
      </c>
      <c r="C75" s="4211"/>
      <c r="D75" s="4207"/>
      <c r="E75" s="4207"/>
      <c r="F75" s="4207">
        <f>+F2*24</f>
        <v>720</v>
      </c>
      <c r="G75" s="5596"/>
      <c r="H75" s="7179">
        <f>+H2*24</f>
        <v>744</v>
      </c>
      <c r="I75" s="4206"/>
      <c r="J75" s="42">
        <f t="shared" ref="J75:J76" si="399">+F75+H75</f>
        <v>1464</v>
      </c>
      <c r="K75" s="5703"/>
      <c r="L75" s="5703">
        <f>+L2*24</f>
        <v>720</v>
      </c>
      <c r="M75" s="4209"/>
      <c r="N75" s="4209">
        <f>+F75+H75+L75</f>
        <v>2184</v>
      </c>
      <c r="O75" s="5849"/>
      <c r="P75" s="5849">
        <f>+P2*24</f>
        <v>744</v>
      </c>
      <c r="Q75" s="4202"/>
      <c r="R75" s="42">
        <f t="shared" ref="R75:R76" si="400">+N75+P75</f>
        <v>2928</v>
      </c>
      <c r="S75" s="5916"/>
      <c r="T75" s="7179">
        <f>+T2*24</f>
        <v>744</v>
      </c>
      <c r="U75" s="4337"/>
      <c r="V75" s="42">
        <f t="shared" ref="V75:V76" si="401">+R75+T75</f>
        <v>3672</v>
      </c>
      <c r="W75" s="6015"/>
      <c r="X75" s="6015">
        <f>+X2*24</f>
        <v>720</v>
      </c>
      <c r="Y75" s="4209"/>
      <c r="Z75" s="4209"/>
      <c r="AA75" s="4208"/>
      <c r="AB75" s="4208"/>
      <c r="AC75" s="6148"/>
      <c r="AD75" s="6148">
        <f>+AD2*24</f>
        <v>744</v>
      </c>
      <c r="AE75" s="4202"/>
      <c r="AF75" s="4202"/>
      <c r="AG75" s="6310"/>
      <c r="AH75" s="7184">
        <f>+AH2*24</f>
        <v>720</v>
      </c>
      <c r="AI75" s="4637"/>
      <c r="AJ75" s="4637"/>
      <c r="AK75" s="6571"/>
      <c r="AL75" s="6571">
        <f>+AL2*24</f>
        <v>744</v>
      </c>
      <c r="AM75" s="4209"/>
      <c r="AN75" s="4209"/>
      <c r="AO75" s="4202"/>
      <c r="AP75" s="4202"/>
      <c r="AQ75" s="6666"/>
      <c r="AR75" s="6666">
        <f>+AR2*24</f>
        <v>744</v>
      </c>
      <c r="AS75" s="4202"/>
      <c r="AT75" s="4202"/>
      <c r="AU75" s="6866"/>
      <c r="AV75" s="6866">
        <f>+AV2*24</f>
        <v>672</v>
      </c>
      <c r="AW75" s="5028"/>
      <c r="AX75" s="5028"/>
      <c r="AY75" s="6985"/>
      <c r="AZ75" s="6985">
        <f>+AZ2*24</f>
        <v>744</v>
      </c>
      <c r="BA75" s="4209"/>
      <c r="BB75" s="4209"/>
      <c r="BC75" s="4208"/>
      <c r="BD75" s="4208"/>
      <c r="BE75" s="4202"/>
      <c r="BF75" s="4202"/>
      <c r="BG75" s="4234"/>
      <c r="BH75" s="4234"/>
      <c r="BI75" s="25"/>
      <c r="BJ75" s="25"/>
      <c r="BK75" s="25"/>
      <c r="BL75" s="25"/>
      <c r="BM75" s="25"/>
      <c r="BN75" s="25"/>
      <c r="BP75" s="258"/>
    </row>
    <row r="76" spans="1:68" s="4233" customFormat="1" ht="15.75" thickBot="1" x14ac:dyDescent="0.3">
      <c r="A76" s="137"/>
      <c r="B76" s="4251" t="s">
        <v>1762</v>
      </c>
      <c r="C76" s="4211" t="s">
        <v>220</v>
      </c>
      <c r="D76" s="4207"/>
      <c r="E76" s="4207"/>
      <c r="F76" s="7696">
        <v>711</v>
      </c>
      <c r="G76" s="5596"/>
      <c r="H76" s="7179">
        <v>720</v>
      </c>
      <c r="I76" s="4206"/>
      <c r="J76" s="42">
        <f t="shared" si="399"/>
        <v>1431</v>
      </c>
      <c r="K76" s="5703"/>
      <c r="L76" s="5703">
        <v>720</v>
      </c>
      <c r="M76" s="4209"/>
      <c r="N76" s="4209">
        <f>+F76+H76+L76</f>
        <v>2151</v>
      </c>
      <c r="O76" s="5849"/>
      <c r="P76" s="5849">
        <v>720</v>
      </c>
      <c r="Q76" s="4202"/>
      <c r="R76" s="42">
        <f t="shared" si="400"/>
        <v>2871</v>
      </c>
      <c r="S76" s="5916"/>
      <c r="T76" s="7179">
        <v>720</v>
      </c>
      <c r="U76" s="4337"/>
      <c r="V76" s="42">
        <f t="shared" si="401"/>
        <v>3591</v>
      </c>
      <c r="W76" s="6015"/>
      <c r="X76" s="6015">
        <v>720</v>
      </c>
      <c r="Y76" s="4209"/>
      <c r="Z76" s="4209"/>
      <c r="AA76" s="4208"/>
      <c r="AB76" s="4208"/>
      <c r="AC76" s="6148"/>
      <c r="AD76" s="6148">
        <v>720</v>
      </c>
      <c r="AE76" s="4202"/>
      <c r="AF76" s="4202"/>
      <c r="AG76" s="6310"/>
      <c r="AH76" s="7184">
        <v>720</v>
      </c>
      <c r="AI76" s="4637"/>
      <c r="AJ76" s="4637"/>
      <c r="AK76" s="6571"/>
      <c r="AL76" s="6571">
        <v>720</v>
      </c>
      <c r="AM76" s="4209"/>
      <c r="AN76" s="4209"/>
      <c r="AO76" s="4202"/>
      <c r="AP76" s="4202"/>
      <c r="AQ76" s="6666"/>
      <c r="AR76" s="6666">
        <v>720</v>
      </c>
      <c r="AS76" s="4202"/>
      <c r="AT76" s="4202"/>
      <c r="AU76" s="6866"/>
      <c r="AV76" s="6866">
        <v>720</v>
      </c>
      <c r="AW76" s="5028"/>
      <c r="AX76" s="5028"/>
      <c r="AY76" s="6985"/>
      <c r="AZ76" s="6985">
        <v>720</v>
      </c>
      <c r="BA76" s="4209"/>
      <c r="BB76" s="4209"/>
      <c r="BC76" s="4208"/>
      <c r="BD76" s="4208"/>
      <c r="BE76" s="4202"/>
      <c r="BF76" s="4202"/>
      <c r="BG76" s="4234"/>
      <c r="BH76" s="4234"/>
      <c r="BI76" s="25"/>
      <c r="BJ76" s="25"/>
      <c r="BK76" s="25"/>
      <c r="BL76" s="25"/>
      <c r="BM76" s="25"/>
      <c r="BN76" s="25"/>
      <c r="BP76" s="258"/>
    </row>
    <row r="77" spans="1:68" x14ac:dyDescent="0.25">
      <c r="A77" s="4250"/>
      <c r="B77" s="4251" t="s">
        <v>249</v>
      </c>
      <c r="C77" s="4211" t="s">
        <v>49</v>
      </c>
      <c r="D77" s="2066">
        <v>93.698630136986296</v>
      </c>
      <c r="E77" s="1139">
        <v>86.666666666666671</v>
      </c>
      <c r="F77" s="1139">
        <f>+F76*100/F75</f>
        <v>98.75</v>
      </c>
      <c r="G77" s="1139">
        <v>96.774193548387103</v>
      </c>
      <c r="H77" s="1139">
        <f>+H50/H2*100</f>
        <v>96.102150537634401</v>
      </c>
      <c r="I77" s="4265">
        <f>+I50/I2*100</f>
        <v>91.803278688524586</v>
      </c>
      <c r="J77" s="2056">
        <f>+J50/J2*100</f>
        <v>97.26229508196721</v>
      </c>
      <c r="K77" s="1139">
        <v>96.666666666666671</v>
      </c>
      <c r="L77" s="1139">
        <f>+L50/L2*100</f>
        <v>98.703703703703709</v>
      </c>
      <c r="M77" s="1467">
        <f>M50/M2*100</f>
        <v>93.406593406593402</v>
      </c>
      <c r="N77" s="163">
        <f>+N50/N2*100</f>
        <v>97.737484737484721</v>
      </c>
      <c r="O77" s="1139">
        <v>96.774193548387103</v>
      </c>
      <c r="P77" s="1139">
        <f>+P50/P2*100</f>
        <v>99.999999999999986</v>
      </c>
      <c r="Q77" s="2949">
        <f>+Q50/Q2*100</f>
        <v>94.262295081967224</v>
      </c>
      <c r="R77" s="581">
        <f>+R50/R2*100</f>
        <v>98.312386156648444</v>
      </c>
      <c r="S77" s="1139">
        <v>96.774193548387103</v>
      </c>
      <c r="T77" s="1139">
        <f>+T50/T2*100</f>
        <v>96.852598566308231</v>
      </c>
      <c r="U77" s="780">
        <f>+U50/U2*100</f>
        <v>94.77124183006535</v>
      </c>
      <c r="V77" s="581">
        <f>+V50/V2*100</f>
        <v>98.016612200435716</v>
      </c>
      <c r="W77" s="1139">
        <v>56.722891566265062</v>
      </c>
      <c r="X77" s="1139">
        <f>+X50/X2*100</f>
        <v>98.912037037037038</v>
      </c>
      <c r="Y77" s="732">
        <f>+Y50/Y2*100</f>
        <v>83.713986380303822</v>
      </c>
      <c r="Z77" s="732">
        <f>+Z50/Z2*100</f>
        <v>98.584692028985501</v>
      </c>
      <c r="AA77" s="439">
        <f>+AA50/AA2*100</f>
        <v>88.533807360589904</v>
      </c>
      <c r="AB77" s="439">
        <f>+AB50/AB2*100</f>
        <v>98.163403157255601</v>
      </c>
      <c r="AC77" s="1139">
        <v>96.774193548387103</v>
      </c>
      <c r="AD77" s="1139">
        <f>+AD50/AD2*100</f>
        <v>86.87275985663085</v>
      </c>
      <c r="AE77" s="245">
        <f>+AE50/AE2*100</f>
        <v>89.727508163495102</v>
      </c>
      <c r="AF77" s="2236">
        <f>+AF50/AF2*100</f>
        <v>96.527842679127716</v>
      </c>
      <c r="AG77" s="1139">
        <v>96.666666666666671</v>
      </c>
      <c r="AH77" s="1139">
        <f>+AH50/AH2*100</f>
        <v>97.025462962962962</v>
      </c>
      <c r="AI77" s="245">
        <f>+AI50/AI2*100</f>
        <v>90.580683389294876</v>
      </c>
      <c r="AJ77" s="4635">
        <f>+AJ50/AJ2*100</f>
        <v>96.589025500910736</v>
      </c>
      <c r="AK77" s="1139">
        <v>96.774193548387103</v>
      </c>
      <c r="AL77" s="1139">
        <f>+AL50/AL2*100</f>
        <v>99.025537634408607</v>
      </c>
      <c r="AM77" s="2544">
        <f>+AM50/AM2*100</f>
        <v>96.739130434782609</v>
      </c>
      <c r="AN77" s="2544">
        <f>+AN50/AN2*100</f>
        <v>94.278381642512073</v>
      </c>
      <c r="AO77" s="245">
        <f>+AO50/AO2*100</f>
        <v>91.278860898138007</v>
      </c>
      <c r="AP77" s="2236">
        <f>+AP50/AP2*100</f>
        <v>96.86368686868687</v>
      </c>
      <c r="AQ77" s="1139">
        <v>96.774193548387103</v>
      </c>
      <c r="AR77" s="1139">
        <f>+AR50/AR2*100</f>
        <v>98.107078853046431</v>
      </c>
      <c r="AS77" s="245">
        <f>+AS50/AS2*100</f>
        <v>91.835577604535786</v>
      </c>
      <c r="AT77" s="245">
        <f>+AT50/AT2*100</f>
        <v>96.989651416121987</v>
      </c>
      <c r="AU77" s="1139">
        <v>96.428571428571431</v>
      </c>
      <c r="AV77" s="1139">
        <f>+AV50/AV2*100</f>
        <v>98.487103174603163</v>
      </c>
      <c r="AW77" s="245">
        <f>+AW50/AW2*100</f>
        <v>92.220619002957932</v>
      </c>
      <c r="AX77" s="245">
        <f>+AX50/AX2*100</f>
        <v>97.115186294078498</v>
      </c>
      <c r="AY77" s="1139">
        <v>96.774193548387103</v>
      </c>
      <c r="AZ77" s="1139">
        <f t="shared" ref="AZ77:BF77" si="402">+AZ50/AZ2*100</f>
        <v>96.684587813620098</v>
      </c>
      <c r="BA77" s="2777">
        <f t="shared" si="402"/>
        <v>96.666666666666671</v>
      </c>
      <c r="BB77" s="2777">
        <f t="shared" si="402"/>
        <v>97.735339506172792</v>
      </c>
      <c r="BC77" s="2779">
        <f t="shared" si="402"/>
        <v>96.703296703296701</v>
      </c>
      <c r="BD77" s="2779">
        <f t="shared" si="402"/>
        <v>95.987866300366278</v>
      </c>
      <c r="BE77" s="245">
        <f t="shared" si="402"/>
        <v>92.607360950651923</v>
      </c>
      <c r="BF77" s="245">
        <f t="shared" si="402"/>
        <v>97.078614916286142</v>
      </c>
      <c r="BG77" s="4234"/>
      <c r="BH77" s="4234"/>
      <c r="BI77" s="25"/>
      <c r="BJ77" s="25"/>
      <c r="BK77" s="25"/>
      <c r="BL77" s="25"/>
      <c r="BM77" s="25"/>
      <c r="BN77" s="25"/>
    </row>
    <row r="78" spans="1:68" s="4233" customFormat="1" ht="15.75" thickBot="1" x14ac:dyDescent="0.3">
      <c r="A78" s="4249"/>
      <c r="B78" s="4251" t="s">
        <v>1764</v>
      </c>
      <c r="C78" s="4211" t="s">
        <v>220</v>
      </c>
      <c r="D78" s="3171"/>
      <c r="E78" s="3174"/>
      <c r="F78" s="4207">
        <v>708.92</v>
      </c>
      <c r="G78" s="3174"/>
      <c r="H78" s="7179">
        <v>720</v>
      </c>
      <c r="I78" s="4206"/>
      <c r="J78" s="42">
        <f t="shared" ref="J78" si="403">+F78+H78</f>
        <v>1428.92</v>
      </c>
      <c r="K78" s="3174"/>
      <c r="L78" s="5703">
        <v>720</v>
      </c>
      <c r="M78" s="3697"/>
      <c r="N78" s="4209">
        <f>+F78+H78+L78</f>
        <v>2148.92</v>
      </c>
      <c r="O78" s="3174"/>
      <c r="P78" s="5849">
        <v>720</v>
      </c>
      <c r="Q78" s="3432"/>
      <c r="R78" s="42">
        <f t="shared" ref="R78" si="404">+N78+P78</f>
        <v>2868.92</v>
      </c>
      <c r="S78" s="3174"/>
      <c r="T78" s="7179">
        <v>720</v>
      </c>
      <c r="U78" s="3432"/>
      <c r="V78" s="42">
        <f t="shared" ref="V78" si="405">+R78+T78</f>
        <v>3588.92</v>
      </c>
      <c r="W78" s="3174"/>
      <c r="X78" s="6015">
        <v>720</v>
      </c>
      <c r="Y78" s="4209"/>
      <c r="Z78" s="4209"/>
      <c r="AA78" s="4208"/>
      <c r="AB78" s="4208"/>
      <c r="AC78" s="3174"/>
      <c r="AD78" s="6148">
        <v>720</v>
      </c>
      <c r="AE78" s="3432"/>
      <c r="AF78" s="4206"/>
      <c r="AG78" s="3174"/>
      <c r="AH78" s="7184">
        <v>720</v>
      </c>
      <c r="AI78" s="3432"/>
      <c r="AJ78" s="4647"/>
      <c r="AK78" s="3174"/>
      <c r="AL78" s="6571">
        <v>720</v>
      </c>
      <c r="AM78" s="4209"/>
      <c r="AN78" s="4209"/>
      <c r="AO78" s="3432"/>
      <c r="AP78" s="4206"/>
      <c r="AQ78" s="3174"/>
      <c r="AR78" s="6666">
        <v>720</v>
      </c>
      <c r="AS78" s="3432"/>
      <c r="AT78" s="4206"/>
      <c r="AU78" s="3174"/>
      <c r="AV78" s="6866">
        <v>720</v>
      </c>
      <c r="AW78" s="3432"/>
      <c r="AX78" s="5033"/>
      <c r="AY78" s="3174"/>
      <c r="AZ78" s="6985">
        <v>720</v>
      </c>
      <c r="BA78" s="4209"/>
      <c r="BB78" s="4209"/>
      <c r="BC78" s="4208"/>
      <c r="BD78" s="4208"/>
      <c r="BE78" s="3432"/>
      <c r="BF78" s="4206"/>
      <c r="BG78" s="4234"/>
      <c r="BH78" s="4234"/>
      <c r="BI78" s="25"/>
      <c r="BJ78" s="25"/>
      <c r="BK78" s="25"/>
      <c r="BL78" s="25"/>
      <c r="BM78" s="25"/>
      <c r="BN78" s="25"/>
      <c r="BP78" s="258"/>
    </row>
    <row r="79" spans="1:68" s="4233" customFormat="1" x14ac:dyDescent="0.25">
      <c r="A79" s="4249"/>
      <c r="B79" s="4251" t="s">
        <v>1763</v>
      </c>
      <c r="C79" s="4211" t="s">
        <v>49</v>
      </c>
      <c r="D79" s="3171"/>
      <c r="E79" s="3174"/>
      <c r="F79" s="7697">
        <f>+F78*100/F76</f>
        <v>99.707454289732766</v>
      </c>
      <c r="G79" s="3174"/>
      <c r="H79" s="4284">
        <f>+H78/H76*100</f>
        <v>100</v>
      </c>
      <c r="I79" s="4255"/>
      <c r="J79" s="4283">
        <f>+J78/J76*100</f>
        <v>99.854647099930133</v>
      </c>
      <c r="K79" s="3174"/>
      <c r="L79" s="4284">
        <f>+L78/L76*100</f>
        <v>100</v>
      </c>
      <c r="M79" s="3697"/>
      <c r="N79" s="4285">
        <f>+N78/N76*100</f>
        <v>99.903300790330078</v>
      </c>
      <c r="O79" s="3174"/>
      <c r="P79" s="4284">
        <f>+P78/P76*100</f>
        <v>100</v>
      </c>
      <c r="Q79" s="3432"/>
      <c r="R79" s="4283">
        <f>+R78/R76*100</f>
        <v>99.927551375827235</v>
      </c>
      <c r="S79" s="3174"/>
      <c r="T79" s="4284">
        <f>+T78/T76*100</f>
        <v>100</v>
      </c>
      <c r="U79" s="3432"/>
      <c r="V79" s="4283">
        <f>+V78/V76*100</f>
        <v>99.942077415761631</v>
      </c>
      <c r="W79" s="3174"/>
      <c r="X79" s="4284">
        <f>+X78/X76*100</f>
        <v>100</v>
      </c>
      <c r="Y79" s="4209"/>
      <c r="Z79" s="4209"/>
      <c r="AA79" s="4208"/>
      <c r="AB79" s="4208"/>
      <c r="AC79" s="3174"/>
      <c r="AD79" s="4284">
        <f>+AD78/AD76*100</f>
        <v>100</v>
      </c>
      <c r="AE79" s="3432"/>
      <c r="AF79" s="4206"/>
      <c r="AG79" s="3174"/>
      <c r="AH79" s="4284">
        <f>+AH78/AH76*100</f>
        <v>100</v>
      </c>
      <c r="AI79" s="3432"/>
      <c r="AJ79" s="4647"/>
      <c r="AK79" s="3174"/>
      <c r="AL79" s="4284">
        <f>+AL78/AL76*100</f>
        <v>100</v>
      </c>
      <c r="AM79" s="4209"/>
      <c r="AN79" s="4209"/>
      <c r="AO79" s="3432"/>
      <c r="AP79" s="4206"/>
      <c r="AQ79" s="3174"/>
      <c r="AR79" s="4284">
        <f>+AR78/AR76*100</f>
        <v>100</v>
      </c>
      <c r="AS79" s="3432"/>
      <c r="AT79" s="4206"/>
      <c r="AU79" s="3174"/>
      <c r="AV79" s="4284">
        <f>+AV78/AV76*100</f>
        <v>100</v>
      </c>
      <c r="AW79" s="3432"/>
      <c r="AX79" s="5033"/>
      <c r="AY79" s="3174"/>
      <c r="AZ79" s="4284">
        <f>+AZ78/AZ76*100</f>
        <v>100</v>
      </c>
      <c r="BA79" s="4209"/>
      <c r="BB79" s="4209"/>
      <c r="BC79" s="4208"/>
      <c r="BD79" s="4208"/>
      <c r="BE79" s="3432"/>
      <c r="BF79" s="4206"/>
      <c r="BG79" s="4234"/>
      <c r="BH79" s="4234"/>
      <c r="BI79" s="25"/>
      <c r="BJ79" s="25"/>
      <c r="BK79" s="25"/>
      <c r="BL79" s="25"/>
      <c r="BM79" s="25"/>
      <c r="BN79" s="25"/>
      <c r="BP79" s="258"/>
    </row>
    <row r="80" spans="1:68" x14ac:dyDescent="0.25">
      <c r="A80" s="137" t="s">
        <v>446</v>
      </c>
      <c r="B80" s="4252" t="s">
        <v>248</v>
      </c>
      <c r="C80" s="4211" t="s">
        <v>247</v>
      </c>
      <c r="D80" s="4210">
        <v>1200</v>
      </c>
      <c r="E80" s="4207">
        <f>+$D$80</f>
        <v>1200</v>
      </c>
      <c r="F80" s="4207">
        <v>1148.1277011921873</v>
      </c>
      <c r="G80" s="5596">
        <v>1175</v>
      </c>
      <c r="H80" s="7179">
        <v>1185.0594910509444</v>
      </c>
      <c r="I80" s="4206">
        <f>+AVERAGE(E80,G80)</f>
        <v>1187.5</v>
      </c>
      <c r="J80" s="4206">
        <f>+((F80*F$2)+(H80*H$2))/J$2</f>
        <v>1166.8963157105718</v>
      </c>
      <c r="K80" s="5703">
        <v>1175</v>
      </c>
      <c r="L80" s="5703">
        <v>1191.5020847841542</v>
      </c>
      <c r="M80" s="4209">
        <f>+$D$80</f>
        <v>1200</v>
      </c>
      <c r="N80" s="4209">
        <f>+((F80*F$2)+(H80*H$2)+(L80*L$2))/N$2</f>
        <v>1175.0081077128518</v>
      </c>
      <c r="O80" s="5849">
        <v>1175</v>
      </c>
      <c r="P80" s="5849">
        <v>1200.0039557354435</v>
      </c>
      <c r="Q80" s="733">
        <f>+$D$80</f>
        <v>1200</v>
      </c>
      <c r="R80" s="1822">
        <f>+((N80*N$2)+(P80*P$2))/R$2</f>
        <v>1181.3595117185923</v>
      </c>
      <c r="S80" s="5916">
        <v>1175</v>
      </c>
      <c r="T80" s="7179">
        <v>1194.6853780645938</v>
      </c>
      <c r="U80" s="4335">
        <f>+$D$80</f>
        <v>1200</v>
      </c>
      <c r="V80" s="4335">
        <f>+((R80*R$2)+(T80*T$2))/V$2</f>
        <v>1184.0595238540568</v>
      </c>
      <c r="W80" s="6015">
        <v>1175</v>
      </c>
      <c r="X80" s="6015">
        <v>1192.0538059017479</v>
      </c>
      <c r="Y80" s="732">
        <f>+AVERAGE(O80,S80,W80)</f>
        <v>1175</v>
      </c>
      <c r="Z80" s="732">
        <f>+((P80*P$2)+(T80*T$2)+(X80*X$2))/Z$2</f>
        <v>1195.619386139713</v>
      </c>
      <c r="AA80" s="439">
        <f>+AVERAGE(E80,G80,K80,O80,S80,W80)</f>
        <v>1179.1666666666667</v>
      </c>
      <c r="AB80" s="439">
        <f>+((N80*N$2)+(Z80*Z$2))/AB$2</f>
        <v>1185.3700618946618</v>
      </c>
      <c r="AC80" s="6148">
        <v>1175</v>
      </c>
      <c r="AD80" s="6148">
        <v>1181.3398177837144</v>
      </c>
      <c r="AE80" s="2236">
        <f>+$D$80</f>
        <v>1200</v>
      </c>
      <c r="AF80" s="2236">
        <f>+((AB80*AB$2)+(AD80*AD$2))/AF$2</f>
        <v>1184.7862414860667</v>
      </c>
      <c r="AG80" s="6310">
        <v>1175</v>
      </c>
      <c r="AH80" s="7184">
        <v>1190.434694173457</v>
      </c>
      <c r="AI80" s="4635">
        <f>+$D$80</f>
        <v>1200</v>
      </c>
      <c r="AJ80" s="4635">
        <f>+((AF80*AF$2)+(AH80*AH$2))/AJ$2</f>
        <v>1185.4807233738607</v>
      </c>
      <c r="AK80" s="6571">
        <v>1175</v>
      </c>
      <c r="AL80" s="6571">
        <v>1174.3942610341037</v>
      </c>
      <c r="AM80" s="2544">
        <f>+AVERAGE(AC80,AG80,AK80)</f>
        <v>1175</v>
      </c>
      <c r="AN80" s="2544">
        <f>+((AD80*AD$2)+(AH80*AH$2)+(AL80*AL$2))/AN$2</f>
        <v>1181.9651877016963</v>
      </c>
      <c r="AO80" s="2236">
        <f>+$D$80</f>
        <v>1200</v>
      </c>
      <c r="AP80" s="6704">
        <f>+((AL80*AL$2)+(AJ80*AJ$2))/AP$2</f>
        <v>1184.2309767101065</v>
      </c>
      <c r="AQ80" s="6666">
        <v>1175</v>
      </c>
      <c r="AR80" s="6666">
        <v>1192.1185457792001</v>
      </c>
      <c r="AS80" s="2236">
        <f>+$D$80</f>
        <v>1200</v>
      </c>
      <c r="AT80" s="6704">
        <f>+((AP80*AP$2)+(AR80*AR$2))/AT$2</f>
        <v>1185.0300441648185</v>
      </c>
      <c r="AU80" s="6866">
        <v>1175</v>
      </c>
      <c r="AV80" s="6866">
        <v>1190.1827846096053</v>
      </c>
      <c r="AW80" s="5026">
        <f>+$D$80</f>
        <v>1200</v>
      </c>
      <c r="AX80" s="5026">
        <f>+((AT80*AT$2)+(AV80*AV$2))/AX$2</f>
        <v>1185.4620104296507</v>
      </c>
      <c r="AY80" s="6985">
        <v>1175</v>
      </c>
      <c r="AZ80" s="6985">
        <v>1173.7284939713354</v>
      </c>
      <c r="BA80" s="2777">
        <f>+AVERAGE(AQ80,AU80,AY80)</f>
        <v>1175</v>
      </c>
      <c r="BB80" s="2777">
        <f>+((AR80*AR$2)+(AV80*AV$2)+(AZ80*AZ$2))/BB$2</f>
        <v>1185.1819577926171</v>
      </c>
      <c r="BC80" s="2779">
        <f>+AVERAGE(AC80,AG80,AK80,AQ80,AU80,AY80)</f>
        <v>1175</v>
      </c>
      <c r="BD80" s="2779">
        <f>+((AN80*AN$2)+(BB80*BB$2))/BD$2</f>
        <v>1183.5558981862175</v>
      </c>
      <c r="BE80" s="2236">
        <f>+$D$80</f>
        <v>1200</v>
      </c>
      <c r="BF80" s="2236">
        <f>+((AX80*AX$2)+(AZ80*AZ$2))/BF$2</f>
        <v>1184.4654651962046</v>
      </c>
      <c r="BG80" s="4234"/>
      <c r="BH80" s="4234"/>
      <c r="BI80" s="25"/>
      <c r="BJ80" s="25"/>
      <c r="BK80" s="25"/>
      <c r="BL80" s="25"/>
      <c r="BM80" s="25"/>
      <c r="BN80" s="25"/>
    </row>
    <row r="81" spans="1:67" x14ac:dyDescent="0.25">
      <c r="A81" s="137" t="s">
        <v>446</v>
      </c>
      <c r="B81" s="4252" t="s">
        <v>250</v>
      </c>
      <c r="C81" s="4211" t="s">
        <v>218</v>
      </c>
      <c r="D81" s="4210">
        <v>357</v>
      </c>
      <c r="E81" s="4210">
        <f>$D$81</f>
        <v>357</v>
      </c>
      <c r="F81" s="4207">
        <f>+F18/F6*1000</f>
        <v>326.93603212123651</v>
      </c>
      <c r="G81" s="5601">
        <f>$D$81</f>
        <v>357</v>
      </c>
      <c r="H81" s="7179">
        <f>+H18/H6*1000</f>
        <v>345.61695203825582</v>
      </c>
      <c r="I81" s="4206">
        <f>+I18/I6*1000</f>
        <v>366.44444444444446</v>
      </c>
      <c r="J81" s="4206">
        <f>+J18/J6*1000</f>
        <v>336.63005367002171</v>
      </c>
      <c r="K81" s="5706">
        <f>$D$81</f>
        <v>357</v>
      </c>
      <c r="L81" s="5703">
        <f>+L18/L6*1000</f>
        <v>316.9394936477471</v>
      </c>
      <c r="M81" s="4209">
        <f>+M18/M6*1000</f>
        <v>369.0888888888889</v>
      </c>
      <c r="N81" s="4209">
        <f>+N18/N6*1000</f>
        <v>329.80399115680598</v>
      </c>
      <c r="O81" s="5857">
        <f>$D$81</f>
        <v>357</v>
      </c>
      <c r="P81" s="5849">
        <f>+P18/P6*1000</f>
        <v>348.25801262986107</v>
      </c>
      <c r="Q81" s="352">
        <f>+Q18/Q6*1000</f>
        <v>370.37333333333333</v>
      </c>
      <c r="R81" s="352">
        <f>+R18/R6*1000</f>
        <v>334.64369250456673</v>
      </c>
      <c r="S81" s="5923">
        <f>$D$81</f>
        <v>357</v>
      </c>
      <c r="T81" s="7179">
        <f>+T18/T6*1000</f>
        <v>360.36693508265699</v>
      </c>
      <c r="U81" s="4338">
        <f>+U18/U6*1000</f>
        <v>371.12520325203252</v>
      </c>
      <c r="V81" s="4338">
        <f>+V18/V6*1000</f>
        <v>339.75049123875567</v>
      </c>
      <c r="W81" s="6021">
        <f>$D$81</f>
        <v>357</v>
      </c>
      <c r="X81" s="6015">
        <f>+X18/X6*1000</f>
        <v>352.01502802742641</v>
      </c>
      <c r="Y81" s="354">
        <f>+Y18/Y6*1000</f>
        <v>374</v>
      </c>
      <c r="Z81" s="354">
        <f>+Z18/Z6*1000</f>
        <v>353.46371969363798</v>
      </c>
      <c r="AA81" s="513">
        <f>+AA18/AA6*1000</f>
        <v>371.41897810218978</v>
      </c>
      <c r="AB81" s="513">
        <f>+AB18/AB6*1000</f>
        <v>341.71489423080652</v>
      </c>
      <c r="AC81" s="6156">
        <f>$D$81</f>
        <v>357</v>
      </c>
      <c r="AD81" s="6148">
        <f>+AD18/AD6*1000</f>
        <v>388.82006197216134</v>
      </c>
      <c r="AE81" s="352">
        <f>+AE18/AE6*1000</f>
        <v>371.83067484662575</v>
      </c>
      <c r="AF81" s="352">
        <f>+AF18/AF6*1000</f>
        <v>347.26702500576374</v>
      </c>
      <c r="AG81" s="6318">
        <f>$D$81</f>
        <v>357</v>
      </c>
      <c r="AH81" s="7184">
        <f>+AH18/AH6*1000</f>
        <v>388.74481409242418</v>
      </c>
      <c r="AI81" s="4638">
        <f>+AI18/AI6*1000</f>
        <v>372.12114771519663</v>
      </c>
      <c r="AJ81" s="4638">
        <f>+AJ18/AJ6*1000</f>
        <v>352.417663253228</v>
      </c>
      <c r="AK81" s="6577">
        <f>$D$81</f>
        <v>357</v>
      </c>
      <c r="AL81" s="6571">
        <f>+AL18/AL6*1000</f>
        <v>387.22923624886209</v>
      </c>
      <c r="AM81" s="354">
        <f>+AM18/AM6*1000</f>
        <v>374</v>
      </c>
      <c r="AN81" s="354">
        <f>+AN18/AN6*1000</f>
        <v>388.22098005170676</v>
      </c>
      <c r="AO81" s="352">
        <f>+AO18/AO6*1000</f>
        <v>372.34920634920638</v>
      </c>
      <c r="AP81" s="6582">
        <f>+AP18/AP6*1000</f>
        <v>356.36650389539085</v>
      </c>
      <c r="AQ81" s="6669">
        <f>$D$81</f>
        <v>357</v>
      </c>
      <c r="AR81" s="6666">
        <f>+AR18/AR6*1000</f>
        <v>384.39911391153987</v>
      </c>
      <c r="AS81" s="352">
        <f>+AS18/AS6*1000</f>
        <v>372.53034081463011</v>
      </c>
      <c r="AT81" s="5001">
        <f>+AT18/AT6*1000</f>
        <v>359.15381679996898</v>
      </c>
      <c r="AU81" s="6868">
        <f>$D$81</f>
        <v>357</v>
      </c>
      <c r="AV81" s="6866">
        <f>+AV18/AV6*1000</f>
        <v>366.24559392761967</v>
      </c>
      <c r="AW81" s="5029">
        <f>+AW18/AW6*1000</f>
        <v>372.66161998485995</v>
      </c>
      <c r="AX81" s="5029">
        <f>+AX18/AX6*1000</f>
        <v>359.67808019476075</v>
      </c>
      <c r="AY81" s="6987">
        <f>$D$81</f>
        <v>357</v>
      </c>
      <c r="AZ81" s="6985">
        <f t="shared" ref="AZ81:BF81" si="406">+AZ18/AZ6*1000</f>
        <v>345.38483878895494</v>
      </c>
      <c r="BA81" s="354">
        <f t="shared" si="406"/>
        <v>374</v>
      </c>
      <c r="BB81" s="354">
        <f t="shared" si="406"/>
        <v>365.07824798095601</v>
      </c>
      <c r="BC81" s="513">
        <f t="shared" si="406"/>
        <v>374</v>
      </c>
      <c r="BD81" s="513">
        <f t="shared" si="406"/>
        <v>376.69427863264553</v>
      </c>
      <c r="BE81" s="352">
        <f t="shared" si="406"/>
        <v>372.78320715760492</v>
      </c>
      <c r="BF81" s="352">
        <f t="shared" si="406"/>
        <v>358.44135763514754</v>
      </c>
      <c r="BG81" s="4234"/>
      <c r="BH81" s="4234"/>
      <c r="BI81" s="25"/>
      <c r="BJ81" s="25"/>
      <c r="BK81" s="25"/>
      <c r="BL81" s="25"/>
      <c r="BM81" s="25"/>
      <c r="BN81" s="25"/>
    </row>
    <row r="82" spans="1:67" x14ac:dyDescent="0.25">
      <c r="A82" s="137" t="s">
        <v>446</v>
      </c>
      <c r="B82" s="4253" t="s">
        <v>251</v>
      </c>
      <c r="C82" s="4211" t="s">
        <v>49</v>
      </c>
      <c r="D82" s="2961">
        <v>0.53</v>
      </c>
      <c r="E82" s="2961">
        <v>0.53</v>
      </c>
      <c r="F82" s="2961">
        <v>0.65689667710995581</v>
      </c>
      <c r="G82" s="2961">
        <v>0.53</v>
      </c>
      <c r="H82" s="2961">
        <v>0.660483227748908</v>
      </c>
      <c r="I82" s="3250">
        <f>+((E82*E$6)+(G82*G$6))/I$6</f>
        <v>0.53</v>
      </c>
      <c r="J82" s="3250">
        <f>+((F82*F$6)+(H82*H$6))/J$6</f>
        <v>0.65875783273474586</v>
      </c>
      <c r="K82" s="2961">
        <v>0.53</v>
      </c>
      <c r="L82" s="2961">
        <v>0.61333254599500653</v>
      </c>
      <c r="M82" s="3697">
        <f>+((E82*E$6)+(G82*G$6)+(K82*K$6))/M$6</f>
        <v>0.53</v>
      </c>
      <c r="N82" s="3697">
        <f>+((F82*F$6)+(H82*H$6)+(L82*L$6))/N$6</f>
        <v>0.64301039606380095</v>
      </c>
      <c r="O82" s="2961">
        <v>0.53</v>
      </c>
      <c r="P82" s="2961">
        <v>0.64083776122853031</v>
      </c>
      <c r="Q82" s="2045">
        <f>+((M82*M$6)+(O82*O$6))/Q$6</f>
        <v>0.53</v>
      </c>
      <c r="R82" s="351">
        <f>+((N82*N$6)+(P82*P$6))/R$6</f>
        <v>0.64244060677663639</v>
      </c>
      <c r="S82" s="2961">
        <v>0.53</v>
      </c>
      <c r="T82" s="2961">
        <v>0.6053749134978198</v>
      </c>
      <c r="U82" s="2045">
        <f>+((Q82*Q$6)+(S82*S$6))/U$6</f>
        <v>0.53</v>
      </c>
      <c r="V82" s="2045">
        <f>+((R82*R$6)+(T82*T$6))/V$6</f>
        <v>0.63508200744984222</v>
      </c>
      <c r="W82" s="2961">
        <v>0.8</v>
      </c>
      <c r="X82" s="2961">
        <v>0.62674386842722107</v>
      </c>
      <c r="Y82" s="2097">
        <f>+((O82*O$6)+(S82*S$6)+(W82*W$6))/Y$6</f>
        <v>0.58815384615384614</v>
      </c>
      <c r="Z82" s="353">
        <f>+((P82*P$6)+(T82*T$6)+(X82*X$6))/Z$6</f>
        <v>0.62460864863418319</v>
      </c>
      <c r="AA82" s="2096">
        <f>+((M82*M$6)+(Y82*Y$6))/AA$6</f>
        <v>0.55759124087591239</v>
      </c>
      <c r="AB82" s="467">
        <f>+((N82*N$6)+(Z82*Z$6))/AB$6</f>
        <v>0.63374649306993491</v>
      </c>
      <c r="AC82" s="2961">
        <v>0.53</v>
      </c>
      <c r="AD82" s="2961">
        <v>0.73821603012782222</v>
      </c>
      <c r="AE82" s="2045">
        <f>+((AA82*AA$6)+(AC82*AC$6))/AE$6</f>
        <v>0.55319018404907971</v>
      </c>
      <c r="AF82" s="2045">
        <f>+((AB82*AB$6)+(AD82*AD$6))/AF$6</f>
        <v>0.64605997287600314</v>
      </c>
      <c r="AG82" s="2961">
        <v>0.53</v>
      </c>
      <c r="AH82" s="2961">
        <v>0.54765789463279879</v>
      </c>
      <c r="AI82" s="2045">
        <f>+((AE82*AE$6)+(AG82*AG$6))/AI$6</f>
        <v>0.55008501594048875</v>
      </c>
      <c r="AJ82" s="2045">
        <f>+((AF82*AF$6)+(AH82*AH$6))/AJ$6</f>
        <v>0.63384057741183131</v>
      </c>
      <c r="AK82" s="2961">
        <v>0.53</v>
      </c>
      <c r="AL82" s="2961">
        <v>0.59122406056901544</v>
      </c>
      <c r="AM82" s="2097">
        <f>+((AC82*AC$6)+(AG82*AG$6)+(AK82*AK$6))/AM$6</f>
        <v>0.53</v>
      </c>
      <c r="AN82" s="2097">
        <f>+((AD82*AD$6)+(AH82*AH$6)+(AL82*AL$6))/AN$6</f>
        <v>0.61870078364403347</v>
      </c>
      <c r="AO82" s="2045">
        <f>+((AK82*AK$6)+(AI82*AI$6))/AO$6</f>
        <v>0.54764705882352938</v>
      </c>
      <c r="AP82" s="2045">
        <f>+((AL82*AL$6)+(AJ82*AJ$6))/AP$6</f>
        <v>0.62900638523794039</v>
      </c>
      <c r="AQ82" s="2961">
        <v>0.53</v>
      </c>
      <c r="AR82" s="2961">
        <v>0.69047408598412296</v>
      </c>
      <c r="AS82" s="2045">
        <f>+((AO82*AO$6)+(AQ82*AQ$6))/AS$6</f>
        <v>0.54571072319201996</v>
      </c>
      <c r="AT82" s="2045">
        <f>+((AP82*AP$6)+(AR82*AR$6))/AT$6</f>
        <v>0.63511818558067978</v>
      </c>
      <c r="AU82" s="2961">
        <v>0.53</v>
      </c>
      <c r="AV82" s="2961">
        <v>0.87010859275438568</v>
      </c>
      <c r="AW82" s="2045">
        <f>+((AS82*AS$6)+(AU82*AU$6))/AW$6</f>
        <v>0.54430734292202876</v>
      </c>
      <c r="AX82" s="357">
        <f>+((AT82*AT$6)+(AV82*AV$6))/AX$6</f>
        <v>0.6524899763731522</v>
      </c>
      <c r="AY82" s="2961">
        <v>0.53</v>
      </c>
      <c r="AZ82" s="2961">
        <v>0.61038668739689161</v>
      </c>
      <c r="BA82" s="2097">
        <f>+((AQ82*AQ$6)+(AU82*AU$6)+(AY82*AY$6))/BA$6</f>
        <v>0.53</v>
      </c>
      <c r="BB82" s="2097">
        <f>+((AR82*AR$6)+(AV82*AV$6)+(AZ82*AZ$6))/BB$6</f>
        <v>0.71231166389858636</v>
      </c>
      <c r="BC82" s="2096">
        <f>+((AM82*AM$6)+(BA82*BA$6))/BC$6</f>
        <v>0.53</v>
      </c>
      <c r="BD82" s="2096">
        <f>+((AN82*AN$6)+(BB82*BB$6))/BD$6</f>
        <v>0.66532555823723982</v>
      </c>
      <c r="BE82" s="2045">
        <f>+((AW82*AW$6)+(AY82*AY$6))/BE$6</f>
        <v>0.54300757054370263</v>
      </c>
      <c r="BF82" s="357">
        <f>+((AX82*AX$6)+(AZ82*AZ$6))/BF$6</f>
        <v>0.64884698974524113</v>
      </c>
      <c r="BG82" s="4234"/>
      <c r="BH82" s="4234"/>
      <c r="BI82" s="25"/>
      <c r="BJ82" s="25"/>
      <c r="BK82" s="25"/>
      <c r="BL82" s="25"/>
      <c r="BM82" s="25"/>
      <c r="BN82" s="25"/>
    </row>
    <row r="83" spans="1:67" ht="15.75" customHeight="1" x14ac:dyDescent="0.25">
      <c r="A83" s="137" t="s">
        <v>446</v>
      </c>
      <c r="B83" s="4253" t="s">
        <v>252</v>
      </c>
      <c r="C83" s="4211" t="s">
        <v>49</v>
      </c>
      <c r="D83" s="2965">
        <v>0.05</v>
      </c>
      <c r="E83" s="2965">
        <v>0.05</v>
      </c>
      <c r="F83" s="2965">
        <v>3.2577569705161159E-2</v>
      </c>
      <c r="G83" s="2965">
        <v>0.05</v>
      </c>
      <c r="H83" s="2965">
        <v>4.23272247596422E-2</v>
      </c>
      <c r="I83" s="3445">
        <f>+((E83*E$6)+(G83*G$6))/I$6</f>
        <v>0.05</v>
      </c>
      <c r="J83" s="3445">
        <f>+((F83*F$6)+(H83*H$6))/J$6</f>
        <v>3.7636922596303052E-2</v>
      </c>
      <c r="K83" s="2965">
        <v>0.05</v>
      </c>
      <c r="L83" s="2965">
        <v>3.8166186015443859E-2</v>
      </c>
      <c r="M83" s="3701">
        <f>+((E83*E$6)+(G83*G$6)+(K83*K$6))/M$6</f>
        <v>0.05</v>
      </c>
      <c r="N83" s="3701">
        <f>+((F83*F$6)+(H83*H$6)+(L83*L$6))/N$6</f>
        <v>3.7820400627447244E-2</v>
      </c>
      <c r="O83" s="2965">
        <v>0.05</v>
      </c>
      <c r="P83" s="2965">
        <v>3.4138594926817221E-2</v>
      </c>
      <c r="Q83" s="2045">
        <f>+((M83*M$6)+(O83*O$6))/Q$6</f>
        <v>0.05</v>
      </c>
      <c r="R83" s="351">
        <f>+((N83*N$6)+(P83*P$6))/R$6</f>
        <v>3.6854820304613553E-2</v>
      </c>
      <c r="S83" s="2965">
        <v>0.05</v>
      </c>
      <c r="T83" s="2965">
        <v>3.4513028989228228E-2</v>
      </c>
      <c r="U83" s="2045">
        <f>+((Q83*Q$6)+(S83*S$6))/U$6</f>
        <v>0.05</v>
      </c>
      <c r="V83" s="2045">
        <f>+((R83*R$6)+(T83*T$6))/V$6</f>
        <v>3.6389907808110071E-2</v>
      </c>
      <c r="W83" s="2965">
        <v>0.05</v>
      </c>
      <c r="X83" s="2965">
        <v>3.549951756153763E-2</v>
      </c>
      <c r="Y83" s="2097">
        <f>+((O83*O$6)+(S83*S$6)+(W83*W$6))/Y$6</f>
        <v>0.05</v>
      </c>
      <c r="Z83" s="353">
        <f>+((P83*P$6)+(T83*T$6)+(X83*X$6))/Z$6</f>
        <v>3.46955945595342E-2</v>
      </c>
      <c r="AA83" s="2096">
        <f>+((M83*M$6)+(Y83*Y$6))/AA$6</f>
        <v>0.05</v>
      </c>
      <c r="AB83" s="2096">
        <f>+((N83*N$6)+(Z83*Z$6))/AB$6</f>
        <v>3.624729457333422E-2</v>
      </c>
      <c r="AC83" s="2965">
        <v>0.05</v>
      </c>
      <c r="AD83" s="2965">
        <v>3.8858986537832957E-2</v>
      </c>
      <c r="AE83" s="2045">
        <f>+((AA83*AA$6)+(AC83*AC$6))/AE$6</f>
        <v>0.05</v>
      </c>
      <c r="AF83" s="357">
        <f>+((AB83*AB$6)+(AD83*AD$6))/AF$6</f>
        <v>3.6555126092169293E-2</v>
      </c>
      <c r="AG83" s="2965">
        <v>0.05</v>
      </c>
      <c r="AH83" s="2965">
        <v>3.3078521245884285E-2</v>
      </c>
      <c r="AI83" s="2045">
        <f>+((AE83*AE$6)+(AG83*AG$6))/AI$6</f>
        <v>0.05</v>
      </c>
      <c r="AJ83" s="357">
        <f>+((AF83*AF$6)+(AH83*AH$6))/AJ$6</f>
        <v>3.6123407471507468E-2</v>
      </c>
      <c r="AK83" s="2965">
        <v>0.05</v>
      </c>
      <c r="AL83" s="2965">
        <v>3.2638060149334992E-2</v>
      </c>
      <c r="AM83" s="2097">
        <f>+((AC83*AC$6)+(AG83*AG$6)+(AK83*AK$6))/AM$6</f>
        <v>0.05</v>
      </c>
      <c r="AN83" s="2097">
        <f>+((AD83*AD$6)+(AH83*AH$6)+(AL83*AL$6))/AN$6</f>
        <v>3.4599139798159123E-2</v>
      </c>
      <c r="AO83" s="357">
        <f>+((AK83*AK$6)+(AI83*AI$6))/AO$6</f>
        <v>0.05</v>
      </c>
      <c r="AP83" s="357">
        <f>+((AL83*AL$6)+(AJ83*AJ$6))/AP$6</f>
        <v>3.5728048113297078E-2</v>
      </c>
      <c r="AQ83" s="2965">
        <v>0.05</v>
      </c>
      <c r="AR83" s="2965">
        <v>3.3590154307706899E-2</v>
      </c>
      <c r="AS83" s="357">
        <f>+((AO83*AO$6)+(AQ83*AQ$6))/AS$6</f>
        <v>0.05</v>
      </c>
      <c r="AT83" s="357">
        <f>+((AP83*AP$6)+(AR83*AR$6))/AT$6</f>
        <v>3.5515475006850476E-2</v>
      </c>
      <c r="AU83" s="2965">
        <v>0.05</v>
      </c>
      <c r="AV83" s="2965">
        <v>3.347434243144469E-2</v>
      </c>
      <c r="AW83" s="357">
        <f>+((AS83*AS$6)+(AU83*AU$6))/AW$6</f>
        <v>0.05</v>
      </c>
      <c r="AX83" s="357">
        <f>+((AT83*AT$6)+(AV83*AV$6))/AX$6</f>
        <v>3.5364583195962904E-2</v>
      </c>
      <c r="AY83" s="2965">
        <v>0.05</v>
      </c>
      <c r="AZ83" s="2965">
        <v>3.2579820086642078E-2</v>
      </c>
      <c r="BA83" s="2097">
        <f>+((AQ83*AQ$6)+(AU83*AU$6)+(AY83*AY$6))/BA$6</f>
        <v>0.05</v>
      </c>
      <c r="BB83" s="2097">
        <f>+((AR83*AR$6)+(AV83*AV$6)+(AZ83*AZ$6))/BB$6</f>
        <v>3.3190268267081997E-2</v>
      </c>
      <c r="BC83" s="2096">
        <f>+((AM83*AM$6)+(BA83*BA$6))/BC$6</f>
        <v>0.05</v>
      </c>
      <c r="BD83" s="2096">
        <f>+((AN83*AN$6)+(BB83*BB$6))/BD$6</f>
        <v>3.3897423102528954E-2</v>
      </c>
      <c r="BE83" s="357">
        <f>+((AW83*AW$6)+(AY83*AY$6))/BE$6</f>
        <v>0.05</v>
      </c>
      <c r="BF83" s="357">
        <f>+((AX83*AX$6)+(AZ83*AZ$6))/BF$6</f>
        <v>3.5123631597742733E-2</v>
      </c>
      <c r="BG83" s="4234"/>
      <c r="BH83" s="4234"/>
      <c r="BI83" s="25"/>
      <c r="BJ83" s="25"/>
      <c r="BK83" s="25"/>
      <c r="BL83" s="25"/>
      <c r="BM83" s="25"/>
      <c r="BN83" s="25"/>
    </row>
    <row r="84" spans="1:67" x14ac:dyDescent="0.25">
      <c r="A84" s="137"/>
      <c r="B84" s="4254" t="s">
        <v>258</v>
      </c>
      <c r="C84" s="4211" t="s">
        <v>210</v>
      </c>
      <c r="D84" s="7648">
        <f>+(D85*D6)/1000000</f>
        <v>4545</v>
      </c>
      <c r="E84" s="4207">
        <f>+(E85*E6)/1000000</f>
        <v>315.12</v>
      </c>
      <c r="F84" s="7648">
        <f>EMD!E46/1000</f>
        <v>363.94208000000003</v>
      </c>
      <c r="G84" s="5596">
        <f>+(G85*G6)/1000000</f>
        <v>401.7</v>
      </c>
      <c r="H84" s="7179">
        <v>383.98136640000001</v>
      </c>
      <c r="I84" s="4206">
        <f>+E84+G84</f>
        <v>716.81999999999994</v>
      </c>
      <c r="J84" s="4206">
        <f>+F84+H84</f>
        <v>747.9234464000001</v>
      </c>
      <c r="K84" s="5703">
        <f>+(K85*K6)/1000000</f>
        <v>388.08</v>
      </c>
      <c r="L84" s="5703">
        <v>385.35410880000001</v>
      </c>
      <c r="M84" s="4209">
        <f>E84+G84+K84</f>
        <v>1104.8999999999999</v>
      </c>
      <c r="N84" s="4209">
        <f>F84+H84+L84</f>
        <v>1133.2775552000001</v>
      </c>
      <c r="O84" s="5849">
        <f>+(O85*O6)/1000000</f>
        <v>397.79999999999995</v>
      </c>
      <c r="P84" s="5849">
        <v>403.9</v>
      </c>
      <c r="Q84" s="245">
        <f>+M84+O84</f>
        <v>1502.6999999999998</v>
      </c>
      <c r="R84" s="245">
        <f>+N84+P84</f>
        <v>1537.1775551999999</v>
      </c>
      <c r="S84" s="5916">
        <f>+(S85*S6)/1000000</f>
        <v>395.25</v>
      </c>
      <c r="T84" s="7179">
        <v>388.2912048</v>
      </c>
      <c r="U84" s="245">
        <f>+Q84+S84</f>
        <v>1897.9499999999998</v>
      </c>
      <c r="V84" s="245">
        <f>+R84+T84</f>
        <v>1925.46876</v>
      </c>
      <c r="W84" s="6015">
        <f>+(W85*W6)/1000000</f>
        <v>217</v>
      </c>
      <c r="X84" s="6015">
        <v>381.38400000000001</v>
      </c>
      <c r="Y84" s="732">
        <f>+W84+S84+O84</f>
        <v>1010.05</v>
      </c>
      <c r="Z84" s="732">
        <f>+X84+T84+P84</f>
        <v>1173.5752047999999</v>
      </c>
      <c r="AA84" s="440">
        <f>M84+Y84</f>
        <v>2114.9499999999998</v>
      </c>
      <c r="AB84" s="4489">
        <f>N84+Z84</f>
        <v>2306.8527599999998</v>
      </c>
      <c r="AC84" s="6148">
        <f>+(AC85*AC6)/1000000</f>
        <v>400.40000000000003</v>
      </c>
      <c r="AD84" s="6200">
        <v>323.8</v>
      </c>
      <c r="AE84" s="245">
        <f>+AA84+AC84</f>
        <v>2515.35</v>
      </c>
      <c r="AF84" s="245">
        <f>+AB84+AD84</f>
        <v>2630.6527599999999</v>
      </c>
      <c r="AG84" s="6310">
        <f>+(AG85*AG6)/1000000</f>
        <v>388.08000000000004</v>
      </c>
      <c r="AH84" s="7184">
        <v>365.8</v>
      </c>
      <c r="AI84" s="245">
        <f>+AE84+AG84</f>
        <v>2903.43</v>
      </c>
      <c r="AJ84" s="245">
        <f>+AF84+AH84</f>
        <v>2996.4527600000001</v>
      </c>
      <c r="AK84" s="6571">
        <f>+(AK85*AK6)/1000000</f>
        <v>400.40000000000003</v>
      </c>
      <c r="AL84" s="6571">
        <v>384.5</v>
      </c>
      <c r="AM84" s="2544">
        <f>+AK84+AG84+AC84</f>
        <v>1188.8800000000001</v>
      </c>
      <c r="AN84" s="2544">
        <f>+AL84+AH84+AD84</f>
        <v>1074.0999999999999</v>
      </c>
      <c r="AO84" s="245">
        <f>+AK84+AI84</f>
        <v>3303.83</v>
      </c>
      <c r="AP84" s="245">
        <f>+AL84+AJ84</f>
        <v>3380.9527600000001</v>
      </c>
      <c r="AQ84" s="6666">
        <f>+(AQ85*AQ6)/1000000</f>
        <v>401.28</v>
      </c>
      <c r="AR84" s="6779">
        <v>385.8</v>
      </c>
      <c r="AS84" s="5093">
        <f>+AO84+AQ84</f>
        <v>3705.1099999999997</v>
      </c>
      <c r="AT84" s="5093">
        <f>+AP84+AR84</f>
        <v>3766.7527600000003</v>
      </c>
      <c r="AU84" s="6866">
        <f>+(AU85*AU6)/1000000</f>
        <v>362.26</v>
      </c>
      <c r="AV84" s="6921">
        <v>344.7</v>
      </c>
      <c r="AW84" s="5093">
        <f>+AS84+AU84</f>
        <v>4067.37</v>
      </c>
      <c r="AX84" s="5093">
        <f>+AT84+AV84</f>
        <v>4111.4527600000001</v>
      </c>
      <c r="AY84" s="6985">
        <f>+(AY85*AY6)/1000000</f>
        <v>401.28</v>
      </c>
      <c r="AZ84" s="7105">
        <v>376.6</v>
      </c>
      <c r="BA84" s="2777">
        <f>+AY84+AU84+AQ84</f>
        <v>1164.82</v>
      </c>
      <c r="BB84" s="2777">
        <f>+AZ84+AV84+AR84</f>
        <v>1107.0999999999999</v>
      </c>
      <c r="BC84" s="440">
        <f>AM84+BA84</f>
        <v>2353.6999999999998</v>
      </c>
      <c r="BD84" s="440">
        <f>AN84+BB84</f>
        <v>2181.1999999999998</v>
      </c>
      <c r="BE84" s="245">
        <f>+AW84+AY84</f>
        <v>4468.6499999999996</v>
      </c>
      <c r="BF84" s="245">
        <f>+AX84+AZ84</f>
        <v>4488.0527600000005</v>
      </c>
      <c r="BG84" s="4234">
        <f t="shared" ref="BG84:BG106" si="407">AY84+AU84+AQ84+AK84+AG84+AC84+W84+S84+O84+K84+G84+E84-BE84</f>
        <v>0</v>
      </c>
      <c r="BH84" s="4234">
        <f t="shared" ref="BH84:BH106" si="408">AZ84+AV84+AR84+AL84+AH84+AD84+X84+T84+P84+L84+H84+F84-BF84</f>
        <v>0</v>
      </c>
      <c r="BI84" s="25"/>
      <c r="BJ84" s="25"/>
      <c r="BK84" s="25"/>
      <c r="BL84" s="25"/>
      <c r="BM84" s="25"/>
      <c r="BN84" s="25"/>
    </row>
    <row r="85" spans="1:67" x14ac:dyDescent="0.25">
      <c r="A85" s="137"/>
      <c r="B85" s="4254" t="s">
        <v>259</v>
      </c>
      <c r="C85" s="4211" t="s">
        <v>253</v>
      </c>
      <c r="D85" s="7648">
        <v>1515</v>
      </c>
      <c r="E85" s="7617">
        <v>1515</v>
      </c>
      <c r="F85" s="7648">
        <f>+(F84*1000000)/F6</f>
        <v>1535.1231330944233</v>
      </c>
      <c r="G85" s="5596">
        <v>1545</v>
      </c>
      <c r="H85" s="7179">
        <f>+(H84*1000000)/H6</f>
        <v>1501.5055529073725</v>
      </c>
      <c r="I85" s="4206">
        <f>+(I84*1000000)/I6</f>
        <v>1531.6666666666665</v>
      </c>
      <c r="J85" s="4206">
        <f>+(J84*1000000)/J6</f>
        <v>1517.6780849812208</v>
      </c>
      <c r="K85" s="5703">
        <v>1540</v>
      </c>
      <c r="L85" s="5703">
        <f>+(L84*1000000)/L6</f>
        <v>1473.6863978302797</v>
      </c>
      <c r="M85" s="4209">
        <f>+(M84*1000000)/M6</f>
        <v>1534.583333333333</v>
      </c>
      <c r="N85" s="5812">
        <f>+(N84*1000000)/N6</f>
        <v>1502.4276296252301</v>
      </c>
      <c r="O85" s="5849">
        <v>1559.9999999999998</v>
      </c>
      <c r="P85" s="5849">
        <f>+(P84*1000000)/P6</f>
        <v>1506.2897573415307</v>
      </c>
      <c r="Q85" s="733">
        <f>+(Q84*1000000)/Q6</f>
        <v>1541.2307692307691</v>
      </c>
      <c r="R85" s="733">
        <f>+(R84*1000000)/R6</f>
        <v>1503.4405007081587</v>
      </c>
      <c r="S85" s="5916">
        <v>1550</v>
      </c>
      <c r="T85" s="7179">
        <f>+(T84*1000000)/T6</f>
        <v>1533.1504598371025</v>
      </c>
      <c r="U85" s="4335">
        <f>+(U84*1000000)/U6</f>
        <v>1543.0487804878046</v>
      </c>
      <c r="V85" s="4335">
        <f>+(V84*1000000)/V6</f>
        <v>1509.338776604438</v>
      </c>
      <c r="W85" s="6015">
        <v>1550</v>
      </c>
      <c r="X85" s="6015">
        <f>+(X84*1000000)/X6</f>
        <v>1567.5629908087797</v>
      </c>
      <c r="Y85" s="330">
        <f>+(Y84*1000000)/Y6</f>
        <v>1553.9230769230769</v>
      </c>
      <c r="Z85" s="330">
        <f>+(Z84*1000000)/Z6</f>
        <v>1534.6804503132128</v>
      </c>
      <c r="AA85" s="440">
        <f>+(AA84*1000000)/AA6</f>
        <v>1543.7591240875911</v>
      </c>
      <c r="AB85" s="4489">
        <f>+(AB84*1000000)/AB6</f>
        <v>1518.6645116536795</v>
      </c>
      <c r="AC85" s="6148">
        <v>1540.0000000000002</v>
      </c>
      <c r="AD85" s="6200">
        <f>+(AD84*1000000)/AD6</f>
        <v>1595.3717467448357</v>
      </c>
      <c r="AE85" s="2236">
        <f>+(AE84*1000000)/AE6</f>
        <v>1543.159509202454</v>
      </c>
      <c r="AF85" s="2236">
        <f>+(AF84*1000000)/AF6</f>
        <v>1527.7057404833902</v>
      </c>
      <c r="AG85" s="6310">
        <v>1540.0000000000002</v>
      </c>
      <c r="AH85" s="7184">
        <f>+(AH84*1000000)/AH6</f>
        <v>1498.2703128673488</v>
      </c>
      <c r="AI85" s="4635">
        <f>+(AI84*1000000)/AI6</f>
        <v>1542.7364505844846</v>
      </c>
      <c r="AJ85" s="4635">
        <f>+(AJ84*1000000)/AJ6</f>
        <v>1524.050501314473</v>
      </c>
      <c r="AK85" s="6571">
        <v>1540.0000000000002</v>
      </c>
      <c r="AL85" s="6571">
        <f>+(AL84*1000000)/AL6</f>
        <v>1528.4563187457518</v>
      </c>
      <c r="AM85" s="330">
        <f>+(AM84*1000000)/AM6</f>
        <v>1540</v>
      </c>
      <c r="AN85" s="330">
        <f>+(AN84*1000000)/AN6</f>
        <v>1537.3466750387488</v>
      </c>
      <c r="AO85" s="2236">
        <f>+(AO84*1000000)/AO6</f>
        <v>1542.404295051354</v>
      </c>
      <c r="AP85" s="2236">
        <f>+(AP84*1000000)/AP6</f>
        <v>1524.5502739313774</v>
      </c>
      <c r="AQ85" s="6666">
        <v>1520</v>
      </c>
      <c r="AR85" s="6779">
        <f>+(AR84*1000000)/AR6</f>
        <v>1575.6495572416577</v>
      </c>
      <c r="AS85" s="2236">
        <f>+(AS84*1000000)/AS6</f>
        <v>1539.9459684123024</v>
      </c>
      <c r="AT85" s="2236">
        <f>+(AT84*1000000)/AT6</f>
        <v>1529.6311312508847</v>
      </c>
      <c r="AU85" s="6866">
        <v>1535</v>
      </c>
      <c r="AV85" s="6926">
        <f>+(AV84*1000000)/AV6</f>
        <v>1753.5265112147865</v>
      </c>
      <c r="AW85" s="5026">
        <f>+(AW84*1000000)/AW6</f>
        <v>1539.5041635124905</v>
      </c>
      <c r="AX85" s="5026">
        <f>+(AX84*1000000)/AX6</f>
        <v>1546.1827162577522</v>
      </c>
      <c r="AY85" s="6985">
        <v>1520</v>
      </c>
      <c r="AZ85" s="7105">
        <f t="shared" ref="AZ85:BF85" si="409">+(AZ84*1000000)/AZ6</f>
        <v>1495.2056940100852</v>
      </c>
      <c r="BA85" s="330">
        <f t="shared" si="409"/>
        <v>1524.6335078534032</v>
      </c>
      <c r="BB85" s="330">
        <f t="shared" si="409"/>
        <v>1596.859303295666</v>
      </c>
      <c r="BC85" s="440">
        <f t="shared" si="409"/>
        <v>1532.3567708333333</v>
      </c>
      <c r="BD85" s="440">
        <f t="shared" si="409"/>
        <v>1566.9881319974136</v>
      </c>
      <c r="BE85" s="2236">
        <f t="shared" si="409"/>
        <v>1537.7322780454233</v>
      </c>
      <c r="BF85" s="2236">
        <f t="shared" si="409"/>
        <v>1541.7719299535356</v>
      </c>
      <c r="BG85" s="4234"/>
      <c r="BH85" s="4234"/>
      <c r="BI85" s="25"/>
      <c r="BJ85" s="25"/>
      <c r="BK85" s="25"/>
      <c r="BL85" s="25"/>
      <c r="BM85" s="25"/>
      <c r="BN85" s="25"/>
    </row>
    <row r="86" spans="1:67" x14ac:dyDescent="0.25">
      <c r="A86" s="137"/>
      <c r="B86" s="1642" t="s">
        <v>257</v>
      </c>
      <c r="C86" s="520" t="s">
        <v>212</v>
      </c>
      <c r="D86" s="194">
        <v>885</v>
      </c>
      <c r="E86" s="194">
        <f>+$D$86</f>
        <v>885</v>
      </c>
      <c r="F86" s="7647">
        <f>EMD!E45</f>
        <v>902.11</v>
      </c>
      <c r="G86" s="194">
        <f>+$D$86</f>
        <v>885</v>
      </c>
      <c r="H86" s="7176">
        <v>916.02929177382873</v>
      </c>
      <c r="I86" s="59">
        <v>880</v>
      </c>
      <c r="J86" s="37">
        <f>+((F86*F84)+(H84*H86))/J84</f>
        <v>909.25611729363607</v>
      </c>
      <c r="K86" s="194">
        <f>+$D$86</f>
        <v>885</v>
      </c>
      <c r="L86" s="5702">
        <v>917</v>
      </c>
      <c r="M86" s="740">
        <f>+$D$86</f>
        <v>885</v>
      </c>
      <c r="N86" s="67">
        <f>+((F86*F84)+(H86*H84)+(L84*L86))/N84</f>
        <v>911.88930896435261</v>
      </c>
      <c r="O86" s="194">
        <f>+$D$86</f>
        <v>885</v>
      </c>
      <c r="P86" s="5837">
        <v>913</v>
      </c>
      <c r="Q86" s="59">
        <v>880</v>
      </c>
      <c r="R86" s="37">
        <f>+((N86*N84)+(P84*P86))/R84</f>
        <v>912.18114780091412</v>
      </c>
      <c r="S86" s="194">
        <f>+$D$86</f>
        <v>885</v>
      </c>
      <c r="T86" s="7176">
        <v>916.48533097577422</v>
      </c>
      <c r="U86" s="4331">
        <v>880</v>
      </c>
      <c r="V86" s="37">
        <f>+((R86*R84)+(T84*T86))/V84</f>
        <v>913.04913200578187</v>
      </c>
      <c r="W86" s="194">
        <f>+$D$86</f>
        <v>885</v>
      </c>
      <c r="X86" s="6007">
        <v>917.97</v>
      </c>
      <c r="Y86" s="740">
        <v>880</v>
      </c>
      <c r="Z86" s="67">
        <f>+((P86*P84)+(T86*T84)+(X84*X86))/Z84</f>
        <v>915.76829455021061</v>
      </c>
      <c r="AA86" s="785">
        <v>880</v>
      </c>
      <c r="AB86" s="428">
        <f>+((N86*N84)+(Z84*Z86))/AB84</f>
        <v>913.86268211684626</v>
      </c>
      <c r="AC86" s="194">
        <f>+$D$86</f>
        <v>885</v>
      </c>
      <c r="AD86" s="6199">
        <v>918</v>
      </c>
      <c r="AE86" s="2435">
        <v>880</v>
      </c>
      <c r="AF86" s="37">
        <f>+((AB86*AB84)+(AD84*AD86))/AF84</f>
        <v>914.37193349009283</v>
      </c>
      <c r="AG86" s="194">
        <f>+$D$86</f>
        <v>885</v>
      </c>
      <c r="AH86" s="7183">
        <v>919</v>
      </c>
      <c r="AI86" s="4630">
        <v>880</v>
      </c>
      <c r="AJ86" s="37">
        <f>+((AF86*AF84)+(AH84*AH86))/AJ84</f>
        <v>914.93691711070028</v>
      </c>
      <c r="AK86" s="194">
        <f>+$D$86</f>
        <v>885</v>
      </c>
      <c r="AL86" s="6564">
        <v>920.71</v>
      </c>
      <c r="AM86" s="740">
        <v>880</v>
      </c>
      <c r="AN86" s="67">
        <f>+((AD86*AD84)+(AH86*AH84)+(AL84*AL86))/AN84</f>
        <v>919.31067405269539</v>
      </c>
      <c r="AO86" s="2543">
        <v>880</v>
      </c>
      <c r="AP86" s="37">
        <f>+((AL86*AL84)+(AJ84*AJ86))/AP84</f>
        <v>915.59346292145449</v>
      </c>
      <c r="AQ86" s="194">
        <f>+$D$86</f>
        <v>885</v>
      </c>
      <c r="AR86" s="6778">
        <v>914.9</v>
      </c>
      <c r="AS86" s="2598">
        <v>880</v>
      </c>
      <c r="AT86" s="37">
        <f>+((AP86*AP84)+(AR84*AR86))/AT84</f>
        <v>915.52243675856471</v>
      </c>
      <c r="AU86" s="194">
        <f>+$D$86</f>
        <v>885</v>
      </c>
      <c r="AV86" s="6920">
        <v>882</v>
      </c>
      <c r="AW86" s="5023">
        <v>880</v>
      </c>
      <c r="AX86" s="37">
        <f>+((AT86*AT84)+(AV84*AV86))/AX84</f>
        <v>912.71194990022195</v>
      </c>
      <c r="AY86" s="194">
        <f>+$D$86</f>
        <v>885</v>
      </c>
      <c r="AZ86" s="7104">
        <v>896</v>
      </c>
      <c r="BA86" s="740">
        <v>880</v>
      </c>
      <c r="BB86" s="67">
        <f>+((AR86*AR84)+(AV86*AV84)+(AZ84*AZ86))/BB84</f>
        <v>898.22727847529586</v>
      </c>
      <c r="BC86" s="785">
        <v>880</v>
      </c>
      <c r="BD86" s="428">
        <f>+((AN86*AN84)+(BB84*BB86))/BD84</f>
        <v>908.60948789657084</v>
      </c>
      <c r="BE86" s="2778">
        <v>880</v>
      </c>
      <c r="BF86" s="37">
        <f>+((AX86*AX84)+(AZ84*AZ86))/BF84</f>
        <v>911.30962228310545</v>
      </c>
      <c r="BG86" s="4234"/>
      <c r="BH86" s="4234"/>
      <c r="BI86" s="25"/>
      <c r="BJ86" s="25"/>
      <c r="BK86" s="25"/>
      <c r="BL86" s="25"/>
      <c r="BM86" s="25"/>
      <c r="BN86" s="25"/>
    </row>
    <row r="87" spans="1:67" x14ac:dyDescent="0.25">
      <c r="A87" s="137"/>
      <c r="B87" s="1629" t="s">
        <v>254</v>
      </c>
      <c r="C87" s="520" t="s">
        <v>299</v>
      </c>
      <c r="D87" s="1056">
        <v>9.6666666666666661</v>
      </c>
      <c r="E87" s="1056">
        <f>+(EMD!D25/E2/24)</f>
        <v>8</v>
      </c>
      <c r="F87" s="1056">
        <f>+(EMD!E25/F2/24)</f>
        <v>7.4826666666666668</v>
      </c>
      <c r="G87" s="1056">
        <f>+(EMD!F25/G2/24)</f>
        <v>6</v>
      </c>
      <c r="H87" s="1056">
        <f>+(EMD!G25/H2/24)</f>
        <v>7.8944878481926963</v>
      </c>
      <c r="I87" s="80">
        <f>+((E87*E2)+(G87*G2))/I2</f>
        <v>6.9836065573770494</v>
      </c>
      <c r="J87" s="3183">
        <f>+((F87*F$2)+(H87*H$2))/J$2</f>
        <v>7.691952840884813</v>
      </c>
      <c r="K87" s="1056">
        <f>+(EMD!J25/K2/24)</f>
        <v>6</v>
      </c>
      <c r="L87" s="1056">
        <f>+(EMD!K25/L2/24)</f>
        <v>8.2055022791649517</v>
      </c>
      <c r="M87" s="359">
        <f>+((E87*E2)+(G87*G2)+(K87*K2))/M2</f>
        <v>6.6593406593406597</v>
      </c>
      <c r="N87" s="330">
        <f>+((F87*F$2)+(H87*H$2)+(L87*L$2))/N$2</f>
        <v>7.86125485350464</v>
      </c>
      <c r="O87" s="1056">
        <f>+(EMD!N25/O2/24)</f>
        <v>6</v>
      </c>
      <c r="P87" s="1056">
        <f>+(EMD!O25/P2/24)</f>
        <v>8.5703466622744049</v>
      </c>
      <c r="Q87" s="80">
        <f>+((M87*M2)+(O87*O2))/Q2</f>
        <v>6.4918032786885247</v>
      </c>
      <c r="R87" s="103">
        <f>+((N87*N$2)+(P87*P$2))/R$2</f>
        <v>8.0414339196674494</v>
      </c>
      <c r="S87" s="1056">
        <f>+(EMD!R25/S2/24)</f>
        <v>6</v>
      </c>
      <c r="T87" s="1056">
        <f>+(EMD!S25/T2/24)</f>
        <v>7.8822144417125877</v>
      </c>
      <c r="U87" s="80">
        <f>+((Q87*Q2)+(S87*S2))/U2</f>
        <v>6.3921568627450984</v>
      </c>
      <c r="V87" s="103">
        <f>+((R87*R$2)+(T87*T$2))/V$2</f>
        <v>8.0091737640033926</v>
      </c>
      <c r="W87" s="1056">
        <f>+(EMD!V25/W2/24)</f>
        <v>5</v>
      </c>
      <c r="X87" s="1056">
        <f>+(EMD!W25/X2/24)</f>
        <v>8.4426111111111108</v>
      </c>
      <c r="Y87" s="625">
        <f>+(EMD!X25/Y2/24)</f>
        <v>5.6739130434782608</v>
      </c>
      <c r="Z87" s="625">
        <f>+(EMD!Y25/Z2/24)</f>
        <v>8.2968231256188041</v>
      </c>
      <c r="AA87" s="621">
        <f>+(EMD!Z25/AA2/24)</f>
        <v>6.1639344262295088</v>
      </c>
      <c r="AB87" s="621">
        <f>+(EMD!AA25/AB2/24)</f>
        <v>8.0802290668079362</v>
      </c>
      <c r="AC87" s="1056">
        <f>+(EMD!AB25/AC2/24)</f>
        <v>6</v>
      </c>
      <c r="AD87" s="1056">
        <f>+(EMD!AC25/AD2/24)</f>
        <v>7.1577822580645174</v>
      </c>
      <c r="AE87" s="80">
        <f>+(EMD!AD25/AE2/24)</f>
        <v>6.1401869158878499</v>
      </c>
      <c r="AF87" s="103">
        <f>+(EMD!AE25/AF2/24)</f>
        <v>7.946603594513328</v>
      </c>
      <c r="AG87" s="1056">
        <f>+(EMD!AF25/AG2/24)</f>
        <v>6</v>
      </c>
      <c r="AH87" s="1056">
        <f>+(EMD!AG25/AH2/24)</f>
        <v>8.1262083333333326</v>
      </c>
      <c r="AI87" s="80">
        <f>+(EMD!AH25/AI2/24)</f>
        <v>6.1229508196721314</v>
      </c>
      <c r="AJ87" s="103">
        <f>+(EMD!AI25/AJ2/24)</f>
        <v>7.968686144368248</v>
      </c>
      <c r="AK87" s="1056">
        <f>+(EMD!AJ25/AK2/24)</f>
        <v>6</v>
      </c>
      <c r="AL87" s="1056">
        <f>+(EMD!AK25/AL2/24)</f>
        <v>8.6895698924731182</v>
      </c>
      <c r="AM87" s="624">
        <f>(AC87*AC2+AG87*AG2+AK87*AK2)/AM2</f>
        <v>6</v>
      </c>
      <c r="AN87" s="624">
        <f>(AD87*AD2+AH87*AH2+AL87*AL2)/AN2</f>
        <v>7.9897192028985504</v>
      </c>
      <c r="AO87" s="51">
        <f>+((AK87*AK2)+(AI87*AI2))/AO2</f>
        <v>6.1090909090909093</v>
      </c>
      <c r="AP87" s="103">
        <f>+((AL87*AL$2)+(AJ87*AJ$2))/AP$2</f>
        <v>8.0499494032455239</v>
      </c>
      <c r="AQ87" s="1056">
        <f>+(EMD!AP25/AQ2/24)</f>
        <v>6</v>
      </c>
      <c r="AR87" s="1056">
        <f>+(EMD!AQ25/AR2/24)</f>
        <v>7.9370161290322585</v>
      </c>
      <c r="AS87" s="80">
        <f>+((AO87*AO2)+(AQ87*AQ2))/AS2</f>
        <v>6.0980392156862742</v>
      </c>
      <c r="AT87" s="103">
        <f>+((AP87*AP$2)+(AR87*AR$2))/AT$2</f>
        <v>8.0385084506291467</v>
      </c>
      <c r="AU87" s="1056">
        <f>+(EMD!AT25/AU2/24)</f>
        <v>6</v>
      </c>
      <c r="AV87" s="1056">
        <f>+(EMD!AU25/AV2/24)</f>
        <v>6.7931398809523804</v>
      </c>
      <c r="AW87" s="80">
        <f>+((AS87*AS2)+(AU87*AU2))/AW2</f>
        <v>6.0898203592814371</v>
      </c>
      <c r="AX87" s="103">
        <f>+((AT87*AT$2)+(AV87*AV$2))/AX$2</f>
        <v>7.9341062950873811</v>
      </c>
      <c r="AY87" s="1056">
        <f>+(EMD!AX25/AY2/24)</f>
        <v>6</v>
      </c>
      <c r="AZ87" s="1056">
        <f>+(EMD!AY25/AZ2/24)</f>
        <v>7.215040322580645</v>
      </c>
      <c r="BA87" s="624">
        <f>+(EMD!AZ25/BA2/24)</f>
        <v>6</v>
      </c>
      <c r="BB87" s="624">
        <f>+(EMD!BA25/BB2/24)</f>
        <v>7.3324629629629632</v>
      </c>
      <c r="BC87" s="620">
        <f>+(EMD!BB25/BC2/24)</f>
        <v>6</v>
      </c>
      <c r="BD87" s="620">
        <f>+(EMD!BC25/BD2/24)</f>
        <v>7.6647023809523809</v>
      </c>
      <c r="BE87" s="80">
        <f>+(EMD!BD25/BE2/24)</f>
        <v>6.0821917808219181</v>
      </c>
      <c r="BF87" s="103">
        <f>+(EMD!BE25/BF2/24)</f>
        <v>7.8730349385183169</v>
      </c>
      <c r="BG87" s="4234"/>
      <c r="BH87" s="4234"/>
      <c r="BI87" s="25"/>
      <c r="BJ87" s="25"/>
      <c r="BK87" s="25"/>
      <c r="BL87" s="25"/>
      <c r="BM87" s="25"/>
      <c r="BN87" s="25"/>
    </row>
    <row r="88" spans="1:67" x14ac:dyDescent="0.25">
      <c r="A88" s="137"/>
      <c r="B88" s="1629" t="s">
        <v>428</v>
      </c>
      <c r="C88" s="520" t="s">
        <v>299</v>
      </c>
      <c r="D88" s="180">
        <v>232.05138947074431</v>
      </c>
      <c r="E88" s="1056">
        <f>+(EMD!D57/E2/24)</f>
        <v>196.1363636363636</v>
      </c>
      <c r="F88" s="180">
        <f>+(EMD!E57/F2/24)</f>
        <v>205.85138888888889</v>
      </c>
      <c r="G88" s="1056">
        <f>+(EMD!F57/G2/24)</f>
        <v>240.1090542521994</v>
      </c>
      <c r="H88" s="180">
        <f>+(EMD!G57/H2/24)</f>
        <v>219.10752688172045</v>
      </c>
      <c r="I88" s="51">
        <f>+(EMD!H57/I2/24)</f>
        <v>218.48314083457521</v>
      </c>
      <c r="J88" s="103">
        <f>+(EMD!I57/J2/24)</f>
        <v>212.58811475409834</v>
      </c>
      <c r="K88" s="180">
        <f>+(EMD!J57/K2/24)</f>
        <v>240.52556818181822</v>
      </c>
      <c r="L88" s="180">
        <f>+(EMD!K57/L2/24)</f>
        <v>227.10277777777773</v>
      </c>
      <c r="M88" s="75">
        <f>+((E88*E2)+(G88*G2)+(K88*K2))/M2</f>
        <v>225.74987512487513</v>
      </c>
      <c r="N88" s="75">
        <f>+((F88*F2)+(H88*H2)+(L88*L2))/N2</f>
        <v>217.3731684981685</v>
      </c>
      <c r="O88" s="180">
        <f>+(EMD!N57/O2/24)</f>
        <v>234.9026301319648</v>
      </c>
      <c r="P88" s="180">
        <f>+(EMD!O57/P2/24)</f>
        <v>228.64650537634409</v>
      </c>
      <c r="Q88" s="80">
        <f>+(EMD!P57/Q2/24)</f>
        <v>228.07557516766019</v>
      </c>
      <c r="R88" s="103">
        <f>+(EMD!Q57/R2/24)</f>
        <v>220.23770491803279</v>
      </c>
      <c r="S88" s="180">
        <f>+(EMD!R57/S2/24)</f>
        <v>234.9026301319648</v>
      </c>
      <c r="T88" s="180">
        <f>+(EMD!S57/T2/24)</f>
        <v>218.68817204301078</v>
      </c>
      <c r="U88" s="80">
        <f>+(EMD!T57/U2/24)</f>
        <v>229.45883467023171</v>
      </c>
      <c r="V88" s="103">
        <f>+(EMD!U57/V2/24)</f>
        <v>219.92374727668846</v>
      </c>
      <c r="W88" s="180">
        <f>+(EMD!V57/W2/24)</f>
        <v>133.26704545454547</v>
      </c>
      <c r="X88" s="180">
        <f>+(EMD!W57/X2/24)</f>
        <v>221.31944444444446</v>
      </c>
      <c r="Y88" s="625">
        <f>+(EMD!X57/Y2/24)</f>
        <v>201.76059165019765</v>
      </c>
      <c r="Z88" s="625">
        <f>+(EMD!Y57/Z2/24)</f>
        <v>222.90172101449275</v>
      </c>
      <c r="AA88" s="621">
        <f>+(EMD!Z57/AA2/24)</f>
        <v>213.68968889716839</v>
      </c>
      <c r="AB88" s="621">
        <f>+(EMD!AA57/AB2/24)</f>
        <v>220.15255009107469</v>
      </c>
      <c r="AC88" s="180">
        <f>+(EMD!AB57/AC2/24)</f>
        <v>240.1090542521994</v>
      </c>
      <c r="AD88" s="180">
        <f>+(EMD!AC57/AD2/24)</f>
        <v>181.80107526881719</v>
      </c>
      <c r="AE88" s="80">
        <f>+(EMD!AD57/AE2/24)</f>
        <v>217.51679322429905</v>
      </c>
      <c r="AF88" s="103">
        <f>+(EMD!AE57/AF2/24)</f>
        <v>214.59696261682242</v>
      </c>
      <c r="AG88" s="180">
        <f>+(EMD!AF57/AG2/24)</f>
        <v>240.52556818181822</v>
      </c>
      <c r="AH88" s="180">
        <f>+(EMD!AG57/AH2/24)</f>
        <v>210.42361111111111</v>
      </c>
      <c r="AI88" s="80">
        <f>+(EMD!AH57/AI2/24)</f>
        <v>220.34574096497764</v>
      </c>
      <c r="AJ88" s="103">
        <f>+(EMD!AI57/AJ2/24)</f>
        <v>214.08384562841528</v>
      </c>
      <c r="AK88" s="180">
        <f>+(EMD!AJ57/AK2/24)</f>
        <v>240.1090542521994</v>
      </c>
      <c r="AL88" s="180">
        <f>+(EMD!AK57/AL2/24)</f>
        <v>212.12768817204301</v>
      </c>
      <c r="AM88" s="624">
        <f>+(EMD!AL57/AM2/24)</f>
        <v>240.24487401185775</v>
      </c>
      <c r="AN88" s="624">
        <f>+(EMD!AM57/AN2/24)</f>
        <v>201.35326086956522</v>
      </c>
      <c r="AO88" s="51">
        <f>+(EMD!AN57/AO2/24)</f>
        <v>222.57360537190081</v>
      </c>
      <c r="AP88" s="103">
        <f>+(EMD!AO57/AP2/24)</f>
        <v>213.86333333333334</v>
      </c>
      <c r="AQ88" s="180">
        <f>+(EMD!AP57/AQ2/24)</f>
        <v>244.27419354838707</v>
      </c>
      <c r="AR88" s="180">
        <f>+(EMD!AQ57/AR2/24)</f>
        <v>212.09408602150538</v>
      </c>
      <c r="AS88" s="80">
        <f>+(EMD!AR57/AS2/24)</f>
        <v>224.7720309714795</v>
      </c>
      <c r="AT88" s="103">
        <f>+(EMD!AS57/AT2/24)</f>
        <v>213.68409586056646</v>
      </c>
      <c r="AU88" s="180">
        <f>+(EMD!AT57/AU2/24)</f>
        <v>241.44784902597405</v>
      </c>
      <c r="AV88" s="180">
        <f>+(EMD!AU57/AV2/24)</f>
        <v>210.07589285714286</v>
      </c>
      <c r="AW88" s="80">
        <f>+(EMD!AV57/AW2/24)</f>
        <v>226.17000374251498</v>
      </c>
      <c r="AX88" s="103">
        <f>+(EMD!AW57/AX2/24)</f>
        <v>213.3816117764471</v>
      </c>
      <c r="AY88" s="180">
        <f>+(EMD!AX57/AY2/24)</f>
        <v>244.27419354838707</v>
      </c>
      <c r="AZ88" s="180">
        <f>+(EMD!AY57/AZ2/24)</f>
        <v>207.74462365591398</v>
      </c>
      <c r="BA88" s="333">
        <f>+(EMD!AZ57/BA2/24)</f>
        <v>243.39488636363635</v>
      </c>
      <c r="BB88" s="333">
        <f>+(EMD!BA57/BB2/24)</f>
        <v>209.96805555555557</v>
      </c>
      <c r="BC88" s="459">
        <f>+(EMD!BB57/BC2/24)</f>
        <v>241.80257242757239</v>
      </c>
      <c r="BD88" s="459">
        <f>+(EMD!BC57/BD2/24)</f>
        <v>205.6133241758242</v>
      </c>
      <c r="BE88" s="51">
        <f>+(EMD!BD57/BE2/24)</f>
        <v>227.70761986301372</v>
      </c>
      <c r="BF88" s="103">
        <f>+(EMD!BE57/BF2/24)</f>
        <v>212.90285388127856</v>
      </c>
      <c r="BG88" s="4234"/>
      <c r="BH88" s="4234"/>
      <c r="BI88" s="25"/>
      <c r="BJ88" s="25"/>
      <c r="BK88" s="25"/>
      <c r="BL88" s="25"/>
      <c r="BM88" s="25"/>
      <c r="BN88" s="25"/>
      <c r="BO88" s="4487"/>
    </row>
    <row r="89" spans="1:67" x14ac:dyDescent="0.25">
      <c r="A89" s="137"/>
      <c r="B89" s="1642" t="s">
        <v>256</v>
      </c>
      <c r="C89" s="520" t="s">
        <v>1048</v>
      </c>
      <c r="D89" s="243">
        <v>0.72</v>
      </c>
      <c r="E89" s="243">
        <v>0.72</v>
      </c>
      <c r="F89" s="243">
        <v>0.66600000000000004</v>
      </c>
      <c r="G89" s="243">
        <v>0.68174999999999997</v>
      </c>
      <c r="H89" s="243">
        <v>0.68600000000000005</v>
      </c>
      <c r="I89" s="355">
        <f>+((E89*E6)+(G89*G6))/I6</f>
        <v>0.69874999999999998</v>
      </c>
      <c r="J89" s="182">
        <f>+((F89*F6)+(H89*H6))/J6</f>
        <v>0.676378526958893</v>
      </c>
      <c r="K89" s="243">
        <v>0.68174999999999997</v>
      </c>
      <c r="L89" s="243">
        <v>0.67400000000000004</v>
      </c>
      <c r="M89" s="356">
        <f>+((E89*E6)+(G89*G6)+(K89*K6))/M6</f>
        <v>0.69279999999999997</v>
      </c>
      <c r="N89" s="185">
        <f>+((F89*F6)+(H89*H6)+(L89*L6))/N6</f>
        <v>0.67555397074046108</v>
      </c>
      <c r="O89" s="243">
        <v>0.68175000000000008</v>
      </c>
      <c r="P89" s="243">
        <v>0.68500000000000005</v>
      </c>
      <c r="Q89" s="355">
        <f>+((M89*M6)+(O89*O6))/Q6</f>
        <v>0.68991000000000002</v>
      </c>
      <c r="R89" s="182">
        <f>+((N89*N6)+(P89*P6))/R6</f>
        <v>0.67803126061492713</v>
      </c>
      <c r="S89" s="243">
        <v>0.68175000000000008</v>
      </c>
      <c r="T89" s="243">
        <v>0.69199999999999995</v>
      </c>
      <c r="U89" s="355">
        <f>+((Q89*Q6)+(S89*S6))/U6</f>
        <v>0.68821829268292678</v>
      </c>
      <c r="V89" s="182">
        <f>+((R89*R6)+(T89*T6))/V6</f>
        <v>0.68080445456173788</v>
      </c>
      <c r="W89" s="243">
        <v>0.72</v>
      </c>
      <c r="X89" s="243">
        <v>0.71199999999999997</v>
      </c>
      <c r="Y89" s="358">
        <f>+((O89*O6)+(S89*S6)+(W89*W6))/Y6</f>
        <v>0.68998846153846161</v>
      </c>
      <c r="Z89" s="358">
        <f>+((P89*P6)+(T89*T6)+(X89*X6))/Z6</f>
        <v>0.69590864260687779</v>
      </c>
      <c r="AA89" s="630">
        <f>(M89*M6+Y89*Y6)/AA6</f>
        <v>0.69146605839416053</v>
      </c>
      <c r="AB89" s="630">
        <f>(N89*N6+Z89*Z6)/AB6</f>
        <v>0.68580102506851714</v>
      </c>
      <c r="AC89" s="243">
        <v>0.68174999999999997</v>
      </c>
      <c r="AD89" s="243">
        <v>0.72899999999999998</v>
      </c>
      <c r="AE89" s="355">
        <f>+((AA89*AA6)+(AC89*AC6))/AE6</f>
        <v>0.68991625766871167</v>
      </c>
      <c r="AF89" s="182">
        <f>+((AB89*AB6)+(AD89*AD6))/AF6</f>
        <v>0.69089274577909066</v>
      </c>
      <c r="AG89" s="243">
        <v>0.68174999999999997</v>
      </c>
      <c r="AH89" s="243">
        <v>0.67700000000000005</v>
      </c>
      <c r="AI89" s="355">
        <f>+((AE89*AE6)+(AG89*AG6))/AI6</f>
        <v>0.68882279489904352</v>
      </c>
      <c r="AJ89" s="182">
        <f>+((AF89*AF6)+(AH89*AH6))/AJ6</f>
        <v>0.68916756926057909</v>
      </c>
      <c r="AK89" s="243">
        <v>0.68174999999999997</v>
      </c>
      <c r="AL89" s="243">
        <v>0.69199999999999995</v>
      </c>
      <c r="AM89" s="358">
        <f>+((AC89*AC6)+(AG89*AG6)+(AK89*AK6))/AM6</f>
        <v>0.68174999999999997</v>
      </c>
      <c r="AN89" s="358">
        <f>+((AD89*AD6)+(AH89*AH6)+(AL89*AL6))/AN6</f>
        <v>0.69750670207864551</v>
      </c>
      <c r="AO89" s="355">
        <f>+((AK89*AK6)+(AI89*AI6))/AO6</f>
        <v>0.68796428571428569</v>
      </c>
      <c r="AP89" s="182">
        <f>+((AL89*AL6)+(AJ89*AJ6))/AP6</f>
        <v>0.6894888652164195</v>
      </c>
      <c r="AQ89" s="243">
        <v>0.68174999999999986</v>
      </c>
      <c r="AR89" s="243">
        <v>0.69699999999999995</v>
      </c>
      <c r="AS89" s="355">
        <f>+((AO89*AO6)+(AQ89*AQ6))/AS6</f>
        <v>0.68728241895261843</v>
      </c>
      <c r="AT89" s="182">
        <f>+((AP89*AP6)+(AR89*AR6))/AT6</f>
        <v>0.69023570551770574</v>
      </c>
      <c r="AU89" s="243">
        <v>0.68175000000000008</v>
      </c>
      <c r="AV89" s="243">
        <v>0.73699999999999999</v>
      </c>
      <c r="AW89" s="355">
        <f>+((AS89*AS6)+(AU89*AU6))/AW6</f>
        <v>0.6867882286146858</v>
      </c>
      <c r="AX89" s="182">
        <f>+((AT89*AT6)+(AV89*AV6))/AX6</f>
        <v>0.69369278085143837</v>
      </c>
      <c r="AY89" s="243">
        <v>0.68174999999999986</v>
      </c>
      <c r="AZ89" s="243">
        <v>0.64600000000000002</v>
      </c>
      <c r="BA89" s="358">
        <f>+((AQ89*AQ6)+(AU89*AU6)+(AY89*AY6))/BA6</f>
        <v>0.68174999999999997</v>
      </c>
      <c r="BB89" s="358">
        <f>+((AR89*AR6)+(AV89*AV6)+(AZ89*AZ6))/BB6</f>
        <v>0.68981341958960241</v>
      </c>
      <c r="BC89" s="630">
        <f>(AM89*AM6+BA89*BA6)/BC6</f>
        <v>0.68174999999999997</v>
      </c>
      <c r="BD89" s="630">
        <f>(AN89*AN6+BB89*BB6)/BD6</f>
        <v>0.69367490858457626</v>
      </c>
      <c r="BE89" s="355">
        <f>+((AW89*AW6)+(AY89*AY6))/BE6</f>
        <v>0.68633052305574671</v>
      </c>
      <c r="BF89" s="182">
        <f>+((AX89*AX6)+(AZ89*AZ6))/BF6</f>
        <v>0.68956616349886901</v>
      </c>
      <c r="BG89" s="4234"/>
      <c r="BH89" s="4234"/>
      <c r="BI89" s="25"/>
      <c r="BJ89" s="25"/>
      <c r="BK89" s="25"/>
      <c r="BL89" s="25"/>
      <c r="BM89" s="25"/>
      <c r="BN89" s="25"/>
    </row>
    <row r="90" spans="1:67" x14ac:dyDescent="0.25">
      <c r="A90" s="137"/>
      <c r="B90" s="1642" t="s">
        <v>230</v>
      </c>
      <c r="C90" s="520" t="s">
        <v>213</v>
      </c>
      <c r="D90" s="5167">
        <f>15.8025291778674*D2*24*1000</f>
        <v>138430155.59811842</v>
      </c>
      <c r="E90" s="1054">
        <f>+'POWER DISTRIBUTION'!I22</f>
        <v>9595039.9999999981</v>
      </c>
      <c r="F90" s="1054">
        <f>+'POWER DISTRIBUTION'!J22</f>
        <v>12014494.000000004</v>
      </c>
      <c r="G90" s="5590">
        <f>+'POWER DISTRIBUTION'!K22</f>
        <v>12221413.704123424</v>
      </c>
      <c r="H90" s="7176">
        <f>+'POWER DISTRIBUTION'!L22</f>
        <v>12162087.999999993</v>
      </c>
      <c r="I90" s="59">
        <f>+'POWER DISTRIBUTION'!M22</f>
        <v>21816453.704123423</v>
      </c>
      <c r="J90" s="86">
        <f>+'POWER DISTRIBUTION'!N22</f>
        <v>24176581.999999996</v>
      </c>
      <c r="K90" s="5702">
        <f>+'POWER DISTRIBUTION'!O22</f>
        <v>11845370.205535013</v>
      </c>
      <c r="L90" s="5702">
        <f>+'POWER DISTRIBUTION'!P22</f>
        <v>12313432.000000006</v>
      </c>
      <c r="M90" s="2211">
        <f>E90+G90+K90</f>
        <v>33661823.909658432</v>
      </c>
      <c r="N90" s="2211">
        <f>F90+H90+L90</f>
        <v>36490014</v>
      </c>
      <c r="O90" s="5837">
        <f>+'POWER DISTRIBUTION'!S22</f>
        <v>11986386.517505666</v>
      </c>
      <c r="P90" s="5837">
        <f>+'POWER DISTRIBUTION'!T22</f>
        <v>12668533.999999953</v>
      </c>
      <c r="Q90" s="59">
        <f>+'POWER DISTRIBUTION'!U22</f>
        <v>45648210.4271641</v>
      </c>
      <c r="R90" s="86">
        <f>+'POWER DISTRIBUTION'!V22</f>
        <v>49158547.999999955</v>
      </c>
      <c r="S90" s="5909">
        <f>+'POWER DISTRIBUTION'!W22</f>
        <v>11986386.517505666</v>
      </c>
      <c r="T90" s="7176">
        <f>+'POWER DISTRIBUTION'!X22</f>
        <v>12400062.000000037</v>
      </c>
      <c r="U90" s="4331">
        <f>+'POWER DISTRIBUTION'!Y22</f>
        <v>57634596.944669768</v>
      </c>
      <c r="V90" s="86">
        <f>+'POWER DISTRIBUTION'!Z22</f>
        <v>61558609.999999993</v>
      </c>
      <c r="W90" s="6007">
        <f>+'POWER DISTRIBUTION'!AA22</f>
        <v>8474361.2252972294</v>
      </c>
      <c r="X90" s="6007">
        <f>+'POWER DISTRIBUTION'!AB22</f>
        <v>12240051.999999998</v>
      </c>
      <c r="Y90" s="732">
        <f>O90+S90+W90</f>
        <v>32447134.260308564</v>
      </c>
      <c r="Z90" s="498">
        <f>P90+T90+X90</f>
        <v>37308647.999999993</v>
      </c>
      <c r="AA90" s="439">
        <f>M90+Y90</f>
        <v>66108958.169966996</v>
      </c>
      <c r="AB90" s="622">
        <f>N90+Z90</f>
        <v>73798662</v>
      </c>
      <c r="AC90" s="6138">
        <f>+'POWER DISTRIBUTION'!AG22</f>
        <v>12221413.704123424</v>
      </c>
      <c r="AD90" s="6138">
        <f>+'POWER DISTRIBUTION'!AH22</f>
        <v>11183425.999999981</v>
      </c>
      <c r="AE90" s="2435">
        <f>+'POWER DISTRIBUTION'!AI22</f>
        <v>78330371.874090418</v>
      </c>
      <c r="AF90" s="86">
        <f>+'POWER DISTRIBUTION'!AJ22</f>
        <v>84982087.999999985</v>
      </c>
      <c r="AG90" s="6300">
        <f>+'POWER DISTRIBUTION'!AK22</f>
        <v>11845370.205535013</v>
      </c>
      <c r="AH90" s="7183">
        <f>+'POWER DISTRIBUTION'!AL22</f>
        <v>12323946.00000003</v>
      </c>
      <c r="AI90" s="4630">
        <f>+'POWER DISTRIBUTION'!AM22</f>
        <v>90175742.079625428</v>
      </c>
      <c r="AJ90" s="86">
        <f>+'POWER DISTRIBUTION'!AN22</f>
        <v>97306034.000000015</v>
      </c>
      <c r="AK90" s="6564">
        <f>+'POWER DISTRIBUTION'!AO22</f>
        <v>12221413.704123424</v>
      </c>
      <c r="AL90" s="6564">
        <f>+'POWER DISTRIBUTION'!AP22</f>
        <v>12037367.999999981</v>
      </c>
      <c r="AM90" s="740">
        <f>+'POWER DISTRIBUTION'!AQ22</f>
        <v>36288197.613781862</v>
      </c>
      <c r="AN90" s="67">
        <f>+'POWER DISTRIBUTION'!AR22</f>
        <v>35544739.999999993</v>
      </c>
      <c r="AO90" s="2579">
        <f>+'POWER DISTRIBUTION'!AS22</f>
        <v>102397155.78374885</v>
      </c>
      <c r="AP90" s="37">
        <f>+'POWER DISTRIBUTION'!AT22</f>
        <v>109343402</v>
      </c>
      <c r="AQ90" s="6665">
        <f>+'POWER DISTRIBUTION'!AU22</f>
        <v>12409435.453417631</v>
      </c>
      <c r="AR90" s="6778">
        <f>+'POWER DISTRIBUTION'!AV22</f>
        <v>11958026.000000011</v>
      </c>
      <c r="AS90" s="2598">
        <f>+'POWER DISTRIBUTION'!AW22</f>
        <v>114806591.23716648</v>
      </c>
      <c r="AT90" s="86">
        <f>+'POWER DISTRIBUTION'!AX22</f>
        <v>121301428.00000001</v>
      </c>
      <c r="AU90" s="6864">
        <f>+'POWER DISTRIBUTION'!AY22</f>
        <v>11093283.208358185</v>
      </c>
      <c r="AV90" s="6864">
        <f>+'POWER DISTRIBUTION'!AZ22</f>
        <v>10781632.000000009</v>
      </c>
      <c r="AW90" s="5023">
        <f>+'POWER DISTRIBUTION'!BA22</f>
        <v>125899874.44552466</v>
      </c>
      <c r="AX90" s="86">
        <f>+'POWER DISTRIBUTION'!BB22</f>
        <v>132083060.00000003</v>
      </c>
      <c r="AY90" s="6981">
        <f>+'POWER DISTRIBUTION'!BC22</f>
        <v>12409435.453417631</v>
      </c>
      <c r="AZ90" s="7104">
        <f>+'POWER DISTRIBUTION'!BD22</f>
        <v>11861079.99999998</v>
      </c>
      <c r="BA90" s="740">
        <f>+'POWER DISTRIBUTION'!BE22</f>
        <v>35912154.115193449</v>
      </c>
      <c r="BB90" s="67">
        <f>+'POWER DISTRIBUTION'!BF22</f>
        <v>34600738</v>
      </c>
      <c r="BC90" s="785">
        <f>+'POWER DISTRIBUTION'!BG22</f>
        <v>72200351.728975311</v>
      </c>
      <c r="BD90" s="428">
        <f>+'POWER DISTRIBUTION'!BH22</f>
        <v>70145478</v>
      </c>
      <c r="BE90" s="2808">
        <f>+'POWER DISTRIBUTION'!BI22</f>
        <v>138309309.89894229</v>
      </c>
      <c r="BF90" s="37">
        <f>+'POWER DISTRIBUTION'!BJ22</f>
        <v>143944140</v>
      </c>
      <c r="BG90" s="4234">
        <f t="shared" si="407"/>
        <v>0</v>
      </c>
      <c r="BH90" s="4234">
        <f t="shared" si="408"/>
        <v>0</v>
      </c>
      <c r="BI90" s="25"/>
      <c r="BJ90" s="25"/>
      <c r="BK90" s="25"/>
      <c r="BL90" s="25"/>
      <c r="BM90" s="25"/>
      <c r="BN90" s="25"/>
    </row>
    <row r="91" spans="1:67" x14ac:dyDescent="0.25">
      <c r="A91" s="137"/>
      <c r="B91" s="1643" t="s">
        <v>231</v>
      </c>
      <c r="C91" s="520" t="s">
        <v>255</v>
      </c>
      <c r="D91" s="180">
        <f t="shared" ref="D91:AI91" si="410">+D90/D6</f>
        <v>46.143385199372808</v>
      </c>
      <c r="E91" s="98">
        <f t="shared" si="410"/>
        <v>46.129999999999988</v>
      </c>
      <c r="F91" s="180">
        <f t="shared" si="410"/>
        <v>50.677645387486258</v>
      </c>
      <c r="G91" s="98">
        <f t="shared" si="410"/>
        <v>47.005437323551632</v>
      </c>
      <c r="H91" s="180">
        <f t="shared" si="410"/>
        <v>47.558148037644223</v>
      </c>
      <c r="I91" s="245">
        <f t="shared" si="410"/>
        <v>46.616354068639794</v>
      </c>
      <c r="J91" s="245">
        <f t="shared" si="410"/>
        <v>49.058856020309733</v>
      </c>
      <c r="K91" s="98">
        <f t="shared" si="410"/>
        <v>47.005437323551639</v>
      </c>
      <c r="L91" s="180">
        <f t="shared" si="410"/>
        <v>47.089512826308045</v>
      </c>
      <c r="M91" s="330">
        <f t="shared" si="410"/>
        <v>46.752533207858932</v>
      </c>
      <c r="N91" s="330">
        <f t="shared" si="410"/>
        <v>48.376150209148214</v>
      </c>
      <c r="O91" s="98">
        <f t="shared" si="410"/>
        <v>47.005437323551632</v>
      </c>
      <c r="P91" s="180">
        <f t="shared" si="410"/>
        <v>47.245563269950139</v>
      </c>
      <c r="Q91" s="245">
        <f t="shared" si="410"/>
        <v>46.818677361193949</v>
      </c>
      <c r="R91" s="245">
        <f t="shared" si="410"/>
        <v>48.079645561563034</v>
      </c>
      <c r="S91" s="98">
        <f t="shared" si="410"/>
        <v>47.005437323551632</v>
      </c>
      <c r="T91" s="180">
        <f t="shared" si="410"/>
        <v>48.961090342236453</v>
      </c>
      <c r="U91" s="245">
        <f t="shared" si="410"/>
        <v>46.857395889975422</v>
      </c>
      <c r="V91" s="245">
        <f t="shared" si="410"/>
        <v>48.254637539208744</v>
      </c>
      <c r="W91" s="98">
        <f t="shared" si="410"/>
        <v>60.531151609265926</v>
      </c>
      <c r="X91" s="180">
        <f t="shared" si="410"/>
        <v>50.309012755582252</v>
      </c>
      <c r="Y91" s="330">
        <f t="shared" si="410"/>
        <v>49.918668092782404</v>
      </c>
      <c r="Z91" s="333">
        <f t="shared" si="410"/>
        <v>48.788396754662877</v>
      </c>
      <c r="AA91" s="440">
        <f t="shared" si="410"/>
        <v>48.254713992676642</v>
      </c>
      <c r="AB91" s="459">
        <f t="shared" si="410"/>
        <v>48.583685500120502</v>
      </c>
      <c r="AC91" s="98">
        <f t="shared" si="410"/>
        <v>47.005437323551632</v>
      </c>
      <c r="AD91" s="180">
        <f t="shared" si="410"/>
        <v>55.101055812883203</v>
      </c>
      <c r="AE91" s="245">
        <f t="shared" si="410"/>
        <v>48.055442867540137</v>
      </c>
      <c r="AF91" s="245">
        <f t="shared" si="410"/>
        <v>49.351866445446262</v>
      </c>
      <c r="AG91" s="98">
        <f t="shared" si="410"/>
        <v>47.005437323551639</v>
      </c>
      <c r="AH91" s="180">
        <f t="shared" si="410"/>
        <v>50.477316646201082</v>
      </c>
      <c r="AI91" s="245">
        <f t="shared" si="410"/>
        <v>47.914847013616061</v>
      </c>
      <c r="AJ91" s="245">
        <f t="shared" ref="AJ91:BO91" si="411">+AJ90/AJ6</f>
        <v>49.491622854292281</v>
      </c>
      <c r="AK91" s="98">
        <f t="shared" si="411"/>
        <v>47.005437323551632</v>
      </c>
      <c r="AL91" s="180">
        <f t="shared" si="411"/>
        <v>47.850692277419725</v>
      </c>
      <c r="AM91" s="330">
        <f t="shared" si="411"/>
        <v>47.005437323551632</v>
      </c>
      <c r="AN91" s="333">
        <f t="shared" si="411"/>
        <v>50.874767576684484</v>
      </c>
      <c r="AO91" s="245">
        <f t="shared" si="411"/>
        <v>47.804461150209548</v>
      </c>
      <c r="AP91" s="245">
        <f t="shared" si="411"/>
        <v>49.305484372307149</v>
      </c>
      <c r="AQ91" s="98">
        <f t="shared" si="411"/>
        <v>47.005437323551632</v>
      </c>
      <c r="AR91" s="180">
        <f t="shared" si="411"/>
        <v>48.837891063722779</v>
      </c>
      <c r="AS91" s="245">
        <f t="shared" si="411"/>
        <v>47.71678771287052</v>
      </c>
      <c r="AT91" s="245">
        <f t="shared" si="411"/>
        <v>49.25899106104</v>
      </c>
      <c r="AU91" s="98">
        <f t="shared" si="411"/>
        <v>47.005437323551632</v>
      </c>
      <c r="AV91" s="180">
        <f t="shared" si="411"/>
        <v>54.847338399076641</v>
      </c>
      <c r="AW91" s="245">
        <f t="shared" si="411"/>
        <v>47.653245437367396</v>
      </c>
      <c r="AX91" s="245">
        <f t="shared" si="411"/>
        <v>49.672112609275288</v>
      </c>
      <c r="AY91" s="98">
        <f t="shared" si="411"/>
        <v>47.005437323551632</v>
      </c>
      <c r="AZ91" s="180">
        <f t="shared" si="411"/>
        <v>47.091753460194127</v>
      </c>
      <c r="BA91" s="330">
        <f t="shared" si="411"/>
        <v>47.005437323551632</v>
      </c>
      <c r="BB91" s="333">
        <f t="shared" si="411"/>
        <v>49.907425143343758</v>
      </c>
      <c r="BC91" s="440">
        <f t="shared" si="411"/>
        <v>47.005437323551632</v>
      </c>
      <c r="BD91" s="459">
        <f t="shared" si="411"/>
        <v>50.392963295106213</v>
      </c>
      <c r="BE91" s="245">
        <f t="shared" si="411"/>
        <v>47.594394321728252</v>
      </c>
      <c r="BF91" s="245">
        <f t="shared" si="411"/>
        <v>49.448847061526493</v>
      </c>
      <c r="BG91" s="4234"/>
      <c r="BH91" s="4234"/>
      <c r="BI91" s="25"/>
      <c r="BJ91" s="25"/>
      <c r="BK91" s="25"/>
      <c r="BL91" s="25"/>
      <c r="BM91" s="25"/>
      <c r="BN91" s="25"/>
    </row>
    <row r="92" spans="1:67" x14ac:dyDescent="0.25">
      <c r="A92" s="137"/>
      <c r="B92" s="1644" t="s">
        <v>765</v>
      </c>
      <c r="C92" s="1055" t="s">
        <v>49</v>
      </c>
      <c r="D92" s="5868">
        <v>5</v>
      </c>
      <c r="E92" s="5868">
        <v>5</v>
      </c>
      <c r="F92" s="1069">
        <v>4.2873020584015293</v>
      </c>
      <c r="G92" s="342">
        <v>4.5999999999999996</v>
      </c>
      <c r="H92" s="1069">
        <v>4.5061623758404199</v>
      </c>
      <c r="I92" s="627">
        <v>4.5999999999999996</v>
      </c>
      <c r="J92" s="5664">
        <f>AVERAGE(F92,H92)</f>
        <v>4.3967322171209746</v>
      </c>
      <c r="K92" s="342">
        <v>4.5999999999999996</v>
      </c>
      <c r="L92" s="1069">
        <v>4.570565078735414</v>
      </c>
      <c r="M92" s="626">
        <v>4.5999999999999996</v>
      </c>
      <c r="N92" s="1581">
        <f>AVERAGE(F92,H92,L92)</f>
        <v>4.4546765043257883</v>
      </c>
      <c r="O92" s="342">
        <v>4.5999999999999996</v>
      </c>
      <c r="P92" s="5868">
        <v>4.5550290656529127</v>
      </c>
      <c r="Q92" s="627">
        <v>4.5999999999999996</v>
      </c>
      <c r="R92" s="1577">
        <f>AVERAGE(F92,H92,L92,P92)</f>
        <v>4.4797646446575694</v>
      </c>
      <c r="S92" s="342">
        <v>4.5999999999999996</v>
      </c>
      <c r="T92" s="5868">
        <v>4.3585052447744994</v>
      </c>
      <c r="U92" s="627">
        <v>4.5999999999999996</v>
      </c>
      <c r="V92" s="1577">
        <f>AVERAGE(F92,H92,L92,P92,T92)</f>
        <v>4.4555127646809556</v>
      </c>
      <c r="W92" s="342">
        <v>4.5999999999999996</v>
      </c>
      <c r="X92" s="5868">
        <v>4.289585084407352</v>
      </c>
      <c r="Y92" s="626">
        <v>4.5999999999999996</v>
      </c>
      <c r="Z92" s="1581">
        <f>AVERAGE(P92,T92,X92)</f>
        <v>4.401039798278255</v>
      </c>
      <c r="AA92" s="623">
        <v>4.5999999999999996</v>
      </c>
      <c r="AB92" s="2087">
        <f>AVERAGE(F92,H92,L92,P92,T92,X92)</f>
        <v>4.4278581513020212</v>
      </c>
      <c r="AC92" s="342">
        <v>4.5999999999999996</v>
      </c>
      <c r="AD92" s="5868">
        <v>3.9089146542358315</v>
      </c>
      <c r="AE92" s="627">
        <v>4.5999999999999996</v>
      </c>
      <c r="AF92" s="5664">
        <f>AVERAGE(F92,H92,L92,P92,T92,X92,AD92)</f>
        <v>4.3537233660068519</v>
      </c>
      <c r="AG92" s="342">
        <v>4.5999999999999996</v>
      </c>
      <c r="AH92" s="5868">
        <v>4.4688035481815245</v>
      </c>
      <c r="AI92" s="627">
        <v>4.5999999999999996</v>
      </c>
      <c r="AJ92" s="5664">
        <f>AVERAGE(F92,H92,L92,P92,T92,X92,AD92,AH92)</f>
        <v>4.368108388778686</v>
      </c>
      <c r="AK92" s="342">
        <v>4.5999999999999996</v>
      </c>
      <c r="AL92" s="1069">
        <v>4.6483957855321032</v>
      </c>
      <c r="AM92" s="626">
        <v>4.5999999999999996</v>
      </c>
      <c r="AN92" s="1581">
        <f>AVERAGE(AD92,AL92)</f>
        <v>4.2786552198839676</v>
      </c>
      <c r="AO92" s="627">
        <v>4.5999999999999996</v>
      </c>
      <c r="AP92" s="1577">
        <f>AVERAGE(F92,H92,L92,P92,T92,X92,AD92,AL92,AH92)</f>
        <v>4.3992514328623988</v>
      </c>
      <c r="AQ92" s="342">
        <v>4.5999999999999996</v>
      </c>
      <c r="AR92" s="1069">
        <v>3.9051862052866602</v>
      </c>
      <c r="AS92" s="627">
        <v>4.5999999999999996</v>
      </c>
      <c r="AT92" s="1577">
        <f>AVERAGE(F92,H92,L92,P92,T92,X92,AD92,AL92,AR92,AH92)</f>
        <v>4.3498449101048253</v>
      </c>
      <c r="AU92" s="342">
        <v>4.5999999999999996</v>
      </c>
      <c r="AV92" s="1069">
        <v>2.021938028312273</v>
      </c>
      <c r="AW92" s="627">
        <v>4.5999999999999996</v>
      </c>
      <c r="AX92" s="1577">
        <f>AVERAGE(F92,H92,L92,P92,T92,X92,AD92,AL92,AR92,AV92,AH92)</f>
        <v>4.1382170117600472</v>
      </c>
      <c r="AY92" s="342">
        <v>4.5999999999999996</v>
      </c>
      <c r="AZ92" s="1069">
        <v>4.5015092912411649</v>
      </c>
      <c r="BA92" s="626">
        <v>4.5999999999999996</v>
      </c>
      <c r="BB92" s="1581">
        <f>AVERAGE(AR92,AV92,AZ92)</f>
        <v>3.4762111749466995</v>
      </c>
      <c r="BC92" s="623">
        <v>4.5999999999999996</v>
      </c>
      <c r="BD92" s="2087">
        <f>AVERAGE(AD92,AL92,AR92,AV92,AZ92,AH92)</f>
        <v>3.9091245854649266</v>
      </c>
      <c r="BE92" s="627">
        <v>4.5999999999999996</v>
      </c>
      <c r="BF92" s="1577">
        <f>AVERAGE(F92,H92,L92,P92,T92,X92,AD92,AL92,AR92,AV92,AZ92,AH92)</f>
        <v>4.1684913683834734</v>
      </c>
      <c r="BG92" s="4234"/>
      <c r="BH92" s="4234"/>
      <c r="BI92" s="25"/>
      <c r="BJ92" s="25"/>
      <c r="BK92" s="25"/>
      <c r="BL92" s="25"/>
      <c r="BM92" s="25"/>
      <c r="BN92" s="25"/>
    </row>
    <row r="93" spans="1:67" hidden="1" x14ac:dyDescent="0.25">
      <c r="A93" s="137"/>
      <c r="B93" s="787" t="s">
        <v>782</v>
      </c>
      <c r="C93" s="1566"/>
      <c r="D93" s="787"/>
      <c r="E93" s="787"/>
      <c r="F93" s="373">
        <f>+SMS!F68</f>
        <v>0</v>
      </c>
      <c r="G93" s="787"/>
      <c r="H93" s="373">
        <f>+SMS!H68</f>
        <v>0</v>
      </c>
      <c r="I93" s="614"/>
      <c r="J93" s="733">
        <f>+F93+H93</f>
        <v>0</v>
      </c>
      <c r="K93" s="787"/>
      <c r="L93" s="373">
        <f>+SMS!L68</f>
        <v>0</v>
      </c>
      <c r="M93" s="613"/>
      <c r="N93" s="732">
        <f>+L93+H93+F93</f>
        <v>0</v>
      </c>
      <c r="O93" s="787"/>
      <c r="P93" s="373">
        <f>+SMS!P68</f>
        <v>0</v>
      </c>
      <c r="Q93" s="614"/>
      <c r="R93" s="733">
        <f>+N93+P93</f>
        <v>0</v>
      </c>
      <c r="S93" s="787"/>
      <c r="T93" s="373">
        <f>+SMS!T68</f>
        <v>0</v>
      </c>
      <c r="U93" s="614"/>
      <c r="V93" s="4335">
        <f>+R93+T93</f>
        <v>0</v>
      </c>
      <c r="W93" s="787"/>
      <c r="X93" s="373">
        <f>+SMS!X68</f>
        <v>0</v>
      </c>
      <c r="Y93" s="613"/>
      <c r="Z93" s="67">
        <f>+X93+T93+P93</f>
        <v>0</v>
      </c>
      <c r="AA93" s="788"/>
      <c r="AB93" s="451">
        <f>+N93+Z93</f>
        <v>0</v>
      </c>
      <c r="AC93" s="787"/>
      <c r="AD93" s="373">
        <f>+SMS!AD68</f>
        <v>0</v>
      </c>
      <c r="AE93" s="614"/>
      <c r="AF93" s="2236">
        <f>+AB93+AD93</f>
        <v>0</v>
      </c>
      <c r="AG93" s="787"/>
      <c r="AH93" s="373">
        <f>+SMS!AH68</f>
        <v>0</v>
      </c>
      <c r="AI93" s="614"/>
      <c r="AJ93" s="2236">
        <f>+AF93+AH93</f>
        <v>0</v>
      </c>
      <c r="AK93" s="787"/>
      <c r="AL93" s="373">
        <f>+SMS!AL68</f>
        <v>0</v>
      </c>
      <c r="AM93" s="613"/>
      <c r="AN93" s="67">
        <f>+AL93+AH93+AD93</f>
        <v>0</v>
      </c>
      <c r="AO93" s="614"/>
      <c r="AP93" s="2236">
        <f>+AL93+AJ93</f>
        <v>0</v>
      </c>
      <c r="AQ93" s="787"/>
      <c r="AR93" s="373">
        <f>+SMS!AR68</f>
        <v>0</v>
      </c>
      <c r="AS93" s="614"/>
      <c r="AT93" s="2236">
        <f>+AP93+AR93</f>
        <v>0</v>
      </c>
      <c r="AU93" s="787"/>
      <c r="AV93" s="373">
        <f>+SMS!AV68</f>
        <v>0</v>
      </c>
      <c r="AW93" s="614"/>
      <c r="AX93" s="5026">
        <f>+AT93+AV93</f>
        <v>0</v>
      </c>
      <c r="AY93" s="787"/>
      <c r="AZ93" s="373">
        <f>+SMS!AZ68</f>
        <v>0</v>
      </c>
      <c r="BA93" s="613"/>
      <c r="BB93" s="67">
        <f>+AZ93+AV93+AR93</f>
        <v>0</v>
      </c>
      <c r="BC93" s="788"/>
      <c r="BD93" s="451">
        <f>+AN93+BB93</f>
        <v>0</v>
      </c>
      <c r="BE93" s="614"/>
      <c r="BF93" s="2236">
        <f>+AX93+AZ93</f>
        <v>0</v>
      </c>
      <c r="BG93" s="4234">
        <f t="shared" si="407"/>
        <v>0</v>
      </c>
      <c r="BH93" s="4234">
        <f t="shared" si="408"/>
        <v>0</v>
      </c>
      <c r="BI93" s="25"/>
      <c r="BJ93" s="25"/>
      <c r="BK93" s="25"/>
      <c r="BL93" s="25"/>
      <c r="BM93" s="25"/>
      <c r="BN93" s="25"/>
    </row>
    <row r="94" spans="1:67" x14ac:dyDescent="0.25">
      <c r="A94" s="137"/>
      <c r="B94" s="90"/>
      <c r="C94" s="324"/>
      <c r="D94" s="845"/>
      <c r="E94" s="845"/>
      <c r="F94" s="173"/>
      <c r="G94" s="845"/>
      <c r="H94" s="250"/>
      <c r="I94" s="324"/>
      <c r="J94" s="324"/>
      <c r="K94" s="845"/>
      <c r="L94" s="173"/>
      <c r="M94" s="324"/>
      <c r="N94" s="324"/>
      <c r="O94" s="845"/>
      <c r="P94" s="173"/>
      <c r="Q94" s="324"/>
      <c r="R94" s="324"/>
      <c r="S94" s="845"/>
      <c r="T94" s="250"/>
      <c r="U94" s="324"/>
      <c r="V94" s="324"/>
      <c r="W94" s="845"/>
      <c r="X94" s="173"/>
      <c r="Y94" s="324"/>
      <c r="Z94" s="324"/>
      <c r="AC94" s="845"/>
      <c r="AD94" s="173"/>
      <c r="AE94" s="324"/>
      <c r="AF94" s="324"/>
      <c r="AG94" s="845"/>
      <c r="AH94" s="250"/>
      <c r="AI94" s="324"/>
      <c r="AJ94" s="324"/>
      <c r="AK94" s="845"/>
      <c r="AL94" s="173"/>
      <c r="AM94" s="324"/>
      <c r="AN94" s="324"/>
      <c r="AO94" s="324"/>
      <c r="AP94" s="324"/>
      <c r="AQ94" s="845"/>
      <c r="AR94" s="173"/>
      <c r="AS94" s="324"/>
      <c r="AT94" s="324"/>
      <c r="AU94" s="845"/>
      <c r="AV94" s="173"/>
      <c r="AW94" s="324"/>
      <c r="AX94" s="324"/>
      <c r="AY94" s="845"/>
      <c r="AZ94" s="173"/>
      <c r="BA94" s="324"/>
      <c r="BB94" s="324"/>
      <c r="BE94" s="324"/>
      <c r="BF94" s="324"/>
      <c r="BG94" s="4234">
        <f t="shared" si="407"/>
        <v>0</v>
      </c>
      <c r="BH94" s="4234">
        <f t="shared" si="408"/>
        <v>0</v>
      </c>
      <c r="BI94" s="25"/>
      <c r="BJ94" s="25"/>
      <c r="BK94" s="25"/>
      <c r="BL94" s="25"/>
      <c r="BM94" s="25"/>
      <c r="BN94" s="25"/>
    </row>
    <row r="95" spans="1:67" ht="15" customHeight="1" x14ac:dyDescent="0.25">
      <c r="A95" s="137"/>
      <c r="B95" s="789" t="s">
        <v>2370</v>
      </c>
      <c r="C95" s="845"/>
      <c r="D95" s="845"/>
      <c r="E95" s="845"/>
      <c r="F95" s="7698">
        <f>+F49-'Maj Techno Summ'!F14</f>
        <v>-1.0627618490133273E-5</v>
      </c>
      <c r="G95" s="845"/>
      <c r="H95" s="250"/>
      <c r="I95" s="324"/>
      <c r="J95" s="324"/>
      <c r="K95" s="845"/>
      <c r="L95" s="173"/>
      <c r="M95" s="324"/>
      <c r="N95" s="324"/>
      <c r="O95" s="845"/>
      <c r="P95" s="173"/>
      <c r="Q95" s="324"/>
      <c r="R95" s="324"/>
      <c r="S95" s="845"/>
      <c r="T95" s="250"/>
      <c r="U95" s="324"/>
      <c r="V95" s="324"/>
      <c r="W95" s="845"/>
      <c r="X95" s="173"/>
      <c r="Y95" s="324"/>
      <c r="Z95" s="324"/>
      <c r="AC95" s="845"/>
      <c r="AD95" s="173"/>
      <c r="AE95" s="324"/>
      <c r="AF95" s="324"/>
      <c r="AG95" s="845"/>
      <c r="AH95" s="250"/>
      <c r="AI95" s="324"/>
      <c r="AJ95" s="324"/>
      <c r="AK95" s="845"/>
      <c r="AL95" s="173"/>
      <c r="AM95" s="324"/>
      <c r="AN95" s="324"/>
      <c r="AO95" s="324"/>
      <c r="AP95" s="324"/>
      <c r="AQ95" s="845"/>
      <c r="AR95" s="173"/>
      <c r="AS95" s="324"/>
      <c r="AT95" s="324"/>
      <c r="AU95" s="845"/>
      <c r="AV95" s="173"/>
      <c r="AW95" s="324"/>
      <c r="AX95" s="324"/>
      <c r="AY95" s="845"/>
      <c r="AZ95" s="173"/>
      <c r="BA95" s="324"/>
      <c r="BB95" s="324"/>
      <c r="BE95" s="324"/>
      <c r="BF95" s="324"/>
      <c r="BG95" s="4234">
        <f t="shared" si="407"/>
        <v>0</v>
      </c>
      <c r="BH95" s="4234">
        <f t="shared" si="408"/>
        <v>-1.0627618490133273E-5</v>
      </c>
      <c r="BI95" s="25"/>
      <c r="BJ95" s="25"/>
      <c r="BK95" s="25"/>
      <c r="BL95" s="25"/>
      <c r="BM95" s="25"/>
      <c r="BN95" s="25"/>
    </row>
    <row r="96" spans="1:67" ht="19.5" thickBot="1" x14ac:dyDescent="0.35">
      <c r="A96" s="137"/>
      <c r="B96" s="3471" t="s">
        <v>882</v>
      </c>
      <c r="C96" s="324"/>
      <c r="D96" s="3472"/>
      <c r="E96" s="3472"/>
      <c r="F96" s="3074"/>
      <c r="G96" s="3472"/>
      <c r="H96" s="7188"/>
      <c r="I96" s="324"/>
      <c r="J96" s="324"/>
      <c r="K96" s="3472"/>
      <c r="L96" s="3074"/>
      <c r="M96" s="324"/>
      <c r="N96" s="324"/>
      <c r="O96" s="3472"/>
      <c r="P96" s="3074"/>
      <c r="Q96" s="324"/>
      <c r="R96" s="324"/>
      <c r="S96" s="3472"/>
      <c r="T96" s="7188"/>
      <c r="U96" s="324"/>
      <c r="V96" s="324"/>
      <c r="W96" s="3472"/>
      <c r="X96" s="3074"/>
      <c r="Y96" s="324"/>
      <c r="Z96" s="324"/>
      <c r="AC96" s="3472"/>
      <c r="AD96" s="3074"/>
      <c r="AE96" s="324"/>
      <c r="AF96" s="324"/>
      <c r="AG96" s="3472"/>
      <c r="AH96" s="7188"/>
      <c r="AI96" s="324"/>
      <c r="AJ96" s="324"/>
      <c r="AK96" s="3472"/>
      <c r="AL96" s="3074"/>
      <c r="AM96" s="324"/>
      <c r="AN96" s="324"/>
      <c r="AO96" s="324"/>
      <c r="AP96" s="324"/>
      <c r="AQ96" s="3472"/>
      <c r="AR96" s="3074"/>
      <c r="AS96" s="324"/>
      <c r="AT96" s="324"/>
      <c r="AU96" s="3472"/>
      <c r="AV96" s="3074"/>
      <c r="AW96" s="324"/>
      <c r="AX96" s="324"/>
      <c r="AY96" s="3472"/>
      <c r="AZ96" s="3074"/>
      <c r="BA96" s="324"/>
      <c r="BB96" s="324"/>
      <c r="BE96" s="324"/>
      <c r="BF96" s="324"/>
      <c r="BG96" s="4234">
        <f t="shared" si="407"/>
        <v>0</v>
      </c>
      <c r="BH96" s="4234">
        <f t="shared" si="408"/>
        <v>0</v>
      </c>
      <c r="BI96" s="25"/>
      <c r="BJ96" s="25"/>
      <c r="BK96" s="25"/>
      <c r="BL96" s="25"/>
      <c r="BM96" s="25"/>
      <c r="BN96" s="25"/>
    </row>
    <row r="97" spans="1:68" ht="18.75" x14ac:dyDescent="0.3">
      <c r="A97" s="615"/>
      <c r="B97" s="856" t="s">
        <v>239</v>
      </c>
      <c r="C97" s="3473" t="s">
        <v>50</v>
      </c>
      <c r="D97" s="3401"/>
      <c r="E97" s="3401"/>
      <c r="F97" s="2737">
        <v>51024.1</v>
      </c>
      <c r="G97" s="5588"/>
      <c r="H97" s="2737">
        <v>64925.1</v>
      </c>
      <c r="I97" s="2736"/>
      <c r="J97" s="4961">
        <f>+F97+H97</f>
        <v>115949.2</v>
      </c>
      <c r="K97" s="5700"/>
      <c r="L97" s="2737">
        <v>62108.3</v>
      </c>
      <c r="M97" s="617"/>
      <c r="N97" s="617">
        <f>+F97+H97+L97</f>
        <v>178057.5</v>
      </c>
      <c r="O97" s="5830"/>
      <c r="P97" s="2737">
        <v>73148.350000000006</v>
      </c>
      <c r="Q97" s="616"/>
      <c r="R97" s="616">
        <f>+N97+P97</f>
        <v>251205.85</v>
      </c>
      <c r="S97" s="5907"/>
      <c r="T97" s="2737">
        <v>49554.400000000001</v>
      </c>
      <c r="U97" s="3402"/>
      <c r="V97" s="3402">
        <f>+R97+T97</f>
        <v>300760.25</v>
      </c>
      <c r="W97" s="6001"/>
      <c r="X97" s="2737">
        <v>44799.8</v>
      </c>
      <c r="Y97" s="617"/>
      <c r="Z97" s="617">
        <f>+P97+T97+X97</f>
        <v>167502.54999999999</v>
      </c>
      <c r="AA97" s="618"/>
      <c r="AB97" s="618">
        <f>+N97+Z97</f>
        <v>345560.05</v>
      </c>
      <c r="AC97" s="6132"/>
      <c r="AD97" s="2737">
        <v>44690.3</v>
      </c>
      <c r="AE97" s="2437"/>
      <c r="AF97" s="2437">
        <f>+AB97+AD97</f>
        <v>390250.35</v>
      </c>
      <c r="AG97" s="6294"/>
      <c r="AH97" s="2737">
        <v>49589.9</v>
      </c>
      <c r="AI97" s="3402"/>
      <c r="AJ97" s="3402">
        <f>+AF97+AH97</f>
        <v>439840.25</v>
      </c>
      <c r="AK97" s="6294"/>
      <c r="AL97" s="2737">
        <v>66070.5</v>
      </c>
      <c r="AM97" s="2550"/>
      <c r="AN97" s="2550">
        <f>+AD97+AH97+AL97</f>
        <v>160350.70000000001</v>
      </c>
      <c r="AO97" s="2549"/>
      <c r="AP97" s="2549">
        <f>+AL97+AJ97</f>
        <v>505910.75</v>
      </c>
      <c r="AQ97" s="6294"/>
      <c r="AR97" s="2737">
        <v>69909.899999999994</v>
      </c>
      <c r="AS97" s="2600"/>
      <c r="AT97" s="2600">
        <f>+AP97+AR97</f>
        <v>575820.65</v>
      </c>
      <c r="AU97" s="6294"/>
      <c r="AV97" s="2737">
        <v>43733.599999999999</v>
      </c>
      <c r="AW97" s="3402"/>
      <c r="AX97" s="3402">
        <f>+AT97+AV97</f>
        <v>619554.25</v>
      </c>
      <c r="AY97" s="6294"/>
      <c r="AZ97" s="2737">
        <v>50059</v>
      </c>
      <c r="BA97" s="2786"/>
      <c r="BB97" s="2786">
        <f>+AR97+AV97+AZ97</f>
        <v>163702.5</v>
      </c>
      <c r="BC97" s="618"/>
      <c r="BD97" s="618">
        <f t="shared" ref="BD97:BD106" si="412">+AN97+BB97</f>
        <v>324053.2</v>
      </c>
      <c r="BE97" s="2785"/>
      <c r="BF97" s="2785">
        <f>+AX97+AZ97</f>
        <v>669613.25</v>
      </c>
      <c r="BG97" s="4234">
        <f t="shared" si="407"/>
        <v>0</v>
      </c>
      <c r="BH97" s="4234">
        <f t="shared" si="408"/>
        <v>0</v>
      </c>
      <c r="BI97" s="25"/>
      <c r="BJ97" s="25"/>
      <c r="BK97" s="25"/>
      <c r="BL97" s="25"/>
      <c r="BM97" s="25"/>
      <c r="BN97" s="25"/>
      <c r="BP97" s="1539"/>
    </row>
    <row r="98" spans="1:68" ht="18.75" x14ac:dyDescent="0.3">
      <c r="A98" s="615"/>
      <c r="B98" s="858" t="s">
        <v>25</v>
      </c>
      <c r="C98" s="3475" t="s">
        <v>50</v>
      </c>
      <c r="D98" s="3476"/>
      <c r="E98" s="3476"/>
      <c r="F98" s="2895">
        <v>93845.146996904004</v>
      </c>
      <c r="G98" s="3476"/>
      <c r="H98" s="2895">
        <v>91305.727863777094</v>
      </c>
      <c r="I98" s="3095"/>
      <c r="J98" s="4961">
        <f t="shared" ref="J98:J106" si="413">+F98+H98</f>
        <v>185150.8748606811</v>
      </c>
      <c r="K98" s="3476"/>
      <c r="L98" s="2895">
        <v>94019.513828689378</v>
      </c>
      <c r="M98" s="617"/>
      <c r="N98" s="2831">
        <f t="shared" ref="N98:N106" si="414">+F98+H98+L98</f>
        <v>279170.38868937048</v>
      </c>
      <c r="O98" s="3476"/>
      <c r="P98" s="2895">
        <v>100330.49597523219</v>
      </c>
      <c r="Q98" s="1050"/>
      <c r="R98" s="3402">
        <f t="shared" ref="R98:R106" si="415">+N98+P98</f>
        <v>379500.88466460269</v>
      </c>
      <c r="S98" s="3476"/>
      <c r="T98" s="2895">
        <v>95643.7266460268</v>
      </c>
      <c r="U98" s="1050"/>
      <c r="V98" s="3402">
        <f t="shared" ref="V98:V106" si="416">+R98+T98</f>
        <v>475144.61131062952</v>
      </c>
      <c r="W98" s="3476"/>
      <c r="X98" s="2895">
        <v>98019.232549019609</v>
      </c>
      <c r="Y98" s="617"/>
      <c r="Z98" s="2831">
        <f t="shared" ref="Z98:Z106" si="417">+P98+T98+X98</f>
        <v>293993.45517027861</v>
      </c>
      <c r="AA98" s="1052"/>
      <c r="AB98" s="618">
        <f t="shared" ref="AB98:AB106" si="418">+N98+Z98</f>
        <v>573163.84385964903</v>
      </c>
      <c r="AC98" s="3476"/>
      <c r="AD98" s="2895">
        <v>85255.344767801871</v>
      </c>
      <c r="AE98" s="1050"/>
      <c r="AF98" s="3402">
        <f t="shared" ref="AF98:AF106" si="419">+AB98+AD98</f>
        <v>658419.18862745096</v>
      </c>
      <c r="AG98" s="3476"/>
      <c r="AH98" s="2895">
        <v>92292</v>
      </c>
      <c r="AI98" s="1050"/>
      <c r="AJ98" s="3402">
        <f t="shared" ref="AJ98:AJ106" si="420">+AF98+AH98</f>
        <v>750711.18862745096</v>
      </c>
      <c r="AK98" s="3476"/>
      <c r="AL98" s="2895">
        <v>98492.893292053646</v>
      </c>
      <c r="AM98" s="2550"/>
      <c r="AN98" s="2831">
        <f t="shared" ref="AN98:AN106" si="421">+AD98+AH98+AL98</f>
        <v>276040.23805985553</v>
      </c>
      <c r="AO98" s="1050"/>
      <c r="AP98" s="3402">
        <f t="shared" ref="AP98:AP106" si="422">+AL98+AJ98</f>
        <v>849204.08191950456</v>
      </c>
      <c r="AQ98" s="3476"/>
      <c r="AR98" s="2895">
        <v>97384.190371517034</v>
      </c>
      <c r="AS98" s="1050"/>
      <c r="AT98" s="3402">
        <f t="shared" ref="AT98:AT106" si="423">+AP98+AR98</f>
        <v>946588.27229102165</v>
      </c>
      <c r="AU98" s="3476"/>
      <c r="AV98" s="2895">
        <v>87196.794891640864</v>
      </c>
      <c r="AW98" s="1050"/>
      <c r="AX98" s="3402">
        <f t="shared" ref="AX98:AX102" si="424">+AT98+AV98</f>
        <v>1033785.0671826625</v>
      </c>
      <c r="AY98" s="3476"/>
      <c r="AZ98" s="2895">
        <v>95429.557688338493</v>
      </c>
      <c r="BA98" s="2786"/>
      <c r="BB98" s="2831">
        <f t="shared" ref="BB98:BB106" si="425">+AR98+AV98+AZ98</f>
        <v>280010.54295149638</v>
      </c>
      <c r="BC98" s="1052"/>
      <c r="BD98" s="618">
        <f t="shared" si="412"/>
        <v>556050.78101135185</v>
      </c>
      <c r="BE98" s="1050"/>
      <c r="BF98" s="3402">
        <f t="shared" ref="BF98:BF106" si="426">+AX98+AZ98</f>
        <v>1129214.6248710011</v>
      </c>
      <c r="BG98" s="4234">
        <f t="shared" si="407"/>
        <v>0</v>
      </c>
      <c r="BH98" s="4234">
        <f t="shared" si="408"/>
        <v>0</v>
      </c>
      <c r="BI98" s="25"/>
      <c r="BJ98" s="25"/>
      <c r="BK98" s="25"/>
      <c r="BL98" s="25"/>
      <c r="BM98" s="25"/>
      <c r="BN98" s="25"/>
    </row>
    <row r="99" spans="1:68" ht="18.75" x14ac:dyDescent="0.3">
      <c r="A99" s="615"/>
      <c r="B99" s="858" t="s">
        <v>883</v>
      </c>
      <c r="C99" s="3475" t="s">
        <v>50</v>
      </c>
      <c r="D99" s="3476"/>
      <c r="E99" s="3476"/>
      <c r="F99" s="3477">
        <v>7761.8844478844203</v>
      </c>
      <c r="G99" s="3476"/>
      <c r="H99" s="3477">
        <v>7718.4788441692444</v>
      </c>
      <c r="I99" s="3095"/>
      <c r="J99" s="4961">
        <f t="shared" si="413"/>
        <v>15480.363292053666</v>
      </c>
      <c r="K99" s="3476"/>
      <c r="L99" s="3477">
        <v>8601.9142414860689</v>
      </c>
      <c r="M99" s="617"/>
      <c r="N99" s="2831">
        <f t="shared" si="414"/>
        <v>24082.277533539735</v>
      </c>
      <c r="O99" s="3476"/>
      <c r="P99" s="3477">
        <v>11281.726934984523</v>
      </c>
      <c r="Q99" s="1050"/>
      <c r="R99" s="3402">
        <f t="shared" si="415"/>
        <v>35364.004468524261</v>
      </c>
      <c r="S99" s="3476"/>
      <c r="T99" s="3477">
        <v>9736.7554489164086</v>
      </c>
      <c r="U99" s="1050"/>
      <c r="V99" s="3402">
        <f t="shared" si="416"/>
        <v>45100.759917440671</v>
      </c>
      <c r="W99" s="3476"/>
      <c r="X99" s="3477">
        <v>9223.1608875129023</v>
      </c>
      <c r="Y99" s="617"/>
      <c r="Z99" s="2831">
        <f t="shared" si="417"/>
        <v>30241.643271413835</v>
      </c>
      <c r="AA99" s="1052"/>
      <c r="AB99" s="618">
        <f t="shared" si="418"/>
        <v>54323.920804953566</v>
      </c>
      <c r="AC99" s="3476"/>
      <c r="AD99" s="3477">
        <v>6343.1684210526319</v>
      </c>
      <c r="AE99" s="1050"/>
      <c r="AF99" s="3402">
        <f t="shared" si="419"/>
        <v>60667.089226006196</v>
      </c>
      <c r="AG99" s="3476"/>
      <c r="AH99" s="3477">
        <v>9510</v>
      </c>
      <c r="AI99" s="1050"/>
      <c r="AJ99" s="3402">
        <f t="shared" si="420"/>
        <v>70177.089226006196</v>
      </c>
      <c r="AK99" s="3476"/>
      <c r="AL99" s="3477">
        <v>9249.7928792569655</v>
      </c>
      <c r="AM99" s="2550"/>
      <c r="AN99" s="2831">
        <f t="shared" si="421"/>
        <v>25102.961300309598</v>
      </c>
      <c r="AO99" s="1050"/>
      <c r="AP99" s="3402">
        <f t="shared" si="422"/>
        <v>79426.882105263154</v>
      </c>
      <c r="AQ99" s="3476"/>
      <c r="AR99" s="3477">
        <v>8042.2678679050568</v>
      </c>
      <c r="AS99" s="1050"/>
      <c r="AT99" s="3402">
        <f t="shared" si="423"/>
        <v>87469.149973168212</v>
      </c>
      <c r="AU99" s="3476"/>
      <c r="AV99" s="3477">
        <v>6049.3302992776062</v>
      </c>
      <c r="AW99" s="1050"/>
      <c r="AX99" s="3402">
        <f t="shared" si="424"/>
        <v>93518.480272445813</v>
      </c>
      <c r="AY99" s="3476"/>
      <c r="AZ99" s="3477">
        <v>8548.8579979360165</v>
      </c>
      <c r="BA99" s="2786"/>
      <c r="BB99" s="2831">
        <f t="shared" si="425"/>
        <v>22640.456165118681</v>
      </c>
      <c r="BC99" s="1052"/>
      <c r="BD99" s="618">
        <f t="shared" si="412"/>
        <v>47743.417465428283</v>
      </c>
      <c r="BE99" s="1050"/>
      <c r="BF99" s="3402">
        <f t="shared" si="426"/>
        <v>102067.33827038184</v>
      </c>
      <c r="BG99" s="4234">
        <f t="shared" si="407"/>
        <v>0</v>
      </c>
      <c r="BH99" s="4234">
        <f t="shared" si="408"/>
        <v>0</v>
      </c>
      <c r="BI99" s="25"/>
      <c r="BJ99" s="25"/>
      <c r="BK99" s="25"/>
      <c r="BL99" s="25"/>
      <c r="BM99" s="25"/>
      <c r="BN99" s="25"/>
    </row>
    <row r="100" spans="1:68" s="4487" customFormat="1" ht="18.75" x14ac:dyDescent="0.3">
      <c r="A100" s="615"/>
      <c r="B100" s="858" t="s">
        <v>1842</v>
      </c>
      <c r="C100" s="4956" t="s">
        <v>50</v>
      </c>
      <c r="D100" s="4957"/>
      <c r="E100" s="4957"/>
      <c r="F100" s="4958">
        <v>0</v>
      </c>
      <c r="G100" s="4957"/>
      <c r="H100" s="4958"/>
      <c r="I100" s="4959"/>
      <c r="J100" s="4961">
        <f t="shared" si="413"/>
        <v>0</v>
      </c>
      <c r="K100" s="4957"/>
      <c r="L100" s="4958">
        <v>0</v>
      </c>
      <c r="M100" s="4960"/>
      <c r="N100" s="2831">
        <f t="shared" si="414"/>
        <v>0</v>
      </c>
      <c r="O100" s="4957"/>
      <c r="P100" s="4958"/>
      <c r="Q100" s="4959"/>
      <c r="R100" s="3402">
        <f t="shared" si="415"/>
        <v>0</v>
      </c>
      <c r="S100" s="4957"/>
      <c r="T100" s="4958"/>
      <c r="U100" s="4959"/>
      <c r="V100" s="3402">
        <f t="shared" si="416"/>
        <v>0</v>
      </c>
      <c r="W100" s="4957"/>
      <c r="X100" s="4958"/>
      <c r="Y100" s="4960"/>
      <c r="Z100" s="2831">
        <f t="shared" si="417"/>
        <v>0</v>
      </c>
      <c r="AA100" s="4962"/>
      <c r="AB100" s="618">
        <f t="shared" si="418"/>
        <v>0</v>
      </c>
      <c r="AC100" s="4957"/>
      <c r="AD100" s="4958">
        <v>6500</v>
      </c>
      <c r="AE100" s="4959"/>
      <c r="AF100" s="3402">
        <f t="shared" si="419"/>
        <v>6500</v>
      </c>
      <c r="AG100" s="4957"/>
      <c r="AH100" s="4958">
        <v>700</v>
      </c>
      <c r="AI100" s="4959"/>
      <c r="AJ100" s="3402">
        <f t="shared" si="420"/>
        <v>7200</v>
      </c>
      <c r="AK100" s="4957"/>
      <c r="AL100" s="4958">
        <v>799.7936016511868</v>
      </c>
      <c r="AM100" s="4960"/>
      <c r="AN100" s="2831">
        <f t="shared" si="421"/>
        <v>7999.7936016511867</v>
      </c>
      <c r="AO100" s="4959"/>
      <c r="AP100" s="3402">
        <f t="shared" si="422"/>
        <v>7999.7936016511867</v>
      </c>
      <c r="AQ100" s="4957"/>
      <c r="AR100" s="4958">
        <v>0</v>
      </c>
      <c r="AS100" s="4959"/>
      <c r="AT100" s="3402">
        <f t="shared" si="423"/>
        <v>7999.7936016511867</v>
      </c>
      <c r="AU100" s="4957"/>
      <c r="AV100" s="4958">
        <v>0</v>
      </c>
      <c r="AW100" s="4959"/>
      <c r="AX100" s="3402">
        <f t="shared" si="424"/>
        <v>7999.7936016511867</v>
      </c>
      <c r="AY100" s="4957"/>
      <c r="AZ100" s="4958">
        <v>0</v>
      </c>
      <c r="BA100" s="4960"/>
      <c r="BB100" s="2831">
        <f t="shared" si="425"/>
        <v>0</v>
      </c>
      <c r="BC100" s="4962"/>
      <c r="BD100" s="618">
        <f t="shared" si="412"/>
        <v>7999.7936016511867</v>
      </c>
      <c r="BE100" s="4959"/>
      <c r="BF100" s="3402">
        <f t="shared" si="426"/>
        <v>7999.7936016511867</v>
      </c>
      <c r="BG100" s="4234">
        <f t="shared" si="407"/>
        <v>0</v>
      </c>
      <c r="BH100" s="4234">
        <f t="shared" si="408"/>
        <v>0</v>
      </c>
      <c r="BI100" s="25"/>
      <c r="BJ100" s="25"/>
      <c r="BK100" s="25"/>
      <c r="BL100" s="25"/>
      <c r="BM100" s="25"/>
      <c r="BN100" s="25"/>
      <c r="BP100" s="258"/>
    </row>
    <row r="101" spans="1:68" ht="18.75" x14ac:dyDescent="0.3">
      <c r="A101" s="615"/>
      <c r="B101" s="858" t="s">
        <v>124</v>
      </c>
      <c r="C101" s="3475" t="s">
        <v>50</v>
      </c>
      <c r="D101" s="3476"/>
      <c r="E101" s="3476"/>
      <c r="F101" s="2895">
        <v>32598.357857142852</v>
      </c>
      <c r="G101" s="3476"/>
      <c r="H101" s="2895">
        <v>43820.499780219783</v>
      </c>
      <c r="I101" s="3253"/>
      <c r="J101" s="4961">
        <f t="shared" si="413"/>
        <v>76418.857637362642</v>
      </c>
      <c r="K101" s="3476"/>
      <c r="L101" s="2895">
        <v>44610.065274725261</v>
      </c>
      <c r="M101" s="617"/>
      <c r="N101" s="2831">
        <f t="shared" si="414"/>
        <v>121028.9229120879</v>
      </c>
      <c r="O101" s="3476"/>
      <c r="P101" s="2895">
        <v>42070.860109890105</v>
      </c>
      <c r="Q101" s="616"/>
      <c r="R101" s="3402">
        <f t="shared" si="415"/>
        <v>163099.78302197802</v>
      </c>
      <c r="S101" s="3476"/>
      <c r="T101" s="2895">
        <v>39478.498549450553</v>
      </c>
      <c r="U101" s="3402"/>
      <c r="V101" s="3402">
        <f t="shared" si="416"/>
        <v>202578.28157142858</v>
      </c>
      <c r="W101" s="3476"/>
      <c r="X101" s="2895">
        <v>34369.631934065947</v>
      </c>
      <c r="Y101" s="617"/>
      <c r="Z101" s="2831">
        <f t="shared" si="417"/>
        <v>115918.9905934066</v>
      </c>
      <c r="AA101" s="618"/>
      <c r="AB101" s="618">
        <f t="shared" si="418"/>
        <v>236947.91350549451</v>
      </c>
      <c r="AC101" s="3476"/>
      <c r="AD101" s="2895">
        <v>27983.437582417573</v>
      </c>
      <c r="AE101" s="2437"/>
      <c r="AF101" s="3402">
        <f t="shared" si="419"/>
        <v>264931.3510879121</v>
      </c>
      <c r="AG101" s="3476"/>
      <c r="AH101" s="2895">
        <v>36662.43483516483</v>
      </c>
      <c r="AI101" s="3402"/>
      <c r="AJ101" s="3402">
        <f t="shared" si="420"/>
        <v>301593.78592307691</v>
      </c>
      <c r="AK101" s="3476"/>
      <c r="AL101" s="2895">
        <v>36176.249340659349</v>
      </c>
      <c r="AM101" s="2550"/>
      <c r="AN101" s="2831">
        <f t="shared" si="421"/>
        <v>100822.12175824176</v>
      </c>
      <c r="AO101" s="2549"/>
      <c r="AP101" s="3402">
        <f t="shared" si="422"/>
        <v>337770.03526373627</v>
      </c>
      <c r="AQ101" s="3476"/>
      <c r="AR101" s="2895">
        <v>34931.323340659335</v>
      </c>
      <c r="AS101" s="2600"/>
      <c r="AT101" s="3402">
        <f t="shared" si="423"/>
        <v>372701.35860439559</v>
      </c>
      <c r="AU101" s="3476"/>
      <c r="AV101" s="2895">
        <v>19267.00813186813</v>
      </c>
      <c r="AW101" s="3402"/>
      <c r="AX101" s="3402">
        <f t="shared" si="424"/>
        <v>391968.36673626374</v>
      </c>
      <c r="AY101" s="3476"/>
      <c r="AZ101" s="2895">
        <v>37482.176813186823</v>
      </c>
      <c r="BA101" s="2786"/>
      <c r="BB101" s="2831">
        <f t="shared" si="425"/>
        <v>91680.508285714284</v>
      </c>
      <c r="BC101" s="618"/>
      <c r="BD101" s="618">
        <f t="shared" si="412"/>
        <v>192502.63004395604</v>
      </c>
      <c r="BE101" s="2785"/>
      <c r="BF101" s="3402">
        <f t="shared" si="426"/>
        <v>429450.54354945058</v>
      </c>
      <c r="BG101" s="4234">
        <f t="shared" si="407"/>
        <v>0</v>
      </c>
      <c r="BH101" s="4234">
        <f t="shared" si="408"/>
        <v>0</v>
      </c>
      <c r="BI101" s="25"/>
      <c r="BJ101" s="25"/>
      <c r="BK101" s="25"/>
      <c r="BL101" s="25"/>
      <c r="BM101" s="25"/>
      <c r="BN101" s="25"/>
    </row>
    <row r="102" spans="1:68" ht="18.75" x14ac:dyDescent="0.3">
      <c r="A102" s="615"/>
      <c r="B102" s="858" t="s">
        <v>19</v>
      </c>
      <c r="C102" s="3475" t="s">
        <v>50</v>
      </c>
      <c r="D102" s="3476"/>
      <c r="E102" s="3476"/>
      <c r="F102" s="3477">
        <v>274384.69999999995</v>
      </c>
      <c r="G102" s="3476"/>
      <c r="H102" s="3477">
        <v>288586</v>
      </c>
      <c r="I102" s="3095"/>
      <c r="J102" s="4961">
        <f t="shared" si="413"/>
        <v>562970.69999999995</v>
      </c>
      <c r="K102" s="3476"/>
      <c r="L102" s="3477">
        <v>305588</v>
      </c>
      <c r="M102" s="617"/>
      <c r="N102" s="2831">
        <f t="shared" si="414"/>
        <v>868558.7</v>
      </c>
      <c r="O102" s="3476"/>
      <c r="P102" s="3477">
        <v>314445.58999999997</v>
      </c>
      <c r="Q102" s="1050"/>
      <c r="R102" s="3402">
        <f t="shared" si="415"/>
        <v>1183004.29</v>
      </c>
      <c r="S102" s="3476"/>
      <c r="T102" s="3477">
        <v>298752</v>
      </c>
      <c r="U102" s="1050"/>
      <c r="V102" s="3402">
        <f t="shared" si="416"/>
        <v>1481756.29</v>
      </c>
      <c r="W102" s="3476"/>
      <c r="X102" s="3477">
        <v>288743.09999999998</v>
      </c>
      <c r="Y102" s="617"/>
      <c r="Z102" s="2831">
        <f t="shared" si="417"/>
        <v>901940.69</v>
      </c>
      <c r="AA102" s="1052"/>
      <c r="AB102" s="618">
        <f t="shared" si="418"/>
        <v>1770499.39</v>
      </c>
      <c r="AC102" s="3476"/>
      <c r="AD102" s="3477">
        <v>238110</v>
      </c>
      <c r="AE102" s="1050"/>
      <c r="AF102" s="3402">
        <f t="shared" si="419"/>
        <v>2008609.39</v>
      </c>
      <c r="AG102" s="3476"/>
      <c r="AH102" s="3477">
        <v>290904.40000000002</v>
      </c>
      <c r="AI102" s="1050"/>
      <c r="AJ102" s="3402">
        <f t="shared" si="420"/>
        <v>2299513.79</v>
      </c>
      <c r="AK102" s="3476"/>
      <c r="AL102" s="3477">
        <v>289069.39999999997</v>
      </c>
      <c r="AM102" s="2550"/>
      <c r="AN102" s="2831">
        <f t="shared" si="421"/>
        <v>818083.8</v>
      </c>
      <c r="AO102" s="1050"/>
      <c r="AP102" s="3402">
        <f t="shared" si="422"/>
        <v>2588583.19</v>
      </c>
      <c r="AQ102" s="3476"/>
      <c r="AR102" s="3477">
        <v>281651.3</v>
      </c>
      <c r="AS102" s="1050"/>
      <c r="AT102" s="3402">
        <f t="shared" si="423"/>
        <v>2870234.4899999998</v>
      </c>
      <c r="AU102" s="3476"/>
      <c r="AV102" s="3477">
        <v>233607.7</v>
      </c>
      <c r="AW102" s="1050"/>
      <c r="AX102" s="3402">
        <f t="shared" si="424"/>
        <v>3103842.19</v>
      </c>
      <c r="AY102" s="3476"/>
      <c r="AZ102" s="3477">
        <v>298183.2</v>
      </c>
      <c r="BA102" s="2786"/>
      <c r="BB102" s="2831">
        <f t="shared" si="425"/>
        <v>813442.2</v>
      </c>
      <c r="BC102" s="1052"/>
      <c r="BD102" s="618">
        <f t="shared" si="412"/>
        <v>1631526</v>
      </c>
      <c r="BE102" s="1050"/>
      <c r="BF102" s="3402">
        <f t="shared" si="426"/>
        <v>3402025.39</v>
      </c>
      <c r="BG102" s="4234">
        <f t="shared" si="407"/>
        <v>0</v>
      </c>
      <c r="BH102" s="4234">
        <f t="shared" si="408"/>
        <v>0</v>
      </c>
      <c r="BI102" s="25"/>
      <c r="BJ102" s="25"/>
      <c r="BK102" s="25"/>
      <c r="BL102" s="25"/>
      <c r="BM102" s="25"/>
      <c r="BN102" s="25"/>
    </row>
    <row r="103" spans="1:68" s="4233" customFormat="1" ht="18.75" hidden="1" customHeight="1" x14ac:dyDescent="0.25">
      <c r="A103" s="137"/>
      <c r="B103" s="858" t="s">
        <v>1760</v>
      </c>
      <c r="C103" s="3475" t="s">
        <v>50</v>
      </c>
      <c r="D103" s="4411"/>
      <c r="E103" s="4411"/>
      <c r="F103" s="3477"/>
      <c r="G103" s="5125"/>
      <c r="H103" s="3477"/>
      <c r="I103" s="3474"/>
      <c r="J103" s="4961">
        <f>+F103+H103</f>
        <v>0</v>
      </c>
      <c r="K103" s="5125"/>
      <c r="L103" s="3477">
        <v>0</v>
      </c>
      <c r="M103" s="4412"/>
      <c r="N103" s="2831">
        <f>+F103+H103+L103</f>
        <v>0</v>
      </c>
      <c r="O103" s="5125"/>
      <c r="P103" s="3477"/>
      <c r="Q103" s="3474"/>
      <c r="R103" s="3402">
        <f>+N103+P103</f>
        <v>0</v>
      </c>
      <c r="S103" s="5125"/>
      <c r="T103" s="3477"/>
      <c r="U103" s="3474"/>
      <c r="V103" s="3402">
        <f>+R103+T103</f>
        <v>0</v>
      </c>
      <c r="W103" s="5125"/>
      <c r="X103" s="3477"/>
      <c r="Y103" s="4412"/>
      <c r="Z103" s="2831">
        <f>+P103+T103+X103</f>
        <v>0</v>
      </c>
      <c r="AA103" s="1052"/>
      <c r="AB103" s="618">
        <f>+N103+Z103</f>
        <v>0</v>
      </c>
      <c r="AC103" s="5125"/>
      <c r="AD103" s="3477"/>
      <c r="AE103" s="3474"/>
      <c r="AF103" s="3402">
        <f>+AB103+AD103</f>
        <v>0</v>
      </c>
      <c r="AG103" s="5125"/>
      <c r="AH103" s="3477"/>
      <c r="AI103" s="3474"/>
      <c r="AJ103" s="3402">
        <f>+AF103+AH103</f>
        <v>0</v>
      </c>
      <c r="AK103" s="5125"/>
      <c r="AL103" s="3477"/>
      <c r="AM103" s="4412"/>
      <c r="AN103" s="2831">
        <f>+AD103+AH103+AL103</f>
        <v>0</v>
      </c>
      <c r="AO103" s="3474"/>
      <c r="AP103" s="3402">
        <f>+AL103+AJ103</f>
        <v>0</v>
      </c>
      <c r="AQ103" s="5125"/>
      <c r="AR103" s="3477"/>
      <c r="AS103" s="4531"/>
      <c r="AT103" s="589">
        <f>+AP103+AR103</f>
        <v>0</v>
      </c>
      <c r="AU103" s="5125"/>
      <c r="AV103" s="3477"/>
      <c r="AW103" s="3474"/>
      <c r="AX103" s="3402">
        <f>+AT103+AV103</f>
        <v>0</v>
      </c>
      <c r="AY103" s="5125"/>
      <c r="AZ103" s="3477">
        <v>0</v>
      </c>
      <c r="BA103" s="4412"/>
      <c r="BB103" s="2831">
        <f t="shared" si="425"/>
        <v>0</v>
      </c>
      <c r="BC103" s="4413"/>
      <c r="BD103" s="618">
        <f>+AN103+BB103</f>
        <v>0</v>
      </c>
      <c r="BE103" s="3474"/>
      <c r="BF103" s="3402">
        <f t="shared" si="426"/>
        <v>0</v>
      </c>
      <c r="BG103" s="4234">
        <f t="shared" si="407"/>
        <v>0</v>
      </c>
      <c r="BH103" s="4234">
        <f t="shared" si="408"/>
        <v>0</v>
      </c>
      <c r="BI103" s="25"/>
      <c r="BJ103" s="25"/>
      <c r="BK103" s="25"/>
      <c r="BL103" s="25"/>
      <c r="BM103" s="25"/>
      <c r="BN103" s="25"/>
      <c r="BP103" s="258"/>
    </row>
    <row r="104" spans="1:68" ht="18.75" x14ac:dyDescent="0.3">
      <c r="A104" s="615"/>
      <c r="B104" s="858" t="s">
        <v>884</v>
      </c>
      <c r="C104" s="3475" t="s">
        <v>50</v>
      </c>
      <c r="D104" s="3476"/>
      <c r="E104" s="3476"/>
      <c r="F104" s="3477">
        <v>0</v>
      </c>
      <c r="G104" s="3476"/>
      <c r="H104" s="3477"/>
      <c r="I104" s="3095"/>
      <c r="J104" s="4961">
        <f t="shared" si="413"/>
        <v>0</v>
      </c>
      <c r="K104" s="3476"/>
      <c r="L104" s="3477">
        <v>0</v>
      </c>
      <c r="M104" s="617"/>
      <c r="N104" s="2831">
        <f t="shared" si="414"/>
        <v>0</v>
      </c>
      <c r="O104" s="3476"/>
      <c r="P104" s="3477"/>
      <c r="Q104" s="1050"/>
      <c r="R104" s="3402">
        <f t="shared" si="415"/>
        <v>0</v>
      </c>
      <c r="S104" s="3476"/>
      <c r="T104" s="3477"/>
      <c r="U104" s="1050"/>
      <c r="V104" s="3402">
        <f t="shared" si="416"/>
        <v>0</v>
      </c>
      <c r="W104" s="3476"/>
      <c r="X104" s="3477"/>
      <c r="Y104" s="617"/>
      <c r="Z104" s="2831">
        <f t="shared" si="417"/>
        <v>0</v>
      </c>
      <c r="AA104" s="1052"/>
      <c r="AB104" s="618">
        <f t="shared" si="418"/>
        <v>0</v>
      </c>
      <c r="AC104" s="3476"/>
      <c r="AD104" s="3477">
        <v>123</v>
      </c>
      <c r="AE104" s="1050"/>
      <c r="AF104" s="3402">
        <f t="shared" si="419"/>
        <v>123</v>
      </c>
      <c r="AG104" s="3476"/>
      <c r="AH104" s="3477"/>
      <c r="AI104" s="1050"/>
      <c r="AJ104" s="3402">
        <f t="shared" si="420"/>
        <v>123</v>
      </c>
      <c r="AK104" s="3476"/>
      <c r="AL104" s="3477">
        <v>61.6</v>
      </c>
      <c r="AM104" s="2550"/>
      <c r="AN104" s="2831">
        <f t="shared" si="421"/>
        <v>184.6</v>
      </c>
      <c r="AO104" s="1050"/>
      <c r="AP104" s="3402">
        <f t="shared" si="422"/>
        <v>184.6</v>
      </c>
      <c r="AQ104" s="3476"/>
      <c r="AR104" s="3477">
        <v>664.7</v>
      </c>
      <c r="AS104" s="1050"/>
      <c r="AT104" s="3402">
        <f t="shared" si="423"/>
        <v>849.30000000000007</v>
      </c>
      <c r="AU104" s="3476"/>
      <c r="AV104" s="3477">
        <v>177.9</v>
      </c>
      <c r="AW104" s="1050"/>
      <c r="AX104" s="3402">
        <f t="shared" ref="AX104:AX106" si="427">+AT104+AV104</f>
        <v>1027.2</v>
      </c>
      <c r="AY104" s="3476"/>
      <c r="AZ104" s="3477">
        <v>572</v>
      </c>
      <c r="BA104" s="2786"/>
      <c r="BB104" s="2831">
        <f t="shared" si="425"/>
        <v>1414.6</v>
      </c>
      <c r="BC104" s="1052"/>
      <c r="BD104" s="618">
        <f t="shared" si="412"/>
        <v>1599.1999999999998</v>
      </c>
      <c r="BE104" s="1050"/>
      <c r="BF104" s="3402">
        <f t="shared" si="426"/>
        <v>1599.2</v>
      </c>
      <c r="BG104" s="4234">
        <f t="shared" si="407"/>
        <v>0</v>
      </c>
      <c r="BH104" s="4234">
        <f t="shared" si="408"/>
        <v>0</v>
      </c>
      <c r="BI104" s="25"/>
      <c r="BJ104" s="25"/>
      <c r="BK104" s="25"/>
      <c r="BL104" s="25"/>
      <c r="BM104" s="25"/>
      <c r="BN104" s="25"/>
    </row>
    <row r="105" spans="1:68" ht="18.75" x14ac:dyDescent="0.3">
      <c r="A105" s="615"/>
      <c r="B105" s="858" t="s">
        <v>6</v>
      </c>
      <c r="C105" s="3475" t="s">
        <v>50</v>
      </c>
      <c r="D105" s="3476"/>
      <c r="E105" s="3476"/>
      <c r="F105" s="2895">
        <v>355.6</v>
      </c>
      <c r="G105" s="3476"/>
      <c r="H105" s="2895">
        <v>822.79999999999984</v>
      </c>
      <c r="I105" s="3253"/>
      <c r="J105" s="4961">
        <f t="shared" si="413"/>
        <v>1178.3999999999999</v>
      </c>
      <c r="K105" s="3476"/>
      <c r="L105" s="2895">
        <v>1133.6999999999998</v>
      </c>
      <c r="M105" s="617"/>
      <c r="N105" s="2831">
        <f t="shared" si="414"/>
        <v>2312.0999999999995</v>
      </c>
      <c r="O105" s="3476"/>
      <c r="P105" s="2895">
        <v>512.09999999999991</v>
      </c>
      <c r="Q105" s="616"/>
      <c r="R105" s="3402">
        <f t="shared" si="415"/>
        <v>2824.1999999999994</v>
      </c>
      <c r="S105" s="3476"/>
      <c r="T105" s="2895">
        <v>1048.7999999999997</v>
      </c>
      <c r="U105" s="3402"/>
      <c r="V105" s="3402">
        <f t="shared" si="416"/>
        <v>3872.9999999999991</v>
      </c>
      <c r="W105" s="3476"/>
      <c r="X105" s="2895">
        <v>490</v>
      </c>
      <c r="Y105" s="617"/>
      <c r="Z105" s="2831">
        <f t="shared" si="417"/>
        <v>2050.8999999999996</v>
      </c>
      <c r="AA105" s="618"/>
      <c r="AB105" s="618">
        <f t="shared" si="418"/>
        <v>4362.9999999999991</v>
      </c>
      <c r="AC105" s="3476"/>
      <c r="AD105" s="2895">
        <v>1053.5</v>
      </c>
      <c r="AE105" s="2437"/>
      <c r="AF105" s="3402">
        <f t="shared" si="419"/>
        <v>5416.4999999999991</v>
      </c>
      <c r="AG105" s="3476"/>
      <c r="AH105" s="2895">
        <v>527</v>
      </c>
      <c r="AI105" s="3402"/>
      <c r="AJ105" s="3402">
        <f t="shared" si="420"/>
        <v>5943.4999999999991</v>
      </c>
      <c r="AK105" s="3476"/>
      <c r="AL105" s="2895">
        <v>793.09999999999991</v>
      </c>
      <c r="AM105" s="2550"/>
      <c r="AN105" s="2831">
        <f t="shared" si="421"/>
        <v>2373.6</v>
      </c>
      <c r="AO105" s="2549"/>
      <c r="AP105" s="3402">
        <f t="shared" si="422"/>
        <v>6736.5999999999985</v>
      </c>
      <c r="AQ105" s="3476"/>
      <c r="AR105" s="2895">
        <v>2995.0499999999988</v>
      </c>
      <c r="AS105" s="2600"/>
      <c r="AT105" s="3402">
        <f t="shared" si="423"/>
        <v>9731.6499999999978</v>
      </c>
      <c r="AU105" s="3476"/>
      <c r="AV105" s="2895">
        <v>1503.5</v>
      </c>
      <c r="AW105" s="3402"/>
      <c r="AX105" s="3402">
        <f t="shared" si="427"/>
        <v>11235.149999999998</v>
      </c>
      <c r="AY105" s="3476"/>
      <c r="AZ105" s="2895">
        <v>73.8</v>
      </c>
      <c r="BA105" s="2786"/>
      <c r="BB105" s="2831">
        <f t="shared" si="425"/>
        <v>4572.3499999999995</v>
      </c>
      <c r="BC105" s="618"/>
      <c r="BD105" s="618">
        <f t="shared" si="412"/>
        <v>6945.9499999999989</v>
      </c>
      <c r="BE105" s="2785"/>
      <c r="BF105" s="3402">
        <f t="shared" si="426"/>
        <v>11308.949999999997</v>
      </c>
      <c r="BG105" s="4234">
        <f t="shared" si="407"/>
        <v>0</v>
      </c>
      <c r="BH105" s="4234">
        <f t="shared" si="408"/>
        <v>0</v>
      </c>
      <c r="BI105" s="25"/>
      <c r="BJ105" s="25"/>
      <c r="BK105" s="25"/>
      <c r="BL105" s="25"/>
      <c r="BM105" s="25"/>
      <c r="BN105" s="25"/>
    </row>
    <row r="106" spans="1:68" ht="19.5" thickBot="1" x14ac:dyDescent="0.3">
      <c r="A106" s="137"/>
      <c r="B106" s="871" t="s">
        <v>1252</v>
      </c>
      <c r="C106" s="3478" t="s">
        <v>50</v>
      </c>
      <c r="D106" s="3479"/>
      <c r="E106" s="3479"/>
      <c r="F106" s="2401">
        <v>58405.599999999999</v>
      </c>
      <c r="G106" s="3479"/>
      <c r="H106" s="2401">
        <v>70699.929999999993</v>
      </c>
      <c r="I106" s="2402"/>
      <c r="J106" s="4961">
        <f t="shared" si="413"/>
        <v>129105.53</v>
      </c>
      <c r="K106" s="3479"/>
      <c r="L106" s="2401">
        <v>65129.030000000006</v>
      </c>
      <c r="M106" s="617"/>
      <c r="N106" s="2831">
        <f t="shared" si="414"/>
        <v>194234.56</v>
      </c>
      <c r="O106" s="3479"/>
      <c r="P106" s="2401">
        <v>55609.19</v>
      </c>
      <c r="Q106" s="616"/>
      <c r="R106" s="3402">
        <f t="shared" si="415"/>
        <v>249843.75</v>
      </c>
      <c r="S106" s="3479"/>
      <c r="T106" s="2401">
        <v>70042.69</v>
      </c>
      <c r="U106" s="3402"/>
      <c r="V106" s="3402">
        <f t="shared" si="416"/>
        <v>319886.44</v>
      </c>
      <c r="W106" s="3479"/>
      <c r="X106" s="2401">
        <v>68744.03</v>
      </c>
      <c r="Y106" s="617"/>
      <c r="Z106" s="2831">
        <f t="shared" si="417"/>
        <v>194395.91</v>
      </c>
      <c r="AA106" s="618"/>
      <c r="AB106" s="618">
        <f t="shared" si="418"/>
        <v>388630.47</v>
      </c>
      <c r="AC106" s="3479"/>
      <c r="AD106" s="2401">
        <v>56421.73</v>
      </c>
      <c r="AE106" s="2437"/>
      <c r="AF106" s="3402">
        <f t="shared" si="419"/>
        <v>445052.19999999995</v>
      </c>
      <c r="AG106" s="3479"/>
      <c r="AH106" s="2401">
        <v>67508.83</v>
      </c>
      <c r="AI106" s="3402"/>
      <c r="AJ106" s="3402">
        <f t="shared" si="420"/>
        <v>512561.02999999997</v>
      </c>
      <c r="AK106" s="3479"/>
      <c r="AL106" s="2401">
        <v>70198.73</v>
      </c>
      <c r="AM106" s="2550"/>
      <c r="AN106" s="2831">
        <f t="shared" si="421"/>
        <v>194129.28999999998</v>
      </c>
      <c r="AO106" s="2549"/>
      <c r="AP106" s="3402">
        <f t="shared" si="422"/>
        <v>582759.76</v>
      </c>
      <c r="AQ106" s="3479"/>
      <c r="AR106" s="2401">
        <v>58461.93</v>
      </c>
      <c r="AS106" s="2600"/>
      <c r="AT106" s="3402">
        <f t="shared" si="423"/>
        <v>641221.69000000006</v>
      </c>
      <c r="AU106" s="3479"/>
      <c r="AV106" s="2401">
        <v>46259.03</v>
      </c>
      <c r="AW106" s="3402"/>
      <c r="AX106" s="3402">
        <f t="shared" si="427"/>
        <v>687480.72000000009</v>
      </c>
      <c r="AY106" s="3479"/>
      <c r="AZ106" s="2401">
        <v>64323.73</v>
      </c>
      <c r="BA106" s="2786"/>
      <c r="BB106" s="2831">
        <f t="shared" si="425"/>
        <v>169044.69</v>
      </c>
      <c r="BC106" s="618"/>
      <c r="BD106" s="618">
        <f t="shared" si="412"/>
        <v>363173.98</v>
      </c>
      <c r="BE106" s="2785"/>
      <c r="BF106" s="3402">
        <f t="shared" si="426"/>
        <v>751804.45000000007</v>
      </c>
      <c r="BG106" s="4234">
        <f t="shared" si="407"/>
        <v>0</v>
      </c>
      <c r="BH106" s="4234">
        <f t="shared" si="408"/>
        <v>0</v>
      </c>
      <c r="BI106" s="25"/>
      <c r="BJ106" s="25"/>
      <c r="BK106" s="25"/>
      <c r="BL106" s="25"/>
      <c r="BM106" s="25"/>
      <c r="BN106" s="25"/>
    </row>
    <row r="107" spans="1:68" x14ac:dyDescent="0.25">
      <c r="A107" s="137"/>
      <c r="B107" s="90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/>
      <c r="AE107" s="324"/>
      <c r="AF107" s="324"/>
      <c r="AG107" s="324"/>
      <c r="AH107" s="324"/>
      <c r="AI107" s="324"/>
      <c r="AJ107" s="324"/>
      <c r="AK107" s="324"/>
      <c r="AL107" s="324"/>
      <c r="AM107" s="324"/>
      <c r="AN107" s="324"/>
      <c r="AO107" s="324"/>
      <c r="AP107" s="324"/>
      <c r="AQ107" s="324"/>
      <c r="AR107" s="324"/>
      <c r="AS107" s="324"/>
      <c r="AT107" s="324"/>
      <c r="AU107" s="324"/>
      <c r="AV107" s="324"/>
      <c r="AW107" s="324"/>
      <c r="AX107" s="324"/>
      <c r="AY107" s="324"/>
      <c r="AZ107" s="324"/>
      <c r="BA107" s="324"/>
      <c r="BB107" s="324"/>
      <c r="BC107" s="324"/>
      <c r="BD107" s="324"/>
      <c r="BE107" s="324"/>
      <c r="BF107" s="324"/>
      <c r="BG107" s="4234"/>
      <c r="BH107" s="4234"/>
      <c r="BI107" s="25"/>
      <c r="BJ107" s="25"/>
      <c r="BK107" s="25"/>
      <c r="BL107" s="25"/>
      <c r="BM107" s="25"/>
      <c r="BN107" s="25"/>
    </row>
    <row r="108" spans="1:68" x14ac:dyDescent="0.25">
      <c r="A108" s="137"/>
      <c r="B108" s="212" t="s">
        <v>1282</v>
      </c>
      <c r="C108" s="324" t="s">
        <v>1283</v>
      </c>
      <c r="D108" s="1260">
        <f t="shared" ref="D108:AI108" si="428">+D27+D28+D30</f>
        <v>4928066.8893315373</v>
      </c>
      <c r="E108" s="1260">
        <f t="shared" si="428"/>
        <v>341679.30432698654</v>
      </c>
      <c r="F108" s="1260">
        <f t="shared" si="428"/>
        <v>383814.39999999991</v>
      </c>
      <c r="G108" s="1260">
        <f t="shared" si="428"/>
        <v>427099.13040873315</v>
      </c>
      <c r="H108" s="1260">
        <f t="shared" si="428"/>
        <v>424211.02999999997</v>
      </c>
      <c r="I108" s="1260">
        <f t="shared" si="428"/>
        <v>768778.43473571981</v>
      </c>
      <c r="J108" s="1260">
        <f t="shared" si="428"/>
        <v>808025.42999999993</v>
      </c>
      <c r="K108" s="1260">
        <f t="shared" si="428"/>
        <v>413957.61870384909</v>
      </c>
      <c r="L108" s="1260">
        <f t="shared" si="428"/>
        <v>432825.33</v>
      </c>
      <c r="M108" s="1260">
        <f t="shared" si="428"/>
        <v>1182736.0534395687</v>
      </c>
      <c r="N108" s="1260">
        <f t="shared" si="428"/>
        <v>1240850.76</v>
      </c>
      <c r="O108" s="1260">
        <f t="shared" si="428"/>
        <v>418885.68559318065</v>
      </c>
      <c r="P108" s="1260">
        <f t="shared" si="428"/>
        <v>443203.12999999995</v>
      </c>
      <c r="Q108" s="1260">
        <f t="shared" si="428"/>
        <v>1601621.7390327496</v>
      </c>
      <c r="R108" s="1260">
        <f t="shared" si="428"/>
        <v>1684053.8900000001</v>
      </c>
      <c r="S108" s="1260">
        <f t="shared" si="428"/>
        <v>418885.68559318065</v>
      </c>
      <c r="T108" s="1260">
        <f t="shared" si="428"/>
        <v>418349.09</v>
      </c>
      <c r="U108" s="1260">
        <f t="shared" si="428"/>
        <v>2020507.4246259301</v>
      </c>
      <c r="V108" s="1260">
        <f t="shared" si="428"/>
        <v>2102402.98</v>
      </c>
      <c r="W108" s="1260">
        <f t="shared" si="428"/>
        <v>229976.45483547173</v>
      </c>
      <c r="X108" s="1260">
        <f t="shared" si="428"/>
        <v>402286.92999999993</v>
      </c>
      <c r="Y108" s="1260">
        <f t="shared" si="428"/>
        <v>1067747.8260218331</v>
      </c>
      <c r="Z108" s="1260">
        <f t="shared" si="428"/>
        <v>1263839.1499999999</v>
      </c>
      <c r="AA108" s="1260">
        <f t="shared" si="428"/>
        <v>2250483.8794614016</v>
      </c>
      <c r="AB108" s="1260">
        <f t="shared" si="428"/>
        <v>2504689.91</v>
      </c>
      <c r="AC108" s="1260">
        <f t="shared" si="428"/>
        <v>427099.13040873315</v>
      </c>
      <c r="AD108" s="1260">
        <f t="shared" si="428"/>
        <v>339222.02999999997</v>
      </c>
      <c r="AE108" s="1260">
        <f t="shared" si="428"/>
        <v>2677583.0098701352</v>
      </c>
      <c r="AF108" s="1260">
        <f t="shared" si="428"/>
        <v>2843911.9399999995</v>
      </c>
      <c r="AG108" s="1260">
        <f t="shared" si="428"/>
        <v>413957.61870384909</v>
      </c>
      <c r="AH108" s="1260">
        <f t="shared" si="428"/>
        <v>408003</v>
      </c>
      <c r="AI108" s="1260">
        <f t="shared" si="428"/>
        <v>3091540.6285739839</v>
      </c>
      <c r="AJ108" s="1260">
        <f t="shared" ref="AJ108:BF108" si="429">+AJ27+AJ28+AJ30</f>
        <v>3251914.9399999995</v>
      </c>
      <c r="AK108" s="1260">
        <f t="shared" si="429"/>
        <v>427099.13040873315</v>
      </c>
      <c r="AL108" s="1260">
        <f t="shared" si="429"/>
        <v>425338.62999999995</v>
      </c>
      <c r="AM108" s="1260">
        <f t="shared" si="429"/>
        <v>1268155.8795213152</v>
      </c>
      <c r="AN108" s="1260">
        <f t="shared" si="429"/>
        <v>1172563.6599999999</v>
      </c>
      <c r="AO108" s="1260">
        <f t="shared" si="429"/>
        <v>3518639.7589827171</v>
      </c>
      <c r="AP108" s="1260">
        <f t="shared" si="429"/>
        <v>3677253.5699999994</v>
      </c>
      <c r="AQ108" s="1260">
        <f t="shared" si="429"/>
        <v>433669.88626117515</v>
      </c>
      <c r="AR108" s="1260">
        <f t="shared" si="429"/>
        <v>410023.12999999995</v>
      </c>
      <c r="AS108" s="1260">
        <f t="shared" si="429"/>
        <v>3952309.6452438924</v>
      </c>
      <c r="AT108" s="1260">
        <f t="shared" si="429"/>
        <v>4087276.6999999993</v>
      </c>
      <c r="AU108" s="1260">
        <f t="shared" si="429"/>
        <v>387674.59529408091</v>
      </c>
      <c r="AV108" s="1260">
        <f t="shared" si="429"/>
        <v>323600.32999999996</v>
      </c>
      <c r="AW108" s="1260">
        <f t="shared" si="429"/>
        <v>4339984.2405379731</v>
      </c>
      <c r="AX108" s="1260">
        <f t="shared" si="429"/>
        <v>4410877.0299999993</v>
      </c>
      <c r="AY108" s="1260">
        <f t="shared" si="429"/>
        <v>433669.88626117515</v>
      </c>
      <c r="AZ108" s="1260">
        <f t="shared" si="429"/>
        <v>412565.93</v>
      </c>
      <c r="BA108" s="1260">
        <f t="shared" si="429"/>
        <v>1255014.3678164312</v>
      </c>
      <c r="BB108" s="1260">
        <f t="shared" si="429"/>
        <v>1146189.3899999999</v>
      </c>
      <c r="BC108" s="1260">
        <f t="shared" si="429"/>
        <v>2523170.2473377464</v>
      </c>
      <c r="BD108" s="1260">
        <f t="shared" si="429"/>
        <v>2318753.0499999998</v>
      </c>
      <c r="BE108" s="1260">
        <f t="shared" si="429"/>
        <v>4773654.1267991494</v>
      </c>
      <c r="BF108" s="1260">
        <f t="shared" si="429"/>
        <v>4823442.96</v>
      </c>
      <c r="BG108" s="4234"/>
      <c r="BH108" s="4234"/>
      <c r="BI108" s="25"/>
      <c r="BJ108" s="25"/>
      <c r="BK108" s="25"/>
      <c r="BL108" s="25"/>
      <c r="BM108" s="25"/>
      <c r="BN108" s="25"/>
    </row>
    <row r="109" spans="1:68" x14ac:dyDescent="0.25">
      <c r="A109" s="137"/>
      <c r="B109" s="90"/>
      <c r="C109" s="324" t="s">
        <v>1284</v>
      </c>
      <c r="D109" s="1545">
        <f t="shared" ref="D109:AI109" si="430">+D27*100/D108</f>
        <v>69.999999999999986</v>
      </c>
      <c r="E109" s="1545">
        <f t="shared" si="430"/>
        <v>70</v>
      </c>
      <c r="F109" s="1545">
        <f t="shared" si="430"/>
        <v>71.488901927598349</v>
      </c>
      <c r="G109" s="1545">
        <f t="shared" si="430"/>
        <v>70</v>
      </c>
      <c r="H109" s="1545">
        <f t="shared" si="430"/>
        <v>68.028877042636068</v>
      </c>
      <c r="I109" s="1545">
        <f t="shared" si="430"/>
        <v>69.999999999999986</v>
      </c>
      <c r="J109" s="1545">
        <f t="shared" si="430"/>
        <v>69.672398800616946</v>
      </c>
      <c r="K109" s="1545">
        <f t="shared" si="430"/>
        <v>70</v>
      </c>
      <c r="L109" s="1545">
        <f t="shared" si="430"/>
        <v>70.603076765400957</v>
      </c>
      <c r="M109" s="1545">
        <f t="shared" si="430"/>
        <v>70</v>
      </c>
      <c r="N109" s="1545">
        <f t="shared" si="430"/>
        <v>69.997031713950832</v>
      </c>
      <c r="O109" s="1545">
        <f t="shared" si="430"/>
        <v>70</v>
      </c>
      <c r="P109" s="1545">
        <f t="shared" si="430"/>
        <v>70.948413654028116</v>
      </c>
      <c r="Q109" s="1545">
        <f t="shared" si="430"/>
        <v>70</v>
      </c>
      <c r="R109" s="1545">
        <f t="shared" si="430"/>
        <v>70.247412925722941</v>
      </c>
      <c r="S109" s="1545">
        <f t="shared" si="430"/>
        <v>70</v>
      </c>
      <c r="T109" s="1545">
        <f t="shared" si="430"/>
        <v>71.412130955035664</v>
      </c>
      <c r="U109" s="1545">
        <f t="shared" si="430"/>
        <v>69.999999999999986</v>
      </c>
      <c r="V109" s="1545">
        <f t="shared" si="430"/>
        <v>70.479175690666111</v>
      </c>
      <c r="W109" s="1545">
        <f t="shared" si="430"/>
        <v>70</v>
      </c>
      <c r="X109" s="1545">
        <f t="shared" si="430"/>
        <v>71.775411644618927</v>
      </c>
      <c r="Y109" s="1545">
        <f t="shared" si="430"/>
        <v>70</v>
      </c>
      <c r="Z109" s="1545">
        <f t="shared" si="430"/>
        <v>71.365148800778968</v>
      </c>
      <c r="AA109" s="1545">
        <f t="shared" si="430"/>
        <v>70</v>
      </c>
      <c r="AB109" s="1545">
        <f t="shared" si="430"/>
        <v>70.68736864117443</v>
      </c>
      <c r="AC109" s="1545">
        <f t="shared" si="430"/>
        <v>70</v>
      </c>
      <c r="AD109" s="1545">
        <f t="shared" si="430"/>
        <v>70.192964767058328</v>
      </c>
      <c r="AE109" s="1545">
        <f t="shared" si="430"/>
        <v>69.999999999999986</v>
      </c>
      <c r="AF109" s="1545">
        <f t="shared" si="430"/>
        <v>70.62839610990207</v>
      </c>
      <c r="AG109" s="1545">
        <f t="shared" si="430"/>
        <v>70</v>
      </c>
      <c r="AH109" s="1545">
        <f t="shared" si="430"/>
        <v>71.299475739148974</v>
      </c>
      <c r="AI109" s="1545">
        <f t="shared" si="430"/>
        <v>69.999999999999986</v>
      </c>
      <c r="AJ109" s="1545">
        <f t="shared" ref="AJ109:BO109" si="431">+AJ27*100/AJ108</f>
        <v>70.712593423492194</v>
      </c>
      <c r="AK109" s="1545">
        <f t="shared" si="431"/>
        <v>70</v>
      </c>
      <c r="AL109" s="1545">
        <f t="shared" si="431"/>
        <v>67.962178746849304</v>
      </c>
      <c r="AM109" s="1545">
        <f t="shared" si="431"/>
        <v>70</v>
      </c>
      <c r="AN109" s="1545">
        <f t="shared" si="431"/>
        <v>69.768783385287577</v>
      </c>
      <c r="AO109" s="1545">
        <f t="shared" si="431"/>
        <v>70</v>
      </c>
      <c r="AP109" s="1545">
        <f t="shared" si="431"/>
        <v>70.394459906663442</v>
      </c>
      <c r="AQ109" s="1545">
        <f t="shared" si="431"/>
        <v>70.000000000000014</v>
      </c>
      <c r="AR109" s="1545">
        <f t="shared" si="431"/>
        <v>68.691563814948694</v>
      </c>
      <c r="AS109" s="1545">
        <f t="shared" si="431"/>
        <v>70</v>
      </c>
      <c r="AT109" s="1545">
        <f t="shared" si="431"/>
        <v>70.223630565554814</v>
      </c>
      <c r="AU109" s="1545">
        <f t="shared" si="431"/>
        <v>70</v>
      </c>
      <c r="AV109" s="1545">
        <f t="shared" si="431"/>
        <v>72.190192142263896</v>
      </c>
      <c r="AW109" s="1545">
        <f t="shared" si="431"/>
        <v>70.000000000000014</v>
      </c>
      <c r="AX109" s="1545">
        <f t="shared" si="431"/>
        <v>70.36790572236832</v>
      </c>
      <c r="AY109" s="1545">
        <f t="shared" si="431"/>
        <v>70.000000000000014</v>
      </c>
      <c r="AZ109" s="1545">
        <f t="shared" si="431"/>
        <v>72.275284582999859</v>
      </c>
      <c r="BA109" s="1545">
        <f t="shared" si="431"/>
        <v>70</v>
      </c>
      <c r="BB109" s="1545">
        <f t="shared" si="431"/>
        <v>70.969266257123536</v>
      </c>
      <c r="BC109" s="1545">
        <f t="shared" si="431"/>
        <v>70</v>
      </c>
      <c r="BD109" s="1545">
        <f t="shared" si="431"/>
        <v>70.362197475061009</v>
      </c>
      <c r="BE109" s="1545">
        <f t="shared" si="431"/>
        <v>70</v>
      </c>
      <c r="BF109" s="1545">
        <f t="shared" si="431"/>
        <v>70.531050500906105</v>
      </c>
      <c r="BG109" s="4234"/>
      <c r="BH109" s="4234"/>
      <c r="BI109" s="25"/>
      <c r="BJ109" s="25"/>
      <c r="BK109" s="25"/>
      <c r="BL109" s="25"/>
      <c r="BM109" s="25"/>
      <c r="BN109" s="25"/>
    </row>
    <row r="110" spans="1:68" x14ac:dyDescent="0.25">
      <c r="A110" s="137"/>
      <c r="B110" s="90"/>
      <c r="C110" s="324" t="s">
        <v>1285</v>
      </c>
      <c r="D110" s="1260">
        <f t="shared" ref="D110:AI110" si="432">+D28*100/D108</f>
        <v>12.999999999999996</v>
      </c>
      <c r="E110" s="1260">
        <f t="shared" si="432"/>
        <v>13</v>
      </c>
      <c r="F110" s="1260">
        <f t="shared" si="432"/>
        <v>13.293951451534912</v>
      </c>
      <c r="G110" s="1260">
        <f t="shared" si="432"/>
        <v>12.999999999999998</v>
      </c>
      <c r="H110" s="1260">
        <f t="shared" si="432"/>
        <v>15.304906145415409</v>
      </c>
      <c r="I110" s="1260">
        <f t="shared" si="432"/>
        <v>12.999999999999998</v>
      </c>
      <c r="J110" s="1260">
        <f t="shared" si="432"/>
        <v>14.349696890109017</v>
      </c>
      <c r="K110" s="1260">
        <f t="shared" si="432"/>
        <v>12.999999999999998</v>
      </c>
      <c r="L110" s="1260">
        <f t="shared" si="432"/>
        <v>14.349506762924433</v>
      </c>
      <c r="M110" s="1260">
        <f t="shared" si="432"/>
        <v>13</v>
      </c>
      <c r="N110" s="1260">
        <f t="shared" si="432"/>
        <v>14.349630571205839</v>
      </c>
      <c r="O110" s="1260">
        <f t="shared" si="432"/>
        <v>12.999999999999998</v>
      </c>
      <c r="P110" s="1260">
        <f t="shared" si="432"/>
        <v>16.504475047367112</v>
      </c>
      <c r="Q110" s="1260">
        <f t="shared" si="432"/>
        <v>12.999999999999998</v>
      </c>
      <c r="R110" s="1260">
        <f t="shared" si="432"/>
        <v>14.916734642025023</v>
      </c>
      <c r="S110" s="1260">
        <f t="shared" si="432"/>
        <v>12.999999999999998</v>
      </c>
      <c r="T110" s="1260">
        <f t="shared" si="432"/>
        <v>11.845227152280884</v>
      </c>
      <c r="U110" s="1260">
        <f t="shared" si="432"/>
        <v>12.999999999999998</v>
      </c>
      <c r="V110" s="1260">
        <f t="shared" si="432"/>
        <v>14.305547169648703</v>
      </c>
      <c r="W110" s="1260">
        <f t="shared" si="432"/>
        <v>12.999999999999998</v>
      </c>
      <c r="X110" s="1260">
        <f t="shared" si="432"/>
        <v>11.136280266425759</v>
      </c>
      <c r="Y110" s="1260">
        <f t="shared" si="432"/>
        <v>12.999999999999995</v>
      </c>
      <c r="Z110" s="1260">
        <f t="shared" si="432"/>
        <v>13.25347058603146</v>
      </c>
      <c r="AA110" s="1260">
        <f t="shared" si="432"/>
        <v>12.999999999999998</v>
      </c>
      <c r="AB110" s="1260">
        <f t="shared" si="432"/>
        <v>13.796520224733131</v>
      </c>
      <c r="AC110" s="1260">
        <f t="shared" si="432"/>
        <v>12.999999999999998</v>
      </c>
      <c r="AD110" s="1260">
        <f t="shared" si="432"/>
        <v>13.174350734237397</v>
      </c>
      <c r="AE110" s="1260">
        <f t="shared" si="432"/>
        <v>12.999999999999995</v>
      </c>
      <c r="AF110" s="1260">
        <f t="shared" si="432"/>
        <v>13.722307801133958</v>
      </c>
      <c r="AG110" s="1260">
        <f t="shared" si="432"/>
        <v>12.999999999999998</v>
      </c>
      <c r="AH110" s="1260">
        <f t="shared" si="432"/>
        <v>12.154322394688274</v>
      </c>
      <c r="AI110" s="1260">
        <f t="shared" si="432"/>
        <v>12.999999999999998</v>
      </c>
      <c r="AJ110" s="1260">
        <f t="shared" ref="AJ110:BF110" si="433">+AJ28*100/AJ108</f>
        <v>13.525579792686708</v>
      </c>
      <c r="AK110" s="1260">
        <f t="shared" si="433"/>
        <v>12.999999999999998</v>
      </c>
      <c r="AL110" s="1260">
        <f t="shared" si="433"/>
        <v>15.533623174551535</v>
      </c>
      <c r="AM110" s="1260">
        <f t="shared" si="433"/>
        <v>13.000000000000002</v>
      </c>
      <c r="AN110" s="1260">
        <f t="shared" si="433"/>
        <v>13.675231927279752</v>
      </c>
      <c r="AO110" s="1260">
        <f t="shared" si="433"/>
        <v>13</v>
      </c>
      <c r="AP110" s="1545">
        <f t="shared" si="433"/>
        <v>13.757845097421445</v>
      </c>
      <c r="AQ110" s="1260">
        <f t="shared" si="433"/>
        <v>13</v>
      </c>
      <c r="AR110" s="1260">
        <f t="shared" si="433"/>
        <v>17.050233239280917</v>
      </c>
      <c r="AS110" s="1260">
        <f t="shared" si="433"/>
        <v>12.999999999999998</v>
      </c>
      <c r="AT110" s="1545">
        <f t="shared" si="433"/>
        <v>14.088127432135929</v>
      </c>
      <c r="AU110" s="1260">
        <f t="shared" si="433"/>
        <v>12.999999999999996</v>
      </c>
      <c r="AV110" s="1260">
        <f t="shared" si="433"/>
        <v>13.514695735940691</v>
      </c>
      <c r="AW110" s="1260">
        <f t="shared" si="433"/>
        <v>12.999999999999998</v>
      </c>
      <c r="AX110" s="1545">
        <f t="shared" si="433"/>
        <v>14.046058091989023</v>
      </c>
      <c r="AY110" s="1260">
        <f t="shared" si="433"/>
        <v>13</v>
      </c>
      <c r="AZ110" s="1260">
        <f t="shared" si="433"/>
        <v>12.133575838412057</v>
      </c>
      <c r="BA110" s="1260">
        <f t="shared" si="433"/>
        <v>13</v>
      </c>
      <c r="BB110" s="1260">
        <f t="shared" si="433"/>
        <v>14.282325541331351</v>
      </c>
      <c r="BC110" s="1260">
        <f t="shared" si="433"/>
        <v>13</v>
      </c>
      <c r="BD110" s="1260">
        <f t="shared" si="433"/>
        <v>13.97532609175436</v>
      </c>
      <c r="BE110" s="1260">
        <f t="shared" si="433"/>
        <v>12.999999999999996</v>
      </c>
      <c r="BF110" s="1545">
        <f t="shared" si="433"/>
        <v>13.882476802420816</v>
      </c>
      <c r="BG110" s="4234"/>
      <c r="BH110" s="4234"/>
      <c r="BI110" s="25"/>
      <c r="BJ110" s="25"/>
      <c r="BK110" s="25"/>
      <c r="BL110" s="25"/>
      <c r="BM110" s="25"/>
      <c r="BN110" s="25"/>
    </row>
    <row r="111" spans="1:68" x14ac:dyDescent="0.25">
      <c r="A111" s="137"/>
      <c r="B111" s="90"/>
      <c r="C111" s="324" t="s">
        <v>1286</v>
      </c>
      <c r="D111" s="1545">
        <f t="shared" ref="D111" si="434">100-D109-D110</f>
        <v>17.000000000000018</v>
      </c>
      <c r="E111" s="1545">
        <f t="shared" ref="E111" si="435">100-E109-E110</f>
        <v>17</v>
      </c>
      <c r="F111" s="1545">
        <f>100-F109-F110</f>
        <v>15.217146620866739</v>
      </c>
      <c r="G111" s="1545">
        <f t="shared" ref="G111" si="436">100-G109-G110</f>
        <v>17</v>
      </c>
      <c r="H111" s="1545">
        <f>100-H109-H110</f>
        <v>16.666216811948523</v>
      </c>
      <c r="I111" s="1545">
        <f t="shared" ref="I111:S111" si="437">100-I109-I110</f>
        <v>17.000000000000014</v>
      </c>
      <c r="J111" s="1545">
        <f t="shared" si="437"/>
        <v>15.977904309274036</v>
      </c>
      <c r="K111" s="1545">
        <f t="shared" si="437"/>
        <v>17</v>
      </c>
      <c r="L111" s="1545">
        <f>100-L109-L110</f>
        <v>15.047416471674611</v>
      </c>
      <c r="M111" s="1545">
        <f t="shared" si="437"/>
        <v>17</v>
      </c>
      <c r="N111" s="1545">
        <f t="shared" si="437"/>
        <v>15.653337714843328</v>
      </c>
      <c r="O111" s="1545">
        <f t="shared" ref="O111" si="438">100-O109-O110</f>
        <v>17</v>
      </c>
      <c r="P111" s="1545">
        <f>100-P109-P110</f>
        <v>12.547111298604772</v>
      </c>
      <c r="Q111" s="1545">
        <f t="shared" si="437"/>
        <v>17</v>
      </c>
      <c r="R111" s="1545">
        <f t="shared" si="437"/>
        <v>14.835852432252036</v>
      </c>
      <c r="S111" s="1545">
        <f t="shared" si="437"/>
        <v>17</v>
      </c>
      <c r="T111" s="1545">
        <f>100-T109-T110</f>
        <v>16.742641892683451</v>
      </c>
      <c r="U111" s="1545">
        <f t="shared" ref="U111:W111" si="439">100-U109-U110</f>
        <v>17.000000000000014</v>
      </c>
      <c r="V111" s="1545">
        <f t="shared" si="439"/>
        <v>15.215277139685186</v>
      </c>
      <c r="W111" s="1545">
        <f t="shared" si="439"/>
        <v>17</v>
      </c>
      <c r="X111" s="1545">
        <f>100-X109-X110</f>
        <v>17.088308088955316</v>
      </c>
      <c r="Y111" s="1545">
        <f t="shared" ref="Y111:Z111" si="440">100-Y109-Y110</f>
        <v>17.000000000000007</v>
      </c>
      <c r="Z111" s="1545">
        <f t="shared" si="440"/>
        <v>15.381380613189572</v>
      </c>
      <c r="AA111" s="1545">
        <f t="shared" ref="AA111:AF111" si="441">100-AA109-AA110</f>
        <v>17</v>
      </c>
      <c r="AB111" s="1545">
        <f t="shared" si="441"/>
        <v>15.516111134092439</v>
      </c>
      <c r="AC111" s="1545">
        <f t="shared" si="441"/>
        <v>17</v>
      </c>
      <c r="AD111" s="1545">
        <f>100-AD109-AD110</f>
        <v>16.632684498704275</v>
      </c>
      <c r="AE111" s="1545">
        <f t="shared" si="441"/>
        <v>17.000000000000021</v>
      </c>
      <c r="AF111" s="1545">
        <f t="shared" si="441"/>
        <v>15.649296088963972</v>
      </c>
      <c r="AG111" s="1545">
        <f t="shared" ref="AG111" si="442">100-AG109-AG110</f>
        <v>17</v>
      </c>
      <c r="AH111" s="1545">
        <f>100-AH109-AH110</f>
        <v>16.546201866162754</v>
      </c>
      <c r="AI111" s="1545">
        <f t="shared" ref="AI111:AK111" si="443">100-AI109-AI110</f>
        <v>17.000000000000014</v>
      </c>
      <c r="AJ111" s="1545">
        <f t="shared" si="443"/>
        <v>15.761826783821098</v>
      </c>
      <c r="AK111" s="1545">
        <f t="shared" si="443"/>
        <v>17</v>
      </c>
      <c r="AL111" s="1545">
        <f>100-AL109-AL110</f>
        <v>16.50419807859916</v>
      </c>
      <c r="AM111" s="1545">
        <f t="shared" ref="AM111:AT111" si="444">100-AM109-AM110</f>
        <v>17</v>
      </c>
      <c r="AN111" s="1545">
        <f t="shared" si="444"/>
        <v>16.555984687432669</v>
      </c>
      <c r="AO111" s="1545">
        <f t="shared" si="444"/>
        <v>17</v>
      </c>
      <c r="AP111" s="1545">
        <f t="shared" si="444"/>
        <v>15.847694995915113</v>
      </c>
      <c r="AQ111" s="1545">
        <f t="shared" si="444"/>
        <v>16.999999999999986</v>
      </c>
      <c r="AR111" s="1545">
        <f>100-AR109-AR110</f>
        <v>14.258202945770389</v>
      </c>
      <c r="AS111" s="1545">
        <f t="shared" si="444"/>
        <v>17</v>
      </c>
      <c r="AT111" s="1545">
        <f t="shared" si="444"/>
        <v>15.688242002309257</v>
      </c>
      <c r="AU111" s="1545">
        <f t="shared" ref="AU111" si="445">100-AU109-AU110</f>
        <v>17.000000000000004</v>
      </c>
      <c r="AV111" s="1545">
        <f>100-AV109-AV110</f>
        <v>14.295112121795412</v>
      </c>
      <c r="AW111" s="1545">
        <f t="shared" ref="AW111:AY111" si="446">100-AW109-AW110</f>
        <v>16.999999999999986</v>
      </c>
      <c r="AX111" s="1545">
        <f t="shared" si="446"/>
        <v>15.586036185642657</v>
      </c>
      <c r="AY111" s="1545">
        <f t="shared" si="446"/>
        <v>16.999999999999986</v>
      </c>
      <c r="AZ111" s="1545">
        <f>100-AZ109-AZ110</f>
        <v>15.591139578588084</v>
      </c>
      <c r="BA111" s="1545">
        <f t="shared" ref="BA111:BD111" si="447">100-BA109-BA110</f>
        <v>17</v>
      </c>
      <c r="BB111" s="1545">
        <f t="shared" si="447"/>
        <v>14.748408201545113</v>
      </c>
      <c r="BC111" s="1545">
        <f t="shared" si="447"/>
        <v>17</v>
      </c>
      <c r="BD111" s="1545">
        <f t="shared" si="447"/>
        <v>15.662476433184631</v>
      </c>
      <c r="BE111" s="1545">
        <f t="shared" ref="BE111:BF111" si="448">100-BE109-BE110</f>
        <v>17.000000000000004</v>
      </c>
      <c r="BF111" s="1545">
        <f t="shared" si="448"/>
        <v>15.586472696673079</v>
      </c>
      <c r="BG111" s="4234"/>
      <c r="BH111" s="4234"/>
      <c r="BI111" s="25"/>
      <c r="BJ111" s="25"/>
      <c r="BK111" s="25"/>
      <c r="BL111" s="25"/>
      <c r="BM111" s="25"/>
      <c r="BN111" s="25"/>
    </row>
    <row r="112" spans="1:68" x14ac:dyDescent="0.25">
      <c r="AY112" s="4487"/>
      <c r="AZ112" s="4487"/>
      <c r="BH112" s="25"/>
      <c r="BI112" s="25"/>
    </row>
    <row r="113" spans="2:68" x14ac:dyDescent="0.25">
      <c r="AD113" s="25"/>
      <c r="AH113" s="112"/>
      <c r="AL113" s="25"/>
      <c r="AY113" s="4487"/>
      <c r="AZ113" s="4487"/>
    </row>
    <row r="114" spans="2:68" hidden="1" x14ac:dyDescent="0.25">
      <c r="B114" t="s">
        <v>2226</v>
      </c>
      <c r="AY114" s="4487"/>
      <c r="AZ114" s="4487"/>
    </row>
    <row r="115" spans="2:68" ht="18" hidden="1" x14ac:dyDescent="0.25">
      <c r="B115" t="s">
        <v>2227</v>
      </c>
      <c r="C115" s="8055" t="s">
        <v>49</v>
      </c>
      <c r="F115" s="6780">
        <v>94.5</v>
      </c>
      <c r="H115" s="6780">
        <v>94.5</v>
      </c>
      <c r="L115" s="6780">
        <v>94.5</v>
      </c>
      <c r="N115" s="6780">
        <v>94.5</v>
      </c>
      <c r="P115" s="6780">
        <v>94.5</v>
      </c>
      <c r="T115" s="6780">
        <v>94.5</v>
      </c>
      <c r="X115" s="6780">
        <v>94.5</v>
      </c>
      <c r="AD115" s="6780">
        <v>94.5</v>
      </c>
      <c r="AH115" s="6780">
        <v>94.5</v>
      </c>
      <c r="AL115" s="6780">
        <v>94.5</v>
      </c>
      <c r="AN115" s="6780">
        <v>94.5</v>
      </c>
      <c r="AR115" s="6780">
        <v>94.5</v>
      </c>
      <c r="AV115" s="6780">
        <v>94.5</v>
      </c>
      <c r="AY115" s="4487"/>
      <c r="AZ115" s="6780">
        <v>94.5</v>
      </c>
      <c r="BB115" s="6780">
        <v>94.5</v>
      </c>
      <c r="BD115" s="6780">
        <v>94.5</v>
      </c>
      <c r="BF115" s="6780">
        <v>94.5</v>
      </c>
    </row>
    <row r="116" spans="2:68" ht="18" hidden="1" x14ac:dyDescent="0.25">
      <c r="B116" t="s">
        <v>2228</v>
      </c>
      <c r="C116" s="8055"/>
      <c r="F116" s="6781">
        <f>+'Quality Iron ore sinter pellet'!R52</f>
        <v>57.06</v>
      </c>
      <c r="H116" s="6781">
        <f>+'Quality Iron ore sinter pellet'!R53</f>
        <v>56.88</v>
      </c>
      <c r="L116" s="6781">
        <f>+'Quality Iron ore sinter pellet'!R54</f>
        <v>56.59</v>
      </c>
      <c r="N116" s="6781">
        <f>AVERAGE(F116,H116,L116)</f>
        <v>56.843333333333334</v>
      </c>
      <c r="P116" s="6781">
        <f>+'Quality Iron ore sinter pellet'!R55</f>
        <v>55.77</v>
      </c>
      <c r="T116" s="6781">
        <f>+'Quality Iron ore sinter pellet'!R56</f>
        <v>56.09</v>
      </c>
      <c r="X116" s="6781">
        <f>+'Quality Iron ore sinter pellet'!R57</f>
        <v>55.81</v>
      </c>
      <c r="AD116" s="6781">
        <f>+'Quality Iron ore sinter pellet'!R58</f>
        <v>55.81</v>
      </c>
      <c r="AH116" s="6781">
        <f>+'Quality Iron ore sinter pellet'!R59</f>
        <v>55.81</v>
      </c>
      <c r="AL116" s="6781">
        <f>+'Quality Iron ore sinter pellet'!R60</f>
        <v>53.71</v>
      </c>
      <c r="AN116" s="6781">
        <f>AVERAGE(AD116,AH116,AL116)</f>
        <v>55.110000000000007</v>
      </c>
      <c r="AR116" s="6781">
        <f>+'Quality Iron ore sinter pellet'!R61</f>
        <v>54.17</v>
      </c>
      <c r="AV116" s="6781">
        <f>+'Quality Iron ore sinter pellet'!R62</f>
        <v>55.25</v>
      </c>
      <c r="AY116" s="4487"/>
      <c r="AZ116" s="6781">
        <f>+'Quality Iron ore sinter pellet'!R63</f>
        <v>55.76</v>
      </c>
      <c r="BB116" s="6781">
        <f>AVERAGE(AR116,AV116,AZ116)</f>
        <v>55.06</v>
      </c>
      <c r="BD116" s="6781">
        <f>AVERAGE(AN116,BB116)</f>
        <v>55.085000000000008</v>
      </c>
      <c r="BF116" s="6781">
        <f>'Quality Iron ore sinter pellet'!R64</f>
        <v>55.72005642302755</v>
      </c>
    </row>
    <row r="117" spans="2:68" ht="18" hidden="1" x14ac:dyDescent="0.25">
      <c r="B117" t="s">
        <v>2229</v>
      </c>
      <c r="C117" s="8055"/>
      <c r="F117" s="6782">
        <f>+'Quality Iron ore sinter pellet'!L52</f>
        <v>62.97</v>
      </c>
      <c r="H117" s="6782">
        <f>+'Quality Iron ore sinter pellet'!L53</f>
        <v>63.05</v>
      </c>
      <c r="L117" s="6782">
        <f>+'Quality Iron ore sinter pellet'!L54</f>
        <v>63.086674418604645</v>
      </c>
      <c r="N117" s="6781">
        <f t="shared" ref="N117:N118" si="449">AVERAGE(F117,H117,L117)</f>
        <v>63.035558139534885</v>
      </c>
      <c r="P117" s="6782">
        <f>+'Quality Iron ore sinter pellet'!L55</f>
        <v>62.5</v>
      </c>
      <c r="T117" s="6782">
        <f>+'Quality Iron ore sinter pellet'!L56</f>
        <v>63.167023255813973</v>
      </c>
      <c r="X117" s="6782">
        <f>+'Quality Iron ore sinter pellet'!L57</f>
        <v>62.72</v>
      </c>
      <c r="AD117" s="6782">
        <f>+'Quality Iron ore sinter pellet'!L58</f>
        <v>62.71</v>
      </c>
      <c r="AH117" s="6782">
        <f>+'Quality Iron ore sinter pellet'!L59</f>
        <v>63.103594594594576</v>
      </c>
      <c r="AL117" s="6782">
        <f>+'Quality Iron ore sinter pellet'!L60</f>
        <v>62.52</v>
      </c>
      <c r="AN117" s="6781">
        <f t="shared" ref="AN117:AN118" si="450">AVERAGE(AD117,AH117,AL117)</f>
        <v>62.77786486486486</v>
      </c>
      <c r="AR117" s="6782">
        <f>+'Quality Iron ore sinter pellet'!L61</f>
        <v>62.606999999999992</v>
      </c>
      <c r="AV117" s="6782">
        <f>+'Quality Iron ore sinter pellet'!L62</f>
        <v>62.828891304347806</v>
      </c>
      <c r="AY117" s="4487"/>
      <c r="AZ117" s="6782">
        <f>+'Quality Iron ore sinter pellet'!L63</f>
        <v>62.996566037735839</v>
      </c>
      <c r="BB117" s="6781">
        <f t="shared" ref="BB117:BB118" si="451">AVERAGE(AR117,AV117,AZ117)</f>
        <v>62.810819114027879</v>
      </c>
      <c r="BD117" s="6781">
        <f t="shared" ref="BD117:BD118" si="452">AVERAGE(AN117,BB117)</f>
        <v>62.794341989446366</v>
      </c>
      <c r="BF117" s="6781">
        <f>'Quality Iron ore sinter pellet'!L64</f>
        <v>62.85497913425808</v>
      </c>
    </row>
    <row r="118" spans="2:68" ht="18" hidden="1" x14ac:dyDescent="0.25">
      <c r="B118" t="s">
        <v>2230</v>
      </c>
      <c r="C118" s="8055"/>
      <c r="F118" s="6782">
        <f>+'Quality Iron ore sinter pellet'!X52</f>
        <v>63.366999999999997</v>
      </c>
      <c r="H118" s="6782">
        <f>+'Quality Iron ore sinter pellet'!X53</f>
        <v>63.336250000000007</v>
      </c>
      <c r="L118" s="6782">
        <f>+'Quality Iron ore sinter pellet'!X54</f>
        <v>63.178235294117648</v>
      </c>
      <c r="N118" s="6781">
        <f t="shared" si="449"/>
        <v>63.293828431372553</v>
      </c>
      <c r="P118" s="6782">
        <f>+'Quality Iron ore sinter pellet'!X55</f>
        <v>63.954999999999998</v>
      </c>
      <c r="T118" s="6782">
        <f>+'Quality Iron ore sinter pellet'!X56</f>
        <v>63.846666666666678</v>
      </c>
      <c r="X118" s="6782">
        <f>+'Quality Iron ore sinter pellet'!X57</f>
        <v>63.853076923076927</v>
      </c>
      <c r="AD118" s="6782">
        <f>+'Quality Iron ore sinter pellet'!X58</f>
        <v>63.32866666666667</v>
      </c>
      <c r="AH118" s="6782">
        <f>+'Quality Iron ore sinter pellet'!X59</f>
        <v>62.823333333333338</v>
      </c>
      <c r="AL118" s="6782">
        <f>+'Quality Iron ore sinter pellet'!X60</f>
        <v>62.42</v>
      </c>
      <c r="AN118" s="6781">
        <f t="shared" si="450"/>
        <v>62.857333333333337</v>
      </c>
      <c r="AR118" s="6782">
        <f>+'Quality Iron ore sinter pellet'!X61</f>
        <v>62.94</v>
      </c>
      <c r="AV118" s="6782">
        <f>+'Quality Iron ore sinter pellet'!X62</f>
        <v>63.323571428571434</v>
      </c>
      <c r="AY118" s="4487"/>
      <c r="AZ118" s="6782">
        <f>+'Quality Iron ore sinter pellet'!X63</f>
        <v>62.881333333333338</v>
      </c>
      <c r="BB118" s="6781">
        <f t="shared" si="451"/>
        <v>63.048301587301587</v>
      </c>
      <c r="BD118" s="6781">
        <f t="shared" si="452"/>
        <v>62.952817460317462</v>
      </c>
      <c r="BF118" s="6781">
        <f>'Quality Iron ore sinter pellet'!X64</f>
        <v>63.271094470480499</v>
      </c>
    </row>
    <row r="119" spans="2:68" ht="18" hidden="1" x14ac:dyDescent="0.25">
      <c r="C119" s="8055"/>
      <c r="F119" s="6783"/>
      <c r="H119" s="6783"/>
      <c r="L119" s="6783"/>
      <c r="N119" s="6783"/>
      <c r="P119" s="6783"/>
      <c r="T119" s="6783"/>
      <c r="X119" s="6783"/>
      <c r="AD119" s="6783"/>
      <c r="AH119" s="6783"/>
      <c r="AL119" s="6783"/>
      <c r="AN119" s="6783"/>
      <c r="AR119" s="6783"/>
      <c r="AV119" s="6783"/>
      <c r="AY119" s="4487"/>
      <c r="AZ119" s="6783"/>
      <c r="BB119" s="6783"/>
      <c r="BD119" s="6783"/>
      <c r="BF119" s="6783"/>
    </row>
    <row r="120" spans="2:68" ht="18" hidden="1" x14ac:dyDescent="0.25">
      <c r="B120" t="s">
        <v>2231</v>
      </c>
      <c r="C120" s="8055"/>
      <c r="F120" s="6786">
        <f>+F52</f>
        <v>71.488901927598349</v>
      </c>
      <c r="H120" s="6786">
        <f>+H52</f>
        <v>68.028877042636068</v>
      </c>
      <c r="L120" s="6786">
        <f>+L52</f>
        <v>70.603076765400957</v>
      </c>
      <c r="N120" s="6786">
        <f>+N52</f>
        <v>69.997031713950832</v>
      </c>
      <c r="P120" s="6786">
        <f>+P52</f>
        <v>70.948413654028116</v>
      </c>
      <c r="T120" s="6786">
        <f>+T52</f>
        <v>71.412130955035664</v>
      </c>
      <c r="X120" s="6786">
        <f>+X52</f>
        <v>71.775411644618927</v>
      </c>
      <c r="AD120" s="6786">
        <f>+AD52</f>
        <v>70.192964767058328</v>
      </c>
      <c r="AH120" s="6786">
        <f>+AH52</f>
        <v>71.299475739148974</v>
      </c>
      <c r="AL120" s="6786">
        <f>+AL52</f>
        <v>67.962178746849304</v>
      </c>
      <c r="AN120" s="6786">
        <f>+AN52</f>
        <v>69.768783385287577</v>
      </c>
      <c r="AR120" s="6786">
        <f>+AR52</f>
        <v>68.691563814948694</v>
      </c>
      <c r="AV120" s="6786">
        <f>+AV52</f>
        <v>72.190192142263896</v>
      </c>
      <c r="AY120" s="4487"/>
      <c r="AZ120" s="6786">
        <f>+AZ52</f>
        <v>72.275284582999859</v>
      </c>
      <c r="BB120" s="6786">
        <f>+BB52</f>
        <v>70.969266257123536</v>
      </c>
      <c r="BD120" s="6786">
        <f>+BD52</f>
        <v>70.362197475061009</v>
      </c>
      <c r="BF120" s="6786">
        <f>+BF52</f>
        <v>70.531050500906105</v>
      </c>
    </row>
    <row r="121" spans="2:68" ht="18" hidden="1" x14ac:dyDescent="0.25">
      <c r="B121" t="s">
        <v>2232</v>
      </c>
      <c r="C121" s="8055"/>
      <c r="F121" s="6787">
        <f t="shared" ref="F121:H121" si="453">100-F120-F122</f>
        <v>13.293951451534912</v>
      </c>
      <c r="H121" s="6787">
        <f t="shared" si="453"/>
        <v>15.304906145415409</v>
      </c>
      <c r="L121" s="6787">
        <f t="shared" ref="L121" si="454">100-L120-L122</f>
        <v>14.349506762924433</v>
      </c>
      <c r="N121" s="6787">
        <f t="shared" ref="N121" si="455">100-N120-N122</f>
        <v>14.349630571205839</v>
      </c>
      <c r="P121" s="6787">
        <f t="shared" ref="P121" si="456">100-P120-P122</f>
        <v>16.504475047367112</v>
      </c>
      <c r="T121" s="6787">
        <f t="shared" ref="T121" si="457">100-T120-T122</f>
        <v>11.845227152280884</v>
      </c>
      <c r="X121" s="6787">
        <f t="shared" ref="X121" si="458">100-X120-X122</f>
        <v>11.136280266425757</v>
      </c>
      <c r="AD121" s="6787">
        <f t="shared" ref="AD121" si="459">100-AD120-AD122</f>
        <v>13.174350734237397</v>
      </c>
      <c r="AH121" s="6787">
        <f t="shared" ref="AH121" si="460">100-AH120-AH122</f>
        <v>12.154322394688272</v>
      </c>
      <c r="AL121" s="6787">
        <f t="shared" ref="AL121" si="461">100-AL120-AL122</f>
        <v>15.533623174551536</v>
      </c>
      <c r="AN121" s="6787">
        <f t="shared" ref="AN121" si="462">100-AN120-AN122</f>
        <v>13.675231927279754</v>
      </c>
      <c r="AR121" s="6787">
        <f t="shared" ref="AR121" si="463">100-AR120-AR122</f>
        <v>17.050233239280917</v>
      </c>
      <c r="AV121" s="6787">
        <f t="shared" ref="AV121" si="464">100-AV120-AV122</f>
        <v>13.514695735940691</v>
      </c>
      <c r="AY121" s="4487"/>
      <c r="AZ121" s="6787">
        <f t="shared" ref="AZ121:BB121" si="465">100-AZ120-AZ122</f>
        <v>12.133575838412057</v>
      </c>
      <c r="BB121" s="6787">
        <f t="shared" si="465"/>
        <v>14.282325541331351</v>
      </c>
      <c r="BD121" s="6787">
        <f t="shared" ref="BD121" si="466">100-BD120-BD122</f>
        <v>13.97532609175436</v>
      </c>
      <c r="BF121" s="6787">
        <f t="shared" ref="BF121" si="467">100-BF120-BF122</f>
        <v>13.882476802420816</v>
      </c>
    </row>
    <row r="122" spans="2:68" ht="18" hidden="1" x14ac:dyDescent="0.25">
      <c r="B122" t="s">
        <v>2233</v>
      </c>
      <c r="C122" s="8055"/>
      <c r="F122" s="6786">
        <f>+F53</f>
        <v>15.217146620866739</v>
      </c>
      <c r="H122" s="6786">
        <f>+H53</f>
        <v>16.666216811948523</v>
      </c>
      <c r="L122" s="6786">
        <f>+L53</f>
        <v>15.047416471674611</v>
      </c>
      <c r="N122" s="6786">
        <f>+N53</f>
        <v>15.653337714843328</v>
      </c>
      <c r="P122" s="6786">
        <f>+P53</f>
        <v>12.547111298604772</v>
      </c>
      <c r="T122" s="6786">
        <f>+T53</f>
        <v>16.742641892683451</v>
      </c>
      <c r="X122" s="6786">
        <f>+X53</f>
        <v>17.088308088955316</v>
      </c>
      <c r="AD122" s="6786">
        <f>+AD53</f>
        <v>16.632684498704275</v>
      </c>
      <c r="AH122" s="6786">
        <f>+AH53</f>
        <v>16.546201866162754</v>
      </c>
      <c r="AL122" s="6786">
        <f>+AL53</f>
        <v>16.50419807859916</v>
      </c>
      <c r="AN122" s="6786">
        <f>+AN53</f>
        <v>16.555984687432669</v>
      </c>
      <c r="AR122" s="6786">
        <f>+AR53</f>
        <v>14.258202945770389</v>
      </c>
      <c r="AV122" s="6786">
        <f>+AV53</f>
        <v>14.295112121795412</v>
      </c>
      <c r="AY122" s="4487"/>
      <c r="AZ122" s="6786">
        <f>+AZ53</f>
        <v>15.591139578588084</v>
      </c>
      <c r="BB122" s="6786">
        <f>+BB53</f>
        <v>14.748408201545113</v>
      </c>
      <c r="BD122" s="6786">
        <f>+BD53</f>
        <v>15.662476433184631</v>
      </c>
      <c r="BF122" s="6786">
        <f>+BF53</f>
        <v>15.586472696673079</v>
      </c>
    </row>
    <row r="123" spans="2:68" ht="18" hidden="1" x14ac:dyDescent="0.25">
      <c r="B123" t="s">
        <v>2234</v>
      </c>
      <c r="C123" s="8055"/>
      <c r="F123" s="6787">
        <f t="shared" ref="F123:H123" si="468">+F120+F122</f>
        <v>86.706048548465091</v>
      </c>
      <c r="H123" s="6787">
        <f t="shared" si="468"/>
        <v>84.695093854584599</v>
      </c>
      <c r="L123" s="6787">
        <f t="shared" ref="L123" si="469">+L120+L122</f>
        <v>85.650493237075565</v>
      </c>
      <c r="N123" s="6787">
        <f t="shared" ref="N123" si="470">+N120+N122</f>
        <v>85.650369428794164</v>
      </c>
      <c r="P123" s="6787">
        <f t="shared" ref="P123" si="471">+P120+P122</f>
        <v>83.495524952632891</v>
      </c>
      <c r="T123" s="6787">
        <f t="shared" ref="T123" si="472">+T120+T122</f>
        <v>88.154772847719116</v>
      </c>
      <c r="X123" s="6787">
        <f t="shared" ref="X123" si="473">+X120+X122</f>
        <v>88.863719733574243</v>
      </c>
      <c r="AD123" s="6787">
        <f t="shared" ref="AD123" si="474">+AD120+AD122</f>
        <v>86.825649265762607</v>
      </c>
      <c r="AH123" s="6787">
        <f t="shared" ref="AH123" si="475">+AH120+AH122</f>
        <v>87.845677605311721</v>
      </c>
      <c r="AL123" s="6787">
        <f t="shared" ref="AL123" si="476">+AL120+AL122</f>
        <v>84.466376825448464</v>
      </c>
      <c r="AN123" s="6787">
        <f t="shared" ref="AN123" si="477">+AN120+AN122</f>
        <v>86.324768072720246</v>
      </c>
      <c r="AR123" s="6787">
        <f t="shared" ref="AR123" si="478">+AR120+AR122</f>
        <v>82.949766760719086</v>
      </c>
      <c r="AV123" s="6787">
        <f t="shared" ref="AV123" si="479">+AV120+AV122</f>
        <v>86.485304264059309</v>
      </c>
      <c r="AY123" s="4487"/>
      <c r="AZ123" s="6787">
        <f t="shared" ref="AZ123:BB123" si="480">+AZ120+AZ122</f>
        <v>87.866424161587943</v>
      </c>
      <c r="BB123" s="6787">
        <f t="shared" si="480"/>
        <v>85.717674458668654</v>
      </c>
      <c r="BD123" s="6787">
        <f t="shared" ref="BD123" si="481">+BD120+BD122</f>
        <v>86.024673908245646</v>
      </c>
      <c r="BF123" s="6787">
        <f t="shared" ref="BF123" si="482">+BF120+BF122</f>
        <v>86.117523197579189</v>
      </c>
    </row>
    <row r="124" spans="2:68" ht="18" hidden="1" x14ac:dyDescent="0.25">
      <c r="C124" s="8055"/>
      <c r="F124" s="6783"/>
      <c r="H124" s="6783"/>
      <c r="L124" s="6783"/>
      <c r="N124" s="6783"/>
      <c r="P124" s="6783"/>
      <c r="T124" s="6783"/>
      <c r="X124" s="6783"/>
      <c r="AD124" s="6783"/>
      <c r="AH124" s="6783"/>
      <c r="AL124" s="6783"/>
      <c r="AN124" s="6783"/>
      <c r="AR124" s="6783"/>
      <c r="AV124" s="6783"/>
      <c r="AY124" s="4487"/>
      <c r="AZ124" s="6783"/>
      <c r="BB124" s="6783"/>
      <c r="BD124" s="6783"/>
      <c r="BF124" s="6783"/>
    </row>
    <row r="125" spans="2:68" ht="18" hidden="1" x14ac:dyDescent="0.25">
      <c r="B125" t="s">
        <v>2235</v>
      </c>
      <c r="C125" s="8055"/>
      <c r="F125" s="6784">
        <f t="shared" ref="F125:H125" si="483">+((F120*F116)+(F121*F117)+(F122*F118))/100</f>
        <v>58.805417968163781</v>
      </c>
      <c r="H125" s="6784">
        <f t="shared" si="483"/>
        <v>58.900325332093558</v>
      </c>
      <c r="L125" s="6784">
        <f t="shared" ref="L125" si="484">+((L120*L116)+(L121*L117)+(L122*L118))/100</f>
        <v>58.513599937902598</v>
      </c>
      <c r="N125" s="6784">
        <f t="shared" ref="N125" si="485">+((N120*N116)+(N121*N117)+(N122*N118))/100</f>
        <v>58.741612499137311</v>
      </c>
      <c r="P125" s="6784">
        <f t="shared" ref="P125" si="486">+((P120*P116)+(P121*P117)+(P122*P118))/100</f>
        <v>57.907732230478608</v>
      </c>
      <c r="T125" s="6784">
        <f t="shared" ref="T125" si="487">+((T120*T116)+(T121*T117)+(T122*T118))/100</f>
        <v>58.226960403080064</v>
      </c>
      <c r="X125" s="6784">
        <f t="shared" ref="X125" si="488">+((X120*X116)+(X121*X117)+(X122*X118))/100</f>
        <v>57.953942730857072</v>
      </c>
      <c r="AD125" s="6784">
        <f t="shared" ref="AD125" si="489">+((AD120*AD116)+(AD121*AD117)+(AD122*AD118))/100</f>
        <v>57.969586305838291</v>
      </c>
      <c r="AH125" s="6784">
        <f t="shared" ref="AH125" si="490">+((AH120*AH116)+(AH121*AH117)+(AH122*AH118))/100</f>
        <v>57.856927292068796</v>
      </c>
      <c r="AL125" s="6784">
        <f t="shared" ref="AL125" si="491">+((AL120*AL116)+(AL121*AL117)+(AL122*AL118))/100</f>
        <v>56.516027854323987</v>
      </c>
      <c r="AN125" s="6784">
        <f t="shared" ref="AN125" si="492">+((AN120*AN116)+(AN121*AN117)+(AN122*AN118))/100</f>
        <v>57.4412456244917</v>
      </c>
      <c r="AR125" s="6784">
        <f t="shared" ref="AR125" si="493">+((AR120*AR116)+(AR121*AR117)+(AR122*AR118))/100</f>
        <v>56.85897257674219</v>
      </c>
      <c r="AV125" s="6784">
        <f t="shared" ref="AV125" si="494">+((AV120*AV116)+(AV121*AV117)+(AV122*AV118))/100</f>
        <v>57.4283901878878</v>
      </c>
      <c r="AY125" s="4487"/>
      <c r="AZ125" s="6784">
        <f t="shared" ref="AZ125:BB125" si="495">+((AZ120*AZ116)+(AZ121*AZ117)+(AZ122*AZ118))/100</f>
        <v>57.748351248141965</v>
      </c>
      <c r="BB125" s="6784">
        <f t="shared" si="495"/>
        <v>57.345144544450939</v>
      </c>
      <c r="BD125" s="6784">
        <f t="shared" ref="BD125" si="496">+((BD120*BD116)+(BD121*BD117)+(BD122*BD118))/100</f>
        <v>57.39470073808188</v>
      </c>
      <c r="BF125" s="6784">
        <f t="shared" ref="BF125" si="497">+((BF120*BF116)+(BF121*BF117)+(BF122*BF118))/100</f>
        <v>57.887500896866435</v>
      </c>
    </row>
    <row r="126" spans="2:68" ht="18" hidden="1" x14ac:dyDescent="0.25">
      <c r="B126" t="s">
        <v>2236</v>
      </c>
      <c r="C126" s="8055" t="s">
        <v>241</v>
      </c>
      <c r="F126" s="6785">
        <f t="shared" ref="F126:H126" si="498">+F115*1000/F125</f>
        <v>1606.9947849220396</v>
      </c>
      <c r="H126" s="6785">
        <f t="shared" si="498"/>
        <v>1604.4053995828938</v>
      </c>
      <c r="L126" s="6785">
        <f t="shared" ref="L126" si="499">+L115*1000/L125</f>
        <v>1615.009161977521</v>
      </c>
      <c r="N126" s="6785">
        <f t="shared" ref="N126" si="500">+N115*1000/N125</f>
        <v>1608.7403116723744</v>
      </c>
      <c r="P126" s="6785">
        <f t="shared" ref="P126" si="501">+P115*1000/P125</f>
        <v>1631.9064200939606</v>
      </c>
      <c r="T126" s="6785">
        <f t="shared" ref="T126" si="502">+T115*1000/T125</f>
        <v>1622.9595250347497</v>
      </c>
      <c r="X126" s="6785">
        <f t="shared" ref="X126" si="503">+X115*1000/X125</f>
        <v>1630.605193487281</v>
      </c>
      <c r="AD126" s="6785">
        <f t="shared" ref="AD126" si="504">+AD115*1000/AD125</f>
        <v>1630.165161114538</v>
      </c>
      <c r="AH126" s="6785">
        <f t="shared" ref="AH126" si="505">+AH115*1000/AH125</f>
        <v>1633.3394188556285</v>
      </c>
      <c r="AL126" s="6785">
        <f t="shared" ref="AL126" si="506">+AL115*1000/AL125</f>
        <v>1672.0920345567049</v>
      </c>
      <c r="AN126" s="6785">
        <f t="shared" ref="AN126" si="507">+AN115*1000/AN125</f>
        <v>1645.1593097017947</v>
      </c>
      <c r="AR126" s="6785">
        <f t="shared" ref="AR126" si="508">+AR115*1000/AR125</f>
        <v>1662.0068164695372</v>
      </c>
      <c r="AV126" s="6785">
        <f t="shared" ref="AV126" si="509">+AV115*1000/AV125</f>
        <v>1645.5275812333489</v>
      </c>
      <c r="AY126" s="4487"/>
      <c r="AZ126" s="6785">
        <f t="shared" ref="AZ126:BB126" si="510">+AZ115*1000/AZ125</f>
        <v>1636.4103555777363</v>
      </c>
      <c r="BB126" s="6785">
        <f t="shared" si="510"/>
        <v>1647.9163275410103</v>
      </c>
      <c r="BD126" s="6785">
        <f t="shared" ref="BD126" si="511">+BD115*1000/BD125</f>
        <v>1646.4934703858196</v>
      </c>
      <c r="BF126" s="6785">
        <f t="shared" ref="BF126" si="512">+BF115*1000/BF125</f>
        <v>1632.4767615786895</v>
      </c>
    </row>
    <row r="127" spans="2:68" s="4487" customFormat="1" ht="18" hidden="1" x14ac:dyDescent="0.25">
      <c r="C127" s="8055"/>
      <c r="F127" s="6785"/>
      <c r="H127" s="6785"/>
      <c r="L127" s="6785"/>
      <c r="N127" s="6785"/>
      <c r="P127" s="6785"/>
      <c r="T127" s="6785"/>
      <c r="X127" s="6785"/>
      <c r="AD127" s="6785"/>
      <c r="AH127" s="6785"/>
      <c r="AL127" s="6785"/>
      <c r="AN127" s="6785"/>
      <c r="AR127" s="6785"/>
      <c r="AV127" s="6785"/>
      <c r="AZ127" s="6785"/>
      <c r="BB127" s="6785"/>
      <c r="BD127" s="6785"/>
      <c r="BF127" s="6785"/>
      <c r="BP127" s="258"/>
    </row>
    <row r="128" spans="2:68" ht="18" hidden="1" x14ac:dyDescent="0.25">
      <c r="B128" s="31" t="s">
        <v>2241</v>
      </c>
      <c r="C128" s="8055"/>
      <c r="F128" s="6783"/>
      <c r="H128" s="6783"/>
      <c r="L128" s="6783"/>
      <c r="N128" s="6783"/>
      <c r="P128" s="6783"/>
      <c r="T128" s="6783"/>
      <c r="X128" s="6783"/>
      <c r="AD128" s="6783"/>
      <c r="AH128" s="6783"/>
      <c r="AL128" s="6783"/>
      <c r="AN128" s="6783"/>
      <c r="AR128" s="6783"/>
      <c r="AV128" s="6783"/>
      <c r="AY128" s="4487"/>
      <c r="AZ128" s="6783"/>
      <c r="BB128" s="6783"/>
      <c r="BD128" s="6783"/>
      <c r="BF128" s="6783"/>
    </row>
    <row r="129" spans="2:58" ht="18" hidden="1" x14ac:dyDescent="0.25">
      <c r="B129" t="s">
        <v>2239</v>
      </c>
      <c r="C129" s="8055"/>
      <c r="F129" s="6785">
        <f t="shared" ref="F129:H129" si="513">+F126*F120/100</f>
        <v>1148.8229257745368</v>
      </c>
      <c r="H129" s="6785">
        <f t="shared" si="513"/>
        <v>1091.4589765476608</v>
      </c>
      <c r="L129" s="6785">
        <f t="shared" ref="L129" si="514">+L126*L120/100</f>
        <v>1140.2461583992479</v>
      </c>
      <c r="N129" s="6785">
        <f t="shared" ref="N129" si="515">+N126*N120/100</f>
        <v>1126.0704661564234</v>
      </c>
      <c r="P129" s="6785">
        <f t="shared" ref="P129" si="516">+P126*P120/100</f>
        <v>1157.8117173749049</v>
      </c>
      <c r="T129" s="6785">
        <f t="shared" ref="T129" si="517">+T126*T120/100</f>
        <v>1158.9899813650402</v>
      </c>
      <c r="X129" s="6785">
        <f t="shared" ref="X129" si="518">+X126*X120/100</f>
        <v>1170.3735899240307</v>
      </c>
      <c r="AD129" s="6785">
        <f t="shared" ref="AD129" si="519">+AD126*AD120/100</f>
        <v>1144.2612571859872</v>
      </c>
      <c r="AH129" s="6785">
        <f t="shared" ref="AH129" si="520">+AH126*AH120/100</f>
        <v>1164.5624426849258</v>
      </c>
      <c r="AL129" s="6785">
        <f t="shared" ref="AL129" si="521">+AL126*AL120/100</f>
        <v>1136.390177337257</v>
      </c>
      <c r="AN129" s="6785">
        <f t="shared" ref="AN129" si="522">+AN126*AN120/100</f>
        <v>1147.8076351287375</v>
      </c>
      <c r="AR129" s="6785">
        <f t="shared" ref="AR129" si="523">+AR126*AR120/100</f>
        <v>1141.6584729439694</v>
      </c>
      <c r="AV129" s="6785">
        <f t="shared" ref="AV129" si="524">+AV126*AV120/100</f>
        <v>1187.9095226463023</v>
      </c>
      <c r="AY129" s="4487"/>
      <c r="AZ129" s="6785">
        <f t="shared" ref="AZ129:BB129" si="525">+AZ126*AZ120/100</f>
        <v>1182.7202414394887</v>
      </c>
      <c r="BB129" s="6785">
        <f t="shared" si="525"/>
        <v>1169.5141261871916</v>
      </c>
      <c r="BD129" s="6785">
        <f t="shared" ref="BD129" si="526">+BD126*BD120/100</f>
        <v>1158.5089870468555</v>
      </c>
      <c r="BF129" s="6785">
        <f t="shared" ref="BF129" si="527">+BF126*BF120/100</f>
        <v>1151.403009124622</v>
      </c>
    </row>
    <row r="130" spans="2:58" ht="18" hidden="1" x14ac:dyDescent="0.25">
      <c r="B130" t="s">
        <v>2237</v>
      </c>
      <c r="C130" s="8055"/>
      <c r="F130" s="6785">
        <f t="shared" ref="F130:H130" si="528">+F126*F121/100</f>
        <v>213.63310653623384</v>
      </c>
      <c r="H130" s="6785">
        <f t="shared" si="528"/>
        <v>245.55274059813894</v>
      </c>
      <c r="L130" s="6785">
        <f t="shared" ref="L130" si="529">+L126*L121/100</f>
        <v>231.74584891981357</v>
      </c>
      <c r="N130" s="6785">
        <f t="shared" ref="N130" si="530">+N126*N121/100</f>
        <v>230.84829157505115</v>
      </c>
      <c r="P130" s="6785">
        <f t="shared" ref="P130" si="531">+P126*P121/100</f>
        <v>269.33758790078969</v>
      </c>
      <c r="T130" s="6785">
        <f t="shared" ref="T130" si="532">+T126*T121/100</f>
        <v>192.24324232994505</v>
      </c>
      <c r="X130" s="6785">
        <f t="shared" ref="X130" si="533">+X126*X121/100</f>
        <v>181.58876438563763</v>
      </c>
      <c r="AD130" s="6785">
        <f t="shared" ref="AD130" si="534">+AD126*AD121/100</f>
        <v>214.76367587257536</v>
      </c>
      <c r="AH130" s="6785">
        <f t="shared" ref="AH130" si="535">+AH126*AH121/100</f>
        <v>198.52133876724093</v>
      </c>
      <c r="AL130" s="6785">
        <f t="shared" ref="AL130" si="536">+AL126*AL121/100</f>
        <v>259.7364757797306</v>
      </c>
      <c r="AN130" s="6785">
        <f t="shared" ref="AN130" si="537">+AN126*AN121/100</f>
        <v>224.97935117495501</v>
      </c>
      <c r="AR130" s="6785">
        <f t="shared" ref="AR130" si="538">+AR126*AR121/100</f>
        <v>283.3760386608036</v>
      </c>
      <c r="AV130" s="6785">
        <f t="shared" ref="AV130" si="539">+AV126*AV121/100</f>
        <v>222.38804585467139</v>
      </c>
      <c r="AY130" s="4487"/>
      <c r="AZ130" s="6785">
        <f t="shared" ref="AZ130:BB130" si="540">+AZ126*AZ121/100</f>
        <v>198.55509152165303</v>
      </c>
      <c r="BB130" s="6785">
        <f t="shared" si="540"/>
        <v>235.36077454815933</v>
      </c>
      <c r="BD130" s="6785">
        <f t="shared" ref="BD130" si="541">+BD126*BD121/100</f>
        <v>230.10283156586127</v>
      </c>
      <c r="BF130" s="6785">
        <f t="shared" ref="BF130" si="542">+BF126*BF121/100</f>
        <v>226.62820773107214</v>
      </c>
    </row>
    <row r="131" spans="2:58" ht="18" hidden="1" x14ac:dyDescent="0.25">
      <c r="B131" t="s">
        <v>2238</v>
      </c>
      <c r="C131" s="8055"/>
      <c r="F131" s="6785">
        <f t="shared" ref="F131:H131" si="543">+F126*F122/100</f>
        <v>244.53875261126888</v>
      </c>
      <c r="H131" s="6785">
        <f t="shared" si="543"/>
        <v>267.39368243709413</v>
      </c>
      <c r="L131" s="6785">
        <f t="shared" ref="L131" si="544">+L126*L122/100</f>
        <v>243.01715465845959</v>
      </c>
      <c r="N131" s="6785">
        <f t="shared" ref="N131" si="545">+N126*N122/100</f>
        <v>251.82155394089989</v>
      </c>
      <c r="P131" s="6785">
        <f t="shared" ref="P131" si="546">+P126*P122/100</f>
        <v>204.75711481826599</v>
      </c>
      <c r="T131" s="6785">
        <f t="shared" ref="T131" si="547">+T126*T122/100</f>
        <v>271.72630133976435</v>
      </c>
      <c r="X131" s="6785">
        <f t="shared" ref="X131" si="548">+X126*X122/100</f>
        <v>278.64283917761253</v>
      </c>
      <c r="AD131" s="6785">
        <f t="shared" ref="AD131" si="549">+AD126*AD122/100</f>
        <v>271.14022805597534</v>
      </c>
      <c r="AH131" s="6785">
        <f t="shared" ref="AH131" si="550">+AH126*AH122/100</f>
        <v>270.25563740346189</v>
      </c>
      <c r="AL131" s="6785">
        <f t="shared" ref="AL131" si="551">+AL126*AL122/100</f>
        <v>275.96538143971725</v>
      </c>
      <c r="AN131" s="6785">
        <f t="shared" ref="AN131" si="552">+AN126*AN122/100</f>
        <v>272.37232339810214</v>
      </c>
      <c r="AR131" s="6785">
        <f t="shared" ref="AR131" si="553">+AR126*AR122/100</f>
        <v>236.97230486476423</v>
      </c>
      <c r="AV131" s="6785">
        <f t="shared" ref="AV131" si="554">+AV126*AV122/100</f>
        <v>235.23001273237531</v>
      </c>
      <c r="AY131" s="4487"/>
      <c r="AZ131" s="6785">
        <f t="shared" ref="AZ131:BB131" si="555">+AZ126*AZ122/100</f>
        <v>255.13502261659443</v>
      </c>
      <c r="BB131" s="6785">
        <f t="shared" si="555"/>
        <v>243.0414268056594</v>
      </c>
      <c r="BD131" s="6785">
        <f t="shared" ref="BD131" si="556">+BD126*BD122/100</f>
        <v>257.88165177310276</v>
      </c>
      <c r="BF131" s="6785">
        <f t="shared" ref="BF131" si="557">+BF126*BF122/100</f>
        <v>254.44554472299532</v>
      </c>
    </row>
    <row r="132" spans="2:58" ht="18" hidden="1" x14ac:dyDescent="0.25">
      <c r="C132" s="8055"/>
      <c r="F132" s="6785">
        <f>SUM(F129:F131)</f>
        <v>1606.9947849220393</v>
      </c>
      <c r="H132" s="6785">
        <f>SUM(H129:H131)</f>
        <v>1604.4053995828938</v>
      </c>
      <c r="L132" s="6785">
        <f>SUM(L129:L131)</f>
        <v>1615.009161977521</v>
      </c>
      <c r="N132" s="6785">
        <f>SUM(N129:N131)</f>
        <v>1608.7403116723744</v>
      </c>
      <c r="P132" s="6785">
        <f>SUM(P129:P131)</f>
        <v>1631.9064200939606</v>
      </c>
      <c r="T132" s="6785">
        <f>SUM(T129:T131)</f>
        <v>1622.9595250347497</v>
      </c>
      <c r="X132" s="6785">
        <f>SUM(X129:X131)</f>
        <v>1630.605193487281</v>
      </c>
      <c r="AD132" s="6785">
        <f>SUM(AD129:AD131)</f>
        <v>1630.1651611145378</v>
      </c>
      <c r="AH132" s="6785">
        <f>SUM(AH129:AH131)</f>
        <v>1633.3394188556285</v>
      </c>
      <c r="AL132" s="6785">
        <f>SUM(AL129:AL131)</f>
        <v>1672.0920345567049</v>
      </c>
      <c r="AN132" s="6785">
        <f>SUM(AN129:AN131)</f>
        <v>1645.1593097017949</v>
      </c>
      <c r="AR132" s="6785">
        <f>SUM(AR129:AR131)</f>
        <v>1662.0068164695372</v>
      </c>
      <c r="AV132" s="6785">
        <f>SUM(AV129:AV131)</f>
        <v>1645.5275812333491</v>
      </c>
      <c r="AY132" s="4487"/>
      <c r="AZ132" s="6785">
        <f>SUM(AZ129:AZ131)</f>
        <v>1636.4103555777363</v>
      </c>
      <c r="BB132" s="6785">
        <f>SUM(BB129:BB131)</f>
        <v>1647.9163275410101</v>
      </c>
      <c r="BD132" s="6785">
        <f>SUM(BD129:BD131)</f>
        <v>1646.4934703858196</v>
      </c>
      <c r="BF132" s="6785">
        <f>SUM(BF129:BF131)</f>
        <v>1632.4767615786893</v>
      </c>
    </row>
    <row r="133" spans="2:58" hidden="1" x14ac:dyDescent="0.25">
      <c r="B133" s="31" t="s">
        <v>2240</v>
      </c>
      <c r="C133" s="8055"/>
      <c r="L133" s="4487"/>
      <c r="N133" s="4487"/>
      <c r="P133" s="4487"/>
      <c r="X133" s="4487"/>
      <c r="AD133" s="4487"/>
      <c r="AL133" s="4487"/>
      <c r="AN133" s="4487"/>
      <c r="AR133" s="4487"/>
      <c r="AV133" s="4487"/>
      <c r="AY133" s="4487"/>
      <c r="AZ133" s="4487"/>
      <c r="BB133" s="4487"/>
      <c r="BD133" s="4487"/>
      <c r="BF133" s="4487"/>
    </row>
    <row r="134" spans="2:58" ht="15" hidden="1" customHeight="1" x14ac:dyDescent="0.25">
      <c r="C134" s="8055"/>
      <c r="L134" s="4487"/>
      <c r="N134" s="4487"/>
      <c r="P134" s="4487"/>
      <c r="X134" s="4487"/>
      <c r="AD134" s="4487"/>
      <c r="AL134" s="4487"/>
      <c r="AN134" s="4487"/>
      <c r="AR134" s="4487"/>
      <c r="AV134" s="4487"/>
      <c r="AY134" s="4487"/>
      <c r="AZ134" s="4487"/>
      <c r="BB134" s="4487"/>
      <c r="BD134" s="4487"/>
      <c r="BF134" s="4487"/>
    </row>
    <row r="135" spans="2:58" ht="18" hidden="1" x14ac:dyDescent="0.25">
      <c r="B135" s="4487" t="s">
        <v>2239</v>
      </c>
      <c r="C135" s="8055"/>
      <c r="F135" s="6785">
        <f>+F43</f>
        <v>1157.366304927348</v>
      </c>
      <c r="H135" s="6785">
        <f>+H43</f>
        <v>1128.4752839801524</v>
      </c>
      <c r="L135" s="6785">
        <f>+L43</f>
        <v>1168.6416951476904</v>
      </c>
      <c r="N135" s="6785">
        <f>+N43</f>
        <v>1151.4801319797384</v>
      </c>
      <c r="P135" s="6785">
        <f>+P43</f>
        <v>1172.6817812780748</v>
      </c>
      <c r="T135" s="6785">
        <f>+T43</f>
        <v>1179.6089134008994</v>
      </c>
      <c r="X135" s="6785">
        <f>+X43</f>
        <v>1186.7907343029558</v>
      </c>
      <c r="AD135" s="6785">
        <f>+AD43</f>
        <v>1173.1746961624856</v>
      </c>
      <c r="AH135" s="6785">
        <f>+AH43</f>
        <v>1191.5058149107797</v>
      </c>
      <c r="AL135" s="6785">
        <f>+AL43</f>
        <v>1149.1026033447156</v>
      </c>
      <c r="AN135" s="6785">
        <f>+AN43</f>
        <v>1170.913131826082</v>
      </c>
      <c r="AR135" s="6785">
        <f>+AR43</f>
        <v>1150.2948318857887</v>
      </c>
      <c r="AV135" s="6785">
        <f>+AV43</f>
        <v>1188.3878595123601</v>
      </c>
      <c r="AY135" s="4487"/>
      <c r="AZ135" s="6785">
        <f>+AZ43</f>
        <v>1183.869406527212</v>
      </c>
      <c r="BB135" s="6785">
        <f>+BB43</f>
        <v>1173.2930582271642</v>
      </c>
      <c r="BD135" s="6785">
        <f>+BD43</f>
        <v>1172.0985018567574</v>
      </c>
      <c r="BF135" s="6785">
        <f>+BF43</f>
        <v>1168.6909479607937</v>
      </c>
    </row>
    <row r="136" spans="2:58" ht="18" hidden="1" x14ac:dyDescent="0.25">
      <c r="B136" s="4487" t="s">
        <v>2237</v>
      </c>
      <c r="C136" s="8055"/>
      <c r="F136" s="6785">
        <f>+F44</f>
        <v>215.22181841496086</v>
      </c>
      <c r="H136" s="6785">
        <f>+H44</f>
        <v>253.88054396242299</v>
      </c>
      <c r="L136" s="6785">
        <f>+L44</f>
        <v>237.51701308540027</v>
      </c>
      <c r="N136" s="6785">
        <f>+N44</f>
        <v>236.05735985372348</v>
      </c>
      <c r="P136" s="6785">
        <f>+P44</f>
        <v>272.79675754254362</v>
      </c>
      <c r="T136" s="6785">
        <f>+T44</f>
        <v>195.66333259102376</v>
      </c>
      <c r="X136" s="6785">
        <f>+X44</f>
        <v>184.13595870732692</v>
      </c>
      <c r="AD136" s="6785">
        <f>+AD44</f>
        <v>220.19037051745133</v>
      </c>
      <c r="AH136" s="6785">
        <f>+AH44</f>
        <v>203.11433793081414</v>
      </c>
      <c r="AL136" s="6785">
        <f>+AL44</f>
        <v>262.64206295888476</v>
      </c>
      <c r="AN136" s="6785">
        <f>+AN44</f>
        <v>229.50821079955625</v>
      </c>
      <c r="AR136" s="6785">
        <f>+AR44</f>
        <v>285.51970705497291</v>
      </c>
      <c r="AV136" s="6785">
        <f>+AV44</f>
        <v>222.47759509968952</v>
      </c>
      <c r="AY136" s="4487"/>
      <c r="AZ136" s="6785">
        <f>+AZ44</f>
        <v>198.74801337347543</v>
      </c>
      <c r="BB136" s="6785">
        <f>+BB44</f>
        <v>236.12127187946777</v>
      </c>
      <c r="BD136" s="6785">
        <f>+BD44</f>
        <v>232.80197837639713</v>
      </c>
      <c r="BF136" s="6785">
        <f>+BF44</f>
        <v>230.03095599797541</v>
      </c>
    </row>
    <row r="137" spans="2:58" ht="18" hidden="1" x14ac:dyDescent="0.25">
      <c r="B137" s="4487" t="s">
        <v>2238</v>
      </c>
      <c r="C137" s="8055"/>
      <c r="F137" s="6785">
        <f>+F46</f>
        <v>246.35729856316595</v>
      </c>
      <c r="H137" s="6785">
        <f>+H46</f>
        <v>276.46221086305951</v>
      </c>
      <c r="L137" s="6785">
        <f>+L46</f>
        <v>249.06900801904783</v>
      </c>
      <c r="N137" s="6785">
        <f>+N46</f>
        <v>257.50388175701471</v>
      </c>
      <c r="P137" s="6785">
        <f>+P46</f>
        <v>207.38686137920047</v>
      </c>
      <c r="T137" s="6785">
        <f>+T46</f>
        <v>276.56042952875976</v>
      </c>
      <c r="X137" s="6785">
        <f>+X46</f>
        <v>282.55143704782705</v>
      </c>
      <c r="AD137" s="6785">
        <f>+AD46</f>
        <v>277.99145751842343</v>
      </c>
      <c r="AH137" s="6785">
        <f>+AH46</f>
        <v>276.50828472214829</v>
      </c>
      <c r="AL137" s="6785">
        <f>+AL46</f>
        <v>279.05251608953694</v>
      </c>
      <c r="AN137" s="6785">
        <f>+AN46</f>
        <v>277.85520888005561</v>
      </c>
      <c r="AR137" s="6785">
        <f>+AR46</f>
        <v>238.76494069464175</v>
      </c>
      <c r="AV137" s="6785">
        <f>+AV46</f>
        <v>235.32473306666708</v>
      </c>
      <c r="AY137" s="4487"/>
      <c r="AZ137" s="6785">
        <f>+AZ46</f>
        <v>255.38291916082667</v>
      </c>
      <c r="BB137" s="6785">
        <f>+BB46</f>
        <v>243.82674184737769</v>
      </c>
      <c r="BD137" s="6785">
        <f>+BD46</f>
        <v>260.90664904559344</v>
      </c>
      <c r="BF137" s="6785">
        <f>+BF46</f>
        <v>258.26596118834044</v>
      </c>
    </row>
    <row r="138" spans="2:58" ht="18" hidden="1" x14ac:dyDescent="0.25">
      <c r="C138" s="8055"/>
      <c r="F138" s="6785">
        <f>SUM(F135:F137)</f>
        <v>1618.9454219054746</v>
      </c>
      <c r="H138" s="6785">
        <f>SUM(H135:H137)</f>
        <v>1658.8180388056348</v>
      </c>
      <c r="L138" s="6785">
        <f>SUM(L135:L137)</f>
        <v>1655.2277162521386</v>
      </c>
      <c r="N138" s="6785">
        <f>SUM(N135:N137)</f>
        <v>1645.0413735904767</v>
      </c>
      <c r="P138" s="6785">
        <f>SUM(P135:P137)</f>
        <v>1652.8654001998189</v>
      </c>
      <c r="T138" s="6785">
        <f>SUM(T135:T137)</f>
        <v>1651.8326755206831</v>
      </c>
      <c r="X138" s="6785">
        <f>SUM(X135:X137)</f>
        <v>1653.4781300581096</v>
      </c>
      <c r="AD138" s="6785">
        <f>SUM(AD135:AD137)</f>
        <v>1671.3565241983604</v>
      </c>
      <c r="AH138" s="6785">
        <f>SUM(AH135:AH137)</f>
        <v>1671.1284375637422</v>
      </c>
      <c r="AL138" s="6785">
        <f>SUM(AL135:AL137)</f>
        <v>1690.7971823931373</v>
      </c>
      <c r="AN138" s="6785">
        <f>SUM(AN135:AN137)</f>
        <v>1678.276551505694</v>
      </c>
      <c r="AR138" s="6785">
        <f>SUM(AR135:AR137)</f>
        <v>1674.5794796354035</v>
      </c>
      <c r="AV138" s="6785">
        <f>SUM(AV135:AV137)</f>
        <v>1646.1901876787167</v>
      </c>
      <c r="AY138" s="4487"/>
      <c r="AZ138" s="6785">
        <f>SUM(AZ135:AZ137)</f>
        <v>1638.0003390615143</v>
      </c>
      <c r="BB138" s="6785">
        <f>SUM(BB135:BB137)</f>
        <v>1653.2410719540096</v>
      </c>
      <c r="BD138" s="6785">
        <f>SUM(BD135:BD137)</f>
        <v>1665.8071292787479</v>
      </c>
      <c r="BF138" s="6785">
        <f>SUM(BF135:BF137)</f>
        <v>1656.9878651471095</v>
      </c>
    </row>
    <row r="139" spans="2:58" hidden="1" x14ac:dyDescent="0.25">
      <c r="C139" s="8055"/>
      <c r="L139" s="4487"/>
      <c r="N139" s="4487"/>
      <c r="P139" s="4487"/>
      <c r="X139" s="4487"/>
      <c r="AD139" s="4487"/>
      <c r="AL139" s="4487"/>
      <c r="AN139" s="4487"/>
      <c r="AR139" s="4487"/>
      <c r="AV139" s="4487"/>
      <c r="AY139" s="4487"/>
      <c r="AZ139" s="4487"/>
      <c r="BB139" s="4487"/>
      <c r="BD139" s="4487"/>
      <c r="BF139" s="4487"/>
    </row>
    <row r="140" spans="2:58" hidden="1" x14ac:dyDescent="0.25">
      <c r="B140" s="31" t="s">
        <v>1437</v>
      </c>
      <c r="C140" s="8055"/>
      <c r="L140" s="4487"/>
      <c r="N140" s="4487"/>
      <c r="P140" s="4487"/>
      <c r="X140" s="4487"/>
      <c r="AD140" s="4487"/>
      <c r="AL140" s="4487"/>
      <c r="AN140" s="4487"/>
      <c r="AR140" s="4487"/>
      <c r="AV140" s="4487"/>
      <c r="AY140" s="4487"/>
      <c r="AZ140" s="4487"/>
      <c r="BB140" s="4487"/>
      <c r="BD140" s="4487"/>
      <c r="BF140" s="4487"/>
    </row>
    <row r="141" spans="2:58" ht="15" hidden="1" customHeight="1" x14ac:dyDescent="0.25">
      <c r="B141" s="4487"/>
      <c r="C141" s="8055"/>
      <c r="L141" s="4487"/>
      <c r="N141" s="4487"/>
      <c r="P141" s="4487"/>
      <c r="X141" s="4487"/>
      <c r="AD141" s="4487"/>
      <c r="AL141" s="4487"/>
      <c r="AN141" s="4487"/>
      <c r="AR141" s="4487"/>
      <c r="AV141" s="4487"/>
      <c r="AY141" s="4487"/>
      <c r="AZ141" s="4487"/>
      <c r="BB141" s="4487"/>
      <c r="BD141" s="4487"/>
      <c r="BF141" s="4487"/>
    </row>
    <row r="142" spans="2:58" ht="18" hidden="1" x14ac:dyDescent="0.25">
      <c r="B142" s="4487" t="s">
        <v>2239</v>
      </c>
      <c r="C142" s="8055"/>
      <c r="F142" s="6785">
        <f>+F135-F129</f>
        <v>8.5433791528112124</v>
      </c>
      <c r="H142" s="6785">
        <f>+H135-H129</f>
        <v>37.016307432491658</v>
      </c>
      <c r="L142" s="6785">
        <f>+L135-L129</f>
        <v>28.39553674844251</v>
      </c>
      <c r="N142" s="6785">
        <f>+N135-N129</f>
        <v>25.409665823314981</v>
      </c>
      <c r="P142" s="6785">
        <f>+P135-P129</f>
        <v>14.870063903169921</v>
      </c>
      <c r="T142" s="6785">
        <f>+T135-T129</f>
        <v>20.618932035859189</v>
      </c>
      <c r="X142" s="6785">
        <f>+X135-X129</f>
        <v>16.417144378925059</v>
      </c>
      <c r="AD142" s="6785">
        <f>+AD135-AD129</f>
        <v>28.913438976498355</v>
      </c>
      <c r="AH142" s="6785">
        <f>+AH135-AH129</f>
        <v>26.943372225853864</v>
      </c>
      <c r="AL142" s="6785">
        <f>+AL135-AL129</f>
        <v>12.712426007458589</v>
      </c>
      <c r="AN142" s="6785">
        <f>+AN135-AN129</f>
        <v>23.105496697344506</v>
      </c>
      <c r="AR142" s="6785">
        <f>+AR135-AR129</f>
        <v>8.6363589418192532</v>
      </c>
      <c r="AV142" s="6785">
        <f>+AV135-AV129</f>
        <v>0.47833686605781622</v>
      </c>
      <c r="AY142" s="4487"/>
      <c r="AZ142" s="6785">
        <f>+AZ135-AZ129</f>
        <v>1.1491650877233042</v>
      </c>
      <c r="BB142" s="6785">
        <f>+BB135-BB129</f>
        <v>3.7789320399726876</v>
      </c>
      <c r="BD142" s="6785">
        <f>+BD135-BD129</f>
        <v>13.589514809901857</v>
      </c>
      <c r="BF142" s="6785">
        <f>+BF135-BF129</f>
        <v>17.287938836171634</v>
      </c>
    </row>
    <row r="143" spans="2:58" ht="18" hidden="1" x14ac:dyDescent="0.25">
      <c r="B143" s="4487" t="s">
        <v>2237</v>
      </c>
      <c r="C143" s="8055"/>
      <c r="F143" s="6785">
        <f t="shared" ref="F143:H145" si="558">+F136-F130</f>
        <v>1.5887118787270254</v>
      </c>
      <c r="H143" s="6785">
        <f t="shared" si="558"/>
        <v>8.3278033642840512</v>
      </c>
      <c r="L143" s="6785">
        <f t="shared" ref="L143" si="559">+L136-L130</f>
        <v>5.771164165586697</v>
      </c>
      <c r="N143" s="6785">
        <f t="shared" ref="N143" si="560">+N136-N130</f>
        <v>5.2090682786723335</v>
      </c>
      <c r="P143" s="6785">
        <f t="shared" ref="P143" si="561">+P136-P130</f>
        <v>3.459169641753931</v>
      </c>
      <c r="T143" s="6785">
        <f t="shared" ref="T143" si="562">+T136-T130</f>
        <v>3.4200902610787125</v>
      </c>
      <c r="X143" s="6785">
        <f t="shared" ref="X143" si="563">+X136-X130</f>
        <v>2.5471943216892896</v>
      </c>
      <c r="AD143" s="6785">
        <f t="shared" ref="AD143" si="564">+AD136-AD130</f>
        <v>5.4266946448759654</v>
      </c>
      <c r="AH143" s="6785">
        <f t="shared" ref="AH143" si="565">+AH136-AH130</f>
        <v>4.5929991635732108</v>
      </c>
      <c r="AL143" s="6785">
        <f t="shared" ref="AL143" si="566">+AL136-AL130</f>
        <v>2.9055871791541676</v>
      </c>
      <c r="AN143" s="6785">
        <f t="shared" ref="AN143" si="567">+AN136-AN130</f>
        <v>4.5288596246012389</v>
      </c>
      <c r="AR143" s="6785">
        <f t="shared" ref="AR143" si="568">+AR136-AR130</f>
        <v>2.1436683941693104</v>
      </c>
      <c r="AV143" s="6785">
        <f t="shared" ref="AV143" si="569">+AV136-AV130</f>
        <v>8.9549245018133661E-2</v>
      </c>
      <c r="AY143" s="4487"/>
      <c r="AZ143" s="6785">
        <f t="shared" ref="AZ143:BB143" si="570">+AZ136-AZ130</f>
        <v>0.19292185182240473</v>
      </c>
      <c r="BB143" s="6785">
        <f t="shared" si="570"/>
        <v>0.76049733130844288</v>
      </c>
      <c r="BD143" s="6785">
        <f t="shared" ref="BD143" si="571">+BD136-BD130</f>
        <v>2.6991468105358649</v>
      </c>
      <c r="BF143" s="6785">
        <f t="shared" ref="BF143" si="572">+BF136-BF130</f>
        <v>3.4027482669032736</v>
      </c>
    </row>
    <row r="144" spans="2:58" ht="18" hidden="1" x14ac:dyDescent="0.25">
      <c r="B144" s="4487" t="s">
        <v>2238</v>
      </c>
      <c r="C144" s="8055"/>
      <c r="F144" s="6785">
        <f t="shared" si="558"/>
        <v>1.8185459518970788</v>
      </c>
      <c r="H144" s="6785">
        <f t="shared" si="558"/>
        <v>9.0685284259653827</v>
      </c>
      <c r="L144" s="6785">
        <f t="shared" ref="L144" si="573">+L137-L131</f>
        <v>6.0518533605882396</v>
      </c>
      <c r="N144" s="6785">
        <f t="shared" ref="N144" si="574">+N137-N131</f>
        <v>5.682327816114821</v>
      </c>
      <c r="P144" s="6785">
        <f t="shared" ref="P144" si="575">+P137-P131</f>
        <v>2.6297465609344783</v>
      </c>
      <c r="T144" s="6785">
        <f t="shared" ref="T144" si="576">+T137-T131</f>
        <v>4.8341281889954075</v>
      </c>
      <c r="X144" s="6785">
        <f t="shared" ref="X144" si="577">+X137-X131</f>
        <v>3.9085978702145212</v>
      </c>
      <c r="AD144" s="6785">
        <f t="shared" ref="AD144" si="578">+AD137-AD131</f>
        <v>6.8512294624480887</v>
      </c>
      <c r="AH144" s="6785">
        <f t="shared" ref="AH144" si="579">+AH137-AH131</f>
        <v>6.2526473186863996</v>
      </c>
      <c r="AL144" s="6785">
        <f t="shared" ref="AL144" si="580">+AL137-AL131</f>
        <v>3.0871346498196885</v>
      </c>
      <c r="AN144" s="6785">
        <f t="shared" ref="AN144" si="581">+AN137-AN131</f>
        <v>5.482885481953474</v>
      </c>
      <c r="AR144" s="6785">
        <f t="shared" ref="AR144" si="582">+AR137-AR131</f>
        <v>1.7926358298775256</v>
      </c>
      <c r="AV144" s="6785">
        <f t="shared" ref="AV144" si="583">+AV137-AV131</f>
        <v>9.472033429176463E-2</v>
      </c>
      <c r="AY144" s="4487"/>
      <c r="AZ144" s="6785">
        <f t="shared" ref="AZ144:BB144" si="584">+AZ137-AZ131</f>
        <v>0.24789654423224761</v>
      </c>
      <c r="BB144" s="6785">
        <f t="shared" si="584"/>
        <v>0.7853150417182917</v>
      </c>
      <c r="BD144" s="6785">
        <f t="shared" ref="BD144" si="585">+BD137-BD131</f>
        <v>3.0249972724906797</v>
      </c>
      <c r="BF144" s="6785">
        <f t="shared" ref="BF144" si="586">+BF137-BF131</f>
        <v>3.8204164653451187</v>
      </c>
    </row>
    <row r="145" spans="2:68" ht="18" hidden="1" x14ac:dyDescent="0.25">
      <c r="C145" s="8055"/>
      <c r="F145" s="6785">
        <f t="shared" si="558"/>
        <v>11.950636983435288</v>
      </c>
      <c r="H145" s="6785">
        <f t="shared" si="558"/>
        <v>54.412639222741063</v>
      </c>
      <c r="L145" s="6785">
        <f t="shared" ref="L145" si="587">+L138-L132</f>
        <v>40.218554274617645</v>
      </c>
      <c r="N145" s="6785">
        <f t="shared" ref="N145" si="588">+N138-N132</f>
        <v>36.301061918102278</v>
      </c>
      <c r="P145" s="6785">
        <f t="shared" ref="P145" si="589">+P138-P132</f>
        <v>20.958980105858245</v>
      </c>
      <c r="T145" s="6785">
        <f t="shared" ref="T145" si="590">+T138-T132</f>
        <v>28.873150485933365</v>
      </c>
      <c r="X145" s="6785">
        <f t="shared" ref="X145" si="591">+X138-X132</f>
        <v>22.872936570828642</v>
      </c>
      <c r="AD145" s="6785">
        <f t="shared" ref="AD145" si="592">+AD138-AD132</f>
        <v>41.19136308382258</v>
      </c>
      <c r="AH145" s="6785">
        <f t="shared" ref="AH145" si="593">+AH138-AH132</f>
        <v>37.789018708113645</v>
      </c>
      <c r="AL145" s="6785">
        <f t="shared" ref="AL145" si="594">+AL138-AL132</f>
        <v>18.705147836432388</v>
      </c>
      <c r="AN145" s="6785">
        <f t="shared" ref="AN145" si="595">+AN138-AN132</f>
        <v>33.117241803899105</v>
      </c>
      <c r="AR145" s="6785">
        <f t="shared" ref="AR145" si="596">+AR138-AR132</f>
        <v>12.572663165866288</v>
      </c>
      <c r="AV145" s="6785">
        <f t="shared" ref="AV145" si="597">+AV138-AV132</f>
        <v>0.66260644536760083</v>
      </c>
      <c r="AY145" s="4487"/>
      <c r="AZ145" s="6785">
        <f t="shared" ref="AZ145:BB145" si="598">+AZ138-AZ132</f>
        <v>1.5899834837780418</v>
      </c>
      <c r="BB145" s="6785">
        <f t="shared" si="598"/>
        <v>5.3247444129995074</v>
      </c>
      <c r="BD145" s="6785">
        <f t="shared" ref="BD145" si="599">+BD138-BD132</f>
        <v>19.313658892928288</v>
      </c>
      <c r="BF145" s="6785">
        <f t="shared" ref="BF145" si="600">+BF138-BF132</f>
        <v>24.51110356842014</v>
      </c>
    </row>
    <row r="146" spans="2:68" hidden="1" x14ac:dyDescent="0.25">
      <c r="BB146" s="4487"/>
      <c r="BD146" s="4487"/>
      <c r="BF146" s="4487"/>
    </row>
    <row r="147" spans="2:68" hidden="1" x14ac:dyDescent="0.25">
      <c r="BB147" s="4487"/>
      <c r="BD147" s="4487"/>
      <c r="BF147" s="4487"/>
    </row>
    <row r="148" spans="2:68" hidden="1" x14ac:dyDescent="0.25">
      <c r="B148" t="s">
        <v>239</v>
      </c>
      <c r="F148" s="1539">
        <f>+F97-F28</f>
        <v>0</v>
      </c>
      <c r="G148" s="1539"/>
      <c r="H148" s="1539">
        <f>+H97-H28</f>
        <v>0</v>
      </c>
      <c r="I148" s="1539">
        <f>+I97-I28</f>
        <v>-99941.196515643562</v>
      </c>
      <c r="J148" s="1539">
        <f>+J97-J28</f>
        <v>0</v>
      </c>
      <c r="K148" s="1539"/>
      <c r="L148" s="1539">
        <f>+L97-L28</f>
        <v>0</v>
      </c>
      <c r="M148" s="1539"/>
      <c r="N148" s="1539">
        <f>+N97-N28</f>
        <v>0</v>
      </c>
      <c r="O148" s="1539"/>
      <c r="P148" s="1539">
        <f>+P97-P28</f>
        <v>0</v>
      </c>
      <c r="Q148" s="1539">
        <f>+Q97-Q28</f>
        <v>-208210.82607425741</v>
      </c>
      <c r="R148" s="1539">
        <f>+R97-R28</f>
        <v>0</v>
      </c>
      <c r="S148" s="1539"/>
      <c r="T148" s="1539">
        <f>+T97-T28</f>
        <v>0</v>
      </c>
      <c r="U148" s="1539">
        <f>+U97-U28</f>
        <v>-262665.96520137088</v>
      </c>
      <c r="V148" s="1539">
        <f>+V97-V28</f>
        <v>0</v>
      </c>
      <c r="W148" s="1539"/>
      <c r="X148" s="1539">
        <f>+X97-X28</f>
        <v>0</v>
      </c>
      <c r="Y148" s="1539"/>
      <c r="Z148" s="1539">
        <f>+Z97-Z28</f>
        <v>0</v>
      </c>
      <c r="AA148" s="1539"/>
      <c r="AB148" s="1539">
        <f>+AB97-AB28</f>
        <v>0</v>
      </c>
      <c r="AC148" s="1539"/>
      <c r="AD148" s="1539">
        <f>+AD97-AD28</f>
        <v>0</v>
      </c>
      <c r="AE148" s="1539">
        <f>+AE97-AE28</f>
        <v>-348085.79128311749</v>
      </c>
      <c r="AF148" s="1539">
        <f>+AF97-AF28</f>
        <v>0</v>
      </c>
      <c r="AG148" s="1539"/>
      <c r="AH148" s="1539">
        <f>+AH97-AH28</f>
        <v>-9.9999999998544808E-2</v>
      </c>
      <c r="AI148" s="1539">
        <f>+AI97-AI28</f>
        <v>-401900.28171461786</v>
      </c>
      <c r="AJ148" s="1539">
        <f>+AJ97-AJ28</f>
        <v>-0.1000000000349246</v>
      </c>
      <c r="AK148" s="1539"/>
      <c r="AL148" s="1539">
        <f>+AL97-AL28</f>
        <v>0</v>
      </c>
      <c r="AM148" s="1539"/>
      <c r="AN148" s="1539">
        <f>+AN97-AN28</f>
        <v>-9.9999999976716936E-2</v>
      </c>
      <c r="AO148" s="1539">
        <f>+AO97-AO28</f>
        <v>-457423.16866775317</v>
      </c>
      <c r="AP148" s="1539">
        <f>+AP97-AP28</f>
        <v>-0.1000000000349246</v>
      </c>
      <c r="AQ148" s="1539"/>
      <c r="AR148" s="1539">
        <f>+AR97-AR28</f>
        <v>0</v>
      </c>
      <c r="AS148" s="1539">
        <f>+AS97-AS28</f>
        <v>-513800.25388170592</v>
      </c>
      <c r="AT148" s="1539">
        <f>+AT97-AT28</f>
        <v>-9.9999999976716936E-2</v>
      </c>
      <c r="AU148" s="1539"/>
      <c r="AV148" s="1539">
        <f>+AV97-AV28</f>
        <v>0</v>
      </c>
      <c r="AW148" s="1539">
        <f>+AW97-AW28</f>
        <v>-564197.9512699364</v>
      </c>
      <c r="AX148" s="1539">
        <f>+AX97-AX28</f>
        <v>-9.9999999976716936E-2</v>
      </c>
      <c r="AY148" s="1539"/>
      <c r="AZ148" s="1539">
        <f>+AZ97-AZ28</f>
        <v>0</v>
      </c>
      <c r="BA148" s="1539"/>
      <c r="BB148" s="1539">
        <f>+BB97-BB28</f>
        <v>0</v>
      </c>
      <c r="BC148" s="1539"/>
      <c r="BD148" s="1539">
        <f>+BD97-BD28</f>
        <v>-9.9999999976716936E-2</v>
      </c>
      <c r="BE148" s="1539"/>
      <c r="BF148" s="1539">
        <f t="shared" ref="BF148:BN148" si="601">+BF97-BF28</f>
        <v>-9.9999999976716936E-2</v>
      </c>
      <c r="BG148" s="1539">
        <f t="shared" si="601"/>
        <v>0</v>
      </c>
      <c r="BH148" s="1539">
        <f t="shared" si="601"/>
        <v>0</v>
      </c>
      <c r="BI148" s="1539">
        <f t="shared" si="601"/>
        <v>0</v>
      </c>
      <c r="BJ148" s="1539">
        <f t="shared" si="601"/>
        <v>0</v>
      </c>
      <c r="BK148" s="1539">
        <f t="shared" si="601"/>
        <v>0</v>
      </c>
      <c r="BL148" s="1539">
        <f t="shared" si="601"/>
        <v>0</v>
      </c>
      <c r="BM148" s="1539">
        <f t="shared" si="601"/>
        <v>0</v>
      </c>
      <c r="BN148" s="1539">
        <f t="shared" si="601"/>
        <v>0</v>
      </c>
      <c r="BO148" s="1539"/>
      <c r="BP148" s="1539"/>
    </row>
    <row r="149" spans="2:68" hidden="1" x14ac:dyDescent="0.25">
      <c r="B149" t="s">
        <v>25</v>
      </c>
      <c r="F149" s="2985">
        <f>+F98-F23</f>
        <v>2909.19955690403</v>
      </c>
      <c r="H149" s="2985">
        <f>+H98-H23</f>
        <v>2830.4775637770945</v>
      </c>
      <c r="L149" s="2985">
        <f>+L98-L23</f>
        <v>2914.6049286893831</v>
      </c>
      <c r="N149" s="2985">
        <f>+N98-N23</f>
        <v>8654.2820493705221</v>
      </c>
      <c r="P149" s="2985">
        <f>+P98-P23</f>
        <v>3110.2453752321744</v>
      </c>
      <c r="T149" s="2985">
        <f>+T98-T23</f>
        <v>2964.9555260268098</v>
      </c>
      <c r="X149" s="2985">
        <f>+X98-X23</f>
        <v>3038.5962090196117</v>
      </c>
      <c r="Z149" s="2985">
        <f>+Z98-Z23</f>
        <v>9113.797110278625</v>
      </c>
      <c r="AB149" s="2985">
        <f>+AB98-AB23</f>
        <v>17768.079159649089</v>
      </c>
      <c r="AD149" s="2985">
        <f>+AD98-AD23</f>
        <v>2642.9156878018694</v>
      </c>
      <c r="AH149" s="2985">
        <f>+AH98-AH23</f>
        <v>2861</v>
      </c>
      <c r="AL149" s="2985">
        <f>+AL98-AL23</f>
        <v>3053.2796920536202</v>
      </c>
      <c r="AN149" s="2985">
        <f>+AN98-AN23</f>
        <v>8557.1953798554605</v>
      </c>
      <c r="AR149" s="2985">
        <f>+AR98-AR23</f>
        <v>3018.9099015170359</v>
      </c>
      <c r="AV149" s="2985">
        <f>+AV98-AV23</f>
        <v>2703.1006416408636</v>
      </c>
      <c r="AZ149" s="2985">
        <f>+AZ98-AZ23</f>
        <v>2958.3162883384939</v>
      </c>
      <c r="BB149" s="2985">
        <f>+BB98-BB23</f>
        <v>8680.3268314963789</v>
      </c>
      <c r="BD149" s="2985">
        <f>+BD98-BD23</f>
        <v>17237.522211351781</v>
      </c>
      <c r="BF149" s="2985">
        <f>+BF98-BF23</f>
        <v>35005.601371001219</v>
      </c>
    </row>
    <row r="150" spans="2:68" hidden="1" x14ac:dyDescent="0.25">
      <c r="B150" t="s">
        <v>883</v>
      </c>
      <c r="F150" s="2985">
        <f>+F99-F24</f>
        <v>240.61841788441689</v>
      </c>
      <c r="H150" s="2985">
        <f>+H99-H24</f>
        <v>239.27284416924522</v>
      </c>
      <c r="L150" s="2985">
        <f>+L99-L24</f>
        <v>266.65934148606902</v>
      </c>
      <c r="N150" s="2985">
        <f>+N99-N24</f>
        <v>746.55060353973386</v>
      </c>
      <c r="P150" s="2985">
        <f>+P99-P24</f>
        <v>349.73353498451979</v>
      </c>
      <c r="T150" s="2985">
        <f>+T99-T24</f>
        <v>301.83941891640825</v>
      </c>
      <c r="X150" s="2985">
        <f>+X99-X24</f>
        <v>285.91798751289934</v>
      </c>
      <c r="Z150" s="2985">
        <f>+Z99-Z24</f>
        <v>937.49094141382739</v>
      </c>
      <c r="AB150" s="2985">
        <f>+AB99-AB24</f>
        <v>1684.0415449535576</v>
      </c>
      <c r="AD150" s="2985">
        <f>+AD99-AD24</f>
        <v>196.6382210526308</v>
      </c>
      <c r="AH150" s="2985">
        <f>+AH99-AH24</f>
        <v>295</v>
      </c>
      <c r="AL150" s="2985">
        <f>+AL99-AL24</f>
        <v>286.74357925696677</v>
      </c>
      <c r="AN150" s="2985">
        <f>+AN99-AN24</f>
        <v>778.38180030959847</v>
      </c>
      <c r="AR150" s="2985">
        <f>+AR99-AR24</f>
        <v>249.31030390505657</v>
      </c>
      <c r="AV150" s="2985">
        <f>+AV99-AV24</f>
        <v>187.52923927760639</v>
      </c>
      <c r="AZ150" s="2985">
        <f>+AZ99-AZ24</f>
        <v>265.0145979360168</v>
      </c>
      <c r="BB150" s="2985">
        <f>+BB99-BB24</f>
        <v>701.85414111868158</v>
      </c>
      <c r="BD150" s="2985">
        <f>+BD99-BD24</f>
        <v>1480.2359414282837</v>
      </c>
      <c r="BF150" s="2985">
        <f>+BF99-BF24</f>
        <v>3164.277486381834</v>
      </c>
    </row>
    <row r="151" spans="2:68" hidden="1" x14ac:dyDescent="0.25">
      <c r="B151" t="s">
        <v>1842</v>
      </c>
      <c r="F151" s="2985">
        <f>+F100-F33</f>
        <v>0</v>
      </c>
      <c r="H151" s="2985">
        <f>+H100-H33</f>
        <v>0</v>
      </c>
      <c r="L151" s="2985">
        <f>+L100-L33</f>
        <v>0</v>
      </c>
      <c r="N151" s="2985">
        <f>+N100-N33</f>
        <v>0</v>
      </c>
      <c r="P151" s="2985">
        <f>+P100-P33</f>
        <v>0</v>
      </c>
      <c r="T151" s="2985">
        <f>+T100-T33</f>
        <v>0</v>
      </c>
      <c r="X151" s="2985">
        <f>+X100-X33</f>
        <v>0</v>
      </c>
      <c r="Z151" s="2985">
        <f>+Z100-Z33</f>
        <v>0</v>
      </c>
      <c r="AB151" s="2985">
        <f>+AB100-AB33</f>
        <v>0</v>
      </c>
      <c r="AD151" s="2985">
        <f>+AD100-AD33</f>
        <v>201.5</v>
      </c>
      <c r="AH151" s="2985">
        <f>+AH100-AH33</f>
        <v>22</v>
      </c>
      <c r="AL151" s="2985">
        <f>+AL100-AL33</f>
        <v>24.793601651186805</v>
      </c>
      <c r="AN151" s="2985">
        <f>+AN100-AN33</f>
        <v>248.29360165118669</v>
      </c>
      <c r="AR151" s="2985">
        <f>+AR100-AR33</f>
        <v>0</v>
      </c>
      <c r="AV151" s="2985">
        <f>+AV100-AV33</f>
        <v>0</v>
      </c>
      <c r="AZ151" s="2985">
        <f>+AZ100-AZ33</f>
        <v>0</v>
      </c>
      <c r="BB151" s="2985">
        <f>+BB100-BB33</f>
        <v>0</v>
      </c>
      <c r="BD151" s="2985">
        <f>+BD100-BD33</f>
        <v>248.29360165118669</v>
      </c>
      <c r="BF151" s="2985">
        <f>+BF100-BF33</f>
        <v>248.29360165118669</v>
      </c>
    </row>
    <row r="152" spans="2:68" hidden="1" x14ac:dyDescent="0.25">
      <c r="B152" t="s">
        <v>124</v>
      </c>
      <c r="F152" s="2985">
        <f>+F101-F25</f>
        <v>2933.8522071428561</v>
      </c>
      <c r="H152" s="2985">
        <f>+H101-H25</f>
        <v>3943.8449802197865</v>
      </c>
      <c r="L152" s="2985">
        <f>+L101-L25</f>
        <v>4014.9058747252639</v>
      </c>
      <c r="N152" s="2985">
        <f>+N101-N25</f>
        <v>10892.603062087917</v>
      </c>
      <c r="P152" s="2985">
        <f>+P101-P25</f>
        <v>3786.3774098900976</v>
      </c>
      <c r="T152" s="2985">
        <f>+T101-T25</f>
        <v>3553.064869450558</v>
      </c>
      <c r="X152" s="2985">
        <f>+X101-X25</f>
        <v>3093.2668740659428</v>
      </c>
      <c r="Z152" s="2985">
        <f>+Z101-Z25</f>
        <v>10432.709153406598</v>
      </c>
      <c r="AB152" s="2985">
        <f>+AB101-AB25</f>
        <v>21325.312215494516</v>
      </c>
      <c r="AD152" s="2985">
        <f>+AD101-AD25</f>
        <v>2518.5093824175747</v>
      </c>
      <c r="AH152" s="2985">
        <f>+AH101-AH25</f>
        <v>3299.4348351648296</v>
      </c>
      <c r="AL152" s="2985">
        <f>+AL101-AL25</f>
        <v>3255.8624406593517</v>
      </c>
      <c r="AN152" s="2985">
        <f>+AN101-AN25</f>
        <v>9073.8066582417669</v>
      </c>
      <c r="AR152" s="2985">
        <f>+AR101-AR25</f>
        <v>3143.819100659337</v>
      </c>
      <c r="AV152" s="2985">
        <f>+AV101-AV25</f>
        <v>1734.0307318681298</v>
      </c>
      <c r="AZ152" s="2985">
        <f>+AZ101-AZ25</f>
        <v>3373.3959131868105</v>
      </c>
      <c r="BB152" s="2985">
        <f>+BB101-BB25</f>
        <v>8251.2457457142737</v>
      </c>
      <c r="BD152" s="2985">
        <f>+BD101-BD25</f>
        <v>17325.052403956041</v>
      </c>
      <c r="BF152" s="2985">
        <f>+BF101-BF25</f>
        <v>38650.364619450644</v>
      </c>
    </row>
    <row r="153" spans="2:68" hidden="1" x14ac:dyDescent="0.25">
      <c r="B153" t="s">
        <v>19</v>
      </c>
      <c r="F153" s="2985">
        <f>+F102-F27</f>
        <v>0</v>
      </c>
      <c r="H153" s="2985">
        <f>+H102-H27</f>
        <v>0</v>
      </c>
      <c r="L153" s="2985">
        <f>+L102-L27</f>
        <v>0</v>
      </c>
      <c r="N153" s="2985">
        <f>+N102-N27</f>
        <v>0</v>
      </c>
      <c r="P153" s="2985">
        <f>+P102-P27</f>
        <v>0</v>
      </c>
      <c r="T153" s="2985">
        <f>+T102-T27</f>
        <v>0</v>
      </c>
      <c r="X153" s="2985">
        <f>+X102-X27</f>
        <v>0</v>
      </c>
      <c r="Z153" s="2985">
        <f>+Z102-Z27</f>
        <v>0</v>
      </c>
      <c r="AB153" s="2985">
        <f>+AB102-AB27</f>
        <v>0</v>
      </c>
      <c r="AD153" s="2985">
        <f>+AD102-AD27</f>
        <v>0</v>
      </c>
      <c r="AH153" s="2985">
        <f>+AH102-AH27</f>
        <v>0.40000000002328306</v>
      </c>
      <c r="AL153" s="2985">
        <f>+AL102-AL27</f>
        <v>0</v>
      </c>
      <c r="AN153" s="2985">
        <f>+AN102-AN27</f>
        <v>0.40000000013969839</v>
      </c>
      <c r="AR153" s="2985">
        <f>+AR102-AR27</f>
        <v>0</v>
      </c>
      <c r="AV153" s="2985">
        <f>+AV102-AV27</f>
        <v>0</v>
      </c>
      <c r="AZ153" s="2985">
        <f>+AZ102-AZ27</f>
        <v>0</v>
      </c>
      <c r="BB153" s="2985">
        <f>+BB102-BB27</f>
        <v>0</v>
      </c>
      <c r="BD153" s="2985">
        <f>+BD102-BD27</f>
        <v>0.40000000013969839</v>
      </c>
      <c r="BF153" s="2985">
        <f>+BF102-BF27</f>
        <v>0.40000000037252903</v>
      </c>
    </row>
    <row r="154" spans="2:68" hidden="1" x14ac:dyDescent="0.25">
      <c r="B154" t="s">
        <v>884</v>
      </c>
      <c r="F154" s="2985">
        <f>+F104-F29</f>
        <v>0</v>
      </c>
      <c r="H154" s="2985">
        <f>+H104-H29</f>
        <v>0</v>
      </c>
      <c r="L154" s="2985">
        <f>+L104-L29</f>
        <v>0</v>
      </c>
      <c r="N154" s="2985">
        <f>+N104-N29</f>
        <v>0</v>
      </c>
      <c r="P154" s="2985">
        <f>+P104-P29</f>
        <v>0</v>
      </c>
      <c r="T154" s="2985">
        <f>+T104-T29</f>
        <v>0</v>
      </c>
      <c r="X154" s="2985">
        <f>+X104-X29</f>
        <v>0</v>
      </c>
      <c r="Z154" s="2985">
        <f>+Z104-Z29</f>
        <v>0</v>
      </c>
      <c r="AB154" s="2985">
        <f>+AB104-AB29</f>
        <v>0</v>
      </c>
      <c r="AD154" s="2985">
        <f>+AD104-AD29</f>
        <v>0</v>
      </c>
      <c r="AH154" s="2985">
        <f>+AH104-AH29</f>
        <v>0</v>
      </c>
      <c r="AL154" s="2985">
        <f>+AL104-AL29</f>
        <v>0</v>
      </c>
      <c r="AN154" s="2985">
        <f>+AN104-AN29</f>
        <v>0</v>
      </c>
      <c r="AR154" s="2985">
        <f>+AR104-AR29</f>
        <v>0</v>
      </c>
      <c r="AV154" s="2985">
        <f>+AV104-AV29</f>
        <v>0</v>
      </c>
      <c r="AZ154" s="2985">
        <f>+AZ104-AZ29</f>
        <v>0</v>
      </c>
      <c r="BB154" s="2985">
        <f>+BB104-BB29</f>
        <v>0</v>
      </c>
      <c r="BD154" s="2985">
        <f>+BD104-BD29</f>
        <v>0</v>
      </c>
      <c r="BF154" s="2985">
        <f>+BF104-BF29</f>
        <v>0</v>
      </c>
    </row>
    <row r="155" spans="2:68" hidden="1" x14ac:dyDescent="0.25">
      <c r="B155" t="s">
        <v>6</v>
      </c>
      <c r="F155" s="2985">
        <f>+F105-F31</f>
        <v>0</v>
      </c>
      <c r="H155" s="2985">
        <f>+H105-H31</f>
        <v>0</v>
      </c>
      <c r="L155" s="2985">
        <f>+L105-L31</f>
        <v>0</v>
      </c>
      <c r="N155" s="2985">
        <f>+N105-N31</f>
        <v>0</v>
      </c>
      <c r="P155" s="2985">
        <f>+P105-P31</f>
        <v>0</v>
      </c>
      <c r="T155" s="2985">
        <f>+T105-T31</f>
        <v>0</v>
      </c>
      <c r="X155" s="2985">
        <f>+X105-X31</f>
        <v>0</v>
      </c>
      <c r="Z155" s="2985">
        <f>+Z105-Z31</f>
        <v>0</v>
      </c>
      <c r="AB155" s="2985">
        <f>+AB105-AB31</f>
        <v>0</v>
      </c>
      <c r="AD155" s="2985">
        <f>+AD105-AD31</f>
        <v>0</v>
      </c>
      <c r="AH155" s="2985">
        <f>+AH105-AH31</f>
        <v>0</v>
      </c>
      <c r="AL155" s="2985">
        <f>+AL105-AL31</f>
        <v>0</v>
      </c>
      <c r="AN155" s="2985">
        <f>+AN105-AN31</f>
        <v>0</v>
      </c>
      <c r="AR155" s="2985">
        <f>+AR105-AR31</f>
        <v>0</v>
      </c>
      <c r="AV155" s="2985">
        <f>+AV105-AV31</f>
        <v>0</v>
      </c>
      <c r="AZ155" s="2985">
        <f>+AZ105-AZ31</f>
        <v>0</v>
      </c>
      <c r="BB155" s="2985">
        <f>+BB105-BB31</f>
        <v>0</v>
      </c>
      <c r="BD155" s="2985">
        <f>+BD105-BD31</f>
        <v>0</v>
      </c>
      <c r="BF155" s="2985">
        <f>+BF105-BF31</f>
        <v>0</v>
      </c>
    </row>
    <row r="156" spans="2:68" hidden="1" x14ac:dyDescent="0.25">
      <c r="B156" t="s">
        <v>1252</v>
      </c>
      <c r="F156" s="2985">
        <f>+F106-F30</f>
        <v>0</v>
      </c>
      <c r="H156" s="2985">
        <f>+H106-H30</f>
        <v>0</v>
      </c>
      <c r="L156" s="2985">
        <f>+L106-L30</f>
        <v>0</v>
      </c>
      <c r="N156" s="2985">
        <f>+N106-N30</f>
        <v>0</v>
      </c>
      <c r="P156" s="2985">
        <f>+P106-P30</f>
        <v>0</v>
      </c>
      <c r="T156" s="2985">
        <f>+T106-T30</f>
        <v>0</v>
      </c>
      <c r="X156" s="2985">
        <f>+X106-X30</f>
        <v>0</v>
      </c>
      <c r="Z156" s="2985">
        <f>+Z106-Z30</f>
        <v>0</v>
      </c>
      <c r="AB156" s="2985">
        <f>+AB106-AB30</f>
        <v>0</v>
      </c>
      <c r="AD156" s="2985">
        <f>+AD106-AD30</f>
        <v>0</v>
      </c>
      <c r="AH156" s="2985">
        <f>+AH106-AH30</f>
        <v>-0.16999999999825377</v>
      </c>
      <c r="AL156" s="2985">
        <f>+AL106-AL30</f>
        <v>0</v>
      </c>
      <c r="AN156" s="2985">
        <f>+AN106-AN30</f>
        <v>-0.17000000001280569</v>
      </c>
      <c r="AR156" s="2985">
        <f>+AR106-AR30</f>
        <v>0</v>
      </c>
      <c r="AV156" s="2985">
        <f>+AV106-AV30</f>
        <v>0</v>
      </c>
      <c r="AZ156" s="2985">
        <f>+AZ106-AZ30</f>
        <v>0</v>
      </c>
      <c r="BB156" s="2985">
        <f>+BB106-BB30</f>
        <v>0</v>
      </c>
      <c r="BD156" s="2985">
        <f>+BD106-BD30</f>
        <v>-0.17000000004190952</v>
      </c>
      <c r="BF156" s="2985">
        <f>+BF106-BF30</f>
        <v>-0.16999999992549419</v>
      </c>
    </row>
  </sheetData>
  <mergeCells count="32">
    <mergeCell ref="C115:C125"/>
    <mergeCell ref="C126:C145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S505"/>
  <sheetViews>
    <sheetView zoomScale="110" zoomScaleNormal="110" workbookViewId="0">
      <pane xSplit="4" topLeftCell="E1" activePane="topRight" state="frozen"/>
      <selection pane="topRight" activeCell="BJ16" sqref="BJ16"/>
    </sheetView>
  </sheetViews>
  <sheetFormatPr defaultColWidth="9.140625" defaultRowHeight="21" customHeight="1" x14ac:dyDescent="0.25"/>
  <cols>
    <col min="1" max="1" width="2.7109375" style="4" customWidth="1"/>
    <col min="2" max="2" width="44.5703125" style="4" customWidth="1"/>
    <col min="3" max="3" width="12.7109375" style="4" bestFit="1" customWidth="1"/>
    <col min="4" max="4" width="13.7109375" style="3607" customWidth="1"/>
    <col min="5" max="5" width="9.42578125" style="107" customWidth="1"/>
    <col min="6" max="6" width="22.85546875" style="43" customWidth="1"/>
    <col min="7" max="7" width="9.42578125" style="107" hidden="1" customWidth="1"/>
    <col min="8" max="8" width="22.85546875" style="43" hidden="1" customWidth="1"/>
    <col min="9" max="9" width="9.42578125" style="107" hidden="1" customWidth="1"/>
    <col min="10" max="10" width="23.85546875" style="43" hidden="1" customWidth="1"/>
    <col min="11" max="11" width="9.42578125" style="3608" hidden="1" customWidth="1"/>
    <col min="12" max="12" width="23.85546875" style="4" hidden="1" customWidth="1"/>
    <col min="13" max="13" width="9.42578125" style="107" hidden="1" customWidth="1"/>
    <col min="14" max="14" width="20.42578125" style="4" hidden="1" customWidth="1"/>
    <col min="15" max="15" width="9.42578125" style="3608" hidden="1" customWidth="1"/>
    <col min="16" max="16" width="20.7109375" style="4" hidden="1" customWidth="1"/>
    <col min="17" max="17" width="9.42578125" style="107" hidden="1" customWidth="1"/>
    <col min="18" max="18" width="17.28515625" style="4" hidden="1" customWidth="1"/>
    <col min="19" max="19" width="14.85546875" style="4" hidden="1" customWidth="1"/>
    <col min="20" max="20" width="18" style="1656" hidden="1" customWidth="1"/>
    <col min="21" max="21" width="10.42578125" style="4" hidden="1" customWidth="1"/>
    <col min="22" max="22" width="17.7109375" style="4" hidden="1" customWidth="1"/>
    <col min="23" max="23" width="9.42578125" style="43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26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32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2" width="18.140625" style="4" hidden="1" customWidth="1"/>
    <col min="43" max="43" width="10.140625" style="4" hidden="1" customWidth="1"/>
    <col min="44" max="44" width="14.140625" style="4" hidden="1" customWidth="1"/>
    <col min="45" max="45" width="11.140625" style="4" hidden="1" customWidth="1"/>
    <col min="46" max="46" width="13.5703125" style="4" hidden="1" customWidth="1"/>
    <col min="47" max="47" width="12.85546875" style="4" hidden="1" customWidth="1"/>
    <col min="48" max="48" width="12.140625" style="4" hidden="1" customWidth="1"/>
    <col min="49" max="49" width="10.28515625" style="4" hidden="1" customWidth="1"/>
    <col min="50" max="50" width="17.85546875" style="4" hidden="1" customWidth="1"/>
    <col min="51" max="51" width="9.28515625" style="4" hidden="1" customWidth="1"/>
    <col min="52" max="52" width="12" style="4" hidden="1" customWidth="1"/>
    <col min="53" max="53" width="9.28515625" style="4" hidden="1" customWidth="1"/>
    <col min="54" max="54" width="11.7109375" style="4" hidden="1" customWidth="1"/>
    <col min="55" max="55" width="10.42578125" style="4" hidden="1" customWidth="1"/>
    <col min="56" max="56" width="10" style="4" hidden="1" customWidth="1"/>
    <col min="57" max="57" width="10.28515625" style="4" hidden="1" customWidth="1"/>
    <col min="58" max="58" width="28.7109375" style="4" hidden="1" customWidth="1"/>
    <col min="59" max="59" width="9.140625" style="3957" customWidth="1"/>
    <col min="60" max="60" width="11.85546875" style="4" customWidth="1"/>
    <col min="61" max="61" width="10.140625" style="4" customWidth="1"/>
    <col min="62" max="62" width="9.7109375" style="4" customWidth="1"/>
    <col min="63" max="78" width="9.140625" style="4" customWidth="1"/>
    <col min="79" max="16384" width="9.140625" style="4"/>
  </cols>
  <sheetData>
    <row r="1" spans="1:66" ht="15" x14ac:dyDescent="0.25">
      <c r="B1" s="3609" t="s">
        <v>261</v>
      </c>
      <c r="C1" s="3610" t="s">
        <v>555</v>
      </c>
      <c r="D1" s="3610"/>
      <c r="E1" s="609"/>
      <c r="F1" s="191"/>
      <c r="G1" s="191"/>
      <c r="H1" s="191"/>
      <c r="I1" s="191"/>
      <c r="J1" s="191"/>
      <c r="K1" s="609"/>
      <c r="L1" s="191"/>
      <c r="M1" s="191"/>
      <c r="N1" s="191"/>
      <c r="O1" s="609"/>
      <c r="P1" s="43"/>
      <c r="Q1" s="191"/>
      <c r="R1" s="191"/>
      <c r="S1" s="567"/>
      <c r="T1" s="1676"/>
      <c r="U1" s="43"/>
      <c r="V1" s="43"/>
      <c r="X1" s="43"/>
      <c r="Y1" s="43"/>
      <c r="Z1" s="43"/>
      <c r="AA1" s="43"/>
      <c r="AB1" s="43"/>
    </row>
    <row r="2" spans="1:66" ht="15.75" thickBot="1" x14ac:dyDescent="0.3">
      <c r="B2" s="43"/>
      <c r="C2" s="43" t="s">
        <v>1735</v>
      </c>
      <c r="D2" s="3611">
        <v>365</v>
      </c>
      <c r="E2" s="191">
        <v>30</v>
      </c>
      <c r="F2" s="191">
        <v>30</v>
      </c>
      <c r="G2" s="191">
        <v>31</v>
      </c>
      <c r="H2" s="191">
        <v>31</v>
      </c>
      <c r="I2" s="191">
        <f>+E2+G2</f>
        <v>61</v>
      </c>
      <c r="J2" s="191">
        <f>+F2+H2</f>
        <v>61</v>
      </c>
      <c r="K2" s="609">
        <v>30</v>
      </c>
      <c r="L2" s="191">
        <v>30</v>
      </c>
      <c r="M2" s="191">
        <f>+I2+K2</f>
        <v>91</v>
      </c>
      <c r="N2" s="191">
        <f>+J2+L2</f>
        <v>91</v>
      </c>
      <c r="O2" s="609">
        <v>31</v>
      </c>
      <c r="P2" s="191">
        <v>31</v>
      </c>
      <c r="Q2" s="191">
        <f>+M2+O2</f>
        <v>122</v>
      </c>
      <c r="R2" s="191">
        <f>+N2+P2</f>
        <v>122</v>
      </c>
      <c r="S2" s="191">
        <v>31</v>
      </c>
      <c r="T2" s="3612">
        <v>31</v>
      </c>
      <c r="U2" s="191">
        <f>+Q2+S2</f>
        <v>153</v>
      </c>
      <c r="V2" s="191">
        <f>+R2+T2</f>
        <v>153</v>
      </c>
      <c r="W2" s="191">
        <v>30</v>
      </c>
      <c r="X2" s="191">
        <v>30</v>
      </c>
      <c r="Y2" s="191">
        <f>O2+S2+W2</f>
        <v>92</v>
      </c>
      <c r="Z2" s="191">
        <f>P2+T2+X2</f>
        <v>92</v>
      </c>
      <c r="AA2" s="191">
        <f>+U2+W2</f>
        <v>183</v>
      </c>
      <c r="AB2" s="191">
        <f>+V2+X2</f>
        <v>183</v>
      </c>
      <c r="AC2" s="191">
        <v>31</v>
      </c>
      <c r="AD2" s="191">
        <v>31</v>
      </c>
      <c r="AE2" s="191">
        <f>+AA2+AC2</f>
        <v>214</v>
      </c>
      <c r="AF2" s="191">
        <f>+AB2+AD2</f>
        <v>214</v>
      </c>
      <c r="AG2" s="191">
        <v>30</v>
      </c>
      <c r="AH2" s="191">
        <v>30</v>
      </c>
      <c r="AI2" s="191">
        <f>+AE2+AG2</f>
        <v>244</v>
      </c>
      <c r="AJ2" s="191">
        <f>+AF2+AH2</f>
        <v>244</v>
      </c>
      <c r="AK2" s="191">
        <v>31</v>
      </c>
      <c r="AL2" s="191">
        <v>31</v>
      </c>
      <c r="AM2" s="191">
        <f>AC2+AG2+AK2</f>
        <v>92</v>
      </c>
      <c r="AN2" s="191">
        <f>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+AO2+AQ2</f>
        <v>306</v>
      </c>
      <c r="AT2" s="191">
        <f>+AP2+AR2</f>
        <v>306</v>
      </c>
      <c r="AU2" s="191">
        <v>28</v>
      </c>
      <c r="AV2" s="191">
        <v>28</v>
      </c>
      <c r="AW2" s="191">
        <f>+AS2+AU2</f>
        <v>334</v>
      </c>
      <c r="AX2" s="191">
        <f>+AT2+AV2</f>
        <v>334</v>
      </c>
      <c r="AY2" s="191">
        <v>31</v>
      </c>
      <c r="AZ2" s="191">
        <v>31</v>
      </c>
      <c r="BA2" s="191">
        <f>AQ2+AU2+AY2</f>
        <v>90</v>
      </c>
      <c r="BB2" s="191">
        <f>AR2+AV2+AZ2</f>
        <v>90</v>
      </c>
      <c r="BC2" s="191">
        <f>+AM2+BA2</f>
        <v>182</v>
      </c>
      <c r="BD2" s="191">
        <f>+AN2+BB2</f>
        <v>182</v>
      </c>
      <c r="BE2" s="191">
        <f>+AW2+AY2</f>
        <v>365</v>
      </c>
      <c r="BF2" s="191">
        <f>+AX2+AZ2</f>
        <v>365</v>
      </c>
    </row>
    <row r="3" spans="1:66" ht="15" x14ac:dyDescent="0.25">
      <c r="B3" s="7835" t="s">
        <v>171</v>
      </c>
      <c r="C3" s="8095" t="s">
        <v>172</v>
      </c>
      <c r="D3" s="7707" t="s">
        <v>2320</v>
      </c>
      <c r="E3" s="7733" t="s">
        <v>2319</v>
      </c>
      <c r="F3" s="7733"/>
      <c r="G3" s="7733" t="s">
        <v>1956</v>
      </c>
      <c r="H3" s="7733"/>
      <c r="I3" s="8051" t="s">
        <v>14</v>
      </c>
      <c r="J3" s="8051"/>
      <c r="K3" s="7733" t="s">
        <v>1986</v>
      </c>
      <c r="L3" s="7733"/>
      <c r="M3" s="7734" t="s">
        <v>607</v>
      </c>
      <c r="N3" s="7734"/>
      <c r="O3" s="8057" t="s">
        <v>2009</v>
      </c>
      <c r="P3" s="8057"/>
      <c r="Q3" s="8051" t="s">
        <v>17</v>
      </c>
      <c r="R3" s="8051"/>
      <c r="S3" s="8057" t="s">
        <v>2011</v>
      </c>
      <c r="T3" s="8057"/>
      <c r="U3" s="8051" t="s">
        <v>18</v>
      </c>
      <c r="V3" s="8051"/>
      <c r="W3" s="8057" t="s">
        <v>2042</v>
      </c>
      <c r="X3" s="8057"/>
      <c r="Y3" s="7734" t="s">
        <v>629</v>
      </c>
      <c r="Z3" s="7734"/>
      <c r="AA3" s="7720" t="s">
        <v>626</v>
      </c>
      <c r="AB3" s="7720"/>
      <c r="AC3" s="8057" t="s">
        <v>2067</v>
      </c>
      <c r="AD3" s="8057"/>
      <c r="AE3" s="8051" t="s">
        <v>24</v>
      </c>
      <c r="AF3" s="8051"/>
      <c r="AG3" s="8057" t="s">
        <v>2170</v>
      </c>
      <c r="AH3" s="8057"/>
      <c r="AI3" s="8051" t="s">
        <v>27</v>
      </c>
      <c r="AJ3" s="8051"/>
      <c r="AK3" s="8057" t="s">
        <v>2194</v>
      </c>
      <c r="AL3" s="8057"/>
      <c r="AM3" s="7734" t="s">
        <v>631</v>
      </c>
      <c r="AN3" s="7734"/>
      <c r="AO3" s="8051" t="s">
        <v>1575</v>
      </c>
      <c r="AP3" s="8051"/>
      <c r="AQ3" s="8057" t="s">
        <v>2206</v>
      </c>
      <c r="AR3" s="8057"/>
      <c r="AS3" s="8051" t="s">
        <v>28</v>
      </c>
      <c r="AT3" s="8051"/>
      <c r="AU3" s="8057" t="s">
        <v>2243</v>
      </c>
      <c r="AV3" s="8057"/>
      <c r="AW3" s="8051" t="s">
        <v>30</v>
      </c>
      <c r="AX3" s="8051"/>
      <c r="AY3" s="8057" t="s">
        <v>2261</v>
      </c>
      <c r="AZ3" s="8057"/>
      <c r="BA3" s="7734" t="s">
        <v>632</v>
      </c>
      <c r="BB3" s="7734"/>
      <c r="BC3" s="7720" t="s">
        <v>638</v>
      </c>
      <c r="BD3" s="7720"/>
      <c r="BE3" s="8051" t="s">
        <v>1984</v>
      </c>
      <c r="BF3" s="7710"/>
    </row>
    <row r="4" spans="1:66" ht="15.75" thickBot="1" x14ac:dyDescent="0.3">
      <c r="B4" s="8094"/>
      <c r="C4" s="8096"/>
      <c r="D4" s="8097"/>
      <c r="E4" s="3600" t="s">
        <v>173</v>
      </c>
      <c r="F4" s="3600" t="s">
        <v>174</v>
      </c>
      <c r="G4" s="3600" t="s">
        <v>173</v>
      </c>
      <c r="H4" s="3600" t="s">
        <v>174</v>
      </c>
      <c r="I4" s="3482" t="s">
        <v>173</v>
      </c>
      <c r="J4" s="3482" t="s">
        <v>174</v>
      </c>
      <c r="K4" s="3484" t="s">
        <v>173</v>
      </c>
      <c r="L4" s="3600" t="s">
        <v>174</v>
      </c>
      <c r="M4" s="3613" t="s">
        <v>173</v>
      </c>
      <c r="N4" s="3613" t="s">
        <v>174</v>
      </c>
      <c r="O4" s="3484" t="s">
        <v>173</v>
      </c>
      <c r="P4" s="3600" t="s">
        <v>174</v>
      </c>
      <c r="Q4" s="3482" t="s">
        <v>173</v>
      </c>
      <c r="R4" s="3482" t="s">
        <v>174</v>
      </c>
      <c r="S4" s="3484" t="s">
        <v>173</v>
      </c>
      <c r="T4" s="3614" t="s">
        <v>174</v>
      </c>
      <c r="U4" s="3482" t="s">
        <v>173</v>
      </c>
      <c r="V4" s="3482" t="s">
        <v>174</v>
      </c>
      <c r="W4" s="3484" t="s">
        <v>173</v>
      </c>
      <c r="X4" s="3600" t="s">
        <v>174</v>
      </c>
      <c r="Y4" s="3613" t="s">
        <v>173</v>
      </c>
      <c r="Z4" s="3613" t="s">
        <v>174</v>
      </c>
      <c r="AA4" s="3615" t="s">
        <v>173</v>
      </c>
      <c r="AB4" s="3615" t="s">
        <v>174</v>
      </c>
      <c r="AC4" s="3484" t="s">
        <v>173</v>
      </c>
      <c r="AD4" s="3600" t="s">
        <v>174</v>
      </c>
      <c r="AE4" s="3482" t="s">
        <v>173</v>
      </c>
      <c r="AF4" s="3482" t="s">
        <v>174</v>
      </c>
      <c r="AG4" s="3484" t="s">
        <v>173</v>
      </c>
      <c r="AH4" s="3600" t="s">
        <v>174</v>
      </c>
      <c r="AI4" s="3482" t="s">
        <v>173</v>
      </c>
      <c r="AJ4" s="3482" t="s">
        <v>174</v>
      </c>
      <c r="AK4" s="3484" t="s">
        <v>173</v>
      </c>
      <c r="AL4" s="3600" t="s">
        <v>174</v>
      </c>
      <c r="AM4" s="3613" t="s">
        <v>173</v>
      </c>
      <c r="AN4" s="3613" t="s">
        <v>174</v>
      </c>
      <c r="AO4" s="3482" t="s">
        <v>173</v>
      </c>
      <c r="AP4" s="3482" t="s">
        <v>174</v>
      </c>
      <c r="AQ4" s="3484" t="s">
        <v>173</v>
      </c>
      <c r="AR4" s="3600" t="s">
        <v>174</v>
      </c>
      <c r="AS4" s="3482" t="s">
        <v>173</v>
      </c>
      <c r="AT4" s="3482" t="s">
        <v>174</v>
      </c>
      <c r="AU4" s="3484" t="s">
        <v>173</v>
      </c>
      <c r="AV4" s="3600" t="s">
        <v>174</v>
      </c>
      <c r="AW4" s="3482" t="s">
        <v>173</v>
      </c>
      <c r="AX4" s="3482" t="s">
        <v>174</v>
      </c>
      <c r="AY4" s="3484" t="s">
        <v>173</v>
      </c>
      <c r="AZ4" s="3600" t="s">
        <v>174</v>
      </c>
      <c r="BA4" s="3613" t="s">
        <v>173</v>
      </c>
      <c r="BB4" s="3613" t="s">
        <v>174</v>
      </c>
      <c r="BC4" s="3615" t="s">
        <v>173</v>
      </c>
      <c r="BD4" s="3615" t="s">
        <v>174</v>
      </c>
      <c r="BE4" s="3482" t="s">
        <v>173</v>
      </c>
      <c r="BF4" s="859" t="s">
        <v>174</v>
      </c>
    </row>
    <row r="5" spans="1:66" ht="15.75" thickBot="1" x14ac:dyDescent="0.3">
      <c r="A5" s="1192"/>
      <c r="B5" s="3616" t="s">
        <v>267</v>
      </c>
      <c r="C5" s="3617" t="s">
        <v>50</v>
      </c>
      <c r="D5" s="3618">
        <v>2817514.1242937851</v>
      </c>
      <c r="E5" s="3619">
        <f>+'Maj Production Summ'!E18</f>
        <v>193691.14877589454</v>
      </c>
      <c r="F5" s="3619">
        <f>+'Maj Production Summ'!F18</f>
        <v>223226</v>
      </c>
      <c r="G5" s="3619">
        <f>+'Maj Production Summ'!G18</f>
        <v>244664.77809253999</v>
      </c>
      <c r="H5" s="3619">
        <f>+'Maj Production Summ'!H18</f>
        <v>236638</v>
      </c>
      <c r="I5" s="3619">
        <f>+'Maj Production Summ'!I18</f>
        <v>438355.92686843453</v>
      </c>
      <c r="J5" s="3619">
        <f>+'Maj Production Summ'!J18</f>
        <v>459864</v>
      </c>
      <c r="K5" s="3619">
        <f>+'Maj Production Summ'!K18</f>
        <v>237110.48158640199</v>
      </c>
      <c r="L5" s="3619">
        <f>+'Maj Production Summ'!L18</f>
        <v>243453</v>
      </c>
      <c r="M5" s="3619">
        <f>+'Maj Production Summ'!M18</f>
        <v>675466.40845483658</v>
      </c>
      <c r="N5" s="3619">
        <f>+'Maj Production Summ'!N18</f>
        <v>703317</v>
      </c>
      <c r="O5" s="3619">
        <f>+'Maj Production Summ'!O18</f>
        <v>239943.34277620399</v>
      </c>
      <c r="P5" s="3619">
        <f>+'Maj Production Summ'!P18</f>
        <v>253662</v>
      </c>
      <c r="Q5" s="3619">
        <f>+'Maj Production Summ'!Q18</f>
        <v>915409.75123104057</v>
      </c>
      <c r="R5" s="3619">
        <f>+'Maj Production Summ'!R18</f>
        <v>956979</v>
      </c>
      <c r="S5" s="3619">
        <f>+'Maj Production Summ'!S18</f>
        <v>239943.34277620399</v>
      </c>
      <c r="T5" s="3619">
        <f>+'Maj Production Summ'!T18</f>
        <v>237622</v>
      </c>
      <c r="U5" s="3619">
        <f>+'Maj Production Summ'!U18</f>
        <v>1155353.0940072446</v>
      </c>
      <c r="V5" s="3619">
        <f>+'Maj Production Summ'!V18</f>
        <v>1194601</v>
      </c>
      <c r="W5" s="3619">
        <f>+'Maj Production Summ'!W18</f>
        <v>125920.679886686</v>
      </c>
      <c r="X5" s="3619">
        <f>+'Maj Production Summ'!X18</f>
        <v>226847</v>
      </c>
      <c r="Y5" s="3619">
        <f>+'Maj Production Summ'!Y18</f>
        <v>605807.36543909402</v>
      </c>
      <c r="Z5" s="3619">
        <f>+'Maj Production Summ'!Z18</f>
        <v>718131</v>
      </c>
      <c r="AA5" s="3619">
        <f>+'Maj Production Summ'!AA18</f>
        <v>1281273.7738939305</v>
      </c>
      <c r="AB5" s="3619">
        <f>+'Maj Production Summ'!AB18</f>
        <v>1421448</v>
      </c>
      <c r="AC5" s="3619">
        <f>+'Maj Production Summ'!AC18</f>
        <v>244664.77809253999</v>
      </c>
      <c r="AD5" s="3619">
        <f>+'Maj Production Summ'!AD18</f>
        <v>179201</v>
      </c>
      <c r="AE5" s="3619">
        <f>+'Maj Production Summ'!AE18</f>
        <v>1525938.5519864704</v>
      </c>
      <c r="AF5" s="3619">
        <f>+'Maj Production Summ'!AF18</f>
        <v>1600649</v>
      </c>
      <c r="AG5" s="3619">
        <f>+'Maj Production Summ'!AG18</f>
        <v>237110.48158640199</v>
      </c>
      <c r="AH5" s="3619">
        <f>+'Maj Production Summ'!AH18</f>
        <v>229502</v>
      </c>
      <c r="AI5" s="3619">
        <f>+'Maj Production Summ'!AI18</f>
        <v>1763049.0335728724</v>
      </c>
      <c r="AJ5" s="3619">
        <f>+'Maj Production Summ'!AJ18</f>
        <v>1830151</v>
      </c>
      <c r="AK5" s="3619">
        <f>+'Maj Production Summ'!AK18</f>
        <v>244664.77809253999</v>
      </c>
      <c r="AL5" s="3619">
        <f>+'Maj Production Summ'!AL18</f>
        <v>234365</v>
      </c>
      <c r="AM5" s="3619">
        <f>+'Maj Production Summ'!AM18</f>
        <v>726440.03777148202</v>
      </c>
      <c r="AN5" s="3619">
        <f>+'Maj Production Summ'!AN18</f>
        <v>643068</v>
      </c>
      <c r="AO5" s="3619">
        <f>+'Maj Production Summ'!AO18</f>
        <v>2007713.8116654125</v>
      </c>
      <c r="AP5" s="3619">
        <f>+'Maj Production Summ'!AP18</f>
        <v>2064516</v>
      </c>
      <c r="AQ5" s="3619">
        <f>+'Maj Production Summ'!AQ18</f>
        <v>248441.92634560907</v>
      </c>
      <c r="AR5" s="3619">
        <f>+'Maj Production Summ'!AR18</f>
        <v>228047</v>
      </c>
      <c r="AS5" s="3619">
        <f>+'Maj Production Summ'!AS18</f>
        <v>2256155.7380110216</v>
      </c>
      <c r="AT5" s="3619">
        <f>+'Maj Production Summ'!AT18</f>
        <v>2292563</v>
      </c>
      <c r="AU5" s="3619">
        <f>+'Maj Production Summ'!AU18</f>
        <v>222001.88857412653</v>
      </c>
      <c r="AV5" s="3619">
        <f>+'Maj Production Summ'!AV18</f>
        <v>185016</v>
      </c>
      <c r="AW5" s="3619">
        <f>+'Maj Production Summ'!AW18</f>
        <v>2478157.6265851483</v>
      </c>
      <c r="AX5" s="3619">
        <f>+'Maj Production Summ'!AX18</f>
        <v>2477579</v>
      </c>
      <c r="AY5" s="3619">
        <f>+'Maj Production Summ'!AY18</f>
        <v>248441.92634560907</v>
      </c>
      <c r="AZ5" s="3619">
        <f>+'Maj Production Summ'!AZ18</f>
        <v>241240</v>
      </c>
      <c r="BA5" s="3619">
        <f>+'Maj Production Summ'!BA18</f>
        <v>718885.74126534467</v>
      </c>
      <c r="BB5" s="3619">
        <f>+'Maj Production Summ'!BB18</f>
        <v>654303</v>
      </c>
      <c r="BC5" s="3619">
        <f>+'Maj Production Summ'!BC18</f>
        <v>1445325.7790368267</v>
      </c>
      <c r="BD5" s="3619">
        <f>+'Maj Production Summ'!BD18</f>
        <v>1297371</v>
      </c>
      <c r="BE5" s="3619">
        <f>+'Maj Production Summ'!BE18</f>
        <v>2726599.5529307574</v>
      </c>
      <c r="BF5" s="3620">
        <f>+'Maj Production Summ'!BF18</f>
        <v>2718819</v>
      </c>
      <c r="BG5" s="4396"/>
      <c r="BH5" s="4396"/>
      <c r="BI5" s="3604"/>
      <c r="BJ5" s="3604"/>
      <c r="BK5" s="3957"/>
      <c r="BL5" s="3604"/>
      <c r="BM5" s="3957"/>
      <c r="BN5" s="3957"/>
    </row>
    <row r="6" spans="1:66" ht="15" x14ac:dyDescent="0.25">
      <c r="A6" s="1192"/>
      <c r="B6" s="3621" t="s">
        <v>472</v>
      </c>
      <c r="C6" s="837"/>
      <c r="D6" s="836"/>
      <c r="E6" s="3622"/>
      <c r="F6" s="3622"/>
      <c r="G6" s="3622"/>
      <c r="H6" s="3622"/>
      <c r="I6" s="3622"/>
      <c r="J6" s="3622"/>
      <c r="K6" s="3622"/>
      <c r="L6" s="3622"/>
      <c r="M6" s="3622"/>
      <c r="N6" s="3622"/>
      <c r="O6" s="3622"/>
      <c r="P6" s="3622"/>
      <c r="Q6" s="3622"/>
      <c r="R6" s="3622"/>
      <c r="S6" s="3622"/>
      <c r="T6" s="3622"/>
      <c r="U6" s="3622"/>
      <c r="V6" s="3622"/>
      <c r="W6" s="3622"/>
      <c r="X6" s="3622"/>
      <c r="Y6" s="3622"/>
      <c r="Z6" s="3622"/>
      <c r="AA6" s="3622"/>
      <c r="AB6" s="3622"/>
      <c r="AC6" s="3622"/>
      <c r="AD6" s="3622"/>
      <c r="AE6" s="3622"/>
      <c r="AF6" s="3622"/>
      <c r="AG6" s="3622"/>
      <c r="AH6" s="3622"/>
      <c r="AI6" s="3622"/>
      <c r="AJ6" s="3622"/>
      <c r="AK6" s="3622"/>
      <c r="AL6" s="3622"/>
      <c r="AM6" s="3622"/>
      <c r="AN6" s="3622"/>
      <c r="AO6" s="3622"/>
      <c r="AP6" s="3622"/>
      <c r="AQ6" s="3622"/>
      <c r="AR6" s="3622"/>
      <c r="AS6" s="3622"/>
      <c r="AT6" s="3622"/>
      <c r="AU6" s="3622"/>
      <c r="AV6" s="3622"/>
      <c r="AW6" s="3622"/>
      <c r="AX6" s="3622"/>
      <c r="AY6" s="3622"/>
      <c r="AZ6" s="3622"/>
      <c r="BA6" s="3622"/>
      <c r="BB6" s="3622"/>
      <c r="BC6" s="3622"/>
      <c r="BD6" s="3622"/>
      <c r="BE6" s="3622"/>
      <c r="BF6" s="2700"/>
      <c r="BG6" s="3604"/>
      <c r="BH6" s="3604"/>
      <c r="BI6" s="3604"/>
      <c r="BJ6" s="3604"/>
      <c r="BK6" s="3957"/>
      <c r="BL6" s="3604"/>
      <c r="BM6" s="3957"/>
      <c r="BN6" s="3957"/>
    </row>
    <row r="7" spans="1:66" ht="15" x14ac:dyDescent="0.25">
      <c r="A7" s="8089"/>
      <c r="B7" s="8" t="s">
        <v>262</v>
      </c>
      <c r="C7" s="3180" t="s">
        <v>175</v>
      </c>
      <c r="D7" s="8098">
        <f>+(D5/D52)</f>
        <v>18060.98797624221</v>
      </c>
      <c r="E7" s="8058">
        <f>+(E5/E52)</f>
        <v>1241.6099280506057</v>
      </c>
      <c r="F7" s="3239">
        <v>342</v>
      </c>
      <c r="G7" s="8058">
        <f>+(G5/G52)</f>
        <v>1568.3639621316663</v>
      </c>
      <c r="H7" s="3239">
        <v>584</v>
      </c>
      <c r="I7" s="8060">
        <f>+(I5/I52)</f>
        <v>2922.3728457895636</v>
      </c>
      <c r="J7" s="3259">
        <f>+F7+H7</f>
        <v>926</v>
      </c>
      <c r="K7" s="8058">
        <f>+(K5/K52)</f>
        <v>1519.9389845282176</v>
      </c>
      <c r="L7" s="3239">
        <v>451</v>
      </c>
      <c r="M7" s="8078">
        <f>+(M5/M52)</f>
        <v>4329.9128747104905</v>
      </c>
      <c r="N7" s="3623">
        <f>+L7+H7+F7</f>
        <v>1377</v>
      </c>
      <c r="O7" s="8058">
        <f>+(O5/O52)</f>
        <v>1538.0983511295126</v>
      </c>
      <c r="P7" s="3239">
        <v>529</v>
      </c>
      <c r="Q7" s="8060">
        <f>+(Q5/Q52)</f>
        <v>6102.7316748736048</v>
      </c>
      <c r="R7" s="3259">
        <f>+N7+P7</f>
        <v>1906</v>
      </c>
      <c r="S7" s="8058">
        <f>+(S5/S52)</f>
        <v>1538.0983511295126</v>
      </c>
      <c r="T7" s="3239">
        <v>486</v>
      </c>
      <c r="U7" s="8060">
        <f>+(U5/U52)</f>
        <v>7702.3539600482982</v>
      </c>
      <c r="V7" s="3259">
        <f>+R7+T7</f>
        <v>2392</v>
      </c>
      <c r="W7" s="8058">
        <f>+(W5/W52)</f>
        <v>807.18384542747424</v>
      </c>
      <c r="X7" s="3239">
        <v>481</v>
      </c>
      <c r="Y7" s="8078">
        <f>+(Y5/Y52)</f>
        <v>4038.71576959396</v>
      </c>
      <c r="Z7" s="3623">
        <f>+P7+T7+X7</f>
        <v>1496</v>
      </c>
      <c r="AA7" s="8065">
        <f>+(AA5/AA52)</f>
        <v>8541.82515929287</v>
      </c>
      <c r="AB7" s="3624">
        <f>+Z7+N7</f>
        <v>2873</v>
      </c>
      <c r="AC7" s="8058">
        <f>+(AC5/AC52)</f>
        <v>1568.3639621316663</v>
      </c>
      <c r="AD7" s="3239">
        <v>354</v>
      </c>
      <c r="AE7" s="8060">
        <f>+(AE5/AE52)</f>
        <v>10172.923679909802</v>
      </c>
      <c r="AF7" s="3259">
        <f>+AB7+AD7</f>
        <v>3227</v>
      </c>
      <c r="AG7" s="8058">
        <f>+(AG5/AG52)</f>
        <v>1519.9389845282176</v>
      </c>
      <c r="AH7" s="3239">
        <v>531</v>
      </c>
      <c r="AI7" s="8060">
        <f>+(AI5/AI52)</f>
        <v>11753.66022381915</v>
      </c>
      <c r="AJ7" s="4640">
        <f>+AF7+AH7</f>
        <v>3758</v>
      </c>
      <c r="AK7" s="8058">
        <f>+(AK5/AK52)</f>
        <v>1568.3639621316663</v>
      </c>
      <c r="AL7" s="3239">
        <v>532</v>
      </c>
      <c r="AM7" s="8078">
        <f>+(AM5/AM52)</f>
        <v>4842.9335851432133</v>
      </c>
      <c r="AN7" s="3623">
        <f>+AD7+AH7+AL7</f>
        <v>1417</v>
      </c>
      <c r="AO7" s="8060">
        <f>+(AO5/AO52)</f>
        <v>13384.758744436082</v>
      </c>
      <c r="AP7" s="3259">
        <f>+AL7+AJ7</f>
        <v>4290</v>
      </c>
      <c r="AQ7" s="8058">
        <f>+(AQ5/AQ52)</f>
        <v>1592.5764509333912</v>
      </c>
      <c r="AR7" s="3239">
        <v>536</v>
      </c>
      <c r="AS7" s="8060">
        <f>+(AS5/AS52)</f>
        <v>15041.03825340681</v>
      </c>
      <c r="AT7" s="3259">
        <f>+AP7+AR7</f>
        <v>4826</v>
      </c>
      <c r="AU7" s="8058">
        <f>+(AU5/AU52)</f>
        <v>1423.0890293213236</v>
      </c>
      <c r="AV7" s="3239">
        <v>439</v>
      </c>
      <c r="AW7" s="8060">
        <f>+(AW5/AW52)</f>
        <v>16521.050843900986</v>
      </c>
      <c r="AX7" s="5035">
        <f>+AT7+AV7</f>
        <v>5265</v>
      </c>
      <c r="AY7" s="8058">
        <f>+(AY5/AY52)</f>
        <v>1592.5764509333912</v>
      </c>
      <c r="AZ7" s="3239">
        <v>538</v>
      </c>
      <c r="BA7" s="8078">
        <f>+(BA5/BA52)</f>
        <v>4792.5716084356309</v>
      </c>
      <c r="BB7" s="3623">
        <f>+AR7+AV7+AZ7</f>
        <v>1513</v>
      </c>
      <c r="BC7" s="8065">
        <f>+(BC5/BC52)</f>
        <v>9635.5051935788451</v>
      </c>
      <c r="BD7" s="3624">
        <f>+BB7+AN7</f>
        <v>2930</v>
      </c>
      <c r="BE7" s="8060">
        <f>+(BE5/BE52)</f>
        <v>18177.330352871715</v>
      </c>
      <c r="BF7" s="3446">
        <f>+AX7+AZ7</f>
        <v>5803</v>
      </c>
      <c r="BG7" s="4396"/>
      <c r="BH7" s="4396"/>
      <c r="BI7" s="3604"/>
      <c r="BJ7" s="3604"/>
      <c r="BK7" s="3957"/>
      <c r="BL7" s="3604"/>
      <c r="BM7" s="3957"/>
      <c r="BN7" s="3957"/>
    </row>
    <row r="8" spans="1:66" ht="15" x14ac:dyDescent="0.25">
      <c r="A8" s="8089"/>
      <c r="B8" s="8" t="s">
        <v>263</v>
      </c>
      <c r="C8" s="3180" t="s">
        <v>175</v>
      </c>
      <c r="D8" s="8098"/>
      <c r="E8" s="8058"/>
      <c r="F8" s="3239">
        <v>559</v>
      </c>
      <c r="G8" s="8058"/>
      <c r="H8" s="3239">
        <v>413</v>
      </c>
      <c r="I8" s="8060"/>
      <c r="J8" s="3259">
        <f>+F8+H8</f>
        <v>972</v>
      </c>
      <c r="K8" s="8058"/>
      <c r="L8" s="3239">
        <v>582</v>
      </c>
      <c r="M8" s="8078"/>
      <c r="N8" s="3623">
        <f>+L8+H8+F8</f>
        <v>1554</v>
      </c>
      <c r="O8" s="8058"/>
      <c r="P8" s="3239">
        <v>562</v>
      </c>
      <c r="Q8" s="8060"/>
      <c r="R8" s="3259">
        <f>+N8+P8</f>
        <v>2116</v>
      </c>
      <c r="S8" s="8058"/>
      <c r="T8" s="3239">
        <v>533</v>
      </c>
      <c r="U8" s="8060"/>
      <c r="V8" s="3259">
        <f>+R8+T8</f>
        <v>2649</v>
      </c>
      <c r="W8" s="8058"/>
      <c r="X8" s="3239">
        <v>517</v>
      </c>
      <c r="Y8" s="8078"/>
      <c r="Z8" s="3623">
        <f>+P8+T8+X8</f>
        <v>1612</v>
      </c>
      <c r="AA8" s="8065"/>
      <c r="AB8" s="3624">
        <f>+Z8+N8</f>
        <v>3166</v>
      </c>
      <c r="AC8" s="8058"/>
      <c r="AD8" s="3239">
        <v>393</v>
      </c>
      <c r="AE8" s="8060"/>
      <c r="AF8" s="3259">
        <f>+AB8+AD8</f>
        <v>3559</v>
      </c>
      <c r="AG8" s="8058"/>
      <c r="AH8" s="3239">
        <v>489</v>
      </c>
      <c r="AI8" s="8060"/>
      <c r="AJ8" s="4640">
        <f>+AF8+AH8</f>
        <v>4048</v>
      </c>
      <c r="AK8" s="8058"/>
      <c r="AL8" s="3239">
        <v>490</v>
      </c>
      <c r="AM8" s="8078"/>
      <c r="AN8" s="3623">
        <f>+AD8+AH8+AL8</f>
        <v>1372</v>
      </c>
      <c r="AO8" s="8060"/>
      <c r="AP8" s="3259">
        <f t="shared" ref="AP8:AP14" si="0">+AL8+AJ8</f>
        <v>4538</v>
      </c>
      <c r="AQ8" s="8058"/>
      <c r="AR8" s="3239">
        <v>436</v>
      </c>
      <c r="AS8" s="8060"/>
      <c r="AT8" s="3259">
        <f>+AP8+AR8</f>
        <v>4974</v>
      </c>
      <c r="AU8" s="8058"/>
      <c r="AV8" s="3239">
        <v>385</v>
      </c>
      <c r="AW8" s="8060"/>
      <c r="AX8" s="5035">
        <f>+AT8+AV8</f>
        <v>5359</v>
      </c>
      <c r="AY8" s="8058"/>
      <c r="AZ8" s="3239">
        <v>475</v>
      </c>
      <c r="BA8" s="8078"/>
      <c r="BB8" s="3623">
        <f>+AR8+AV8+AZ8</f>
        <v>1296</v>
      </c>
      <c r="BC8" s="8065"/>
      <c r="BD8" s="3624">
        <f t="shared" ref="BD8:BD9" si="1">+BB8+AN8</f>
        <v>2668</v>
      </c>
      <c r="BE8" s="8060"/>
      <c r="BF8" s="3446">
        <f>+AX8+AZ8</f>
        <v>5834</v>
      </c>
      <c r="BG8" s="4396"/>
      <c r="BH8" s="4396"/>
      <c r="BI8" s="3604"/>
      <c r="BJ8" s="3604"/>
      <c r="BK8" s="3957"/>
      <c r="BL8" s="3604"/>
      <c r="BM8" s="3957"/>
      <c r="BN8" s="3957"/>
    </row>
    <row r="9" spans="1:66" ht="15.75" thickBot="1" x14ac:dyDescent="0.3">
      <c r="A9" s="8089"/>
      <c r="B9" s="3425" t="s">
        <v>264</v>
      </c>
      <c r="C9" s="151" t="s">
        <v>175</v>
      </c>
      <c r="D9" s="8098"/>
      <c r="E9" s="8058"/>
      <c r="F9" s="3239">
        <v>521</v>
      </c>
      <c r="G9" s="8058"/>
      <c r="H9" s="3239">
        <v>519</v>
      </c>
      <c r="I9" s="8060"/>
      <c r="J9" s="3259">
        <f>+F9+H9</f>
        <v>1040</v>
      </c>
      <c r="K9" s="8058"/>
      <c r="L9" s="3239">
        <v>525</v>
      </c>
      <c r="M9" s="8078"/>
      <c r="N9" s="3623">
        <f>+L9+H9+F9</f>
        <v>1565</v>
      </c>
      <c r="O9" s="8058"/>
      <c r="P9" s="3239">
        <v>524</v>
      </c>
      <c r="Q9" s="8060"/>
      <c r="R9" s="3259">
        <f>+N9+P9</f>
        <v>2089</v>
      </c>
      <c r="S9" s="8058"/>
      <c r="T9" s="3239">
        <v>500</v>
      </c>
      <c r="U9" s="8060"/>
      <c r="V9" s="3259">
        <f>+R9+T9</f>
        <v>2589</v>
      </c>
      <c r="W9" s="8058"/>
      <c r="X9" s="3239">
        <v>456</v>
      </c>
      <c r="Y9" s="8078"/>
      <c r="Z9" s="3623">
        <f t="shared" ref="Z9:Z14" si="2">+P9+T9+X9</f>
        <v>1480</v>
      </c>
      <c r="AA9" s="8065"/>
      <c r="AB9" s="3624">
        <f>+Z9+N9</f>
        <v>3045</v>
      </c>
      <c r="AC9" s="8058"/>
      <c r="AD9" s="3239">
        <v>405</v>
      </c>
      <c r="AE9" s="8060"/>
      <c r="AF9" s="3259">
        <f>+AB9+AD9</f>
        <v>3450</v>
      </c>
      <c r="AG9" s="8058"/>
      <c r="AH9" s="3239">
        <v>437</v>
      </c>
      <c r="AI9" s="8060"/>
      <c r="AJ9" s="4640">
        <f>+AF9+AH9</f>
        <v>3887</v>
      </c>
      <c r="AK9" s="8058"/>
      <c r="AL9" s="3239">
        <v>482</v>
      </c>
      <c r="AM9" s="8078"/>
      <c r="AN9" s="3623">
        <f t="shared" ref="AN9" si="3">+AD9+AH9+AL9</f>
        <v>1324</v>
      </c>
      <c r="AO9" s="8060"/>
      <c r="AP9" s="3259">
        <f t="shared" si="0"/>
        <v>4369</v>
      </c>
      <c r="AQ9" s="8058"/>
      <c r="AR9" s="3239">
        <v>491</v>
      </c>
      <c r="AS9" s="8060"/>
      <c r="AT9" s="3259">
        <f>+AP9+AR9</f>
        <v>4860</v>
      </c>
      <c r="AU9" s="8058"/>
      <c r="AV9" s="3239">
        <v>364</v>
      </c>
      <c r="AW9" s="8060"/>
      <c r="AX9" s="5035">
        <f>+AT9+AV9</f>
        <v>5224</v>
      </c>
      <c r="AY9" s="8058"/>
      <c r="AZ9" s="3239">
        <v>515</v>
      </c>
      <c r="BA9" s="8078"/>
      <c r="BB9" s="3623">
        <f t="shared" ref="BB9" si="4">+AR9+AV9+AZ9</f>
        <v>1370</v>
      </c>
      <c r="BC9" s="8065"/>
      <c r="BD9" s="3624">
        <f t="shared" si="1"/>
        <v>2694</v>
      </c>
      <c r="BE9" s="8060"/>
      <c r="BF9" s="3446">
        <f>+AX9+AZ9</f>
        <v>5739</v>
      </c>
      <c r="BG9" s="4396"/>
      <c r="BH9" s="4396"/>
      <c r="BI9" s="3604"/>
      <c r="BJ9" s="3604"/>
      <c r="BK9" s="3957"/>
      <c r="BL9" s="3604"/>
      <c r="BM9" s="3957"/>
      <c r="BN9" s="3957"/>
    </row>
    <row r="10" spans="1:66" ht="15.75" thickBot="1" x14ac:dyDescent="0.3">
      <c r="A10" s="8089"/>
      <c r="B10" s="3625" t="s">
        <v>265</v>
      </c>
      <c r="C10" s="3626" t="s">
        <v>175</v>
      </c>
      <c r="D10" s="8099"/>
      <c r="E10" s="8059"/>
      <c r="F10" s="3627">
        <f>SUM(F7:F9)</f>
        <v>1422</v>
      </c>
      <c r="G10" s="8059"/>
      <c r="H10" s="3627">
        <f>SUM(H7:H9)</f>
        <v>1516</v>
      </c>
      <c r="I10" s="8061"/>
      <c r="J10" s="3628">
        <f>SUM(J7:J9)</f>
        <v>2938</v>
      </c>
      <c r="K10" s="8059"/>
      <c r="L10" s="3627">
        <f>SUM(L7:L9)</f>
        <v>1558</v>
      </c>
      <c r="M10" s="8079"/>
      <c r="N10" s="3629">
        <f>SUM(N7:N9)</f>
        <v>4496</v>
      </c>
      <c r="O10" s="8059"/>
      <c r="P10" s="3627">
        <f>SUM(P7:P9)</f>
        <v>1615</v>
      </c>
      <c r="Q10" s="8061"/>
      <c r="R10" s="3628">
        <f>SUM(R7:R9)</f>
        <v>6111</v>
      </c>
      <c r="S10" s="8059"/>
      <c r="T10" s="3627">
        <f>SUM(T7:T9)</f>
        <v>1519</v>
      </c>
      <c r="U10" s="8061"/>
      <c r="V10" s="3628">
        <f>SUM(V7:V9)</f>
        <v>7630</v>
      </c>
      <c r="W10" s="8059"/>
      <c r="X10" s="3627">
        <f>SUM(X7:X9)</f>
        <v>1454</v>
      </c>
      <c r="Y10" s="8079"/>
      <c r="Z10" s="3629">
        <f>SUM(Z7:Z9)</f>
        <v>4588</v>
      </c>
      <c r="AA10" s="8066"/>
      <c r="AB10" s="3630">
        <f>SUM(AB7:AB9)</f>
        <v>9084</v>
      </c>
      <c r="AC10" s="8059"/>
      <c r="AD10" s="3627">
        <f>SUM(AD7:AD9)</f>
        <v>1152</v>
      </c>
      <c r="AE10" s="8061"/>
      <c r="AF10" s="3628">
        <f>SUM(AF7:AF9)</f>
        <v>10236</v>
      </c>
      <c r="AG10" s="8059"/>
      <c r="AH10" s="3627">
        <f>SUM(AH7:AH9)</f>
        <v>1457</v>
      </c>
      <c r="AI10" s="8061"/>
      <c r="AJ10" s="3628">
        <f>SUM(AJ7:AJ9)</f>
        <v>11693</v>
      </c>
      <c r="AK10" s="8059"/>
      <c r="AL10" s="3627">
        <f>SUM(AL7:AL9)</f>
        <v>1504</v>
      </c>
      <c r="AM10" s="8079"/>
      <c r="AN10" s="3629">
        <f>SUM(AN7:AN9)</f>
        <v>4113</v>
      </c>
      <c r="AO10" s="8061"/>
      <c r="AP10" s="3628">
        <f>SUM(AP7:AP9)</f>
        <v>13197</v>
      </c>
      <c r="AQ10" s="8059"/>
      <c r="AR10" s="3627">
        <f>SUM(AR7:AR9)</f>
        <v>1463</v>
      </c>
      <c r="AS10" s="8061"/>
      <c r="AT10" s="3628">
        <f>SUM(AT7:AT9)</f>
        <v>14660</v>
      </c>
      <c r="AU10" s="8059"/>
      <c r="AV10" s="3627">
        <f>SUM(AV7:AV9)</f>
        <v>1188</v>
      </c>
      <c r="AW10" s="8061"/>
      <c r="AX10" s="3628">
        <f>SUM(AX7:AX9)</f>
        <v>15848</v>
      </c>
      <c r="AY10" s="8059"/>
      <c r="AZ10" s="3627">
        <f>SUM(AZ7:AZ9)</f>
        <v>1528</v>
      </c>
      <c r="BA10" s="8079"/>
      <c r="BB10" s="3629">
        <f>SUM(BB7:BB9)</f>
        <v>4179</v>
      </c>
      <c r="BC10" s="8066"/>
      <c r="BD10" s="3630">
        <f>SUM(BD7:BD9)</f>
        <v>8292</v>
      </c>
      <c r="BE10" s="8061"/>
      <c r="BF10" s="5211">
        <f>SUM(BF7:BF9)</f>
        <v>17376</v>
      </c>
      <c r="BG10" s="4396"/>
      <c r="BH10" s="4396"/>
      <c r="BI10" s="3604"/>
      <c r="BJ10" s="3604"/>
      <c r="BK10" s="3957"/>
      <c r="BL10" s="3604"/>
      <c r="BM10" s="3957"/>
      <c r="BN10" s="3957"/>
    </row>
    <row r="11" spans="1:66" ht="15" x14ac:dyDescent="0.25">
      <c r="B11" s="3631" t="s">
        <v>584</v>
      </c>
      <c r="C11" s="710" t="s">
        <v>175</v>
      </c>
      <c r="D11" s="3632" t="s">
        <v>32</v>
      </c>
      <c r="E11" s="2054" t="s">
        <v>32</v>
      </c>
      <c r="F11" s="193">
        <v>2</v>
      </c>
      <c r="G11" s="2054" t="s">
        <v>32</v>
      </c>
      <c r="H11" s="193">
        <v>2</v>
      </c>
      <c r="I11" s="3633" t="s">
        <v>32</v>
      </c>
      <c r="J11" s="3634">
        <f t="shared" ref="J11:J20" si="5">+F11+H11</f>
        <v>4</v>
      </c>
      <c r="K11" s="2054" t="s">
        <v>32</v>
      </c>
      <c r="L11" s="193">
        <v>1</v>
      </c>
      <c r="M11" s="3635" t="s">
        <v>32</v>
      </c>
      <c r="N11" s="3636">
        <f t="shared" ref="N11:N20" si="6">+L11+H11+F11</f>
        <v>5</v>
      </c>
      <c r="O11" s="2054" t="s">
        <v>32</v>
      </c>
      <c r="P11" s="193">
        <v>4</v>
      </c>
      <c r="Q11" s="3633" t="s">
        <v>32</v>
      </c>
      <c r="R11" s="3634">
        <f t="shared" ref="R11:R20" si="7">+N11+P11</f>
        <v>9</v>
      </c>
      <c r="S11" s="2054" t="s">
        <v>32</v>
      </c>
      <c r="T11" s="193">
        <v>4</v>
      </c>
      <c r="U11" s="3633" t="s">
        <v>32</v>
      </c>
      <c r="V11" s="3634">
        <f t="shared" ref="V11:V20" si="8">+R11+T11</f>
        <v>13</v>
      </c>
      <c r="W11" s="2054" t="s">
        <v>32</v>
      </c>
      <c r="X11" s="193">
        <v>6</v>
      </c>
      <c r="Y11" s="3635" t="s">
        <v>32</v>
      </c>
      <c r="Z11" s="3636">
        <f t="shared" si="2"/>
        <v>14</v>
      </c>
      <c r="AA11" s="3637" t="s">
        <v>32</v>
      </c>
      <c r="AB11" s="3638">
        <f>+Z11+N11</f>
        <v>19</v>
      </c>
      <c r="AC11" s="2054" t="s">
        <v>32</v>
      </c>
      <c r="AD11" s="193">
        <v>6</v>
      </c>
      <c r="AE11" s="3633" t="s">
        <v>32</v>
      </c>
      <c r="AF11" s="3634">
        <f t="shared" ref="AF11:AF20" si="9">+AB11+AD11</f>
        <v>25</v>
      </c>
      <c r="AG11" s="2054" t="s">
        <v>32</v>
      </c>
      <c r="AH11" s="193">
        <v>3</v>
      </c>
      <c r="AI11" s="3633" t="s">
        <v>32</v>
      </c>
      <c r="AJ11" s="3634">
        <f t="shared" ref="AJ11:AJ20" si="10">+AF11+AH11</f>
        <v>28</v>
      </c>
      <c r="AK11" s="2054" t="s">
        <v>32</v>
      </c>
      <c r="AL11" s="193">
        <v>1</v>
      </c>
      <c r="AM11" s="3635" t="s">
        <v>32</v>
      </c>
      <c r="AN11" s="3636">
        <f t="shared" ref="AN11:AN14" si="11">+AD11+AH11+AL11</f>
        <v>10</v>
      </c>
      <c r="AO11" s="3633" t="s">
        <v>32</v>
      </c>
      <c r="AP11" s="3634">
        <f t="shared" si="0"/>
        <v>29</v>
      </c>
      <c r="AQ11" s="2054" t="s">
        <v>32</v>
      </c>
      <c r="AR11" s="193">
        <v>1</v>
      </c>
      <c r="AS11" s="3633" t="s">
        <v>32</v>
      </c>
      <c r="AT11" s="3634">
        <f t="shared" ref="AT11:AT20" si="12">+AP11+AR11</f>
        <v>30</v>
      </c>
      <c r="AU11" s="2054" t="s">
        <v>32</v>
      </c>
      <c r="AV11" s="193">
        <v>1</v>
      </c>
      <c r="AW11" s="3633" t="s">
        <v>32</v>
      </c>
      <c r="AX11" s="3634">
        <f t="shared" ref="AX11:AX20" si="13">+AT11+AV11</f>
        <v>31</v>
      </c>
      <c r="AY11" s="2054" t="s">
        <v>32</v>
      </c>
      <c r="AZ11" s="193">
        <v>4</v>
      </c>
      <c r="BA11" s="3635" t="s">
        <v>32</v>
      </c>
      <c r="BB11" s="3636">
        <f t="shared" ref="BB11:BB14" si="14">+AR11+AV11+AZ11</f>
        <v>6</v>
      </c>
      <c r="BC11" s="3637" t="s">
        <v>32</v>
      </c>
      <c r="BD11" s="3638">
        <f t="shared" ref="BD11:BD13" si="15">+BB11+AN11</f>
        <v>16</v>
      </c>
      <c r="BE11" s="3633" t="s">
        <v>32</v>
      </c>
      <c r="BF11" s="3415">
        <f t="shared" ref="BF11:BF20" si="16">+AX11+AZ11</f>
        <v>35</v>
      </c>
      <c r="BG11" s="4396"/>
      <c r="BH11" s="4396"/>
      <c r="BI11" s="3604"/>
      <c r="BJ11" s="3604"/>
      <c r="BK11" s="3957"/>
      <c r="BL11" s="3604"/>
      <c r="BM11" s="3957"/>
      <c r="BN11" s="3957"/>
    </row>
    <row r="12" spans="1:66" ht="15" x14ac:dyDescent="0.25">
      <c r="B12" s="1842" t="s">
        <v>96</v>
      </c>
      <c r="C12" s="3180" t="s">
        <v>175</v>
      </c>
      <c r="D12" s="1938" t="s">
        <v>32</v>
      </c>
      <c r="E12" s="2893" t="s">
        <v>32</v>
      </c>
      <c r="F12" s="3239">
        <v>5</v>
      </c>
      <c r="G12" s="5589" t="s">
        <v>32</v>
      </c>
      <c r="H12" s="3239">
        <v>6</v>
      </c>
      <c r="I12" s="3259" t="s">
        <v>32</v>
      </c>
      <c r="J12" s="3259">
        <f t="shared" si="5"/>
        <v>11</v>
      </c>
      <c r="K12" s="5708" t="s">
        <v>32</v>
      </c>
      <c r="L12" s="3239">
        <v>1</v>
      </c>
      <c r="M12" s="3623" t="s">
        <v>32</v>
      </c>
      <c r="N12" s="3623">
        <f t="shared" si="6"/>
        <v>12</v>
      </c>
      <c r="O12" s="5833" t="s">
        <v>32</v>
      </c>
      <c r="P12" s="3239">
        <v>5</v>
      </c>
      <c r="Q12" s="3259" t="s">
        <v>32</v>
      </c>
      <c r="R12" s="3259">
        <f t="shared" si="7"/>
        <v>17</v>
      </c>
      <c r="S12" s="5908" t="s">
        <v>32</v>
      </c>
      <c r="T12" s="3239">
        <v>6</v>
      </c>
      <c r="U12" s="3259" t="s">
        <v>32</v>
      </c>
      <c r="V12" s="3259">
        <f t="shared" si="8"/>
        <v>23</v>
      </c>
      <c r="W12" s="6025" t="s">
        <v>32</v>
      </c>
      <c r="X12" s="3239">
        <v>4</v>
      </c>
      <c r="Y12" s="3623" t="s">
        <v>32</v>
      </c>
      <c r="Z12" s="3623">
        <f t="shared" si="2"/>
        <v>15</v>
      </c>
      <c r="AA12" s="3624" t="s">
        <v>32</v>
      </c>
      <c r="AB12" s="3624">
        <f>+Z12+N12</f>
        <v>27</v>
      </c>
      <c r="AC12" s="6134" t="s">
        <v>32</v>
      </c>
      <c r="AD12" s="3239">
        <v>1</v>
      </c>
      <c r="AE12" s="3259" t="s">
        <v>32</v>
      </c>
      <c r="AF12" s="3259">
        <f t="shared" si="9"/>
        <v>28</v>
      </c>
      <c r="AG12" s="6296" t="s">
        <v>32</v>
      </c>
      <c r="AH12" s="3239">
        <v>4</v>
      </c>
      <c r="AI12" s="4640" t="s">
        <v>32</v>
      </c>
      <c r="AJ12" s="4640">
        <f t="shared" si="10"/>
        <v>32</v>
      </c>
      <c r="AK12" s="6563" t="s">
        <v>32</v>
      </c>
      <c r="AL12" s="3239">
        <v>5</v>
      </c>
      <c r="AM12" s="3623" t="s">
        <v>32</v>
      </c>
      <c r="AN12" s="3623">
        <f t="shared" si="11"/>
        <v>10</v>
      </c>
      <c r="AO12" s="3259" t="s">
        <v>32</v>
      </c>
      <c r="AP12" s="3259">
        <f t="shared" si="0"/>
        <v>37</v>
      </c>
      <c r="AQ12" s="4963" t="s">
        <v>32</v>
      </c>
      <c r="AR12" s="3239">
        <v>1</v>
      </c>
      <c r="AS12" s="3259" t="s">
        <v>32</v>
      </c>
      <c r="AT12" s="3259">
        <f t="shared" si="12"/>
        <v>38</v>
      </c>
      <c r="AU12" s="6840" t="s">
        <v>32</v>
      </c>
      <c r="AV12" s="3239">
        <v>1</v>
      </c>
      <c r="AW12" s="5035" t="s">
        <v>32</v>
      </c>
      <c r="AX12" s="5035">
        <f t="shared" si="13"/>
        <v>39</v>
      </c>
      <c r="AY12" s="6993" t="s">
        <v>32</v>
      </c>
      <c r="AZ12" s="3239">
        <v>2</v>
      </c>
      <c r="BA12" s="3623" t="s">
        <v>32</v>
      </c>
      <c r="BB12" s="3623">
        <f t="shared" si="14"/>
        <v>4</v>
      </c>
      <c r="BC12" s="3624" t="s">
        <v>32</v>
      </c>
      <c r="BD12" s="3624">
        <f t="shared" si="15"/>
        <v>14</v>
      </c>
      <c r="BE12" s="3259" t="s">
        <v>32</v>
      </c>
      <c r="BF12" s="3446">
        <f t="shared" si="16"/>
        <v>41</v>
      </c>
      <c r="BG12" s="4396"/>
      <c r="BH12" s="4396"/>
      <c r="BI12" s="3604"/>
      <c r="BJ12" s="3604"/>
      <c r="BK12" s="3957"/>
      <c r="BL12" s="3604"/>
      <c r="BM12" s="3957"/>
      <c r="BN12" s="3957"/>
    </row>
    <row r="13" spans="1:66" ht="15" customHeight="1" thickBot="1" x14ac:dyDescent="0.3">
      <c r="B13" s="1842" t="s">
        <v>151</v>
      </c>
      <c r="C13" s="3180" t="s">
        <v>175</v>
      </c>
      <c r="D13" s="1938" t="s">
        <v>32</v>
      </c>
      <c r="E13" s="2893" t="s">
        <v>32</v>
      </c>
      <c r="F13" s="3239">
        <v>0</v>
      </c>
      <c r="G13" s="5589" t="s">
        <v>32</v>
      </c>
      <c r="H13" s="3239">
        <v>0</v>
      </c>
      <c r="I13" s="3259" t="s">
        <v>32</v>
      </c>
      <c r="J13" s="3259">
        <f t="shared" si="5"/>
        <v>0</v>
      </c>
      <c r="K13" s="5708" t="s">
        <v>32</v>
      </c>
      <c r="L13" s="3239">
        <v>0</v>
      </c>
      <c r="M13" s="3623" t="s">
        <v>32</v>
      </c>
      <c r="N13" s="3623">
        <f t="shared" si="6"/>
        <v>0</v>
      </c>
      <c r="O13" s="5833" t="s">
        <v>32</v>
      </c>
      <c r="P13" s="3239">
        <v>0</v>
      </c>
      <c r="Q13" s="3259" t="s">
        <v>32</v>
      </c>
      <c r="R13" s="3259">
        <f t="shared" si="7"/>
        <v>0</v>
      </c>
      <c r="S13" s="5908" t="s">
        <v>32</v>
      </c>
      <c r="T13" s="3239">
        <v>0</v>
      </c>
      <c r="U13" s="3259" t="s">
        <v>32</v>
      </c>
      <c r="V13" s="3259">
        <f t="shared" si="8"/>
        <v>0</v>
      </c>
      <c r="W13" s="6025" t="s">
        <v>32</v>
      </c>
      <c r="X13" s="3239">
        <v>0</v>
      </c>
      <c r="Y13" s="3623" t="s">
        <v>32</v>
      </c>
      <c r="Z13" s="3623">
        <f t="shared" si="2"/>
        <v>0</v>
      </c>
      <c r="AA13" s="3624" t="s">
        <v>32</v>
      </c>
      <c r="AB13" s="3624">
        <f>+Z13+N13</f>
        <v>0</v>
      </c>
      <c r="AC13" s="6134" t="s">
        <v>32</v>
      </c>
      <c r="AD13" s="3239">
        <v>0</v>
      </c>
      <c r="AE13" s="3259" t="s">
        <v>32</v>
      </c>
      <c r="AF13" s="3259">
        <f t="shared" si="9"/>
        <v>0</v>
      </c>
      <c r="AG13" s="6296" t="s">
        <v>32</v>
      </c>
      <c r="AH13" s="3239">
        <v>0</v>
      </c>
      <c r="AI13" s="4640" t="s">
        <v>32</v>
      </c>
      <c r="AJ13" s="4640">
        <f t="shared" si="10"/>
        <v>0</v>
      </c>
      <c r="AK13" s="6563" t="s">
        <v>32</v>
      </c>
      <c r="AL13" s="3239">
        <v>0</v>
      </c>
      <c r="AM13" s="3623" t="s">
        <v>32</v>
      </c>
      <c r="AN13" s="3623">
        <f t="shared" si="11"/>
        <v>0</v>
      </c>
      <c r="AO13" s="3259" t="s">
        <v>32</v>
      </c>
      <c r="AP13" s="3259">
        <f t="shared" si="0"/>
        <v>0</v>
      </c>
      <c r="AQ13" s="4963" t="s">
        <v>32</v>
      </c>
      <c r="AR13" s="3239">
        <v>0</v>
      </c>
      <c r="AS13" s="3259" t="s">
        <v>32</v>
      </c>
      <c r="AT13" s="3259">
        <f t="shared" si="12"/>
        <v>0</v>
      </c>
      <c r="AU13" s="6840" t="s">
        <v>32</v>
      </c>
      <c r="AV13" s="3239">
        <v>0</v>
      </c>
      <c r="AW13" s="5035" t="s">
        <v>32</v>
      </c>
      <c r="AX13" s="5035">
        <f t="shared" si="13"/>
        <v>0</v>
      </c>
      <c r="AY13" s="6993" t="s">
        <v>32</v>
      </c>
      <c r="AZ13" s="3239">
        <v>0</v>
      </c>
      <c r="BA13" s="3623" t="s">
        <v>32</v>
      </c>
      <c r="BB13" s="3623">
        <f t="shared" si="14"/>
        <v>0</v>
      </c>
      <c r="BC13" s="3624" t="s">
        <v>32</v>
      </c>
      <c r="BD13" s="3624">
        <f t="shared" si="15"/>
        <v>0</v>
      </c>
      <c r="BE13" s="3259" t="s">
        <v>32</v>
      </c>
      <c r="BF13" s="3446">
        <f t="shared" si="16"/>
        <v>0</v>
      </c>
      <c r="BG13" s="4396"/>
      <c r="BH13" s="4396"/>
      <c r="BI13" s="3604"/>
      <c r="BJ13" s="3604"/>
      <c r="BK13" s="3957"/>
      <c r="BL13" s="3604"/>
      <c r="BM13" s="3957"/>
      <c r="BN13" s="3957"/>
    </row>
    <row r="14" spans="1:66" s="7203" customFormat="1" ht="15.75" hidden="1" thickBot="1" x14ac:dyDescent="0.3">
      <c r="B14" s="7204" t="s">
        <v>119</v>
      </c>
      <c r="C14" s="7205" t="s">
        <v>175</v>
      </c>
      <c r="D14" s="7206" t="s">
        <v>32</v>
      </c>
      <c r="E14" s="7207" t="s">
        <v>32</v>
      </c>
      <c r="F14" s="7207">
        <f>+F10+F13-F11-F25</f>
        <v>2</v>
      </c>
      <c r="G14" s="7207" t="s">
        <v>32</v>
      </c>
      <c r="H14" s="7207">
        <f>+H10+H13-H11-H25</f>
        <v>-2</v>
      </c>
      <c r="I14" s="7207" t="s">
        <v>32</v>
      </c>
      <c r="J14" s="7207">
        <f t="shared" si="5"/>
        <v>0</v>
      </c>
      <c r="K14" s="7207" t="s">
        <v>32</v>
      </c>
      <c r="L14" s="7207">
        <f>+L10+L13-L11-L25</f>
        <v>1</v>
      </c>
      <c r="M14" s="7207" t="s">
        <v>32</v>
      </c>
      <c r="N14" s="7207">
        <f t="shared" si="6"/>
        <v>1</v>
      </c>
      <c r="O14" s="7207" t="s">
        <v>32</v>
      </c>
      <c r="P14" s="7207">
        <f>+P10+P13-P11-P25</f>
        <v>1</v>
      </c>
      <c r="Q14" s="7207" t="s">
        <v>32</v>
      </c>
      <c r="R14" s="7207">
        <f t="shared" si="7"/>
        <v>2</v>
      </c>
      <c r="S14" s="7207" t="s">
        <v>32</v>
      </c>
      <c r="T14" s="7207">
        <f>+T10+T13-T11-T25</f>
        <v>0</v>
      </c>
      <c r="U14" s="7207" t="s">
        <v>32</v>
      </c>
      <c r="V14" s="7207">
        <f t="shared" si="8"/>
        <v>2</v>
      </c>
      <c r="W14" s="7207" t="s">
        <v>32</v>
      </c>
      <c r="X14" s="7207">
        <f>+X10+X13-X11-X25</f>
        <v>0</v>
      </c>
      <c r="Y14" s="7207" t="s">
        <v>32</v>
      </c>
      <c r="Z14" s="7207">
        <f t="shared" si="2"/>
        <v>1</v>
      </c>
      <c r="AA14" s="7207" t="s">
        <v>32</v>
      </c>
      <c r="AB14" s="7207">
        <f>+Z14+N14</f>
        <v>2</v>
      </c>
      <c r="AC14" s="7207" t="s">
        <v>32</v>
      </c>
      <c r="AD14" s="7207">
        <f>+AD10+AD13-AD11-AD25</f>
        <v>1</v>
      </c>
      <c r="AE14" s="7207" t="s">
        <v>32</v>
      </c>
      <c r="AF14" s="7207">
        <f t="shared" si="9"/>
        <v>3</v>
      </c>
      <c r="AG14" s="7207" t="s">
        <v>32</v>
      </c>
      <c r="AH14" s="7207">
        <f>+AH10+AH13-AH11-AH25</f>
        <v>-3</v>
      </c>
      <c r="AI14" s="7207" t="s">
        <v>32</v>
      </c>
      <c r="AJ14" s="7207">
        <f t="shared" si="10"/>
        <v>0</v>
      </c>
      <c r="AK14" s="7207" t="s">
        <v>32</v>
      </c>
      <c r="AL14" s="7207">
        <f>+AL10+AL13-AL11-AL25</f>
        <v>-1</v>
      </c>
      <c r="AM14" s="7207" t="s">
        <v>32</v>
      </c>
      <c r="AN14" s="7207">
        <f t="shared" si="11"/>
        <v>-3</v>
      </c>
      <c r="AO14" s="7207" t="s">
        <v>32</v>
      </c>
      <c r="AP14" s="7207">
        <f t="shared" si="0"/>
        <v>-1</v>
      </c>
      <c r="AQ14" s="7207" t="s">
        <v>32</v>
      </c>
      <c r="AR14" s="7207">
        <f>+AR10+AR13-AR11-AR25</f>
        <v>1</v>
      </c>
      <c r="AS14" s="7207" t="s">
        <v>32</v>
      </c>
      <c r="AT14" s="7207">
        <f t="shared" si="12"/>
        <v>0</v>
      </c>
      <c r="AU14" s="7207" t="s">
        <v>32</v>
      </c>
      <c r="AV14" s="7207">
        <f>+AV10+AV13-AV11-AV25</f>
        <v>2</v>
      </c>
      <c r="AW14" s="7207" t="s">
        <v>32</v>
      </c>
      <c r="AX14" s="7207">
        <f t="shared" si="13"/>
        <v>2</v>
      </c>
      <c r="AY14" s="7207" t="s">
        <v>32</v>
      </c>
      <c r="AZ14" s="7207">
        <f>+AZ10+AZ13-AZ11-AZ25</f>
        <v>-2</v>
      </c>
      <c r="BA14" s="7207" t="s">
        <v>32</v>
      </c>
      <c r="BB14" s="7207">
        <f t="shared" si="14"/>
        <v>1</v>
      </c>
      <c r="BC14" s="7207" t="s">
        <v>32</v>
      </c>
      <c r="BD14" s="7207">
        <f>+BB14+AN14</f>
        <v>-2</v>
      </c>
      <c r="BE14" s="7207" t="s">
        <v>32</v>
      </c>
      <c r="BF14" s="7208">
        <f t="shared" si="16"/>
        <v>0</v>
      </c>
      <c r="BG14" s="7209"/>
      <c r="BH14" s="7209"/>
      <c r="BI14" s="7210"/>
      <c r="BJ14" s="7210"/>
      <c r="BK14" s="7211"/>
      <c r="BL14" s="7210"/>
      <c r="BM14" s="7211"/>
      <c r="BN14" s="7211"/>
    </row>
    <row r="15" spans="1:66" ht="15" x14ac:dyDescent="0.25">
      <c r="B15" s="3642" t="s">
        <v>783</v>
      </c>
      <c r="C15" s="710" t="s">
        <v>50</v>
      </c>
      <c r="D15" s="1045">
        <v>2992200</v>
      </c>
      <c r="E15" s="147">
        <v>205700</v>
      </c>
      <c r="F15" s="254">
        <v>235708.2</v>
      </c>
      <c r="G15" s="147">
        <v>259100</v>
      </c>
      <c r="H15" s="254">
        <v>252686.9</v>
      </c>
      <c r="I15" s="349">
        <f>+E15+G15</f>
        <v>464800</v>
      </c>
      <c r="J15" s="349">
        <f t="shared" si="5"/>
        <v>488395.1</v>
      </c>
      <c r="K15" s="147">
        <v>251100</v>
      </c>
      <c r="L15" s="254">
        <v>258527.52499999999</v>
      </c>
      <c r="M15" s="586">
        <f>+K15+G15+E15</f>
        <v>715900</v>
      </c>
      <c r="N15" s="586">
        <f t="shared" si="6"/>
        <v>746922.625</v>
      </c>
      <c r="O15" s="147">
        <v>254100</v>
      </c>
      <c r="P15" s="254">
        <v>266778.07500000001</v>
      </c>
      <c r="Q15" s="349">
        <f>+M15+O15</f>
        <v>970000</v>
      </c>
      <c r="R15" s="349">
        <f t="shared" si="7"/>
        <v>1013700.7</v>
      </c>
      <c r="S15" s="147">
        <v>254100</v>
      </c>
      <c r="T15" s="254">
        <v>251918.72</v>
      </c>
      <c r="U15" s="349">
        <f>+Q15+S15</f>
        <v>1224100</v>
      </c>
      <c r="V15" s="349">
        <f t="shared" si="8"/>
        <v>1265619.42</v>
      </c>
      <c r="W15" s="147">
        <v>133350</v>
      </c>
      <c r="X15" s="254">
        <v>241323.3</v>
      </c>
      <c r="Y15" s="586">
        <f>+W15+S15+O15</f>
        <v>641550</v>
      </c>
      <c r="Z15" s="586">
        <f>+X15+T15+P15</f>
        <v>760020.09499999997</v>
      </c>
      <c r="AA15" s="975">
        <f>+Y15+M15</f>
        <v>1357450</v>
      </c>
      <c r="AB15" s="975">
        <f t="shared" ref="AB15:AB24" si="17">+Z15+N15</f>
        <v>1506942.72</v>
      </c>
      <c r="AC15" s="147">
        <v>259100</v>
      </c>
      <c r="AD15" s="254">
        <v>190772.82</v>
      </c>
      <c r="AE15" s="349">
        <f>+AA15+AC15</f>
        <v>1616550</v>
      </c>
      <c r="AF15" s="349">
        <f t="shared" si="9"/>
        <v>1697715.54</v>
      </c>
      <c r="AG15" s="147">
        <v>251100</v>
      </c>
      <c r="AH15" s="254">
        <v>243243.53</v>
      </c>
      <c r="AI15" s="349">
        <f>+AE15+AG15</f>
        <v>1867650</v>
      </c>
      <c r="AJ15" s="349">
        <f t="shared" si="10"/>
        <v>1940959.07</v>
      </c>
      <c r="AK15" s="147">
        <v>259100</v>
      </c>
      <c r="AL15" s="254">
        <v>250346.23999999999</v>
      </c>
      <c r="AM15" s="586">
        <f>+AK15+AG15+AC15</f>
        <v>769300</v>
      </c>
      <c r="AN15" s="586">
        <f>+AL15+AH15+AD15</f>
        <v>684362.59000000008</v>
      </c>
      <c r="AO15" s="349">
        <f>+AK15+AI15</f>
        <v>2126750</v>
      </c>
      <c r="AP15" s="349">
        <f>+AL15+AJ15</f>
        <v>2191305.31</v>
      </c>
      <c r="AQ15" s="147">
        <v>263100</v>
      </c>
      <c r="AR15" s="254">
        <v>242224.07</v>
      </c>
      <c r="AS15" s="349">
        <f>+AO15+AQ15</f>
        <v>2389850</v>
      </c>
      <c r="AT15" s="349">
        <f t="shared" si="12"/>
        <v>2433529.38</v>
      </c>
      <c r="AU15" s="147">
        <v>235100</v>
      </c>
      <c r="AV15" s="254">
        <v>194681.07500000001</v>
      </c>
      <c r="AW15" s="349">
        <f>+AS15+AU15</f>
        <v>2624950</v>
      </c>
      <c r="AX15" s="349">
        <f t="shared" si="13"/>
        <v>2628210.4550000001</v>
      </c>
      <c r="AY15" s="147">
        <v>263100</v>
      </c>
      <c r="AZ15" s="254">
        <v>250513.94500000001</v>
      </c>
      <c r="BA15" s="586">
        <f>+AY15+AU15+AQ15</f>
        <v>761300</v>
      </c>
      <c r="BB15" s="586">
        <f>+AZ15+AV15+AR15</f>
        <v>687419.09000000008</v>
      </c>
      <c r="BC15" s="975">
        <f>+BA15+AM15</f>
        <v>1530600</v>
      </c>
      <c r="BD15" s="975">
        <f>+BB15+AN15</f>
        <v>1371781.6800000002</v>
      </c>
      <c r="BE15" s="349">
        <f>+AW15+AY15</f>
        <v>2888050</v>
      </c>
      <c r="BF15" s="41">
        <f t="shared" si="16"/>
        <v>2878724.4</v>
      </c>
      <c r="BH15" s="4396"/>
      <c r="BI15" s="3604"/>
      <c r="BJ15" s="3604"/>
      <c r="BK15" s="3957"/>
      <c r="BL15" s="3604"/>
      <c r="BM15" s="3957"/>
      <c r="BN15" s="3957"/>
    </row>
    <row r="16" spans="1:66" ht="15" x14ac:dyDescent="0.25">
      <c r="B16" s="1629" t="s">
        <v>772</v>
      </c>
      <c r="C16" s="3180" t="s">
        <v>50</v>
      </c>
      <c r="D16" s="1938"/>
      <c r="E16" s="2883"/>
      <c r="F16" s="2945">
        <v>2536</v>
      </c>
      <c r="G16" s="5601"/>
      <c r="H16" s="5596">
        <v>2255</v>
      </c>
      <c r="I16" s="2884"/>
      <c r="J16" s="3259">
        <f t="shared" si="5"/>
        <v>4791</v>
      </c>
      <c r="K16" s="5714"/>
      <c r="L16" s="5711">
        <v>2392</v>
      </c>
      <c r="M16" s="2885"/>
      <c r="N16" s="2885">
        <f t="shared" si="6"/>
        <v>7183</v>
      </c>
      <c r="O16" s="5857"/>
      <c r="P16" s="5849">
        <v>2490</v>
      </c>
      <c r="Q16" s="2884"/>
      <c r="R16" s="3259">
        <f t="shared" si="7"/>
        <v>9673</v>
      </c>
      <c r="S16" s="5923"/>
      <c r="T16" s="5916">
        <v>904</v>
      </c>
      <c r="U16" s="4347"/>
      <c r="V16" s="3259">
        <f t="shared" si="8"/>
        <v>10577</v>
      </c>
      <c r="W16" s="6031"/>
      <c r="X16" s="6028">
        <v>550</v>
      </c>
      <c r="Y16" s="2885"/>
      <c r="Z16" s="2885">
        <f t="shared" ref="Y16:Z24" si="18">+X16+T16+P16</f>
        <v>3944</v>
      </c>
      <c r="AA16" s="2925"/>
      <c r="AB16" s="2925">
        <f t="shared" si="17"/>
        <v>11127</v>
      </c>
      <c r="AC16" s="6156"/>
      <c r="AD16" s="6148">
        <v>2202</v>
      </c>
      <c r="AE16" s="2884"/>
      <c r="AF16" s="2884">
        <f t="shared" si="9"/>
        <v>13329</v>
      </c>
      <c r="AG16" s="6318"/>
      <c r="AH16" s="6310">
        <v>4618</v>
      </c>
      <c r="AI16" s="4647"/>
      <c r="AJ16" s="4647">
        <f t="shared" si="10"/>
        <v>17947</v>
      </c>
      <c r="AK16" s="6577"/>
      <c r="AL16" s="6571">
        <v>2620</v>
      </c>
      <c r="AM16" s="2885"/>
      <c r="AN16" s="2885">
        <f t="shared" ref="AN16:AN20" si="19">+AL16+AH16+AD16</f>
        <v>9440</v>
      </c>
      <c r="AO16" s="2884"/>
      <c r="AP16" s="2884">
        <f t="shared" ref="AO16:AP24" si="20">+AL16+AJ16</f>
        <v>20567</v>
      </c>
      <c r="AQ16" s="4974"/>
      <c r="AR16" s="4971">
        <v>1852</v>
      </c>
      <c r="AS16" s="2884"/>
      <c r="AT16" s="2884">
        <f t="shared" si="12"/>
        <v>22419</v>
      </c>
      <c r="AU16" s="6852"/>
      <c r="AV16" s="6845">
        <v>2468</v>
      </c>
      <c r="AW16" s="5040"/>
      <c r="AX16" s="5040">
        <f t="shared" si="13"/>
        <v>24887</v>
      </c>
      <c r="AY16" s="7008"/>
      <c r="AZ16" s="6998">
        <v>5897</v>
      </c>
      <c r="BA16" s="2885"/>
      <c r="BB16" s="2885">
        <f t="shared" ref="BB16:BB20" si="21">+AZ16+AV16+AR16</f>
        <v>10217</v>
      </c>
      <c r="BC16" s="2925"/>
      <c r="BD16" s="2925">
        <f>+BB16+AN16</f>
        <v>19657</v>
      </c>
      <c r="BE16" s="2884"/>
      <c r="BF16" s="37">
        <f t="shared" si="16"/>
        <v>30784</v>
      </c>
      <c r="BG16" s="4396"/>
      <c r="BH16" s="4396"/>
      <c r="BI16" s="3604"/>
      <c r="BJ16" s="3604"/>
      <c r="BK16" s="3957"/>
      <c r="BL16" s="3604"/>
      <c r="BM16" s="3957"/>
      <c r="BN16" s="3957"/>
    </row>
    <row r="17" spans="1:66" ht="15" x14ac:dyDescent="0.25">
      <c r="B17" s="1629" t="s">
        <v>773</v>
      </c>
      <c r="C17" s="3180" t="s">
        <v>50</v>
      </c>
      <c r="D17" s="1938"/>
      <c r="E17" s="2883"/>
      <c r="F17" s="2945">
        <v>5439.7</v>
      </c>
      <c r="G17" s="5601"/>
      <c r="H17" s="5596">
        <v>3789.7999999999997</v>
      </c>
      <c r="I17" s="2884"/>
      <c r="J17" s="3259">
        <f t="shared" si="5"/>
        <v>9229.5</v>
      </c>
      <c r="K17" s="5714"/>
      <c r="L17" s="5711">
        <v>5415.2</v>
      </c>
      <c r="M17" s="2885"/>
      <c r="N17" s="2885">
        <f t="shared" si="6"/>
        <v>14644.7</v>
      </c>
      <c r="O17" s="5857"/>
      <c r="P17" s="5849">
        <v>8216.6</v>
      </c>
      <c r="Q17" s="2884"/>
      <c r="R17" s="3259">
        <f t="shared" si="7"/>
        <v>22861.300000000003</v>
      </c>
      <c r="S17" s="5923"/>
      <c r="T17" s="5916">
        <v>7341.5999999999995</v>
      </c>
      <c r="U17" s="4347"/>
      <c r="V17" s="4355">
        <f t="shared" si="8"/>
        <v>30202.9</v>
      </c>
      <c r="W17" s="6031"/>
      <c r="X17" s="6028">
        <v>7070</v>
      </c>
      <c r="Y17" s="2885"/>
      <c r="Z17" s="2885">
        <f t="shared" si="18"/>
        <v>22628.199999999997</v>
      </c>
      <c r="AA17" s="2925"/>
      <c r="AB17" s="2925">
        <f t="shared" si="17"/>
        <v>37272.899999999994</v>
      </c>
      <c r="AC17" s="6156"/>
      <c r="AD17" s="6148">
        <v>3190.6</v>
      </c>
      <c r="AE17" s="2884"/>
      <c r="AF17" s="2884">
        <f t="shared" si="9"/>
        <v>40463.499999999993</v>
      </c>
      <c r="AG17" s="6318"/>
      <c r="AH17" s="6310">
        <v>3495.7999999999997</v>
      </c>
      <c r="AI17" s="4647"/>
      <c r="AJ17" s="4647">
        <f t="shared" si="10"/>
        <v>43959.299999999996</v>
      </c>
      <c r="AK17" s="6577"/>
      <c r="AL17" s="6571">
        <v>3376.7999999999997</v>
      </c>
      <c r="AM17" s="2885"/>
      <c r="AN17" s="2885">
        <f t="shared" si="19"/>
        <v>10063.199999999999</v>
      </c>
      <c r="AO17" s="2884"/>
      <c r="AP17" s="2884">
        <f t="shared" si="20"/>
        <v>47336.1</v>
      </c>
      <c r="AQ17" s="4974"/>
      <c r="AR17" s="4971">
        <v>5061.7</v>
      </c>
      <c r="AS17" s="2884"/>
      <c r="AT17" s="2884">
        <f t="shared" si="12"/>
        <v>52397.799999999996</v>
      </c>
      <c r="AU17" s="6852"/>
      <c r="AV17" s="6845">
        <v>5033</v>
      </c>
      <c r="AW17" s="5040"/>
      <c r="AX17" s="5040">
        <f t="shared" si="13"/>
        <v>57430.799999999996</v>
      </c>
      <c r="AY17" s="7008"/>
      <c r="AZ17" s="6998">
        <v>7018.9</v>
      </c>
      <c r="BA17" s="2885"/>
      <c r="BB17" s="2885">
        <f t="shared" si="21"/>
        <v>17113.599999999999</v>
      </c>
      <c r="BC17" s="2925"/>
      <c r="BD17" s="2925">
        <f>+BB17+AN17</f>
        <v>27176.799999999996</v>
      </c>
      <c r="BE17" s="2884"/>
      <c r="BF17" s="37">
        <f t="shared" si="16"/>
        <v>64449.7</v>
      </c>
      <c r="BG17" s="4396"/>
      <c r="BH17" s="4396"/>
      <c r="BI17" s="3604"/>
      <c r="BJ17" s="3604"/>
      <c r="BK17" s="3957"/>
      <c r="BL17" s="3604"/>
      <c r="BM17" s="3957"/>
      <c r="BN17" s="3957"/>
    </row>
    <row r="18" spans="1:66" ht="15" x14ac:dyDescent="0.25">
      <c r="B18" s="1629" t="s">
        <v>982</v>
      </c>
      <c r="C18" s="3180" t="s">
        <v>50</v>
      </c>
      <c r="D18" s="1938"/>
      <c r="E18" s="2883"/>
      <c r="F18" s="2945">
        <v>971</v>
      </c>
      <c r="G18" s="5601"/>
      <c r="H18" s="5596">
        <v>626</v>
      </c>
      <c r="I18" s="2884"/>
      <c r="J18" s="3645">
        <f t="shared" si="5"/>
        <v>1597</v>
      </c>
      <c r="K18" s="5714"/>
      <c r="L18" s="5711">
        <v>597</v>
      </c>
      <c r="M18" s="2885"/>
      <c r="N18" s="2885">
        <f t="shared" si="6"/>
        <v>2194</v>
      </c>
      <c r="O18" s="5857"/>
      <c r="P18" s="5849">
        <v>588</v>
      </c>
      <c r="Q18" s="2884"/>
      <c r="R18" s="3259">
        <f t="shared" si="7"/>
        <v>2782</v>
      </c>
      <c r="S18" s="5923"/>
      <c r="T18" s="5916">
        <v>352.5</v>
      </c>
      <c r="U18" s="4347"/>
      <c r="V18" s="4355">
        <f t="shared" si="8"/>
        <v>3134.5</v>
      </c>
      <c r="W18" s="6031"/>
      <c r="X18" s="6028">
        <v>102</v>
      </c>
      <c r="Y18" s="2885"/>
      <c r="Z18" s="2885">
        <f t="shared" si="18"/>
        <v>1042.5</v>
      </c>
      <c r="AA18" s="2925"/>
      <c r="AB18" s="2925">
        <f t="shared" si="17"/>
        <v>3236.5</v>
      </c>
      <c r="AC18" s="6156"/>
      <c r="AD18" s="6148">
        <v>138</v>
      </c>
      <c r="AE18" s="2884"/>
      <c r="AF18" s="2884">
        <f t="shared" si="9"/>
        <v>3374.5</v>
      </c>
      <c r="AG18" s="6318"/>
      <c r="AH18" s="6310">
        <v>260</v>
      </c>
      <c r="AI18" s="4647"/>
      <c r="AJ18" s="4647">
        <f t="shared" si="10"/>
        <v>3634.5</v>
      </c>
      <c r="AK18" s="6577"/>
      <c r="AL18" s="6571">
        <v>550</v>
      </c>
      <c r="AM18" s="2885"/>
      <c r="AN18" s="2885">
        <f t="shared" si="19"/>
        <v>948</v>
      </c>
      <c r="AO18" s="2884"/>
      <c r="AP18" s="2884">
        <f t="shared" si="20"/>
        <v>4184.5</v>
      </c>
      <c r="AQ18" s="4974"/>
      <c r="AR18" s="4971">
        <v>665</v>
      </c>
      <c r="AS18" s="2884"/>
      <c r="AT18" s="2884">
        <f t="shared" si="12"/>
        <v>4849.5</v>
      </c>
      <c r="AU18" s="6852"/>
      <c r="AV18" s="6845">
        <v>544</v>
      </c>
      <c r="AW18" s="5040"/>
      <c r="AX18" s="5040">
        <f t="shared" si="13"/>
        <v>5393.5</v>
      </c>
      <c r="AY18" s="7008"/>
      <c r="AZ18" s="6998">
        <v>350</v>
      </c>
      <c r="BA18" s="2885"/>
      <c r="BB18" s="2885">
        <f t="shared" si="21"/>
        <v>1559</v>
      </c>
      <c r="BC18" s="2925"/>
      <c r="BD18" s="2925">
        <f>+BB18+AN18</f>
        <v>2507</v>
      </c>
      <c r="BE18" s="2884"/>
      <c r="BF18" s="37">
        <f t="shared" si="16"/>
        <v>5743.5</v>
      </c>
      <c r="BG18" s="4396"/>
      <c r="BH18" s="4396"/>
      <c r="BI18" s="3604"/>
      <c r="BJ18" s="3604"/>
      <c r="BK18" s="3957"/>
      <c r="BL18" s="3604"/>
      <c r="BM18" s="3957"/>
      <c r="BN18" s="3957"/>
    </row>
    <row r="19" spans="1:66" ht="15" x14ac:dyDescent="0.25">
      <c r="B19" s="3643" t="s">
        <v>279</v>
      </c>
      <c r="C19" s="3180" t="s">
        <v>50</v>
      </c>
      <c r="D19" s="3594">
        <f>+D5*D90/1000</f>
        <v>95795.480225988693</v>
      </c>
      <c r="E19" s="2945">
        <f>+E5*E90/1000</f>
        <v>6585.4990583804147</v>
      </c>
      <c r="F19" s="2945">
        <f>SUM(F16:F18)</f>
        <v>8946.7000000000007</v>
      </c>
      <c r="G19" s="5596">
        <f>+G5*G90/1000</f>
        <v>8318.6024551463597</v>
      </c>
      <c r="H19" s="5596">
        <f>SUM(H16:H18)</f>
        <v>6670.7999999999993</v>
      </c>
      <c r="I19" s="2884">
        <f>+E19+G19</f>
        <v>14904.101513526773</v>
      </c>
      <c r="J19" s="3645">
        <f t="shared" si="5"/>
        <v>15617.5</v>
      </c>
      <c r="K19" s="5711">
        <f>+K5*K90/1000</f>
        <v>8061.7563739376674</v>
      </c>
      <c r="L19" s="5711">
        <f>SUM(L16:L18)</f>
        <v>8404.2000000000007</v>
      </c>
      <c r="M19" s="2885">
        <f>+K19+G19+E19</f>
        <v>22965.857887464441</v>
      </c>
      <c r="N19" s="2885">
        <f t="shared" si="6"/>
        <v>24021.7</v>
      </c>
      <c r="O19" s="5849">
        <f>+O5*O90/1000</f>
        <v>8158.0736543909361</v>
      </c>
      <c r="P19" s="5849">
        <f>SUM(P16:P18)</f>
        <v>11294.6</v>
      </c>
      <c r="Q19" s="2884">
        <f>+M19+O19</f>
        <v>31123.931541855378</v>
      </c>
      <c r="R19" s="3259">
        <f t="shared" si="7"/>
        <v>35316.300000000003</v>
      </c>
      <c r="S19" s="5916">
        <f>+S5*S90/1000</f>
        <v>8158.0736543909361</v>
      </c>
      <c r="T19" s="5916">
        <f>SUM(T16:T18)</f>
        <v>8598.0999999999985</v>
      </c>
      <c r="U19" s="4347">
        <f>+Q19+S19</f>
        <v>39282.005196246311</v>
      </c>
      <c r="V19" s="4355">
        <f t="shared" si="8"/>
        <v>43914.400000000001</v>
      </c>
      <c r="W19" s="6028">
        <f>+W5*W90/1000</f>
        <v>4281.3031161473245</v>
      </c>
      <c r="X19" s="6028">
        <f>SUM(X16:X18)</f>
        <v>7722</v>
      </c>
      <c r="Y19" s="2885">
        <f t="shared" si="18"/>
        <v>20597.450424929197</v>
      </c>
      <c r="Z19" s="2885">
        <f t="shared" si="18"/>
        <v>27614.699999999997</v>
      </c>
      <c r="AA19" s="2925">
        <f>+Y19+M19</f>
        <v>43563.308312393638</v>
      </c>
      <c r="AB19" s="2925">
        <f t="shared" si="17"/>
        <v>51636.399999999994</v>
      </c>
      <c r="AC19" s="6148">
        <f>+AC5*AC90/1000</f>
        <v>8318.6024551463597</v>
      </c>
      <c r="AD19" s="6148">
        <f>SUM(AD16:AD18)</f>
        <v>5530.6</v>
      </c>
      <c r="AE19" s="2884">
        <f>+AA19+AC19</f>
        <v>51881.910767540001</v>
      </c>
      <c r="AF19" s="2884">
        <f t="shared" si="9"/>
        <v>57166.999999999993</v>
      </c>
      <c r="AG19" s="6310">
        <f>+AG5*AG90/1000</f>
        <v>8061.7563739376674</v>
      </c>
      <c r="AH19" s="6310">
        <f>SUM(AH16:AH18)</f>
        <v>8373.7999999999993</v>
      </c>
      <c r="AI19" s="4647">
        <f>+AE19+AG19</f>
        <v>59943.667141477665</v>
      </c>
      <c r="AJ19" s="4647">
        <f t="shared" si="10"/>
        <v>65540.799999999988</v>
      </c>
      <c r="AK19" s="6571">
        <f>+AK5*AK90/1000</f>
        <v>8318.6024551463597</v>
      </c>
      <c r="AL19" s="6571">
        <f>SUM(AL16:AL18)</f>
        <v>6546.7999999999993</v>
      </c>
      <c r="AM19" s="2885">
        <f t="shared" ref="AM19:AM20" si="22">+AK19+AG19+AC19</f>
        <v>24698.961284230387</v>
      </c>
      <c r="AN19" s="2885">
        <f t="shared" si="19"/>
        <v>20451.199999999997</v>
      </c>
      <c r="AO19" s="2884">
        <f>+AK19+AI19</f>
        <v>68262.269596624028</v>
      </c>
      <c r="AP19" s="2884">
        <f t="shared" si="20"/>
        <v>72087.599999999991</v>
      </c>
      <c r="AQ19" s="4971">
        <f>+AQ5*AQ90/1000</f>
        <v>8447.0254957507077</v>
      </c>
      <c r="AR19" s="4971">
        <f>SUM(AR16:AR18)</f>
        <v>7578.7</v>
      </c>
      <c r="AS19" s="2884">
        <f>+AO19+AQ19</f>
        <v>76709.295092374741</v>
      </c>
      <c r="AT19" s="2884">
        <f t="shared" si="12"/>
        <v>79666.299999999988</v>
      </c>
      <c r="AU19" s="6845">
        <f>+AU5*AU90/1000</f>
        <v>7548.0642115203018</v>
      </c>
      <c r="AV19" s="6845">
        <f>SUM(AV16:AV18)</f>
        <v>8045</v>
      </c>
      <c r="AW19" s="5040">
        <f>+AS19+AU19</f>
        <v>84257.359303895049</v>
      </c>
      <c r="AX19" s="5040">
        <f t="shared" si="13"/>
        <v>87711.299999999988</v>
      </c>
      <c r="AY19" s="6998">
        <f>+AY5*AY90/1000</f>
        <v>8447.0254957507077</v>
      </c>
      <c r="AZ19" s="6998">
        <f>SUM(AZ16:AZ18)</f>
        <v>13265.9</v>
      </c>
      <c r="BA19" s="2885">
        <f t="shared" ref="BA19:BA20" si="23">+AY19+AU19+AQ19</f>
        <v>24442.11520302172</v>
      </c>
      <c r="BB19" s="2885">
        <f t="shared" si="21"/>
        <v>28889.600000000002</v>
      </c>
      <c r="BC19" s="2925">
        <f t="shared" ref="BC19:BC20" si="24">+BA19+AM19</f>
        <v>49141.07648725211</v>
      </c>
      <c r="BD19" s="2925">
        <f t="shared" ref="BD19:BD20" si="25">+BB19+AN19</f>
        <v>49340.800000000003</v>
      </c>
      <c r="BE19" s="2884">
        <f>+AW19+AY19</f>
        <v>92704.384799645763</v>
      </c>
      <c r="BF19" s="37">
        <f t="shared" si="16"/>
        <v>100977.19999999998</v>
      </c>
      <c r="BG19" s="4396"/>
      <c r="BH19" s="4396"/>
      <c r="BI19" s="3604"/>
      <c r="BJ19" s="3604"/>
      <c r="BK19" s="3957"/>
      <c r="BL19" s="3604"/>
      <c r="BM19" s="3957"/>
      <c r="BN19" s="3957"/>
    </row>
    <row r="20" spans="1:66" ht="15.75" thickBot="1" x14ac:dyDescent="0.3">
      <c r="B20" s="1359" t="s">
        <v>280</v>
      </c>
      <c r="C20" s="702" t="s">
        <v>50</v>
      </c>
      <c r="D20" s="3644">
        <v>2860420.4307551119</v>
      </c>
      <c r="E20" s="105">
        <v>196640.76017857314</v>
      </c>
      <c r="F20" s="2315">
        <v>226466</v>
      </c>
      <c r="G20" s="105">
        <v>250938.23394106681</v>
      </c>
      <c r="H20" s="2315">
        <v>239902</v>
      </c>
      <c r="I20" s="557">
        <f>+E20+G20</f>
        <v>447578.99411963997</v>
      </c>
      <c r="J20" s="557">
        <f t="shared" si="5"/>
        <v>466368</v>
      </c>
      <c r="K20" s="105">
        <v>243190.23752451516</v>
      </c>
      <c r="L20" s="2315">
        <v>246853</v>
      </c>
      <c r="M20" s="462">
        <f>+K20+G20+E20</f>
        <v>690769.23164415511</v>
      </c>
      <c r="N20" s="462">
        <f t="shared" si="6"/>
        <v>713221</v>
      </c>
      <c r="O20" s="105">
        <v>246095.73618072201</v>
      </c>
      <c r="P20" s="2315">
        <v>257058</v>
      </c>
      <c r="Q20" s="557">
        <f>+M20+O20</f>
        <v>936864.96782487712</v>
      </c>
      <c r="R20" s="3640">
        <f t="shared" si="7"/>
        <v>970279</v>
      </c>
      <c r="S20" s="105">
        <v>246095.73618072201</v>
      </c>
      <c r="T20" s="2315">
        <v>240774</v>
      </c>
      <c r="U20" s="557">
        <f>+Q20+S20</f>
        <v>1182960.704005599</v>
      </c>
      <c r="V20" s="557">
        <f t="shared" si="8"/>
        <v>1211053</v>
      </c>
      <c r="W20" s="105">
        <v>129149.41526839545</v>
      </c>
      <c r="X20" s="2315">
        <v>230197</v>
      </c>
      <c r="Y20" s="462">
        <f t="shared" si="18"/>
        <v>621340.88762983948</v>
      </c>
      <c r="Z20" s="462">
        <f t="shared" si="18"/>
        <v>728029</v>
      </c>
      <c r="AA20" s="1063">
        <f>+Y20+M20</f>
        <v>1312110.1192739946</v>
      </c>
      <c r="AB20" s="1063">
        <f t="shared" si="17"/>
        <v>1441250</v>
      </c>
      <c r="AC20" s="105">
        <v>250938.23394106681</v>
      </c>
      <c r="AD20" s="2315">
        <v>181931</v>
      </c>
      <c r="AE20" s="557">
        <f>+AA20+AC20</f>
        <v>1563048.3532150614</v>
      </c>
      <c r="AF20" s="557">
        <f t="shared" si="9"/>
        <v>1623181</v>
      </c>
      <c r="AG20" s="105">
        <v>243190.23752451516</v>
      </c>
      <c r="AH20" s="2315">
        <v>232890</v>
      </c>
      <c r="AI20" s="557">
        <f>+AE20+AG20</f>
        <v>1806238.5907395766</v>
      </c>
      <c r="AJ20" s="557">
        <f t="shared" si="10"/>
        <v>1856071</v>
      </c>
      <c r="AK20" s="105">
        <v>250938.23394106681</v>
      </c>
      <c r="AL20" s="2315">
        <v>237877</v>
      </c>
      <c r="AM20" s="462">
        <f t="shared" si="22"/>
        <v>745066.70540664881</v>
      </c>
      <c r="AN20" s="462">
        <f t="shared" si="19"/>
        <v>652698</v>
      </c>
      <c r="AO20" s="557">
        <f>+AK20+AI20</f>
        <v>2057176.8246806434</v>
      </c>
      <c r="AP20" s="557">
        <f t="shared" si="20"/>
        <v>2093948</v>
      </c>
      <c r="AQ20" s="105">
        <v>254812.23214934263</v>
      </c>
      <c r="AR20" s="213">
        <v>231328</v>
      </c>
      <c r="AS20" s="557">
        <f>+AO20+AQ20</f>
        <v>2311989.0568299862</v>
      </c>
      <c r="AT20" s="557">
        <f t="shared" si="12"/>
        <v>2325276</v>
      </c>
      <c r="AU20" s="105">
        <v>227694.24469141182</v>
      </c>
      <c r="AV20" s="213">
        <v>187823</v>
      </c>
      <c r="AW20" s="557">
        <f>+AS20+AU20</f>
        <v>2539683.3015213981</v>
      </c>
      <c r="AX20" s="557">
        <f t="shared" si="13"/>
        <v>2513099</v>
      </c>
      <c r="AY20" s="105">
        <v>254812.23214934263</v>
      </c>
      <c r="AZ20" s="213">
        <v>244718</v>
      </c>
      <c r="BA20" s="462">
        <f t="shared" si="23"/>
        <v>737318.70899009705</v>
      </c>
      <c r="BB20" s="462">
        <f t="shared" si="21"/>
        <v>663869</v>
      </c>
      <c r="BC20" s="1063">
        <f t="shared" si="24"/>
        <v>1482385.4143967459</v>
      </c>
      <c r="BD20" s="1063">
        <f t="shared" si="25"/>
        <v>1316567</v>
      </c>
      <c r="BE20" s="557">
        <f>+AW20+AY20</f>
        <v>2794495.5336707407</v>
      </c>
      <c r="BF20" s="42">
        <f t="shared" si="16"/>
        <v>2757817</v>
      </c>
      <c r="BG20" s="4396"/>
      <c r="BH20" s="4396"/>
      <c r="BI20" s="3604"/>
      <c r="BJ20" s="3604"/>
      <c r="BK20" s="3957"/>
      <c r="BL20" s="3604"/>
      <c r="BM20" s="3957"/>
      <c r="BN20" s="3957"/>
    </row>
    <row r="21" spans="1:66" ht="15" x14ac:dyDescent="0.25">
      <c r="A21" s="1192"/>
      <c r="B21" s="3621" t="s">
        <v>296</v>
      </c>
      <c r="C21" s="837"/>
      <c r="D21" s="836"/>
      <c r="E21" s="3622"/>
      <c r="F21" s="3622"/>
      <c r="G21" s="3622"/>
      <c r="H21" s="3622"/>
      <c r="I21" s="3622"/>
      <c r="J21" s="3622"/>
      <c r="K21" s="3622"/>
      <c r="L21" s="3622"/>
      <c r="M21" s="3622"/>
      <c r="N21" s="3622"/>
      <c r="O21" s="3622"/>
      <c r="P21" s="3622"/>
      <c r="Q21" s="3622"/>
      <c r="R21" s="3622"/>
      <c r="S21" s="3622"/>
      <c r="T21" s="3622"/>
      <c r="U21" s="3622"/>
      <c r="V21" s="3622"/>
      <c r="W21" s="3622"/>
      <c r="X21" s="3622"/>
      <c r="Y21" s="3622"/>
      <c r="Z21" s="3622"/>
      <c r="AA21" s="3622"/>
      <c r="AB21" s="3622"/>
      <c r="AC21" s="3622"/>
      <c r="AD21" s="3622"/>
      <c r="AE21" s="3622"/>
      <c r="AF21" s="3622"/>
      <c r="AG21" s="3622"/>
      <c r="AH21" s="3622"/>
      <c r="AI21" s="3622"/>
      <c r="AJ21" s="3622"/>
      <c r="AK21" s="3622"/>
      <c r="AL21" s="3622"/>
      <c r="AM21" s="3622"/>
      <c r="AN21" s="3622"/>
      <c r="AO21" s="3622"/>
      <c r="AP21" s="3622"/>
      <c r="AQ21" s="3622"/>
      <c r="AR21" s="3622"/>
      <c r="AS21" s="3622"/>
      <c r="AT21" s="3622"/>
      <c r="AU21" s="3622"/>
      <c r="AV21" s="3622"/>
      <c r="AW21" s="3622"/>
      <c r="AX21" s="3622"/>
      <c r="AY21" s="3622"/>
      <c r="AZ21" s="3622"/>
      <c r="BA21" s="3622"/>
      <c r="BB21" s="3622"/>
      <c r="BC21" s="3622"/>
      <c r="BD21" s="3622"/>
      <c r="BE21" s="3622"/>
      <c r="BF21" s="2700"/>
      <c r="BG21" s="4396"/>
      <c r="BH21" s="4396"/>
      <c r="BI21" s="3604"/>
      <c r="BJ21" s="3604"/>
      <c r="BK21" s="3957"/>
      <c r="BL21" s="3604"/>
      <c r="BM21" s="3957"/>
      <c r="BN21" s="3957"/>
    </row>
    <row r="22" spans="1:66" ht="15" x14ac:dyDescent="0.25">
      <c r="B22" s="1638" t="s">
        <v>281</v>
      </c>
      <c r="C22" s="58" t="s">
        <v>175</v>
      </c>
      <c r="D22" s="7701">
        <f>+D29/150</f>
        <v>12802.773939534667</v>
      </c>
      <c r="E22" s="8062">
        <f>+E29/150</f>
        <v>897.25315333093999</v>
      </c>
      <c r="F22" s="2945">
        <v>495</v>
      </c>
      <c r="G22" s="8062">
        <f>+G29/150</f>
        <v>1173.7546331938931</v>
      </c>
      <c r="H22" s="5596">
        <v>524</v>
      </c>
      <c r="I22" s="8063">
        <f>+E22+G22</f>
        <v>2071.0077865248331</v>
      </c>
      <c r="J22" s="3259">
        <f>+F22+H22</f>
        <v>1019</v>
      </c>
      <c r="K22" s="8062">
        <f>+K29/150</f>
        <v>1140.9828060025734</v>
      </c>
      <c r="L22" s="5711">
        <v>541</v>
      </c>
      <c r="M22" s="8067">
        <f>+K22+G22+E22</f>
        <v>3211.990592527407</v>
      </c>
      <c r="N22" s="2885">
        <f>+L22+H22+F22</f>
        <v>1560</v>
      </c>
      <c r="O22" s="8062">
        <f>+O29/150</f>
        <v>1142.2783977516533</v>
      </c>
      <c r="P22" s="5849">
        <v>587</v>
      </c>
      <c r="Q22" s="8063">
        <f>+M22+O22</f>
        <v>4354.2689902790607</v>
      </c>
      <c r="R22" s="3259">
        <f>+N22+P22</f>
        <v>2147</v>
      </c>
      <c r="S22" s="8062">
        <f>+S29/150</f>
        <v>1142.2783977516533</v>
      </c>
      <c r="T22" s="5916">
        <v>512</v>
      </c>
      <c r="U22" s="8063">
        <f>+Q22+S22</f>
        <v>5496.5473880307145</v>
      </c>
      <c r="V22" s="3259">
        <f>+R22+T22</f>
        <v>2659</v>
      </c>
      <c r="W22" s="8062">
        <f>+W29/150</f>
        <v>603.76319572653995</v>
      </c>
      <c r="X22" s="6028">
        <v>490</v>
      </c>
      <c r="Y22" s="8067">
        <f>+W22+S22+O22</f>
        <v>2888.3199912298464</v>
      </c>
      <c r="Z22" s="2885">
        <f t="shared" si="18"/>
        <v>1589</v>
      </c>
      <c r="AA22" s="8068">
        <f>+Y22+M22</f>
        <v>6100.310583757253</v>
      </c>
      <c r="AB22" s="3624">
        <f t="shared" si="17"/>
        <v>3149</v>
      </c>
      <c r="AC22" s="8062">
        <f>+AC29/150</f>
        <v>1159.6825333333334</v>
      </c>
      <c r="AD22" s="6148">
        <v>440</v>
      </c>
      <c r="AE22" s="8063">
        <f>+AA22+AC22</f>
        <v>7259.9931170905866</v>
      </c>
      <c r="AF22" s="3259">
        <f>+AB22+AD22</f>
        <v>3589</v>
      </c>
      <c r="AG22" s="8062">
        <f>+AG29/150</f>
        <v>1123.3926564863066</v>
      </c>
      <c r="AH22" s="6310">
        <v>542</v>
      </c>
      <c r="AI22" s="8063">
        <f>+AE22+AG22</f>
        <v>8383.3857735768925</v>
      </c>
      <c r="AJ22" s="4640">
        <f>+AF22+AH22</f>
        <v>4131</v>
      </c>
      <c r="AK22" s="8062">
        <f>+AK29/150</f>
        <v>1156.16448367762</v>
      </c>
      <c r="AL22" s="6571">
        <v>455</v>
      </c>
      <c r="AM22" s="8067">
        <f>+AK22+AG22+AC22</f>
        <v>3439.2396734972599</v>
      </c>
      <c r="AN22" s="2885">
        <f t="shared" ref="AN22:AN24" si="26">+AL22+AH22+AD22</f>
        <v>1437</v>
      </c>
      <c r="AO22" s="8063">
        <f>+AK22+AI22</f>
        <v>9539.550257254512</v>
      </c>
      <c r="AP22" s="2884">
        <f t="shared" si="20"/>
        <v>4586</v>
      </c>
      <c r="AQ22" s="8062">
        <f>+AQ29/150</f>
        <v>1177.8274421281592</v>
      </c>
      <c r="AR22" s="4971">
        <v>459</v>
      </c>
      <c r="AS22" s="8063">
        <f>+AO22+AQ22</f>
        <v>10717.37769938267</v>
      </c>
      <c r="AT22" s="3259">
        <f>+AP22+AR22</f>
        <v>5045</v>
      </c>
      <c r="AU22" s="8062">
        <f>+AU29/150</f>
        <v>1050.8129422971672</v>
      </c>
      <c r="AV22" s="6845">
        <v>366</v>
      </c>
      <c r="AW22" s="8063">
        <f>+AS22+AU22</f>
        <v>11768.190641679837</v>
      </c>
      <c r="AX22" s="5035">
        <f>+AT22+AV22</f>
        <v>5411</v>
      </c>
      <c r="AY22" s="8062">
        <f>+AY29/150</f>
        <v>1174.3094122249049</v>
      </c>
      <c r="AZ22" s="6998">
        <v>472</v>
      </c>
      <c r="BA22" s="8067">
        <f>+AY22+AU22+AQ22</f>
        <v>3402.9497966502313</v>
      </c>
      <c r="BB22" s="2885">
        <f t="shared" ref="BB22:BB24" si="27">+AZ22+AV22+AR22</f>
        <v>1297</v>
      </c>
      <c r="BC22" s="8068">
        <f>+BA22+AM22</f>
        <v>6842.1894701474912</v>
      </c>
      <c r="BD22" s="2925">
        <f t="shared" ref="BD22:BD24" si="28">+BB22+AN22</f>
        <v>2734</v>
      </c>
      <c r="BE22" s="8063">
        <f>+AW22+AY22</f>
        <v>12942.500053904743</v>
      </c>
      <c r="BF22" s="3446">
        <f>+AX22+AZ22</f>
        <v>5883</v>
      </c>
      <c r="BG22" s="4396"/>
      <c r="BH22" s="4396"/>
      <c r="BI22" s="3604"/>
      <c r="BJ22" s="3604"/>
      <c r="BK22" s="3957"/>
      <c r="BL22" s="3604"/>
      <c r="BM22" s="3957"/>
      <c r="BN22" s="3957"/>
    </row>
    <row r="23" spans="1:66" ht="15" x14ac:dyDescent="0.25">
      <c r="B23" s="1629" t="s">
        <v>282</v>
      </c>
      <c r="C23" s="3180" t="s">
        <v>175</v>
      </c>
      <c r="D23" s="7701"/>
      <c r="E23" s="8062"/>
      <c r="F23" s="2945">
        <v>564</v>
      </c>
      <c r="G23" s="8062"/>
      <c r="H23" s="5596">
        <v>599</v>
      </c>
      <c r="I23" s="8063"/>
      <c r="J23" s="3259">
        <f>+F23+H23</f>
        <v>1163</v>
      </c>
      <c r="K23" s="8062"/>
      <c r="L23" s="5711">
        <v>626</v>
      </c>
      <c r="M23" s="8067"/>
      <c r="N23" s="2885">
        <f>+L23+H23+F23</f>
        <v>1789</v>
      </c>
      <c r="O23" s="8062"/>
      <c r="P23" s="5849">
        <v>611</v>
      </c>
      <c r="Q23" s="8063"/>
      <c r="R23" s="3259">
        <f>+N23+P23</f>
        <v>2400</v>
      </c>
      <c r="S23" s="8062"/>
      <c r="T23" s="5916">
        <v>633</v>
      </c>
      <c r="U23" s="8063"/>
      <c r="V23" s="3259">
        <f>+R23+T23</f>
        <v>3033</v>
      </c>
      <c r="W23" s="8062"/>
      <c r="X23" s="6028">
        <v>612</v>
      </c>
      <c r="Y23" s="8067"/>
      <c r="Z23" s="2885">
        <f t="shared" si="18"/>
        <v>1856</v>
      </c>
      <c r="AA23" s="8068"/>
      <c r="AB23" s="3624">
        <f t="shared" si="17"/>
        <v>3645</v>
      </c>
      <c r="AC23" s="8062"/>
      <c r="AD23" s="6148">
        <v>426</v>
      </c>
      <c r="AE23" s="8063"/>
      <c r="AF23" s="3259">
        <f>+AB23+AD23</f>
        <v>4071</v>
      </c>
      <c r="AG23" s="8062"/>
      <c r="AH23" s="6310">
        <v>589</v>
      </c>
      <c r="AI23" s="8063"/>
      <c r="AJ23" s="4640">
        <f>+AF23+AH23</f>
        <v>4660</v>
      </c>
      <c r="AK23" s="8062"/>
      <c r="AL23" s="6571">
        <v>630</v>
      </c>
      <c r="AM23" s="8067"/>
      <c r="AN23" s="2885">
        <f t="shared" si="26"/>
        <v>1645</v>
      </c>
      <c r="AO23" s="8063"/>
      <c r="AP23" s="2884">
        <f t="shared" si="20"/>
        <v>5290</v>
      </c>
      <c r="AQ23" s="8062"/>
      <c r="AR23" s="4971">
        <v>597</v>
      </c>
      <c r="AS23" s="8063"/>
      <c r="AT23" s="3259">
        <f>+AP23+AR23</f>
        <v>5887</v>
      </c>
      <c r="AU23" s="8062"/>
      <c r="AV23" s="6845">
        <v>502</v>
      </c>
      <c r="AW23" s="8063"/>
      <c r="AX23" s="5035">
        <f>+AT23+AV23</f>
        <v>6389</v>
      </c>
      <c r="AY23" s="8062"/>
      <c r="AZ23" s="6998">
        <v>645</v>
      </c>
      <c r="BA23" s="8067"/>
      <c r="BB23" s="2885">
        <f t="shared" si="27"/>
        <v>1744</v>
      </c>
      <c r="BC23" s="8068"/>
      <c r="BD23" s="2925">
        <f t="shared" si="28"/>
        <v>3389</v>
      </c>
      <c r="BE23" s="8063"/>
      <c r="BF23" s="3446">
        <f>+AX23+AZ23</f>
        <v>7034</v>
      </c>
      <c r="BG23" s="4396"/>
      <c r="BH23" s="4396"/>
      <c r="BI23" s="3604"/>
      <c r="BJ23" s="3604"/>
      <c r="BK23" s="3957"/>
      <c r="BL23" s="3604"/>
      <c r="BM23" s="3957"/>
      <c r="BN23" s="3957"/>
    </row>
    <row r="24" spans="1:66" ht="15.75" thickBot="1" x14ac:dyDescent="0.3">
      <c r="B24" s="1630" t="s">
        <v>283</v>
      </c>
      <c r="C24" s="702" t="s">
        <v>175</v>
      </c>
      <c r="D24" s="3594">
        <f>+D38/150</f>
        <v>5980.6535557572533</v>
      </c>
      <c r="E24" s="2945">
        <f>+E38/150</f>
        <v>394.02117184168867</v>
      </c>
      <c r="F24" s="2945">
        <v>359</v>
      </c>
      <c r="G24" s="5596">
        <f>+G38/150</f>
        <v>457.34388742304327</v>
      </c>
      <c r="H24" s="5596">
        <v>393</v>
      </c>
      <c r="I24" s="2884">
        <f>+E24+G24</f>
        <v>851.36505926473194</v>
      </c>
      <c r="J24" s="3259">
        <f>+F24+H24</f>
        <v>752</v>
      </c>
      <c r="K24" s="5711">
        <f>+K38/150</f>
        <v>439.7537379067727</v>
      </c>
      <c r="L24" s="5711">
        <v>389</v>
      </c>
      <c r="M24" s="2885">
        <f>+K24+G24+E24</f>
        <v>1291.1187971715046</v>
      </c>
      <c r="N24" s="2885">
        <f>+L24+H24+F24</f>
        <v>1141</v>
      </c>
      <c r="O24" s="5849">
        <f>+O38/150</f>
        <v>457.3438874230427</v>
      </c>
      <c r="P24" s="5849">
        <v>412</v>
      </c>
      <c r="Q24" s="2884">
        <f>+M24+O24</f>
        <v>1748.4626845945472</v>
      </c>
      <c r="R24" s="3259">
        <f>+N24+P24</f>
        <v>1553</v>
      </c>
      <c r="S24" s="5916">
        <f>+S38/150</f>
        <v>457.3438874230427</v>
      </c>
      <c r="T24" s="5916">
        <v>370</v>
      </c>
      <c r="U24" s="4347">
        <f>+Q24+S24</f>
        <v>2205.80657201759</v>
      </c>
      <c r="V24" s="3259">
        <f>+R24+T24</f>
        <v>1923</v>
      </c>
      <c r="W24" s="6028">
        <f>+W38/150</f>
        <v>235.70800351803064</v>
      </c>
      <c r="X24" s="6028">
        <v>346</v>
      </c>
      <c r="Y24" s="2885">
        <f t="shared" si="18"/>
        <v>1150.395778364116</v>
      </c>
      <c r="Z24" s="2885">
        <f t="shared" si="18"/>
        <v>1128</v>
      </c>
      <c r="AA24" s="2925">
        <f>+Y24+M24</f>
        <v>2441.5145755356207</v>
      </c>
      <c r="AB24" s="3624">
        <f t="shared" si="17"/>
        <v>2269</v>
      </c>
      <c r="AC24" s="6148">
        <f>+AC38/150</f>
        <v>471.41599999999994</v>
      </c>
      <c r="AD24" s="6148">
        <v>279</v>
      </c>
      <c r="AE24" s="2884">
        <f>+AA24+AC24</f>
        <v>2912.9305755356208</v>
      </c>
      <c r="AF24" s="3259">
        <f>+AB24+AD24</f>
        <v>2548</v>
      </c>
      <c r="AG24" s="6310">
        <f>+AG38/150</f>
        <v>457.34388742304327</v>
      </c>
      <c r="AH24" s="6310">
        <v>326</v>
      </c>
      <c r="AI24" s="4647">
        <f>+AE24+AG24</f>
        <v>3370.2744629586641</v>
      </c>
      <c r="AJ24" s="4640">
        <f>+AF24+AH24</f>
        <v>2874</v>
      </c>
      <c r="AK24" s="6571">
        <f>+AK38/150</f>
        <v>474.93403693931401</v>
      </c>
      <c r="AL24" s="6571">
        <v>419</v>
      </c>
      <c r="AM24" s="2885">
        <f t="shared" ref="AM24" si="29">+AK24+AG24+AC24</f>
        <v>1403.6939243623572</v>
      </c>
      <c r="AN24" s="2885">
        <f t="shared" si="26"/>
        <v>1024</v>
      </c>
      <c r="AO24" s="2884">
        <f t="shared" si="20"/>
        <v>3845.2084998979781</v>
      </c>
      <c r="AP24" s="2884">
        <f t="shared" si="20"/>
        <v>3293</v>
      </c>
      <c r="AQ24" s="4971">
        <f>+AQ38/150</f>
        <v>478.45206684256789</v>
      </c>
      <c r="AR24" s="4971">
        <v>405</v>
      </c>
      <c r="AS24" s="2884">
        <f>+AO24+AQ24</f>
        <v>4323.6605667405456</v>
      </c>
      <c r="AT24" s="3259">
        <f>+AP24+AR24</f>
        <v>3698</v>
      </c>
      <c r="AU24" s="6845">
        <f>+AU38/150</f>
        <v>429.19964819700959</v>
      </c>
      <c r="AV24" s="6845">
        <v>317</v>
      </c>
      <c r="AW24" s="5040">
        <f>+AS24+AU24</f>
        <v>4752.8602149375556</v>
      </c>
      <c r="AX24" s="5035">
        <f>+AT24+AV24</f>
        <v>4015</v>
      </c>
      <c r="AY24" s="6998">
        <f>+AY38/150</f>
        <v>481.97009674582222</v>
      </c>
      <c r="AZ24" s="6998">
        <v>409</v>
      </c>
      <c r="BA24" s="2885">
        <f t="shared" ref="BA24" si="30">+AY24+AU24+AQ24</f>
        <v>1389.6218117853996</v>
      </c>
      <c r="BB24" s="2885">
        <f t="shared" si="27"/>
        <v>1131</v>
      </c>
      <c r="BC24" s="2925">
        <f>+BA24+AM24</f>
        <v>2793.315736147757</v>
      </c>
      <c r="BD24" s="2925">
        <f t="shared" si="28"/>
        <v>2155</v>
      </c>
      <c r="BE24" s="2884">
        <f>+AW24+AY24</f>
        <v>5234.8303116833777</v>
      </c>
      <c r="BF24" s="3446">
        <f>+AX24+AZ24</f>
        <v>4424</v>
      </c>
      <c r="BG24" s="4396"/>
      <c r="BH24" s="4396"/>
      <c r="BI24" s="3604"/>
      <c r="BJ24" s="3604"/>
      <c r="BK24" s="3957"/>
      <c r="BL24" s="3604"/>
      <c r="BM24" s="3957"/>
      <c r="BN24" s="3957"/>
    </row>
    <row r="25" spans="1:66" ht="15.75" thickBot="1" x14ac:dyDescent="0.3">
      <c r="B25" s="2316" t="s">
        <v>284</v>
      </c>
      <c r="C25" s="3626" t="s">
        <v>175</v>
      </c>
      <c r="D25" s="3646">
        <f t="shared" ref="D25:J25" si="31">SUM(D22:D24)</f>
        <v>18783.427495291922</v>
      </c>
      <c r="E25" s="3647">
        <f t="shared" si="31"/>
        <v>1291.2743251726288</v>
      </c>
      <c r="F25" s="3484">
        <f t="shared" si="31"/>
        <v>1418</v>
      </c>
      <c r="G25" s="5598">
        <f t="shared" ref="G25:H25" si="32">SUM(G22:G24)</f>
        <v>1631.0985206169364</v>
      </c>
      <c r="H25" s="3484">
        <f t="shared" si="32"/>
        <v>1516</v>
      </c>
      <c r="I25" s="3648">
        <f t="shared" si="31"/>
        <v>2922.372845789565</v>
      </c>
      <c r="J25" s="3482">
        <f t="shared" si="31"/>
        <v>2934</v>
      </c>
      <c r="K25" s="5712">
        <f t="shared" ref="K25:L25" si="33">SUM(K22:K24)</f>
        <v>1580.736543909346</v>
      </c>
      <c r="L25" s="3484">
        <f t="shared" si="33"/>
        <v>1556</v>
      </c>
      <c r="M25" s="3649">
        <f t="shared" ref="M25:R25" si="34">SUM(M22:M24)</f>
        <v>4503.1093896989114</v>
      </c>
      <c r="N25" s="3613">
        <f t="shared" si="34"/>
        <v>4490</v>
      </c>
      <c r="O25" s="5850">
        <f t="shared" si="34"/>
        <v>1599.6222851746961</v>
      </c>
      <c r="P25" s="3484">
        <f t="shared" si="34"/>
        <v>1610</v>
      </c>
      <c r="Q25" s="3648">
        <f t="shared" si="34"/>
        <v>6102.7316748736084</v>
      </c>
      <c r="R25" s="3482">
        <f t="shared" si="34"/>
        <v>6100</v>
      </c>
      <c r="S25" s="5917">
        <f t="shared" ref="S25:T25" si="35">SUM(S22:S24)</f>
        <v>1599.6222851746961</v>
      </c>
      <c r="T25" s="3484">
        <f t="shared" si="35"/>
        <v>1515</v>
      </c>
      <c r="U25" s="4345">
        <f t="shared" ref="U25:X25" si="36">SUM(U22:U24)</f>
        <v>7702.3539600483045</v>
      </c>
      <c r="V25" s="3482">
        <f t="shared" si="36"/>
        <v>7615</v>
      </c>
      <c r="W25" s="6029">
        <f t="shared" si="36"/>
        <v>839.47119924457058</v>
      </c>
      <c r="X25" s="3484">
        <f t="shared" si="36"/>
        <v>1448</v>
      </c>
      <c r="Y25" s="3649">
        <f t="shared" ref="Y25:AF25" si="37">SUM(Y22:Y24)</f>
        <v>4038.7157695939622</v>
      </c>
      <c r="Z25" s="3613">
        <f t="shared" si="37"/>
        <v>4573</v>
      </c>
      <c r="AA25" s="2912">
        <f t="shared" si="37"/>
        <v>8541.8251592928736</v>
      </c>
      <c r="AB25" s="3615">
        <f t="shared" si="37"/>
        <v>9063</v>
      </c>
      <c r="AC25" s="6149">
        <f t="shared" si="37"/>
        <v>1631.0985333333333</v>
      </c>
      <c r="AD25" s="3484">
        <f t="shared" si="37"/>
        <v>1145</v>
      </c>
      <c r="AE25" s="3648">
        <f t="shared" si="37"/>
        <v>10172.923692626207</v>
      </c>
      <c r="AF25" s="3482">
        <f t="shared" si="37"/>
        <v>10208</v>
      </c>
      <c r="AG25" s="6311">
        <f t="shared" ref="AG25:AH25" si="38">SUM(AG22:AG24)</f>
        <v>1580.7365439093498</v>
      </c>
      <c r="AH25" s="3484">
        <f t="shared" si="38"/>
        <v>1457</v>
      </c>
      <c r="AI25" s="4645">
        <f t="shared" ref="AI25:AL25" si="39">SUM(AI22:AI24)</f>
        <v>11753.660236535557</v>
      </c>
      <c r="AJ25" s="3482">
        <f t="shared" si="39"/>
        <v>11665</v>
      </c>
      <c r="AK25" s="6572">
        <f t="shared" si="39"/>
        <v>1631.0985206169339</v>
      </c>
      <c r="AL25" s="3484">
        <f t="shared" si="39"/>
        <v>1504</v>
      </c>
      <c r="AM25" s="3649">
        <f t="shared" ref="AM25:AT25" si="40">SUM(AM22:AM24)</f>
        <v>4842.9335978596173</v>
      </c>
      <c r="AN25" s="3613">
        <f t="shared" si="40"/>
        <v>4106</v>
      </c>
      <c r="AO25" s="3648">
        <f t="shared" si="40"/>
        <v>13384.758757152489</v>
      </c>
      <c r="AP25" s="3482">
        <f t="shared" si="40"/>
        <v>13169</v>
      </c>
      <c r="AQ25" s="4972">
        <f>SUM(AQ22:AQ24)</f>
        <v>1656.279508970727</v>
      </c>
      <c r="AR25" s="3484">
        <f>SUM(AR22:AR24)</f>
        <v>1461</v>
      </c>
      <c r="AS25" s="3648">
        <f t="shared" si="40"/>
        <v>15041.038266123216</v>
      </c>
      <c r="AT25" s="3482">
        <f t="shared" si="40"/>
        <v>14630</v>
      </c>
      <c r="AU25" s="6846">
        <f>SUM(AU22:AU24)</f>
        <v>1480.0125904941767</v>
      </c>
      <c r="AV25" s="3484">
        <f>SUM(AV22:AV24)</f>
        <v>1185</v>
      </c>
      <c r="AW25" s="5038">
        <f t="shared" ref="AW25:AX25" si="41">SUM(AW22:AW24)</f>
        <v>16521.050856617392</v>
      </c>
      <c r="AX25" s="3482">
        <f t="shared" si="41"/>
        <v>15815</v>
      </c>
      <c r="AY25" s="7000">
        <f>SUM(AY22:AY24)</f>
        <v>1656.2795089707272</v>
      </c>
      <c r="AZ25" s="3484">
        <f>SUM(AZ22:AZ24)</f>
        <v>1526</v>
      </c>
      <c r="BA25" s="3649">
        <f t="shared" ref="BA25:BD25" si="42">SUM(BA22:BA24)</f>
        <v>4792.5716084356309</v>
      </c>
      <c r="BB25" s="3613">
        <f t="shared" si="42"/>
        <v>4172</v>
      </c>
      <c r="BC25" s="2912">
        <f t="shared" si="42"/>
        <v>9635.5052062952491</v>
      </c>
      <c r="BD25" s="3615">
        <f t="shared" si="42"/>
        <v>8278</v>
      </c>
      <c r="BE25" s="3648">
        <f t="shared" ref="BE25:BF25" si="43">SUM(BE22:BE24)</f>
        <v>18177.330365588121</v>
      </c>
      <c r="BF25" s="859">
        <f t="shared" si="43"/>
        <v>17341</v>
      </c>
      <c r="BG25" s="4396"/>
      <c r="BH25" s="4396"/>
      <c r="BI25" s="3604"/>
      <c r="BJ25" s="3604"/>
      <c r="BK25" s="3957"/>
      <c r="BL25" s="3604"/>
      <c r="BM25" s="3957"/>
      <c r="BN25" s="3957"/>
    </row>
    <row r="26" spans="1:66" ht="15.75" thickBot="1" x14ac:dyDescent="0.3">
      <c r="B26" s="3651" t="s">
        <v>530</v>
      </c>
      <c r="C26" s="3596" t="s">
        <v>351</v>
      </c>
      <c r="D26" s="5546">
        <f>+'Maj Production Summ'!D21</f>
        <v>53.120552871300617</v>
      </c>
      <c r="E26" s="3652">
        <f>+'Maj Production Summ'!E21</f>
        <v>47.75422800194638</v>
      </c>
      <c r="F26" s="3652">
        <f>+'Maj Production Summ'!F21</f>
        <v>48.005642412131181</v>
      </c>
      <c r="G26" s="5599">
        <f>+'Maj Production Summ'!G21</f>
        <v>54.369950687231139</v>
      </c>
      <c r="H26" s="5599">
        <f>+'Maj Production Summ'!H21</f>
        <v>50.886713286713288</v>
      </c>
      <c r="I26" s="2272">
        <f>+'Maj Production Summ'!I21</f>
        <v>51.298365154777507</v>
      </c>
      <c r="J26" s="2272">
        <f>+'Maj Production Summ'!J21</f>
        <v>49.452332182360855</v>
      </c>
      <c r="K26" s="5713">
        <f>+'Maj Production Summ'!K21</f>
        <v>54.508156686529261</v>
      </c>
      <c r="L26" s="5713">
        <f>+'Maj Production Summ'!L21</f>
        <v>52.547595930600707</v>
      </c>
      <c r="M26" s="2273">
        <f>+'Maj Production Summ'!M21</f>
        <v>52.39347050090457</v>
      </c>
      <c r="N26" s="2273">
        <f>+'Maj Production Summ'!N21</f>
        <v>50.482841330718202</v>
      </c>
      <c r="O26" s="5851">
        <f>+'Maj Production Summ'!O21</f>
        <v>53.320742839156438</v>
      </c>
      <c r="P26" s="5851">
        <f>+'Maj Production Summ'!P21</f>
        <v>51.935483870967744</v>
      </c>
      <c r="Q26" s="3652">
        <f>+'Maj Production Summ'!Q21</f>
        <v>52.635367632622454</v>
      </c>
      <c r="R26" s="3652">
        <f>+'Maj Production Summ'!R21</f>
        <v>50.858291569010717</v>
      </c>
      <c r="S26" s="5918">
        <f>+'Maj Production Summ'!S21</f>
        <v>53.320742839156438</v>
      </c>
      <c r="T26" s="5918">
        <f>+'Maj Production Summ'!T21</f>
        <v>50.459118769515442</v>
      </c>
      <c r="U26" s="4349">
        <f>+'Maj Production Summ'!U21</f>
        <v>52.777169399491555</v>
      </c>
      <c r="V26" s="4349">
        <f>+'Maj Production Summ'!V21</f>
        <v>50.778373902872048</v>
      </c>
      <c r="W26" s="6030">
        <f>+'Maj Production Summ'!W21</f>
        <v>49.331711652010291</v>
      </c>
      <c r="X26" s="6030">
        <f>+'Maj Production Summ'!X21</f>
        <v>48.797337714309791</v>
      </c>
      <c r="Y26" s="3652">
        <f>+'Maj Production Summ'!Y21</f>
        <v>52.439366885097684</v>
      </c>
      <c r="Z26" s="3652">
        <f>+'Maj Production Summ'!Z21</f>
        <v>50.420044531151902</v>
      </c>
      <c r="AA26" s="3652">
        <f>+'Maj Production Summ'!AA21</f>
        <v>52.415287956049518</v>
      </c>
      <c r="AB26" s="3652">
        <f>+'Maj Production Summ'!AB21</f>
        <v>50.451135841756859</v>
      </c>
      <c r="AC26" s="6150">
        <f>+'Maj Production Summ'!AC21</f>
        <v>54.369951111111114</v>
      </c>
      <c r="AD26" s="6150">
        <f>+'Maj Production Summ'!AD21</f>
        <v>45.927576601671305</v>
      </c>
      <c r="AE26" s="3652">
        <f>+'Maj Production Summ'!AE21</f>
        <v>52.720677245149581</v>
      </c>
      <c r="AF26" s="3652">
        <f>+'Maj Production Summ'!AF21</f>
        <v>49.899857560109233</v>
      </c>
      <c r="AG26" s="6312">
        <f>+'Maj Production Summ'!AG21</f>
        <v>54.508156686529261</v>
      </c>
      <c r="AH26" s="6312">
        <f>+'Maj Production Summ'!AH21</f>
        <v>50.055827535858455</v>
      </c>
      <c r="AI26" s="4649">
        <f>+'Maj Production Summ'!AI21</f>
        <v>52.955215470188335</v>
      </c>
      <c r="AJ26" s="4649">
        <f>+'Maj Production Summ'!AJ21</f>
        <v>49.91928562428231</v>
      </c>
      <c r="AK26" s="6573">
        <f>+'Maj Production Summ'!AK21</f>
        <v>54.369950687231139</v>
      </c>
      <c r="AL26" s="6573">
        <f>+'Maj Production Summ'!AL21</f>
        <v>48.993552765524257</v>
      </c>
      <c r="AM26" s="3652">
        <f>+'Maj Production Summ'!AM21</f>
        <v>54.414984245613667</v>
      </c>
      <c r="AN26" s="3652">
        <f>+'Maj Production Summ'!AN21</f>
        <v>48.456398059986981</v>
      </c>
      <c r="AO26" s="3652">
        <f>+'Maj Production Summ'!AO21</f>
        <v>53.124295966407878</v>
      </c>
      <c r="AP26" s="3652">
        <f>+'Maj Production Summ'!AP21</f>
        <v>49.811794162440677</v>
      </c>
      <c r="AQ26" s="4973">
        <f>+'Maj Production Summ'!AQ21</f>
        <v>55.20931696569091</v>
      </c>
      <c r="AR26" s="4973">
        <f>+'Maj Production Summ'!AR21</f>
        <v>48.03836054344103</v>
      </c>
      <c r="AS26" s="3652">
        <f>+'Maj Production Summ'!AS21</f>
        <v>53.346882711971098</v>
      </c>
      <c r="AT26" s="3652">
        <f>+'Maj Production Summ'!AT21</f>
        <v>49.628829725283111</v>
      </c>
      <c r="AU26" s="6847">
        <f>+'Maj Production Summ'!AU21</f>
        <v>54.815281129413961</v>
      </c>
      <c r="AV26" s="6847">
        <f>+'Maj Production Summ'!AV21</f>
        <v>42.97176011966819</v>
      </c>
      <c r="AW26" s="5041">
        <f>+'Maj Production Summ'!AW21</f>
        <v>53.475598900784476</v>
      </c>
      <c r="AX26" s="5041">
        <f>+'Maj Production Summ'!AX21</f>
        <v>49.059359550198721</v>
      </c>
      <c r="AY26" s="7001">
        <f>+'Maj Production Summ'!AY21</f>
        <v>55.20931696569091</v>
      </c>
      <c r="AZ26" s="7001">
        <f>+'Maj Production Summ'!AZ21</f>
        <v>50.91380908248378</v>
      </c>
      <c r="BA26" s="3652">
        <f>+'Maj Production Summ'!BA21</f>
        <v>55.087029982018748</v>
      </c>
      <c r="BB26" s="3652">
        <f>+'Maj Production Summ'!BB21</f>
        <v>47.429751596339308</v>
      </c>
      <c r="BC26" s="3652">
        <f>+'Maj Production Summ'!BC21</f>
        <v>54.74718867213209</v>
      </c>
      <c r="BD26" s="3652">
        <f>+'Maj Production Summ'!BD21</f>
        <v>47.933486834327496</v>
      </c>
      <c r="BE26" s="3652">
        <f>+'Maj Production Summ'!BE21</f>
        <v>53.629471523581408</v>
      </c>
      <c r="BF26" s="2714">
        <f>+'Maj Production Summ'!BF21</f>
        <v>49.217111941107483</v>
      </c>
      <c r="BG26" s="4396"/>
      <c r="BH26" s="4396"/>
      <c r="BI26" s="3604"/>
      <c r="BJ26" s="3604"/>
      <c r="BK26" s="3957"/>
      <c r="BL26" s="3604"/>
      <c r="BM26" s="3957"/>
      <c r="BN26" s="3957"/>
    </row>
    <row r="27" spans="1:66" ht="15.75" thickBot="1" x14ac:dyDescent="0.3">
      <c r="B27" s="1641" t="s">
        <v>429</v>
      </c>
      <c r="C27" s="784" t="s">
        <v>50</v>
      </c>
      <c r="D27" s="3597">
        <f>+D20-D5</f>
        <v>42906.306461326778</v>
      </c>
      <c r="E27" s="3653">
        <f>+E20-E5</f>
        <v>2949.6114026785945</v>
      </c>
      <c r="F27" s="3654">
        <v>3240</v>
      </c>
      <c r="G27" s="5037">
        <f>+G20-G5</f>
        <v>6273.4558485268208</v>
      </c>
      <c r="H27" s="3654">
        <v>3264</v>
      </c>
      <c r="I27" s="3655">
        <f>+E27+G27</f>
        <v>9223.0672512054152</v>
      </c>
      <c r="J27" s="3655">
        <f>+F27+H27</f>
        <v>6504</v>
      </c>
      <c r="K27" s="5037">
        <f>+K20-K5</f>
        <v>6079.7559381131723</v>
      </c>
      <c r="L27" s="3654">
        <v>3400</v>
      </c>
      <c r="M27" s="3656">
        <f>+K27+G27+E27</f>
        <v>15302.823189318588</v>
      </c>
      <c r="N27" s="3656">
        <f>+L27+H27+F27</f>
        <v>9904</v>
      </c>
      <c r="O27" s="5037">
        <f>+O20-O5</f>
        <v>6152.3934045180213</v>
      </c>
      <c r="P27" s="3654">
        <v>3396</v>
      </c>
      <c r="Q27" s="3655">
        <f>+M27+O27</f>
        <v>21455.216593836609</v>
      </c>
      <c r="R27" s="3655">
        <f>+N27+P27</f>
        <v>13300</v>
      </c>
      <c r="S27" s="5037">
        <f>+S20-S5</f>
        <v>6152.3934045180213</v>
      </c>
      <c r="T27" s="3654">
        <v>3152</v>
      </c>
      <c r="U27" s="4334">
        <f>+Q27+S27</f>
        <v>27607.60999835463</v>
      </c>
      <c r="V27" s="4334">
        <f>+R27+T27</f>
        <v>16452</v>
      </c>
      <c r="W27" s="5037">
        <f>+W20-W5</f>
        <v>3228.7353817094408</v>
      </c>
      <c r="X27" s="3654">
        <v>3350</v>
      </c>
      <c r="Y27" s="3657">
        <f>+W27+S27+O27</f>
        <v>15533.522190745483</v>
      </c>
      <c r="Z27" s="3657">
        <f>+X27+T27+P27</f>
        <v>9898</v>
      </c>
      <c r="AA27" s="3595">
        <f>+Y27+M27</f>
        <v>30836.345380064071</v>
      </c>
      <c r="AB27" s="3595">
        <f t="shared" ref="AB27:AB33" si="44">+Z27+N27</f>
        <v>19802</v>
      </c>
      <c r="AC27" s="5037">
        <f>+AC20-AC5</f>
        <v>6273.4558485268208</v>
      </c>
      <c r="AD27" s="3654">
        <v>2730</v>
      </c>
      <c r="AE27" s="3655">
        <f>+AA27+AC27</f>
        <v>37109.801228590892</v>
      </c>
      <c r="AF27" s="3655">
        <f>+AB27+AD27</f>
        <v>22532</v>
      </c>
      <c r="AG27" s="5037">
        <f>+AG20-AG5</f>
        <v>6079.7559381131723</v>
      </c>
      <c r="AH27" s="3654">
        <v>3388</v>
      </c>
      <c r="AI27" s="4634">
        <f>+AE27+AG27</f>
        <v>43189.557166704064</v>
      </c>
      <c r="AJ27" s="4634">
        <f>+AF27+AH27</f>
        <v>25920</v>
      </c>
      <c r="AK27" s="5037">
        <f>+AK20-AK5</f>
        <v>6273.4558485268208</v>
      </c>
      <c r="AL27" s="3654">
        <v>3512</v>
      </c>
      <c r="AM27" s="3657">
        <f>+AK27+AG27+AC27</f>
        <v>18626.667635166814</v>
      </c>
      <c r="AN27" s="3657">
        <f>+AL27+AH27+AD27</f>
        <v>9630</v>
      </c>
      <c r="AO27" s="3655">
        <f>+AK27+AI27</f>
        <v>49463.013015230885</v>
      </c>
      <c r="AP27" s="3655">
        <f>+AL27+AJ27</f>
        <v>29432</v>
      </c>
      <c r="AQ27" s="4964">
        <f>+AQ20-AQ5</f>
        <v>6370.3058037335577</v>
      </c>
      <c r="AR27" s="3654">
        <v>3281</v>
      </c>
      <c r="AS27" s="3655">
        <f>+AO27+AQ27</f>
        <v>55833.318818964442</v>
      </c>
      <c r="AT27" s="3655">
        <f>+AP27+AR27</f>
        <v>32713</v>
      </c>
      <c r="AU27" s="5037">
        <f>+AU20-AU5</f>
        <v>5692.3561172852933</v>
      </c>
      <c r="AV27" s="3654">
        <v>2807</v>
      </c>
      <c r="AW27" s="5034">
        <f>+AS27+AU27</f>
        <v>61525.674936249736</v>
      </c>
      <c r="AX27" s="5034">
        <f>+AT27+AV27</f>
        <v>35520</v>
      </c>
      <c r="AY27" s="5037">
        <f>+AY20-AY5</f>
        <v>6370.3058037335577</v>
      </c>
      <c r="AZ27" s="3654">
        <v>3478</v>
      </c>
      <c r="BA27" s="3657">
        <f>+AY27+AU27+AQ27</f>
        <v>18432.967724752409</v>
      </c>
      <c r="BB27" s="3657">
        <f>+AZ27+AV27+AR27</f>
        <v>9566</v>
      </c>
      <c r="BC27" s="3595">
        <f t="shared" ref="BC27:BD33" si="45">+BA27+AM27</f>
        <v>37059.635359919223</v>
      </c>
      <c r="BD27" s="3595">
        <f t="shared" si="45"/>
        <v>19196</v>
      </c>
      <c r="BE27" s="3655">
        <f>+AW27+AY27</f>
        <v>67895.980739983293</v>
      </c>
      <c r="BF27" s="3658">
        <f>+AX27+AZ27</f>
        <v>38998</v>
      </c>
      <c r="BG27" s="4396"/>
      <c r="BH27" s="4396"/>
      <c r="BI27" s="3604"/>
      <c r="BJ27" s="3604"/>
      <c r="BK27" s="3957"/>
      <c r="BL27" s="3604"/>
      <c r="BM27" s="3957"/>
      <c r="BN27" s="3957"/>
    </row>
    <row r="28" spans="1:66" ht="15.75" thickBot="1" x14ac:dyDescent="0.3">
      <c r="A28" s="1192"/>
      <c r="B28" s="1231" t="s">
        <v>268</v>
      </c>
      <c r="C28" s="464"/>
      <c r="D28" s="836"/>
      <c r="E28" s="3622"/>
      <c r="F28" s="1592"/>
      <c r="G28" s="3622"/>
      <c r="H28" s="1592"/>
      <c r="I28" s="3622"/>
      <c r="J28" s="3659"/>
      <c r="K28" s="3622"/>
      <c r="L28" s="1592"/>
      <c r="M28" s="3622"/>
      <c r="N28" s="1592"/>
      <c r="O28" s="3622"/>
      <c r="P28" s="1592"/>
      <c r="Q28" s="3622"/>
      <c r="R28" s="1592"/>
      <c r="S28" s="3622"/>
      <c r="T28" s="1592"/>
      <c r="U28" s="3622"/>
      <c r="V28" s="1592"/>
      <c r="W28" s="3622"/>
      <c r="X28" s="1592"/>
      <c r="Y28" s="3622"/>
      <c r="Z28" s="1592"/>
      <c r="AA28" s="3622"/>
      <c r="AB28" s="1592"/>
      <c r="AC28" s="3622"/>
      <c r="AD28" s="1592"/>
      <c r="AE28" s="3622"/>
      <c r="AF28" s="1592"/>
      <c r="AG28" s="3622"/>
      <c r="AH28" s="1592"/>
      <c r="AI28" s="3622"/>
      <c r="AJ28" s="1592"/>
      <c r="AK28" s="3622"/>
      <c r="AL28" s="1592"/>
      <c r="AM28" s="3622"/>
      <c r="AN28" s="1592"/>
      <c r="AO28" s="3622"/>
      <c r="AP28" s="1592"/>
      <c r="AQ28" s="3622"/>
      <c r="AR28" s="1592"/>
      <c r="AS28" s="3622"/>
      <c r="AT28" s="1592"/>
      <c r="AU28" s="3622"/>
      <c r="AV28" s="1592"/>
      <c r="AW28" s="3622"/>
      <c r="AX28" s="1592"/>
      <c r="AY28" s="3622"/>
      <c r="AZ28" s="1592"/>
      <c r="BA28" s="3622"/>
      <c r="BB28" s="1592"/>
      <c r="BC28" s="3622"/>
      <c r="BD28" s="1592"/>
      <c r="BE28" s="3622"/>
      <c r="BF28" s="3659"/>
      <c r="BG28" s="4396"/>
      <c r="BH28" s="4396"/>
      <c r="BI28" s="3604"/>
      <c r="BJ28" s="3604"/>
      <c r="BK28" s="3957"/>
      <c r="BL28" s="3604"/>
      <c r="BM28" s="3957"/>
      <c r="BN28" s="3957"/>
    </row>
    <row r="29" spans="1:66" ht="15" x14ac:dyDescent="0.25">
      <c r="B29" s="3631" t="s">
        <v>160</v>
      </c>
      <c r="C29" s="710" t="s">
        <v>50</v>
      </c>
      <c r="D29" s="8090">
        <v>1920416.0909301999</v>
      </c>
      <c r="E29" s="8082">
        <v>134587.972999641</v>
      </c>
      <c r="F29" s="5596">
        <v>77766.95</v>
      </c>
      <c r="G29" s="8082">
        <v>176063.19497908399</v>
      </c>
      <c r="H29" s="5596">
        <v>81452.42</v>
      </c>
      <c r="I29" s="8077">
        <f>+E29+G29</f>
        <v>310651.16797872499</v>
      </c>
      <c r="J29" s="37">
        <f>+F29+H29</f>
        <v>159219.37</v>
      </c>
      <c r="K29" s="8082">
        <v>171147.420900386</v>
      </c>
      <c r="L29" s="5711">
        <v>84359</v>
      </c>
      <c r="M29" s="8069">
        <f>E29+G29+K29</f>
        <v>481798.58887911099</v>
      </c>
      <c r="N29" s="2885">
        <f>+L29+H29+F29</f>
        <v>243578.37</v>
      </c>
      <c r="O29" s="8082">
        <v>171341.75966274799</v>
      </c>
      <c r="P29" s="5849">
        <v>92367</v>
      </c>
      <c r="Q29" s="8077">
        <f>+M29+O29</f>
        <v>653140.34854185896</v>
      </c>
      <c r="R29" s="2884">
        <f>+N29+P29</f>
        <v>335945.37</v>
      </c>
      <c r="S29" s="8082">
        <v>171341.75966274799</v>
      </c>
      <c r="T29" s="5916">
        <v>80201</v>
      </c>
      <c r="U29" s="8077">
        <f>+Q29+S29</f>
        <v>824482.10820460692</v>
      </c>
      <c r="V29" s="4347">
        <f>+R29+T29</f>
        <v>416146.37</v>
      </c>
      <c r="W29" s="8082">
        <v>90564.479358981</v>
      </c>
      <c r="X29" s="6028">
        <v>76461.27</v>
      </c>
      <c r="Y29" s="8069">
        <f>+W29+S29+O29</f>
        <v>433247.99868447694</v>
      </c>
      <c r="Z29" s="2885">
        <f>+X29+T29+P29</f>
        <v>249029.27000000002</v>
      </c>
      <c r="AA29" s="8070">
        <f>+Y29+M29</f>
        <v>915046.58756358793</v>
      </c>
      <c r="AB29" s="6120">
        <f t="shared" si="44"/>
        <v>492607.64</v>
      </c>
      <c r="AC29" s="8082">
        <v>173952.38</v>
      </c>
      <c r="AD29" s="6148">
        <v>68585</v>
      </c>
      <c r="AE29" s="8077">
        <f>AA29+AC29</f>
        <v>1088998.9675635879</v>
      </c>
      <c r="AF29" s="2884">
        <f>+AB29+AD29</f>
        <v>561192.64</v>
      </c>
      <c r="AG29" s="8082">
        <v>168508.89847294599</v>
      </c>
      <c r="AH29" s="6310">
        <v>85308</v>
      </c>
      <c r="AI29" s="8064">
        <f>AE29+AG29</f>
        <v>1257507.8660365338</v>
      </c>
      <c r="AJ29" s="4647">
        <f>+AF29+AH29</f>
        <v>646500.64</v>
      </c>
      <c r="AK29" s="8082">
        <v>173424.67255164299</v>
      </c>
      <c r="AL29" s="6571">
        <v>70881</v>
      </c>
      <c r="AM29" s="8069">
        <f>+AK29+AG29+AC29</f>
        <v>515885.95102458901</v>
      </c>
      <c r="AN29" s="2885">
        <f>+AL29+AH29+AD29</f>
        <v>224774</v>
      </c>
      <c r="AO29" s="8077">
        <f>AK29+AI29</f>
        <v>1430932.5385881769</v>
      </c>
      <c r="AP29" s="2884">
        <f t="shared" ref="AP29:AP33" si="46">+AL29+AJ29</f>
        <v>717381.64</v>
      </c>
      <c r="AQ29" s="8042">
        <v>176674.11631922389</v>
      </c>
      <c r="AR29" s="4971">
        <v>71675.960000000006</v>
      </c>
      <c r="AS29" s="8077">
        <f>AO29+AQ29</f>
        <v>1607606.6549074007</v>
      </c>
      <c r="AT29" s="2884">
        <f>+AP29+AR29</f>
        <v>789057.6</v>
      </c>
      <c r="AU29" s="8042">
        <v>157621.94134457508</v>
      </c>
      <c r="AV29" s="6845">
        <v>56908.77</v>
      </c>
      <c r="AW29" s="8077">
        <f>AS29+AU29</f>
        <v>1765228.5962519757</v>
      </c>
      <c r="AX29" s="5040">
        <f>+AT29+AV29</f>
        <v>845966.37</v>
      </c>
      <c r="AY29" s="8042">
        <v>176146.41183373574</v>
      </c>
      <c r="AZ29" s="6998">
        <v>74754.41</v>
      </c>
      <c r="BA29" s="8069">
        <f>+AY29+AU29+AQ29</f>
        <v>510442.46949753468</v>
      </c>
      <c r="BB29" s="2885">
        <f>+AZ29+AV29+AR29</f>
        <v>203339.14</v>
      </c>
      <c r="BC29" s="8070">
        <f>+BA29+AM29</f>
        <v>1026328.4205221237</v>
      </c>
      <c r="BD29" s="2925">
        <f t="shared" si="45"/>
        <v>428113.14</v>
      </c>
      <c r="BE29" s="8064">
        <f>AW29+AY29</f>
        <v>1941375.0080857114</v>
      </c>
      <c r="BF29" s="37">
        <f t="shared" ref="BF29:BF49" si="47">+AX29+AZ29</f>
        <v>920720.78</v>
      </c>
      <c r="BG29" s="4396"/>
      <c r="BH29" s="4396"/>
      <c r="BI29" s="3604"/>
      <c r="BJ29" s="3604"/>
      <c r="BK29" s="3957"/>
      <c r="BL29" s="3604"/>
      <c r="BM29" s="3957"/>
      <c r="BN29" s="3957"/>
    </row>
    <row r="30" spans="1:66" ht="15.75" thickBot="1" x14ac:dyDescent="0.3">
      <c r="B30" s="3661" t="s">
        <v>1620</v>
      </c>
      <c r="C30" s="3284" t="s">
        <v>50</v>
      </c>
      <c r="D30" s="8091"/>
      <c r="E30" s="8080"/>
      <c r="F30" s="5596">
        <v>145</v>
      </c>
      <c r="G30" s="8080"/>
      <c r="H30" s="5596">
        <v>78</v>
      </c>
      <c r="I30" s="8077"/>
      <c r="J30" s="37">
        <f t="shared" ref="J30:J49" si="48">+F30+H30</f>
        <v>223</v>
      </c>
      <c r="K30" s="8080"/>
      <c r="L30" s="5711">
        <v>28</v>
      </c>
      <c r="M30" s="8069"/>
      <c r="N30" s="2885">
        <f>+L30+H30+F30</f>
        <v>251</v>
      </c>
      <c r="O30" s="8080"/>
      <c r="P30" s="5849">
        <v>13</v>
      </c>
      <c r="Q30" s="8077"/>
      <c r="R30" s="2884">
        <f t="shared" ref="R30:R49" si="49">+N30+P30</f>
        <v>264</v>
      </c>
      <c r="S30" s="8080"/>
      <c r="T30" s="5916">
        <v>33</v>
      </c>
      <c r="U30" s="8077"/>
      <c r="V30" s="4347">
        <f t="shared" ref="V30:V49" si="50">+R30+T30</f>
        <v>297</v>
      </c>
      <c r="W30" s="8080"/>
      <c r="X30" s="6028">
        <v>130</v>
      </c>
      <c r="Y30" s="8069"/>
      <c r="Z30" s="2885">
        <f>+X30+T30+P30</f>
        <v>176</v>
      </c>
      <c r="AA30" s="8070"/>
      <c r="AB30" s="3624">
        <f t="shared" si="44"/>
        <v>427</v>
      </c>
      <c r="AC30" s="8080"/>
      <c r="AD30" s="6148">
        <v>47.5</v>
      </c>
      <c r="AE30" s="8077"/>
      <c r="AF30" s="2884">
        <f t="shared" ref="AF30:AF49" si="51">+AB30+AD30</f>
        <v>474.5</v>
      </c>
      <c r="AG30" s="8080"/>
      <c r="AH30" s="6310">
        <v>0</v>
      </c>
      <c r="AI30" s="7929"/>
      <c r="AJ30" s="4647">
        <f t="shared" ref="AJ30:AJ49" si="52">+AF30+AH30</f>
        <v>474.5</v>
      </c>
      <c r="AK30" s="8080"/>
      <c r="AL30" s="6571">
        <v>19</v>
      </c>
      <c r="AM30" s="8069"/>
      <c r="AN30" s="2885">
        <f>+AL30+AH30+AD30</f>
        <v>66.5</v>
      </c>
      <c r="AO30" s="8077"/>
      <c r="AP30" s="2884">
        <f t="shared" si="46"/>
        <v>493.5</v>
      </c>
      <c r="AQ30" s="8080"/>
      <c r="AR30" s="4971">
        <v>183.5</v>
      </c>
      <c r="AS30" s="8077"/>
      <c r="AT30" s="2884">
        <f t="shared" ref="AT30:AT49" si="53">+AP30+AR30</f>
        <v>677</v>
      </c>
      <c r="AU30" s="8080"/>
      <c r="AV30" s="6845">
        <v>128</v>
      </c>
      <c r="AW30" s="8077"/>
      <c r="AX30" s="5040">
        <f t="shared" ref="AX30:AX49" si="54">+AT30+AV30</f>
        <v>805</v>
      </c>
      <c r="AY30" s="8080"/>
      <c r="AZ30" s="6998">
        <v>52</v>
      </c>
      <c r="BA30" s="8069"/>
      <c r="BB30" s="2885">
        <f>+AZ30+AV30+AR30</f>
        <v>363.5</v>
      </c>
      <c r="BC30" s="8070"/>
      <c r="BD30" s="2925">
        <f t="shared" si="45"/>
        <v>430</v>
      </c>
      <c r="BE30" s="7929"/>
      <c r="BF30" s="37">
        <f t="shared" si="47"/>
        <v>857</v>
      </c>
      <c r="BG30" s="4396"/>
      <c r="BH30" s="4396"/>
      <c r="BI30" s="3604"/>
      <c r="BJ30" s="3604"/>
      <c r="BK30" s="3957"/>
      <c r="BL30" s="3604"/>
      <c r="BM30" s="3957"/>
      <c r="BN30" s="3957"/>
    </row>
    <row r="31" spans="1:66" ht="15.75" thickBot="1" x14ac:dyDescent="0.3">
      <c r="B31" s="3662" t="s">
        <v>161</v>
      </c>
      <c r="C31" s="3626" t="s">
        <v>50</v>
      </c>
      <c r="D31" s="8091"/>
      <c r="E31" s="8080"/>
      <c r="F31" s="5595">
        <f>SUM(F29:F30)</f>
        <v>77911.95</v>
      </c>
      <c r="G31" s="8080"/>
      <c r="H31" s="5595">
        <f>SUM(H29:H30)</f>
        <v>81530.42</v>
      </c>
      <c r="I31" s="8077"/>
      <c r="J31" s="1959">
        <f t="shared" si="48"/>
        <v>159442.37</v>
      </c>
      <c r="K31" s="8080"/>
      <c r="L31" s="5710">
        <f>SUM(L29:L30)</f>
        <v>84387</v>
      </c>
      <c r="M31" s="8069"/>
      <c r="N31" s="3649">
        <f>SUM(N29:N30)</f>
        <v>243829.37</v>
      </c>
      <c r="O31" s="8080"/>
      <c r="P31" s="5847">
        <f>SUM(P29:P30)</f>
        <v>92380</v>
      </c>
      <c r="Q31" s="8077"/>
      <c r="R31" s="3648">
        <f t="shared" si="49"/>
        <v>336209.37</v>
      </c>
      <c r="S31" s="8080"/>
      <c r="T31" s="5915">
        <f>SUM(T29:T30)</f>
        <v>80234</v>
      </c>
      <c r="U31" s="8077"/>
      <c r="V31" s="4345">
        <f t="shared" si="50"/>
        <v>416443.37</v>
      </c>
      <c r="W31" s="8080"/>
      <c r="X31" s="6027">
        <f>SUM(X29:X30)</f>
        <v>76591.27</v>
      </c>
      <c r="Y31" s="8069"/>
      <c r="Z31" s="3649">
        <f>SUM(Z29:Z30)</f>
        <v>249205.27000000002</v>
      </c>
      <c r="AA31" s="8070"/>
      <c r="AB31" s="2912">
        <f>SUM(AB29:AB30)</f>
        <v>493034.64</v>
      </c>
      <c r="AC31" s="8080"/>
      <c r="AD31" s="6146">
        <f>SUM(AD29:AD30)</f>
        <v>68632.5</v>
      </c>
      <c r="AE31" s="8077"/>
      <c r="AF31" s="3648">
        <f t="shared" si="51"/>
        <v>561667.14</v>
      </c>
      <c r="AG31" s="8080"/>
      <c r="AH31" s="6308">
        <f>SUM(AH29:AH30)</f>
        <v>85308</v>
      </c>
      <c r="AI31" s="7929"/>
      <c r="AJ31" s="4645">
        <f t="shared" si="52"/>
        <v>646975.14</v>
      </c>
      <c r="AK31" s="8080"/>
      <c r="AL31" s="6570">
        <f>SUM(AL29:AL30)</f>
        <v>70900</v>
      </c>
      <c r="AM31" s="8069"/>
      <c r="AN31" s="3649">
        <f>SUM(AN29:AN30)</f>
        <v>224840.5</v>
      </c>
      <c r="AO31" s="8077"/>
      <c r="AP31" s="3648">
        <f>+AL31+AJ31</f>
        <v>717875.14</v>
      </c>
      <c r="AQ31" s="8080"/>
      <c r="AR31" s="4970">
        <f>SUM(AR29:AR30)</f>
        <v>71859.460000000006</v>
      </c>
      <c r="AS31" s="8077"/>
      <c r="AT31" s="3648">
        <f t="shared" si="53"/>
        <v>789734.6</v>
      </c>
      <c r="AU31" s="8080"/>
      <c r="AV31" s="6844">
        <f>SUM(AV29:AV30)</f>
        <v>57036.77</v>
      </c>
      <c r="AW31" s="8077"/>
      <c r="AX31" s="5038">
        <f t="shared" si="54"/>
        <v>846771.37</v>
      </c>
      <c r="AY31" s="8080"/>
      <c r="AZ31" s="6997">
        <f>SUM(AZ29:AZ30)</f>
        <v>74806.41</v>
      </c>
      <c r="BA31" s="8069"/>
      <c r="BB31" s="3649">
        <f>SUM(BB29:BB30)</f>
        <v>203702.64</v>
      </c>
      <c r="BC31" s="8070"/>
      <c r="BD31" s="2912">
        <f>SUM(BD29:BD30)</f>
        <v>428543.14</v>
      </c>
      <c r="BE31" s="7929"/>
      <c r="BF31" s="1959">
        <f t="shared" si="47"/>
        <v>921577.78</v>
      </c>
      <c r="BG31" s="4396"/>
      <c r="BH31" s="4396"/>
      <c r="BI31" s="3604"/>
      <c r="BJ31" s="3604"/>
      <c r="BK31" s="3957"/>
      <c r="BL31" s="3604"/>
      <c r="BM31" s="3957"/>
      <c r="BN31" s="3957"/>
    </row>
    <row r="32" spans="1:66" ht="15" x14ac:dyDescent="0.25">
      <c r="B32" s="1635" t="s">
        <v>162</v>
      </c>
      <c r="C32" s="58" t="s">
        <v>50</v>
      </c>
      <c r="D32" s="8091"/>
      <c r="E32" s="8080"/>
      <c r="F32" s="5596">
        <v>88688.22</v>
      </c>
      <c r="G32" s="8080"/>
      <c r="H32" s="5596">
        <v>93593.12</v>
      </c>
      <c r="I32" s="8077"/>
      <c r="J32" s="37">
        <f t="shared" si="48"/>
        <v>182281.34</v>
      </c>
      <c r="K32" s="8080"/>
      <c r="L32" s="5711">
        <v>98320</v>
      </c>
      <c r="M32" s="8069"/>
      <c r="N32" s="2885">
        <f>+L32+H32+F32</f>
        <v>280601.33999999997</v>
      </c>
      <c r="O32" s="8080"/>
      <c r="P32" s="5849">
        <v>96684</v>
      </c>
      <c r="Q32" s="8077"/>
      <c r="R32" s="2884">
        <f t="shared" si="49"/>
        <v>377285.33999999997</v>
      </c>
      <c r="S32" s="8080"/>
      <c r="T32" s="5916">
        <v>99276</v>
      </c>
      <c r="U32" s="8077"/>
      <c r="V32" s="4347">
        <f t="shared" si="50"/>
        <v>476561.33999999997</v>
      </c>
      <c r="W32" s="8080"/>
      <c r="X32" s="6028">
        <v>95618.33</v>
      </c>
      <c r="Y32" s="8069"/>
      <c r="Z32" s="2885">
        <f>+X32+T32+P32</f>
        <v>291578.33</v>
      </c>
      <c r="AA32" s="8070"/>
      <c r="AB32" s="3624">
        <f t="shared" si="44"/>
        <v>572179.66999999993</v>
      </c>
      <c r="AC32" s="8080"/>
      <c r="AD32" s="6148">
        <v>66561</v>
      </c>
      <c r="AE32" s="8077"/>
      <c r="AF32" s="2884">
        <f t="shared" si="51"/>
        <v>638740.66999999993</v>
      </c>
      <c r="AG32" s="8080"/>
      <c r="AH32" s="6310">
        <v>92702.44</v>
      </c>
      <c r="AI32" s="7929"/>
      <c r="AJ32" s="4647">
        <f t="shared" si="52"/>
        <v>731443.10999999987</v>
      </c>
      <c r="AK32" s="8080"/>
      <c r="AL32" s="6571">
        <v>97862</v>
      </c>
      <c r="AM32" s="8069"/>
      <c r="AN32" s="2885">
        <f>+AL32+AH32+AD32</f>
        <v>257125.44</v>
      </c>
      <c r="AO32" s="8077"/>
      <c r="AP32" s="2884">
        <f t="shared" si="46"/>
        <v>829305.10999999987</v>
      </c>
      <c r="AQ32" s="8080"/>
      <c r="AR32" s="4971">
        <v>92891.32</v>
      </c>
      <c r="AS32" s="8077"/>
      <c r="AT32" s="2884">
        <f t="shared" si="53"/>
        <v>922196.42999999993</v>
      </c>
      <c r="AU32" s="8080"/>
      <c r="AV32" s="6845">
        <v>78443.02</v>
      </c>
      <c r="AW32" s="8077"/>
      <c r="AX32" s="5040">
        <f t="shared" si="54"/>
        <v>1000639.45</v>
      </c>
      <c r="AY32" s="8080"/>
      <c r="AZ32" s="6998">
        <v>101786.5</v>
      </c>
      <c r="BA32" s="8069"/>
      <c r="BB32" s="2885">
        <f>+AZ32+AV32+AR32</f>
        <v>273120.84000000003</v>
      </c>
      <c r="BC32" s="8070"/>
      <c r="BD32" s="2925">
        <f t="shared" si="45"/>
        <v>530246.28</v>
      </c>
      <c r="BE32" s="7929"/>
      <c r="BF32" s="37">
        <f t="shared" si="47"/>
        <v>1102425.95</v>
      </c>
      <c r="BG32" s="4396"/>
      <c r="BH32" s="4396"/>
      <c r="BI32" s="3604"/>
      <c r="BJ32" s="3604"/>
      <c r="BK32" s="3957"/>
      <c r="BL32" s="3604"/>
      <c r="BM32" s="3957"/>
      <c r="BN32" s="3957"/>
    </row>
    <row r="33" spans="1:66" ht="15.75" thickBot="1" x14ac:dyDescent="0.3">
      <c r="B33" s="3661" t="s">
        <v>1621</v>
      </c>
      <c r="C33" s="3284" t="s">
        <v>50</v>
      </c>
      <c r="D33" s="8091"/>
      <c r="E33" s="8080"/>
      <c r="F33" s="5596">
        <v>145</v>
      </c>
      <c r="G33" s="8080"/>
      <c r="H33" s="5596">
        <v>76</v>
      </c>
      <c r="I33" s="8077"/>
      <c r="J33" s="37">
        <f t="shared" si="48"/>
        <v>221</v>
      </c>
      <c r="K33" s="8080"/>
      <c r="L33" s="5711">
        <v>28</v>
      </c>
      <c r="M33" s="8069"/>
      <c r="N33" s="2885">
        <f>+L33+H33+F33</f>
        <v>249</v>
      </c>
      <c r="O33" s="8080"/>
      <c r="P33" s="5849">
        <v>13</v>
      </c>
      <c r="Q33" s="8077"/>
      <c r="R33" s="2884">
        <f t="shared" si="49"/>
        <v>262</v>
      </c>
      <c r="S33" s="8080"/>
      <c r="T33" s="5916">
        <v>33</v>
      </c>
      <c r="U33" s="8077"/>
      <c r="V33" s="4347">
        <f t="shared" si="50"/>
        <v>295</v>
      </c>
      <c r="W33" s="8080"/>
      <c r="X33" s="6028">
        <v>130</v>
      </c>
      <c r="Y33" s="8069"/>
      <c r="Z33" s="2885">
        <f>+X33+T33+P33</f>
        <v>176</v>
      </c>
      <c r="AA33" s="8070"/>
      <c r="AB33" s="3624">
        <f t="shared" si="44"/>
        <v>425</v>
      </c>
      <c r="AC33" s="8080"/>
      <c r="AD33" s="6148">
        <v>47.5</v>
      </c>
      <c r="AE33" s="8077"/>
      <c r="AF33" s="2884">
        <f t="shared" si="51"/>
        <v>472.5</v>
      </c>
      <c r="AG33" s="8080"/>
      <c r="AH33" s="6310">
        <v>0</v>
      </c>
      <c r="AI33" s="7929"/>
      <c r="AJ33" s="4647">
        <f t="shared" si="52"/>
        <v>472.5</v>
      </c>
      <c r="AK33" s="8080"/>
      <c r="AL33" s="6571">
        <v>19</v>
      </c>
      <c r="AM33" s="8069"/>
      <c r="AN33" s="2885">
        <f>+AL33+AH33+AD33</f>
        <v>66.5</v>
      </c>
      <c r="AO33" s="8077"/>
      <c r="AP33" s="2884">
        <f t="shared" si="46"/>
        <v>491.5</v>
      </c>
      <c r="AQ33" s="8080"/>
      <c r="AR33" s="4971">
        <v>183.5</v>
      </c>
      <c r="AS33" s="8077"/>
      <c r="AT33" s="2884">
        <f t="shared" si="53"/>
        <v>675</v>
      </c>
      <c r="AU33" s="8080"/>
      <c r="AV33" s="6845">
        <v>128</v>
      </c>
      <c r="AW33" s="8077"/>
      <c r="AX33" s="5040">
        <f t="shared" si="54"/>
        <v>803</v>
      </c>
      <c r="AY33" s="8080"/>
      <c r="AZ33" s="6998">
        <v>52</v>
      </c>
      <c r="BA33" s="8069"/>
      <c r="BB33" s="2885">
        <f>+AZ33+AV33+AR33</f>
        <v>363.5</v>
      </c>
      <c r="BC33" s="8070"/>
      <c r="BD33" s="2925">
        <f t="shared" si="45"/>
        <v>430</v>
      </c>
      <c r="BE33" s="7929"/>
      <c r="BF33" s="37">
        <f t="shared" si="47"/>
        <v>855</v>
      </c>
      <c r="BG33" s="4396"/>
      <c r="BH33" s="4396"/>
      <c r="BI33" s="3604"/>
      <c r="BJ33" s="3604"/>
      <c r="BK33" s="3957"/>
      <c r="BL33" s="3604"/>
      <c r="BM33" s="3957"/>
      <c r="BN33" s="3957"/>
    </row>
    <row r="34" spans="1:66" ht="15.75" thickBot="1" x14ac:dyDescent="0.3">
      <c r="B34" s="3662" t="s">
        <v>163</v>
      </c>
      <c r="C34" s="3626" t="s">
        <v>50</v>
      </c>
      <c r="D34" s="8091"/>
      <c r="E34" s="8080"/>
      <c r="F34" s="5595">
        <f>SUM(F32:F33)</f>
        <v>88833.22</v>
      </c>
      <c r="G34" s="8080"/>
      <c r="H34" s="5595">
        <f>SUM(H32:H33)</f>
        <v>93669.119999999995</v>
      </c>
      <c r="I34" s="8077"/>
      <c r="J34" s="1959">
        <f t="shared" si="48"/>
        <v>182502.34</v>
      </c>
      <c r="K34" s="8080"/>
      <c r="L34" s="5710">
        <f>SUM(L32:L33)</f>
        <v>98348</v>
      </c>
      <c r="M34" s="8069"/>
      <c r="N34" s="3649">
        <f>SUM(N32:N33)</f>
        <v>280850.33999999997</v>
      </c>
      <c r="O34" s="8080"/>
      <c r="P34" s="5847">
        <f>SUM(P32:P33)</f>
        <v>96697</v>
      </c>
      <c r="Q34" s="8077"/>
      <c r="R34" s="3648">
        <f t="shared" si="49"/>
        <v>377547.33999999997</v>
      </c>
      <c r="S34" s="8080"/>
      <c r="T34" s="5915">
        <f>SUM(T32:T33)</f>
        <v>99309</v>
      </c>
      <c r="U34" s="8077"/>
      <c r="V34" s="4345">
        <f t="shared" si="50"/>
        <v>476856.33999999997</v>
      </c>
      <c r="W34" s="8080"/>
      <c r="X34" s="6027">
        <f>SUM(X32:X33)</f>
        <v>95748.33</v>
      </c>
      <c r="Y34" s="8069"/>
      <c r="Z34" s="3649">
        <f>SUM(Z32:Z33)</f>
        <v>291754.33</v>
      </c>
      <c r="AA34" s="8070"/>
      <c r="AB34" s="2912">
        <f>SUM(AB32:AB33)</f>
        <v>572604.66999999993</v>
      </c>
      <c r="AC34" s="8080"/>
      <c r="AD34" s="6146">
        <f>SUM(AD32:AD33)</f>
        <v>66608.5</v>
      </c>
      <c r="AE34" s="8077"/>
      <c r="AF34" s="3648">
        <f t="shared" si="51"/>
        <v>639213.16999999993</v>
      </c>
      <c r="AG34" s="8080"/>
      <c r="AH34" s="6308">
        <f>SUM(AH32:AH33)</f>
        <v>92702.44</v>
      </c>
      <c r="AI34" s="7929"/>
      <c r="AJ34" s="4645">
        <f t="shared" si="52"/>
        <v>731915.60999999987</v>
      </c>
      <c r="AK34" s="8080"/>
      <c r="AL34" s="6570">
        <f>SUM(AL32:AL33)</f>
        <v>97881</v>
      </c>
      <c r="AM34" s="8069"/>
      <c r="AN34" s="3649">
        <f>SUM(AN32:AN33)</f>
        <v>257191.94</v>
      </c>
      <c r="AO34" s="8077"/>
      <c r="AP34" s="3648">
        <f>+AL34+AJ34</f>
        <v>829796.60999999987</v>
      </c>
      <c r="AQ34" s="8080"/>
      <c r="AR34" s="4970">
        <f>SUM(AR32:AR33)</f>
        <v>93074.82</v>
      </c>
      <c r="AS34" s="8077"/>
      <c r="AT34" s="3648">
        <f t="shared" si="53"/>
        <v>922871.42999999993</v>
      </c>
      <c r="AU34" s="8080"/>
      <c r="AV34" s="6844">
        <f>SUM(AV32:AV33)</f>
        <v>78571.02</v>
      </c>
      <c r="AW34" s="8077"/>
      <c r="AX34" s="5038">
        <f t="shared" si="54"/>
        <v>1001442.45</v>
      </c>
      <c r="AY34" s="8080"/>
      <c r="AZ34" s="6997">
        <f>SUM(AZ32:AZ33)</f>
        <v>101838.5</v>
      </c>
      <c r="BA34" s="8069"/>
      <c r="BB34" s="3649">
        <f>SUM(BB32:BB33)</f>
        <v>273484.34000000003</v>
      </c>
      <c r="BC34" s="8070"/>
      <c r="BD34" s="2912">
        <f>SUM(BD32:BD33)</f>
        <v>530676.28</v>
      </c>
      <c r="BE34" s="7929"/>
      <c r="BF34" s="1959">
        <f t="shared" si="47"/>
        <v>1103280.95</v>
      </c>
      <c r="BG34" s="4396"/>
      <c r="BH34" s="4396"/>
      <c r="BI34" s="3604"/>
      <c r="BJ34" s="3604"/>
      <c r="BK34" s="3957"/>
      <c r="BL34" s="3604"/>
      <c r="BM34" s="3957"/>
      <c r="BN34" s="3957"/>
    </row>
    <row r="35" spans="1:66" ht="15" x14ac:dyDescent="0.25">
      <c r="B35" s="3663" t="s">
        <v>431</v>
      </c>
      <c r="C35" s="2261" t="s">
        <v>50</v>
      </c>
      <c r="D35" s="8091"/>
      <c r="E35" s="8080"/>
      <c r="F35" s="5595">
        <f>+F29+F32</f>
        <v>166455.16999999998</v>
      </c>
      <c r="G35" s="8080"/>
      <c r="H35" s="5595">
        <f>+H29+H32</f>
        <v>175045.53999999998</v>
      </c>
      <c r="I35" s="8077"/>
      <c r="J35" s="1959">
        <f t="shared" si="48"/>
        <v>341500.70999999996</v>
      </c>
      <c r="K35" s="8080"/>
      <c r="L35" s="5710">
        <f>+L29+L32</f>
        <v>182679</v>
      </c>
      <c r="M35" s="8069"/>
      <c r="N35" s="3649">
        <f>+N29+N32</f>
        <v>524179.70999999996</v>
      </c>
      <c r="O35" s="8080"/>
      <c r="P35" s="5847">
        <f>+P29+P32</f>
        <v>189051</v>
      </c>
      <c r="Q35" s="8077"/>
      <c r="R35" s="3648">
        <f t="shared" si="49"/>
        <v>713230.71</v>
      </c>
      <c r="S35" s="8080"/>
      <c r="T35" s="5915">
        <f>+T29+T32</f>
        <v>179477</v>
      </c>
      <c r="U35" s="8077"/>
      <c r="V35" s="4345">
        <f t="shared" si="50"/>
        <v>892707.71</v>
      </c>
      <c r="W35" s="8080"/>
      <c r="X35" s="6027">
        <f>+X29+X32</f>
        <v>172079.6</v>
      </c>
      <c r="Y35" s="8069"/>
      <c r="Z35" s="3649">
        <f>+Z29+Z32</f>
        <v>540607.60000000009</v>
      </c>
      <c r="AA35" s="8070"/>
      <c r="AB35" s="2912">
        <f>+AB29+AB32</f>
        <v>1064787.31</v>
      </c>
      <c r="AC35" s="8080"/>
      <c r="AD35" s="6146">
        <f>+AD29+AD32</f>
        <v>135146</v>
      </c>
      <c r="AE35" s="8077"/>
      <c r="AF35" s="3648">
        <f t="shared" si="51"/>
        <v>1199933.31</v>
      </c>
      <c r="AG35" s="8080"/>
      <c r="AH35" s="6308">
        <f>+AH29+AH32</f>
        <v>178010.44</v>
      </c>
      <c r="AI35" s="7929"/>
      <c r="AJ35" s="4645">
        <f t="shared" si="52"/>
        <v>1377943.75</v>
      </c>
      <c r="AK35" s="8080"/>
      <c r="AL35" s="6570">
        <f>+AL29+AL32</f>
        <v>168743</v>
      </c>
      <c r="AM35" s="8069"/>
      <c r="AN35" s="3649">
        <f>+AN29+AN32</f>
        <v>481899.44</v>
      </c>
      <c r="AO35" s="8077"/>
      <c r="AP35" s="3648">
        <f t="shared" ref="AP35:AP49" si="55">+AL35+AJ35</f>
        <v>1546686.75</v>
      </c>
      <c r="AQ35" s="8080"/>
      <c r="AR35" s="4970">
        <f>+AR29+AR32</f>
        <v>164567.28000000003</v>
      </c>
      <c r="AS35" s="8077"/>
      <c r="AT35" s="3648">
        <f t="shared" si="53"/>
        <v>1711254.03</v>
      </c>
      <c r="AU35" s="8080"/>
      <c r="AV35" s="6844">
        <f>+AV29+AV32</f>
        <v>135351.79</v>
      </c>
      <c r="AW35" s="8077"/>
      <c r="AX35" s="5038">
        <f t="shared" si="54"/>
        <v>1846605.82</v>
      </c>
      <c r="AY35" s="8080"/>
      <c r="AZ35" s="6997">
        <f>+AZ29+AZ32</f>
        <v>176540.91</v>
      </c>
      <c r="BA35" s="8069"/>
      <c r="BB35" s="3649">
        <f>+BB29+BB32</f>
        <v>476459.98000000004</v>
      </c>
      <c r="BC35" s="8070"/>
      <c r="BD35" s="2912">
        <f>+BD29+BD32</f>
        <v>958359.42</v>
      </c>
      <c r="BE35" s="7929"/>
      <c r="BF35" s="1959">
        <f t="shared" si="47"/>
        <v>2023146.73</v>
      </c>
      <c r="BG35" s="4396"/>
      <c r="BH35" s="4396"/>
      <c r="BI35" s="3604"/>
      <c r="BJ35" s="3604"/>
      <c r="BK35" s="3957"/>
      <c r="BL35" s="3604"/>
      <c r="BM35" s="3957"/>
      <c r="BN35" s="3957"/>
    </row>
    <row r="36" spans="1:66" ht="15.75" thickBot="1" x14ac:dyDescent="0.3">
      <c r="B36" s="3664" t="s">
        <v>1622</v>
      </c>
      <c r="C36" s="3665" t="s">
        <v>50</v>
      </c>
      <c r="D36" s="8091"/>
      <c r="E36" s="8080"/>
      <c r="F36" s="3666">
        <f>+F30+F33</f>
        <v>290</v>
      </c>
      <c r="G36" s="8080"/>
      <c r="H36" s="3666">
        <f>+H30+H33</f>
        <v>154</v>
      </c>
      <c r="I36" s="8077"/>
      <c r="J36" s="1959">
        <f t="shared" si="48"/>
        <v>444</v>
      </c>
      <c r="K36" s="8080"/>
      <c r="L36" s="3666">
        <f>+L30+L33</f>
        <v>56</v>
      </c>
      <c r="M36" s="8069"/>
      <c r="N36" s="3649">
        <f>+N30+N33</f>
        <v>500</v>
      </c>
      <c r="O36" s="8080"/>
      <c r="P36" s="3666">
        <f>+P30+P33</f>
        <v>26</v>
      </c>
      <c r="Q36" s="8077"/>
      <c r="R36" s="3648">
        <f t="shared" si="49"/>
        <v>526</v>
      </c>
      <c r="S36" s="8080"/>
      <c r="T36" s="3666">
        <f>+T30+T33</f>
        <v>66</v>
      </c>
      <c r="U36" s="8077"/>
      <c r="V36" s="4345">
        <f t="shared" si="50"/>
        <v>592</v>
      </c>
      <c r="W36" s="8080"/>
      <c r="X36" s="3666">
        <f>+X30+X33</f>
        <v>260</v>
      </c>
      <c r="Y36" s="8069"/>
      <c r="Z36" s="3649">
        <f>+Z30+Z33</f>
        <v>352</v>
      </c>
      <c r="AA36" s="8070"/>
      <c r="AB36" s="2912">
        <f>+AB30+AB33</f>
        <v>852</v>
      </c>
      <c r="AC36" s="8080"/>
      <c r="AD36" s="3666">
        <f>+AD30+AD33</f>
        <v>95</v>
      </c>
      <c r="AE36" s="8077"/>
      <c r="AF36" s="3648">
        <f t="shared" si="51"/>
        <v>947</v>
      </c>
      <c r="AG36" s="8080"/>
      <c r="AH36" s="3666">
        <f>+AH30+AH33</f>
        <v>0</v>
      </c>
      <c r="AI36" s="7929"/>
      <c r="AJ36" s="4645">
        <f t="shared" si="52"/>
        <v>947</v>
      </c>
      <c r="AK36" s="8080"/>
      <c r="AL36" s="3666">
        <f>+AL30+AL33</f>
        <v>38</v>
      </c>
      <c r="AM36" s="8069"/>
      <c r="AN36" s="3649">
        <f>+AN30+AN33</f>
        <v>133</v>
      </c>
      <c r="AO36" s="8077"/>
      <c r="AP36" s="3648">
        <f t="shared" si="55"/>
        <v>985</v>
      </c>
      <c r="AQ36" s="8080"/>
      <c r="AR36" s="4970">
        <f>+AR30+AR33</f>
        <v>367</v>
      </c>
      <c r="AS36" s="8077"/>
      <c r="AT36" s="3648">
        <f t="shared" si="53"/>
        <v>1352</v>
      </c>
      <c r="AU36" s="8080"/>
      <c r="AV36" s="6844">
        <f>+AV30+AV33</f>
        <v>256</v>
      </c>
      <c r="AW36" s="8077"/>
      <c r="AX36" s="5038">
        <f t="shared" si="54"/>
        <v>1608</v>
      </c>
      <c r="AY36" s="8080"/>
      <c r="AZ36" s="6997">
        <f>+AZ30+AZ33</f>
        <v>104</v>
      </c>
      <c r="BA36" s="8069"/>
      <c r="BB36" s="3649">
        <f>+BB30+BB33</f>
        <v>727</v>
      </c>
      <c r="BC36" s="8070"/>
      <c r="BD36" s="2912">
        <f>+BD30+BD33</f>
        <v>860</v>
      </c>
      <c r="BE36" s="7929"/>
      <c r="BF36" s="1959">
        <f t="shared" si="47"/>
        <v>1712</v>
      </c>
      <c r="BG36" s="4396"/>
      <c r="BH36" s="4396"/>
      <c r="BI36" s="3604"/>
      <c r="BJ36" s="3604"/>
      <c r="BK36" s="3957"/>
      <c r="BL36" s="3604"/>
      <c r="BM36" s="3957"/>
      <c r="BN36" s="3957"/>
    </row>
    <row r="37" spans="1:66" ht="15" x14ac:dyDescent="0.25">
      <c r="B37" s="3667" t="s">
        <v>430</v>
      </c>
      <c r="C37" s="3668" t="s">
        <v>50</v>
      </c>
      <c r="D37" s="8092"/>
      <c r="E37" s="8043"/>
      <c r="F37" s="5595">
        <f>+F31+F34</f>
        <v>166745.16999999998</v>
      </c>
      <c r="G37" s="8043"/>
      <c r="H37" s="5595">
        <f>+H31+H34</f>
        <v>175199.53999999998</v>
      </c>
      <c r="I37" s="8077"/>
      <c r="J37" s="1959">
        <f t="shared" si="48"/>
        <v>341944.70999999996</v>
      </c>
      <c r="K37" s="8043"/>
      <c r="L37" s="5710">
        <f>+L31+L34</f>
        <v>182735</v>
      </c>
      <c r="M37" s="8069"/>
      <c r="N37" s="3649">
        <f>+N31+N34</f>
        <v>524679.71</v>
      </c>
      <c r="O37" s="8043"/>
      <c r="P37" s="5847">
        <f>+P31+P34</f>
        <v>189077</v>
      </c>
      <c r="Q37" s="8077"/>
      <c r="R37" s="3648">
        <f t="shared" si="49"/>
        <v>713756.71</v>
      </c>
      <c r="S37" s="8043"/>
      <c r="T37" s="5915">
        <f>+T31+T34</f>
        <v>179543</v>
      </c>
      <c r="U37" s="8077"/>
      <c r="V37" s="4345">
        <f t="shared" si="50"/>
        <v>893299.71</v>
      </c>
      <c r="W37" s="8043"/>
      <c r="X37" s="6027">
        <f>+X31+X34</f>
        <v>172339.6</v>
      </c>
      <c r="Y37" s="8069"/>
      <c r="Z37" s="3649">
        <f>+Z31+Z34</f>
        <v>540959.60000000009</v>
      </c>
      <c r="AA37" s="8070"/>
      <c r="AB37" s="2912">
        <f>+AB31+AB34</f>
        <v>1065639.31</v>
      </c>
      <c r="AC37" s="8043"/>
      <c r="AD37" s="6146">
        <f>+AD31+AD34</f>
        <v>135241</v>
      </c>
      <c r="AE37" s="8077"/>
      <c r="AF37" s="3648">
        <f t="shared" si="51"/>
        <v>1200880.31</v>
      </c>
      <c r="AG37" s="8043"/>
      <c r="AH37" s="6308">
        <f>+AH31+AH34</f>
        <v>178010.44</v>
      </c>
      <c r="AI37" s="7930"/>
      <c r="AJ37" s="4645">
        <f t="shared" si="52"/>
        <v>1378890.75</v>
      </c>
      <c r="AK37" s="8043"/>
      <c r="AL37" s="6570">
        <f>+AL31+AL34</f>
        <v>168781</v>
      </c>
      <c r="AM37" s="8069"/>
      <c r="AN37" s="3649">
        <f>+AN31+AN34</f>
        <v>482032.44</v>
      </c>
      <c r="AO37" s="8077"/>
      <c r="AP37" s="3648">
        <f t="shared" si="55"/>
        <v>1547671.75</v>
      </c>
      <c r="AQ37" s="8043"/>
      <c r="AR37" s="4970">
        <f>+AR31+AR34</f>
        <v>164934.28000000003</v>
      </c>
      <c r="AS37" s="8077"/>
      <c r="AT37" s="3648">
        <f t="shared" si="53"/>
        <v>1712606.03</v>
      </c>
      <c r="AU37" s="8043"/>
      <c r="AV37" s="6844">
        <f>+AV31+AV34</f>
        <v>135607.79</v>
      </c>
      <c r="AW37" s="8077"/>
      <c r="AX37" s="5038">
        <f t="shared" si="54"/>
        <v>1848213.82</v>
      </c>
      <c r="AY37" s="8043"/>
      <c r="AZ37" s="6997">
        <f>+AZ31+AZ34</f>
        <v>176644.91</v>
      </c>
      <c r="BA37" s="8069"/>
      <c r="BB37" s="3649">
        <f>+BB31+BB34</f>
        <v>477186.98000000004</v>
      </c>
      <c r="BC37" s="8070"/>
      <c r="BD37" s="2912">
        <f>+BD31+BD34</f>
        <v>959219.42</v>
      </c>
      <c r="BE37" s="7930"/>
      <c r="BF37" s="1959">
        <f t="shared" si="47"/>
        <v>2024858.73</v>
      </c>
      <c r="BG37" s="4396"/>
      <c r="BH37" s="4396"/>
      <c r="BI37" s="3604"/>
      <c r="BJ37" s="3604"/>
      <c r="BK37" s="3957"/>
      <c r="BL37" s="3604"/>
      <c r="BM37" s="3957"/>
      <c r="BN37" s="3957"/>
    </row>
    <row r="38" spans="1:66" ht="15" x14ac:dyDescent="0.25">
      <c r="B38" s="1842" t="s">
        <v>490</v>
      </c>
      <c r="C38" s="3180" t="s">
        <v>50</v>
      </c>
      <c r="D38" s="7711">
        <v>897098.03336358804</v>
      </c>
      <c r="E38" s="8083">
        <v>59103.175776253302</v>
      </c>
      <c r="F38" s="2945"/>
      <c r="G38" s="8083">
        <v>68601.583113456494</v>
      </c>
      <c r="H38" s="5596">
        <v>4718.04</v>
      </c>
      <c r="I38" s="8077">
        <f>+E38+G38</f>
        <v>127704.7588897098</v>
      </c>
      <c r="J38" s="37">
        <f t="shared" si="48"/>
        <v>4718.04</v>
      </c>
      <c r="K38" s="8083">
        <v>65963.060686015902</v>
      </c>
      <c r="L38" s="5711">
        <v>0</v>
      </c>
      <c r="M38" s="8069">
        <f>+K38+G38+E38</f>
        <v>193667.81957572571</v>
      </c>
      <c r="N38" s="2885">
        <f>+L38+H38+F38</f>
        <v>4718.04</v>
      </c>
      <c r="O38" s="8083">
        <v>68601.583113456407</v>
      </c>
      <c r="P38" s="5849">
        <v>0</v>
      </c>
      <c r="Q38" s="8077">
        <f>+M38+O38</f>
        <v>262269.40268918208</v>
      </c>
      <c r="R38" s="2884">
        <f t="shared" si="49"/>
        <v>4718.04</v>
      </c>
      <c r="S38" s="8083">
        <v>68601.583113456407</v>
      </c>
      <c r="T38" s="5916">
        <v>9565.49</v>
      </c>
      <c r="U38" s="8084">
        <f>+Q38+S38</f>
        <v>330870.98580263846</v>
      </c>
      <c r="V38" s="4347">
        <f t="shared" si="50"/>
        <v>14283.529999999999</v>
      </c>
      <c r="W38" s="8083">
        <v>35356.200527704597</v>
      </c>
      <c r="X38" s="6028">
        <v>0</v>
      </c>
      <c r="Y38" s="8069">
        <f>+W38+S38+O38</f>
        <v>172559.36675461743</v>
      </c>
      <c r="Z38" s="2885">
        <f t="shared" ref="Z38:Z45" si="56">+X38+T38+P38</f>
        <v>9565.49</v>
      </c>
      <c r="AA38" s="8070">
        <f>+Y38+M38</f>
        <v>366227.18633034313</v>
      </c>
      <c r="AB38" s="2925">
        <f t="shared" ref="AB38:AB45" si="57">+Z38+N38</f>
        <v>14283.529999999999</v>
      </c>
      <c r="AC38" s="8083">
        <v>70712.399999999994</v>
      </c>
      <c r="AD38" s="6148">
        <v>14823.38</v>
      </c>
      <c r="AE38" s="8077">
        <f>+AA38+AC38</f>
        <v>436939.58633034315</v>
      </c>
      <c r="AF38" s="2884">
        <f t="shared" si="51"/>
        <v>29106.909999999996</v>
      </c>
      <c r="AG38" s="8083">
        <v>68601.583113456494</v>
      </c>
      <c r="AH38" s="6310"/>
      <c r="AI38" s="8064">
        <f>+AE38+AG38</f>
        <v>505541.16944379965</v>
      </c>
      <c r="AJ38" s="4647">
        <f t="shared" si="52"/>
        <v>29106.909999999996</v>
      </c>
      <c r="AK38" s="8083">
        <v>71240.105540897101</v>
      </c>
      <c r="AL38" s="6571"/>
      <c r="AM38" s="8069">
        <f>+AK38+AG38+AC38</f>
        <v>210554.0886543536</v>
      </c>
      <c r="AN38" s="2885">
        <f t="shared" ref="AN38:AN45" si="58">+AL38+AH38+AD38</f>
        <v>14823.38</v>
      </c>
      <c r="AO38" s="8077">
        <f>+AK38+AI38</f>
        <v>576781.27498469676</v>
      </c>
      <c r="AP38" s="2884">
        <f t="shared" si="55"/>
        <v>29106.909999999996</v>
      </c>
      <c r="AQ38" s="8042">
        <v>71767.810026385181</v>
      </c>
      <c r="AR38" s="4971">
        <v>11159.83</v>
      </c>
      <c r="AS38" s="8077">
        <f>+AO38+AQ38</f>
        <v>648549.085011082</v>
      </c>
      <c r="AT38" s="2884">
        <f t="shared" si="53"/>
        <v>40266.74</v>
      </c>
      <c r="AU38" s="8042">
        <v>64379.947229551442</v>
      </c>
      <c r="AV38" s="6845">
        <v>8522.07</v>
      </c>
      <c r="AW38" s="8077">
        <f>+AS38+AU38</f>
        <v>712929.03224063339</v>
      </c>
      <c r="AX38" s="5040">
        <f t="shared" si="54"/>
        <v>48788.81</v>
      </c>
      <c r="AY38" s="8042">
        <v>72295.514511873334</v>
      </c>
      <c r="AZ38" s="6998">
        <v>6952.48</v>
      </c>
      <c r="BA38" s="8069">
        <f>+AY38+AU38+AQ38</f>
        <v>208443.27176780996</v>
      </c>
      <c r="BB38" s="2885">
        <f t="shared" ref="BB38:BB45" si="59">+AZ38+AV38+AR38</f>
        <v>26634.379999999997</v>
      </c>
      <c r="BC38" s="8070">
        <f>+BA38+AM38</f>
        <v>418997.36042216356</v>
      </c>
      <c r="BD38" s="2925">
        <f t="shared" ref="BD38:BD45" si="60">+BB38+AN38</f>
        <v>41457.759999999995</v>
      </c>
      <c r="BE38" s="8064">
        <f>+AW38+AY38</f>
        <v>785224.54675250675</v>
      </c>
      <c r="BF38" s="37">
        <f t="shared" si="47"/>
        <v>55741.289999999994</v>
      </c>
      <c r="BG38" s="4396"/>
      <c r="BH38" s="4396"/>
      <c r="BI38" s="3604"/>
      <c r="BJ38" s="3604"/>
      <c r="BK38" s="3957"/>
      <c r="BL38" s="3604"/>
      <c r="BM38" s="3957"/>
      <c r="BN38" s="3957"/>
    </row>
    <row r="39" spans="1:66" ht="15" x14ac:dyDescent="0.25">
      <c r="B39" s="1842" t="s">
        <v>1151</v>
      </c>
      <c r="C39" s="3180" t="s">
        <v>50</v>
      </c>
      <c r="D39" s="7711"/>
      <c r="E39" s="8083"/>
      <c r="F39" s="2945"/>
      <c r="G39" s="8083"/>
      <c r="H39" s="5596">
        <v>4240.2</v>
      </c>
      <c r="I39" s="8077"/>
      <c r="J39" s="37">
        <f t="shared" si="48"/>
        <v>4240.2</v>
      </c>
      <c r="K39" s="8083"/>
      <c r="L39" s="5711">
        <v>5410.51</v>
      </c>
      <c r="M39" s="8069"/>
      <c r="N39" s="2885">
        <f t="shared" ref="N39:N45" si="61">+L39+H39+F39</f>
        <v>9650.7099999999991</v>
      </c>
      <c r="O39" s="8083"/>
      <c r="P39" s="5849">
        <v>5924.69</v>
      </c>
      <c r="Q39" s="8077"/>
      <c r="R39" s="2884">
        <f t="shared" si="49"/>
        <v>15575.399999999998</v>
      </c>
      <c r="S39" s="8083"/>
      <c r="T39" s="5916">
        <v>4826.59</v>
      </c>
      <c r="U39" s="8085"/>
      <c r="V39" s="4347">
        <f t="shared" si="50"/>
        <v>20401.989999999998</v>
      </c>
      <c r="W39" s="8083"/>
      <c r="X39" s="6028">
        <v>6252.37</v>
      </c>
      <c r="Y39" s="8069"/>
      <c r="Z39" s="2885">
        <f t="shared" si="56"/>
        <v>17003.649999999998</v>
      </c>
      <c r="AA39" s="8070"/>
      <c r="AB39" s="2925">
        <f t="shared" si="57"/>
        <v>26654.359999999997</v>
      </c>
      <c r="AC39" s="8083"/>
      <c r="AD39" s="6148">
        <v>0</v>
      </c>
      <c r="AE39" s="8077"/>
      <c r="AF39" s="2884">
        <f t="shared" si="51"/>
        <v>26654.359999999997</v>
      </c>
      <c r="AG39" s="8083"/>
      <c r="AH39" s="6310">
        <v>5072.0200000000004</v>
      </c>
      <c r="AI39" s="7929"/>
      <c r="AJ39" s="4647">
        <f t="shared" si="52"/>
        <v>31726.379999999997</v>
      </c>
      <c r="AK39" s="8083"/>
      <c r="AL39" s="6571"/>
      <c r="AM39" s="8069"/>
      <c r="AN39" s="2885">
        <f t="shared" si="58"/>
        <v>5072.0200000000004</v>
      </c>
      <c r="AO39" s="8077"/>
      <c r="AP39" s="2884">
        <f t="shared" si="55"/>
        <v>31726.379999999997</v>
      </c>
      <c r="AQ39" s="8080"/>
      <c r="AR39" s="4971">
        <v>0</v>
      </c>
      <c r="AS39" s="8077"/>
      <c r="AT39" s="2884">
        <f t="shared" si="53"/>
        <v>31726.379999999997</v>
      </c>
      <c r="AU39" s="8080"/>
      <c r="AV39" s="6845">
        <v>0</v>
      </c>
      <c r="AW39" s="8077"/>
      <c r="AX39" s="5040">
        <f t="shared" si="54"/>
        <v>31726.379999999997</v>
      </c>
      <c r="AY39" s="8080"/>
      <c r="AZ39" s="6998">
        <v>0</v>
      </c>
      <c r="BA39" s="8069"/>
      <c r="BB39" s="2885">
        <f t="shared" si="59"/>
        <v>0</v>
      </c>
      <c r="BC39" s="8070"/>
      <c r="BD39" s="2925">
        <f t="shared" si="60"/>
        <v>5072.0200000000004</v>
      </c>
      <c r="BE39" s="7929"/>
      <c r="BF39" s="37">
        <f t="shared" si="47"/>
        <v>31726.379999999997</v>
      </c>
      <c r="BG39" s="4396"/>
      <c r="BH39" s="4396"/>
      <c r="BI39" s="3604"/>
      <c r="BJ39" s="3604"/>
      <c r="BK39" s="3957"/>
      <c r="BL39" s="3604"/>
      <c r="BM39" s="3957"/>
      <c r="BN39" s="3957"/>
    </row>
    <row r="40" spans="1:66" ht="15" x14ac:dyDescent="0.25">
      <c r="B40" s="1842" t="s">
        <v>1152</v>
      </c>
      <c r="C40" s="3180" t="s">
        <v>50</v>
      </c>
      <c r="D40" s="7711"/>
      <c r="E40" s="8083"/>
      <c r="F40" s="2945">
        <v>47373.39</v>
      </c>
      <c r="G40" s="8083"/>
      <c r="H40" s="5596">
        <v>40263.629999999997</v>
      </c>
      <c r="I40" s="8077"/>
      <c r="J40" s="37">
        <f t="shared" si="48"/>
        <v>87637.01999999999</v>
      </c>
      <c r="K40" s="8083"/>
      <c r="L40" s="5711">
        <v>50304.05</v>
      </c>
      <c r="M40" s="8069"/>
      <c r="N40" s="2885">
        <f t="shared" si="61"/>
        <v>137941.07</v>
      </c>
      <c r="O40" s="8083"/>
      <c r="P40" s="5849">
        <v>48455.39</v>
      </c>
      <c r="Q40" s="8077"/>
      <c r="R40" s="2884">
        <f t="shared" si="49"/>
        <v>186396.46000000002</v>
      </c>
      <c r="S40" s="8083"/>
      <c r="T40" s="5916">
        <v>38287.4</v>
      </c>
      <c r="U40" s="8085"/>
      <c r="V40" s="4347">
        <f t="shared" si="50"/>
        <v>224683.86000000002</v>
      </c>
      <c r="W40" s="8083"/>
      <c r="X40" s="6028">
        <v>38145.660000000003</v>
      </c>
      <c r="Y40" s="8069"/>
      <c r="Z40" s="2885">
        <f t="shared" si="56"/>
        <v>124888.45</v>
      </c>
      <c r="AA40" s="8070"/>
      <c r="AB40" s="2925">
        <f t="shared" si="57"/>
        <v>262829.52</v>
      </c>
      <c r="AC40" s="8083"/>
      <c r="AD40" s="6148">
        <v>29076.93</v>
      </c>
      <c r="AE40" s="8077"/>
      <c r="AF40" s="2884">
        <f t="shared" si="51"/>
        <v>291906.45</v>
      </c>
      <c r="AG40" s="8083"/>
      <c r="AH40" s="6310">
        <v>40044.449999999997</v>
      </c>
      <c r="AI40" s="7929"/>
      <c r="AJ40" s="4647">
        <f t="shared" si="52"/>
        <v>331950.90000000002</v>
      </c>
      <c r="AK40" s="8083"/>
      <c r="AL40" s="6571">
        <v>56432.95</v>
      </c>
      <c r="AM40" s="8069"/>
      <c r="AN40" s="2885">
        <f t="shared" si="58"/>
        <v>125554.32999999999</v>
      </c>
      <c r="AO40" s="8077"/>
      <c r="AP40" s="2884">
        <f t="shared" si="55"/>
        <v>388383.85000000003</v>
      </c>
      <c r="AQ40" s="8080"/>
      <c r="AR40" s="4971">
        <v>42695.8</v>
      </c>
      <c r="AS40" s="8077"/>
      <c r="AT40" s="2884">
        <f t="shared" si="53"/>
        <v>431079.65</v>
      </c>
      <c r="AU40" s="8080"/>
      <c r="AV40" s="6845">
        <v>36998.6</v>
      </c>
      <c r="AW40" s="8077"/>
      <c r="AX40" s="5040">
        <f t="shared" si="54"/>
        <v>468078.25</v>
      </c>
      <c r="AY40" s="8080"/>
      <c r="AZ40" s="6998">
        <v>47127.39</v>
      </c>
      <c r="BA40" s="8069"/>
      <c r="BB40" s="2885">
        <f t="shared" si="59"/>
        <v>126821.79</v>
      </c>
      <c r="BC40" s="8070"/>
      <c r="BD40" s="2925">
        <f t="shared" si="60"/>
        <v>252376.12</v>
      </c>
      <c r="BE40" s="7929"/>
      <c r="BF40" s="37">
        <f t="shared" si="47"/>
        <v>515205.64</v>
      </c>
      <c r="BG40" s="4396"/>
      <c r="BH40" s="4396"/>
      <c r="BI40" s="3604"/>
      <c r="BJ40" s="3604"/>
      <c r="BK40" s="3957"/>
      <c r="BL40" s="3604"/>
      <c r="BM40" s="3957"/>
      <c r="BN40" s="3957"/>
    </row>
    <row r="41" spans="1:66" ht="15" x14ac:dyDescent="0.25">
      <c r="A41" s="3604">
        <f>+J38+J39+J40+J41</f>
        <v>117678.63</v>
      </c>
      <c r="B41" s="1842" t="s">
        <v>1153</v>
      </c>
      <c r="C41" s="3180" t="s">
        <v>50</v>
      </c>
      <c r="D41" s="7711"/>
      <c r="E41" s="8083"/>
      <c r="F41" s="2945">
        <v>8934.68</v>
      </c>
      <c r="G41" s="8083"/>
      <c r="H41" s="5596">
        <v>12148.69</v>
      </c>
      <c r="I41" s="8077"/>
      <c r="J41" s="37">
        <f t="shared" si="48"/>
        <v>21083.370000000003</v>
      </c>
      <c r="K41" s="8083"/>
      <c r="L41" s="5711">
        <v>4969.74</v>
      </c>
      <c r="M41" s="8069"/>
      <c r="N41" s="2885">
        <f t="shared" si="61"/>
        <v>26053.11</v>
      </c>
      <c r="O41" s="8083"/>
      <c r="P41" s="5849">
        <v>10197.709999999999</v>
      </c>
      <c r="Q41" s="8077"/>
      <c r="R41" s="2884">
        <f t="shared" si="49"/>
        <v>36250.82</v>
      </c>
      <c r="S41" s="8083"/>
      <c r="T41" s="5916">
        <v>5371.31</v>
      </c>
      <c r="U41" s="8085"/>
      <c r="V41" s="4347">
        <f t="shared" si="50"/>
        <v>41622.129999999997</v>
      </c>
      <c r="W41" s="8083"/>
      <c r="X41" s="6028">
        <v>9948.9699999999993</v>
      </c>
      <c r="Y41" s="8069"/>
      <c r="Z41" s="2885">
        <f t="shared" si="56"/>
        <v>25517.989999999998</v>
      </c>
      <c r="AA41" s="8070"/>
      <c r="AB41" s="2925">
        <f t="shared" si="57"/>
        <v>51571.1</v>
      </c>
      <c r="AC41" s="8083"/>
      <c r="AD41" s="6148">
        <v>0</v>
      </c>
      <c r="AE41" s="8077"/>
      <c r="AF41" s="2884">
        <f t="shared" si="51"/>
        <v>51571.1</v>
      </c>
      <c r="AG41" s="8083"/>
      <c r="AH41" s="6310">
        <v>6374.74</v>
      </c>
      <c r="AI41" s="7929"/>
      <c r="AJ41" s="4647">
        <f t="shared" si="52"/>
        <v>57945.84</v>
      </c>
      <c r="AK41" s="8083"/>
      <c r="AL41" s="6571">
        <v>9146.43</v>
      </c>
      <c r="AM41" s="8069"/>
      <c r="AN41" s="2885">
        <f t="shared" si="58"/>
        <v>15521.17</v>
      </c>
      <c r="AO41" s="8077"/>
      <c r="AP41" s="2884">
        <f t="shared" si="55"/>
        <v>67092.26999999999</v>
      </c>
      <c r="AQ41" s="8080"/>
      <c r="AR41" s="4971">
        <v>9043.4699999999993</v>
      </c>
      <c r="AS41" s="8077"/>
      <c r="AT41" s="2884">
        <f t="shared" si="53"/>
        <v>76135.739999999991</v>
      </c>
      <c r="AU41" s="8080"/>
      <c r="AV41" s="6845">
        <v>3834.71</v>
      </c>
      <c r="AW41" s="8077"/>
      <c r="AX41" s="5040">
        <f t="shared" si="54"/>
        <v>79970.45</v>
      </c>
      <c r="AY41" s="8080"/>
      <c r="AZ41" s="6998">
        <v>10406.17</v>
      </c>
      <c r="BA41" s="8069"/>
      <c r="BB41" s="2885">
        <f t="shared" si="59"/>
        <v>23284.35</v>
      </c>
      <c r="BC41" s="8070"/>
      <c r="BD41" s="2925">
        <f t="shared" si="60"/>
        <v>38805.519999999997</v>
      </c>
      <c r="BE41" s="7929"/>
      <c r="BF41" s="37">
        <f t="shared" si="47"/>
        <v>90376.62</v>
      </c>
      <c r="BG41" s="4396"/>
      <c r="BH41" s="4396"/>
      <c r="BI41" s="3604"/>
      <c r="BJ41" s="3604"/>
      <c r="BK41" s="3957"/>
      <c r="BL41" s="3604"/>
      <c r="BM41" s="3957"/>
      <c r="BN41" s="3957"/>
    </row>
    <row r="42" spans="1:66" ht="15" x14ac:dyDescent="0.25">
      <c r="B42" s="1842" t="s">
        <v>1623</v>
      </c>
      <c r="C42" s="3180" t="s">
        <v>50</v>
      </c>
      <c r="D42" s="7711"/>
      <c r="E42" s="8083"/>
      <c r="F42" s="2945"/>
      <c r="G42" s="8083"/>
      <c r="H42" s="5596">
        <v>0</v>
      </c>
      <c r="I42" s="8077"/>
      <c r="J42" s="37">
        <f t="shared" si="48"/>
        <v>0</v>
      </c>
      <c r="K42" s="8083"/>
      <c r="L42" s="5711">
        <v>0</v>
      </c>
      <c r="M42" s="8069"/>
      <c r="N42" s="2885">
        <f t="shared" si="61"/>
        <v>0</v>
      </c>
      <c r="O42" s="8083"/>
      <c r="P42" s="5849">
        <v>0</v>
      </c>
      <c r="Q42" s="8077"/>
      <c r="R42" s="2884">
        <f t="shared" si="49"/>
        <v>0</v>
      </c>
      <c r="S42" s="8083"/>
      <c r="T42" s="5916">
        <v>0</v>
      </c>
      <c r="U42" s="8085"/>
      <c r="V42" s="4347">
        <f t="shared" si="50"/>
        <v>0</v>
      </c>
      <c r="W42" s="8083"/>
      <c r="X42" s="6028">
        <v>0</v>
      </c>
      <c r="Y42" s="8069"/>
      <c r="Z42" s="2885">
        <f t="shared" si="56"/>
        <v>0</v>
      </c>
      <c r="AA42" s="8070"/>
      <c r="AB42" s="2925">
        <f t="shared" si="57"/>
        <v>0</v>
      </c>
      <c r="AC42" s="8083"/>
      <c r="AD42" s="6148">
        <v>17</v>
      </c>
      <c r="AE42" s="8077"/>
      <c r="AF42" s="2884">
        <f t="shared" si="51"/>
        <v>17</v>
      </c>
      <c r="AG42" s="8083"/>
      <c r="AH42" s="6310">
        <v>0</v>
      </c>
      <c r="AI42" s="7929"/>
      <c r="AJ42" s="4647">
        <f t="shared" si="52"/>
        <v>17</v>
      </c>
      <c r="AK42" s="8083"/>
      <c r="AL42" s="6571"/>
      <c r="AM42" s="8069"/>
      <c r="AN42" s="2885">
        <f t="shared" si="58"/>
        <v>17</v>
      </c>
      <c r="AO42" s="8077"/>
      <c r="AP42" s="2884">
        <f t="shared" si="55"/>
        <v>17</v>
      </c>
      <c r="AQ42" s="8080"/>
      <c r="AR42" s="4971">
        <v>35</v>
      </c>
      <c r="AS42" s="8077"/>
      <c r="AT42" s="2884">
        <f t="shared" si="53"/>
        <v>52</v>
      </c>
      <c r="AU42" s="8080"/>
      <c r="AV42" s="6845">
        <v>22</v>
      </c>
      <c r="AW42" s="8077"/>
      <c r="AX42" s="5040">
        <f t="shared" si="54"/>
        <v>74</v>
      </c>
      <c r="AY42" s="8080"/>
      <c r="AZ42" s="6998">
        <v>0</v>
      </c>
      <c r="BA42" s="8069"/>
      <c r="BB42" s="2885">
        <f t="shared" si="59"/>
        <v>57</v>
      </c>
      <c r="BC42" s="8070"/>
      <c r="BD42" s="2925">
        <f t="shared" si="60"/>
        <v>74</v>
      </c>
      <c r="BE42" s="7929"/>
      <c r="BF42" s="37">
        <f t="shared" si="47"/>
        <v>74</v>
      </c>
      <c r="BG42" s="4396"/>
      <c r="BH42" s="4396"/>
      <c r="BI42" s="3604"/>
      <c r="BJ42" s="3604"/>
      <c r="BK42" s="3957"/>
      <c r="BL42" s="3604"/>
      <c r="BM42" s="3957"/>
      <c r="BN42" s="3957"/>
    </row>
    <row r="43" spans="1:66" ht="30" x14ac:dyDescent="0.25">
      <c r="B43" s="1842" t="s">
        <v>1624</v>
      </c>
      <c r="C43" s="3180" t="s">
        <v>50</v>
      </c>
      <c r="D43" s="7711"/>
      <c r="E43" s="8083"/>
      <c r="F43" s="2945"/>
      <c r="G43" s="8083"/>
      <c r="H43" s="5596">
        <v>0</v>
      </c>
      <c r="I43" s="8077"/>
      <c r="J43" s="37">
        <f t="shared" si="48"/>
        <v>0</v>
      </c>
      <c r="K43" s="8083"/>
      <c r="L43" s="5711">
        <v>0</v>
      </c>
      <c r="M43" s="8069"/>
      <c r="N43" s="2885">
        <f t="shared" si="61"/>
        <v>0</v>
      </c>
      <c r="O43" s="8083"/>
      <c r="P43" s="5849">
        <v>0</v>
      </c>
      <c r="Q43" s="8077"/>
      <c r="R43" s="2884">
        <f t="shared" si="49"/>
        <v>0</v>
      </c>
      <c r="S43" s="8083"/>
      <c r="T43" s="5916">
        <v>11</v>
      </c>
      <c r="U43" s="8085"/>
      <c r="V43" s="4347">
        <f t="shared" si="50"/>
        <v>11</v>
      </c>
      <c r="W43" s="8083"/>
      <c r="X43" s="6028">
        <v>25</v>
      </c>
      <c r="Y43" s="8069"/>
      <c r="Z43" s="2885">
        <f t="shared" si="56"/>
        <v>36</v>
      </c>
      <c r="AA43" s="8070"/>
      <c r="AB43" s="2925">
        <f t="shared" si="57"/>
        <v>36</v>
      </c>
      <c r="AC43" s="8083"/>
      <c r="AD43" s="6148">
        <v>0</v>
      </c>
      <c r="AE43" s="8077"/>
      <c r="AF43" s="2884">
        <f t="shared" si="51"/>
        <v>36</v>
      </c>
      <c r="AG43" s="8083"/>
      <c r="AH43" s="6310">
        <v>0</v>
      </c>
      <c r="AI43" s="7929"/>
      <c r="AJ43" s="4647">
        <f t="shared" si="52"/>
        <v>36</v>
      </c>
      <c r="AK43" s="8083"/>
      <c r="AL43" s="6571"/>
      <c r="AM43" s="8069"/>
      <c r="AN43" s="2885">
        <f t="shared" si="58"/>
        <v>0</v>
      </c>
      <c r="AO43" s="8077"/>
      <c r="AP43" s="2884">
        <f t="shared" si="55"/>
        <v>36</v>
      </c>
      <c r="AQ43" s="8080"/>
      <c r="AR43" s="4971">
        <v>0</v>
      </c>
      <c r="AS43" s="8077"/>
      <c r="AT43" s="2884">
        <f t="shared" si="53"/>
        <v>36</v>
      </c>
      <c r="AU43" s="8080"/>
      <c r="AV43" s="6845">
        <v>0</v>
      </c>
      <c r="AW43" s="8077"/>
      <c r="AX43" s="5040">
        <f t="shared" si="54"/>
        <v>36</v>
      </c>
      <c r="AY43" s="8080"/>
      <c r="AZ43" s="6998">
        <v>0</v>
      </c>
      <c r="BA43" s="8069"/>
      <c r="BB43" s="2885">
        <f t="shared" si="59"/>
        <v>0</v>
      </c>
      <c r="BC43" s="8070"/>
      <c r="BD43" s="2925">
        <f t="shared" si="60"/>
        <v>0</v>
      </c>
      <c r="BE43" s="7929"/>
      <c r="BF43" s="37">
        <f t="shared" si="47"/>
        <v>36</v>
      </c>
      <c r="BG43" s="4396"/>
      <c r="BH43" s="4396"/>
      <c r="BI43" s="3604"/>
      <c r="BJ43" s="3604"/>
      <c r="BK43" s="3957"/>
      <c r="BL43" s="3604"/>
      <c r="BM43" s="3957"/>
      <c r="BN43" s="3957"/>
    </row>
    <row r="44" spans="1:66" ht="30" x14ac:dyDescent="0.25">
      <c r="B44" s="1842" t="s">
        <v>1625</v>
      </c>
      <c r="C44" s="3180" t="s">
        <v>50</v>
      </c>
      <c r="D44" s="7711"/>
      <c r="E44" s="8083"/>
      <c r="F44" s="2945">
        <v>111</v>
      </c>
      <c r="G44" s="8083"/>
      <c r="H44" s="5596">
        <v>68</v>
      </c>
      <c r="I44" s="8077"/>
      <c r="J44" s="37">
        <f t="shared" si="48"/>
        <v>179</v>
      </c>
      <c r="K44" s="8083"/>
      <c r="L44" s="5711">
        <v>34</v>
      </c>
      <c r="M44" s="8069"/>
      <c r="N44" s="2885">
        <f t="shared" si="61"/>
        <v>213</v>
      </c>
      <c r="O44" s="8083"/>
      <c r="P44" s="5849">
        <v>0</v>
      </c>
      <c r="Q44" s="8077"/>
      <c r="R44" s="2884">
        <f t="shared" si="49"/>
        <v>213</v>
      </c>
      <c r="S44" s="8083"/>
      <c r="T44" s="5916">
        <v>17</v>
      </c>
      <c r="U44" s="8085"/>
      <c r="V44" s="4347">
        <f t="shared" si="50"/>
        <v>230</v>
      </c>
      <c r="W44" s="8083"/>
      <c r="X44" s="6028">
        <v>82</v>
      </c>
      <c r="Y44" s="8069"/>
      <c r="Z44" s="2885">
        <f t="shared" si="56"/>
        <v>99</v>
      </c>
      <c r="AA44" s="8070"/>
      <c r="AB44" s="2925">
        <f t="shared" si="57"/>
        <v>312</v>
      </c>
      <c r="AC44" s="8083"/>
      <c r="AD44" s="6148">
        <v>43</v>
      </c>
      <c r="AE44" s="8077"/>
      <c r="AF44" s="2884">
        <f t="shared" si="51"/>
        <v>355</v>
      </c>
      <c r="AG44" s="8083"/>
      <c r="AH44" s="6310">
        <v>0</v>
      </c>
      <c r="AI44" s="7929"/>
      <c r="AJ44" s="4647">
        <f t="shared" si="52"/>
        <v>355</v>
      </c>
      <c r="AK44" s="8083"/>
      <c r="AL44" s="6571"/>
      <c r="AM44" s="8069"/>
      <c r="AN44" s="2885">
        <f t="shared" si="58"/>
        <v>43</v>
      </c>
      <c r="AO44" s="8077"/>
      <c r="AP44" s="2884">
        <f t="shared" si="55"/>
        <v>355</v>
      </c>
      <c r="AQ44" s="8080"/>
      <c r="AR44" s="4971">
        <v>120</v>
      </c>
      <c r="AS44" s="8077"/>
      <c r="AT44" s="2884">
        <f t="shared" si="53"/>
        <v>475</v>
      </c>
      <c r="AU44" s="8080"/>
      <c r="AV44" s="6845">
        <v>31</v>
      </c>
      <c r="AW44" s="8077"/>
      <c r="AX44" s="5040">
        <f t="shared" si="54"/>
        <v>506</v>
      </c>
      <c r="AY44" s="8080"/>
      <c r="AZ44" s="6998">
        <v>62</v>
      </c>
      <c r="BA44" s="8069"/>
      <c r="BB44" s="2885">
        <f t="shared" si="59"/>
        <v>213</v>
      </c>
      <c r="BC44" s="8070"/>
      <c r="BD44" s="2925">
        <f t="shared" si="60"/>
        <v>256</v>
      </c>
      <c r="BE44" s="7929"/>
      <c r="BF44" s="37">
        <f t="shared" si="47"/>
        <v>568</v>
      </c>
      <c r="BG44" s="4396"/>
      <c r="BH44" s="4396"/>
      <c r="BI44" s="3604"/>
      <c r="BJ44" s="3604"/>
      <c r="BK44" s="3957"/>
      <c r="BL44" s="3604"/>
      <c r="BM44" s="3957"/>
      <c r="BN44" s="3957"/>
    </row>
    <row r="45" spans="1:66" ht="30" x14ac:dyDescent="0.25">
      <c r="A45" s="3604"/>
      <c r="B45" s="1842" t="s">
        <v>1626</v>
      </c>
      <c r="C45" s="3180" t="s">
        <v>50</v>
      </c>
      <c r="D45" s="7711"/>
      <c r="E45" s="8083"/>
      <c r="F45" s="2945">
        <v>62</v>
      </c>
      <c r="G45" s="8083"/>
      <c r="H45" s="5596">
        <v>0</v>
      </c>
      <c r="I45" s="8077"/>
      <c r="J45" s="37">
        <f t="shared" si="48"/>
        <v>62</v>
      </c>
      <c r="K45" s="8083"/>
      <c r="L45" s="5711">
        <v>0</v>
      </c>
      <c r="M45" s="8069"/>
      <c r="N45" s="2885">
        <f t="shared" si="61"/>
        <v>62</v>
      </c>
      <c r="O45" s="8083"/>
      <c r="P45" s="5849">
        <v>7</v>
      </c>
      <c r="Q45" s="8077"/>
      <c r="R45" s="2884">
        <f t="shared" si="49"/>
        <v>69</v>
      </c>
      <c r="S45" s="8083"/>
      <c r="T45" s="5916">
        <v>0</v>
      </c>
      <c r="U45" s="8085"/>
      <c r="V45" s="4347">
        <f t="shared" si="50"/>
        <v>69</v>
      </c>
      <c r="W45" s="8083"/>
      <c r="X45" s="6028">
        <v>53</v>
      </c>
      <c r="Y45" s="8069"/>
      <c r="Z45" s="2885">
        <f t="shared" si="56"/>
        <v>60</v>
      </c>
      <c r="AA45" s="8070"/>
      <c r="AB45" s="2925">
        <f t="shared" si="57"/>
        <v>122</v>
      </c>
      <c r="AC45" s="8083"/>
      <c r="AD45" s="6148">
        <v>0</v>
      </c>
      <c r="AE45" s="8077"/>
      <c r="AF45" s="2884">
        <f t="shared" si="51"/>
        <v>122</v>
      </c>
      <c r="AG45" s="8083"/>
      <c r="AH45" s="6310">
        <v>0</v>
      </c>
      <c r="AI45" s="7929"/>
      <c r="AJ45" s="4647">
        <f t="shared" si="52"/>
        <v>122</v>
      </c>
      <c r="AK45" s="8083"/>
      <c r="AL45" s="6571">
        <v>5</v>
      </c>
      <c r="AM45" s="8069"/>
      <c r="AN45" s="2885">
        <f t="shared" si="58"/>
        <v>5</v>
      </c>
      <c r="AO45" s="8077"/>
      <c r="AP45" s="2884">
        <f t="shared" si="55"/>
        <v>127</v>
      </c>
      <c r="AQ45" s="8080"/>
      <c r="AR45" s="4971">
        <v>59</v>
      </c>
      <c r="AS45" s="8077"/>
      <c r="AT45" s="2884">
        <f t="shared" si="53"/>
        <v>186</v>
      </c>
      <c r="AU45" s="8080"/>
      <c r="AV45" s="6845">
        <v>0</v>
      </c>
      <c r="AW45" s="8077"/>
      <c r="AX45" s="5040">
        <f t="shared" si="54"/>
        <v>186</v>
      </c>
      <c r="AY45" s="8080"/>
      <c r="AZ45" s="6998">
        <v>47</v>
      </c>
      <c r="BA45" s="8069"/>
      <c r="BB45" s="2885">
        <f t="shared" si="59"/>
        <v>106</v>
      </c>
      <c r="BC45" s="8070"/>
      <c r="BD45" s="2925">
        <f t="shared" si="60"/>
        <v>111</v>
      </c>
      <c r="BE45" s="7929"/>
      <c r="BF45" s="37">
        <f t="shared" si="47"/>
        <v>233</v>
      </c>
      <c r="BG45" s="4396"/>
      <c r="BH45" s="4396"/>
      <c r="BI45" s="3604"/>
      <c r="BJ45" s="3604"/>
      <c r="BK45" s="3957"/>
      <c r="BL45" s="3604"/>
      <c r="BM45" s="3957"/>
      <c r="BN45" s="3957"/>
    </row>
    <row r="46" spans="1:66" ht="16.5" customHeight="1" thickBot="1" x14ac:dyDescent="0.3">
      <c r="A46" s="3604"/>
      <c r="B46" s="3670" t="s">
        <v>164</v>
      </c>
      <c r="C46" s="3671" t="s">
        <v>50</v>
      </c>
      <c r="D46" s="7711"/>
      <c r="E46" s="8083"/>
      <c r="F46" s="3650">
        <f>SUM(F38:F45)</f>
        <v>56481.07</v>
      </c>
      <c r="G46" s="8083"/>
      <c r="H46" s="5595">
        <f>SUM(H38:H45)</f>
        <v>61438.559999999998</v>
      </c>
      <c r="I46" s="8077"/>
      <c r="J46" s="1959">
        <f t="shared" si="48"/>
        <v>117919.63</v>
      </c>
      <c r="K46" s="8083"/>
      <c r="L46" s="5710">
        <f>SUM(L38:L45)</f>
        <v>60718.3</v>
      </c>
      <c r="M46" s="8069"/>
      <c r="N46" s="3649">
        <f>SUM(N38:N45)</f>
        <v>178637.93</v>
      </c>
      <c r="O46" s="8083"/>
      <c r="P46" s="5847">
        <f>SUM(P38:P45)</f>
        <v>64584.79</v>
      </c>
      <c r="Q46" s="8077"/>
      <c r="R46" s="3648">
        <f t="shared" si="49"/>
        <v>243222.72</v>
      </c>
      <c r="S46" s="8083"/>
      <c r="T46" s="5915">
        <f>SUM(T38:T45)</f>
        <v>58078.79</v>
      </c>
      <c r="U46" s="8086"/>
      <c r="V46" s="4345">
        <f t="shared" si="50"/>
        <v>301301.51</v>
      </c>
      <c r="W46" s="8083"/>
      <c r="X46" s="6027">
        <f>SUM(X38:X45)</f>
        <v>54507.000000000007</v>
      </c>
      <c r="Y46" s="8069"/>
      <c r="Z46" s="3649">
        <f>SUM(Z38:Z45)</f>
        <v>177170.58</v>
      </c>
      <c r="AA46" s="8070"/>
      <c r="AB46" s="2912">
        <f>SUM(AB38:AB45)</f>
        <v>355808.51</v>
      </c>
      <c r="AC46" s="8083"/>
      <c r="AD46" s="6146">
        <f>SUM(AD38:AD45)</f>
        <v>43960.31</v>
      </c>
      <c r="AE46" s="8077"/>
      <c r="AF46" s="3648">
        <f t="shared" si="51"/>
        <v>399768.82</v>
      </c>
      <c r="AG46" s="8083"/>
      <c r="AH46" s="6308">
        <f>SUM(AH38:AH45)</f>
        <v>51491.21</v>
      </c>
      <c r="AI46" s="7930"/>
      <c r="AJ46" s="4645">
        <f t="shared" si="52"/>
        <v>451260.03</v>
      </c>
      <c r="AK46" s="8083"/>
      <c r="AL46" s="6570">
        <f>SUM(AL38:AL45)</f>
        <v>65584.38</v>
      </c>
      <c r="AM46" s="8069"/>
      <c r="AN46" s="3649">
        <f>SUM(AN38:AN45)</f>
        <v>161035.9</v>
      </c>
      <c r="AO46" s="8077"/>
      <c r="AP46" s="3648">
        <f t="shared" si="55"/>
        <v>516844.41000000003</v>
      </c>
      <c r="AQ46" s="8043"/>
      <c r="AR46" s="4970">
        <f>SUM(AR38:AR45)</f>
        <v>63113.100000000006</v>
      </c>
      <c r="AS46" s="8077"/>
      <c r="AT46" s="3648">
        <f t="shared" si="53"/>
        <v>579957.51</v>
      </c>
      <c r="AU46" s="8043"/>
      <c r="AV46" s="6844">
        <f>SUM(AV38:AV45)</f>
        <v>49408.38</v>
      </c>
      <c r="AW46" s="8077"/>
      <c r="AX46" s="5038">
        <f t="shared" si="54"/>
        <v>629365.89</v>
      </c>
      <c r="AY46" s="8043"/>
      <c r="AZ46" s="6997">
        <f>SUM(AZ38:AZ45)</f>
        <v>64595.039999999994</v>
      </c>
      <c r="BA46" s="8069"/>
      <c r="BB46" s="3649">
        <f>SUM(BB38:BB45)</f>
        <v>177116.52</v>
      </c>
      <c r="BC46" s="8070"/>
      <c r="BD46" s="2912">
        <f>SUM(BD38:BD45)</f>
        <v>338152.42000000004</v>
      </c>
      <c r="BE46" s="7930"/>
      <c r="BF46" s="1959">
        <f t="shared" si="47"/>
        <v>693960.93</v>
      </c>
      <c r="BG46" s="4396"/>
      <c r="BH46" s="4396"/>
      <c r="BI46" s="3604"/>
      <c r="BJ46" s="3604"/>
      <c r="BK46" s="3957"/>
      <c r="BL46" s="3604"/>
      <c r="BM46" s="3957"/>
      <c r="BN46" s="3957"/>
    </row>
    <row r="47" spans="1:66" ht="15" x14ac:dyDescent="0.25">
      <c r="A47" s="8089"/>
      <c r="B47" s="1635" t="s">
        <v>165</v>
      </c>
      <c r="C47" s="58" t="s">
        <v>50</v>
      </c>
      <c r="D47" s="8100">
        <f>+D29+D38</f>
        <v>2817514.1242937879</v>
      </c>
      <c r="E47" s="8073">
        <f>+E29+E38</f>
        <v>193691.14877589431</v>
      </c>
      <c r="F47" s="2945">
        <f>+F35+F38+F39+F40+F41</f>
        <v>222763.24</v>
      </c>
      <c r="G47" s="8073">
        <f>+G29+G38</f>
        <v>244664.77809254048</v>
      </c>
      <c r="H47" s="5596">
        <f>+H35+H38+H39+H40+H41</f>
        <v>236416.1</v>
      </c>
      <c r="I47" s="8087">
        <f>+E47+G47</f>
        <v>438355.92686843476</v>
      </c>
      <c r="J47" s="37">
        <f t="shared" si="48"/>
        <v>459179.33999999997</v>
      </c>
      <c r="K47" s="8073">
        <f>+K29+K38</f>
        <v>237110.4815864019</v>
      </c>
      <c r="L47" s="5711">
        <f>+L35+L38+L39+L40+L41</f>
        <v>243363.3</v>
      </c>
      <c r="M47" s="8078">
        <f>+K47+G47+E47</f>
        <v>675466.4084548367</v>
      </c>
      <c r="N47" s="2885">
        <f>+L47+H47+F47</f>
        <v>702542.64</v>
      </c>
      <c r="O47" s="8073">
        <f>+O29+O38</f>
        <v>239943.3427762044</v>
      </c>
      <c r="P47" s="5849">
        <f>+P35+P38+P39+P40+P41</f>
        <v>253628.79</v>
      </c>
      <c r="Q47" s="8060">
        <f>+M47+O47</f>
        <v>915409.75123104104</v>
      </c>
      <c r="R47" s="2884">
        <f t="shared" si="49"/>
        <v>956171.43</v>
      </c>
      <c r="S47" s="8073">
        <f>+S29+S38</f>
        <v>239943.3427762044</v>
      </c>
      <c r="T47" s="5916">
        <f>+T35+T38+T39+T40+T41</f>
        <v>237527.78999999998</v>
      </c>
      <c r="U47" s="8060">
        <f>+Q47+S47</f>
        <v>1155353.0940072455</v>
      </c>
      <c r="V47" s="4347">
        <f t="shared" si="50"/>
        <v>1193699.22</v>
      </c>
      <c r="W47" s="8073">
        <f>+W29+W38</f>
        <v>125920.6798866856</v>
      </c>
      <c r="X47" s="6028">
        <f>+X35+X38+X39+X40+X41</f>
        <v>226426.6</v>
      </c>
      <c r="Y47" s="8069">
        <f>+W47+S47+O47</f>
        <v>605807.36543909437</v>
      </c>
      <c r="Z47" s="2885">
        <f>+X47+T47+P47</f>
        <v>717583.18</v>
      </c>
      <c r="AA47" s="8070">
        <f>+Y47+M47</f>
        <v>1281273.7738939309</v>
      </c>
      <c r="AB47" s="2925">
        <f>+Z47+N47</f>
        <v>1420125.82</v>
      </c>
      <c r="AC47" s="8073">
        <f>+AC29+AC38</f>
        <v>244664.78</v>
      </c>
      <c r="AD47" s="6148">
        <f>+AD35+AD38+AD39+AD40+AD41</f>
        <v>179046.31</v>
      </c>
      <c r="AE47" s="8060">
        <f>+AA47+AC47</f>
        <v>1525938.553893931</v>
      </c>
      <c r="AF47" s="2884">
        <f t="shared" si="51"/>
        <v>1599172.1300000001</v>
      </c>
      <c r="AG47" s="8073">
        <f>+AG29+AG38</f>
        <v>237110.48158640249</v>
      </c>
      <c r="AH47" s="6310">
        <f>+AH35+AH38+AH39+AH40+AH41</f>
        <v>229501.64999999997</v>
      </c>
      <c r="AI47" s="8060">
        <f>+AE47+AG47</f>
        <v>1763049.0354803335</v>
      </c>
      <c r="AJ47" s="4647">
        <f t="shared" si="52"/>
        <v>1828673.78</v>
      </c>
      <c r="AK47" s="8073">
        <f>+AK29+AK38</f>
        <v>244664.7780925401</v>
      </c>
      <c r="AL47" s="6571">
        <f>+AL35+AL38+AL39+AL40+AL41</f>
        <v>234322.38</v>
      </c>
      <c r="AM47" s="8069">
        <f>+AK47+AG47+AC47</f>
        <v>726440.03967894264</v>
      </c>
      <c r="AN47" s="2885">
        <f>+AL47+AH47+AD47</f>
        <v>642870.34</v>
      </c>
      <c r="AO47" s="8060">
        <f>+AK47+AI47</f>
        <v>2007713.8135728736</v>
      </c>
      <c r="AP47" s="2884">
        <f t="shared" si="55"/>
        <v>2062996.1600000001</v>
      </c>
      <c r="AQ47" s="8073">
        <f>+AQ29+AQ38</f>
        <v>248441.92634560907</v>
      </c>
      <c r="AR47" s="4971">
        <f>+AR35+AR38+AR39+AR40+AR41</f>
        <v>227466.38000000003</v>
      </c>
      <c r="AS47" s="8060">
        <f>+AO47+AQ47</f>
        <v>2256155.7399184825</v>
      </c>
      <c r="AT47" s="2884">
        <f t="shared" si="53"/>
        <v>2290462.54</v>
      </c>
      <c r="AU47" s="8073">
        <f>+AU29+AU38</f>
        <v>222001.88857412653</v>
      </c>
      <c r="AV47" s="6845">
        <f>+AV35+AV38+AV39+AV40+AV41</f>
        <v>184707.17</v>
      </c>
      <c r="AW47" s="8060">
        <f>+AS47+AU47</f>
        <v>2478157.6284926091</v>
      </c>
      <c r="AX47" s="5040">
        <f t="shared" si="54"/>
        <v>2475169.71</v>
      </c>
      <c r="AY47" s="8073">
        <f>+AY29+AY38</f>
        <v>248441.92634560907</v>
      </c>
      <c r="AZ47" s="6998">
        <f>+AZ35+AZ38+AZ39+AZ40+AZ41</f>
        <v>241026.95000000004</v>
      </c>
      <c r="BA47" s="8069">
        <f>+AY47+AU47+AQ47</f>
        <v>718885.74126534467</v>
      </c>
      <c r="BB47" s="2885">
        <f>+AZ47+AV47+AR47</f>
        <v>653200.50000000012</v>
      </c>
      <c r="BC47" s="8070">
        <f>+BA47+AM47</f>
        <v>1445325.7809442873</v>
      </c>
      <c r="BD47" s="2925">
        <f t="shared" ref="BD47:BD48" si="62">+BB47+AN47</f>
        <v>1296070.8400000001</v>
      </c>
      <c r="BE47" s="8060">
        <f>+AW47+AY47</f>
        <v>2726599.5548382183</v>
      </c>
      <c r="BF47" s="37">
        <f t="shared" si="47"/>
        <v>2716196.66</v>
      </c>
      <c r="BG47" s="4396"/>
      <c r="BH47" s="4396"/>
      <c r="BI47" s="3604"/>
      <c r="BJ47" s="3604"/>
      <c r="BK47" s="3957"/>
      <c r="BL47" s="3604"/>
      <c r="BM47" s="3957"/>
      <c r="BN47" s="3957"/>
    </row>
    <row r="48" spans="1:66" ht="15.75" thickBot="1" x14ac:dyDescent="0.3">
      <c r="A48" s="8089"/>
      <c r="B48" s="3661" t="s">
        <v>1627</v>
      </c>
      <c r="C48" s="3284" t="s">
        <v>50</v>
      </c>
      <c r="D48" s="8100"/>
      <c r="E48" s="8073"/>
      <c r="F48" s="2945">
        <f>+F36+F42+F43+F44+F45</f>
        <v>463</v>
      </c>
      <c r="G48" s="8073"/>
      <c r="H48" s="5596">
        <f>+H36+H42+H43+H44+H45</f>
        <v>222</v>
      </c>
      <c r="I48" s="7929"/>
      <c r="J48" s="37">
        <f t="shared" si="48"/>
        <v>685</v>
      </c>
      <c r="K48" s="8073"/>
      <c r="L48" s="5711">
        <f>+L36+L42+L43+L44+L45</f>
        <v>90</v>
      </c>
      <c r="M48" s="8078"/>
      <c r="N48" s="2885">
        <f>+L48+H48+F48</f>
        <v>775</v>
      </c>
      <c r="O48" s="8073"/>
      <c r="P48" s="5849">
        <f>+P36+P42+P43+P44+P45</f>
        <v>33</v>
      </c>
      <c r="Q48" s="8060"/>
      <c r="R48" s="2884">
        <f t="shared" si="49"/>
        <v>808</v>
      </c>
      <c r="S48" s="8073"/>
      <c r="T48" s="5916">
        <f>+T36+T42+T43+T44+T45</f>
        <v>94</v>
      </c>
      <c r="U48" s="8060"/>
      <c r="V48" s="4347">
        <f t="shared" si="50"/>
        <v>902</v>
      </c>
      <c r="W48" s="8073"/>
      <c r="X48" s="6028">
        <f>+X36+X42+X43+X44+X45</f>
        <v>420</v>
      </c>
      <c r="Y48" s="8069"/>
      <c r="Z48" s="2885">
        <f>+X48+T48+P48</f>
        <v>547</v>
      </c>
      <c r="AA48" s="8070"/>
      <c r="AB48" s="2925">
        <f>+Z48+N48</f>
        <v>1322</v>
      </c>
      <c r="AC48" s="8073"/>
      <c r="AD48" s="6148">
        <f>+AD36+AD42+AD43+AD44+AD45</f>
        <v>155</v>
      </c>
      <c r="AE48" s="8060"/>
      <c r="AF48" s="2884">
        <f t="shared" si="51"/>
        <v>1477</v>
      </c>
      <c r="AG48" s="8073"/>
      <c r="AH48" s="6310">
        <f>+AH36+AH42+AH43+AH44+AH45</f>
        <v>0</v>
      </c>
      <c r="AI48" s="8060"/>
      <c r="AJ48" s="4647">
        <f t="shared" si="52"/>
        <v>1477</v>
      </c>
      <c r="AK48" s="8073"/>
      <c r="AL48" s="6571">
        <f>+AL36+AL42+AL43+AL44+AL45</f>
        <v>43</v>
      </c>
      <c r="AM48" s="8069"/>
      <c r="AN48" s="2885">
        <f>+AL48+AH48+AD48</f>
        <v>198</v>
      </c>
      <c r="AO48" s="8060"/>
      <c r="AP48" s="2884">
        <f t="shared" si="55"/>
        <v>1520</v>
      </c>
      <c r="AQ48" s="8073"/>
      <c r="AR48" s="4971">
        <f>+AR36+AR42+AR43+AR44+AR45</f>
        <v>581</v>
      </c>
      <c r="AS48" s="8060"/>
      <c r="AT48" s="2884">
        <f t="shared" si="53"/>
        <v>2101</v>
      </c>
      <c r="AU48" s="8073"/>
      <c r="AV48" s="6845">
        <f>+AV36+AV42+AV43+AV44+AV45</f>
        <v>309</v>
      </c>
      <c r="AW48" s="8060"/>
      <c r="AX48" s="5040">
        <f t="shared" si="54"/>
        <v>2410</v>
      </c>
      <c r="AY48" s="8073"/>
      <c r="AZ48" s="6998">
        <f>+AZ36+AZ42+AZ43+AZ44+AZ45</f>
        <v>213</v>
      </c>
      <c r="BA48" s="8069"/>
      <c r="BB48" s="2885">
        <f>+AZ48+AV48+AR48</f>
        <v>1103</v>
      </c>
      <c r="BC48" s="8070"/>
      <c r="BD48" s="2925">
        <f t="shared" si="62"/>
        <v>1301</v>
      </c>
      <c r="BE48" s="8060"/>
      <c r="BF48" s="37">
        <f t="shared" si="47"/>
        <v>2623</v>
      </c>
      <c r="BG48" s="4396"/>
      <c r="BH48" s="4396"/>
      <c r="BI48" s="3604"/>
      <c r="BJ48" s="3604"/>
      <c r="BK48" s="3957"/>
      <c r="BL48" s="3604"/>
      <c r="BM48" s="3957"/>
      <c r="BN48" s="3957"/>
    </row>
    <row r="49" spans="1:66" ht="15.75" thickBot="1" x14ac:dyDescent="0.3">
      <c r="A49" s="8089"/>
      <c r="B49" s="3662" t="s">
        <v>295</v>
      </c>
      <c r="C49" s="3626" t="s">
        <v>50</v>
      </c>
      <c r="D49" s="8101"/>
      <c r="E49" s="8074"/>
      <c r="F49" s="3652">
        <f>SUM(F47:F48)</f>
        <v>223226.23999999999</v>
      </c>
      <c r="G49" s="8074"/>
      <c r="H49" s="5599">
        <f>SUM(H47:H48)</f>
        <v>236638.1</v>
      </c>
      <c r="I49" s="8088"/>
      <c r="J49" s="1878">
        <f t="shared" si="48"/>
        <v>459864.33999999997</v>
      </c>
      <c r="K49" s="8074"/>
      <c r="L49" s="5713">
        <f>SUM(L47:L48)</f>
        <v>243453.3</v>
      </c>
      <c r="M49" s="8079"/>
      <c r="N49" s="2273">
        <f>SUM(N47:N48)</f>
        <v>703317.64</v>
      </c>
      <c r="O49" s="8074"/>
      <c r="P49" s="5851">
        <f>SUM(P47:P48)</f>
        <v>253661.79</v>
      </c>
      <c r="Q49" s="8061"/>
      <c r="R49" s="2272">
        <f t="shared" si="49"/>
        <v>956979.43</v>
      </c>
      <c r="S49" s="8074"/>
      <c r="T49" s="5918">
        <f>SUM(T47:T48)</f>
        <v>237621.78999999998</v>
      </c>
      <c r="U49" s="8061"/>
      <c r="V49" s="4346">
        <f t="shared" si="50"/>
        <v>1194601.22</v>
      </c>
      <c r="W49" s="8074"/>
      <c r="X49" s="6030">
        <f>SUM(X47:X48)</f>
        <v>226846.6</v>
      </c>
      <c r="Y49" s="8071"/>
      <c r="Z49" s="2273">
        <f>SUM(Z47:Z48)</f>
        <v>718130.18</v>
      </c>
      <c r="AA49" s="8072"/>
      <c r="AB49" s="2274">
        <f>SUM(AB47:AB48)</f>
        <v>1421447.82</v>
      </c>
      <c r="AC49" s="8074"/>
      <c r="AD49" s="6150">
        <f>SUM(AD47:AD48)</f>
        <v>179201.31</v>
      </c>
      <c r="AE49" s="8061"/>
      <c r="AF49" s="2272">
        <f t="shared" si="51"/>
        <v>1600649.1300000001</v>
      </c>
      <c r="AG49" s="8074"/>
      <c r="AH49" s="6312">
        <f>SUM(AH47:AH48)</f>
        <v>229501.64999999997</v>
      </c>
      <c r="AI49" s="8061"/>
      <c r="AJ49" s="4646">
        <f t="shared" si="52"/>
        <v>1830150.78</v>
      </c>
      <c r="AK49" s="8074"/>
      <c r="AL49" s="6573">
        <f>SUM(AL47:AL48)</f>
        <v>234365.38</v>
      </c>
      <c r="AM49" s="8071"/>
      <c r="AN49" s="2273">
        <f>SUM(AN47:AN48)</f>
        <v>643068.34</v>
      </c>
      <c r="AO49" s="8061"/>
      <c r="AP49" s="2272">
        <f t="shared" si="55"/>
        <v>2064516.1600000001</v>
      </c>
      <c r="AQ49" s="8074"/>
      <c r="AR49" s="4973">
        <f>SUM(AR47:AR48)</f>
        <v>228047.38000000003</v>
      </c>
      <c r="AS49" s="8061"/>
      <c r="AT49" s="2272">
        <f t="shared" si="53"/>
        <v>2292563.54</v>
      </c>
      <c r="AU49" s="8074"/>
      <c r="AV49" s="6847">
        <f>SUM(AV47:AV48)</f>
        <v>185016.17</v>
      </c>
      <c r="AW49" s="8061"/>
      <c r="AX49" s="5039">
        <f t="shared" si="54"/>
        <v>2477579.71</v>
      </c>
      <c r="AY49" s="8074"/>
      <c r="AZ49" s="7001">
        <f>SUM(AZ47:AZ48)</f>
        <v>241239.95000000004</v>
      </c>
      <c r="BA49" s="8071"/>
      <c r="BB49" s="2273">
        <f>SUM(BB47:BB48)</f>
        <v>654303.50000000012</v>
      </c>
      <c r="BC49" s="8072"/>
      <c r="BD49" s="2274">
        <f>SUM(BD47:BD48)</f>
        <v>1297371.8400000001</v>
      </c>
      <c r="BE49" s="8061"/>
      <c r="BF49" s="1878">
        <f t="shared" si="47"/>
        <v>2718819.66</v>
      </c>
      <c r="BG49" s="4396"/>
      <c r="BH49" s="4396"/>
      <c r="BI49" s="3604"/>
      <c r="BJ49" s="3604"/>
      <c r="BK49" s="3957"/>
      <c r="BL49" s="3604"/>
      <c r="BM49" s="3957"/>
      <c r="BN49" s="3957"/>
    </row>
    <row r="50" spans="1:66" ht="15" x14ac:dyDescent="0.25">
      <c r="A50" s="2940"/>
      <c r="B50" s="3672" t="s">
        <v>266</v>
      </c>
      <c r="C50" s="3673"/>
      <c r="D50" s="3674"/>
      <c r="E50" s="3675"/>
      <c r="F50" s="4313"/>
      <c r="G50" s="3675"/>
      <c r="H50" s="4313"/>
      <c r="I50" s="3675"/>
      <c r="J50" s="3676"/>
      <c r="K50" s="3675"/>
      <c r="L50" s="4313"/>
      <c r="M50" s="3677"/>
      <c r="N50" s="3677"/>
      <c r="O50" s="3675"/>
      <c r="P50" s="4313"/>
      <c r="Q50" s="3677"/>
      <c r="R50" s="3677"/>
      <c r="S50" s="3675"/>
      <c r="T50" s="4313"/>
      <c r="U50" s="3677"/>
      <c r="V50" s="3677"/>
      <c r="W50" s="3675"/>
      <c r="X50" s="4313"/>
      <c r="Y50" s="3677"/>
      <c r="Z50" s="3677"/>
      <c r="AA50" s="3677"/>
      <c r="AB50" s="3677"/>
      <c r="AC50" s="3675"/>
      <c r="AD50" s="4313"/>
      <c r="AE50" s="3677"/>
      <c r="AF50" s="3677"/>
      <c r="AG50" s="3675"/>
      <c r="AH50" s="4313"/>
      <c r="AI50" s="3677"/>
      <c r="AJ50" s="3677"/>
      <c r="AK50" s="3675"/>
      <c r="AL50" s="4313"/>
      <c r="AM50" s="3677"/>
      <c r="AN50" s="3677"/>
      <c r="AO50" s="3677"/>
      <c r="AP50" s="3677"/>
      <c r="AQ50" s="3675"/>
      <c r="AR50" s="4313"/>
      <c r="AS50" s="3677"/>
      <c r="AT50" s="3677"/>
      <c r="AU50" s="3675"/>
      <c r="AV50" s="4313"/>
      <c r="AW50" s="3677"/>
      <c r="AX50" s="3677"/>
      <c r="AY50" s="3675"/>
      <c r="AZ50" s="4313"/>
      <c r="BA50" s="3677"/>
      <c r="BB50" s="3677"/>
      <c r="BC50" s="3677"/>
      <c r="BD50" s="3677"/>
      <c r="BE50" s="3677"/>
      <c r="BF50" s="3678"/>
      <c r="BG50" s="4396"/>
      <c r="BH50" s="4396"/>
      <c r="BI50" s="3604"/>
      <c r="BJ50" s="3604"/>
      <c r="BK50" s="3957"/>
      <c r="BL50" s="3604"/>
      <c r="BM50" s="3957"/>
      <c r="BN50" s="3957"/>
    </row>
    <row r="51" spans="1:66" ht="15" x14ac:dyDescent="0.25">
      <c r="A51" s="3605"/>
      <c r="B51" s="3643" t="s">
        <v>273</v>
      </c>
      <c r="C51" s="3180" t="s">
        <v>49</v>
      </c>
      <c r="D51" s="1267">
        <v>91.5</v>
      </c>
      <c r="E51" s="2961">
        <v>91.5</v>
      </c>
      <c r="F51" s="2961">
        <v>91.33269773977122</v>
      </c>
      <c r="G51" s="2961">
        <v>91</v>
      </c>
      <c r="H51" s="2961">
        <v>91.702888177306576</v>
      </c>
      <c r="I51" s="3432">
        <f>+((E51*E15)+(G15*G51))/I15</f>
        <v>91.221277969018928</v>
      </c>
      <c r="J51" s="103">
        <f>+((F51*F15)+(H15*H51))/J15</f>
        <v>91.524227659032206</v>
      </c>
      <c r="K51" s="3174">
        <v>91</v>
      </c>
      <c r="L51" s="3174">
        <v>91.478019092307079</v>
      </c>
      <c r="M51" s="2885">
        <f>+$D$51</f>
        <v>91.5</v>
      </c>
      <c r="N51" s="3679">
        <f>+((F51*F15)+(H51*H15)+(L15*L51))/N15</f>
        <v>91.508233784982338</v>
      </c>
      <c r="O51" s="3174">
        <v>91</v>
      </c>
      <c r="P51" s="3174">
        <v>91.096502143164116</v>
      </c>
      <c r="Q51" s="3432">
        <f>+((M51*M15)+(O15*O51))/Q15</f>
        <v>91.369020618556704</v>
      </c>
      <c r="R51" s="3432">
        <f>+((N51*N15)+(P15*P51))/R15</f>
        <v>91.399877368911149</v>
      </c>
      <c r="S51" s="3174">
        <v>91</v>
      </c>
      <c r="T51" s="3174">
        <v>91.196842369840709</v>
      </c>
      <c r="U51" s="3432">
        <f>+((Q51*Q15)+(S15*S51))/U15</f>
        <v>91.292418920022868</v>
      </c>
      <c r="V51" s="3432">
        <f>+((R51*R15)+(T15*T51))/V15</f>
        <v>91.359463705630745</v>
      </c>
      <c r="W51" s="3174">
        <v>91</v>
      </c>
      <c r="X51" s="3174">
        <v>91.283791205631914</v>
      </c>
      <c r="Y51" s="3679">
        <f>+((O51*O15)+(S51*S15)+(W15*W51))/Y15</f>
        <v>91</v>
      </c>
      <c r="Z51" s="3679">
        <f>+((P51*P15)+(T51*T15)+(X15*X51))/Z15</f>
        <v>91.189229686213508</v>
      </c>
      <c r="AA51" s="3680">
        <f>+((Y51*Y15)+(M15*M51))/AA15</f>
        <v>91.263692953699959</v>
      </c>
      <c r="AB51" s="3680">
        <f>+((Z51*Z15)+(N15*N51))/AB15</f>
        <v>91.347345436517656</v>
      </c>
      <c r="AC51" s="3174">
        <v>91</v>
      </c>
      <c r="AD51" s="3174">
        <v>91.973148618954397</v>
      </c>
      <c r="AE51" s="3432">
        <f>+((AA51*AA15)+(AC15*AC51))/AE15</f>
        <v>91.221428350499522</v>
      </c>
      <c r="AF51" s="3432">
        <f>+((AB51*AB15)+(AD15*AD51))/AF15</f>
        <v>91.417667133566155</v>
      </c>
      <c r="AG51" s="3174">
        <v>91</v>
      </c>
      <c r="AH51" s="3174">
        <v>91.9149532711387</v>
      </c>
      <c r="AI51" s="3432">
        <f>+((AE51*AE15)+(AG15*AG51))/AI15</f>
        <v>91.191657965892972</v>
      </c>
      <c r="AJ51" s="3432">
        <f>+((AF51*AF15)+(AH15*AH51))/AJ15</f>
        <v>91.479987682923863</v>
      </c>
      <c r="AK51" s="3174">
        <v>91</v>
      </c>
      <c r="AL51" s="3174">
        <v>91.883340213984127</v>
      </c>
      <c r="AM51" s="3679">
        <f>+((AC51*AC15)+(AG51*AG15)+(AK15*AK51))/AM15</f>
        <v>91</v>
      </c>
      <c r="AN51" s="3679">
        <f>+((AD51*AD15)+(AH51*AH15)+(AL15*AL51))/AN15</f>
        <v>91.919611446010776</v>
      </c>
      <c r="AO51" s="3432">
        <f>+((AK51*AK15)+(AI15*AI51))/AO15</f>
        <v>91.168308451863169</v>
      </c>
      <c r="AP51" s="3432">
        <f>+((AL51*AL15)+(AJ15*AJ51))/AP15</f>
        <v>91.526068796808175</v>
      </c>
      <c r="AQ51" s="2961">
        <f>+$D$51</f>
        <v>91.5</v>
      </c>
      <c r="AR51" s="2961">
        <v>91.56534312244834</v>
      </c>
      <c r="AS51" s="3432">
        <f>+((AO51*AO15)+(AQ15*AQ51))/AS15</f>
        <v>91.204824570579746</v>
      </c>
      <c r="AT51" s="3432">
        <f>+((AP51*AP15)+(AR15*AR51))/AT15</f>
        <v>91.529978010759422</v>
      </c>
      <c r="AU51" s="2961">
        <f>+$D$51</f>
        <v>91.5</v>
      </c>
      <c r="AV51" s="2961">
        <v>91.430499119943164</v>
      </c>
      <c r="AW51" s="3432">
        <f>+((AS51*AS15)+(AU15*AU51))/AW15</f>
        <v>91.231261547839011</v>
      </c>
      <c r="AX51" s="3432">
        <f>+((AT51*AT15)+(AV15*AV51))/AX15</f>
        <v>91.522609248730831</v>
      </c>
      <c r="AY51" s="2961">
        <f>+$D$51</f>
        <v>91.5</v>
      </c>
      <c r="AZ51" s="2961">
        <v>91.607352897769729</v>
      </c>
      <c r="BA51" s="3679">
        <f>+((AQ51*AQ15)+(AU51*AU15)+(AY15*AY51))/BA15</f>
        <v>91.5</v>
      </c>
      <c r="BB51" s="3679">
        <f>+((AR51*AR15)+(AV51*AV15)+(AZ15*AZ51))/BB15</f>
        <v>91.542464006855724</v>
      </c>
      <c r="BC51" s="3680">
        <f>+((BA51*BA15)+(AM15*AM51))/BC15</f>
        <v>91.248693322879916</v>
      </c>
      <c r="BD51" s="3680">
        <f>+((BB51*BB15)+(AN15*AN51))/BD15</f>
        <v>91.730617560759441</v>
      </c>
      <c r="BE51" s="3432">
        <f>+((AW51*AW15)+(AY15*AY51))/BE15</f>
        <v>91.255743494745587</v>
      </c>
      <c r="BF51" s="103">
        <f>+((AX51*AX15)+(AZ15*AZ51))/BF15</f>
        <v>91.529983857371533</v>
      </c>
      <c r="BG51" s="4396"/>
      <c r="BH51" s="4396"/>
      <c r="BI51" s="3604"/>
      <c r="BJ51" s="3604"/>
      <c r="BK51" s="3957"/>
      <c r="BL51" s="3604"/>
      <c r="BM51" s="3957"/>
      <c r="BN51" s="3957"/>
    </row>
    <row r="52" spans="1:66" ht="15" x14ac:dyDescent="0.25">
      <c r="B52" s="3643" t="s">
        <v>512</v>
      </c>
      <c r="C52" s="3180" t="s">
        <v>513</v>
      </c>
      <c r="D52" s="721">
        <v>156.00000000000003</v>
      </c>
      <c r="E52" s="3171">
        <f>+$D$52</f>
        <v>156.00000000000003</v>
      </c>
      <c r="F52" s="3174">
        <f>+F49/F25</f>
        <v>157.42330042313117</v>
      </c>
      <c r="G52" s="3171">
        <f>+$D$52</f>
        <v>156.00000000000003</v>
      </c>
      <c r="H52" s="3174">
        <f>+H49/H25</f>
        <v>156.09373350923482</v>
      </c>
      <c r="I52" s="2884">
        <f>+I47/I25</f>
        <v>150</v>
      </c>
      <c r="J52" s="103">
        <f>+J49/J25</f>
        <v>156.73631220177231</v>
      </c>
      <c r="K52" s="3171">
        <f>+$D$52</f>
        <v>156.00000000000003</v>
      </c>
      <c r="L52" s="3174">
        <f>+L49/L25</f>
        <v>156.46098971722364</v>
      </c>
      <c r="M52" s="3623">
        <f>+$D$52</f>
        <v>156.00000000000003</v>
      </c>
      <c r="N52" s="3679">
        <f>+N49/N25</f>
        <v>156.64089977728284</v>
      </c>
      <c r="O52" s="3171">
        <f>+$D$52</f>
        <v>156.00000000000003</v>
      </c>
      <c r="P52" s="3174">
        <f>+P49/P25</f>
        <v>157.55390683229814</v>
      </c>
      <c r="Q52" s="2884">
        <f>+Q47/Q25</f>
        <v>149.99999999999997</v>
      </c>
      <c r="R52" s="3432">
        <f>+R49/R25</f>
        <v>156.88187377049181</v>
      </c>
      <c r="S52" s="3171">
        <f>+$D$52</f>
        <v>156.00000000000003</v>
      </c>
      <c r="T52" s="3174">
        <f>+T49/T25</f>
        <v>156.84606600660064</v>
      </c>
      <c r="U52" s="4347">
        <f>+U47/U25</f>
        <v>149.99999999999997</v>
      </c>
      <c r="V52" s="3432">
        <f>+V49/V25</f>
        <v>156.87474983585028</v>
      </c>
      <c r="W52" s="3171">
        <f>+$D$52</f>
        <v>156.00000000000003</v>
      </c>
      <c r="X52" s="3174">
        <f>+X49/X25</f>
        <v>156.66201657458564</v>
      </c>
      <c r="Y52" s="2885">
        <f>+Y47/Y25</f>
        <v>150</v>
      </c>
      <c r="Z52" s="3679">
        <f>+Z49/Z25</f>
        <v>157.03699540782856</v>
      </c>
      <c r="AA52" s="2925">
        <f>+AA47/AA25</f>
        <v>150</v>
      </c>
      <c r="AB52" s="3680">
        <f>+AB49/AB25</f>
        <v>156.84076133730554</v>
      </c>
      <c r="AC52" s="3171">
        <f>+$D$52</f>
        <v>156.00000000000003</v>
      </c>
      <c r="AD52" s="3174">
        <f>+AD49/AD25</f>
        <v>156.50769432314411</v>
      </c>
      <c r="AE52" s="2884">
        <f>+AE47/AE25</f>
        <v>150</v>
      </c>
      <c r="AF52" s="3432">
        <f>+AF49/AF25</f>
        <v>156.80340223354233</v>
      </c>
      <c r="AG52" s="3171">
        <f>+$D$52</f>
        <v>156.00000000000003</v>
      </c>
      <c r="AH52" s="3174">
        <f>+AH49/AH25</f>
        <v>157.51657515442687</v>
      </c>
      <c r="AI52" s="4647">
        <f>+AI47/AI25</f>
        <v>150</v>
      </c>
      <c r="AJ52" s="3432">
        <f>+AJ49/AJ25</f>
        <v>156.89248006858122</v>
      </c>
      <c r="AK52" s="3171">
        <f>+$D$52</f>
        <v>156.00000000000003</v>
      </c>
      <c r="AL52" s="3174">
        <f>+AL49/AL25</f>
        <v>155.82804521276597</v>
      </c>
      <c r="AM52" s="2885">
        <f>+AM47/AM25</f>
        <v>150</v>
      </c>
      <c r="AN52" s="3679">
        <f>+AN49/AN25</f>
        <v>156.61674135411593</v>
      </c>
      <c r="AO52" s="2884">
        <f>+AO47/AO25</f>
        <v>150.00000000000003</v>
      </c>
      <c r="AP52" s="3432">
        <f>+AP49/AP25</f>
        <v>156.7709135089984</v>
      </c>
      <c r="AQ52" s="3171">
        <f>+$D$52</f>
        <v>156.00000000000003</v>
      </c>
      <c r="AR52" s="3171">
        <f>+AR49/AR25</f>
        <v>156.08992470910337</v>
      </c>
      <c r="AS52" s="2884">
        <f>+AS47/AS25</f>
        <v>150</v>
      </c>
      <c r="AT52" s="3432">
        <f>+AT49/AT25</f>
        <v>156.70290772385511</v>
      </c>
      <c r="AU52" s="3171">
        <f>+$D$52</f>
        <v>156.00000000000003</v>
      </c>
      <c r="AV52" s="3171">
        <f>+AV49/AV25</f>
        <v>156.13178902953587</v>
      </c>
      <c r="AW52" s="5040">
        <f>+AW47/AW25</f>
        <v>150.00000000000003</v>
      </c>
      <c r="AX52" s="3432">
        <f>+AX49/AX25</f>
        <v>156.66011444830858</v>
      </c>
      <c r="AY52" s="3171">
        <f>+$D$52</f>
        <v>156.00000000000003</v>
      </c>
      <c r="AZ52" s="3171">
        <f>+AZ49/AZ25</f>
        <v>158.08646788990828</v>
      </c>
      <c r="BA52" s="2885">
        <f>+BA47/BA25</f>
        <v>150</v>
      </c>
      <c r="BB52" s="3679">
        <f>+BB49/BB25</f>
        <v>156.83209491850434</v>
      </c>
      <c r="BC52" s="2925">
        <f>+BC47/BC25</f>
        <v>150</v>
      </c>
      <c r="BD52" s="3680">
        <f>+BD49/BD25</f>
        <v>156.72527663686881</v>
      </c>
      <c r="BE52" s="2884">
        <f>+BE47/BE25</f>
        <v>150</v>
      </c>
      <c r="BF52" s="103">
        <f>+BF49/BF25</f>
        <v>156.78563289314343</v>
      </c>
      <c r="BG52" s="4396"/>
      <c r="BH52" s="4396"/>
      <c r="BI52" s="3604"/>
      <c r="BJ52" s="3604"/>
      <c r="BK52" s="3957"/>
      <c r="BL52" s="3604"/>
      <c r="BM52" s="3957"/>
      <c r="BN52" s="3957"/>
    </row>
    <row r="53" spans="1:66" ht="15" x14ac:dyDescent="0.25">
      <c r="B53" s="3643" t="s">
        <v>274</v>
      </c>
      <c r="C53" s="3180" t="s">
        <v>49</v>
      </c>
      <c r="D53" s="1267">
        <v>98.5</v>
      </c>
      <c r="E53" s="3172">
        <f>+$D$53</f>
        <v>98.5</v>
      </c>
      <c r="F53" s="2961">
        <f>+F49/F20*100</f>
        <v>98.569427640352188</v>
      </c>
      <c r="G53" s="3172">
        <f>+$D$53</f>
        <v>98.5</v>
      </c>
      <c r="H53" s="2961">
        <f>+H49/H20*100</f>
        <v>98.639486123500433</v>
      </c>
      <c r="I53" s="3432">
        <f>+I47/I20*100</f>
        <v>97.939343138891843</v>
      </c>
      <c r="J53" s="103">
        <f>+J49/J20*100</f>
        <v>98.605466069713174</v>
      </c>
      <c r="K53" s="3171">
        <f>+$D$53</f>
        <v>98.5</v>
      </c>
      <c r="L53" s="3174">
        <f>+L49/L20*100</f>
        <v>98.62278359995625</v>
      </c>
      <c r="M53" s="3679">
        <f>+$D$53</f>
        <v>98.5</v>
      </c>
      <c r="N53" s="3679">
        <f>+N49/N20*100</f>
        <v>98.611459842040546</v>
      </c>
      <c r="O53" s="3171">
        <f>+$D$53</f>
        <v>98.5</v>
      </c>
      <c r="P53" s="3174">
        <f>+P49/P20*100</f>
        <v>98.678815675839687</v>
      </c>
      <c r="Q53" s="2884">
        <f>+Q47/Q20*100</f>
        <v>97.709892318457719</v>
      </c>
      <c r="R53" s="3432">
        <f>+R49/R20*100</f>
        <v>98.629304560853129</v>
      </c>
      <c r="S53" s="3171">
        <f>+$D$53</f>
        <v>98.5</v>
      </c>
      <c r="T53" s="3174">
        <f>+T49/T20*100</f>
        <v>98.690801332369773</v>
      </c>
      <c r="U53" s="4347">
        <f>+U47/U20*100</f>
        <v>97.66622763504553</v>
      </c>
      <c r="V53" s="3432">
        <f>+V49/V20*100</f>
        <v>98.641530965201355</v>
      </c>
      <c r="W53" s="3171">
        <f>+$D$53</f>
        <v>98.5</v>
      </c>
      <c r="X53" s="3174">
        <f>+X49/X20*100</f>
        <v>98.544550971559147</v>
      </c>
      <c r="Y53" s="2885">
        <f>+Y47/Y20*100</f>
        <v>97.500000000000142</v>
      </c>
      <c r="Z53" s="3679">
        <f>+Z49/Z20*100</f>
        <v>98.640326140854285</v>
      </c>
      <c r="AA53" s="2925">
        <f>+AA47/AA20*100</f>
        <v>97.649866049571685</v>
      </c>
      <c r="AB53" s="3680">
        <f>+AB49/AB20*100</f>
        <v>98.626041283607975</v>
      </c>
      <c r="AC53" s="3171">
        <f>+$D$53</f>
        <v>98.5</v>
      </c>
      <c r="AD53" s="3174">
        <f>+AD49/AD20*100</f>
        <v>98.499601497270945</v>
      </c>
      <c r="AE53" s="2884">
        <f>+AE47/AE20*100</f>
        <v>97.625806057451854</v>
      </c>
      <c r="AF53" s="3432">
        <f>+AF49/AF20*100</f>
        <v>98.611869532726189</v>
      </c>
      <c r="AG53" s="3171">
        <f>+$D$53</f>
        <v>98.5</v>
      </c>
      <c r="AH53" s="3174">
        <f>+AH49/AH20*100</f>
        <v>98.54508566275922</v>
      </c>
      <c r="AI53" s="4647">
        <f>+AI47/AI20*100</f>
        <v>97.608867650117091</v>
      </c>
      <c r="AJ53" s="3432">
        <f>+AJ49/AJ20*100</f>
        <v>98.603489844946665</v>
      </c>
      <c r="AK53" s="3171">
        <f>+$D$53</f>
        <v>98.5</v>
      </c>
      <c r="AL53" s="3174">
        <f>+AL49/AL20*100</f>
        <v>98.52376648435957</v>
      </c>
      <c r="AM53" s="2885">
        <f>+AM47/AM20*100</f>
        <v>97.500000256011987</v>
      </c>
      <c r="AN53" s="3679">
        <f>+AN49/AN20*100</f>
        <v>98.524637734449925</v>
      </c>
      <c r="AO53" s="2884">
        <f>+AO47/AO20*100</f>
        <v>97.595587772798851</v>
      </c>
      <c r="AP53" s="3432">
        <f>+AP49/AP20*100</f>
        <v>98.594433099580328</v>
      </c>
      <c r="AQ53" s="3172">
        <f>+$D$53</f>
        <v>98.5</v>
      </c>
      <c r="AR53" s="3172">
        <f>+AR49/AR20*100</f>
        <v>98.581831857795009</v>
      </c>
      <c r="AS53" s="2884">
        <f>+AS47/AS20*100</f>
        <v>97.5850527169857</v>
      </c>
      <c r="AT53" s="3432">
        <f>+AT49/AT20*100</f>
        <v>98.593179476328828</v>
      </c>
      <c r="AU53" s="3172">
        <f>+$D$53</f>
        <v>98.5</v>
      </c>
      <c r="AV53" s="3172">
        <f>+AV49/AV20*100</f>
        <v>98.505598355898911</v>
      </c>
      <c r="AW53" s="5040">
        <f>+AW47/AW20*100</f>
        <v>97.577427351200356</v>
      </c>
      <c r="AX53" s="3432">
        <f>+AX49/AX20*100</f>
        <v>98.586633873158206</v>
      </c>
      <c r="AY53" s="3172">
        <f>+$D$53</f>
        <v>98.5</v>
      </c>
      <c r="AZ53" s="3172">
        <f>+AZ49/AZ20*100</f>
        <v>98.578751869498788</v>
      </c>
      <c r="BA53" s="2885">
        <f>+BA47/BA20*100</f>
        <v>97.500000000000014</v>
      </c>
      <c r="BB53" s="3679">
        <f>+BB49/BB20*100</f>
        <v>98.559128382256162</v>
      </c>
      <c r="BC53" s="2925">
        <f>+BC47/BC20*100</f>
        <v>97.50000012867504</v>
      </c>
      <c r="BD53" s="3680">
        <f>+BD49/BD20*100</f>
        <v>98.542029383996407</v>
      </c>
      <c r="BE53" s="3432">
        <f>+BE47/BE20*100</f>
        <v>97.570367244661981</v>
      </c>
      <c r="BF53" s="103">
        <f>+BF49/BF20*100</f>
        <v>98.58593445467919</v>
      </c>
      <c r="BG53" s="4396"/>
      <c r="BH53" s="4396"/>
      <c r="BI53" s="3604"/>
      <c r="BJ53" s="3604"/>
      <c r="BK53" s="3957"/>
      <c r="BL53" s="3604"/>
      <c r="BM53" s="3957"/>
      <c r="BN53" s="3957"/>
    </row>
    <row r="54" spans="1:66" ht="15" x14ac:dyDescent="0.25">
      <c r="A54" s="1192"/>
      <c r="B54" s="932" t="s">
        <v>275</v>
      </c>
      <c r="C54" s="390"/>
      <c r="D54" s="3681"/>
      <c r="E54" s="3682"/>
      <c r="F54" s="3682"/>
      <c r="G54" s="3682"/>
      <c r="H54" s="3682"/>
      <c r="I54" s="3682"/>
      <c r="J54" s="3683"/>
      <c r="K54" s="3682"/>
      <c r="L54" s="3682"/>
      <c r="M54" s="3682"/>
      <c r="N54" s="3682"/>
      <c r="O54" s="3682"/>
      <c r="P54" s="3682"/>
      <c r="Q54" s="3682"/>
      <c r="R54" s="3682"/>
      <c r="S54" s="3682"/>
      <c r="T54" s="3682"/>
      <c r="U54" s="3682"/>
      <c r="V54" s="3682"/>
      <c r="W54" s="3682"/>
      <c r="X54" s="3682"/>
      <c r="Y54" s="3682"/>
      <c r="Z54" s="3682"/>
      <c r="AA54" s="3682"/>
      <c r="AB54" s="3682"/>
      <c r="AC54" s="3682"/>
      <c r="AD54" s="3682"/>
      <c r="AE54" s="3682"/>
      <c r="AF54" s="3682"/>
      <c r="AG54" s="3682"/>
      <c r="AH54" s="3682"/>
      <c r="AI54" s="3682"/>
      <c r="AJ54" s="3682"/>
      <c r="AK54" s="3682"/>
      <c r="AL54" s="3682"/>
      <c r="AM54" s="3682"/>
      <c r="AN54" s="3682"/>
      <c r="AO54" s="3682"/>
      <c r="AP54" s="3682"/>
      <c r="AQ54" s="3682"/>
      <c r="AR54" s="3682"/>
      <c r="AS54" s="3682"/>
      <c r="AT54" s="3682"/>
      <c r="AU54" s="3682"/>
      <c r="AV54" s="3682"/>
      <c r="AW54" s="3682"/>
      <c r="AX54" s="3682"/>
      <c r="AY54" s="3682"/>
      <c r="AZ54" s="3682"/>
      <c r="BA54" s="3682"/>
      <c r="BB54" s="3682"/>
      <c r="BC54" s="3682"/>
      <c r="BD54" s="3682"/>
      <c r="BE54" s="3682"/>
      <c r="BF54" s="3683"/>
      <c r="BG54" s="4396"/>
      <c r="BH54" s="4396"/>
      <c r="BI54" s="3604"/>
      <c r="BJ54" s="3604"/>
      <c r="BK54" s="3957"/>
      <c r="BL54" s="3604"/>
      <c r="BM54" s="3957"/>
      <c r="BN54" s="3957"/>
    </row>
    <row r="55" spans="1:66" ht="15" x14ac:dyDescent="0.25">
      <c r="B55" s="694" t="s">
        <v>83</v>
      </c>
      <c r="C55" s="3180" t="s">
        <v>50</v>
      </c>
      <c r="D55" s="3594">
        <f>+(D72*D$5/1000)</f>
        <v>3512.0013926130637</v>
      </c>
      <c r="E55" s="2945">
        <f>+E72*E$5/1000</f>
        <v>241.43395710865158</v>
      </c>
      <c r="F55" s="2945">
        <v>409</v>
      </c>
      <c r="G55" s="5596">
        <f>+G72*G$5/1000</f>
        <v>400.57305907569491</v>
      </c>
      <c r="H55" s="5596">
        <v>297</v>
      </c>
      <c r="I55" s="2884">
        <f t="shared" ref="I55:I70" si="63">+E55+G55</f>
        <v>642.00701618434653</v>
      </c>
      <c r="J55" s="37">
        <f t="shared" ref="J55:J70" si="64">+F55+H55</f>
        <v>706</v>
      </c>
      <c r="K55" s="5711">
        <f>+K72*K$5/1000</f>
        <v>388.20492139678475</v>
      </c>
      <c r="L55" s="5711">
        <v>405</v>
      </c>
      <c r="M55" s="2885">
        <f t="shared" ref="M55:M70" si="65">+K55+G55+E55</f>
        <v>1030.2119375811312</v>
      </c>
      <c r="N55" s="2885">
        <f t="shared" ref="N55:N70" si="66">+L55+H55+F55</f>
        <v>1111</v>
      </c>
      <c r="O55" s="5849">
        <f>+O72*O$5/1000</f>
        <v>392.84297302637651</v>
      </c>
      <c r="P55" s="5849">
        <v>383</v>
      </c>
      <c r="Q55" s="2884">
        <f>+M55+O55</f>
        <v>1423.0549106075077</v>
      </c>
      <c r="R55" s="2884">
        <f>+N55+P55</f>
        <v>1494</v>
      </c>
      <c r="S55" s="5916">
        <f>+S72*S$5/1000</f>
        <v>392.84297302637651</v>
      </c>
      <c r="T55" s="5916">
        <v>300</v>
      </c>
      <c r="U55" s="4347">
        <f>+Q55+S55</f>
        <v>1815.8978836338842</v>
      </c>
      <c r="V55" s="4347">
        <f>+R55+T55</f>
        <v>1794</v>
      </c>
      <c r="W55" s="6028">
        <f>+W72*W$5/1000</f>
        <v>206.16139493533055</v>
      </c>
      <c r="X55" s="6028">
        <v>293</v>
      </c>
      <c r="Y55" s="2885">
        <f t="shared" ref="Y55:Y70" si="67">+W55+S55+O55</f>
        <v>991.8473409880836</v>
      </c>
      <c r="Z55" s="2885">
        <f t="shared" ref="Z55:Z70" si="68">+X55+T55+P55</f>
        <v>976</v>
      </c>
      <c r="AA55" s="2925">
        <f>+Y55+M55</f>
        <v>2022.0592785692147</v>
      </c>
      <c r="AB55" s="2925">
        <f>+Z55+N55</f>
        <v>2087</v>
      </c>
      <c r="AC55" s="6148">
        <f>+AC72*AC$5/1000</f>
        <v>400.57305907569491</v>
      </c>
      <c r="AD55" s="6148">
        <v>251</v>
      </c>
      <c r="AE55" s="2884">
        <f>+AA55+AC55</f>
        <v>2422.6323376449095</v>
      </c>
      <c r="AF55" s="2884">
        <f>+AB55+AD55</f>
        <v>2338</v>
      </c>
      <c r="AG55" s="6310">
        <f>+AG72*AG$5/1000</f>
        <v>388.20492139678475</v>
      </c>
      <c r="AH55" s="6310">
        <v>290</v>
      </c>
      <c r="AI55" s="4647">
        <f>+AE55+AG55</f>
        <v>2810.8372590416943</v>
      </c>
      <c r="AJ55" s="4647">
        <f>+AF55+AH55</f>
        <v>2628</v>
      </c>
      <c r="AK55" s="6571">
        <f>+AK72*AK$5/1000</f>
        <v>400.57305907569491</v>
      </c>
      <c r="AL55" s="6571">
        <v>401.53</v>
      </c>
      <c r="AM55" s="2885">
        <f t="shared" ref="AM55:AM70" si="69">+AK55+AG55+AC55</f>
        <v>1189.3510395481744</v>
      </c>
      <c r="AN55" s="2885">
        <f t="shared" ref="AN55:AN70" si="70">+AL55+AH55+AD55</f>
        <v>942.53</v>
      </c>
      <c r="AO55" s="2884">
        <f t="shared" ref="AO55" si="71">+AK55+AI55</f>
        <v>3211.4103181173891</v>
      </c>
      <c r="AP55" s="2884">
        <f t="shared" ref="AP55" si="72">+AL55+AJ55</f>
        <v>3029.5299999999997</v>
      </c>
      <c r="AQ55" s="4971">
        <f>+AQ72*AQ$5/1000</f>
        <v>406.75712791515014</v>
      </c>
      <c r="AR55" s="4971">
        <v>267.8</v>
      </c>
      <c r="AS55" s="2884">
        <f>+AO55+AQ55</f>
        <v>3618.1674460325394</v>
      </c>
      <c r="AT55" s="2884">
        <f>+AP55+AR55</f>
        <v>3297.33</v>
      </c>
      <c r="AU55" s="6845">
        <f>+AU72*AU$5/1000</f>
        <v>363.4686460389654</v>
      </c>
      <c r="AV55" s="6845">
        <v>135</v>
      </c>
      <c r="AW55" s="5040">
        <f>+AS55+AU55</f>
        <v>3981.6360920715047</v>
      </c>
      <c r="AX55" s="5040">
        <f>+AT55+AV55</f>
        <v>3432.33</v>
      </c>
      <c r="AY55" s="6998">
        <f>+AY72*AY$5/1000</f>
        <v>406.75712791515014</v>
      </c>
      <c r="AZ55" s="6998">
        <v>421</v>
      </c>
      <c r="BA55" s="2885">
        <f t="shared" ref="BA55:BA70" si="73">+AY55+AU55+AQ55</f>
        <v>1176.9829018692658</v>
      </c>
      <c r="BB55" s="2885">
        <f t="shared" ref="BB55:BB70" si="74">+AZ55+AV55+AR55</f>
        <v>823.8</v>
      </c>
      <c r="BC55" s="2925">
        <f t="shared" ref="BC55:BD56" si="75">+BA55+AM55</f>
        <v>2366.3339414174402</v>
      </c>
      <c r="BD55" s="2925">
        <f t="shared" si="75"/>
        <v>1766.33</v>
      </c>
      <c r="BE55" s="2884">
        <f t="shared" ref="BE55:BE70" si="76">+AW55+AY55</f>
        <v>4388.3932199866549</v>
      </c>
      <c r="BF55" s="37">
        <f t="shared" ref="BF55:BF70" si="77">+AX55+AZ55</f>
        <v>3853.33</v>
      </c>
      <c r="BG55" s="4396"/>
      <c r="BH55" s="4396"/>
      <c r="BI55" s="3604"/>
      <c r="BJ55" s="3604"/>
      <c r="BK55" s="3957"/>
      <c r="BL55" s="3604"/>
      <c r="BM55" s="3957"/>
      <c r="BN55" s="3957"/>
    </row>
    <row r="56" spans="1:66" ht="15" x14ac:dyDescent="0.25">
      <c r="B56" s="694" t="s">
        <v>800</v>
      </c>
      <c r="C56" s="3180" t="s">
        <v>50</v>
      </c>
      <c r="D56" s="3594">
        <f>+D73*D$5/1000</f>
        <v>2201.7356157900963</v>
      </c>
      <c r="E56" s="2945">
        <f>+E73*E$5/1000</f>
        <v>151.3592059915857</v>
      </c>
      <c r="F56" s="2945">
        <v>140</v>
      </c>
      <c r="G56" s="5596">
        <f>+G73*G$5/1000</f>
        <v>205.54918328420422</v>
      </c>
      <c r="H56" s="5596">
        <v>178</v>
      </c>
      <c r="I56" s="2884">
        <f t="shared" si="63"/>
        <v>356.90838927578989</v>
      </c>
      <c r="J56" s="37">
        <f t="shared" si="64"/>
        <v>318</v>
      </c>
      <c r="K56" s="5711">
        <f>+K73*K$5/1000</f>
        <v>199.20262417083617</v>
      </c>
      <c r="L56" s="5711">
        <v>105</v>
      </c>
      <c r="M56" s="2885">
        <f t="shared" si="65"/>
        <v>556.11101344662609</v>
      </c>
      <c r="N56" s="2885">
        <f t="shared" si="66"/>
        <v>423</v>
      </c>
      <c r="O56" s="5849">
        <f>+O73*O$5/1000</f>
        <v>201.58258383834942</v>
      </c>
      <c r="P56" s="5849">
        <v>137</v>
      </c>
      <c r="Q56" s="2884">
        <f t="shared" ref="Q56:Q62" si="78">+M56+O56</f>
        <v>757.69359728497557</v>
      </c>
      <c r="R56" s="2884">
        <f t="shared" ref="R56:R62" si="79">+N56+P56</f>
        <v>560</v>
      </c>
      <c r="S56" s="5916">
        <f>+S73*S$5/1000</f>
        <v>201.58258383834942</v>
      </c>
      <c r="T56" s="5916">
        <v>131</v>
      </c>
      <c r="U56" s="4347">
        <f t="shared" ref="U56:U70" si="80">+Q56+S56</f>
        <v>959.27618112332493</v>
      </c>
      <c r="V56" s="4347">
        <f t="shared" ref="V56:V70" si="81">+R56+T56</f>
        <v>691</v>
      </c>
      <c r="W56" s="6028">
        <f>+W73*W$5/1000</f>
        <v>105.78920722095233</v>
      </c>
      <c r="X56" s="6028">
        <v>129</v>
      </c>
      <c r="Y56" s="2885">
        <f t="shared" si="67"/>
        <v>508.95437489765118</v>
      </c>
      <c r="Z56" s="2885">
        <f t="shared" si="68"/>
        <v>397</v>
      </c>
      <c r="AA56" s="2925">
        <f>+Y56+M56</f>
        <v>1065.0653883442774</v>
      </c>
      <c r="AB56" s="2925">
        <f>+Z56+N56</f>
        <v>820</v>
      </c>
      <c r="AC56" s="6148">
        <f>+AC73*AC$5/1000</f>
        <v>205.54918328420422</v>
      </c>
      <c r="AD56" s="6148">
        <v>94</v>
      </c>
      <c r="AE56" s="2884">
        <f t="shared" ref="AE56:AE70" si="82">+AA56+AC56</f>
        <v>1270.6145716284816</v>
      </c>
      <c r="AF56" s="2884">
        <f t="shared" ref="AF56:AF70" si="83">+AB56+AD56</f>
        <v>914</v>
      </c>
      <c r="AG56" s="6310">
        <f>+AG73*AG$5/1000</f>
        <v>199.20262417083617</v>
      </c>
      <c r="AH56" s="6310">
        <v>112</v>
      </c>
      <c r="AI56" s="4647">
        <f t="shared" ref="AI56:AI70" si="84">+AE56+AG56</f>
        <v>1469.8171957993177</v>
      </c>
      <c r="AJ56" s="4647">
        <f t="shared" ref="AJ56:AJ70" si="85">+AF56+AH56</f>
        <v>1026</v>
      </c>
      <c r="AK56" s="6571">
        <f>+AK73*AK$5/1000</f>
        <v>205.54918328420422</v>
      </c>
      <c r="AL56" s="6571">
        <v>70</v>
      </c>
      <c r="AM56" s="2885">
        <f t="shared" si="69"/>
        <v>610.30099073924464</v>
      </c>
      <c r="AN56" s="2885">
        <f t="shared" si="70"/>
        <v>276</v>
      </c>
      <c r="AO56" s="2884">
        <f t="shared" ref="AO56:AO70" si="86">+AK56+AI56</f>
        <v>1675.3663790835219</v>
      </c>
      <c r="AP56" s="2884">
        <f t="shared" ref="AP56:AP70" si="87">+AL56+AJ56</f>
        <v>1096</v>
      </c>
      <c r="AQ56" s="4971">
        <f>+AQ73*AQ$5/1000</f>
        <v>208.72246284088834</v>
      </c>
      <c r="AR56" s="4971">
        <v>88</v>
      </c>
      <c r="AS56" s="2884">
        <f t="shared" ref="AS56:AS70" si="88">+AO56+AQ56</f>
        <v>1884.0888419244102</v>
      </c>
      <c r="AT56" s="2884">
        <f t="shared" ref="AT56:AT70" si="89">+AP56+AR56</f>
        <v>1184</v>
      </c>
      <c r="AU56" s="6845">
        <f>+AU73*AU$5/1000</f>
        <v>186.50950594410051</v>
      </c>
      <c r="AV56" s="6845">
        <v>143.714</v>
      </c>
      <c r="AW56" s="5040">
        <f t="shared" ref="AW56:AW70" si="90">+AS56+AU56</f>
        <v>2070.5983478685107</v>
      </c>
      <c r="AX56" s="5040">
        <f t="shared" ref="AX56:AX70" si="91">+AT56+AV56</f>
        <v>1327.7139999999999</v>
      </c>
      <c r="AY56" s="6998">
        <f>+AY73*AY$5/1000</f>
        <v>208.72246284088834</v>
      </c>
      <c r="AZ56" s="6998">
        <v>122</v>
      </c>
      <c r="BA56" s="2885">
        <f t="shared" si="73"/>
        <v>603.95443162587719</v>
      </c>
      <c r="BB56" s="2885">
        <f t="shared" si="74"/>
        <v>353.714</v>
      </c>
      <c r="BC56" s="2925">
        <f t="shared" si="75"/>
        <v>1214.2554223651218</v>
      </c>
      <c r="BD56" s="2925">
        <f t="shared" si="75"/>
        <v>629.71399999999994</v>
      </c>
      <c r="BE56" s="2884">
        <f t="shared" si="76"/>
        <v>2279.3208107093992</v>
      </c>
      <c r="BF56" s="37">
        <f t="shared" si="77"/>
        <v>1449.7139999999999</v>
      </c>
      <c r="BG56" s="4396"/>
      <c r="BH56" s="4396"/>
      <c r="BI56" s="3604"/>
      <c r="BJ56" s="3604"/>
      <c r="BK56" s="3957"/>
      <c r="BL56" s="3604"/>
      <c r="BM56" s="3957"/>
      <c r="BN56" s="3957"/>
    </row>
    <row r="57" spans="1:66" ht="15" x14ac:dyDescent="0.25">
      <c r="B57" s="696" t="s">
        <v>842</v>
      </c>
      <c r="C57" s="3684" t="s">
        <v>50</v>
      </c>
      <c r="D57" s="1253">
        <f>SUM(D55:D56)</f>
        <v>5713.73700840316</v>
      </c>
      <c r="E57" s="3650">
        <f>SUM(E55:E56)</f>
        <v>392.79316310023728</v>
      </c>
      <c r="F57" s="3650">
        <f>SUM(F55:F56)</f>
        <v>549</v>
      </c>
      <c r="G57" s="5595">
        <f>SUM(G55:G56)</f>
        <v>606.12224235989913</v>
      </c>
      <c r="H57" s="5595">
        <f>SUM(H55:H56)</f>
        <v>475</v>
      </c>
      <c r="I57" s="2884">
        <f t="shared" si="63"/>
        <v>998.91540546013641</v>
      </c>
      <c r="J57" s="37">
        <f t="shared" si="64"/>
        <v>1024</v>
      </c>
      <c r="K57" s="5710">
        <f>SUM(K55:K56)</f>
        <v>587.4075455676209</v>
      </c>
      <c r="L57" s="5710">
        <f>SUM(L55:L56)</f>
        <v>510</v>
      </c>
      <c r="M57" s="2885">
        <f t="shared" si="65"/>
        <v>1586.3229510277572</v>
      </c>
      <c r="N57" s="2885">
        <f t="shared" si="66"/>
        <v>1534</v>
      </c>
      <c r="O57" s="5847">
        <f>SUM(O55:O56)</f>
        <v>594.42555686472588</v>
      </c>
      <c r="P57" s="5847">
        <f>SUM(P55:P56)</f>
        <v>520</v>
      </c>
      <c r="Q57" s="2884">
        <f t="shared" si="78"/>
        <v>2180.7485078924828</v>
      </c>
      <c r="R57" s="2884">
        <f t="shared" si="79"/>
        <v>2054</v>
      </c>
      <c r="S57" s="5915">
        <f>SUM(S55:S56)</f>
        <v>594.42555686472588</v>
      </c>
      <c r="T57" s="5915">
        <f>SUM(T55:T56)</f>
        <v>431</v>
      </c>
      <c r="U57" s="4347">
        <f t="shared" si="80"/>
        <v>2775.1740647572087</v>
      </c>
      <c r="V57" s="4347">
        <f t="shared" si="81"/>
        <v>2485</v>
      </c>
      <c r="W57" s="6027">
        <f>SUM(W55:W56)</f>
        <v>311.95060215628291</v>
      </c>
      <c r="X57" s="6027">
        <f>SUM(X55:X56)</f>
        <v>422</v>
      </c>
      <c r="Y57" s="3649">
        <f t="shared" si="67"/>
        <v>1500.8017158857347</v>
      </c>
      <c r="Z57" s="3649">
        <f t="shared" si="68"/>
        <v>1373</v>
      </c>
      <c r="AA57" s="3685">
        <f t="shared" ref="AA57:AB57" si="92">SUM(AA55:AA56)</f>
        <v>3087.1246669134921</v>
      </c>
      <c r="AB57" s="3685">
        <f t="shared" si="92"/>
        <v>2907</v>
      </c>
      <c r="AC57" s="6146">
        <f>SUM(AC55:AC56)</f>
        <v>606.12224235989913</v>
      </c>
      <c r="AD57" s="6146">
        <f>SUM(AD55:AD56)</f>
        <v>345</v>
      </c>
      <c r="AE57" s="2884">
        <f t="shared" si="82"/>
        <v>3693.2469092733913</v>
      </c>
      <c r="AF57" s="2884">
        <f t="shared" si="83"/>
        <v>3252</v>
      </c>
      <c r="AG57" s="6308">
        <f>SUM(AG55:AG56)</f>
        <v>587.4075455676209</v>
      </c>
      <c r="AH57" s="6308">
        <f>SUM(AH55:AH56)</f>
        <v>402</v>
      </c>
      <c r="AI57" s="4647">
        <f t="shared" si="84"/>
        <v>4280.654454841012</v>
      </c>
      <c r="AJ57" s="4647">
        <f t="shared" si="85"/>
        <v>3654</v>
      </c>
      <c r="AK57" s="6570">
        <f>SUM(AK55:AK56)</f>
        <v>606.12224235989913</v>
      </c>
      <c r="AL57" s="6570">
        <f>SUM(AL55:AL56)</f>
        <v>471.53</v>
      </c>
      <c r="AM57" s="3649">
        <f t="shared" si="69"/>
        <v>1799.6520302874192</v>
      </c>
      <c r="AN57" s="3649">
        <f t="shared" si="70"/>
        <v>1218.53</v>
      </c>
      <c r="AO57" s="2884">
        <f t="shared" si="86"/>
        <v>4886.7766972009113</v>
      </c>
      <c r="AP57" s="2884">
        <f t="shared" si="87"/>
        <v>4125.53</v>
      </c>
      <c r="AQ57" s="4970">
        <f>SUM(AQ55:AQ56)</f>
        <v>615.47959075603853</v>
      </c>
      <c r="AR57" s="4970">
        <f>SUM(AR55:AR56)</f>
        <v>355.8</v>
      </c>
      <c r="AS57" s="2884">
        <f t="shared" si="88"/>
        <v>5502.2562879569496</v>
      </c>
      <c r="AT57" s="2884">
        <f t="shared" si="89"/>
        <v>4481.33</v>
      </c>
      <c r="AU57" s="6844">
        <f>SUM(AU55:AU56)</f>
        <v>549.97815198306591</v>
      </c>
      <c r="AV57" s="6844">
        <f>SUM(AV55:AV56)</f>
        <v>278.714</v>
      </c>
      <c r="AW57" s="5040">
        <f t="shared" si="90"/>
        <v>6052.2344399400154</v>
      </c>
      <c r="AX57" s="5040">
        <f t="shared" si="91"/>
        <v>4760.0439999999999</v>
      </c>
      <c r="AY57" s="6997">
        <f>SUM(AY55:AY56)</f>
        <v>615.47959075603853</v>
      </c>
      <c r="AZ57" s="6997">
        <f>SUM(AZ55:AZ56)</f>
        <v>543</v>
      </c>
      <c r="BA57" s="3649">
        <f t="shared" si="73"/>
        <v>1780.9373334951431</v>
      </c>
      <c r="BB57" s="3649">
        <f t="shared" si="74"/>
        <v>1177.5139999999999</v>
      </c>
      <c r="BC57" s="3685">
        <f t="shared" ref="BC57:BD57" si="93">SUM(BC55:BC56)</f>
        <v>3580.589363782562</v>
      </c>
      <c r="BD57" s="3685">
        <f t="shared" si="93"/>
        <v>2396.0439999999999</v>
      </c>
      <c r="BE57" s="2884">
        <f t="shared" si="76"/>
        <v>6667.7140306960537</v>
      </c>
      <c r="BF57" s="37">
        <f t="shared" si="77"/>
        <v>5303.0439999999999</v>
      </c>
      <c r="BG57" s="4396"/>
      <c r="BH57" s="4396"/>
      <c r="BI57" s="3604"/>
      <c r="BJ57" s="3604"/>
      <c r="BK57" s="3957"/>
      <c r="BL57" s="3604"/>
      <c r="BM57" s="3957"/>
      <c r="BN57" s="3957"/>
    </row>
    <row r="58" spans="1:66" ht="15" x14ac:dyDescent="0.25">
      <c r="B58" s="694" t="s">
        <v>84</v>
      </c>
      <c r="C58" s="3180" t="s">
        <v>50</v>
      </c>
      <c r="D58" s="3594">
        <f>+D75*D$5/1000</f>
        <v>39108.92926621464</v>
      </c>
      <c r="E58" s="2945">
        <f>+E75*E$5/1000</f>
        <v>2688.5591705301626</v>
      </c>
      <c r="F58" s="2945">
        <v>2872</v>
      </c>
      <c r="G58" s="5596">
        <f>+G75*G$5/1000</f>
        <v>4250.5533617296896</v>
      </c>
      <c r="H58" s="5596">
        <v>3570</v>
      </c>
      <c r="I58" s="2884">
        <f t="shared" si="63"/>
        <v>6939.1125322598527</v>
      </c>
      <c r="J58" s="37">
        <f t="shared" si="64"/>
        <v>6442</v>
      </c>
      <c r="K58" s="5711">
        <f>+K75*K$5/1000</f>
        <v>4119.3128102289647</v>
      </c>
      <c r="L58" s="5711">
        <v>3768</v>
      </c>
      <c r="M58" s="2885">
        <f t="shared" si="65"/>
        <v>11058.425342488817</v>
      </c>
      <c r="N58" s="2885">
        <f t="shared" si="66"/>
        <v>10210</v>
      </c>
      <c r="O58" s="5849">
        <f>+O75*O$5/1000</f>
        <v>4168.5280170417409</v>
      </c>
      <c r="P58" s="5849">
        <v>4098</v>
      </c>
      <c r="Q58" s="2884">
        <f t="shared" si="78"/>
        <v>15226.953359530558</v>
      </c>
      <c r="R58" s="2884">
        <f t="shared" si="79"/>
        <v>14308</v>
      </c>
      <c r="S58" s="5916">
        <f>+S75*S$5/1000</f>
        <v>4168.5280170417409</v>
      </c>
      <c r="T58" s="5916">
        <v>3587.02</v>
      </c>
      <c r="U58" s="4347">
        <f t="shared" si="80"/>
        <v>19395.481376572301</v>
      </c>
      <c r="V58" s="4347">
        <f t="shared" si="81"/>
        <v>17895.02</v>
      </c>
      <c r="W58" s="6028">
        <f>+W75*W$5/1000</f>
        <v>2187.6159428276978</v>
      </c>
      <c r="X58" s="6028">
        <v>3011.1099999999997</v>
      </c>
      <c r="Y58" s="2885">
        <f t="shared" si="67"/>
        <v>10524.671976911181</v>
      </c>
      <c r="Z58" s="2885">
        <f t="shared" si="68"/>
        <v>10696.13</v>
      </c>
      <c r="AA58" s="2925">
        <f t="shared" ref="AA58:AB70" si="94">+Y58+M58</f>
        <v>21583.097319399996</v>
      </c>
      <c r="AB58" s="2925">
        <f t="shared" si="94"/>
        <v>20906.129999999997</v>
      </c>
      <c r="AC58" s="6148">
        <f>+AC75*AC$5/1000</f>
        <v>4250.5533617296896</v>
      </c>
      <c r="AD58" s="6148">
        <v>2470</v>
      </c>
      <c r="AE58" s="2884">
        <f t="shared" si="82"/>
        <v>25833.650681129686</v>
      </c>
      <c r="AF58" s="2884">
        <f t="shared" si="83"/>
        <v>23376.129999999997</v>
      </c>
      <c r="AG58" s="6310">
        <f>+AG75*AG$5/1000</f>
        <v>4119.3128102289647</v>
      </c>
      <c r="AH58" s="6310">
        <v>2814</v>
      </c>
      <c r="AI58" s="4647">
        <f t="shared" si="84"/>
        <v>29952.963491358649</v>
      </c>
      <c r="AJ58" s="4647">
        <f t="shared" si="85"/>
        <v>26190.129999999997</v>
      </c>
      <c r="AK58" s="6571">
        <f>+AK75*AK$5/1000</f>
        <v>4250.5533617296896</v>
      </c>
      <c r="AL58" s="6571">
        <v>3092</v>
      </c>
      <c r="AM58" s="2885">
        <f t="shared" si="69"/>
        <v>12620.419533688344</v>
      </c>
      <c r="AN58" s="2885">
        <f t="shared" si="70"/>
        <v>8376</v>
      </c>
      <c r="AO58" s="2884">
        <f t="shared" si="86"/>
        <v>34203.516853088338</v>
      </c>
      <c r="AP58" s="2884">
        <f t="shared" si="87"/>
        <v>29282.129999999997</v>
      </c>
      <c r="AQ58" s="4971">
        <f>+AQ75*AQ$5/1000</f>
        <v>4316.1736374800548</v>
      </c>
      <c r="AR58" s="4971">
        <v>3008</v>
      </c>
      <c r="AS58" s="2884">
        <f t="shared" si="88"/>
        <v>38519.690490568391</v>
      </c>
      <c r="AT58" s="2884">
        <f t="shared" si="89"/>
        <v>32290.129999999997</v>
      </c>
      <c r="AU58" s="6845">
        <f>+AU75*AU$5/1000</f>
        <v>3856.8317072275213</v>
      </c>
      <c r="AV58" s="6845">
        <v>2409</v>
      </c>
      <c r="AW58" s="5040">
        <f t="shared" si="90"/>
        <v>42376.522197795915</v>
      </c>
      <c r="AX58" s="5040">
        <f t="shared" si="91"/>
        <v>34699.129999999997</v>
      </c>
      <c r="AY58" s="6998">
        <f>+AY75*AY$5/1000</f>
        <v>4316.1736374800548</v>
      </c>
      <c r="AZ58" s="6998">
        <v>3289</v>
      </c>
      <c r="BA58" s="2885">
        <f t="shared" si="73"/>
        <v>12489.17898218763</v>
      </c>
      <c r="BB58" s="2885">
        <f t="shared" si="74"/>
        <v>8706</v>
      </c>
      <c r="BC58" s="2925">
        <f t="shared" ref="BC58:BD59" si="95">+BA58+AM58</f>
        <v>25109.598515875972</v>
      </c>
      <c r="BD58" s="2925">
        <f t="shared" si="95"/>
        <v>17082</v>
      </c>
      <c r="BE58" s="2884">
        <f t="shared" si="76"/>
        <v>46692.695835275968</v>
      </c>
      <c r="BF58" s="37">
        <f t="shared" si="77"/>
        <v>37988.129999999997</v>
      </c>
      <c r="BG58" s="4396"/>
      <c r="BH58" s="4396"/>
      <c r="BI58" s="3604"/>
      <c r="BJ58" s="3604"/>
      <c r="BK58" s="3957"/>
      <c r="BL58" s="3604"/>
      <c r="BM58" s="3957"/>
      <c r="BN58" s="3957"/>
    </row>
    <row r="59" spans="1:66" ht="15" x14ac:dyDescent="0.25">
      <c r="B59" s="694" t="s">
        <v>1489</v>
      </c>
      <c r="C59" s="3180" t="s">
        <v>50</v>
      </c>
      <c r="D59" s="3594">
        <f>+D76*D$5/1000</f>
        <v>0</v>
      </c>
      <c r="E59" s="2945">
        <f>+E76*E$5/1000</f>
        <v>0</v>
      </c>
      <c r="F59" s="2945"/>
      <c r="G59" s="5596">
        <f>+G76*G$5/1000</f>
        <v>0</v>
      </c>
      <c r="H59" s="5596"/>
      <c r="I59" s="2884">
        <f t="shared" si="63"/>
        <v>0</v>
      </c>
      <c r="J59" s="37">
        <f t="shared" si="64"/>
        <v>0</v>
      </c>
      <c r="K59" s="5711">
        <f>+K76*K$5/1000</f>
        <v>0</v>
      </c>
      <c r="L59" s="5711">
        <v>0</v>
      </c>
      <c r="M59" s="2885">
        <f t="shared" si="65"/>
        <v>0</v>
      </c>
      <c r="N59" s="2885">
        <f t="shared" si="66"/>
        <v>0</v>
      </c>
      <c r="O59" s="5849">
        <f>+O76*O$5/1000</f>
        <v>0</v>
      </c>
      <c r="P59" s="5849">
        <v>0</v>
      </c>
      <c r="Q59" s="2884">
        <f t="shared" si="78"/>
        <v>0</v>
      </c>
      <c r="R59" s="2884">
        <f t="shared" si="79"/>
        <v>0</v>
      </c>
      <c r="S59" s="5916">
        <f>+S76*S$5/1000</f>
        <v>0</v>
      </c>
      <c r="T59" s="5916">
        <v>0</v>
      </c>
      <c r="U59" s="4347">
        <f t="shared" si="80"/>
        <v>0</v>
      </c>
      <c r="V59" s="4347">
        <f t="shared" si="81"/>
        <v>0</v>
      </c>
      <c r="W59" s="6028">
        <f>+W76*W$5/1000</f>
        <v>0</v>
      </c>
      <c r="X59" s="6028">
        <v>0</v>
      </c>
      <c r="Y59" s="2885">
        <f t="shared" si="67"/>
        <v>0</v>
      </c>
      <c r="Z59" s="2885">
        <f t="shared" si="68"/>
        <v>0</v>
      </c>
      <c r="AA59" s="2925">
        <f t="shared" si="94"/>
        <v>0</v>
      </c>
      <c r="AB59" s="2925">
        <f t="shared" si="94"/>
        <v>0</v>
      </c>
      <c r="AC59" s="6148">
        <f>+AC76*AC$5/1000</f>
        <v>0</v>
      </c>
      <c r="AD59" s="6148">
        <v>0</v>
      </c>
      <c r="AE59" s="2884">
        <f t="shared" si="82"/>
        <v>0</v>
      </c>
      <c r="AF59" s="2884">
        <f t="shared" si="83"/>
        <v>0</v>
      </c>
      <c r="AG59" s="6310">
        <f>+AG76*AG$5/1000</f>
        <v>0</v>
      </c>
      <c r="AH59" s="6310">
        <v>0</v>
      </c>
      <c r="AI59" s="4647">
        <f t="shared" si="84"/>
        <v>0</v>
      </c>
      <c r="AJ59" s="4647">
        <f t="shared" si="85"/>
        <v>0</v>
      </c>
      <c r="AK59" s="6571">
        <f>+AK76*AK$5/1000</f>
        <v>0</v>
      </c>
      <c r="AL59" s="6571">
        <v>0</v>
      </c>
      <c r="AM59" s="2885">
        <f t="shared" si="69"/>
        <v>0</v>
      </c>
      <c r="AN59" s="2885">
        <f t="shared" si="70"/>
        <v>0</v>
      </c>
      <c r="AO59" s="2884">
        <f t="shared" si="86"/>
        <v>0</v>
      </c>
      <c r="AP59" s="2884">
        <f t="shared" si="87"/>
        <v>0</v>
      </c>
      <c r="AQ59" s="4971">
        <f>+AQ76*AQ$5/1000</f>
        <v>0</v>
      </c>
      <c r="AR59" s="4971">
        <v>0</v>
      </c>
      <c r="AS59" s="2884">
        <f t="shared" si="88"/>
        <v>0</v>
      </c>
      <c r="AT59" s="2884">
        <f t="shared" si="89"/>
        <v>0</v>
      </c>
      <c r="AU59" s="6845">
        <f>+AU76*AU$5/1000</f>
        <v>0</v>
      </c>
      <c r="AV59" s="6845">
        <v>0</v>
      </c>
      <c r="AW59" s="5040">
        <f t="shared" si="90"/>
        <v>0</v>
      </c>
      <c r="AX59" s="5040">
        <f t="shared" si="91"/>
        <v>0</v>
      </c>
      <c r="AY59" s="6998">
        <f>+AY76*AY$5/1000</f>
        <v>0</v>
      </c>
      <c r="AZ59" s="6998">
        <v>0</v>
      </c>
      <c r="BA59" s="2885">
        <f t="shared" si="73"/>
        <v>0</v>
      </c>
      <c r="BB59" s="2885">
        <f t="shared" si="74"/>
        <v>0</v>
      </c>
      <c r="BC59" s="2925">
        <f t="shared" si="95"/>
        <v>0</v>
      </c>
      <c r="BD59" s="2925">
        <f t="shared" si="95"/>
        <v>0</v>
      </c>
      <c r="BE59" s="2884">
        <f t="shared" si="76"/>
        <v>0</v>
      </c>
      <c r="BF59" s="37">
        <f t="shared" si="77"/>
        <v>0</v>
      </c>
      <c r="BG59" s="4396"/>
      <c r="BH59" s="4396"/>
      <c r="BI59" s="3604"/>
      <c r="BJ59" s="3604"/>
      <c r="BK59" s="3957"/>
      <c r="BL59" s="3604"/>
      <c r="BM59" s="3957"/>
      <c r="BN59" s="3957"/>
    </row>
    <row r="60" spans="1:66" ht="15" x14ac:dyDescent="0.25">
      <c r="A60" s="3606"/>
      <c r="B60" s="696" t="s">
        <v>1490</v>
      </c>
      <c r="C60" s="3686" t="s">
        <v>50</v>
      </c>
      <c r="D60" s="1253">
        <f>SUM(D58:D59)</f>
        <v>39108.92926621464</v>
      </c>
      <c r="E60" s="3650">
        <f>SUM(E58:E59)</f>
        <v>2688.5591705301626</v>
      </c>
      <c r="F60" s="3650">
        <f>+F58+F59</f>
        <v>2872</v>
      </c>
      <c r="G60" s="5595">
        <f>SUM(G58:G59)</f>
        <v>4250.5533617296896</v>
      </c>
      <c r="H60" s="5595">
        <f>+H58+H59</f>
        <v>3570</v>
      </c>
      <c r="I60" s="2884">
        <f t="shared" si="63"/>
        <v>6939.1125322598527</v>
      </c>
      <c r="J60" s="37">
        <f t="shared" si="64"/>
        <v>6442</v>
      </c>
      <c r="K60" s="5710">
        <f>SUM(K58:K59)</f>
        <v>4119.3128102289647</v>
      </c>
      <c r="L60" s="5710">
        <f>+L58+L59</f>
        <v>3768</v>
      </c>
      <c r="M60" s="3649">
        <f t="shared" si="65"/>
        <v>11058.425342488817</v>
      </c>
      <c r="N60" s="3649">
        <f t="shared" si="66"/>
        <v>10210</v>
      </c>
      <c r="O60" s="5847">
        <f>SUM(O58:O59)</f>
        <v>4168.5280170417409</v>
      </c>
      <c r="P60" s="5847">
        <f>+P58+P59</f>
        <v>4098</v>
      </c>
      <c r="Q60" s="2884">
        <f t="shared" si="78"/>
        <v>15226.953359530558</v>
      </c>
      <c r="R60" s="2884">
        <f t="shared" si="79"/>
        <v>14308</v>
      </c>
      <c r="S60" s="5915">
        <f>SUM(S58:S59)</f>
        <v>4168.5280170417409</v>
      </c>
      <c r="T60" s="5915">
        <f>+T58+T59</f>
        <v>3587.02</v>
      </c>
      <c r="U60" s="4347">
        <f t="shared" si="80"/>
        <v>19395.481376572301</v>
      </c>
      <c r="V60" s="4347">
        <f t="shared" si="81"/>
        <v>17895.02</v>
      </c>
      <c r="W60" s="6027">
        <f>SUM(W58:W59)</f>
        <v>2187.6159428276978</v>
      </c>
      <c r="X60" s="6027">
        <f>+X58+X59</f>
        <v>3011.1099999999997</v>
      </c>
      <c r="Y60" s="3649">
        <f t="shared" si="67"/>
        <v>10524.671976911181</v>
      </c>
      <c r="Z60" s="3649">
        <f t="shared" si="68"/>
        <v>10696.13</v>
      </c>
      <c r="AA60" s="2912">
        <f t="shared" si="94"/>
        <v>21583.097319399996</v>
      </c>
      <c r="AB60" s="2912">
        <f t="shared" si="94"/>
        <v>20906.129999999997</v>
      </c>
      <c r="AC60" s="6146">
        <f>SUM(AC58:AC59)</f>
        <v>4250.5533617296896</v>
      </c>
      <c r="AD60" s="6146">
        <f>+AD58+AD59</f>
        <v>2470</v>
      </c>
      <c r="AE60" s="2884">
        <f t="shared" si="82"/>
        <v>25833.650681129686</v>
      </c>
      <c r="AF60" s="2884">
        <f t="shared" si="83"/>
        <v>23376.129999999997</v>
      </c>
      <c r="AG60" s="6308">
        <f>SUM(AG58:AG59)</f>
        <v>4119.3128102289647</v>
      </c>
      <c r="AH60" s="6308">
        <f>+AH58+AH59</f>
        <v>2814</v>
      </c>
      <c r="AI60" s="4647">
        <f t="shared" si="84"/>
        <v>29952.963491358649</v>
      </c>
      <c r="AJ60" s="4647">
        <f t="shared" si="85"/>
        <v>26190.129999999997</v>
      </c>
      <c r="AK60" s="6570">
        <f>SUM(AK58:AK59)</f>
        <v>4250.5533617296896</v>
      </c>
      <c r="AL60" s="6570">
        <f>+AL58+AL59</f>
        <v>3092</v>
      </c>
      <c r="AM60" s="3649">
        <f t="shared" si="69"/>
        <v>12620.419533688344</v>
      </c>
      <c r="AN60" s="3649">
        <f t="shared" si="70"/>
        <v>8376</v>
      </c>
      <c r="AO60" s="2884">
        <f t="shared" si="86"/>
        <v>34203.516853088338</v>
      </c>
      <c r="AP60" s="2884">
        <f t="shared" si="87"/>
        <v>29282.129999999997</v>
      </c>
      <c r="AQ60" s="4970">
        <f>SUM(AQ58:AQ59)</f>
        <v>4316.1736374800548</v>
      </c>
      <c r="AR60" s="4970">
        <f t="shared" ref="AR60" si="96">+AR58+AR59</f>
        <v>3008</v>
      </c>
      <c r="AS60" s="2884">
        <f t="shared" si="88"/>
        <v>38519.690490568391</v>
      </c>
      <c r="AT60" s="2884">
        <f t="shared" si="89"/>
        <v>32290.129999999997</v>
      </c>
      <c r="AU60" s="6844">
        <f>SUM(AU58:AU59)</f>
        <v>3856.8317072275213</v>
      </c>
      <c r="AV60" s="6844">
        <f t="shared" ref="AV60" si="97">+AV58+AV59</f>
        <v>2409</v>
      </c>
      <c r="AW60" s="5040">
        <f t="shared" si="90"/>
        <v>42376.522197795915</v>
      </c>
      <c r="AX60" s="5040">
        <f t="shared" si="91"/>
        <v>34699.129999999997</v>
      </c>
      <c r="AY60" s="6997">
        <f>SUM(AY58:AY59)</f>
        <v>4316.1736374800548</v>
      </c>
      <c r="AZ60" s="6997">
        <f t="shared" ref="AZ60" si="98">+AZ58+AZ59</f>
        <v>3289</v>
      </c>
      <c r="BA60" s="3649">
        <f t="shared" si="73"/>
        <v>12489.17898218763</v>
      </c>
      <c r="BB60" s="3649">
        <f t="shared" si="74"/>
        <v>8706</v>
      </c>
      <c r="BC60" s="2912">
        <f>+BA60+AM60</f>
        <v>25109.598515875972</v>
      </c>
      <c r="BD60" s="2912">
        <f>+BB60+AN60</f>
        <v>17082</v>
      </c>
      <c r="BE60" s="2884">
        <f t="shared" si="76"/>
        <v>46692.695835275968</v>
      </c>
      <c r="BF60" s="37">
        <f t="shared" si="77"/>
        <v>37988.129999999997</v>
      </c>
      <c r="BG60" s="4396"/>
      <c r="BH60" s="4396"/>
      <c r="BI60" s="3604"/>
      <c r="BJ60" s="3604"/>
      <c r="BK60" s="3957"/>
      <c r="BL60" s="3604"/>
      <c r="BM60" s="3957"/>
      <c r="BN60" s="3957"/>
    </row>
    <row r="61" spans="1:66" ht="15" x14ac:dyDescent="0.25">
      <c r="A61" s="3606"/>
      <c r="B61" s="696" t="s">
        <v>85</v>
      </c>
      <c r="C61" s="3686" t="s">
        <v>50</v>
      </c>
      <c r="D61" s="1253">
        <f>+D78*D$5/1000</f>
        <v>6016.890625934102</v>
      </c>
      <c r="E61" s="3650">
        <f>+E78*E$5/1000</f>
        <v>413.63358122941139</v>
      </c>
      <c r="F61" s="3650">
        <v>482</v>
      </c>
      <c r="G61" s="5595">
        <f>+G78*G$5/1000</f>
        <v>530.18017757656514</v>
      </c>
      <c r="H61" s="5595">
        <v>551</v>
      </c>
      <c r="I61" s="2884">
        <f t="shared" si="63"/>
        <v>943.81375880597648</v>
      </c>
      <c r="J61" s="37">
        <f t="shared" si="64"/>
        <v>1033</v>
      </c>
      <c r="K61" s="5710">
        <f>+K78*K$5/1000</f>
        <v>513.81027630056133</v>
      </c>
      <c r="L61" s="5710">
        <v>526.21</v>
      </c>
      <c r="M61" s="3649">
        <f t="shared" si="65"/>
        <v>1457.624035106538</v>
      </c>
      <c r="N61" s="3649">
        <f t="shared" si="66"/>
        <v>1559.21</v>
      </c>
      <c r="O61" s="5847">
        <f>+O78*O$5/1000</f>
        <v>519.94898927906331</v>
      </c>
      <c r="P61" s="5847">
        <v>485.89400000000001</v>
      </c>
      <c r="Q61" s="2884">
        <f t="shared" si="78"/>
        <v>1977.5730243856015</v>
      </c>
      <c r="R61" s="2884">
        <f t="shared" si="79"/>
        <v>2045.104</v>
      </c>
      <c r="S61" s="5915">
        <f>+S78*S$5/1000</f>
        <v>519.94898927906331</v>
      </c>
      <c r="T61" s="5915">
        <v>516</v>
      </c>
      <c r="U61" s="4347">
        <f t="shared" si="80"/>
        <v>2497.5220136646649</v>
      </c>
      <c r="V61" s="4347">
        <f t="shared" si="81"/>
        <v>2561.1040000000003</v>
      </c>
      <c r="W61" s="6027">
        <f>+W78*W$5/1000</f>
        <v>272.86579189438544</v>
      </c>
      <c r="X61" s="6027">
        <v>481</v>
      </c>
      <c r="Y61" s="3649">
        <f t="shared" si="67"/>
        <v>1312.7637704525121</v>
      </c>
      <c r="Z61" s="3649">
        <f t="shared" si="68"/>
        <v>1482.894</v>
      </c>
      <c r="AA61" s="2912">
        <f t="shared" si="94"/>
        <v>2770.3878055590503</v>
      </c>
      <c r="AB61" s="2912">
        <f t="shared" si="94"/>
        <v>3042.1040000000003</v>
      </c>
      <c r="AC61" s="6146">
        <f>+AC78*AC$5/1000</f>
        <v>530.18017757656514</v>
      </c>
      <c r="AD61" s="6146">
        <v>387</v>
      </c>
      <c r="AE61" s="2884">
        <f t="shared" si="82"/>
        <v>3300.5679831356156</v>
      </c>
      <c r="AF61" s="2884">
        <f t="shared" si="83"/>
        <v>3429.1040000000003</v>
      </c>
      <c r="AG61" s="6308">
        <f>+AG78*AG$5/1000</f>
        <v>513.81027630056133</v>
      </c>
      <c r="AH61" s="6308">
        <v>503</v>
      </c>
      <c r="AI61" s="4647">
        <f t="shared" si="84"/>
        <v>3814.3782594361769</v>
      </c>
      <c r="AJ61" s="4647">
        <f t="shared" si="85"/>
        <v>3932.1040000000003</v>
      </c>
      <c r="AK61" s="6570">
        <f>+AK78*AK$5/1000</f>
        <v>530.18017757656514</v>
      </c>
      <c r="AL61" s="6570">
        <v>537</v>
      </c>
      <c r="AM61" s="3649">
        <f t="shared" si="69"/>
        <v>1574.1706314536918</v>
      </c>
      <c r="AN61" s="3649">
        <f t="shared" si="70"/>
        <v>1427</v>
      </c>
      <c r="AO61" s="2884">
        <f t="shared" si="86"/>
        <v>4344.5584370127417</v>
      </c>
      <c r="AP61" s="2884">
        <f t="shared" si="87"/>
        <v>4469.1040000000003</v>
      </c>
      <c r="AQ61" s="4970">
        <f>+AQ78*AQ$5/1000</f>
        <v>538.36512821456722</v>
      </c>
      <c r="AR61" s="4970">
        <v>559</v>
      </c>
      <c r="AS61" s="2884">
        <f t="shared" si="88"/>
        <v>4882.9235652273092</v>
      </c>
      <c r="AT61" s="2884">
        <f t="shared" si="89"/>
        <v>5028.1040000000003</v>
      </c>
      <c r="AU61" s="6844">
        <f>+AU78*AU$5/1000</f>
        <v>481.07047374855478</v>
      </c>
      <c r="AV61" s="6844">
        <v>418</v>
      </c>
      <c r="AW61" s="5040">
        <f t="shared" si="90"/>
        <v>5363.994038975864</v>
      </c>
      <c r="AX61" s="5040">
        <f t="shared" si="91"/>
        <v>5446.1040000000003</v>
      </c>
      <c r="AY61" s="6997">
        <f>+AY78*AY$5/1000</f>
        <v>538.36512821456722</v>
      </c>
      <c r="AZ61" s="6997">
        <v>487</v>
      </c>
      <c r="BA61" s="3649">
        <f t="shared" si="73"/>
        <v>1557.8007301776893</v>
      </c>
      <c r="BB61" s="3649">
        <f t="shared" si="74"/>
        <v>1464</v>
      </c>
      <c r="BC61" s="2912">
        <f t="shared" ref="BC61:BC70" si="99">+BA61+AM61</f>
        <v>3131.9713616313811</v>
      </c>
      <c r="BD61" s="2912">
        <f t="shared" ref="BD61:BD70" si="100">+BB61+AN61</f>
        <v>2891</v>
      </c>
      <c r="BE61" s="2884">
        <f t="shared" si="76"/>
        <v>5902.3591671904314</v>
      </c>
      <c r="BF61" s="37">
        <f t="shared" si="77"/>
        <v>5933.1040000000003</v>
      </c>
      <c r="BG61" s="4396"/>
      <c r="BH61" s="4396"/>
      <c r="BI61" s="3604"/>
      <c r="BJ61" s="3604"/>
      <c r="BK61" s="3957"/>
      <c r="BL61" s="3604"/>
      <c r="BM61" s="3957"/>
      <c r="BN61" s="3957"/>
    </row>
    <row r="62" spans="1:66" ht="15" x14ac:dyDescent="0.25">
      <c r="A62" s="3606"/>
      <c r="B62" s="3687" t="str">
        <f>+'Maj Techno Summ'!B19</f>
        <v>Ferro Alloys (FeMn+LCFeMn+SiMn+FeSi)</v>
      </c>
      <c r="C62" s="3686" t="s">
        <v>50</v>
      </c>
      <c r="D62" s="1253">
        <f>+D57+D60+D61</f>
        <v>50839.556900551899</v>
      </c>
      <c r="E62" s="3650">
        <f>+E57+E60+E61</f>
        <v>3494.9859148598111</v>
      </c>
      <c r="F62" s="3650">
        <f>+F57+F60+F61</f>
        <v>3903</v>
      </c>
      <c r="G62" s="5595">
        <f>+G57+G60+G61</f>
        <v>5386.8557816661541</v>
      </c>
      <c r="H62" s="5595">
        <f>+H57+H60+H61</f>
        <v>4596</v>
      </c>
      <c r="I62" s="2884">
        <f t="shared" si="63"/>
        <v>8881.8416965259657</v>
      </c>
      <c r="J62" s="37">
        <f t="shared" si="64"/>
        <v>8499</v>
      </c>
      <c r="K62" s="5710">
        <f>+K57+K60+K61</f>
        <v>5220.5306320971467</v>
      </c>
      <c r="L62" s="5710">
        <f>+L57+L60+L61</f>
        <v>4804.21</v>
      </c>
      <c r="M62" s="3649">
        <f t="shared" si="65"/>
        <v>14102.372328623112</v>
      </c>
      <c r="N62" s="3649">
        <f t="shared" si="66"/>
        <v>13303.21</v>
      </c>
      <c r="O62" s="5847">
        <f>+O57+O60+O61</f>
        <v>5282.9025631855302</v>
      </c>
      <c r="P62" s="5847">
        <f>+P57+P60+P61</f>
        <v>5103.8940000000002</v>
      </c>
      <c r="Q62" s="2884">
        <f t="shared" si="78"/>
        <v>19385.274891808644</v>
      </c>
      <c r="R62" s="2884">
        <f t="shared" si="79"/>
        <v>18407.103999999999</v>
      </c>
      <c r="S62" s="5915">
        <f>+S57+S60+S61</f>
        <v>5282.9025631855302</v>
      </c>
      <c r="T62" s="5915">
        <f>+T57+T60+T61</f>
        <v>4534.0200000000004</v>
      </c>
      <c r="U62" s="4347">
        <f t="shared" si="80"/>
        <v>24668.177454994173</v>
      </c>
      <c r="V62" s="4347">
        <f t="shared" si="81"/>
        <v>22941.124</v>
      </c>
      <c r="W62" s="6027">
        <f>+W57+W60+W61</f>
        <v>2772.4323368783662</v>
      </c>
      <c r="X62" s="6027">
        <f>+X57+X60+X61</f>
        <v>3914.1099999999997</v>
      </c>
      <c r="Y62" s="3649">
        <f t="shared" si="67"/>
        <v>13338.237463249427</v>
      </c>
      <c r="Z62" s="3649">
        <f t="shared" si="68"/>
        <v>13552.024000000001</v>
      </c>
      <c r="AA62" s="2912">
        <f t="shared" si="94"/>
        <v>27440.609791872539</v>
      </c>
      <c r="AB62" s="2912">
        <f t="shared" si="94"/>
        <v>26855.234</v>
      </c>
      <c r="AC62" s="6146">
        <f>+AC57+AC60+AC61</f>
        <v>5386.8557816661541</v>
      </c>
      <c r="AD62" s="6146">
        <f>+AD57+AD60+AD61</f>
        <v>3202</v>
      </c>
      <c r="AE62" s="2884">
        <f t="shared" si="82"/>
        <v>32827.465573538691</v>
      </c>
      <c r="AF62" s="2884">
        <f t="shared" si="83"/>
        <v>30057.234</v>
      </c>
      <c r="AG62" s="6308">
        <f>+AG57+AG60+AG61</f>
        <v>5220.5306320971467</v>
      </c>
      <c r="AH62" s="6308">
        <f>+AH57+AH60+AH61</f>
        <v>3719</v>
      </c>
      <c r="AI62" s="4647">
        <f t="shared" si="84"/>
        <v>38047.996205635834</v>
      </c>
      <c r="AJ62" s="4647">
        <f t="shared" si="85"/>
        <v>33776.233999999997</v>
      </c>
      <c r="AK62" s="6570">
        <f>+AK57+AK60+AK61</f>
        <v>5386.8557816661541</v>
      </c>
      <c r="AL62" s="6570">
        <f>+AL57+AL60+AL61</f>
        <v>4100.53</v>
      </c>
      <c r="AM62" s="3649">
        <f t="shared" si="69"/>
        <v>15994.242195429455</v>
      </c>
      <c r="AN62" s="3649">
        <f t="shared" si="70"/>
        <v>11021.529999999999</v>
      </c>
      <c r="AO62" s="2884">
        <f t="shared" si="86"/>
        <v>43434.85198730199</v>
      </c>
      <c r="AP62" s="2884">
        <f t="shared" si="87"/>
        <v>37876.763999999996</v>
      </c>
      <c r="AQ62" s="4970">
        <f>+AQ57+AQ60+AQ61</f>
        <v>5470.0183564506606</v>
      </c>
      <c r="AR62" s="4970">
        <f>+AR57+AR60+AR61</f>
        <v>3922.8</v>
      </c>
      <c r="AS62" s="2884">
        <f t="shared" si="88"/>
        <v>48904.870343752649</v>
      </c>
      <c r="AT62" s="2884">
        <f t="shared" si="89"/>
        <v>41799.563999999998</v>
      </c>
      <c r="AU62" s="6844">
        <f>+AU57+AU60+AU61</f>
        <v>4887.8803329591419</v>
      </c>
      <c r="AV62" s="6844">
        <f>+AV57+AV60+AV61</f>
        <v>3105.7139999999999</v>
      </c>
      <c r="AW62" s="5040">
        <f t="shared" si="90"/>
        <v>53792.750676711788</v>
      </c>
      <c r="AX62" s="5040">
        <f t="shared" si="91"/>
        <v>44905.277999999998</v>
      </c>
      <c r="AY62" s="6997">
        <f>+AY57+AY60+AY61</f>
        <v>5470.0183564506606</v>
      </c>
      <c r="AZ62" s="6997">
        <f>+AZ57+AZ60+AZ61</f>
        <v>4319</v>
      </c>
      <c r="BA62" s="3649">
        <f t="shared" si="73"/>
        <v>15827.917045860462</v>
      </c>
      <c r="BB62" s="3649">
        <f t="shared" si="74"/>
        <v>11347.513999999999</v>
      </c>
      <c r="BC62" s="2912">
        <f t="shared" si="99"/>
        <v>31822.159241289919</v>
      </c>
      <c r="BD62" s="2912">
        <f t="shared" si="100"/>
        <v>22369.043999999998</v>
      </c>
      <c r="BE62" s="2884">
        <f t="shared" si="76"/>
        <v>59262.769033162447</v>
      </c>
      <c r="BF62" s="37">
        <f t="shared" si="77"/>
        <v>49224.277999999998</v>
      </c>
      <c r="BG62" s="4396"/>
      <c r="BH62" s="4396"/>
      <c r="BI62" s="3604"/>
      <c r="BJ62" s="3604"/>
      <c r="BK62" s="3957"/>
      <c r="BL62" s="3604"/>
      <c r="BM62" s="3957"/>
      <c r="BN62" s="3957"/>
    </row>
    <row r="63" spans="1:66" ht="15" x14ac:dyDescent="0.25">
      <c r="B63" s="694" t="s">
        <v>86</v>
      </c>
      <c r="C63" s="3180" t="s">
        <v>50</v>
      </c>
      <c r="D63" s="3594">
        <f t="shared" ref="D63:E70" si="101">+D80*D$5/1000</f>
        <v>3138.4520637042465</v>
      </c>
      <c r="E63" s="2945">
        <f t="shared" si="101"/>
        <v>215.75415731032805</v>
      </c>
      <c r="F63" s="5458">
        <v>261.5</v>
      </c>
      <c r="G63" s="5596">
        <f t="shared" ref="G63" si="102">+G80*G$5/1000</f>
        <v>488.15516525023583</v>
      </c>
      <c r="H63" s="5596">
        <v>280</v>
      </c>
      <c r="I63" s="2884">
        <f t="shared" si="63"/>
        <v>703.90932256056385</v>
      </c>
      <c r="J63" s="103">
        <f t="shared" si="64"/>
        <v>541.5</v>
      </c>
      <c r="K63" s="5711">
        <f t="shared" ref="K63:K70" si="103">+K80*K$5/1000</f>
        <v>473.08283286118927</v>
      </c>
      <c r="L63" s="5711">
        <v>254.5</v>
      </c>
      <c r="M63" s="2885">
        <f t="shared" si="65"/>
        <v>1176.9921554217531</v>
      </c>
      <c r="N63" s="2885">
        <f t="shared" si="66"/>
        <v>796</v>
      </c>
      <c r="O63" s="5849">
        <f t="shared" ref="O63:O70" si="104">+O80*O$5/1000</f>
        <v>478.73495750708219</v>
      </c>
      <c r="P63" s="5849">
        <v>257</v>
      </c>
      <c r="Q63" s="2884">
        <f t="shared" ref="Q63:Q70" si="105">+M63+O63</f>
        <v>1655.7271129288351</v>
      </c>
      <c r="R63" s="2884">
        <f t="shared" ref="R63:R70" si="106">+N63+P63</f>
        <v>1053</v>
      </c>
      <c r="S63" s="5916">
        <f t="shared" ref="S63:S70" si="107">+S80*S$5/1000</f>
        <v>478.73495750708219</v>
      </c>
      <c r="T63" s="5916">
        <v>267</v>
      </c>
      <c r="U63" s="4347">
        <f t="shared" si="80"/>
        <v>2134.4620704359172</v>
      </c>
      <c r="V63" s="4347">
        <f t="shared" si="81"/>
        <v>1320</v>
      </c>
      <c r="W63" s="6028">
        <f t="shared" ref="W63:W70" si="108">+W80*W$5/1000</f>
        <v>251.23694050991594</v>
      </c>
      <c r="X63" s="6028">
        <v>295.5</v>
      </c>
      <c r="Y63" s="2885">
        <f t="shared" si="67"/>
        <v>1208.7068555240803</v>
      </c>
      <c r="Z63" s="2885">
        <f t="shared" si="68"/>
        <v>819.5</v>
      </c>
      <c r="AA63" s="2925">
        <f t="shared" si="94"/>
        <v>2385.6990109458334</v>
      </c>
      <c r="AB63" s="2925">
        <f t="shared" si="94"/>
        <v>1615.5</v>
      </c>
      <c r="AC63" s="6148">
        <f t="shared" ref="AC63:AC70" si="109">+AC80*AC$5/1000</f>
        <v>488.15516525023583</v>
      </c>
      <c r="AD63" s="6148">
        <v>209.5</v>
      </c>
      <c r="AE63" s="2884">
        <f t="shared" si="82"/>
        <v>2873.8541761960691</v>
      </c>
      <c r="AF63" s="2884">
        <f t="shared" si="83"/>
        <v>1825</v>
      </c>
      <c r="AG63" s="6310">
        <f t="shared" ref="AG63:AG70" si="110">+AG80*AG$5/1000</f>
        <v>473.08283286118927</v>
      </c>
      <c r="AH63" s="6310">
        <v>275</v>
      </c>
      <c r="AI63" s="4647">
        <f t="shared" si="84"/>
        <v>3346.9370090572584</v>
      </c>
      <c r="AJ63" s="4647">
        <f t="shared" si="85"/>
        <v>2100</v>
      </c>
      <c r="AK63" s="6571">
        <f t="shared" ref="AK63:AK70" si="111">+AK80*AK$5/1000</f>
        <v>488.15516525023583</v>
      </c>
      <c r="AL63" s="6571">
        <v>257.5</v>
      </c>
      <c r="AM63" s="2885">
        <f t="shared" si="69"/>
        <v>1449.393163361661</v>
      </c>
      <c r="AN63" s="2885">
        <f t="shared" si="70"/>
        <v>742</v>
      </c>
      <c r="AO63" s="2884">
        <f t="shared" si="86"/>
        <v>3835.0921743074941</v>
      </c>
      <c r="AP63" s="2884">
        <f t="shared" si="87"/>
        <v>2357.5</v>
      </c>
      <c r="AQ63" s="4971">
        <f t="shared" ref="AQ63:AQ70" si="112">+AQ80*AQ$5/1000</f>
        <v>495.69133144475921</v>
      </c>
      <c r="AR63" s="4971">
        <v>286.5</v>
      </c>
      <c r="AS63" s="2884">
        <f t="shared" si="88"/>
        <v>4330.7835057522534</v>
      </c>
      <c r="AT63" s="2884">
        <f t="shared" si="89"/>
        <v>2644</v>
      </c>
      <c r="AU63" s="6845">
        <f t="shared" ref="AU63:AU70" si="113">+AU80*AU$5/1000</f>
        <v>442.93816808309725</v>
      </c>
      <c r="AV63" s="6845">
        <v>238</v>
      </c>
      <c r="AW63" s="5040">
        <f t="shared" si="90"/>
        <v>4773.7216738353509</v>
      </c>
      <c r="AX63" s="5040">
        <f t="shared" si="91"/>
        <v>2882</v>
      </c>
      <c r="AY63" s="6998">
        <f t="shared" ref="AY63:AY70" si="114">+AY80*AY$5/1000</f>
        <v>495.69133144475921</v>
      </c>
      <c r="AZ63" s="6998">
        <v>280</v>
      </c>
      <c r="BA63" s="2885">
        <f t="shared" si="73"/>
        <v>1434.3208309726158</v>
      </c>
      <c r="BB63" s="2885">
        <f t="shared" si="74"/>
        <v>804.5</v>
      </c>
      <c r="BC63" s="2925">
        <f t="shared" si="99"/>
        <v>2883.7139943342768</v>
      </c>
      <c r="BD63" s="2925">
        <f t="shared" si="100"/>
        <v>1546.5</v>
      </c>
      <c r="BE63" s="2884">
        <f t="shared" si="76"/>
        <v>5269.4130052801102</v>
      </c>
      <c r="BF63" s="37">
        <f t="shared" si="77"/>
        <v>3162</v>
      </c>
      <c r="BG63" s="4396"/>
      <c r="BH63" s="4396"/>
      <c r="BI63" s="3604"/>
      <c r="BJ63" s="3604"/>
      <c r="BK63" s="3957"/>
      <c r="BL63" s="3604"/>
      <c r="BM63" s="3957"/>
      <c r="BN63" s="3957"/>
    </row>
    <row r="64" spans="1:66" ht="15" x14ac:dyDescent="0.25">
      <c r="B64" s="694" t="s">
        <v>810</v>
      </c>
      <c r="C64" s="3180" t="s">
        <v>50</v>
      </c>
      <c r="D64" s="3593">
        <f t="shared" si="101"/>
        <v>1855.1732536949696</v>
      </c>
      <c r="E64" s="2945">
        <f t="shared" si="101"/>
        <v>127.53463614900585</v>
      </c>
      <c r="F64" s="2945">
        <v>121.535</v>
      </c>
      <c r="G64" s="5596">
        <f t="shared" ref="G64" si="115">+G81*G$5/1000</f>
        <v>164.49883186158709</v>
      </c>
      <c r="H64" s="5596">
        <v>160.51899999999998</v>
      </c>
      <c r="I64" s="2884">
        <f t="shared" si="63"/>
        <v>292.03346801059297</v>
      </c>
      <c r="J64" s="37">
        <f t="shared" si="64"/>
        <v>282.05399999999997</v>
      </c>
      <c r="K64" s="5711">
        <f t="shared" si="103"/>
        <v>159.41974789828058</v>
      </c>
      <c r="L64" s="5711">
        <v>143.19</v>
      </c>
      <c r="M64" s="2885">
        <f t="shared" si="65"/>
        <v>451.45321590887352</v>
      </c>
      <c r="N64" s="2885">
        <f t="shared" si="66"/>
        <v>425.24399999999991</v>
      </c>
      <c r="O64" s="5849">
        <f t="shared" si="104"/>
        <v>161.3244043845207</v>
      </c>
      <c r="P64" s="5849">
        <v>136.78199999999998</v>
      </c>
      <c r="Q64" s="2884">
        <f t="shared" si="105"/>
        <v>612.77762029339419</v>
      </c>
      <c r="R64" s="2884">
        <f t="shared" si="106"/>
        <v>562.02599999999984</v>
      </c>
      <c r="S64" s="5916">
        <f t="shared" si="107"/>
        <v>161.3244043845207</v>
      </c>
      <c r="T64" s="5916">
        <v>140.16299999999998</v>
      </c>
      <c r="U64" s="4347">
        <f t="shared" si="80"/>
        <v>774.10202467791487</v>
      </c>
      <c r="V64" s="4347">
        <f t="shared" si="81"/>
        <v>702.18899999999985</v>
      </c>
      <c r="W64" s="6028">
        <f t="shared" si="108"/>
        <v>84.661980813364451</v>
      </c>
      <c r="X64" s="6028">
        <v>121.396</v>
      </c>
      <c r="Y64" s="2885">
        <f t="shared" si="67"/>
        <v>407.31078958240585</v>
      </c>
      <c r="Z64" s="2885">
        <f t="shared" si="68"/>
        <v>398.34099999999995</v>
      </c>
      <c r="AA64" s="2925">
        <f t="shared" si="94"/>
        <v>858.76400549127936</v>
      </c>
      <c r="AB64" s="2925">
        <f t="shared" si="94"/>
        <v>823.58499999999981</v>
      </c>
      <c r="AC64" s="6148">
        <f t="shared" si="109"/>
        <v>164.49883186158709</v>
      </c>
      <c r="AD64" s="6148">
        <v>113.938</v>
      </c>
      <c r="AE64" s="2884">
        <f t="shared" si="82"/>
        <v>1023.2628373528664</v>
      </c>
      <c r="AF64" s="2884">
        <f t="shared" si="83"/>
        <v>937.5229999999998</v>
      </c>
      <c r="AG64" s="6310">
        <f t="shared" si="110"/>
        <v>159.41974789828058</v>
      </c>
      <c r="AH64" s="6310">
        <v>117.123</v>
      </c>
      <c r="AI64" s="4647">
        <f t="shared" si="84"/>
        <v>1182.682585251147</v>
      </c>
      <c r="AJ64" s="4647">
        <f t="shared" si="85"/>
        <v>1054.6459999999997</v>
      </c>
      <c r="AK64" s="6571">
        <f t="shared" si="111"/>
        <v>164.49883186158709</v>
      </c>
      <c r="AL64" s="6571">
        <v>132.74</v>
      </c>
      <c r="AM64" s="2885">
        <f t="shared" si="69"/>
        <v>488.41741162145479</v>
      </c>
      <c r="AN64" s="2885">
        <f t="shared" si="70"/>
        <v>363.80099999999999</v>
      </c>
      <c r="AO64" s="2884">
        <f t="shared" si="86"/>
        <v>1347.1814171127342</v>
      </c>
      <c r="AP64" s="2884">
        <f t="shared" si="87"/>
        <v>1187.3859999999997</v>
      </c>
      <c r="AQ64" s="4971">
        <f t="shared" si="112"/>
        <v>167.03837384324041</v>
      </c>
      <c r="AR64" s="4971">
        <v>125.49199999999999</v>
      </c>
      <c r="AS64" s="2884">
        <f t="shared" si="88"/>
        <v>1514.2197909559745</v>
      </c>
      <c r="AT64" s="2884">
        <f t="shared" si="89"/>
        <v>1312.8779999999997</v>
      </c>
      <c r="AU64" s="6845">
        <f t="shared" si="113"/>
        <v>149.26157997166789</v>
      </c>
      <c r="AV64" s="6845">
        <v>110.79299999999999</v>
      </c>
      <c r="AW64" s="5040">
        <f t="shared" si="90"/>
        <v>1663.4813709276425</v>
      </c>
      <c r="AX64" s="5040">
        <f t="shared" si="91"/>
        <v>1423.6709999999996</v>
      </c>
      <c r="AY64" s="6998">
        <f t="shared" si="114"/>
        <v>167.03837384324041</v>
      </c>
      <c r="AZ64" s="6998">
        <v>150.929</v>
      </c>
      <c r="BA64" s="2885">
        <f t="shared" si="73"/>
        <v>483.33832765814873</v>
      </c>
      <c r="BB64" s="2885">
        <f t="shared" si="74"/>
        <v>387.21399999999994</v>
      </c>
      <c r="BC64" s="2925">
        <f t="shared" si="99"/>
        <v>971.75573927960352</v>
      </c>
      <c r="BD64" s="2925">
        <f t="shared" si="100"/>
        <v>751.01499999999987</v>
      </c>
      <c r="BE64" s="2884">
        <f t="shared" si="76"/>
        <v>1830.5197447708829</v>
      </c>
      <c r="BF64" s="37">
        <f t="shared" si="77"/>
        <v>1574.5999999999997</v>
      </c>
      <c r="BG64" s="4396"/>
      <c r="BH64" s="4396"/>
      <c r="BI64" s="3604"/>
      <c r="BJ64" s="3604"/>
      <c r="BK64" s="3957"/>
      <c r="BL64" s="3604"/>
      <c r="BM64" s="3957"/>
      <c r="BN64" s="3957"/>
    </row>
    <row r="65" spans="1:71" ht="15" x14ac:dyDescent="0.25">
      <c r="B65" s="694" t="s">
        <v>129</v>
      </c>
      <c r="C65" s="3180" t="s">
        <v>50</v>
      </c>
      <c r="D65" s="3593">
        <f t="shared" si="101"/>
        <v>64802.824858757056</v>
      </c>
      <c r="E65" s="2945">
        <f t="shared" si="101"/>
        <v>4454.8964218455749</v>
      </c>
      <c r="F65" s="5458">
        <v>4912.96</v>
      </c>
      <c r="G65" s="5596">
        <f t="shared" ref="G65" si="116">+G82*G$5/1000</f>
        <v>5871.9546742209595</v>
      </c>
      <c r="H65" s="5596">
        <v>5465.9269999999997</v>
      </c>
      <c r="I65" s="2884">
        <f t="shared" si="63"/>
        <v>10326.851096066534</v>
      </c>
      <c r="J65" s="3183">
        <f t="shared" si="64"/>
        <v>10378.886999999999</v>
      </c>
      <c r="K65" s="5711">
        <f t="shared" si="103"/>
        <v>5690.6515580736477</v>
      </c>
      <c r="L65" s="5711">
        <v>5370.6959999999999</v>
      </c>
      <c r="M65" s="2885">
        <f t="shared" si="65"/>
        <v>16017.502654140182</v>
      </c>
      <c r="N65" s="2885">
        <f t="shared" si="66"/>
        <v>15749.582999999999</v>
      </c>
      <c r="O65" s="5849">
        <f t="shared" si="104"/>
        <v>5758.640226628896</v>
      </c>
      <c r="P65" s="5849">
        <v>5399.335</v>
      </c>
      <c r="Q65" s="2884">
        <f t="shared" si="105"/>
        <v>21776.142880769079</v>
      </c>
      <c r="R65" s="2884">
        <f t="shared" si="106"/>
        <v>21148.917999999998</v>
      </c>
      <c r="S65" s="5916">
        <f t="shared" si="107"/>
        <v>5758.640226628896</v>
      </c>
      <c r="T65" s="5916">
        <v>4868.924</v>
      </c>
      <c r="U65" s="4347">
        <f t="shared" si="80"/>
        <v>27534.783107397976</v>
      </c>
      <c r="V65" s="4347">
        <f t="shared" si="81"/>
        <v>26017.841999999997</v>
      </c>
      <c r="W65" s="6028">
        <f t="shared" si="108"/>
        <v>3022.0963172804641</v>
      </c>
      <c r="X65" s="6028">
        <v>4874.7340000000004</v>
      </c>
      <c r="Y65" s="2885">
        <f t="shared" si="67"/>
        <v>14539.376770538256</v>
      </c>
      <c r="Z65" s="2885">
        <f t="shared" si="68"/>
        <v>15142.992999999999</v>
      </c>
      <c r="AA65" s="2925">
        <f t="shared" si="94"/>
        <v>30556.879424678438</v>
      </c>
      <c r="AB65" s="2925">
        <f t="shared" si="94"/>
        <v>30892.575999999997</v>
      </c>
      <c r="AC65" s="6148">
        <f t="shared" si="109"/>
        <v>5871.9546742209595</v>
      </c>
      <c r="AD65" s="6148">
        <v>3683.8</v>
      </c>
      <c r="AE65" s="2884">
        <f t="shared" si="82"/>
        <v>36428.834098899395</v>
      </c>
      <c r="AF65" s="2884">
        <f t="shared" si="83"/>
        <v>34576.375999999997</v>
      </c>
      <c r="AG65" s="6310">
        <f t="shared" si="110"/>
        <v>5690.6515580736477</v>
      </c>
      <c r="AH65" s="6310">
        <v>3829.7159999999999</v>
      </c>
      <c r="AI65" s="4647">
        <f t="shared" si="84"/>
        <v>42119.48565697304</v>
      </c>
      <c r="AJ65" s="4647">
        <f t="shared" si="85"/>
        <v>38406.091999999997</v>
      </c>
      <c r="AK65" s="6571">
        <f t="shared" si="111"/>
        <v>5871.9546742209595</v>
      </c>
      <c r="AL65" s="6571">
        <v>0</v>
      </c>
      <c r="AM65" s="2885">
        <f t="shared" si="69"/>
        <v>17434.560906515566</v>
      </c>
      <c r="AN65" s="2885">
        <f t="shared" si="70"/>
        <v>7513.5159999999996</v>
      </c>
      <c r="AO65" s="2884">
        <f t="shared" si="86"/>
        <v>47991.440331193997</v>
      </c>
      <c r="AP65" s="2884">
        <f t="shared" si="87"/>
        <v>38406.091999999997</v>
      </c>
      <c r="AQ65" s="4971">
        <f t="shared" si="112"/>
        <v>5962.6062322946173</v>
      </c>
      <c r="AR65" s="4971">
        <v>2786.6930000000002</v>
      </c>
      <c r="AS65" s="2884">
        <f t="shared" si="88"/>
        <v>53954.046563488613</v>
      </c>
      <c r="AT65" s="2884">
        <f t="shared" si="89"/>
        <v>41192.784999999996</v>
      </c>
      <c r="AU65" s="6845">
        <f t="shared" si="113"/>
        <v>5328.0453257790368</v>
      </c>
      <c r="AV65" s="6845">
        <v>4252.25</v>
      </c>
      <c r="AW65" s="5040">
        <f t="shared" si="90"/>
        <v>59282.091889267649</v>
      </c>
      <c r="AX65" s="5040">
        <f t="shared" si="91"/>
        <v>45445.034999999996</v>
      </c>
      <c r="AY65" s="6998">
        <f t="shared" si="114"/>
        <v>5962.6062322946173</v>
      </c>
      <c r="AZ65" s="6998">
        <v>4804.491</v>
      </c>
      <c r="BA65" s="2885">
        <f t="shared" si="73"/>
        <v>17253.257790368272</v>
      </c>
      <c r="BB65" s="2885">
        <f t="shared" si="74"/>
        <v>11843.434000000001</v>
      </c>
      <c r="BC65" s="2925">
        <f t="shared" si="99"/>
        <v>34687.818696883842</v>
      </c>
      <c r="BD65" s="2925">
        <f t="shared" si="100"/>
        <v>19356.95</v>
      </c>
      <c r="BE65" s="2884">
        <f t="shared" si="76"/>
        <v>65244.698121562265</v>
      </c>
      <c r="BF65" s="37">
        <f t="shared" si="77"/>
        <v>50249.525999999998</v>
      </c>
      <c r="BG65" s="4396"/>
      <c r="BH65" s="4396"/>
      <c r="BI65" s="3604"/>
      <c r="BJ65" s="3604"/>
      <c r="BK65" s="3957"/>
      <c r="BL65" s="3604"/>
      <c r="BM65" s="3957"/>
      <c r="BN65" s="3957"/>
    </row>
    <row r="66" spans="1:71" ht="15" x14ac:dyDescent="0.25">
      <c r="B66" s="694" t="s">
        <v>519</v>
      </c>
      <c r="C66" s="3180" t="s">
        <v>50</v>
      </c>
      <c r="D66" s="3593">
        <f t="shared" si="101"/>
        <v>0</v>
      </c>
      <c r="E66" s="2945">
        <f t="shared" si="101"/>
        <v>0</v>
      </c>
      <c r="F66" s="2945">
        <v>0</v>
      </c>
      <c r="G66" s="5596">
        <f t="shared" ref="G66" si="117">+G83*G$5/1000</f>
        <v>0</v>
      </c>
      <c r="H66" s="5596">
        <v>0</v>
      </c>
      <c r="I66" s="2884">
        <f t="shared" si="63"/>
        <v>0</v>
      </c>
      <c r="J66" s="37">
        <f t="shared" si="64"/>
        <v>0</v>
      </c>
      <c r="K66" s="5711">
        <f t="shared" si="103"/>
        <v>0</v>
      </c>
      <c r="L66" s="5711">
        <v>0</v>
      </c>
      <c r="M66" s="2885">
        <f t="shared" si="65"/>
        <v>0</v>
      </c>
      <c r="N66" s="2885">
        <f t="shared" si="66"/>
        <v>0</v>
      </c>
      <c r="O66" s="5849">
        <f t="shared" si="104"/>
        <v>0</v>
      </c>
      <c r="P66" s="5849">
        <v>0</v>
      </c>
      <c r="Q66" s="2884">
        <f t="shared" si="105"/>
        <v>0</v>
      </c>
      <c r="R66" s="2884">
        <f t="shared" si="106"/>
        <v>0</v>
      </c>
      <c r="S66" s="5916">
        <f t="shared" si="107"/>
        <v>0</v>
      </c>
      <c r="T66" s="5916">
        <v>0</v>
      </c>
      <c r="U66" s="4347">
        <f t="shared" si="80"/>
        <v>0</v>
      </c>
      <c r="V66" s="4347">
        <f t="shared" si="81"/>
        <v>0</v>
      </c>
      <c r="W66" s="6028">
        <f t="shared" si="108"/>
        <v>0</v>
      </c>
      <c r="X66" s="6028">
        <v>0</v>
      </c>
      <c r="Y66" s="2885">
        <f t="shared" si="67"/>
        <v>0</v>
      </c>
      <c r="Z66" s="2885">
        <f t="shared" si="68"/>
        <v>0</v>
      </c>
      <c r="AA66" s="2925">
        <f t="shared" si="94"/>
        <v>0</v>
      </c>
      <c r="AB66" s="2925">
        <f t="shared" si="94"/>
        <v>0</v>
      </c>
      <c r="AC66" s="6148">
        <f t="shared" si="109"/>
        <v>0</v>
      </c>
      <c r="AD66" s="6148">
        <v>0</v>
      </c>
      <c r="AE66" s="2884">
        <f t="shared" si="82"/>
        <v>0</v>
      </c>
      <c r="AF66" s="2884">
        <f t="shared" si="83"/>
        <v>0</v>
      </c>
      <c r="AG66" s="6310">
        <f t="shared" si="110"/>
        <v>0</v>
      </c>
      <c r="AH66" s="6310">
        <v>0</v>
      </c>
      <c r="AI66" s="4647">
        <f t="shared" si="84"/>
        <v>0</v>
      </c>
      <c r="AJ66" s="4647">
        <f t="shared" si="85"/>
        <v>0</v>
      </c>
      <c r="AK66" s="6571">
        <f t="shared" si="111"/>
        <v>0</v>
      </c>
      <c r="AL66" s="6571">
        <v>0</v>
      </c>
      <c r="AM66" s="2885">
        <f t="shared" si="69"/>
        <v>0</v>
      </c>
      <c r="AN66" s="2885">
        <f t="shared" si="70"/>
        <v>0</v>
      </c>
      <c r="AO66" s="2884">
        <f t="shared" si="86"/>
        <v>0</v>
      </c>
      <c r="AP66" s="2884">
        <f t="shared" si="87"/>
        <v>0</v>
      </c>
      <c r="AQ66" s="4971">
        <f t="shared" si="112"/>
        <v>0</v>
      </c>
      <c r="AR66" s="4971">
        <v>0</v>
      </c>
      <c r="AS66" s="2884">
        <f t="shared" si="88"/>
        <v>0</v>
      </c>
      <c r="AT66" s="2884">
        <f t="shared" si="89"/>
        <v>0</v>
      </c>
      <c r="AU66" s="6845">
        <f t="shared" si="113"/>
        <v>0</v>
      </c>
      <c r="AV66" s="6845">
        <v>0</v>
      </c>
      <c r="AW66" s="5040">
        <f t="shared" si="90"/>
        <v>0</v>
      </c>
      <c r="AX66" s="5040">
        <f t="shared" si="91"/>
        <v>0</v>
      </c>
      <c r="AY66" s="6998">
        <f t="shared" si="114"/>
        <v>0</v>
      </c>
      <c r="AZ66" s="6998">
        <v>0</v>
      </c>
      <c r="BA66" s="2885">
        <f t="shared" si="73"/>
        <v>0</v>
      </c>
      <c r="BB66" s="2885">
        <f t="shared" si="74"/>
        <v>0</v>
      </c>
      <c r="BC66" s="2925">
        <f t="shared" si="99"/>
        <v>0</v>
      </c>
      <c r="BD66" s="2925">
        <f t="shared" si="100"/>
        <v>0</v>
      </c>
      <c r="BE66" s="2884">
        <f t="shared" si="76"/>
        <v>0</v>
      </c>
      <c r="BF66" s="37">
        <f t="shared" si="77"/>
        <v>0</v>
      </c>
      <c r="BG66" s="4396"/>
      <c r="BH66" s="4396"/>
      <c r="BI66" s="3604"/>
      <c r="BJ66" s="3604"/>
      <c r="BK66" s="3957"/>
      <c r="BL66" s="3604"/>
      <c r="BM66" s="3957"/>
      <c r="BN66" s="3957"/>
    </row>
    <row r="67" spans="1:71" ht="15" x14ac:dyDescent="0.25">
      <c r="B67" s="694" t="s">
        <v>130</v>
      </c>
      <c r="C67" s="3180" t="s">
        <v>50</v>
      </c>
      <c r="D67" s="3593">
        <f t="shared" si="101"/>
        <v>16905.08474576271</v>
      </c>
      <c r="E67" s="2945">
        <f t="shared" si="101"/>
        <v>1162.1468926553673</v>
      </c>
      <c r="F67" s="2945">
        <v>0</v>
      </c>
      <c r="G67" s="5596">
        <f t="shared" ref="G67" si="118">+G84*G$5/1000</f>
        <v>1467.9886685552399</v>
      </c>
      <c r="H67" s="5596">
        <v>0</v>
      </c>
      <c r="I67" s="2884">
        <f t="shared" si="63"/>
        <v>2630.1355612106072</v>
      </c>
      <c r="J67" s="37">
        <f t="shared" si="64"/>
        <v>0</v>
      </c>
      <c r="K67" s="5711">
        <f t="shared" si="103"/>
        <v>1422.6628895184119</v>
      </c>
      <c r="L67" s="5711">
        <v>0</v>
      </c>
      <c r="M67" s="2885">
        <f t="shared" si="65"/>
        <v>4052.7984507290194</v>
      </c>
      <c r="N67" s="2885">
        <f t="shared" si="66"/>
        <v>0</v>
      </c>
      <c r="O67" s="5849">
        <f t="shared" si="104"/>
        <v>1439.660056657224</v>
      </c>
      <c r="P67" s="5849">
        <v>0</v>
      </c>
      <c r="Q67" s="2884">
        <f t="shared" si="105"/>
        <v>5492.4585073862436</v>
      </c>
      <c r="R67" s="2884">
        <f t="shared" si="106"/>
        <v>0</v>
      </c>
      <c r="S67" s="5916">
        <f t="shared" si="107"/>
        <v>1439.660056657224</v>
      </c>
      <c r="T67" s="5916">
        <v>0</v>
      </c>
      <c r="U67" s="4347">
        <f t="shared" si="80"/>
        <v>6932.1185640434678</v>
      </c>
      <c r="V67" s="4347">
        <f t="shared" si="81"/>
        <v>0</v>
      </c>
      <c r="W67" s="6028">
        <f t="shared" si="108"/>
        <v>755.52407932011602</v>
      </c>
      <c r="X67" s="6028">
        <v>0</v>
      </c>
      <c r="Y67" s="2885">
        <f t="shared" si="67"/>
        <v>3634.844192634564</v>
      </c>
      <c r="Z67" s="2885">
        <f t="shared" si="68"/>
        <v>0</v>
      </c>
      <c r="AA67" s="2925">
        <f t="shared" si="94"/>
        <v>7687.6426433635834</v>
      </c>
      <c r="AB67" s="2925">
        <f t="shared" si="94"/>
        <v>0</v>
      </c>
      <c r="AC67" s="6148">
        <f t="shared" si="109"/>
        <v>1467.9886685552399</v>
      </c>
      <c r="AD67" s="6148">
        <v>0</v>
      </c>
      <c r="AE67" s="2884">
        <f t="shared" si="82"/>
        <v>9155.6313119188235</v>
      </c>
      <c r="AF67" s="2884">
        <f t="shared" si="83"/>
        <v>0</v>
      </c>
      <c r="AG67" s="6310">
        <f t="shared" si="110"/>
        <v>1422.6628895184119</v>
      </c>
      <c r="AH67" s="6310">
        <v>861.56200000000001</v>
      </c>
      <c r="AI67" s="4647">
        <f t="shared" si="84"/>
        <v>10578.294201437235</v>
      </c>
      <c r="AJ67" s="4647">
        <f t="shared" si="85"/>
        <v>861.56200000000001</v>
      </c>
      <c r="AK67" s="6571">
        <f t="shared" si="111"/>
        <v>1467.9886685552399</v>
      </c>
      <c r="AL67" s="6571">
        <v>5175.049</v>
      </c>
      <c r="AM67" s="2885">
        <f t="shared" si="69"/>
        <v>4358.6402266288915</v>
      </c>
      <c r="AN67" s="2885">
        <f t="shared" si="70"/>
        <v>6036.6109999999999</v>
      </c>
      <c r="AO67" s="2884">
        <f t="shared" si="86"/>
        <v>12046.282869992474</v>
      </c>
      <c r="AP67" s="2884">
        <f t="shared" si="87"/>
        <v>6036.6109999999999</v>
      </c>
      <c r="AQ67" s="4971">
        <f t="shared" si="112"/>
        <v>1490.6515580736543</v>
      </c>
      <c r="AR67" s="4971">
        <v>2399.634</v>
      </c>
      <c r="AS67" s="2884">
        <f t="shared" si="88"/>
        <v>13536.934428066128</v>
      </c>
      <c r="AT67" s="2884">
        <f t="shared" si="89"/>
        <v>8436.244999999999</v>
      </c>
      <c r="AU67" s="6845">
        <f t="shared" si="113"/>
        <v>1332.0113314447592</v>
      </c>
      <c r="AV67" s="6845">
        <v>0</v>
      </c>
      <c r="AW67" s="5040">
        <f t="shared" si="90"/>
        <v>14868.945759510887</v>
      </c>
      <c r="AX67" s="5040">
        <f t="shared" si="91"/>
        <v>8436.244999999999</v>
      </c>
      <c r="AY67" s="6998">
        <f t="shared" si="114"/>
        <v>1490.6515580736543</v>
      </c>
      <c r="AZ67" s="6998">
        <v>0</v>
      </c>
      <c r="BA67" s="2885">
        <f t="shared" si="73"/>
        <v>4313.3144475920681</v>
      </c>
      <c r="BB67" s="2885">
        <f t="shared" si="74"/>
        <v>2399.634</v>
      </c>
      <c r="BC67" s="2925">
        <f t="shared" si="99"/>
        <v>8671.9546742209604</v>
      </c>
      <c r="BD67" s="2925">
        <f t="shared" si="100"/>
        <v>8436.244999999999</v>
      </c>
      <c r="BE67" s="2884">
        <f t="shared" si="76"/>
        <v>16359.597317584541</v>
      </c>
      <c r="BF67" s="37">
        <f t="shared" si="77"/>
        <v>8436.244999999999</v>
      </c>
      <c r="BG67" s="4396"/>
      <c r="BH67" s="4396"/>
      <c r="BI67" s="3604"/>
      <c r="BJ67" s="3604"/>
      <c r="BK67" s="3957"/>
      <c r="BL67" s="3604"/>
      <c r="BM67" s="3957"/>
      <c r="BN67" s="3957"/>
    </row>
    <row r="68" spans="1:71" ht="15" x14ac:dyDescent="0.25">
      <c r="B68" s="694" t="s">
        <v>1154</v>
      </c>
      <c r="C68" s="3180" t="s">
        <v>50</v>
      </c>
      <c r="D68" s="3593">
        <f t="shared" si="101"/>
        <v>0</v>
      </c>
      <c r="E68" s="2945">
        <f t="shared" si="101"/>
        <v>0</v>
      </c>
      <c r="F68" s="2945">
        <v>0</v>
      </c>
      <c r="G68" s="5596">
        <f t="shared" ref="G68" si="119">+G85*G$5/1000</f>
        <v>0</v>
      </c>
      <c r="H68" s="5596">
        <v>0</v>
      </c>
      <c r="I68" s="2884">
        <f t="shared" si="63"/>
        <v>0</v>
      </c>
      <c r="J68" s="37">
        <f t="shared" si="64"/>
        <v>0</v>
      </c>
      <c r="K68" s="5711">
        <f t="shared" si="103"/>
        <v>0</v>
      </c>
      <c r="L68" s="5711">
        <v>0</v>
      </c>
      <c r="M68" s="2885">
        <f t="shared" si="65"/>
        <v>0</v>
      </c>
      <c r="N68" s="2885">
        <f t="shared" si="66"/>
        <v>0</v>
      </c>
      <c r="O68" s="5849">
        <f t="shared" si="104"/>
        <v>0</v>
      </c>
      <c r="P68" s="5849">
        <v>0</v>
      </c>
      <c r="Q68" s="2884">
        <f t="shared" si="105"/>
        <v>0</v>
      </c>
      <c r="R68" s="2884">
        <f t="shared" si="106"/>
        <v>0</v>
      </c>
      <c r="S68" s="5916">
        <f t="shared" si="107"/>
        <v>0</v>
      </c>
      <c r="T68" s="5916">
        <v>0</v>
      </c>
      <c r="U68" s="4347">
        <f t="shared" si="80"/>
        <v>0</v>
      </c>
      <c r="V68" s="4347">
        <f t="shared" si="81"/>
        <v>0</v>
      </c>
      <c r="W68" s="6028">
        <f t="shared" si="108"/>
        <v>0</v>
      </c>
      <c r="X68" s="6028">
        <v>0</v>
      </c>
      <c r="Y68" s="2885">
        <f t="shared" si="67"/>
        <v>0</v>
      </c>
      <c r="Z68" s="2885">
        <f t="shared" si="68"/>
        <v>0</v>
      </c>
      <c r="AA68" s="2925">
        <f t="shared" si="94"/>
        <v>0</v>
      </c>
      <c r="AB68" s="2925">
        <f t="shared" si="94"/>
        <v>0</v>
      </c>
      <c r="AC68" s="6148">
        <f t="shared" si="109"/>
        <v>0</v>
      </c>
      <c r="AD68" s="6148">
        <v>0</v>
      </c>
      <c r="AE68" s="2884">
        <f t="shared" si="82"/>
        <v>0</v>
      </c>
      <c r="AF68" s="2884">
        <f t="shared" si="83"/>
        <v>0</v>
      </c>
      <c r="AG68" s="6310">
        <f t="shared" si="110"/>
        <v>0</v>
      </c>
      <c r="AH68" s="6310">
        <v>0</v>
      </c>
      <c r="AI68" s="4647">
        <f t="shared" si="84"/>
        <v>0</v>
      </c>
      <c r="AJ68" s="4647">
        <f t="shared" si="85"/>
        <v>0</v>
      </c>
      <c r="AK68" s="6571">
        <f t="shared" si="111"/>
        <v>0</v>
      </c>
      <c r="AL68" s="6571">
        <v>0</v>
      </c>
      <c r="AM68" s="2885">
        <f t="shared" si="69"/>
        <v>0</v>
      </c>
      <c r="AN68" s="2885">
        <f t="shared" si="70"/>
        <v>0</v>
      </c>
      <c r="AO68" s="2884">
        <f t="shared" si="86"/>
        <v>0</v>
      </c>
      <c r="AP68" s="2884">
        <f t="shared" si="87"/>
        <v>0</v>
      </c>
      <c r="AQ68" s="4971">
        <f t="shared" si="112"/>
        <v>0</v>
      </c>
      <c r="AR68" s="4971">
        <v>0</v>
      </c>
      <c r="AS68" s="2884">
        <f t="shared" si="88"/>
        <v>0</v>
      </c>
      <c r="AT68" s="2884">
        <f t="shared" si="89"/>
        <v>0</v>
      </c>
      <c r="AU68" s="6845">
        <f t="shared" si="113"/>
        <v>0</v>
      </c>
      <c r="AV68" s="6845">
        <v>0</v>
      </c>
      <c r="AW68" s="5040">
        <f t="shared" si="90"/>
        <v>0</v>
      </c>
      <c r="AX68" s="5040">
        <f t="shared" si="91"/>
        <v>0</v>
      </c>
      <c r="AY68" s="6998">
        <f t="shared" si="114"/>
        <v>0</v>
      </c>
      <c r="AZ68" s="6998">
        <v>0</v>
      </c>
      <c r="BA68" s="2885">
        <f t="shared" si="73"/>
        <v>0</v>
      </c>
      <c r="BB68" s="2885">
        <f t="shared" si="74"/>
        <v>0</v>
      </c>
      <c r="BC68" s="2925">
        <f t="shared" si="99"/>
        <v>0</v>
      </c>
      <c r="BD68" s="2925">
        <f t="shared" si="100"/>
        <v>0</v>
      </c>
      <c r="BE68" s="2884">
        <f t="shared" si="76"/>
        <v>0</v>
      </c>
      <c r="BF68" s="37">
        <f t="shared" si="77"/>
        <v>0</v>
      </c>
      <c r="BG68" s="4396"/>
      <c r="BH68" s="4396"/>
      <c r="BI68" s="3604"/>
      <c r="BJ68" s="3604"/>
      <c r="BK68" s="3957"/>
      <c r="BL68" s="3604"/>
      <c r="BM68" s="3957"/>
      <c r="BN68" s="3957"/>
    </row>
    <row r="69" spans="1:71" ht="15" x14ac:dyDescent="0.25">
      <c r="B69" s="694" t="s">
        <v>131</v>
      </c>
      <c r="C69" s="3180" t="s">
        <v>50</v>
      </c>
      <c r="D69" s="3593">
        <f t="shared" si="101"/>
        <v>42262.711864406781</v>
      </c>
      <c r="E69" s="2945">
        <f t="shared" si="101"/>
        <v>2905.3672316384182</v>
      </c>
      <c r="F69" s="2945">
        <v>3521.5</v>
      </c>
      <c r="G69" s="5596">
        <f t="shared" ref="G69" si="120">+G86*G$5/1000</f>
        <v>3669.9716713880985</v>
      </c>
      <c r="H69" s="5596">
        <v>4272.8</v>
      </c>
      <c r="I69" s="2884">
        <f t="shared" si="63"/>
        <v>6575.3389030265171</v>
      </c>
      <c r="J69" s="37">
        <f t="shared" si="64"/>
        <v>7794.3</v>
      </c>
      <c r="K69" s="5711">
        <f t="shared" si="103"/>
        <v>3556.6572237960299</v>
      </c>
      <c r="L69" s="5711">
        <v>4275.8</v>
      </c>
      <c r="M69" s="2885">
        <f t="shared" si="65"/>
        <v>10131.996126822547</v>
      </c>
      <c r="N69" s="2885">
        <f t="shared" si="66"/>
        <v>12070.1</v>
      </c>
      <c r="O69" s="5849">
        <f t="shared" si="104"/>
        <v>3599.1501416430601</v>
      </c>
      <c r="P69" s="5849">
        <v>3451.2</v>
      </c>
      <c r="Q69" s="2884">
        <f t="shared" si="105"/>
        <v>13731.146268465607</v>
      </c>
      <c r="R69" s="2884">
        <f t="shared" si="106"/>
        <v>15521.3</v>
      </c>
      <c r="S69" s="5916">
        <f t="shared" si="107"/>
        <v>3599.1501416430601</v>
      </c>
      <c r="T69" s="5916">
        <v>1721.75</v>
      </c>
      <c r="U69" s="4347">
        <f t="shared" si="80"/>
        <v>17330.296410108669</v>
      </c>
      <c r="V69" s="4347">
        <f t="shared" si="81"/>
        <v>17243.05</v>
      </c>
      <c r="W69" s="6028">
        <f t="shared" si="108"/>
        <v>1888.8101983002903</v>
      </c>
      <c r="X69" s="6028">
        <v>879.2</v>
      </c>
      <c r="Y69" s="2885">
        <f t="shared" si="67"/>
        <v>9087.110481586411</v>
      </c>
      <c r="Z69" s="2885">
        <f t="shared" si="68"/>
        <v>6052.15</v>
      </c>
      <c r="AA69" s="2925">
        <f t="shared" si="94"/>
        <v>19219.106608408958</v>
      </c>
      <c r="AB69" s="2925">
        <f t="shared" si="94"/>
        <v>18122.25</v>
      </c>
      <c r="AC69" s="6148">
        <f t="shared" si="109"/>
        <v>3669.9716713880998</v>
      </c>
      <c r="AD69" s="6148">
        <v>2267.1</v>
      </c>
      <c r="AE69" s="2884">
        <f t="shared" si="82"/>
        <v>22889.078279797057</v>
      </c>
      <c r="AF69" s="2884">
        <f t="shared" si="83"/>
        <v>20389.349999999999</v>
      </c>
      <c r="AG69" s="6310">
        <f t="shared" si="110"/>
        <v>3556.6572237960299</v>
      </c>
      <c r="AH69" s="6310">
        <v>4063.5</v>
      </c>
      <c r="AI69" s="4647">
        <f t="shared" si="84"/>
        <v>26445.735503593089</v>
      </c>
      <c r="AJ69" s="4647">
        <f t="shared" si="85"/>
        <v>24452.85</v>
      </c>
      <c r="AK69" s="6571">
        <f t="shared" si="111"/>
        <v>3669.9716713880998</v>
      </c>
      <c r="AL69" s="6571">
        <v>3801.4</v>
      </c>
      <c r="AM69" s="2885">
        <f t="shared" si="69"/>
        <v>10896.60056657223</v>
      </c>
      <c r="AN69" s="2885">
        <f t="shared" si="70"/>
        <v>10132</v>
      </c>
      <c r="AO69" s="2884">
        <f t="shared" si="86"/>
        <v>30115.707174981188</v>
      </c>
      <c r="AP69" s="2884">
        <f t="shared" si="87"/>
        <v>28254.25</v>
      </c>
      <c r="AQ69" s="4971">
        <f t="shared" si="112"/>
        <v>3726.6288951841361</v>
      </c>
      <c r="AR69" s="4971">
        <v>2897.4</v>
      </c>
      <c r="AS69" s="2884">
        <f t="shared" si="88"/>
        <v>33842.336070165322</v>
      </c>
      <c r="AT69" s="2884">
        <f t="shared" si="89"/>
        <v>31151.65</v>
      </c>
      <c r="AU69" s="6845">
        <f t="shared" si="113"/>
        <v>3330.0283286118979</v>
      </c>
      <c r="AV69" s="6845">
        <v>2360.04</v>
      </c>
      <c r="AW69" s="5040">
        <f t="shared" si="90"/>
        <v>37172.364398777223</v>
      </c>
      <c r="AX69" s="5040">
        <f t="shared" si="91"/>
        <v>33511.69</v>
      </c>
      <c r="AY69" s="6998">
        <f t="shared" si="114"/>
        <v>3726.6288951841361</v>
      </c>
      <c r="AZ69" s="6998">
        <v>3046.4</v>
      </c>
      <c r="BA69" s="2885">
        <f t="shared" si="73"/>
        <v>10783.28611898017</v>
      </c>
      <c r="BB69" s="2885">
        <f t="shared" si="74"/>
        <v>8303.84</v>
      </c>
      <c r="BC69" s="2925">
        <f t="shared" si="99"/>
        <v>21679.886685552399</v>
      </c>
      <c r="BD69" s="2925">
        <f t="shared" si="100"/>
        <v>18435.84</v>
      </c>
      <c r="BE69" s="2884">
        <f t="shared" si="76"/>
        <v>40898.993293961357</v>
      </c>
      <c r="BF69" s="37">
        <f t="shared" si="77"/>
        <v>36558.090000000004</v>
      </c>
      <c r="BG69" s="4396"/>
      <c r="BH69" s="4396"/>
      <c r="BI69" s="3604"/>
      <c r="BJ69" s="3604"/>
      <c r="BK69" s="3957"/>
      <c r="BL69" s="3604"/>
      <c r="BM69" s="3957"/>
      <c r="BN69" s="3957"/>
    </row>
    <row r="70" spans="1:71" ht="15" x14ac:dyDescent="0.25">
      <c r="B70" s="694" t="s">
        <v>1737</v>
      </c>
      <c r="C70" s="3180" t="s">
        <v>50</v>
      </c>
      <c r="D70" s="3593">
        <f t="shared" si="101"/>
        <v>188773.4463276836</v>
      </c>
      <c r="E70" s="2945">
        <f t="shared" si="101"/>
        <v>12977.306967984936</v>
      </c>
      <c r="F70" s="5458">
        <v>15243.976000000001</v>
      </c>
      <c r="G70" s="5596">
        <f t="shared" ref="G70" si="121">+G87*G$5/1000</f>
        <v>16392.540132200178</v>
      </c>
      <c r="H70" s="5596">
        <v>15703.071</v>
      </c>
      <c r="I70" s="2884">
        <f t="shared" si="63"/>
        <v>29369.847100185114</v>
      </c>
      <c r="J70" s="37">
        <f t="shared" si="64"/>
        <v>30947.046999999999</v>
      </c>
      <c r="K70" s="5711">
        <f t="shared" si="103"/>
        <v>15886.402266288935</v>
      </c>
      <c r="L70" s="5711">
        <v>15937.584999999999</v>
      </c>
      <c r="M70" s="2885">
        <f t="shared" si="65"/>
        <v>45256.249366474047</v>
      </c>
      <c r="N70" s="2885">
        <f t="shared" si="66"/>
        <v>46884.631999999998</v>
      </c>
      <c r="O70" s="5849">
        <f t="shared" si="104"/>
        <v>16076.203966005669</v>
      </c>
      <c r="P70" s="5849">
        <v>17069.062000000002</v>
      </c>
      <c r="Q70" s="2884">
        <f t="shared" si="105"/>
        <v>61332.453332479716</v>
      </c>
      <c r="R70" s="2884">
        <f t="shared" si="106"/>
        <v>63953.694000000003</v>
      </c>
      <c r="S70" s="5916">
        <f t="shared" si="107"/>
        <v>16076.203966005669</v>
      </c>
      <c r="T70" s="5916">
        <v>15781.566000000001</v>
      </c>
      <c r="U70" s="4347">
        <f t="shared" si="80"/>
        <v>77408.657298485385</v>
      </c>
      <c r="V70" s="4347">
        <f t="shared" si="81"/>
        <v>79735.260000000009</v>
      </c>
      <c r="W70" s="6028">
        <f t="shared" si="108"/>
        <v>8436.6855524079638</v>
      </c>
      <c r="X70" s="6028">
        <v>15556.172</v>
      </c>
      <c r="Y70" s="2885">
        <f t="shared" si="67"/>
        <v>40589.093484419303</v>
      </c>
      <c r="Z70" s="2885">
        <f t="shared" si="68"/>
        <v>48406.8</v>
      </c>
      <c r="AA70" s="2925">
        <f t="shared" si="94"/>
        <v>85845.342850893358</v>
      </c>
      <c r="AB70" s="2925">
        <f t="shared" si="94"/>
        <v>95291.432000000001</v>
      </c>
      <c r="AC70" s="6148">
        <f t="shared" si="109"/>
        <v>16392.540132200178</v>
      </c>
      <c r="AD70" s="6148">
        <v>12822.339</v>
      </c>
      <c r="AE70" s="2884">
        <f t="shared" si="82"/>
        <v>102237.88298309353</v>
      </c>
      <c r="AF70" s="2884">
        <f t="shared" si="83"/>
        <v>108113.77100000001</v>
      </c>
      <c r="AG70" s="6310">
        <f t="shared" si="110"/>
        <v>15886.402266288935</v>
      </c>
      <c r="AH70" s="6310">
        <v>14313.882</v>
      </c>
      <c r="AI70" s="4647">
        <f t="shared" si="84"/>
        <v>118124.28524938246</v>
      </c>
      <c r="AJ70" s="4647">
        <f t="shared" si="85"/>
        <v>122427.65300000001</v>
      </c>
      <c r="AK70" s="6571">
        <f t="shared" si="111"/>
        <v>16392.540132200178</v>
      </c>
      <c r="AL70" s="6571">
        <v>15349.977000000001</v>
      </c>
      <c r="AM70" s="2885">
        <f t="shared" si="69"/>
        <v>48671.482530689289</v>
      </c>
      <c r="AN70" s="2885">
        <f t="shared" si="70"/>
        <v>42486.198000000004</v>
      </c>
      <c r="AO70" s="2884">
        <f t="shared" si="86"/>
        <v>134516.82538158263</v>
      </c>
      <c r="AP70" s="2884">
        <f t="shared" si="87"/>
        <v>137777.63</v>
      </c>
      <c r="AQ70" s="4971">
        <f t="shared" si="112"/>
        <v>16645.609065155808</v>
      </c>
      <c r="AR70" s="4971">
        <v>16655.484</v>
      </c>
      <c r="AS70" s="2884">
        <f t="shared" si="88"/>
        <v>151162.43444673845</v>
      </c>
      <c r="AT70" s="2884">
        <f t="shared" si="89"/>
        <v>154433.114</v>
      </c>
      <c r="AU70" s="6845">
        <f t="shared" si="113"/>
        <v>14874.126534466477</v>
      </c>
      <c r="AV70" s="6845">
        <v>14758.846</v>
      </c>
      <c r="AW70" s="5040">
        <f t="shared" si="90"/>
        <v>166036.56098120494</v>
      </c>
      <c r="AX70" s="5040">
        <f t="shared" si="91"/>
        <v>169191.96</v>
      </c>
      <c r="AY70" s="6998">
        <f t="shared" si="114"/>
        <v>16645.609065155808</v>
      </c>
      <c r="AZ70" s="6998">
        <v>15525.558999999999</v>
      </c>
      <c r="BA70" s="2885">
        <f t="shared" si="73"/>
        <v>48165.344664778095</v>
      </c>
      <c r="BB70" s="2885">
        <f t="shared" si="74"/>
        <v>46939.888999999996</v>
      </c>
      <c r="BC70" s="2925">
        <f t="shared" si="99"/>
        <v>96836.827195467384</v>
      </c>
      <c r="BD70" s="2925">
        <f t="shared" si="100"/>
        <v>89426.087</v>
      </c>
      <c r="BE70" s="2884">
        <f t="shared" si="76"/>
        <v>182682.17004636076</v>
      </c>
      <c r="BF70" s="37">
        <f t="shared" si="77"/>
        <v>184717.519</v>
      </c>
      <c r="BG70" s="4396"/>
      <c r="BH70" s="4396"/>
      <c r="BI70" s="3604"/>
      <c r="BJ70" s="3604"/>
      <c r="BK70" s="3957"/>
      <c r="BL70" s="3604"/>
      <c r="BM70" s="3957"/>
      <c r="BN70" s="3957"/>
    </row>
    <row r="71" spans="1:71" ht="15" x14ac:dyDescent="0.25">
      <c r="A71" s="1192"/>
      <c r="B71" s="932" t="s">
        <v>285</v>
      </c>
      <c r="C71" s="390"/>
      <c r="D71" s="3681"/>
      <c r="E71" s="3682"/>
      <c r="F71" s="3682"/>
      <c r="G71" s="3682"/>
      <c r="H71" s="3682"/>
      <c r="I71" s="3682"/>
      <c r="J71" s="3683"/>
      <c r="K71" s="3682"/>
      <c r="L71" s="3682"/>
      <c r="M71" s="3682"/>
      <c r="N71" s="3682"/>
      <c r="O71" s="3682"/>
      <c r="P71" s="3682"/>
      <c r="Q71" s="3682"/>
      <c r="R71" s="3682"/>
      <c r="S71" s="3682"/>
      <c r="T71" s="3682"/>
      <c r="U71" s="3682"/>
      <c r="V71" s="3682"/>
      <c r="W71" s="3682"/>
      <c r="X71" s="3682"/>
      <c r="Y71" s="3682"/>
      <c r="Z71" s="3682"/>
      <c r="AA71" s="3682"/>
      <c r="AB71" s="3682"/>
      <c r="AC71" s="3682"/>
      <c r="AD71" s="3682"/>
      <c r="AE71" s="3682"/>
      <c r="AF71" s="3682"/>
      <c r="AG71" s="3682"/>
      <c r="AH71" s="3682"/>
      <c r="AI71" s="3682"/>
      <c r="AJ71" s="3682"/>
      <c r="AK71" s="3682"/>
      <c r="AL71" s="3682"/>
      <c r="AM71" s="3682"/>
      <c r="AN71" s="3682"/>
      <c r="AO71" s="3682"/>
      <c r="AP71" s="3682"/>
      <c r="AQ71" s="3682"/>
      <c r="AR71" s="3682"/>
      <c r="AS71" s="3682"/>
      <c r="AT71" s="3682"/>
      <c r="AU71" s="3682"/>
      <c r="AV71" s="3682"/>
      <c r="AW71" s="3682"/>
      <c r="AX71" s="3682"/>
      <c r="AY71" s="3682"/>
      <c r="AZ71" s="3682"/>
      <c r="BA71" s="3682"/>
      <c r="BB71" s="3682"/>
      <c r="BC71" s="3682"/>
      <c r="BD71" s="3682"/>
      <c r="BE71" s="3682"/>
      <c r="BF71" s="3683"/>
      <c r="BG71" s="4396"/>
      <c r="BH71" s="4396"/>
      <c r="BI71" s="3604"/>
      <c r="BJ71" s="3604"/>
      <c r="BK71" s="3957"/>
      <c r="BL71" s="3604"/>
      <c r="BM71" s="3957"/>
      <c r="BN71" s="3957"/>
    </row>
    <row r="72" spans="1:71" ht="15" x14ac:dyDescent="0.25">
      <c r="B72" s="694" t="s">
        <v>83</v>
      </c>
      <c r="C72" s="3180" t="s">
        <v>269</v>
      </c>
      <c r="D72" s="1267">
        <v>1.2464893653348954</v>
      </c>
      <c r="E72" s="3172">
        <v>1.2464893653348954</v>
      </c>
      <c r="F72" s="3172">
        <f>+F55/F$49*1000</f>
        <v>1.8322218749910406</v>
      </c>
      <c r="G72" s="3172">
        <v>1.6372322252457012</v>
      </c>
      <c r="H72" s="3172">
        <f>+H55/H$49*1000</f>
        <v>1.2550810710532241</v>
      </c>
      <c r="I72" s="3432">
        <f t="shared" ref="I72:J72" si="122">+I55/I$5*1000</f>
        <v>1.4645792992255686</v>
      </c>
      <c r="J72" s="3183">
        <f t="shared" si="122"/>
        <v>1.5352365047057392</v>
      </c>
      <c r="K72" s="3172">
        <v>1.6372322252457012</v>
      </c>
      <c r="L72" s="3172">
        <f>+L55/L$49*1000</f>
        <v>1.6635634020980614</v>
      </c>
      <c r="M72" s="3697">
        <f>+M55/M$5*1000</f>
        <v>1.5251860413573974</v>
      </c>
      <c r="N72" s="3697">
        <f>+N55/N$5*1000</f>
        <v>1.5796575370707659</v>
      </c>
      <c r="O72" s="3172">
        <v>1.6372322252457012</v>
      </c>
      <c r="P72" s="3172">
        <f>+P55/P$49*1000</f>
        <v>1.5098844804335725</v>
      </c>
      <c r="Q72" s="3250">
        <f t="shared" ref="Q72:R72" si="123">+Q55/Q$5*1000</f>
        <v>1.5545551144651752</v>
      </c>
      <c r="R72" s="3250">
        <f t="shared" si="123"/>
        <v>1.5611627841363291</v>
      </c>
      <c r="S72" s="3172">
        <v>1.6372322252457012</v>
      </c>
      <c r="T72" s="3172">
        <f>+T55/T$49*1000</f>
        <v>1.2625104793630249</v>
      </c>
      <c r="U72" s="3432">
        <f t="shared" ref="U72:V72" si="124">+U55/U$5*1000</f>
        <v>1.5717254690820066</v>
      </c>
      <c r="V72" s="3432">
        <f t="shared" si="124"/>
        <v>1.5017566534767677</v>
      </c>
      <c r="W72" s="3172">
        <v>1.6372322252457012</v>
      </c>
      <c r="X72" s="3172">
        <f>+X55/X$49*1000</f>
        <v>1.2916217390959353</v>
      </c>
      <c r="Y72" s="3679">
        <f>+Y55/Y$5*1000</f>
        <v>1.6372322252457012</v>
      </c>
      <c r="Z72" s="3679">
        <f>+Z55/Z$5*1000</f>
        <v>1.3590835098331639</v>
      </c>
      <c r="AA72" s="3680">
        <f>+AA55/AA$47*1000</f>
        <v>1.5781633244735478</v>
      </c>
      <c r="AB72" s="3680">
        <f>+AB55/AB$49*1000</f>
        <v>1.4682213238049076</v>
      </c>
      <c r="AC72" s="3172">
        <v>1.6372322252457012</v>
      </c>
      <c r="AD72" s="3172">
        <f>+AD55/AD$49*1000</f>
        <v>1.4006594036617255</v>
      </c>
      <c r="AE72" s="3432">
        <f t="shared" ref="AE72:AF72" si="125">+AE55/AE$5*1000</f>
        <v>1.587634269080574</v>
      </c>
      <c r="AF72" s="3432">
        <f t="shared" si="125"/>
        <v>1.4606575207931283</v>
      </c>
      <c r="AG72" s="3171">
        <v>1.6372322252457012</v>
      </c>
      <c r="AH72" s="3171">
        <f>+AH55/AH$49*1000</f>
        <v>1.2636074729745954</v>
      </c>
      <c r="AI72" s="3432">
        <f t="shared" ref="AI72:AJ72" si="126">+AI55/AI$5*1000</f>
        <v>1.5943046424213438</v>
      </c>
      <c r="AJ72" s="3432">
        <f t="shared" si="126"/>
        <v>1.4359470885189254</v>
      </c>
      <c r="AK72" s="3171">
        <v>1.6372322252457012</v>
      </c>
      <c r="AL72" s="3171">
        <f>+AL55/AL$49*1000</f>
        <v>1.7132649881991955</v>
      </c>
      <c r="AM72" s="3679">
        <f>+AM55/AM$5*1000</f>
        <v>1.6372322252457008</v>
      </c>
      <c r="AN72" s="3679">
        <f>+AN55/AN$5*1000</f>
        <v>1.4656770357100648</v>
      </c>
      <c r="AO72" s="3432">
        <f t="shared" ref="AO72:AP72" si="127">+AO55/AO$5*1000</f>
        <v>1.5995358997174514</v>
      </c>
      <c r="AP72" s="3432">
        <f t="shared" si="127"/>
        <v>1.4674286854642928</v>
      </c>
      <c r="AQ72" s="3171">
        <v>1.6372322252457012</v>
      </c>
      <c r="AR72" s="3171">
        <f>+AR55/AR$49*1000</f>
        <v>1.174317372118022</v>
      </c>
      <c r="AS72" s="3432">
        <f t="shared" ref="AS72:AT72" si="128">+AS55/AS$5*1000</f>
        <v>1.6036869197789678</v>
      </c>
      <c r="AT72" s="3432">
        <f t="shared" si="128"/>
        <v>1.4382723615446991</v>
      </c>
      <c r="AU72" s="3171">
        <v>1.6372322252457012</v>
      </c>
      <c r="AV72" s="3171">
        <f>+AV55/AV$49*1000</f>
        <v>0.72966595298129877</v>
      </c>
      <c r="AW72" s="3432">
        <f t="shared" ref="AW72:AX72" si="129">+AW55/AW$5*1000</f>
        <v>1.606692023686209</v>
      </c>
      <c r="AX72" s="3432">
        <f t="shared" si="129"/>
        <v>1.3853564306123034</v>
      </c>
      <c r="AY72" s="3171">
        <v>1.6372322252457012</v>
      </c>
      <c r="AZ72" s="3171">
        <f>+AZ55/AZ$49*1000</f>
        <v>1.7451504197376924</v>
      </c>
      <c r="BA72" s="3679">
        <f>+BA55/BA$5*1000</f>
        <v>1.6372322252457014</v>
      </c>
      <c r="BB72" s="3679">
        <f>+BB55/BB$5*1000</f>
        <v>1.2590497063287192</v>
      </c>
      <c r="BC72" s="3680">
        <f>+BC55/BC$47*1000</f>
        <v>1.637232223084973</v>
      </c>
      <c r="BD72" s="3680">
        <f>+BD55/BD$49*1000</f>
        <v>1.3614678117262049</v>
      </c>
      <c r="BE72" s="3432">
        <f t="shared" ref="BE72:BF72" si="130">+BE55/BE$5*1000</f>
        <v>1.6094747816083497</v>
      </c>
      <c r="BF72" s="103">
        <f t="shared" si="130"/>
        <v>1.4172808119996219</v>
      </c>
      <c r="BG72" s="4396"/>
      <c r="BH72" s="4396"/>
      <c r="BI72" s="4396"/>
      <c r="BJ72" s="4396"/>
      <c r="BK72" s="4396"/>
      <c r="BL72" s="4396"/>
      <c r="BM72" s="3957"/>
      <c r="BN72" s="3957"/>
      <c r="BO72" s="3957"/>
      <c r="BP72" s="3957"/>
      <c r="BQ72" s="3957"/>
      <c r="BR72" s="3957"/>
      <c r="BS72" s="3957"/>
    </row>
    <row r="73" spans="1:71" ht="15" x14ac:dyDescent="0.25">
      <c r="B73" s="694" t="s">
        <v>800</v>
      </c>
      <c r="C73" s="3180" t="s">
        <v>269</v>
      </c>
      <c r="D73" s="1267">
        <v>0.78144616802656308</v>
      </c>
      <c r="E73" s="3172">
        <v>0.78144616802656308</v>
      </c>
      <c r="F73" s="3172">
        <f>+F56/F$49*1000</f>
        <v>0.62716641197737333</v>
      </c>
      <c r="G73" s="3172">
        <v>0.84012576263208183</v>
      </c>
      <c r="H73" s="3172">
        <f>+H56/H$49*1000</f>
        <v>0.75220347019351486</v>
      </c>
      <c r="I73" s="3432">
        <f t="shared" ref="I73:J73" si="131">+I56/I$5*1000</f>
        <v>0.81419770419326432</v>
      </c>
      <c r="J73" s="3183">
        <f t="shared" si="131"/>
        <v>0.69150879390428477</v>
      </c>
      <c r="K73" s="3172">
        <v>0.84012576263208183</v>
      </c>
      <c r="L73" s="3172">
        <f>+L56/L$49*1000</f>
        <v>0.43129421535875667</v>
      </c>
      <c r="M73" s="3679">
        <f t="shared" ref="M73:N79" si="132">+M56/M$5*1000</f>
        <v>0.82329928844094269</v>
      </c>
      <c r="N73" s="3697">
        <f t="shared" si="132"/>
        <v>0.6014357679396346</v>
      </c>
      <c r="O73" s="3172">
        <v>0.84012576263208183</v>
      </c>
      <c r="P73" s="3172">
        <f>+P56/P$49*1000</f>
        <v>0.54008922668250503</v>
      </c>
      <c r="Q73" s="3250">
        <f t="shared" ref="Q73:R73" si="133">+Q56/Q$5*1000</f>
        <v>0.82770977288152248</v>
      </c>
      <c r="R73" s="3250">
        <f t="shared" si="133"/>
        <v>0.58517480529875787</v>
      </c>
      <c r="S73" s="3172">
        <v>0.84012576263208183</v>
      </c>
      <c r="T73" s="3172">
        <f>+T56/T$49*1000</f>
        <v>0.55129624265518751</v>
      </c>
      <c r="U73" s="3432">
        <f t="shared" ref="U73:V73" si="134">+U56/U$5*1000</f>
        <v>0.83028832146556741</v>
      </c>
      <c r="V73" s="3432">
        <f t="shared" si="134"/>
        <v>0.57843581245955766</v>
      </c>
      <c r="W73" s="3172">
        <v>0.84012576263208183</v>
      </c>
      <c r="X73" s="3172">
        <f>+X56/X$49*1000</f>
        <v>0.56866622642790321</v>
      </c>
      <c r="Y73" s="3679">
        <f t="shared" ref="Y73:Z73" si="135">+Y56/Y$5*1000</f>
        <v>0.84012576263208194</v>
      </c>
      <c r="Z73" s="3679">
        <f t="shared" si="135"/>
        <v>0.5528239276677932</v>
      </c>
      <c r="AA73" s="3680">
        <f>+AA56/AA$47*1000</f>
        <v>0.8312551228668541</v>
      </c>
      <c r="AB73" s="3680">
        <f>+AB56/AB$49*1000</f>
        <v>0.57687661021563208</v>
      </c>
      <c r="AC73" s="3172">
        <v>0.84012576263208183</v>
      </c>
      <c r="AD73" s="3172">
        <f>+AD56/AD$49*1000</f>
        <v>0.5245497368294908</v>
      </c>
      <c r="AE73" s="3432">
        <f t="shared" ref="AE73:AF73" si="136">+AE56/AE$5*1000</f>
        <v>0.83267741677696827</v>
      </c>
      <c r="AF73" s="3432">
        <f t="shared" si="136"/>
        <v>0.57101838066934096</v>
      </c>
      <c r="AG73" s="3171">
        <v>0.84012576263208183</v>
      </c>
      <c r="AH73" s="3171">
        <f>+AH56/AH$49*1000</f>
        <v>0.48801392059708509</v>
      </c>
      <c r="AI73" s="3432">
        <f t="shared" ref="AI73:AJ73" si="137">+AI56/AI$5*1000</f>
        <v>0.83367913643370906</v>
      </c>
      <c r="AJ73" s="3432">
        <f t="shared" si="137"/>
        <v>0.56060947976423803</v>
      </c>
      <c r="AK73" s="3171">
        <v>0.84012576263208183</v>
      </c>
      <c r="AL73" s="3171">
        <f>+AL56/AL$49*1000</f>
        <v>0.29867892604274571</v>
      </c>
      <c r="AM73" s="3679">
        <f t="shared" ref="AM73:AP73" si="138">+AM56/AM$5*1000</f>
        <v>0.84012576263208183</v>
      </c>
      <c r="AN73" s="3679">
        <f t="shared" si="138"/>
        <v>0.42919255817425217</v>
      </c>
      <c r="AO73" s="3432">
        <f t="shared" si="138"/>
        <v>0.83446473762801576</v>
      </c>
      <c r="AP73" s="3432">
        <f t="shared" si="138"/>
        <v>0.53087503317968954</v>
      </c>
      <c r="AQ73" s="3171">
        <v>0.84012576263208183</v>
      </c>
      <c r="AR73" s="3171">
        <f>+AR56/AR$49*1000</f>
        <v>0.38588472272735602</v>
      </c>
      <c r="AS73" s="3432">
        <f t="shared" ref="AS73:AT73" si="139">+AS56/AS$5*1000</f>
        <v>0.83508811478829126</v>
      </c>
      <c r="AT73" s="3432">
        <f t="shared" si="139"/>
        <v>0.516452546778431</v>
      </c>
      <c r="AU73" s="3171">
        <v>0.84012576263208183</v>
      </c>
      <c r="AV73" s="3171">
        <f>+AV56/AV$49*1000</f>
        <v>0.77676453901299536</v>
      </c>
      <c r="AW73" s="3432">
        <f t="shared" ref="AW73:AX73" si="140">+AW56/AW$5*1000</f>
        <v>0.83553940461880705</v>
      </c>
      <c r="AX73" s="3432">
        <f t="shared" si="140"/>
        <v>0.53589169104194045</v>
      </c>
      <c r="AY73" s="3171">
        <v>0.84012576263208183</v>
      </c>
      <c r="AZ73" s="3171">
        <f>+AZ56/AZ$49*1000</f>
        <v>0.50572054918764486</v>
      </c>
      <c r="BA73" s="3679">
        <f t="shared" ref="BA73:BB73" si="141">+BA56/BA$5*1000</f>
        <v>0.84012576263208194</v>
      </c>
      <c r="BB73" s="3679">
        <f t="shared" si="141"/>
        <v>0.54059663489239695</v>
      </c>
      <c r="BC73" s="3680">
        <f>+BC56/BC$47*1000</f>
        <v>0.84012576152333052</v>
      </c>
      <c r="BD73" s="3680">
        <f>+BD56/BD$49*1000</f>
        <v>0.48537665192424706</v>
      </c>
      <c r="BE73" s="3432">
        <f t="shared" ref="BE73:BF73" si="142">+BE56/BE$5*1000</f>
        <v>0.83595730376300081</v>
      </c>
      <c r="BF73" s="103">
        <f t="shared" si="142"/>
        <v>0.53321460531208587</v>
      </c>
      <c r="BG73" s="4396"/>
      <c r="BH73" s="4396"/>
      <c r="BI73" s="4396"/>
      <c r="BJ73" s="4396"/>
      <c r="BK73" s="4396"/>
      <c r="BL73" s="4396"/>
      <c r="BM73" s="3957"/>
      <c r="BN73" s="3957"/>
      <c r="BO73" s="3957"/>
      <c r="BP73" s="3957"/>
      <c r="BQ73" s="3957"/>
      <c r="BR73" s="3957"/>
      <c r="BS73" s="3957"/>
    </row>
    <row r="74" spans="1:71" ht="15" x14ac:dyDescent="0.25">
      <c r="B74" s="696" t="s">
        <v>842</v>
      </c>
      <c r="C74" s="3686" t="s">
        <v>269</v>
      </c>
      <c r="D74" s="3688">
        <f>SUM(D72:D73)</f>
        <v>2.0279355333614584</v>
      </c>
      <c r="E74" s="3689">
        <f>SUM(E72:E73)</f>
        <v>2.0279355333614584</v>
      </c>
      <c r="F74" s="3689">
        <f>SUM(F72:F73)</f>
        <v>2.4593882869684141</v>
      </c>
      <c r="G74" s="3689">
        <f>SUM(G72:G73)</f>
        <v>2.4773579878777832</v>
      </c>
      <c r="H74" s="3689">
        <f>SUM(H72:H73)</f>
        <v>2.0072845412467388</v>
      </c>
      <c r="I74" s="3690">
        <f t="shared" ref="I74:J74" si="143">+I57/I$5*1000</f>
        <v>2.278777003418833</v>
      </c>
      <c r="J74" s="3691">
        <f t="shared" si="143"/>
        <v>2.226745298610024</v>
      </c>
      <c r="K74" s="3689">
        <f>SUM(K72:K73)</f>
        <v>2.4773579878777832</v>
      </c>
      <c r="L74" s="3689">
        <f>SUM(L72:L73)</f>
        <v>2.0948576174568183</v>
      </c>
      <c r="M74" s="3693">
        <f t="shared" si="132"/>
        <v>2.3484853297983399</v>
      </c>
      <c r="N74" s="3703">
        <f t="shared" si="132"/>
        <v>2.1810933050104007</v>
      </c>
      <c r="O74" s="3689">
        <f>SUM(O72:O73)</f>
        <v>2.4773579878777832</v>
      </c>
      <c r="P74" s="3689">
        <f>SUM(P72:P73)</f>
        <v>2.0499737071160773</v>
      </c>
      <c r="Q74" s="3690">
        <f t="shared" ref="Q74:R74" si="144">+Q57/Q$5*1000</f>
        <v>2.3822648873466972</v>
      </c>
      <c r="R74" s="3690">
        <f t="shared" si="144"/>
        <v>2.1463375894350869</v>
      </c>
      <c r="S74" s="3689">
        <f>SUM(S72:S73)</f>
        <v>2.4773579878777832</v>
      </c>
      <c r="T74" s="3689">
        <f>SUM(T72:T73)</f>
        <v>1.8138067220182124</v>
      </c>
      <c r="U74" s="4348">
        <f t="shared" ref="U74:V74" si="145">+U57/U$5*1000</f>
        <v>2.4020137905475738</v>
      </c>
      <c r="V74" s="4348">
        <f t="shared" si="145"/>
        <v>2.0801924659363253</v>
      </c>
      <c r="W74" s="3689">
        <f>SUM(W72:W73)</f>
        <v>2.4773579878777832</v>
      </c>
      <c r="X74" s="3689">
        <f>SUM(X72:X73)</f>
        <v>1.8602879655238385</v>
      </c>
      <c r="Y74" s="3693">
        <f t="shared" ref="Y74:Z74" si="146">+Y57/Y$5*1000</f>
        <v>2.4773579878777832</v>
      </c>
      <c r="Z74" s="3693">
        <f t="shared" si="146"/>
        <v>1.9119074375009573</v>
      </c>
      <c r="AA74" s="3695">
        <f>+AA57/AA$47*1000</f>
        <v>2.4094184473404017</v>
      </c>
      <c r="AB74" s="3695">
        <f>+AB57/AB$49*1000</f>
        <v>2.0450979340205397</v>
      </c>
      <c r="AC74" s="3689">
        <f>SUM(AC72:AC73)</f>
        <v>2.4773579878777832</v>
      </c>
      <c r="AD74" s="3689">
        <f>SUM(AD72:AD73)</f>
        <v>1.9252091404912162</v>
      </c>
      <c r="AE74" s="3694">
        <f t="shared" ref="AE74:AF74" si="147">+AE57/AE$5*1000</f>
        <v>2.4203116858575426</v>
      </c>
      <c r="AF74" s="3694">
        <f t="shared" si="147"/>
        <v>2.0316759014624695</v>
      </c>
      <c r="AG74" s="3692">
        <f>SUM(AG72:AG73)</f>
        <v>2.4773579878777832</v>
      </c>
      <c r="AH74" s="3692">
        <f>SUM(AH72:AH73)</f>
        <v>1.7516213935716805</v>
      </c>
      <c r="AI74" s="4648">
        <f t="shared" ref="AI74:AJ74" si="148">+AI57/AI$5*1000</f>
        <v>2.4279837788550531</v>
      </c>
      <c r="AJ74" s="4648">
        <f t="shared" si="148"/>
        <v>1.9965565682831636</v>
      </c>
      <c r="AK74" s="3692">
        <f>SUM(AK72:AK73)</f>
        <v>2.4773579878777832</v>
      </c>
      <c r="AL74" s="3692">
        <f>SUM(AL72:AL73)</f>
        <v>2.0119439142419413</v>
      </c>
      <c r="AM74" s="3693">
        <f t="shared" ref="AM74:AP74" si="149">+AM57/AM$5*1000</f>
        <v>2.4773579878777827</v>
      </c>
      <c r="AN74" s="3693">
        <f t="shared" si="149"/>
        <v>1.894869593884317</v>
      </c>
      <c r="AO74" s="3694">
        <f t="shared" si="149"/>
        <v>2.4340006373454672</v>
      </c>
      <c r="AP74" s="3694">
        <f t="shared" si="149"/>
        <v>1.9983037186439823</v>
      </c>
      <c r="AQ74" s="3692">
        <f t="shared" ref="AQ74" si="150">SUM(AQ72:AQ73)</f>
        <v>2.4773579878777832</v>
      </c>
      <c r="AR74" s="3692">
        <f>SUM(AR72:AR73)</f>
        <v>1.5602020948453781</v>
      </c>
      <c r="AS74" s="3694">
        <f t="shared" ref="AS74:AT74" si="151">+AS57/AS$5*1000</f>
        <v>2.4387750345672594</v>
      </c>
      <c r="AT74" s="3694">
        <f t="shared" si="151"/>
        <v>1.95472490832313</v>
      </c>
      <c r="AU74" s="3692">
        <f t="shared" ref="AU74" si="152">SUM(AU72:AU73)</f>
        <v>2.4773579878777832</v>
      </c>
      <c r="AV74" s="3692">
        <f>SUM(AV72:AV73)</f>
        <v>1.5064304919942941</v>
      </c>
      <c r="AW74" s="5042">
        <f t="shared" ref="AW74:AX74" si="153">+AW57/AW$5*1000</f>
        <v>2.4422314283050159</v>
      </c>
      <c r="AX74" s="5042">
        <f t="shared" si="153"/>
        <v>1.9212481216542439</v>
      </c>
      <c r="AY74" s="3692">
        <f t="shared" ref="AY74" si="154">SUM(AY72:AY73)</f>
        <v>2.4773579878777832</v>
      </c>
      <c r="AZ74" s="3692">
        <f>SUM(AZ72:AZ73)</f>
        <v>2.2508709689253372</v>
      </c>
      <c r="BA74" s="3693">
        <f t="shared" ref="BA74:BB74" si="155">+BA57/BA$5*1000</f>
        <v>2.4773579878777836</v>
      </c>
      <c r="BB74" s="3693">
        <f t="shared" si="155"/>
        <v>1.7996463412211161</v>
      </c>
      <c r="BC74" s="3695">
        <f>+BC57/BC$47*1000</f>
        <v>2.4773579846083038</v>
      </c>
      <c r="BD74" s="3695">
        <f>+BD57/BD$49*1000</f>
        <v>1.8468444636504517</v>
      </c>
      <c r="BE74" s="3694">
        <f t="shared" ref="BE74:BF74" si="156">+BE57/BE$5*1000</f>
        <v>2.4454320853713503</v>
      </c>
      <c r="BF74" s="3696">
        <f t="shared" si="156"/>
        <v>1.9504954173117077</v>
      </c>
      <c r="BG74" s="4396"/>
      <c r="BH74" s="4396"/>
      <c r="BI74" s="4396"/>
      <c r="BJ74" s="4396"/>
      <c r="BK74" s="4396"/>
      <c r="BL74" s="4396"/>
      <c r="BM74" s="3957"/>
      <c r="BN74" s="3957"/>
      <c r="BO74" s="3957"/>
      <c r="BP74" s="3957"/>
      <c r="BQ74" s="3957"/>
      <c r="BR74" s="3957"/>
      <c r="BS74" s="3957"/>
    </row>
    <row r="75" spans="1:71" ht="15" x14ac:dyDescent="0.25">
      <c r="B75" s="694" t="s">
        <v>84</v>
      </c>
      <c r="C75" s="3180" t="s">
        <v>269</v>
      </c>
      <c r="D75" s="1267">
        <f>'Maj Techno Summ'!D69</f>
        <v>13.880650651935015</v>
      </c>
      <c r="E75" s="3172">
        <v>13.880650651935015</v>
      </c>
      <c r="F75" s="3172">
        <f>+F58/F$49*1000</f>
        <v>12.865870965707259</v>
      </c>
      <c r="G75" s="3172">
        <v>17.372968004908316</v>
      </c>
      <c r="H75" s="3172">
        <f>+H58/H$49*1000</f>
        <v>15.086328025791282</v>
      </c>
      <c r="I75" s="3432">
        <f t="shared" ref="I75:J75" si="157">+I58/I$5*1000</f>
        <v>15.829859041332217</v>
      </c>
      <c r="J75" s="3183">
        <f t="shared" si="157"/>
        <v>14.008489466450952</v>
      </c>
      <c r="K75" s="3172">
        <v>17.372968004908316</v>
      </c>
      <c r="L75" s="3172">
        <f>+L58/L$49*1000</f>
        <v>15.47730098544567</v>
      </c>
      <c r="M75" s="3679">
        <f t="shared" si="132"/>
        <v>16.371540026373069</v>
      </c>
      <c r="N75" s="3679">
        <f t="shared" si="132"/>
        <v>14.516924800623332</v>
      </c>
      <c r="O75" s="3172">
        <v>17.372968004908316</v>
      </c>
      <c r="P75" s="3172">
        <f>+P58/P$49*1000</f>
        <v>16.155369714926319</v>
      </c>
      <c r="Q75" s="3250">
        <f t="shared" ref="Q75:R75" si="158">+Q58/Q$5*1000</f>
        <v>16.634030104063665</v>
      </c>
      <c r="R75" s="3250">
        <f t="shared" si="158"/>
        <v>14.951216275383263</v>
      </c>
      <c r="S75" s="3172">
        <v>17.372968004908316</v>
      </c>
      <c r="T75" s="3172">
        <f>+T58/T$49*1000</f>
        <v>15.095501132282525</v>
      </c>
      <c r="U75" s="3432">
        <f t="shared" ref="U75:V75" si="159">+U58/U$5*1000</f>
        <v>16.787492479291085</v>
      </c>
      <c r="V75" s="3432">
        <f t="shared" si="159"/>
        <v>14.979913795484853</v>
      </c>
      <c r="W75" s="3172">
        <v>17.372968004908316</v>
      </c>
      <c r="X75" s="3172">
        <f>+X58/X$49*1000</f>
        <v>13.273771791157548</v>
      </c>
      <c r="Y75" s="3697">
        <f t="shared" ref="Y75:Z75" si="160">+Y58/Y$5*1000</f>
        <v>17.372968004908316</v>
      </c>
      <c r="Z75" s="3679">
        <f t="shared" si="160"/>
        <v>14.89439948978668</v>
      </c>
      <c r="AA75" s="3698">
        <f>+AA58/AA$47*1000</f>
        <v>16.845031685778292</v>
      </c>
      <c r="AB75" s="3680">
        <f>+AB58/AB$49*1000</f>
        <v>14.707630984301623</v>
      </c>
      <c r="AC75" s="3172">
        <v>17.372968004908316</v>
      </c>
      <c r="AD75" s="3172">
        <f>+AD58/AD$49*1000</f>
        <v>13.783381382647258</v>
      </c>
      <c r="AE75" s="3432">
        <f t="shared" ref="AE75:AF75" si="161">+AE58/AE$5*1000</f>
        <v>16.929679538864381</v>
      </c>
      <c r="AF75" s="3432">
        <f t="shared" si="161"/>
        <v>14.604157438638952</v>
      </c>
      <c r="AG75" s="3171">
        <v>17.372968004908316</v>
      </c>
      <c r="AH75" s="3171">
        <f>+AH58/AH$49*1000</f>
        <v>12.261349755001763</v>
      </c>
      <c r="AI75" s="3432">
        <f t="shared" ref="AI75:AJ75" si="162">+AI58/AI$5*1000</f>
        <v>16.989296906086643</v>
      </c>
      <c r="AJ75" s="3432">
        <f t="shared" si="162"/>
        <v>14.310365647424719</v>
      </c>
      <c r="AK75" s="3171">
        <v>17.372968004908316</v>
      </c>
      <c r="AL75" s="3171">
        <f>+AL58/AL$49*1000</f>
        <v>13.193074847488139</v>
      </c>
      <c r="AM75" s="3679">
        <f t="shared" ref="AM75:AP75" si="163">+AM58/AM$5*1000</f>
        <v>17.372968004908312</v>
      </c>
      <c r="AN75" s="3679">
        <f t="shared" si="163"/>
        <v>13.025061113288174</v>
      </c>
      <c r="AO75" s="3432">
        <f t="shared" si="163"/>
        <v>17.036051978302766</v>
      </c>
      <c r="AP75" s="3432">
        <f t="shared" si="163"/>
        <v>14.183532605220787</v>
      </c>
      <c r="AQ75" s="3171">
        <v>17.372968004908316</v>
      </c>
      <c r="AR75" s="3171">
        <f>+AR58/AR$49*1000</f>
        <v>13.190241431407806</v>
      </c>
      <c r="AS75" s="3432">
        <f t="shared" ref="AS75:AT75" si="164">+AS58/AS$5*1000</f>
        <v>17.073152283594801</v>
      </c>
      <c r="AT75" s="3432">
        <f t="shared" si="164"/>
        <v>14.084729623569777</v>
      </c>
      <c r="AU75" s="3171">
        <v>17.372968004908316</v>
      </c>
      <c r="AV75" s="3171">
        <f>+AV58/AV$49*1000</f>
        <v>13.0204835609774</v>
      </c>
      <c r="AW75" s="3432">
        <f t="shared" ref="AW75:AX75" si="165">+AW58/AW$5*1000</f>
        <v>17.100010807702301</v>
      </c>
      <c r="AX75" s="3432">
        <f t="shared" si="165"/>
        <v>14.005256744588163</v>
      </c>
      <c r="AY75" s="3171">
        <v>17.372968004908316</v>
      </c>
      <c r="AZ75" s="3171">
        <f>+AZ58/AZ$49*1000</f>
        <v>13.633728576050522</v>
      </c>
      <c r="BA75" s="3679">
        <f t="shared" ref="BA75:BB75" si="166">+BA58/BA$5*1000</f>
        <v>17.372968004908316</v>
      </c>
      <c r="BB75" s="3679">
        <f t="shared" si="166"/>
        <v>13.305762009344296</v>
      </c>
      <c r="BC75" s="3680">
        <f>+BC58/BC$47*1000</f>
        <v>17.372967981980434</v>
      </c>
      <c r="BD75" s="3680">
        <f>+BD58/BD$49*1000</f>
        <v>13.166618446104085</v>
      </c>
      <c r="BE75" s="3432">
        <f t="shared" ref="BE75:BF75" si="167">+BE58/BE$5*1000</f>
        <v>17.124882084384957</v>
      </c>
      <c r="BF75" s="103">
        <f t="shared" si="167"/>
        <v>13.972290910134141</v>
      </c>
      <c r="BG75" s="4396"/>
      <c r="BH75" s="4396"/>
      <c r="BI75" s="4396"/>
      <c r="BJ75" s="4396"/>
      <c r="BK75" s="4396"/>
      <c r="BL75" s="4396"/>
      <c r="BM75" s="3957"/>
      <c r="BN75" s="3957"/>
      <c r="BO75" s="3957"/>
      <c r="BP75" s="3957"/>
      <c r="BQ75" s="3957"/>
      <c r="BR75" s="3957"/>
      <c r="BS75" s="3957"/>
    </row>
    <row r="76" spans="1:71" ht="15" x14ac:dyDescent="0.25">
      <c r="B76" s="694" t="s">
        <v>1489</v>
      </c>
      <c r="C76" s="3180" t="s">
        <v>269</v>
      </c>
      <c r="D76" s="3593"/>
      <c r="E76" s="2883">
        <f>+$D$76</f>
        <v>0</v>
      </c>
      <c r="F76" s="2883">
        <f>+F59/F$49*1000</f>
        <v>0</v>
      </c>
      <c r="G76" s="5601">
        <f>+$D$76</f>
        <v>0</v>
      </c>
      <c r="H76" s="5601">
        <f>+H59/H$49*1000</f>
        <v>0</v>
      </c>
      <c r="I76" s="2884">
        <f t="shared" ref="I76:J76" si="168">+I59/I$5*1000</f>
        <v>0</v>
      </c>
      <c r="J76" s="37">
        <f t="shared" si="168"/>
        <v>0</v>
      </c>
      <c r="K76" s="5714">
        <f>+$D$76</f>
        <v>0</v>
      </c>
      <c r="L76" s="5714">
        <f>+L59/L$49*1000</f>
        <v>0</v>
      </c>
      <c r="M76" s="3679">
        <f t="shared" si="132"/>
        <v>0</v>
      </c>
      <c r="N76" s="3679">
        <f t="shared" si="132"/>
        <v>0</v>
      </c>
      <c r="O76" s="5857">
        <f>+$D$76</f>
        <v>0</v>
      </c>
      <c r="P76" s="5857">
        <f>+P59/P$49*1000</f>
        <v>0</v>
      </c>
      <c r="Q76" s="3250">
        <f t="shared" ref="Q76:R76" si="169">+Q59/Q$5*1000</f>
        <v>0</v>
      </c>
      <c r="R76" s="3250">
        <f t="shared" si="169"/>
        <v>0</v>
      </c>
      <c r="S76" s="5923">
        <f>+$D$76</f>
        <v>0</v>
      </c>
      <c r="T76" s="5923">
        <f>+T59/T$49*1000</f>
        <v>0</v>
      </c>
      <c r="U76" s="3432">
        <f t="shared" ref="U76:V76" si="170">+U59/U$5*1000</f>
        <v>0</v>
      </c>
      <c r="V76" s="3432">
        <f t="shared" si="170"/>
        <v>0</v>
      </c>
      <c r="W76" s="6031">
        <f>+$D$76</f>
        <v>0</v>
      </c>
      <c r="X76" s="6031">
        <f>+X59/X$49*1000</f>
        <v>0</v>
      </c>
      <c r="Y76" s="3679">
        <f t="shared" ref="Y76:Z76" si="171">+Y59/Y$5*1000</f>
        <v>0</v>
      </c>
      <c r="Z76" s="3679">
        <f t="shared" si="171"/>
        <v>0</v>
      </c>
      <c r="AA76" s="3680">
        <f t="shared" ref="AA76" si="172">+AA59/AA$5*1000</f>
        <v>0</v>
      </c>
      <c r="AB76" s="3680">
        <f t="shared" ref="AB76" si="173">+AB59/AB$5*1000</f>
        <v>0</v>
      </c>
      <c r="AC76" s="6156">
        <f>+$D$76</f>
        <v>0</v>
      </c>
      <c r="AD76" s="6156">
        <f>+AD59/AD$49*1000</f>
        <v>0</v>
      </c>
      <c r="AE76" s="3432">
        <f t="shared" ref="AE76:AF76" si="174">+AE59/AE$5*1000</f>
        <v>0</v>
      </c>
      <c r="AF76" s="3432">
        <f t="shared" si="174"/>
        <v>0</v>
      </c>
      <c r="AG76" s="3171">
        <f>+$D$76</f>
        <v>0</v>
      </c>
      <c r="AH76" s="3171">
        <f>+AH59/AH$49*1000</f>
        <v>0</v>
      </c>
      <c r="AI76" s="3432">
        <f t="shared" ref="AI76:AJ76" si="175">+AI59/AI$5*1000</f>
        <v>0</v>
      </c>
      <c r="AJ76" s="3432">
        <f t="shared" si="175"/>
        <v>0</v>
      </c>
      <c r="AK76" s="3171">
        <f>+$D$76</f>
        <v>0</v>
      </c>
      <c r="AL76" s="3171">
        <f>+AL59/AL$49*1000</f>
        <v>0</v>
      </c>
      <c r="AM76" s="3679">
        <f t="shared" ref="AM76:AP76" si="176">+AM59/AM$5*1000</f>
        <v>0</v>
      </c>
      <c r="AN76" s="3679">
        <f t="shared" si="176"/>
        <v>0</v>
      </c>
      <c r="AO76" s="3432">
        <f t="shared" si="176"/>
        <v>0</v>
      </c>
      <c r="AP76" s="3432">
        <f t="shared" si="176"/>
        <v>0</v>
      </c>
      <c r="AQ76" s="3171">
        <f>+$D$76</f>
        <v>0</v>
      </c>
      <c r="AR76" s="3171">
        <f>+AR59/AR$49*1000</f>
        <v>0</v>
      </c>
      <c r="AS76" s="3432">
        <f t="shared" ref="AS76:AT76" si="177">+AS59/AS$5*1000</f>
        <v>0</v>
      </c>
      <c r="AT76" s="3432">
        <f t="shared" si="177"/>
        <v>0</v>
      </c>
      <c r="AU76" s="3171">
        <f>+$D$76</f>
        <v>0</v>
      </c>
      <c r="AV76" s="3171">
        <f>+AV59/AV$49*1000</f>
        <v>0</v>
      </c>
      <c r="AW76" s="3432">
        <f t="shared" ref="AW76:AX76" si="178">+AW59/AW$5*1000</f>
        <v>0</v>
      </c>
      <c r="AX76" s="3432">
        <f t="shared" si="178"/>
        <v>0</v>
      </c>
      <c r="AY76" s="3171">
        <f>+$D$76</f>
        <v>0</v>
      </c>
      <c r="AZ76" s="3171">
        <f>+AZ59/AZ$49*1000</f>
        <v>0</v>
      </c>
      <c r="BA76" s="3679">
        <f t="shared" ref="BA76:BD79" si="179">+BA59/BA$5*1000</f>
        <v>0</v>
      </c>
      <c r="BB76" s="3679">
        <f t="shared" si="179"/>
        <v>0</v>
      </c>
      <c r="BC76" s="3680">
        <f t="shared" si="179"/>
        <v>0</v>
      </c>
      <c r="BD76" s="3680">
        <f t="shared" si="179"/>
        <v>0</v>
      </c>
      <c r="BE76" s="3432">
        <f t="shared" ref="BE76:BF76" si="180">+BE59/BE$5*1000</f>
        <v>0</v>
      </c>
      <c r="BF76" s="103">
        <f t="shared" si="180"/>
        <v>0</v>
      </c>
      <c r="BG76" s="4396"/>
      <c r="BH76" s="4396"/>
      <c r="BI76" s="4396"/>
      <c r="BJ76" s="4396"/>
      <c r="BK76" s="4396"/>
      <c r="BL76" s="4396"/>
      <c r="BM76" s="3957"/>
      <c r="BN76" s="3957"/>
      <c r="BO76" s="3957"/>
      <c r="BP76" s="3957"/>
      <c r="BQ76" s="3957"/>
      <c r="BR76" s="3957"/>
      <c r="BS76" s="3957"/>
    </row>
    <row r="77" spans="1:71" ht="15" x14ac:dyDescent="0.25">
      <c r="B77" s="696" t="s">
        <v>1490</v>
      </c>
      <c r="C77" s="3686" t="s">
        <v>269</v>
      </c>
      <c r="D77" s="3688">
        <f>SUM(D75:D76)</f>
        <v>13.880650651935015</v>
      </c>
      <c r="E77" s="3689">
        <f>SUM(E75:E76)</f>
        <v>13.880650651935015</v>
      </c>
      <c r="F77" s="3689">
        <f>SUM(F75:F76)</f>
        <v>12.865870965707259</v>
      </c>
      <c r="G77" s="3689">
        <f>SUM(G75:G76)</f>
        <v>17.372968004908316</v>
      </c>
      <c r="H77" s="3689">
        <f>SUM(H75:H76)</f>
        <v>15.086328025791282</v>
      </c>
      <c r="I77" s="3690">
        <f t="shared" ref="I77:J77" si="181">+I60/I$5*1000</f>
        <v>15.829859041332217</v>
      </c>
      <c r="J77" s="3691">
        <f t="shared" si="181"/>
        <v>14.008489466450952</v>
      </c>
      <c r="K77" s="3689">
        <f>SUM(K75:K76)</f>
        <v>17.372968004908316</v>
      </c>
      <c r="L77" s="3689">
        <f>SUM(L75:L76)</f>
        <v>15.47730098544567</v>
      </c>
      <c r="M77" s="3693">
        <f t="shared" si="132"/>
        <v>16.371540026373069</v>
      </c>
      <c r="N77" s="3693">
        <f t="shared" si="132"/>
        <v>14.516924800623332</v>
      </c>
      <c r="O77" s="3689">
        <f>SUM(O75:O76)</f>
        <v>17.372968004908316</v>
      </c>
      <c r="P77" s="3689">
        <f>SUM(P75:P76)</f>
        <v>16.155369714926319</v>
      </c>
      <c r="Q77" s="3694">
        <f t="shared" ref="Q77:R77" si="182">+Q60/Q$5*1000</f>
        <v>16.634030104063665</v>
      </c>
      <c r="R77" s="3694">
        <f t="shared" si="182"/>
        <v>14.951216275383263</v>
      </c>
      <c r="S77" s="3689">
        <f>SUM(S75:S76)</f>
        <v>17.372968004908316</v>
      </c>
      <c r="T77" s="3689">
        <f>SUM(T75:T76)</f>
        <v>15.095501132282525</v>
      </c>
      <c r="U77" s="4348">
        <f t="shared" ref="U77:V77" si="183">+U60/U$5*1000</f>
        <v>16.787492479291085</v>
      </c>
      <c r="V77" s="4348">
        <f t="shared" si="183"/>
        <v>14.979913795484853</v>
      </c>
      <c r="W77" s="3689">
        <f>SUM(W75:W76)</f>
        <v>17.372968004908316</v>
      </c>
      <c r="X77" s="3689">
        <f>SUM(X75:X76)</f>
        <v>13.273771791157548</v>
      </c>
      <c r="Y77" s="3693">
        <f t="shared" ref="Y77:Z77" si="184">+Y60/Y$5*1000</f>
        <v>17.372968004908316</v>
      </c>
      <c r="Z77" s="3693">
        <f t="shared" si="184"/>
        <v>14.89439948978668</v>
      </c>
      <c r="AA77" s="3695">
        <f t="shared" ref="AA77" si="185">+AA60/AA$5*1000</f>
        <v>16.845031685778295</v>
      </c>
      <c r="AB77" s="3695">
        <f t="shared" ref="AB77" si="186">+AB60/AB$5*1000</f>
        <v>14.707629121853206</v>
      </c>
      <c r="AC77" s="3689">
        <f>SUM(AC75:AC76)</f>
        <v>17.372968004908316</v>
      </c>
      <c r="AD77" s="3689">
        <f>SUM(AD75:AD76)</f>
        <v>13.783381382647258</v>
      </c>
      <c r="AE77" s="3694">
        <f t="shared" ref="AE77:AF77" si="187">+AE60/AE$5*1000</f>
        <v>16.929679538864381</v>
      </c>
      <c r="AF77" s="3694">
        <f t="shared" si="187"/>
        <v>14.604157438638952</v>
      </c>
      <c r="AG77" s="3692">
        <f>SUM(AG75:AG76)</f>
        <v>17.372968004908316</v>
      </c>
      <c r="AH77" s="3692">
        <f>SUM(AH75:AH76)</f>
        <v>12.261349755001763</v>
      </c>
      <c r="AI77" s="4648">
        <f t="shared" ref="AI77:AJ77" si="188">+AI60/AI$5*1000</f>
        <v>16.989296906086643</v>
      </c>
      <c r="AJ77" s="4648">
        <f t="shared" si="188"/>
        <v>14.310365647424719</v>
      </c>
      <c r="AK77" s="3692">
        <f>SUM(AK75:AK76)</f>
        <v>17.372968004908316</v>
      </c>
      <c r="AL77" s="3692">
        <f>SUM(AL75:AL76)</f>
        <v>13.193074847488139</v>
      </c>
      <c r="AM77" s="3693">
        <f t="shared" ref="AM77:AP77" si="189">+AM60/AM$5*1000</f>
        <v>17.372968004908312</v>
      </c>
      <c r="AN77" s="3693">
        <f t="shared" si="189"/>
        <v>13.025061113288174</v>
      </c>
      <c r="AO77" s="3694">
        <f t="shared" si="189"/>
        <v>17.036051978302766</v>
      </c>
      <c r="AP77" s="3694">
        <f t="shared" si="189"/>
        <v>14.183532605220787</v>
      </c>
      <c r="AQ77" s="3692">
        <f t="shared" ref="AQ77:AR77" si="190">SUM(AQ75:AQ76)</f>
        <v>17.372968004908316</v>
      </c>
      <c r="AR77" s="3692">
        <f t="shared" si="190"/>
        <v>13.190241431407806</v>
      </c>
      <c r="AS77" s="3694">
        <f t="shared" ref="AS77:AT77" si="191">+AS60/AS$5*1000</f>
        <v>17.073152283594801</v>
      </c>
      <c r="AT77" s="3694">
        <f t="shared" si="191"/>
        <v>14.084729623569777</v>
      </c>
      <c r="AU77" s="3692">
        <f t="shared" ref="AU77:AV77" si="192">SUM(AU75:AU76)</f>
        <v>17.372968004908316</v>
      </c>
      <c r="AV77" s="3692">
        <f t="shared" si="192"/>
        <v>13.0204835609774</v>
      </c>
      <c r="AW77" s="5042">
        <f t="shared" ref="AW77:AX77" si="193">+AW60/AW$5*1000</f>
        <v>17.100010807702301</v>
      </c>
      <c r="AX77" s="5042">
        <f t="shared" si="193"/>
        <v>14.005256744588163</v>
      </c>
      <c r="AY77" s="3692">
        <f t="shared" ref="AY77:AZ77" si="194">SUM(AY75:AY76)</f>
        <v>17.372968004908316</v>
      </c>
      <c r="AZ77" s="3692">
        <f t="shared" si="194"/>
        <v>13.633728576050522</v>
      </c>
      <c r="BA77" s="3693">
        <f t="shared" ref="BA77:BB77" si="195">+BA60/BA$5*1000</f>
        <v>17.372968004908316</v>
      </c>
      <c r="BB77" s="3693">
        <f t="shared" si="195"/>
        <v>13.305762009344296</v>
      </c>
      <c r="BC77" s="3695">
        <f t="shared" si="179"/>
        <v>17.372968004908312</v>
      </c>
      <c r="BD77" s="3695">
        <f t="shared" si="179"/>
        <v>13.16662697100521</v>
      </c>
      <c r="BE77" s="3694">
        <f t="shared" ref="BE77:BF77" si="196">+BE60/BE$5*1000</f>
        <v>17.124882084384957</v>
      </c>
      <c r="BF77" s="3696">
        <f t="shared" si="196"/>
        <v>13.972290910134141</v>
      </c>
      <c r="BG77" s="4396"/>
      <c r="BH77" s="4396"/>
      <c r="BI77" s="4396"/>
      <c r="BJ77" s="4396"/>
      <c r="BK77" s="4396"/>
      <c r="BL77" s="4396"/>
      <c r="BM77" s="3957"/>
      <c r="BN77" s="3957"/>
      <c r="BO77" s="3957"/>
      <c r="BP77" s="3957"/>
      <c r="BQ77" s="3957"/>
      <c r="BR77" s="3957"/>
      <c r="BS77" s="3957"/>
    </row>
    <row r="78" spans="1:71" ht="15" x14ac:dyDescent="0.25">
      <c r="A78" s="3606"/>
      <c r="B78" s="696" t="s">
        <v>85</v>
      </c>
      <c r="C78" s="3686" t="s">
        <v>269</v>
      </c>
      <c r="D78" s="3688">
        <f>'Maj Techno Summ'!D72</f>
        <v>2.1355316639068298</v>
      </c>
      <c r="E78" s="3689">
        <v>2.1355316639068298</v>
      </c>
      <c r="F78" s="3172">
        <f>+F61/F$49*1000</f>
        <v>2.1592443612363854</v>
      </c>
      <c r="G78" s="3689">
        <v>2.1669656814109719</v>
      </c>
      <c r="H78" s="3172">
        <f>+H61/H$49*1000</f>
        <v>2.3284500678462177</v>
      </c>
      <c r="I78" s="3432">
        <f t="shared" ref="I78:J78" si="197">+I61/I$5*1000</f>
        <v>2.1530763038804466</v>
      </c>
      <c r="J78" s="103">
        <f t="shared" si="197"/>
        <v>2.2463163022110884</v>
      </c>
      <c r="K78" s="3689">
        <v>2.1669656814109719</v>
      </c>
      <c r="L78" s="3172">
        <f>+L61/L$49*1000</f>
        <v>2.1614412291802991</v>
      </c>
      <c r="M78" s="3679">
        <f t="shared" si="132"/>
        <v>2.1579519230881168</v>
      </c>
      <c r="N78" s="3679">
        <f t="shared" si="132"/>
        <v>2.2169377393124292</v>
      </c>
      <c r="O78" s="3689">
        <v>2.1669656814109719</v>
      </c>
      <c r="P78" s="3172">
        <f>+P61/P$49*1000</f>
        <v>1.9155190854720372</v>
      </c>
      <c r="Q78" s="3432">
        <f t="shared" ref="Q78:R78" si="198">+Q61/Q$5*1000</f>
        <v>2.1603145713994922</v>
      </c>
      <c r="R78" s="3432">
        <f t="shared" si="198"/>
        <v>2.137041669670912</v>
      </c>
      <c r="S78" s="3689">
        <v>2.1669656814109719</v>
      </c>
      <c r="T78" s="3172">
        <f>+T61/T$49*1000</f>
        <v>2.1715180245044028</v>
      </c>
      <c r="U78" s="3432">
        <f t="shared" ref="U78:V78" si="199">+U61/U$5*1000</f>
        <v>2.1616958716942722</v>
      </c>
      <c r="V78" s="3432">
        <f t="shared" si="199"/>
        <v>2.1438990926677612</v>
      </c>
      <c r="W78" s="3689">
        <v>2.1669656814109719</v>
      </c>
      <c r="X78" s="3172">
        <f>+X61/X$49*1000</f>
        <v>2.1203756194714845</v>
      </c>
      <c r="Y78" s="3693">
        <f t="shared" ref="Y78:Z78" si="200">+Y61/Y$5*1000</f>
        <v>2.1669656814109719</v>
      </c>
      <c r="Z78" s="3693">
        <f t="shared" si="200"/>
        <v>2.0649352276952255</v>
      </c>
      <c r="AA78" s="3695">
        <f t="shared" ref="AA78" si="201">+AA61/AA$5*1000</f>
        <v>2.162213776638493</v>
      </c>
      <c r="AB78" s="3695">
        <f t="shared" ref="AB78" si="202">+AB61/AB$5*1000</f>
        <v>2.1401444161165237</v>
      </c>
      <c r="AC78" s="3689">
        <v>2.1669656814109719</v>
      </c>
      <c r="AD78" s="3172">
        <f>+AD61/AD$49*1000</f>
        <v>2.1595824271597124</v>
      </c>
      <c r="AE78" s="3432">
        <f t="shared" ref="AE78:AF78" si="203">+AE61/AE$5*1000</f>
        <v>2.1629756839414851</v>
      </c>
      <c r="AF78" s="3432">
        <f t="shared" si="203"/>
        <v>2.1423210210358423</v>
      </c>
      <c r="AG78" s="3692">
        <v>2.1669656814109719</v>
      </c>
      <c r="AH78" s="3171">
        <f>+AH61/AH$49*1000</f>
        <v>2.1917053755386946</v>
      </c>
      <c r="AI78" s="3432">
        <f t="shared" ref="AI78:AJ78" si="204">+AI61/AI$5*1000</f>
        <v>2.1635122942135214</v>
      </c>
      <c r="AJ78" s="3432">
        <f t="shared" si="204"/>
        <v>2.1485134286733718</v>
      </c>
      <c r="AK78" s="3692">
        <v>2.1669656814109719</v>
      </c>
      <c r="AL78" s="3171">
        <f>+AL61/AL$49*1000</f>
        <v>2.2912940469279208</v>
      </c>
      <c r="AM78" s="3693">
        <f t="shared" ref="AM78:AP78" si="205">+AM61/AM$5*1000</f>
        <v>2.1669656814109723</v>
      </c>
      <c r="AN78" s="3693">
        <f t="shared" si="205"/>
        <v>2.219049929400934</v>
      </c>
      <c r="AO78" s="3432">
        <f t="shared" si="205"/>
        <v>2.1639331321872515</v>
      </c>
      <c r="AP78" s="3432">
        <f t="shared" si="205"/>
        <v>2.1647223852951489</v>
      </c>
      <c r="AQ78" s="3692">
        <v>2.1669656814109719</v>
      </c>
      <c r="AR78" s="3171">
        <f>+AR61/AR$49*1000</f>
        <v>2.4512450000521815</v>
      </c>
      <c r="AS78" s="3432">
        <f t="shared" ref="AS78:AT78" si="206">+AS61/AS$5*1000</f>
        <v>2.1642670685189445</v>
      </c>
      <c r="AT78" s="3432">
        <f t="shared" si="206"/>
        <v>2.1932239157658917</v>
      </c>
      <c r="AU78" s="3692">
        <v>2.1669656814109719</v>
      </c>
      <c r="AV78" s="3171">
        <f>+AV61/AV$49*1000</f>
        <v>2.259261987749503</v>
      </c>
      <c r="AW78" s="3432">
        <f t="shared" ref="AW78:AX78" si="207">+AW61/AW$5*1000</f>
        <v>2.164508819548876</v>
      </c>
      <c r="AX78" s="3432">
        <f t="shared" si="207"/>
        <v>2.1981555381281486</v>
      </c>
      <c r="AY78" s="3692">
        <v>2.1669656814109719</v>
      </c>
      <c r="AZ78" s="3171">
        <f>+AZ61/AZ$49*1000</f>
        <v>2.0187369463474019</v>
      </c>
      <c r="BA78" s="3693">
        <f t="shared" ref="BA78:BB78" si="208">+BA61/BA$5*1000</f>
        <v>2.1669656814109719</v>
      </c>
      <c r="BB78" s="3693">
        <f t="shared" si="208"/>
        <v>2.2374954722811906</v>
      </c>
      <c r="BC78" s="3695">
        <f t="shared" si="179"/>
        <v>2.1669656814109723</v>
      </c>
      <c r="BD78" s="3695">
        <f t="shared" si="179"/>
        <v>2.228352568386375</v>
      </c>
      <c r="BE78" s="3432">
        <f t="shared" ref="BE78:BF78" si="209">+BE61/BE$5*1000</f>
        <v>2.1647326835530816</v>
      </c>
      <c r="BF78" s="103">
        <f t="shared" si="209"/>
        <v>2.1822357427986199</v>
      </c>
      <c r="BG78" s="4396"/>
      <c r="BH78" s="4396"/>
      <c r="BI78" s="4396"/>
      <c r="BJ78" s="4396"/>
      <c r="BK78" s="4396"/>
      <c r="BL78" s="4396"/>
      <c r="BM78" s="3957"/>
      <c r="BN78" s="3957"/>
      <c r="BO78" s="3957"/>
      <c r="BP78" s="3957"/>
      <c r="BQ78" s="3957"/>
      <c r="BR78" s="3957"/>
      <c r="BS78" s="3957"/>
    </row>
    <row r="79" spans="1:71" ht="15" x14ac:dyDescent="0.25">
      <c r="A79" s="3606"/>
      <c r="B79" s="3687" t="str">
        <f>+'Maj Techno Summ'!B19</f>
        <v>Ferro Alloys (FeMn+LCFeMn+SiMn+FeSi)</v>
      </c>
      <c r="C79" s="3686" t="s">
        <v>269</v>
      </c>
      <c r="D79" s="3688">
        <f>+D74+D77+D78</f>
        <v>18.044117849203303</v>
      </c>
      <c r="E79" s="3689">
        <f>+$D$79</f>
        <v>18.044117849203303</v>
      </c>
      <c r="F79" s="3689">
        <f>+F74+F77+F78</f>
        <v>17.484503613912057</v>
      </c>
      <c r="G79" s="3689">
        <f>+$D$79</f>
        <v>18.044117849203303</v>
      </c>
      <c r="H79" s="3689">
        <f>+H74+H77+H78</f>
        <v>19.422062634884242</v>
      </c>
      <c r="I79" s="3690">
        <f t="shared" ref="I79:J79" si="210">+I62/I$5*1000</f>
        <v>20.261712348631498</v>
      </c>
      <c r="J79" s="3691">
        <f t="shared" si="210"/>
        <v>18.481551067272061</v>
      </c>
      <c r="K79" s="3689">
        <f>+$D$79</f>
        <v>18.044117849203303</v>
      </c>
      <c r="L79" s="3689">
        <f>+L74+L77+L78</f>
        <v>19.733599832082785</v>
      </c>
      <c r="M79" s="3693">
        <f t="shared" si="132"/>
        <v>20.877977279259525</v>
      </c>
      <c r="N79" s="3693">
        <f t="shared" si="132"/>
        <v>18.914955844946164</v>
      </c>
      <c r="O79" s="3689">
        <f>+$D$79</f>
        <v>18.044117849203303</v>
      </c>
      <c r="P79" s="3689">
        <f>+P74+P77+P78</f>
        <v>20.120862507514435</v>
      </c>
      <c r="Q79" s="3432">
        <f t="shared" ref="Q79:R79" si="211">+Q62/Q$5*1000</f>
        <v>21.176609562809855</v>
      </c>
      <c r="R79" s="3432">
        <f t="shared" si="211"/>
        <v>19.234595534489262</v>
      </c>
      <c r="S79" s="3689">
        <f>+$D$79</f>
        <v>18.044117849203303</v>
      </c>
      <c r="T79" s="3689">
        <f>+T74+T77+T78</f>
        <v>19.080825878805143</v>
      </c>
      <c r="U79" s="3432">
        <f t="shared" ref="U79:V79" si="212">+U62/U$5*1000</f>
        <v>21.351202141532927</v>
      </c>
      <c r="V79" s="3432">
        <f t="shared" si="212"/>
        <v>19.204005354088938</v>
      </c>
      <c r="W79" s="3689">
        <f>+$D$79</f>
        <v>18.044117849203303</v>
      </c>
      <c r="X79" s="3689">
        <f>+X74+X77+X78</f>
        <v>17.25443537615287</v>
      </c>
      <c r="Y79" s="3693">
        <f t="shared" ref="Y79:Z79" si="213">+Y62/Y$5*1000</f>
        <v>22.017291674197072</v>
      </c>
      <c r="Z79" s="3693">
        <f t="shared" si="213"/>
        <v>18.871242154982866</v>
      </c>
      <c r="AA79" s="3695">
        <f t="shared" ref="AA79" si="214">+AA62/AA$5*1000</f>
        <v>21.416663909757194</v>
      </c>
      <c r="AB79" s="3695">
        <f t="shared" ref="AB79" si="215">+AB62/AB$5*1000</f>
        <v>18.892871213016587</v>
      </c>
      <c r="AC79" s="3689">
        <f>+$D$79</f>
        <v>18.044117849203303</v>
      </c>
      <c r="AD79" s="3689">
        <f>+AD74+AD77+AD78</f>
        <v>17.868172950298188</v>
      </c>
      <c r="AE79" s="3432">
        <f t="shared" ref="AE79:AF79" si="216">+AE62/AE$5*1000</f>
        <v>21.512966908663408</v>
      </c>
      <c r="AF79" s="3432">
        <f t="shared" si="216"/>
        <v>18.778154361137265</v>
      </c>
      <c r="AG79" s="3692">
        <f>+$D$79</f>
        <v>18.044117849203303</v>
      </c>
      <c r="AH79" s="3692">
        <f>+AH74+AH77+AH78</f>
        <v>16.204676524112138</v>
      </c>
      <c r="AI79" s="3432">
        <f t="shared" ref="AI79:AJ79" si="217">+AI62/AI$5*1000</f>
        <v>21.580792979155216</v>
      </c>
      <c r="AJ79" s="3432">
        <f t="shared" si="217"/>
        <v>18.455435644381257</v>
      </c>
      <c r="AK79" s="3692">
        <f>+$D$79</f>
        <v>18.044117849203303</v>
      </c>
      <c r="AL79" s="3692">
        <f>+AL74+AL77+AL78</f>
        <v>17.496312808658001</v>
      </c>
      <c r="AM79" s="3693">
        <f t="shared" ref="AM79:AP79" si="218">+AM62/AM$5*1000</f>
        <v>22.017291674197068</v>
      </c>
      <c r="AN79" s="3693">
        <f t="shared" si="218"/>
        <v>17.138980636573425</v>
      </c>
      <c r="AO79" s="3432">
        <f t="shared" si="218"/>
        <v>21.633985747835485</v>
      </c>
      <c r="AP79" s="3432">
        <f t="shared" si="218"/>
        <v>18.346558709159918</v>
      </c>
      <c r="AQ79" s="3692">
        <f>+$D$79</f>
        <v>18.044117849203303</v>
      </c>
      <c r="AR79" s="3692">
        <f>+AR74+AR77+AR78</f>
        <v>17.201688526305364</v>
      </c>
      <c r="AS79" s="3432">
        <f t="shared" ref="AS79:AT79" si="219">+AS62/AS$5*1000</f>
        <v>21.676194386681004</v>
      </c>
      <c r="AT79" s="3432">
        <f t="shared" si="219"/>
        <v>18.232678447658799</v>
      </c>
      <c r="AU79" s="3692">
        <f>+$D$79</f>
        <v>18.044117849203303</v>
      </c>
      <c r="AV79" s="3692">
        <f>+AV74+AV77+AV78</f>
        <v>16.786176040721198</v>
      </c>
      <c r="AW79" s="3432">
        <f t="shared" ref="AW79:AX79" si="220">+AW62/AW$5*1000</f>
        <v>21.70675105555619</v>
      </c>
      <c r="AX79" s="3432">
        <f t="shared" si="220"/>
        <v>18.124660404370555</v>
      </c>
      <c r="AY79" s="3692">
        <f>+$D$79</f>
        <v>18.044117849203303</v>
      </c>
      <c r="AZ79" s="3692">
        <f>+AZ74+AZ77+AZ78</f>
        <v>17.903336491323262</v>
      </c>
      <c r="BA79" s="3693">
        <f t="shared" ref="BA79:BB79" si="221">+BA62/BA$5*1000</f>
        <v>22.017291674197072</v>
      </c>
      <c r="BB79" s="3693">
        <f t="shared" si="221"/>
        <v>17.342903822846601</v>
      </c>
      <c r="BC79" s="3695">
        <f t="shared" si="179"/>
        <v>22.017291674197072</v>
      </c>
      <c r="BD79" s="3695">
        <f t="shared" si="179"/>
        <v>17.241825198805891</v>
      </c>
      <c r="BE79" s="3432">
        <f t="shared" ref="BE79:BF79" si="222">+BE62/BE$5*1000</f>
        <v>21.735046853309388</v>
      </c>
      <c r="BF79" s="103">
        <f t="shared" si="222"/>
        <v>18.10502207024447</v>
      </c>
      <c r="BG79" s="4396"/>
      <c r="BH79" s="4396"/>
      <c r="BI79" s="4396"/>
      <c r="BJ79" s="4396"/>
      <c r="BK79" s="4396"/>
      <c r="BL79" s="4396"/>
      <c r="BM79" s="3957"/>
      <c r="BN79" s="3957"/>
      <c r="BO79" s="3957"/>
      <c r="BP79" s="3957"/>
      <c r="BQ79" s="3957"/>
      <c r="BR79" s="3957"/>
      <c r="BS79" s="3957"/>
    </row>
    <row r="80" spans="1:71" ht="15" x14ac:dyDescent="0.25">
      <c r="B80" s="8" t="s">
        <v>86</v>
      </c>
      <c r="C80" s="3180" t="s">
        <v>269</v>
      </c>
      <c r="D80" s="1267">
        <v>1.1139081918501137</v>
      </c>
      <c r="E80" s="3172">
        <v>1.1139081918501137</v>
      </c>
      <c r="F80" s="3172">
        <f t="shared" ref="F80:H87" si="223">+F63/F$49*1000</f>
        <v>1.1714572623720223</v>
      </c>
      <c r="G80" s="3172">
        <v>1.9952000000000001</v>
      </c>
      <c r="H80" s="3172">
        <f t="shared" si="223"/>
        <v>1.1832414137875515</v>
      </c>
      <c r="I80" s="3432">
        <f t="shared" ref="I80:I87" si="224">+I63/I$47*1000</f>
        <v>1.6057940121608769</v>
      </c>
      <c r="J80" s="3183">
        <f t="shared" ref="J80:J87" si="225">+J63/J$49*1000</f>
        <v>1.177521179398255</v>
      </c>
      <c r="K80" s="3172">
        <v>1.9952000000000001</v>
      </c>
      <c r="L80" s="3172">
        <f t="shared" ref="L80" si="226">+L63/L$49*1000</f>
        <v>1.0453750267505104</v>
      </c>
      <c r="M80" s="3679">
        <f t="shared" ref="M80:M87" si="227">+M63/M$47*1000</f>
        <v>1.7424880655637365</v>
      </c>
      <c r="N80" s="3679">
        <f t="shared" ref="N80:N87" si="228">+N63/N$49*1000</f>
        <v>1.1317788076522579</v>
      </c>
      <c r="O80" s="3172">
        <v>1.9952000000000001</v>
      </c>
      <c r="P80" s="3172">
        <f t="shared" ref="P80:P87" si="229">+P63/P$49*1000</f>
        <v>1.0131600821708306</v>
      </c>
      <c r="Q80" s="3432">
        <f t="shared" ref="Q80:Q87" si="230">+Q63/Q$47*1000</f>
        <v>1.8087278518742202</v>
      </c>
      <c r="R80" s="3432">
        <f t="shared" ref="R80:R87" si="231">+R63/R$49*1000</f>
        <v>1.1003371305483545</v>
      </c>
      <c r="S80" s="3172">
        <v>1.9952000000000001</v>
      </c>
      <c r="T80" s="3172">
        <f t="shared" ref="T80:T87" si="232">+T63/T$49*1000</f>
        <v>1.1236343266330922</v>
      </c>
      <c r="U80" s="3432">
        <f t="shared" ref="U80:U87" si="233">+U63/U$47*1000</f>
        <v>1.8474543250087418</v>
      </c>
      <c r="V80" s="3432">
        <f t="shared" ref="V80:V87" si="234">+V63/V$49*1000</f>
        <v>1.1049712472250783</v>
      </c>
      <c r="W80" s="3172">
        <v>1.9952000000000001</v>
      </c>
      <c r="X80" s="3172">
        <f t="shared" ref="X80:X87" si="235">+X63/X$49*1000</f>
        <v>1.3026424023988017</v>
      </c>
      <c r="Y80" s="3679">
        <f t="shared" ref="Y80:Y87" si="236">+Y63/Y$47*1000</f>
        <v>1.9951999999999985</v>
      </c>
      <c r="Z80" s="3679">
        <f t="shared" ref="Z80:Z87" si="237">+Z63/Z$49*1000</f>
        <v>1.1411580000717976</v>
      </c>
      <c r="AA80" s="3680">
        <f t="shared" ref="AA80:AA87" si="238">+AA63/AA$47*1000</f>
        <v>1.8619744347809708</v>
      </c>
      <c r="AB80" s="3680">
        <f t="shared" ref="AB80:AB87" si="239">+AB63/AB$49*1000</f>
        <v>1.136517272930919</v>
      </c>
      <c r="AC80" s="3172">
        <v>1.9952000000000001</v>
      </c>
      <c r="AD80" s="3172">
        <f t="shared" ref="AD80:AD87" si="240">+AD63/AD$49*1000</f>
        <v>1.1690762751678545</v>
      </c>
      <c r="AE80" s="3432">
        <f t="shared" ref="AE80:AE87" si="241">+AE63/AE$47*1000</f>
        <v>1.8833354520485055</v>
      </c>
      <c r="AF80" s="3432">
        <f t="shared" ref="AF80:AF87" si="242">+AF63/AF$49*1000</f>
        <v>1.1401624289765488</v>
      </c>
      <c r="AG80" s="3171">
        <v>1.9952000000000001</v>
      </c>
      <c r="AH80" s="3171">
        <f t="shared" ref="AH80:AH87" si="243">+AH63/AH$49*1000</f>
        <v>1.1982484657517714</v>
      </c>
      <c r="AI80" s="3432">
        <f t="shared" ref="AI80:AI87" si="244">+AI63/AI$47*1000</f>
        <v>1.8983799892697839</v>
      </c>
      <c r="AJ80" s="3432">
        <f t="shared" ref="AJ80:AJ87" si="245">+AJ63/AJ$49*1000</f>
        <v>1.1474464415440131</v>
      </c>
      <c r="AK80" s="3171">
        <v>1.9952000000000001</v>
      </c>
      <c r="AL80" s="3171">
        <f t="shared" ref="AL80:AL87" si="246">+AL63/AL$49*1000</f>
        <v>1.0987117636572432</v>
      </c>
      <c r="AM80" s="3679">
        <f t="shared" ref="AM80:AM87" si="247">+AM63/AM$47*1000</f>
        <v>1.9951999947610743</v>
      </c>
      <c r="AN80" s="3679">
        <f t="shared" ref="AN80:AN87" si="248">+AN63/AN$49*1000</f>
        <v>1.1538431514137362</v>
      </c>
      <c r="AO80" s="3432">
        <f t="shared" ref="AO80:AO87" si="249">+AO63/AO$47*1000</f>
        <v>1.9101787059395019</v>
      </c>
      <c r="AP80" s="3432">
        <f t="shared" ref="AP80:AP87" si="250">+AP63/AP$49*1000</f>
        <v>1.141914045371289</v>
      </c>
      <c r="AQ80" s="3171">
        <v>1.9952000000000001</v>
      </c>
      <c r="AR80" s="3171">
        <f t="shared" ref="AR80:AR87" si="251">+AR63/AR$49*1000</f>
        <v>1.256317875697585</v>
      </c>
      <c r="AS80" s="3432">
        <f t="shared" ref="AS80:AS87" si="252">+AS63/AS$47*1000</f>
        <v>1.919541026856918</v>
      </c>
      <c r="AT80" s="3432">
        <f t="shared" ref="AT80:AT87" si="253">+AT63/AT$49*1000</f>
        <v>1.153294098012219</v>
      </c>
      <c r="AU80" s="3171">
        <v>1.9952000000000001</v>
      </c>
      <c r="AV80" s="3171">
        <f t="shared" ref="AV80:AV87" si="254">+AV63/AV$49*1000</f>
        <v>1.2863740504411048</v>
      </c>
      <c r="AW80" s="3432">
        <f t="shared" ref="AW80:AW87" si="255">+AW63/AW$47*1000</f>
        <v>1.9263188180402657</v>
      </c>
      <c r="AX80" s="3432">
        <f t="shared" ref="AX80:AX87" si="256">+AX63/AX$49*1000</f>
        <v>1.1632319995064861</v>
      </c>
      <c r="AY80" s="3171">
        <v>1.9952000000000001</v>
      </c>
      <c r="AZ80" s="3171">
        <f t="shared" ref="AZ80:AZ87" si="257">+AZ63/AZ$49*1000</f>
        <v>1.1606701128896768</v>
      </c>
      <c r="BA80" s="3679">
        <f t="shared" ref="BA80:BA87" si="258">+BA63/BA$47*1000</f>
        <v>1.9952000000000003</v>
      </c>
      <c r="BB80" s="3679">
        <f t="shared" ref="BB80:BB87" si="259">+BB63/BB$49*1000</f>
        <v>1.2295517294344289</v>
      </c>
      <c r="BC80" s="3680">
        <f t="shared" ref="BC80:BC87" si="260">+BC63/BC$47*1000</f>
        <v>1.9951999973668462</v>
      </c>
      <c r="BD80" s="3680">
        <f t="shared" ref="BD80:BD87" si="261">+BD63/BD$49*1000</f>
        <v>1.1920252562287772</v>
      </c>
      <c r="BE80" s="3432">
        <f t="shared" ref="BE80:BE87" si="262">+BE63/BE$47*1000</f>
        <v>1.932595124183085</v>
      </c>
      <c r="BF80" s="103">
        <f t="shared" ref="BF80:BF87" si="263">+BF63/BF$49*1000</f>
        <v>1.1630046841723956</v>
      </c>
      <c r="BG80" s="4396"/>
      <c r="BH80" s="4396"/>
      <c r="BI80" s="3604"/>
      <c r="BJ80" s="3604"/>
      <c r="BK80" s="3957"/>
      <c r="BL80" s="3604"/>
      <c r="BM80" s="3957"/>
      <c r="BN80" s="3957"/>
    </row>
    <row r="81" spans="1:66" ht="15" x14ac:dyDescent="0.25">
      <c r="B81" s="694" t="s">
        <v>810</v>
      </c>
      <c r="C81" s="3180" t="s">
        <v>269</v>
      </c>
      <c r="D81" s="1267">
        <v>0.65844328434732236</v>
      </c>
      <c r="E81" s="3172">
        <v>0.65844328434732236</v>
      </c>
      <c r="F81" s="3172">
        <f t="shared" si="223"/>
        <v>0.54444764199764328</v>
      </c>
      <c r="G81" s="3172">
        <v>0.67234373964268945</v>
      </c>
      <c r="H81" s="3172">
        <f t="shared" si="223"/>
        <v>0.67833117321344272</v>
      </c>
      <c r="I81" s="3250">
        <f t="shared" si="224"/>
        <v>0.66620170986815919</v>
      </c>
      <c r="J81" s="3183">
        <f t="shared" si="225"/>
        <v>0.61334175204800612</v>
      </c>
      <c r="K81" s="3172">
        <v>0.67234373964268945</v>
      </c>
      <c r="L81" s="3172">
        <f t="shared" ref="L81" si="264">+L64/L$49*1000</f>
        <v>0.58816208283067017</v>
      </c>
      <c r="M81" s="3697">
        <f t="shared" si="227"/>
        <v>0.66835776029424676</v>
      </c>
      <c r="N81" s="3697">
        <f t="shared" si="228"/>
        <v>0.60462581316743302</v>
      </c>
      <c r="O81" s="3172">
        <v>0.67234373964268945</v>
      </c>
      <c r="P81" s="3172">
        <f t="shared" si="229"/>
        <v>0.53922981462836794</v>
      </c>
      <c r="Q81" s="3250">
        <f t="shared" si="230"/>
        <v>0.66940254838812041</v>
      </c>
      <c r="R81" s="3250">
        <f t="shared" si="231"/>
        <v>0.58729162025979997</v>
      </c>
      <c r="S81" s="3172">
        <v>0.67234373964268945</v>
      </c>
      <c r="T81" s="3172">
        <f t="shared" si="232"/>
        <v>0.58985752106319866</v>
      </c>
      <c r="U81" s="3250">
        <f t="shared" si="233"/>
        <v>0.67001337400067618</v>
      </c>
      <c r="V81" s="3250">
        <f t="shared" si="234"/>
        <v>0.58780201145282596</v>
      </c>
      <c r="W81" s="3172">
        <v>0.67234373964268945</v>
      </c>
      <c r="X81" s="3172">
        <f t="shared" si="235"/>
        <v>0.53514577692590504</v>
      </c>
      <c r="Y81" s="3697">
        <f t="shared" si="236"/>
        <v>0.67234373964268901</v>
      </c>
      <c r="Z81" s="3697">
        <f t="shared" si="237"/>
        <v>0.55469190836680882</v>
      </c>
      <c r="AA81" s="3698">
        <f t="shared" si="238"/>
        <v>0.67024239704946253</v>
      </c>
      <c r="AB81" s="3698">
        <f t="shared" si="239"/>
        <v>0.57939868661517224</v>
      </c>
      <c r="AC81" s="3172">
        <v>0.67234373964268945</v>
      </c>
      <c r="AD81" s="3172">
        <f t="shared" si="240"/>
        <v>0.6358100842008354</v>
      </c>
      <c r="AE81" s="3250">
        <f t="shared" si="241"/>
        <v>0.67057931968602336</v>
      </c>
      <c r="AF81" s="3250">
        <f t="shared" si="242"/>
        <v>0.58571424706924979</v>
      </c>
      <c r="AG81" s="3171">
        <v>0.67234373964268945</v>
      </c>
      <c r="AH81" s="3171">
        <f t="shared" si="243"/>
        <v>0.51033620019725356</v>
      </c>
      <c r="AI81" s="3250">
        <f t="shared" si="244"/>
        <v>0.67081661454125774</v>
      </c>
      <c r="AJ81" s="3250">
        <f t="shared" si="245"/>
        <v>0.57626180942315564</v>
      </c>
      <c r="AK81" s="3171">
        <v>0.67234373964268945</v>
      </c>
      <c r="AL81" s="3171">
        <f t="shared" si="246"/>
        <v>0.56638058061305818</v>
      </c>
      <c r="AM81" s="3697">
        <f t="shared" si="247"/>
        <v>0.67234373787727297</v>
      </c>
      <c r="AN81" s="3697">
        <f t="shared" si="248"/>
        <v>0.56572680906666939</v>
      </c>
      <c r="AO81" s="3250">
        <f t="shared" si="249"/>
        <v>0.67100271363642516</v>
      </c>
      <c r="AP81" s="3250">
        <f t="shared" si="250"/>
        <v>0.5751400851228986</v>
      </c>
      <c r="AQ81" s="3171">
        <v>0.67234373964268945</v>
      </c>
      <c r="AR81" s="3171">
        <f t="shared" si="251"/>
        <v>0.55028915482387897</v>
      </c>
      <c r="AS81" s="3250">
        <f t="shared" si="252"/>
        <v>0.67115038388736636</v>
      </c>
      <c r="AT81" s="3432">
        <f t="shared" si="253"/>
        <v>0.57266809712938194</v>
      </c>
      <c r="AU81" s="3171">
        <v>0.67234373964268945</v>
      </c>
      <c r="AV81" s="3171">
        <f t="shared" si="254"/>
        <v>0.59882874021227428</v>
      </c>
      <c r="AW81" s="3250">
        <f t="shared" si="255"/>
        <v>0.67125728880268587</v>
      </c>
      <c r="AX81" s="3432">
        <f t="shared" si="256"/>
        <v>0.57462167382699447</v>
      </c>
      <c r="AY81" s="3171">
        <v>0.67234373964268945</v>
      </c>
      <c r="AZ81" s="3171">
        <f t="shared" si="257"/>
        <v>0.62563849810116434</v>
      </c>
      <c r="BA81" s="3697">
        <f t="shared" si="258"/>
        <v>0.67234373964268945</v>
      </c>
      <c r="BB81" s="3697">
        <f t="shared" si="259"/>
        <v>0.59179570337007192</v>
      </c>
      <c r="BC81" s="3698">
        <f t="shared" si="260"/>
        <v>0.67234373875536757</v>
      </c>
      <c r="BD81" s="3698">
        <f t="shared" si="261"/>
        <v>0.57887413372560936</v>
      </c>
      <c r="BE81" s="3250">
        <f t="shared" si="262"/>
        <v>0.67135628388213986</v>
      </c>
      <c r="BF81" s="103">
        <f t="shared" si="263"/>
        <v>0.57914837941108588</v>
      </c>
      <c r="BG81" s="4396"/>
      <c r="BH81" s="4396"/>
      <c r="BI81" s="3604"/>
      <c r="BJ81" s="3604"/>
      <c r="BK81" s="3957"/>
      <c r="BL81" s="3604"/>
      <c r="BM81" s="3957"/>
      <c r="BN81" s="3957"/>
    </row>
    <row r="82" spans="1:66" ht="15" x14ac:dyDescent="0.25">
      <c r="B82" s="8" t="s">
        <v>129</v>
      </c>
      <c r="C82" s="3180" t="s">
        <v>269</v>
      </c>
      <c r="D82" s="1267">
        <v>23</v>
      </c>
      <c r="E82" s="3172">
        <v>23</v>
      </c>
      <c r="F82" s="3172">
        <f t="shared" si="223"/>
        <v>22.008882109916829</v>
      </c>
      <c r="G82" s="3172">
        <v>24</v>
      </c>
      <c r="H82" s="3172">
        <f t="shared" si="223"/>
        <v>23.098254254069818</v>
      </c>
      <c r="I82" s="3432">
        <f t="shared" si="224"/>
        <v>23.558141827442352</v>
      </c>
      <c r="J82" s="103">
        <f t="shared" si="225"/>
        <v>22.569453852412213</v>
      </c>
      <c r="K82" s="3172">
        <v>24</v>
      </c>
      <c r="L82" s="3171">
        <f t="shared" ref="L82" si="265">+L65/L$49*1000</f>
        <v>22.060477307146794</v>
      </c>
      <c r="M82" s="2885">
        <f t="shared" si="227"/>
        <v>23.713248288365698</v>
      </c>
      <c r="N82" s="3679">
        <f t="shared" si="228"/>
        <v>22.393271694422449</v>
      </c>
      <c r="O82" s="3172">
        <v>24</v>
      </c>
      <c r="P82" s="3171">
        <f t="shared" si="229"/>
        <v>21.28556689598382</v>
      </c>
      <c r="Q82" s="3432">
        <f t="shared" si="230"/>
        <v>23.788410437494871</v>
      </c>
      <c r="R82" s="3432">
        <f t="shared" si="231"/>
        <v>22.099657878748758</v>
      </c>
      <c r="S82" s="3172">
        <v>24</v>
      </c>
      <c r="T82" s="3171">
        <f t="shared" si="232"/>
        <v>20.490225244073791</v>
      </c>
      <c r="U82" s="3432">
        <f t="shared" si="233"/>
        <v>23.832353286817181</v>
      </c>
      <c r="V82" s="3432">
        <f t="shared" si="234"/>
        <v>21.779520700640166</v>
      </c>
      <c r="W82" s="3172">
        <v>24</v>
      </c>
      <c r="X82" s="3171">
        <f t="shared" si="235"/>
        <v>21.489120842013946</v>
      </c>
      <c r="Y82" s="3679">
        <f t="shared" si="236"/>
        <v>23.999999999999986</v>
      </c>
      <c r="Z82" s="3679">
        <f t="shared" si="237"/>
        <v>21.086696286737315</v>
      </c>
      <c r="AA82" s="3680">
        <f t="shared" si="238"/>
        <v>23.848829225476727</v>
      </c>
      <c r="AB82" s="3680">
        <f t="shared" si="239"/>
        <v>21.733176248425352</v>
      </c>
      <c r="AC82" s="3172">
        <v>24</v>
      </c>
      <c r="AD82" s="3171">
        <f t="shared" si="240"/>
        <v>20.556769367366794</v>
      </c>
      <c r="AE82" s="3432">
        <f t="shared" si="241"/>
        <v>23.873067500614177</v>
      </c>
      <c r="AF82" s="3432">
        <f t="shared" si="242"/>
        <v>21.601471148146</v>
      </c>
      <c r="AG82" s="3171">
        <v>24</v>
      </c>
      <c r="AH82" s="3171">
        <f t="shared" si="243"/>
        <v>16.687095713690947</v>
      </c>
      <c r="AI82" s="3432">
        <f t="shared" si="244"/>
        <v>23.890138509674408</v>
      </c>
      <c r="AJ82" s="3432">
        <f t="shared" si="245"/>
        <v>20.985206475719995</v>
      </c>
      <c r="AK82" s="3171">
        <v>24</v>
      </c>
      <c r="AL82" s="3171">
        <f t="shared" si="246"/>
        <v>0</v>
      </c>
      <c r="AM82" s="3679">
        <f t="shared" si="247"/>
        <v>23.999999936981641</v>
      </c>
      <c r="AN82" s="3679">
        <f t="shared" si="248"/>
        <v>11.683853072287775</v>
      </c>
      <c r="AO82" s="3432">
        <f t="shared" si="249"/>
        <v>23.903526492050037</v>
      </c>
      <c r="AP82" s="3432">
        <f t="shared" si="250"/>
        <v>18.602950533455736</v>
      </c>
      <c r="AQ82" s="3171">
        <v>24</v>
      </c>
      <c r="AR82" s="3171">
        <f t="shared" si="251"/>
        <v>12.219798359446182</v>
      </c>
      <c r="AS82" s="3432">
        <f t="shared" si="252"/>
        <v>23.914149900590655</v>
      </c>
      <c r="AT82" s="3432">
        <f t="shared" si="253"/>
        <v>17.968001445229298</v>
      </c>
      <c r="AU82" s="3171">
        <v>24</v>
      </c>
      <c r="AV82" s="3171">
        <f t="shared" si="254"/>
        <v>22.98312628566465</v>
      </c>
      <c r="AW82" s="3432">
        <f t="shared" si="255"/>
        <v>23.92184064793619</v>
      </c>
      <c r="AX82" s="3432">
        <f t="shared" si="256"/>
        <v>18.342511773314449</v>
      </c>
      <c r="AY82" s="3171">
        <v>24</v>
      </c>
      <c r="AZ82" s="3171">
        <f t="shared" si="257"/>
        <v>19.915818254812269</v>
      </c>
      <c r="BA82" s="3679">
        <f t="shared" si="258"/>
        <v>24</v>
      </c>
      <c r="BB82" s="3679">
        <f t="shared" si="259"/>
        <v>18.10082629849909</v>
      </c>
      <c r="BC82" s="3680">
        <f t="shared" si="260"/>
        <v>23.999999968326136</v>
      </c>
      <c r="BD82" s="3680">
        <f t="shared" si="261"/>
        <v>14.920124981285243</v>
      </c>
      <c r="BE82" s="3432">
        <f t="shared" si="262"/>
        <v>23.928962361117065</v>
      </c>
      <c r="BF82" s="103">
        <f t="shared" si="263"/>
        <v>18.482110725946416</v>
      </c>
      <c r="BG82" s="4396"/>
      <c r="BH82" s="4396"/>
      <c r="BI82" s="3604"/>
      <c r="BJ82" s="3604"/>
      <c r="BK82" s="3957"/>
      <c r="BL82" s="3604"/>
      <c r="BM82" s="3957"/>
      <c r="BN82" s="3957"/>
    </row>
    <row r="83" spans="1:66" ht="15" x14ac:dyDescent="0.25">
      <c r="B83" s="8" t="s">
        <v>519</v>
      </c>
      <c r="C83" s="3180" t="s">
        <v>269</v>
      </c>
      <c r="D83" s="3593">
        <v>0</v>
      </c>
      <c r="E83" s="2883">
        <v>0</v>
      </c>
      <c r="F83" s="2883">
        <f t="shared" si="223"/>
        <v>0</v>
      </c>
      <c r="G83" s="5601">
        <v>0</v>
      </c>
      <c r="H83" s="5601">
        <f t="shared" si="223"/>
        <v>0</v>
      </c>
      <c r="I83" s="2884">
        <f t="shared" si="224"/>
        <v>0</v>
      </c>
      <c r="J83" s="37">
        <f t="shared" si="225"/>
        <v>0</v>
      </c>
      <c r="K83" s="5714">
        <v>0</v>
      </c>
      <c r="L83" s="5714">
        <f t="shared" ref="L83" si="266">+L66/L$49*1000</f>
        <v>0</v>
      </c>
      <c r="M83" s="3679">
        <f t="shared" si="227"/>
        <v>0</v>
      </c>
      <c r="N83" s="3679">
        <f t="shared" si="228"/>
        <v>0</v>
      </c>
      <c r="O83" s="5857">
        <v>0</v>
      </c>
      <c r="P83" s="5857">
        <f t="shared" si="229"/>
        <v>0</v>
      </c>
      <c r="Q83" s="3432">
        <f t="shared" si="230"/>
        <v>0</v>
      </c>
      <c r="R83" s="3432">
        <f t="shared" si="231"/>
        <v>0</v>
      </c>
      <c r="S83" s="5923">
        <v>0</v>
      </c>
      <c r="T83" s="5923">
        <f t="shared" si="232"/>
        <v>0</v>
      </c>
      <c r="U83" s="3432">
        <f t="shared" si="233"/>
        <v>0</v>
      </c>
      <c r="V83" s="3432">
        <f t="shared" si="234"/>
        <v>0</v>
      </c>
      <c r="W83" s="6031">
        <v>0</v>
      </c>
      <c r="X83" s="6031">
        <f t="shared" si="235"/>
        <v>0</v>
      </c>
      <c r="Y83" s="3679">
        <f t="shared" si="236"/>
        <v>0</v>
      </c>
      <c r="Z83" s="3679">
        <f t="shared" si="237"/>
        <v>0</v>
      </c>
      <c r="AA83" s="3680">
        <f t="shared" si="238"/>
        <v>0</v>
      </c>
      <c r="AB83" s="3680">
        <f t="shared" si="239"/>
        <v>0</v>
      </c>
      <c r="AC83" s="6156">
        <v>0</v>
      </c>
      <c r="AD83" s="6156">
        <f t="shared" si="240"/>
        <v>0</v>
      </c>
      <c r="AE83" s="3432">
        <f t="shared" si="241"/>
        <v>0</v>
      </c>
      <c r="AF83" s="3432">
        <f t="shared" si="242"/>
        <v>0</v>
      </c>
      <c r="AG83" s="3171">
        <v>0</v>
      </c>
      <c r="AH83" s="3171">
        <f t="shared" si="243"/>
        <v>0</v>
      </c>
      <c r="AI83" s="3432">
        <f t="shared" si="244"/>
        <v>0</v>
      </c>
      <c r="AJ83" s="3432">
        <f t="shared" si="245"/>
        <v>0</v>
      </c>
      <c r="AK83" s="3171">
        <v>0</v>
      </c>
      <c r="AL83" s="3171">
        <f t="shared" si="246"/>
        <v>0</v>
      </c>
      <c r="AM83" s="3679">
        <f t="shared" si="247"/>
        <v>0</v>
      </c>
      <c r="AN83" s="3679">
        <f t="shared" si="248"/>
        <v>0</v>
      </c>
      <c r="AO83" s="3432">
        <f t="shared" si="249"/>
        <v>0</v>
      </c>
      <c r="AP83" s="3432">
        <f t="shared" si="250"/>
        <v>0</v>
      </c>
      <c r="AQ83" s="3171">
        <v>0</v>
      </c>
      <c r="AR83" s="3171">
        <f t="shared" si="251"/>
        <v>0</v>
      </c>
      <c r="AS83" s="3432">
        <f t="shared" si="252"/>
        <v>0</v>
      </c>
      <c r="AT83" s="3432">
        <f t="shared" si="253"/>
        <v>0</v>
      </c>
      <c r="AU83" s="3171">
        <v>0</v>
      </c>
      <c r="AV83" s="3171">
        <f t="shared" si="254"/>
        <v>0</v>
      </c>
      <c r="AW83" s="3432">
        <f t="shared" si="255"/>
        <v>0</v>
      </c>
      <c r="AX83" s="3432">
        <f t="shared" si="256"/>
        <v>0</v>
      </c>
      <c r="AY83" s="3171">
        <v>0</v>
      </c>
      <c r="AZ83" s="3171">
        <f t="shared" si="257"/>
        <v>0</v>
      </c>
      <c r="BA83" s="3679">
        <f t="shared" si="258"/>
        <v>0</v>
      </c>
      <c r="BB83" s="3679">
        <f t="shared" si="259"/>
        <v>0</v>
      </c>
      <c r="BC83" s="3680">
        <f t="shared" si="260"/>
        <v>0</v>
      </c>
      <c r="BD83" s="3680">
        <f t="shared" si="261"/>
        <v>0</v>
      </c>
      <c r="BE83" s="3432">
        <f t="shared" si="262"/>
        <v>0</v>
      </c>
      <c r="BF83" s="103">
        <f t="shared" si="263"/>
        <v>0</v>
      </c>
      <c r="BG83" s="4396"/>
      <c r="BH83" s="4396"/>
      <c r="BI83" s="3604"/>
      <c r="BJ83" s="3604"/>
      <c r="BK83" s="3957"/>
      <c r="BL83" s="3604"/>
      <c r="BM83" s="3957"/>
      <c r="BN83" s="3957"/>
    </row>
    <row r="84" spans="1:66" ht="15" x14ac:dyDescent="0.25">
      <c r="A84" s="4">
        <f>5021-2500</f>
        <v>2521</v>
      </c>
      <c r="B84" s="8" t="s">
        <v>130</v>
      </c>
      <c r="C84" s="3180" t="s">
        <v>269</v>
      </c>
      <c r="D84" s="1267">
        <v>6</v>
      </c>
      <c r="E84" s="3172">
        <v>6</v>
      </c>
      <c r="F84" s="3172">
        <v>6</v>
      </c>
      <c r="G84" s="3172">
        <v>6</v>
      </c>
      <c r="H84" s="3172">
        <v>6</v>
      </c>
      <c r="I84" s="3432">
        <v>6</v>
      </c>
      <c r="J84" s="103">
        <v>6</v>
      </c>
      <c r="K84" s="3172">
        <v>6</v>
      </c>
      <c r="L84" s="3172">
        <v>6</v>
      </c>
      <c r="M84" s="3679">
        <v>6</v>
      </c>
      <c r="N84" s="3679">
        <v>6</v>
      </c>
      <c r="O84" s="3172">
        <v>6</v>
      </c>
      <c r="P84" s="3172">
        <v>6.0000000000000009</v>
      </c>
      <c r="Q84" s="3432">
        <f t="shared" si="230"/>
        <v>5.9999999999999973</v>
      </c>
      <c r="R84" s="3432">
        <f t="shared" si="231"/>
        <v>0</v>
      </c>
      <c r="S84" s="3172">
        <v>6</v>
      </c>
      <c r="T84" s="3172">
        <f t="shared" si="232"/>
        <v>0</v>
      </c>
      <c r="U84" s="3432">
        <f t="shared" si="233"/>
        <v>5.9999999999999956</v>
      </c>
      <c r="V84" s="3432">
        <f t="shared" si="234"/>
        <v>0</v>
      </c>
      <c r="W84" s="3172">
        <v>6</v>
      </c>
      <c r="X84" s="3172">
        <f t="shared" si="235"/>
        <v>0</v>
      </c>
      <c r="Y84" s="3679">
        <f t="shared" si="236"/>
        <v>5.9999999999999964</v>
      </c>
      <c r="Z84" s="3679">
        <f t="shared" si="237"/>
        <v>0</v>
      </c>
      <c r="AA84" s="3680">
        <f t="shared" si="238"/>
        <v>5.9999999999999982</v>
      </c>
      <c r="AB84" s="3680">
        <f t="shared" si="239"/>
        <v>0</v>
      </c>
      <c r="AC84" s="3172">
        <v>6</v>
      </c>
      <c r="AD84" s="3172">
        <f t="shared" si="240"/>
        <v>0</v>
      </c>
      <c r="AE84" s="3432">
        <f t="shared" si="241"/>
        <v>5.9999999924998537</v>
      </c>
      <c r="AF84" s="3432">
        <f t="shared" si="242"/>
        <v>0</v>
      </c>
      <c r="AG84" s="3171">
        <v>6</v>
      </c>
      <c r="AH84" s="3171">
        <f t="shared" si="243"/>
        <v>3.7540557987273737</v>
      </c>
      <c r="AI84" s="3432">
        <f t="shared" si="244"/>
        <v>5.9999999935085375</v>
      </c>
      <c r="AJ84" s="3432">
        <f t="shared" si="245"/>
        <v>0.47076011955692526</v>
      </c>
      <c r="AK84" s="3171">
        <v>6</v>
      </c>
      <c r="AL84" s="3171">
        <f t="shared" si="246"/>
        <v>22.081115393408361</v>
      </c>
      <c r="AM84" s="3679">
        <f t="shared" si="247"/>
        <v>5.9999999842454104</v>
      </c>
      <c r="AN84" s="3679">
        <f t="shared" si="248"/>
        <v>9.387199811453943</v>
      </c>
      <c r="AO84" s="3432">
        <f t="shared" si="249"/>
        <v>5.9999999942996025</v>
      </c>
      <c r="AP84" s="3432">
        <f t="shared" si="250"/>
        <v>2.9239834092652486</v>
      </c>
      <c r="AQ84" s="3171">
        <v>6</v>
      </c>
      <c r="AR84" s="3171">
        <f t="shared" si="251"/>
        <v>10.522523872012911</v>
      </c>
      <c r="AS84" s="3432">
        <f t="shared" si="252"/>
        <v>5.9999999949273146</v>
      </c>
      <c r="AT84" s="3432">
        <f t="shared" si="253"/>
        <v>3.679830396325678</v>
      </c>
      <c r="AU84" s="3171">
        <v>6</v>
      </c>
      <c r="AV84" s="3171">
        <f t="shared" si="254"/>
        <v>0</v>
      </c>
      <c r="AW84" s="3432">
        <f t="shared" si="255"/>
        <v>5.999999995381744</v>
      </c>
      <c r="AX84" s="3432">
        <f t="shared" si="256"/>
        <v>3.4050347465914625</v>
      </c>
      <c r="AY84" s="3171">
        <v>6</v>
      </c>
      <c r="AZ84" s="3171">
        <f t="shared" si="257"/>
        <v>0</v>
      </c>
      <c r="BA84" s="3679">
        <f t="shared" si="258"/>
        <v>6</v>
      </c>
      <c r="BB84" s="3679">
        <f t="shared" si="259"/>
        <v>3.6674631879548247</v>
      </c>
      <c r="BC84" s="3680">
        <f t="shared" si="260"/>
        <v>5.9999999920815341</v>
      </c>
      <c r="BD84" s="3680">
        <f t="shared" si="261"/>
        <v>6.5025652167693098</v>
      </c>
      <c r="BE84" s="3432">
        <f t="shared" si="262"/>
        <v>5.9999999958025487</v>
      </c>
      <c r="BF84" s="103">
        <f t="shared" si="263"/>
        <v>3.1029071637653227</v>
      </c>
      <c r="BG84" s="4396"/>
      <c r="BH84" s="4396"/>
      <c r="BI84" s="3604"/>
      <c r="BJ84" s="3604"/>
      <c r="BK84" s="3957"/>
      <c r="BL84" s="3604"/>
      <c r="BM84" s="3957"/>
      <c r="BN84" s="3957"/>
    </row>
    <row r="85" spans="1:66" ht="15" x14ac:dyDescent="0.25">
      <c r="B85" s="8" t="s">
        <v>1154</v>
      </c>
      <c r="C85" s="3180" t="s">
        <v>269</v>
      </c>
      <c r="D85" s="3593">
        <v>0</v>
      </c>
      <c r="E85" s="2883">
        <v>0</v>
      </c>
      <c r="F85" s="2883">
        <f t="shared" si="223"/>
        <v>0</v>
      </c>
      <c r="G85" s="5601">
        <v>0</v>
      </c>
      <c r="H85" s="5601">
        <f t="shared" si="223"/>
        <v>0</v>
      </c>
      <c r="I85" s="2884">
        <f t="shared" si="224"/>
        <v>0</v>
      </c>
      <c r="J85" s="37">
        <f t="shared" si="225"/>
        <v>0</v>
      </c>
      <c r="K85" s="5714">
        <v>0</v>
      </c>
      <c r="L85" s="5714">
        <f t="shared" ref="L85" si="267">+L68/L$49*1000</f>
        <v>0</v>
      </c>
      <c r="M85" s="3679">
        <f t="shared" si="227"/>
        <v>0</v>
      </c>
      <c r="N85" s="3679">
        <f t="shared" si="228"/>
        <v>0</v>
      </c>
      <c r="O85" s="5857">
        <v>0</v>
      </c>
      <c r="P85" s="5857">
        <f t="shared" si="229"/>
        <v>0</v>
      </c>
      <c r="Q85" s="3432">
        <f t="shared" si="230"/>
        <v>0</v>
      </c>
      <c r="R85" s="3432">
        <f t="shared" si="231"/>
        <v>0</v>
      </c>
      <c r="S85" s="5923">
        <v>0</v>
      </c>
      <c r="T85" s="5923">
        <f t="shared" si="232"/>
        <v>0</v>
      </c>
      <c r="U85" s="3432">
        <f t="shared" si="233"/>
        <v>0</v>
      </c>
      <c r="V85" s="3432">
        <f t="shared" si="234"/>
        <v>0</v>
      </c>
      <c r="W85" s="6031">
        <v>0</v>
      </c>
      <c r="X85" s="6031">
        <f t="shared" si="235"/>
        <v>0</v>
      </c>
      <c r="Y85" s="3679">
        <f t="shared" si="236"/>
        <v>0</v>
      </c>
      <c r="Z85" s="3679">
        <f t="shared" si="237"/>
        <v>0</v>
      </c>
      <c r="AA85" s="3680">
        <f t="shared" si="238"/>
        <v>0</v>
      </c>
      <c r="AB85" s="3680">
        <f t="shared" si="239"/>
        <v>0</v>
      </c>
      <c r="AC85" s="6156">
        <v>0</v>
      </c>
      <c r="AD85" s="6156">
        <f t="shared" si="240"/>
        <v>0</v>
      </c>
      <c r="AE85" s="3432">
        <f t="shared" si="241"/>
        <v>0</v>
      </c>
      <c r="AF85" s="3432">
        <f t="shared" si="242"/>
        <v>0</v>
      </c>
      <c r="AG85" s="3171">
        <v>0</v>
      </c>
      <c r="AH85" s="3171">
        <f t="shared" si="243"/>
        <v>0</v>
      </c>
      <c r="AI85" s="3432">
        <f t="shared" si="244"/>
        <v>0</v>
      </c>
      <c r="AJ85" s="3432">
        <f t="shared" si="245"/>
        <v>0</v>
      </c>
      <c r="AK85" s="3171">
        <v>0</v>
      </c>
      <c r="AL85" s="3171">
        <f t="shared" si="246"/>
        <v>0</v>
      </c>
      <c r="AM85" s="3679">
        <f t="shared" si="247"/>
        <v>0</v>
      </c>
      <c r="AN85" s="3679">
        <f t="shared" si="248"/>
        <v>0</v>
      </c>
      <c r="AO85" s="3432">
        <f t="shared" si="249"/>
        <v>0</v>
      </c>
      <c r="AP85" s="3432">
        <f t="shared" si="250"/>
        <v>0</v>
      </c>
      <c r="AQ85" s="3171">
        <v>0</v>
      </c>
      <c r="AR85" s="3171">
        <f t="shared" si="251"/>
        <v>0</v>
      </c>
      <c r="AS85" s="3432">
        <f t="shared" si="252"/>
        <v>0</v>
      </c>
      <c r="AT85" s="3250">
        <f t="shared" si="253"/>
        <v>0</v>
      </c>
      <c r="AU85" s="3171">
        <v>0</v>
      </c>
      <c r="AV85" s="3171">
        <f t="shared" si="254"/>
        <v>0</v>
      </c>
      <c r="AW85" s="3432">
        <f t="shared" si="255"/>
        <v>0</v>
      </c>
      <c r="AX85" s="3432">
        <f t="shared" si="256"/>
        <v>0</v>
      </c>
      <c r="AY85" s="3171">
        <v>0</v>
      </c>
      <c r="AZ85" s="3171">
        <f t="shared" si="257"/>
        <v>0</v>
      </c>
      <c r="BA85" s="3679">
        <f t="shared" si="258"/>
        <v>0</v>
      </c>
      <c r="BB85" s="3679">
        <f t="shared" si="259"/>
        <v>0</v>
      </c>
      <c r="BC85" s="3680">
        <f t="shared" si="260"/>
        <v>0</v>
      </c>
      <c r="BD85" s="3680">
        <f t="shared" si="261"/>
        <v>0</v>
      </c>
      <c r="BE85" s="3432">
        <f t="shared" si="262"/>
        <v>0</v>
      </c>
      <c r="BF85" s="103">
        <f t="shared" si="263"/>
        <v>0</v>
      </c>
      <c r="BG85" s="4396"/>
      <c r="BH85" s="4396"/>
      <c r="BI85" s="3604"/>
      <c r="BJ85" s="3604"/>
      <c r="BK85" s="3957"/>
      <c r="BL85" s="3604"/>
      <c r="BM85" s="3957"/>
      <c r="BN85" s="3957"/>
    </row>
    <row r="86" spans="1:66" ht="15" x14ac:dyDescent="0.25">
      <c r="B86" s="8" t="s">
        <v>131</v>
      </c>
      <c r="C86" s="3180" t="s">
        <v>269</v>
      </c>
      <c r="D86" s="1267">
        <v>15</v>
      </c>
      <c r="E86" s="3172">
        <v>15</v>
      </c>
      <c r="F86" s="3172">
        <f t="shared" si="223"/>
        <v>15.775475141273716</v>
      </c>
      <c r="G86" s="3172">
        <v>14.999999999999995</v>
      </c>
      <c r="H86" s="3172">
        <f t="shared" si="223"/>
        <v>18.056263974398039</v>
      </c>
      <c r="I86" s="3432">
        <f t="shared" si="224"/>
        <v>14.999999999999991</v>
      </c>
      <c r="J86" s="103">
        <f t="shared" si="225"/>
        <v>16.949128953986737</v>
      </c>
      <c r="K86" s="3172">
        <v>15</v>
      </c>
      <c r="L86" s="3171">
        <f t="shared" ref="L86" si="268">+L69/L$49*1000</f>
        <v>17.563121962199734</v>
      </c>
      <c r="M86" s="3679">
        <f t="shared" si="227"/>
        <v>14.999999999999995</v>
      </c>
      <c r="N86" s="3679">
        <f t="shared" si="228"/>
        <v>17.161662545532057</v>
      </c>
      <c r="O86" s="3172">
        <v>15</v>
      </c>
      <c r="P86" s="3171">
        <f t="shared" si="229"/>
        <v>13.605517803844243</v>
      </c>
      <c r="Q86" s="3432">
        <f t="shared" si="230"/>
        <v>14.999999999999991</v>
      </c>
      <c r="R86" s="3432">
        <f t="shared" si="231"/>
        <v>16.219052900645941</v>
      </c>
      <c r="S86" s="3172">
        <v>15</v>
      </c>
      <c r="T86" s="3171">
        <f t="shared" si="232"/>
        <v>7.2457580594776267</v>
      </c>
      <c r="U86" s="3432">
        <f t="shared" si="233"/>
        <v>14.999999999999989</v>
      </c>
      <c r="V86" s="3432">
        <f t="shared" si="234"/>
        <v>14.434147321563929</v>
      </c>
      <c r="W86" s="3172">
        <v>15</v>
      </c>
      <c r="X86" s="3171">
        <f t="shared" si="235"/>
        <v>3.8757468703520352</v>
      </c>
      <c r="Y86" s="3679">
        <f t="shared" si="236"/>
        <v>14.999999999999993</v>
      </c>
      <c r="Z86" s="3679">
        <f t="shared" si="237"/>
        <v>8.4276502625192542</v>
      </c>
      <c r="AA86" s="3680">
        <f t="shared" si="238"/>
        <v>14.999999999999996</v>
      </c>
      <c r="AB86" s="3680">
        <f t="shared" si="239"/>
        <v>12.749148962780779</v>
      </c>
      <c r="AC86" s="3172">
        <v>15</v>
      </c>
      <c r="AD86" s="3171">
        <f t="shared" si="240"/>
        <v>12.651135195384452</v>
      </c>
      <c r="AE86" s="3432">
        <f t="shared" si="241"/>
        <v>14.999999981249633</v>
      </c>
      <c r="AF86" s="3432">
        <f t="shared" si="242"/>
        <v>12.738175792467395</v>
      </c>
      <c r="AG86" s="3171">
        <v>15</v>
      </c>
      <c r="AH86" s="3171">
        <f t="shared" si="243"/>
        <v>17.705755056662994</v>
      </c>
      <c r="AI86" s="3432">
        <f t="shared" si="244"/>
        <v>14.999999983771346</v>
      </c>
      <c r="AJ86" s="3432">
        <f t="shared" si="245"/>
        <v>13.361112246718818</v>
      </c>
      <c r="AK86" s="3171">
        <v>15</v>
      </c>
      <c r="AL86" s="3171">
        <f t="shared" si="246"/>
        <v>16.219972420841337</v>
      </c>
      <c r="AM86" s="3679">
        <f t="shared" si="247"/>
        <v>14.999999960613527</v>
      </c>
      <c r="AN86" s="3679">
        <f t="shared" si="248"/>
        <v>15.755712682107784</v>
      </c>
      <c r="AO86" s="3432">
        <f t="shared" si="249"/>
        <v>14.999999985749007</v>
      </c>
      <c r="AP86" s="3432">
        <f t="shared" si="250"/>
        <v>13.685652138465215</v>
      </c>
      <c r="AQ86" s="3171">
        <v>15</v>
      </c>
      <c r="AR86" s="3171">
        <f t="shared" si="251"/>
        <v>12.705254495798197</v>
      </c>
      <c r="AS86" s="3432">
        <f t="shared" si="252"/>
        <v>14.99999998731829</v>
      </c>
      <c r="AT86" s="3432">
        <f t="shared" si="253"/>
        <v>13.588129382882885</v>
      </c>
      <c r="AU86" s="3171">
        <v>15</v>
      </c>
      <c r="AV86" s="3171">
        <f t="shared" si="254"/>
        <v>12.755858042029514</v>
      </c>
      <c r="AW86" s="3432">
        <f t="shared" si="255"/>
        <v>14.999999988454359</v>
      </c>
      <c r="AX86" s="3432">
        <f t="shared" si="256"/>
        <v>13.525978544601498</v>
      </c>
      <c r="AY86" s="3171">
        <v>15</v>
      </c>
      <c r="AZ86" s="3171">
        <f t="shared" si="257"/>
        <v>12.628090828239683</v>
      </c>
      <c r="BA86" s="3679">
        <f t="shared" si="258"/>
        <v>15</v>
      </c>
      <c r="BB86" s="3679">
        <f t="shared" si="259"/>
        <v>12.691113527590787</v>
      </c>
      <c r="BC86" s="3680">
        <f t="shared" si="260"/>
        <v>14.999999980203834</v>
      </c>
      <c r="BD86" s="3680">
        <f t="shared" si="261"/>
        <v>14.210143485155342</v>
      </c>
      <c r="BE86" s="3432">
        <f t="shared" si="262"/>
        <v>14.999999989506374</v>
      </c>
      <c r="BF86" s="103">
        <f t="shared" si="263"/>
        <v>13.446309270839979</v>
      </c>
      <c r="BG86" s="4396"/>
      <c r="BH86" s="4396"/>
      <c r="BI86" s="3604"/>
      <c r="BJ86" s="3604"/>
      <c r="BK86" s="3957"/>
      <c r="BL86" s="3604"/>
      <c r="BM86" s="3957"/>
      <c r="BN86" s="3957"/>
    </row>
    <row r="87" spans="1:66" ht="15" x14ac:dyDescent="0.25">
      <c r="B87" s="8" t="s">
        <v>118</v>
      </c>
      <c r="C87" s="3180" t="s">
        <v>269</v>
      </c>
      <c r="D87" s="1267">
        <v>67</v>
      </c>
      <c r="E87" s="3172">
        <v>67</v>
      </c>
      <c r="F87" s="3172">
        <f t="shared" si="223"/>
        <v>68.289355229922805</v>
      </c>
      <c r="G87" s="3172">
        <v>67</v>
      </c>
      <c r="H87" s="3172">
        <f t="shared" si="223"/>
        <v>66.359014038736788</v>
      </c>
      <c r="I87" s="3432">
        <f t="shared" si="224"/>
        <v>66.999999999999957</v>
      </c>
      <c r="J87" s="103">
        <f t="shared" si="225"/>
        <v>67.296035609110291</v>
      </c>
      <c r="K87" s="3171">
        <v>67</v>
      </c>
      <c r="L87" s="3171">
        <f t="shared" ref="L87" si="269">+L70/L$49*1000</f>
        <v>65.464649688461819</v>
      </c>
      <c r="M87" s="3679">
        <f t="shared" si="227"/>
        <v>66.999999999999972</v>
      </c>
      <c r="N87" s="3679">
        <f t="shared" si="228"/>
        <v>66.662101635898111</v>
      </c>
      <c r="O87" s="3171">
        <v>67</v>
      </c>
      <c r="P87" s="3171">
        <f t="shared" si="229"/>
        <v>67.290631356027248</v>
      </c>
      <c r="Q87" s="3432">
        <f t="shared" si="230"/>
        <v>66.999999999999957</v>
      </c>
      <c r="R87" s="3432">
        <f t="shared" si="231"/>
        <v>66.828702890719384</v>
      </c>
      <c r="S87" s="3171">
        <v>67</v>
      </c>
      <c r="T87" s="3171">
        <f t="shared" si="232"/>
        <v>66.414641519197389</v>
      </c>
      <c r="U87" s="3432">
        <f t="shared" si="233"/>
        <v>66.999999999999943</v>
      </c>
      <c r="V87" s="3432">
        <f t="shared" si="234"/>
        <v>66.746340674254469</v>
      </c>
      <c r="W87" s="3171">
        <v>67</v>
      </c>
      <c r="X87" s="3171">
        <f t="shared" si="235"/>
        <v>68.575733557390777</v>
      </c>
      <c r="Y87" s="3679">
        <f t="shared" si="236"/>
        <v>66.999999999999957</v>
      </c>
      <c r="Z87" s="3679">
        <f t="shared" si="237"/>
        <v>67.406720046217799</v>
      </c>
      <c r="AA87" s="3680">
        <f t="shared" si="238"/>
        <v>66.999999999999986</v>
      </c>
      <c r="AB87" s="3680">
        <f t="shared" si="239"/>
        <v>67.038290578967562</v>
      </c>
      <c r="AC87" s="3171">
        <v>67</v>
      </c>
      <c r="AD87" s="3171">
        <f t="shared" si="240"/>
        <v>71.552707957324643</v>
      </c>
      <c r="AE87" s="3432">
        <f t="shared" si="241"/>
        <v>66.999999916248356</v>
      </c>
      <c r="AF87" s="3432">
        <f t="shared" si="242"/>
        <v>67.54370397215034</v>
      </c>
      <c r="AG87" s="3171">
        <v>67</v>
      </c>
      <c r="AH87" s="3171">
        <f t="shared" si="243"/>
        <v>62.36940780164327</v>
      </c>
      <c r="AI87" s="3432">
        <f t="shared" si="244"/>
        <v>66.999999927512008</v>
      </c>
      <c r="AJ87" s="3432">
        <f t="shared" si="245"/>
        <v>66.894845134016776</v>
      </c>
      <c r="AK87" s="3171">
        <v>67</v>
      </c>
      <c r="AL87" s="3171">
        <f t="shared" si="246"/>
        <v>65.495923502012104</v>
      </c>
      <c r="AM87" s="3679">
        <f t="shared" si="247"/>
        <v>66.999999824073754</v>
      </c>
      <c r="AN87" s="3679">
        <f t="shared" si="248"/>
        <v>66.067936107692702</v>
      </c>
      <c r="AO87" s="3432">
        <f t="shared" si="249"/>
        <v>66.99999993634556</v>
      </c>
      <c r="AP87" s="3432">
        <f t="shared" si="250"/>
        <v>66.736038530209413</v>
      </c>
      <c r="AQ87" s="3171">
        <v>67</v>
      </c>
      <c r="AR87" s="3171">
        <f t="shared" si="251"/>
        <v>73.035191195794482</v>
      </c>
      <c r="AS87" s="3432">
        <f t="shared" si="252"/>
        <v>66.999999943355022</v>
      </c>
      <c r="AT87" s="3432">
        <f t="shared" si="253"/>
        <v>67.362631964390388</v>
      </c>
      <c r="AU87" s="3171">
        <v>67</v>
      </c>
      <c r="AV87" s="3171">
        <f t="shared" si="254"/>
        <v>79.770573566623924</v>
      </c>
      <c r="AW87" s="3432">
        <f t="shared" si="255"/>
        <v>66.999999948429476</v>
      </c>
      <c r="AX87" s="3432">
        <f t="shared" si="256"/>
        <v>68.289209552817979</v>
      </c>
      <c r="AY87" s="3171">
        <v>67</v>
      </c>
      <c r="AZ87" s="3171">
        <f t="shared" si="257"/>
        <v>64.357329704304775</v>
      </c>
      <c r="BA87" s="3679">
        <f t="shared" si="258"/>
        <v>67</v>
      </c>
      <c r="BB87" s="3679">
        <f t="shared" si="259"/>
        <v>71.74023828391563</v>
      </c>
      <c r="BC87" s="3680">
        <f t="shared" si="260"/>
        <v>66.99999991157712</v>
      </c>
      <c r="BD87" s="3680">
        <f t="shared" si="261"/>
        <v>68.928648089047456</v>
      </c>
      <c r="BE87" s="3432">
        <f t="shared" si="262"/>
        <v>66.99999995312848</v>
      </c>
      <c r="BF87" s="103">
        <f t="shared" si="263"/>
        <v>67.940335182069404</v>
      </c>
      <c r="BG87" s="4396"/>
      <c r="BH87" s="4396"/>
      <c r="BI87" s="3604"/>
      <c r="BJ87" s="3604"/>
      <c r="BK87" s="3957"/>
      <c r="BL87" s="3604"/>
      <c r="BM87" s="3957"/>
      <c r="BN87" s="3957"/>
    </row>
    <row r="88" spans="1:66" ht="15" x14ac:dyDescent="0.25">
      <c r="B88" s="3699" t="s">
        <v>531</v>
      </c>
      <c r="C88" s="3180" t="s">
        <v>175</v>
      </c>
      <c r="D88" s="3593">
        <f>12*D7</f>
        <v>216731.85571490653</v>
      </c>
      <c r="E88" s="2883">
        <f>12*E25</f>
        <v>15495.291902071545</v>
      </c>
      <c r="F88" s="2893">
        <v>11580</v>
      </c>
      <c r="G88" s="5601">
        <f>12*G25</f>
        <v>19573.182247403238</v>
      </c>
      <c r="H88" s="5589">
        <v>11446</v>
      </c>
      <c r="I88" s="2884">
        <f>12*I25</f>
        <v>35068.47414947478</v>
      </c>
      <c r="J88" s="3446">
        <f>+F88+H88</f>
        <v>23026</v>
      </c>
      <c r="K88" s="5714">
        <f>12*K25</f>
        <v>18968.83852691215</v>
      </c>
      <c r="L88" s="5708">
        <v>12140</v>
      </c>
      <c r="M88" s="2885">
        <f>12*M25</f>
        <v>54037.312676386937</v>
      </c>
      <c r="N88" s="2885">
        <f>+L88+H88+F88</f>
        <v>35166</v>
      </c>
      <c r="O88" s="5857">
        <f>12*O25</f>
        <v>19195.467422096353</v>
      </c>
      <c r="P88" s="5833">
        <v>12992</v>
      </c>
      <c r="Q88" s="2884">
        <f>12*Q25</f>
        <v>73232.780098483301</v>
      </c>
      <c r="R88" s="3259">
        <f>+N88+P88</f>
        <v>48158</v>
      </c>
      <c r="S88" s="5923">
        <f>12*S25</f>
        <v>19195.467422096353</v>
      </c>
      <c r="T88" s="5908">
        <v>12999</v>
      </c>
      <c r="U88" s="4347">
        <f>12*U25</f>
        <v>92428.247520579651</v>
      </c>
      <c r="V88" s="3259">
        <f>+R88+T88</f>
        <v>61157</v>
      </c>
      <c r="W88" s="6031">
        <f>12*W25</f>
        <v>10073.654390934847</v>
      </c>
      <c r="X88" s="6025">
        <v>11367</v>
      </c>
      <c r="Y88" s="2885">
        <f>12*Y25</f>
        <v>48464.589235127547</v>
      </c>
      <c r="Z88" s="2885">
        <f>P88+T88+X88</f>
        <v>37358</v>
      </c>
      <c r="AA88" s="2925">
        <f>12*AA25</f>
        <v>102501.90191151449</v>
      </c>
      <c r="AB88" s="2925">
        <f>+Z88+N88</f>
        <v>72524</v>
      </c>
      <c r="AC88" s="6156">
        <f>12*AC25</f>
        <v>19573.182399999998</v>
      </c>
      <c r="AD88" s="6134">
        <v>12678</v>
      </c>
      <c r="AE88" s="2884">
        <f>12*AE25</f>
        <v>122075.08431151448</v>
      </c>
      <c r="AF88" s="3259">
        <f>+AB88+AD88</f>
        <v>85202</v>
      </c>
      <c r="AG88" s="6318">
        <f>12*AG25</f>
        <v>18968.838526912197</v>
      </c>
      <c r="AH88" s="6296">
        <v>12092</v>
      </c>
      <c r="AI88" s="4647">
        <f>12*AI25</f>
        <v>141043.92283842669</v>
      </c>
      <c r="AJ88" s="4640">
        <f>+AF88+AH88</f>
        <v>97294</v>
      </c>
      <c r="AK88" s="6577">
        <f>12*AK25</f>
        <v>19573.182247403209</v>
      </c>
      <c r="AL88" s="6563">
        <v>11240</v>
      </c>
      <c r="AM88" s="2885">
        <f>12*AM25</f>
        <v>58115.203174315408</v>
      </c>
      <c r="AN88" s="2885">
        <f>AD88+AH88+AL88</f>
        <v>36010</v>
      </c>
      <c r="AO88" s="2884">
        <f>12*AO25</f>
        <v>160617.10508582985</v>
      </c>
      <c r="AP88" s="2884">
        <f t="shared" ref="AP88" si="270">+AL88+AJ88</f>
        <v>108534</v>
      </c>
      <c r="AQ88" s="4974">
        <f>12*AQ25</f>
        <v>19875.354107648724</v>
      </c>
      <c r="AR88" s="4963">
        <v>11806</v>
      </c>
      <c r="AS88" s="2884">
        <f>12*AS25</f>
        <v>180492.4591934786</v>
      </c>
      <c r="AT88" s="3259">
        <f>+AP88+AR88</f>
        <v>120340</v>
      </c>
      <c r="AU88" s="6852">
        <f>12*AU25</f>
        <v>17760.15108593012</v>
      </c>
      <c r="AV88" s="6840">
        <v>11266</v>
      </c>
      <c r="AW88" s="5040">
        <f>12*AW25</f>
        <v>198252.61027940869</v>
      </c>
      <c r="AX88" s="5035">
        <f>+AT88+AV88</f>
        <v>131606</v>
      </c>
      <c r="AY88" s="7008">
        <f>12*AY25</f>
        <v>19875.354107648727</v>
      </c>
      <c r="AZ88" s="6993">
        <v>10632</v>
      </c>
      <c r="BA88" s="2885">
        <f>12*BA25</f>
        <v>57510.859301227567</v>
      </c>
      <c r="BB88" s="2885">
        <f>AR88+AV88+AZ88</f>
        <v>33704</v>
      </c>
      <c r="BC88" s="2925">
        <f>12*BC25</f>
        <v>115626.06247554299</v>
      </c>
      <c r="BD88" s="2925">
        <f t="shared" ref="BD88" si="271">+BB88+AN88</f>
        <v>69714</v>
      </c>
      <c r="BE88" s="2884">
        <f>12*BE25</f>
        <v>218127.96438705747</v>
      </c>
      <c r="BF88" s="3446">
        <f>+AX88+AZ88</f>
        <v>142238</v>
      </c>
      <c r="BG88" s="4396"/>
      <c r="BH88" s="4396"/>
      <c r="BI88" s="3604"/>
      <c r="BJ88" s="3604"/>
      <c r="BK88" s="3957"/>
      <c r="BL88" s="3604"/>
      <c r="BM88" s="3957"/>
      <c r="BN88" s="3957"/>
    </row>
    <row r="89" spans="1:66" ht="15" x14ac:dyDescent="0.25">
      <c r="B89" s="3599" t="s">
        <v>297</v>
      </c>
      <c r="C89" s="3686" t="s">
        <v>269</v>
      </c>
      <c r="D89" s="1226">
        <f>+'Maj Techno Summ'!D16</f>
        <v>1062</v>
      </c>
      <c r="E89" s="3647">
        <f>+'Maj Techno Summ'!E16</f>
        <v>1062</v>
      </c>
      <c r="F89" s="3650">
        <f>+(F15*1000)/F5</f>
        <v>1055.9173214589698</v>
      </c>
      <c r="G89" s="5598">
        <f>+'Maj Techno Summ'!G16</f>
        <v>1062</v>
      </c>
      <c r="H89" s="5595">
        <f>+(H15*1000)/H5</f>
        <v>1067.8204683947633</v>
      </c>
      <c r="I89" s="3648">
        <f>+(I15*1000)/I5</f>
        <v>1060.3255745176732</v>
      </c>
      <c r="J89" s="1959">
        <f>+(J15*1000)/J5</f>
        <v>1062.0424734269263</v>
      </c>
      <c r="K89" s="5712">
        <f>+'Maj Techno Summ'!K16</f>
        <v>1062</v>
      </c>
      <c r="L89" s="5710">
        <f>+(L15*1000)/L5</f>
        <v>1061.9196518424501</v>
      </c>
      <c r="M89" s="3649">
        <f>+(M15*1000)/M5</f>
        <v>1059.8602551349034</v>
      </c>
      <c r="N89" s="3649">
        <f>+(N15*1000)/N5</f>
        <v>1061.9999587668149</v>
      </c>
      <c r="O89" s="5850">
        <f>+'Maj Techno Summ'!O16</f>
        <v>1062</v>
      </c>
      <c r="P89" s="5847">
        <f>+(P15*1000)/P5</f>
        <v>1051.7068973673629</v>
      </c>
      <c r="Q89" s="3648">
        <f>+(Q15*1000)/Q5</f>
        <v>1059.6347686875158</v>
      </c>
      <c r="R89" s="3648">
        <f>+(R15*1000)/R5</f>
        <v>1059.2716245602046</v>
      </c>
      <c r="S89" s="5917">
        <f>+'Maj Techno Summ'!S16</f>
        <v>1062</v>
      </c>
      <c r="T89" s="5915">
        <f>+(T15*1000)/T5</f>
        <v>1060.1658095630876</v>
      </c>
      <c r="U89" s="4345">
        <f>+(U15*1000)/U5</f>
        <v>1059.5029401395486</v>
      </c>
      <c r="V89" s="4345">
        <f>+(V15*1000)/V5</f>
        <v>1059.4494898296587</v>
      </c>
      <c r="W89" s="6029">
        <f>+'Maj Techno Summ'!W16</f>
        <v>1062</v>
      </c>
      <c r="X89" s="6027">
        <f>+(X15*1000)/X5</f>
        <v>1063.8152587426769</v>
      </c>
      <c r="Y89" s="3649">
        <f>Y15/Y5*1000</f>
        <v>1058.9999999999991</v>
      </c>
      <c r="Z89" s="3649">
        <f>+(Z15*1000)/Z5</f>
        <v>1058.3307154265726</v>
      </c>
      <c r="AA89" s="2912">
        <f>+(AA15*1000)/AA5</f>
        <v>1059.4535123235698</v>
      </c>
      <c r="AB89" s="2912">
        <f>+(AB15*1000)/AB5</f>
        <v>1060.1462170969321</v>
      </c>
      <c r="AC89" s="6149">
        <f>+'Maj Techno Summ'!AC16</f>
        <v>1062</v>
      </c>
      <c r="AD89" s="6146">
        <f>+(AD15*1000)/AD5</f>
        <v>1064.5745280439282</v>
      </c>
      <c r="AE89" s="3648">
        <f>+(AE15*1000)/AE5</f>
        <v>1059.3807974086319</v>
      </c>
      <c r="AF89" s="3648">
        <f>+(AF15*1000)/AF5</f>
        <v>1060.6419895929714</v>
      </c>
      <c r="AG89" s="6311">
        <f>+'Maj Techno Summ'!AG16</f>
        <v>1062</v>
      </c>
      <c r="AH89" s="6308">
        <f>+(AH15*1000)/AH5</f>
        <v>1059.8754259222142</v>
      </c>
      <c r="AI89" s="4645">
        <f>+(AI15*1000)/AI5</f>
        <v>1059.3295843934361</v>
      </c>
      <c r="AJ89" s="4940">
        <f>+(AJ15*1000)/AJ5</f>
        <v>1060.5458620627478</v>
      </c>
      <c r="AK89" s="6572">
        <f>+'Maj Techno Summ'!AK16</f>
        <v>1062</v>
      </c>
      <c r="AL89" s="6570">
        <f>+(AL15*1000)/AL5</f>
        <v>1068.1895334200926</v>
      </c>
      <c r="AM89" s="3649">
        <f>AM15/AM5*1000</f>
        <v>1059.0000000000009</v>
      </c>
      <c r="AN89" s="3649">
        <f>+(AN15*1000)/AN5</f>
        <v>1064.2149663799164</v>
      </c>
      <c r="AO89" s="3648">
        <f>+(AO15*1000)/AO5</f>
        <v>1059.2894204557203</v>
      </c>
      <c r="AP89" s="4992">
        <f>+(AP15*1000)/AP5</f>
        <v>1061.4135758695984</v>
      </c>
      <c r="AQ89" s="4972">
        <f>+'Maj Techno Summ'!AQ16</f>
        <v>1062</v>
      </c>
      <c r="AR89" s="6682">
        <f>+(AR15*1000)/AR5</f>
        <v>1062.1673163865344</v>
      </c>
      <c r="AS89" s="3648">
        <f>+(AS15*1000)/AS5</f>
        <v>1059.2575502375737</v>
      </c>
      <c r="AT89" s="3648">
        <f>+(AT15*1000)/AT5</f>
        <v>1061.4885523320406</v>
      </c>
      <c r="AU89" s="6846">
        <f>+'Maj Techno Summ'!AU16</f>
        <v>1062</v>
      </c>
      <c r="AV89" s="6870">
        <f>+(AV15*1000)/AV5</f>
        <v>1052.23913066978</v>
      </c>
      <c r="AW89" s="5038">
        <f>+(AW15*1000)/AW5</f>
        <v>1059.234478000953</v>
      </c>
      <c r="AX89" s="5038">
        <f>+(AX15*1000)/AX5</f>
        <v>1060.7978413604571</v>
      </c>
      <c r="AY89" s="7000">
        <f>+'Maj Techno Summ'!AY16</f>
        <v>1062</v>
      </c>
      <c r="AZ89" s="7002">
        <f>+(AZ15*1000)/AZ5</f>
        <v>1038.4428162825402</v>
      </c>
      <c r="BA89" s="3649">
        <f>BA15/BA5*1000</f>
        <v>1059</v>
      </c>
      <c r="BB89" s="3649">
        <f>+(BB15*1000)/BB5</f>
        <v>1050.6127742040005</v>
      </c>
      <c r="BC89" s="2912">
        <f>+(BC15*1000)/BC5</f>
        <v>1059.0000000000005</v>
      </c>
      <c r="BD89" s="2912">
        <f>+(BD15*1000)/BD5</f>
        <v>1057.3549740205387</v>
      </c>
      <c r="BE89" s="3648">
        <f>+(BE15*1000)/BE5</f>
        <v>1059.2131128664287</v>
      </c>
      <c r="BF89" s="1959">
        <f>+(BF15*1000)/BF5</f>
        <v>1058.8142866443113</v>
      </c>
      <c r="BG89" s="4396"/>
      <c r="BH89" s="4396"/>
      <c r="BI89" s="4396"/>
      <c r="BJ89" s="4396"/>
      <c r="BK89" s="4396"/>
      <c r="BL89" s="4396"/>
      <c r="BM89" s="3957"/>
      <c r="BN89" s="3957"/>
    </row>
    <row r="90" spans="1:66" ht="15.75" thickBot="1" x14ac:dyDescent="0.3">
      <c r="B90" s="3700" t="s">
        <v>784</v>
      </c>
      <c r="C90" s="3686" t="s">
        <v>269</v>
      </c>
      <c r="D90" s="1226">
        <f>+'Maj Techno Summ'!D17</f>
        <v>34</v>
      </c>
      <c r="E90" s="3647">
        <f>+'Maj Techno Summ'!E17</f>
        <v>34</v>
      </c>
      <c r="F90" s="3650">
        <f>+(F19*1000)/F5</f>
        <v>40.079112648168227</v>
      </c>
      <c r="G90" s="5598">
        <f>+'Maj Techno Summ'!G17</f>
        <v>34</v>
      </c>
      <c r="H90" s="5595">
        <f>+(H19*1000)/H5</f>
        <v>28.189893423710473</v>
      </c>
      <c r="I90" s="3648">
        <f>+(I19*1000)/I5</f>
        <v>34</v>
      </c>
      <c r="J90" s="1959">
        <f>+(J19*1000)/J5</f>
        <v>33.961127637736375</v>
      </c>
      <c r="K90" s="5712">
        <f>+'Maj Techno Summ'!K17</f>
        <v>34</v>
      </c>
      <c r="L90" s="5710">
        <f>+(L19*1000)/L5</f>
        <v>34.520831536271885</v>
      </c>
      <c r="M90" s="3649">
        <f>+(M19*1000)/M5</f>
        <v>34</v>
      </c>
      <c r="N90" s="3649">
        <f>+(N19*1000)/N5</f>
        <v>34.154868999327469</v>
      </c>
      <c r="O90" s="5850">
        <f>+'Maj Techno Summ'!O17</f>
        <v>34</v>
      </c>
      <c r="P90" s="5847">
        <f>+(P19*1000)/P5</f>
        <v>44.526180507919989</v>
      </c>
      <c r="Q90" s="3648">
        <f>+(Q19*1000)/Q5</f>
        <v>33.999999999999993</v>
      </c>
      <c r="R90" s="3648">
        <f>+(R19*1000)/R5</f>
        <v>36.90394460066522</v>
      </c>
      <c r="S90" s="5917">
        <f>+'Maj Techno Summ'!S17</f>
        <v>34</v>
      </c>
      <c r="T90" s="5915">
        <f>+(T19*1000)/T5</f>
        <v>36.183939197549037</v>
      </c>
      <c r="U90" s="4345">
        <f>+(U19*1000)/U5</f>
        <v>33.999999999999993</v>
      </c>
      <c r="V90" s="4345">
        <f>+(V19*1000)/V5</f>
        <v>36.760725966243122</v>
      </c>
      <c r="W90" s="6029">
        <f>+'Maj Techno Summ'!W17</f>
        <v>34</v>
      </c>
      <c r="X90" s="6027">
        <f>+(X19*1000)/X5</f>
        <v>34.040564785957052</v>
      </c>
      <c r="Y90" s="3649">
        <f>+(Y19*1000)/Y5</f>
        <v>34</v>
      </c>
      <c r="Z90" s="3649">
        <f>+(Z19*1000)/Z5</f>
        <v>38.453569056342083</v>
      </c>
      <c r="AA90" s="2912">
        <f>+(AA19*1000)/AA5</f>
        <v>34</v>
      </c>
      <c r="AB90" s="2912">
        <f>+(AB19*1000)/AB5</f>
        <v>36.326619053247107</v>
      </c>
      <c r="AC90" s="6149">
        <f>+'Maj Techno Summ'!AC17</f>
        <v>34</v>
      </c>
      <c r="AD90" s="6146">
        <f>+(AD19*1000)/AD5</f>
        <v>30.862550990228851</v>
      </c>
      <c r="AE90" s="3648">
        <f>+(AE19*1000)/AE5</f>
        <v>34.000000000000007</v>
      </c>
      <c r="AF90" s="3648">
        <f>+(AF19*1000)/AF5</f>
        <v>35.714888148494765</v>
      </c>
      <c r="AG90" s="6311">
        <f>+'Maj Techno Summ'!AG17</f>
        <v>34</v>
      </c>
      <c r="AH90" s="6308">
        <f>+(AH19*1000)/AH5</f>
        <v>36.486828001498893</v>
      </c>
      <c r="AI90" s="4645">
        <f>+(AI19*1000)/AI5</f>
        <v>34</v>
      </c>
      <c r="AJ90" s="4940">
        <f>+(AJ19*1000)/AJ5</f>
        <v>35.811689855099381</v>
      </c>
      <c r="AK90" s="6572">
        <f>+'Maj Techno Summ'!AK17</f>
        <v>34</v>
      </c>
      <c r="AL90" s="6570">
        <f>+(AL19*1000)/AL5</f>
        <v>27.934205192754888</v>
      </c>
      <c r="AM90" s="3649">
        <f>+(AM19*1000)/AM5</f>
        <v>33.999999999999993</v>
      </c>
      <c r="AN90" s="3649">
        <f>+(AN19*1000)/AN5</f>
        <v>31.802546542511827</v>
      </c>
      <c r="AO90" s="3648">
        <f>+(AO19*1000)/AO5</f>
        <v>34</v>
      </c>
      <c r="AP90" s="4992">
        <f>+(AP19*1000)/AP5</f>
        <v>34.917433432339585</v>
      </c>
      <c r="AQ90" s="4972">
        <f>+'Maj Techno Summ'!AQ17</f>
        <v>34</v>
      </c>
      <c r="AR90" s="6682">
        <f>+(AR19*1000)/AR5</f>
        <v>33.23306160572163</v>
      </c>
      <c r="AS90" s="3648">
        <f>+(AS19*1000)/AS5</f>
        <v>34</v>
      </c>
      <c r="AT90" s="3648">
        <f>+(AT19*1000)/AT5</f>
        <v>34.749884735991984</v>
      </c>
      <c r="AU90" s="6846">
        <f>+'Maj Techno Summ'!AU17</f>
        <v>34</v>
      </c>
      <c r="AV90" s="6870">
        <f>+(AV19*1000)/AV5</f>
        <v>43.482725818307607</v>
      </c>
      <c r="AW90" s="5038">
        <f>+(AW19*1000)/AW5</f>
        <v>34.000000000000007</v>
      </c>
      <c r="AX90" s="5038">
        <f>+(AX19*1000)/AX5</f>
        <v>35.402019471427543</v>
      </c>
      <c r="AY90" s="7000">
        <f>+'Maj Techno Summ'!AY17</f>
        <v>34</v>
      </c>
      <c r="AZ90" s="7002">
        <f>+(AZ19*1000)/AZ5</f>
        <v>54.990465926048749</v>
      </c>
      <c r="BA90" s="3649">
        <f t="shared" ref="BA90:BF90" si="272">+(BA19*1000)/BA5</f>
        <v>34</v>
      </c>
      <c r="BB90" s="3649">
        <f t="shared" si="272"/>
        <v>44.153243986348841</v>
      </c>
      <c r="BC90" s="2912">
        <f t="shared" si="272"/>
        <v>34</v>
      </c>
      <c r="BD90" s="2912">
        <f t="shared" si="272"/>
        <v>38.031372675973181</v>
      </c>
      <c r="BE90" s="3648">
        <f t="shared" si="272"/>
        <v>34.000000000000007</v>
      </c>
      <c r="BF90" s="1959">
        <f t="shared" si="272"/>
        <v>37.140096490424696</v>
      </c>
      <c r="BG90" s="4396"/>
      <c r="BH90" s="4396"/>
      <c r="BI90" s="4396"/>
      <c r="BJ90" s="4396"/>
      <c r="BK90" s="4396"/>
      <c r="BL90" s="4396"/>
      <c r="BM90" s="3957"/>
      <c r="BN90" s="3957"/>
    </row>
    <row r="91" spans="1:66" ht="15" x14ac:dyDescent="0.25">
      <c r="B91" s="3598" t="s">
        <v>286</v>
      </c>
      <c r="C91" s="3668" t="s">
        <v>269</v>
      </c>
      <c r="D91" s="1226">
        <f t="shared" ref="D91:J91" si="273">SUM(D89:D90)</f>
        <v>1096</v>
      </c>
      <c r="E91" s="3647">
        <f t="shared" si="273"/>
        <v>1096</v>
      </c>
      <c r="F91" s="3650">
        <f t="shared" si="273"/>
        <v>1095.9964341071379</v>
      </c>
      <c r="G91" s="5598">
        <f t="shared" ref="G91:H91" si="274">SUM(G89:G90)</f>
        <v>1096</v>
      </c>
      <c r="H91" s="5595">
        <f t="shared" si="274"/>
        <v>1096.0103618184737</v>
      </c>
      <c r="I91" s="3648">
        <f t="shared" si="273"/>
        <v>1094.3255745176732</v>
      </c>
      <c r="J91" s="1959">
        <f t="shared" si="273"/>
        <v>1096.0036010646627</v>
      </c>
      <c r="K91" s="5712">
        <f t="shared" ref="K91:L91" si="275">SUM(K89:K90)</f>
        <v>1096</v>
      </c>
      <c r="L91" s="5710">
        <f t="shared" si="275"/>
        <v>1096.4404833787221</v>
      </c>
      <c r="M91" s="3649">
        <f t="shared" ref="M91:AF91" si="276">SUM(M89:M90)</f>
        <v>1093.8602551349034</v>
      </c>
      <c r="N91" s="3649">
        <f t="shared" si="276"/>
        <v>1096.1548277661423</v>
      </c>
      <c r="O91" s="5850">
        <f t="shared" si="276"/>
        <v>1096</v>
      </c>
      <c r="P91" s="5847">
        <f t="shared" si="276"/>
        <v>1096.2330778752828</v>
      </c>
      <c r="Q91" s="3648">
        <f t="shared" si="276"/>
        <v>1093.6347686875158</v>
      </c>
      <c r="R91" s="3648">
        <f t="shared" si="276"/>
        <v>1096.1755691608698</v>
      </c>
      <c r="S91" s="5917">
        <f t="shared" ref="S91:T91" si="277">SUM(S89:S90)</f>
        <v>1096</v>
      </c>
      <c r="T91" s="5915">
        <f t="shared" si="277"/>
        <v>1096.3497487606367</v>
      </c>
      <c r="U91" s="4345">
        <f t="shared" ref="U91:X91" si="278">SUM(U89:U90)</f>
        <v>1093.5029401395486</v>
      </c>
      <c r="V91" s="4345">
        <f t="shared" si="278"/>
        <v>1096.2102157959018</v>
      </c>
      <c r="W91" s="6029">
        <f t="shared" si="278"/>
        <v>1096</v>
      </c>
      <c r="X91" s="6027">
        <f t="shared" si="278"/>
        <v>1097.8558235286339</v>
      </c>
      <c r="Y91" s="3649">
        <f t="shared" si="276"/>
        <v>1092.9999999999991</v>
      </c>
      <c r="Z91" s="3649">
        <f t="shared" si="276"/>
        <v>1096.7842844829147</v>
      </c>
      <c r="AA91" s="2912">
        <f t="shared" si="276"/>
        <v>1093.4535123235698</v>
      </c>
      <c r="AB91" s="2912">
        <f t="shared" si="276"/>
        <v>1096.4728361501793</v>
      </c>
      <c r="AC91" s="6149">
        <f t="shared" si="276"/>
        <v>1096</v>
      </c>
      <c r="AD91" s="6146">
        <f t="shared" si="276"/>
        <v>1095.437079034157</v>
      </c>
      <c r="AE91" s="3648">
        <f t="shared" si="276"/>
        <v>1093.3807974086319</v>
      </c>
      <c r="AF91" s="3648">
        <f t="shared" si="276"/>
        <v>1096.3568777414662</v>
      </c>
      <c r="AG91" s="6311">
        <f t="shared" ref="AG91:AH91" si="279">SUM(AG89:AG90)</f>
        <v>1096</v>
      </c>
      <c r="AH91" s="6308">
        <f t="shared" si="279"/>
        <v>1096.3622539237131</v>
      </c>
      <c r="AI91" s="4645">
        <f t="shared" ref="AI91:AL91" si="280">SUM(AI89:AI90)</f>
        <v>1093.3295843934361</v>
      </c>
      <c r="AJ91" s="4645">
        <f t="shared" si="280"/>
        <v>1096.3575519178471</v>
      </c>
      <c r="AK91" s="6572">
        <f t="shared" si="280"/>
        <v>1096</v>
      </c>
      <c r="AL91" s="6570">
        <f t="shared" si="280"/>
        <v>1096.1237386128475</v>
      </c>
      <c r="AM91" s="3649">
        <f t="shared" ref="AM91:AT91" si="281">SUM(AM89:AM90)</f>
        <v>1093.0000000000009</v>
      </c>
      <c r="AN91" s="3649">
        <f t="shared" si="281"/>
        <v>1096.0175129224283</v>
      </c>
      <c r="AO91" s="3648">
        <f t="shared" si="281"/>
        <v>1093.2894204557203</v>
      </c>
      <c r="AP91" s="4992">
        <f t="shared" si="281"/>
        <v>1096.3310093019379</v>
      </c>
      <c r="AQ91" s="4972">
        <f t="shared" si="281"/>
        <v>1096</v>
      </c>
      <c r="AR91" s="6682">
        <f t="shared" si="281"/>
        <v>1095.4003779922559</v>
      </c>
      <c r="AS91" s="3648">
        <f t="shared" si="281"/>
        <v>1093.2575502375737</v>
      </c>
      <c r="AT91" s="6746">
        <f t="shared" si="281"/>
        <v>1096.2384370680327</v>
      </c>
      <c r="AU91" s="6846">
        <f t="shared" ref="AU91:AV91" si="282">SUM(AU89:AU90)</f>
        <v>1096</v>
      </c>
      <c r="AV91" s="6844">
        <f t="shared" si="282"/>
        <v>1095.7218564880877</v>
      </c>
      <c r="AW91" s="5038">
        <f t="shared" ref="AW91:AZ91" si="283">SUM(AW89:AW90)</f>
        <v>1093.234478000953</v>
      </c>
      <c r="AX91" s="5038">
        <f t="shared" si="283"/>
        <v>1096.1998608318847</v>
      </c>
      <c r="AY91" s="7000">
        <f t="shared" si="283"/>
        <v>1096</v>
      </c>
      <c r="AZ91" s="7024">
        <f t="shared" si="283"/>
        <v>1093.4332822085889</v>
      </c>
      <c r="BA91" s="3649">
        <f t="shared" ref="BA91:BD91" si="284">SUM(BA89:BA90)</f>
        <v>1093</v>
      </c>
      <c r="BB91" s="3649">
        <f t="shared" si="284"/>
        <v>1094.7660181903493</v>
      </c>
      <c r="BC91" s="2912">
        <f t="shared" si="284"/>
        <v>1093.0000000000005</v>
      </c>
      <c r="BD91" s="2912">
        <f t="shared" si="284"/>
        <v>1095.386346696512</v>
      </c>
      <c r="BE91" s="3648">
        <f t="shared" ref="BE91:BF91" si="285">SUM(BE89:BE90)</f>
        <v>1093.2131128664287</v>
      </c>
      <c r="BF91" s="1959">
        <f t="shared" si="285"/>
        <v>1095.954383134736</v>
      </c>
      <c r="BG91" s="4396"/>
      <c r="BH91" s="4396"/>
      <c r="BI91" s="4396"/>
      <c r="BJ91" s="4396"/>
      <c r="BK91" s="4396"/>
      <c r="BL91" s="4396"/>
      <c r="BM91" s="3957"/>
      <c r="BN91" s="3957"/>
    </row>
    <row r="92" spans="1:66" ht="15" x14ac:dyDescent="0.25">
      <c r="B92" s="3699" t="s">
        <v>433</v>
      </c>
      <c r="C92" s="3180" t="s">
        <v>50</v>
      </c>
      <c r="D92" s="3593">
        <f>+D94*D5/1000</f>
        <v>355006.77966101695</v>
      </c>
      <c r="E92" s="2883">
        <f>+E94*E5/1000</f>
        <v>24405.084745762713</v>
      </c>
      <c r="F92" s="2883">
        <v>35958.271479999996</v>
      </c>
      <c r="G92" s="5601">
        <f>+G94*G5/1000</f>
        <v>30827.762039660036</v>
      </c>
      <c r="H92" s="5601">
        <v>30280.43044</v>
      </c>
      <c r="I92" s="2884">
        <f>+E92+G92</f>
        <v>55232.846785422749</v>
      </c>
      <c r="J92" s="37">
        <f>+F92+H92</f>
        <v>66238.701919999992</v>
      </c>
      <c r="K92" s="5714">
        <f>+K94*K5/1000</f>
        <v>29875.920679886651</v>
      </c>
      <c r="L92" s="5714">
        <v>30254.303680000001</v>
      </c>
      <c r="M92" s="2885">
        <f>+K92+G92+E92</f>
        <v>85108.7674653094</v>
      </c>
      <c r="N92" s="2885">
        <f>+L92+H92+F92</f>
        <v>96493.005600000004</v>
      </c>
      <c r="O92" s="5857">
        <f>+O94*O5/1000</f>
        <v>30232.861189801704</v>
      </c>
      <c r="P92" s="5857">
        <v>31564.151819999999</v>
      </c>
      <c r="Q92" s="2884">
        <f>+M92+O92</f>
        <v>115341.6286551111</v>
      </c>
      <c r="R92" s="2884">
        <f>+N92+P92</f>
        <v>128057.15742</v>
      </c>
      <c r="S92" s="5923">
        <f>+S94*S5/1000</f>
        <v>30232.861189801704</v>
      </c>
      <c r="T92" s="5923">
        <v>29126.430780000002</v>
      </c>
      <c r="U92" s="4347">
        <f>+Q92+S92</f>
        <v>145574.48984491281</v>
      </c>
      <c r="V92" s="4347">
        <f>+R92+T92</f>
        <v>157183.5882</v>
      </c>
      <c r="W92" s="6031">
        <f>+W94*W5/1000</f>
        <v>15866.005665722438</v>
      </c>
      <c r="X92" s="6031">
        <v>28595.071339999999</v>
      </c>
      <c r="Y92" s="2885">
        <f>+W92+S92+O92</f>
        <v>76331.728045325843</v>
      </c>
      <c r="Z92" s="2885">
        <f>+X92+T92+P92</f>
        <v>89285.653940000004</v>
      </c>
      <c r="AA92" s="2925">
        <f>+Y92+M92</f>
        <v>161440.49551063526</v>
      </c>
      <c r="AB92" s="2925">
        <f>+Z92+N92</f>
        <v>185778.65954000002</v>
      </c>
      <c r="AC92" s="6156">
        <f>+AC94*AC5/1000</f>
        <v>30827.762039660036</v>
      </c>
      <c r="AD92" s="6156">
        <v>22986.981849999996</v>
      </c>
      <c r="AE92" s="2884">
        <f>+AA92+AC92</f>
        <v>192268.2575502953</v>
      </c>
      <c r="AF92" s="2884">
        <f>+AB92+AD92</f>
        <v>208765.64139</v>
      </c>
      <c r="AG92" s="6318">
        <f>+AG94*AG5/1000</f>
        <v>29875.920679886651</v>
      </c>
      <c r="AH92" s="6318">
        <v>26984.9643</v>
      </c>
      <c r="AI92" s="4647">
        <f>+AE92+AG92</f>
        <v>222144.17823018195</v>
      </c>
      <c r="AJ92" s="4647">
        <f>+AF92+AH92</f>
        <v>235750.60569</v>
      </c>
      <c r="AK92" s="6577">
        <f>+AK94*AK5/1000</f>
        <v>30827.762039660036</v>
      </c>
      <c r="AL92" s="6577">
        <v>29237.462070000001</v>
      </c>
      <c r="AM92" s="2885">
        <f>+AK92+AG92+AC92</f>
        <v>91531.44475920673</v>
      </c>
      <c r="AN92" s="2885">
        <f>+AL92+AH92+AD92</f>
        <v>79209.408219999998</v>
      </c>
      <c r="AO92" s="2884">
        <f t="shared" ref="AO92:AP92" si="286">+AK92+AI92</f>
        <v>252971.94026984199</v>
      </c>
      <c r="AP92" s="2884">
        <f t="shared" si="286"/>
        <v>264988.06776000001</v>
      </c>
      <c r="AQ92" s="4974">
        <f>+AQ94*AQ5/1000</f>
        <v>31303.682719546741</v>
      </c>
      <c r="AR92" s="4974">
        <v>38588</v>
      </c>
      <c r="AS92" s="2884">
        <f>+AO92+AQ92</f>
        <v>284275.62298938871</v>
      </c>
      <c r="AT92" s="2884">
        <f>+AP92+AR92</f>
        <v>303576.06776000001</v>
      </c>
      <c r="AU92" s="6852">
        <f>+AU94*AU5/1000</f>
        <v>27972.237960339942</v>
      </c>
      <c r="AV92" s="6852">
        <v>34268.306349999999</v>
      </c>
      <c r="AW92" s="5040">
        <f>+AS92+AU92</f>
        <v>312247.86094972864</v>
      </c>
      <c r="AX92" s="5040">
        <f>+AT92+AV92</f>
        <v>337844.37410999998</v>
      </c>
      <c r="AY92" s="7008">
        <f>+AY94*AY5/1000</f>
        <v>31303.682719546741</v>
      </c>
      <c r="AZ92" s="7008">
        <v>36592.682540000002</v>
      </c>
      <c r="BA92" s="2885">
        <f>+AY92+AU92+AQ92</f>
        <v>90579.603399433428</v>
      </c>
      <c r="BB92" s="2885">
        <f>+AZ92+AV92+AR92</f>
        <v>109448.98889000001</v>
      </c>
      <c r="BC92" s="2925">
        <f t="shared" ref="BC92" si="287">+BA92+AM92</f>
        <v>182111.04815864016</v>
      </c>
      <c r="BD92" s="2925">
        <f t="shared" ref="BD92" si="288">+BB92+AN92</f>
        <v>188658.39711000002</v>
      </c>
      <c r="BE92" s="2884">
        <f>+AW92+AY92</f>
        <v>343551.54366927536</v>
      </c>
      <c r="BF92" s="37">
        <f>+AX92+AZ92</f>
        <v>374437.05664999998</v>
      </c>
      <c r="BG92" s="4396"/>
      <c r="BH92" s="4396"/>
      <c r="BI92" s="3604"/>
      <c r="BJ92" s="3604"/>
      <c r="BK92" s="3957"/>
      <c r="BL92" s="3604"/>
      <c r="BM92" s="3957"/>
      <c r="BN92" s="3957"/>
    </row>
    <row r="93" spans="1:66" ht="15" x14ac:dyDescent="0.25">
      <c r="B93" s="3699" t="s">
        <v>287</v>
      </c>
      <c r="C93" s="3180" t="s">
        <v>270</v>
      </c>
      <c r="D93" s="3593">
        <v>124.11</v>
      </c>
      <c r="E93" s="2883">
        <f t="shared" ref="E93:J93" si="289">+E92/E20*1000</f>
        <v>124.11000000000001</v>
      </c>
      <c r="F93" s="2883">
        <f t="shared" si="289"/>
        <v>158.77999999999997</v>
      </c>
      <c r="G93" s="5601">
        <f t="shared" si="289"/>
        <v>122.84999999999992</v>
      </c>
      <c r="H93" s="5601">
        <f t="shared" si="289"/>
        <v>126.22</v>
      </c>
      <c r="I93" s="2884">
        <f t="shared" si="289"/>
        <v>123.40357235500366</v>
      </c>
      <c r="J93" s="37">
        <f t="shared" si="289"/>
        <v>142.03097536709205</v>
      </c>
      <c r="K93" s="5714">
        <v>122.85</v>
      </c>
      <c r="L93" s="5714">
        <f>+L92/L20*1000</f>
        <v>122.56</v>
      </c>
      <c r="M93" s="2885">
        <f>+M92/M20*1000</f>
        <v>123.20868325697602</v>
      </c>
      <c r="N93" s="2885">
        <f>+N92/N20*1000</f>
        <v>135.29187390724616</v>
      </c>
      <c r="O93" s="5857">
        <v>122.85</v>
      </c>
      <c r="P93" s="5857">
        <f>+P92/P20*1000</f>
        <v>122.78999999999999</v>
      </c>
      <c r="Q93" s="2884">
        <f>+Q92/Q20*1000</f>
        <v>123.11446432125665</v>
      </c>
      <c r="R93" s="2884">
        <f>+R92/R20*1000</f>
        <v>131.97972688268015</v>
      </c>
      <c r="S93" s="5923">
        <v>122.85</v>
      </c>
      <c r="T93" s="5923">
        <f>+T92/T20*1000</f>
        <v>120.97000000000001</v>
      </c>
      <c r="U93" s="4347">
        <f>+U92/U20*1000</f>
        <v>123.05944682015726</v>
      </c>
      <c r="V93" s="4347">
        <f>+V92/V20*1000</f>
        <v>129.79084168900948</v>
      </c>
      <c r="W93" s="6031">
        <v>122.84999999999998</v>
      </c>
      <c r="X93" s="6031">
        <f>+X92/X20*1000</f>
        <v>124.22</v>
      </c>
      <c r="Y93" s="3679">
        <f>+Y92/Y20*1000</f>
        <v>122.85000000000009</v>
      </c>
      <c r="Z93" s="2885">
        <f>+Z92/Z20*1000</f>
        <v>122.64024364414055</v>
      </c>
      <c r="AA93" s="2925">
        <f>+AA92/AA20*1000</f>
        <v>123.03883122246029</v>
      </c>
      <c r="AB93" s="2925">
        <f>+AB92/AB20*1000</f>
        <v>128.90106472853427</v>
      </c>
      <c r="AC93" s="6156">
        <v>122.84999999999998</v>
      </c>
      <c r="AD93" s="6156">
        <f>+AD92/AD20*1000</f>
        <v>126.35</v>
      </c>
      <c r="AE93" s="2884">
        <f>+AE92/AE20*1000</f>
        <v>123.00851547862571</v>
      </c>
      <c r="AF93" s="2884">
        <f>+AF92/AF20*1000</f>
        <v>128.61513373431552</v>
      </c>
      <c r="AG93" s="6318">
        <v>122.85</v>
      </c>
      <c r="AH93" s="6318">
        <f>+AH92/AH20*1000</f>
        <v>115.87</v>
      </c>
      <c r="AI93" s="4647">
        <f>+AI92/AI20*1000</f>
        <v>122.98717310608644</v>
      </c>
      <c r="AJ93" s="4647">
        <f>+AJ92/AJ20*1000</f>
        <v>127.01594157227822</v>
      </c>
      <c r="AK93" s="6577">
        <v>122.84999999999998</v>
      </c>
      <c r="AL93" s="6577">
        <f>+AL92/AL20*1000</f>
        <v>122.91000000000001</v>
      </c>
      <c r="AM93" s="2885">
        <f>+AM92/AM20*1000</f>
        <v>122.84999999999991</v>
      </c>
      <c r="AN93" s="2885">
        <f>+AN92/AN20*1000</f>
        <v>121.3569035296569</v>
      </c>
      <c r="AO93" s="2884">
        <f>+AO92/AO20*1000</f>
        <v>122.9704404768965</v>
      </c>
      <c r="AP93" s="2884">
        <f>+AP92/AP20*1000</f>
        <v>126.5494977716734</v>
      </c>
      <c r="AQ93" s="4974">
        <v>122</v>
      </c>
      <c r="AR93" s="3171">
        <f>+AR92/AR20*1000</f>
        <v>166.81076220777425</v>
      </c>
      <c r="AS93" s="2884">
        <f>+AS92/AS20*1000</f>
        <v>122.95716631944816</v>
      </c>
      <c r="AT93" s="2884">
        <f>+AT92/AT20*1000</f>
        <v>130.55485360017477</v>
      </c>
      <c r="AU93" s="6852">
        <v>122</v>
      </c>
      <c r="AV93" s="3171">
        <f>+AV92/AV20*1000</f>
        <v>182.45</v>
      </c>
      <c r="AW93" s="5040">
        <f>+AW92/AW20*1000</f>
        <v>122.94755836787857</v>
      </c>
      <c r="AX93" s="5040">
        <f>+AX92/AX20*1000</f>
        <v>134.43337254521208</v>
      </c>
      <c r="AY93" s="7008">
        <v>122</v>
      </c>
      <c r="AZ93" s="3171">
        <f>+AZ92/AZ20*1000</f>
        <v>149.53</v>
      </c>
      <c r="BA93" s="2885">
        <f t="shared" ref="BA93:BF93" si="290">+BA92/BA20*1000</f>
        <v>122.85000000000001</v>
      </c>
      <c r="BB93" s="2885">
        <f t="shared" si="290"/>
        <v>164.86534073740452</v>
      </c>
      <c r="BC93" s="2925">
        <f t="shared" si="290"/>
        <v>122.84999999999997</v>
      </c>
      <c r="BD93" s="2925">
        <f t="shared" si="290"/>
        <v>143.29570550530283</v>
      </c>
      <c r="BE93" s="6999">
        <f t="shared" si="290"/>
        <v>122.93866264226925</v>
      </c>
      <c r="BF93" s="37">
        <f t="shared" si="290"/>
        <v>135.77298879874917</v>
      </c>
      <c r="BG93" s="4396"/>
      <c r="BH93" s="4396"/>
      <c r="BI93" s="3604"/>
      <c r="BJ93" s="3604"/>
      <c r="BK93" s="3957"/>
      <c r="BL93" s="3604"/>
      <c r="BM93" s="3957"/>
      <c r="BN93" s="3957"/>
    </row>
    <row r="94" spans="1:66" ht="15" x14ac:dyDescent="0.25">
      <c r="B94" s="3699" t="s">
        <v>287</v>
      </c>
      <c r="C94" s="3180" t="s">
        <v>269</v>
      </c>
      <c r="D94" s="1938">
        <v>126</v>
      </c>
      <c r="E94" s="2893">
        <v>126</v>
      </c>
      <c r="F94" s="2883">
        <f>+F92/F5*1000</f>
        <v>161.08460251046023</v>
      </c>
      <c r="G94" s="5589">
        <v>126</v>
      </c>
      <c r="H94" s="5601">
        <f>+H92/H5*1000</f>
        <v>127.96098023140831</v>
      </c>
      <c r="I94" s="2884">
        <f>+I92/I5*1000</f>
        <v>126</v>
      </c>
      <c r="J94" s="37">
        <f>+J92/J5*1000</f>
        <v>144.03976375624094</v>
      </c>
      <c r="K94" s="5708">
        <v>126</v>
      </c>
      <c r="L94" s="5714">
        <f>+L92/L5*1000</f>
        <v>124.27164043983849</v>
      </c>
      <c r="M94" s="2885">
        <f>+M92/M5*1000</f>
        <v>125.99999999999997</v>
      </c>
      <c r="N94" s="2885">
        <f>+N92/N5*1000</f>
        <v>137.19703291687819</v>
      </c>
      <c r="O94" s="5833">
        <v>126</v>
      </c>
      <c r="P94" s="5857">
        <f>+P92/P5*1000</f>
        <v>124.43389951983349</v>
      </c>
      <c r="Q94" s="2884">
        <f>+Q92/Q5*1000</f>
        <v>125.99999999999997</v>
      </c>
      <c r="R94" s="2884">
        <f>+R92/R5*1000</f>
        <v>133.81396814350157</v>
      </c>
      <c r="S94" s="5908">
        <v>126</v>
      </c>
      <c r="T94" s="5923">
        <f>+T92/T5*1000</f>
        <v>122.5746386277365</v>
      </c>
      <c r="U94" s="4347">
        <f>+U92/U5*1000</f>
        <v>126</v>
      </c>
      <c r="V94" s="4347">
        <f>+V92/V5*1000</f>
        <v>131.57831627463898</v>
      </c>
      <c r="W94" s="6025">
        <v>126</v>
      </c>
      <c r="X94" s="6031">
        <f>+X92/X5*1000</f>
        <v>126.05443907126829</v>
      </c>
      <c r="Y94" s="2885">
        <f>+Y92/Y5*1000</f>
        <v>126</v>
      </c>
      <c r="Z94" s="2885">
        <f>+Z92/Z5*1000</f>
        <v>124.33059419520951</v>
      </c>
      <c r="AA94" s="2925">
        <f>+AA92/AA5*1000</f>
        <v>126</v>
      </c>
      <c r="AB94" s="2925">
        <f>+AB92/AB5*1000</f>
        <v>130.69676804216544</v>
      </c>
      <c r="AC94" s="6134">
        <v>126</v>
      </c>
      <c r="AD94" s="6156">
        <f>+AD92/AD5*1000</f>
        <v>128.27485253988536</v>
      </c>
      <c r="AE94" s="2884">
        <f>+AE92/AE5*1000</f>
        <v>126.00000000000003</v>
      </c>
      <c r="AF94" s="2884">
        <f>+AF92/AF5*1000</f>
        <v>130.42562197583604</v>
      </c>
      <c r="AG94" s="6296">
        <v>126</v>
      </c>
      <c r="AH94" s="6318">
        <f>+AH92/AH5*1000</f>
        <v>117.58051912401635</v>
      </c>
      <c r="AI94" s="4647">
        <f>+AI92/AI5*1000</f>
        <v>126</v>
      </c>
      <c r="AJ94" s="4647">
        <f>+AJ92/AJ5*1000</f>
        <v>128.81483860621339</v>
      </c>
      <c r="AK94" s="6563">
        <v>126</v>
      </c>
      <c r="AL94" s="6577">
        <f>+AL92/AL5*1000</f>
        <v>124.75182757664327</v>
      </c>
      <c r="AM94" s="2885">
        <f>+AM92/AM5*1000</f>
        <v>126</v>
      </c>
      <c r="AN94" s="2885">
        <f>+AN92/AN5*1000</f>
        <v>123.17423386018274</v>
      </c>
      <c r="AO94" s="2884">
        <f>+AO92/AO5*1000</f>
        <v>126</v>
      </c>
      <c r="AP94" s="2884">
        <f>+AP92/AP5*1000</f>
        <v>128.35360334335022</v>
      </c>
      <c r="AQ94" s="4963">
        <v>126</v>
      </c>
      <c r="AR94" s="3171">
        <f>+AR92/AR5*1000</f>
        <v>169.21073287524064</v>
      </c>
      <c r="AS94" s="2884">
        <f>+AS92/AS5*1000</f>
        <v>126</v>
      </c>
      <c r="AT94" s="5094">
        <f>+AT92/AT5*1000</f>
        <v>132.41776464158235</v>
      </c>
      <c r="AU94" s="6840">
        <v>126</v>
      </c>
      <c r="AV94" s="3171">
        <f>+AV92/AV5*1000</f>
        <v>185.21806951831192</v>
      </c>
      <c r="AW94" s="5094">
        <f>+AW92/AW5*1000</f>
        <v>125.99999999999997</v>
      </c>
      <c r="AX94" s="5094">
        <f>+AX92/AX5*1000</f>
        <v>136.36068682774592</v>
      </c>
      <c r="AY94" s="6993">
        <v>126</v>
      </c>
      <c r="AZ94" s="3171">
        <f>+AZ92/AZ5*1000</f>
        <v>151.68580061349692</v>
      </c>
      <c r="BA94" s="2885">
        <f t="shared" ref="BA94:BF94" si="291">+BA92/BA5*1000</f>
        <v>126</v>
      </c>
      <c r="BB94" s="2885">
        <f t="shared" si="291"/>
        <v>167.27569473164576</v>
      </c>
      <c r="BC94" s="2925">
        <f t="shared" si="291"/>
        <v>126</v>
      </c>
      <c r="BD94" s="2925">
        <f t="shared" si="291"/>
        <v>145.4159196636891</v>
      </c>
      <c r="BE94" s="2884">
        <f t="shared" si="291"/>
        <v>125.99999999999997</v>
      </c>
      <c r="BF94" s="37">
        <f t="shared" si="291"/>
        <v>137.72047960897726</v>
      </c>
      <c r="BG94" s="4396"/>
      <c r="BH94" s="4396"/>
      <c r="BI94" s="3604"/>
      <c r="BJ94" s="3604"/>
      <c r="BK94" s="3957"/>
      <c r="BL94" s="3604"/>
      <c r="BM94" s="3957"/>
      <c r="BN94" s="3957"/>
    </row>
    <row r="95" spans="1:66" ht="15" x14ac:dyDescent="0.25">
      <c r="B95" s="3699" t="s">
        <v>288</v>
      </c>
      <c r="C95" s="3180" t="s">
        <v>432</v>
      </c>
      <c r="D95" s="3593">
        <f>+D96*D5/1000</f>
        <v>143693.22033898305</v>
      </c>
      <c r="E95" s="2945">
        <f>+E96*E5/1000</f>
        <v>9878.2485875706225</v>
      </c>
      <c r="F95" s="2945">
        <v>11342.026</v>
      </c>
      <c r="G95" s="5596">
        <f>+G96*G5/1000</f>
        <v>12477.90368271954</v>
      </c>
      <c r="H95" s="5596">
        <v>11942.972</v>
      </c>
      <c r="I95" s="2884">
        <f>+E95+G95</f>
        <v>22356.152270290164</v>
      </c>
      <c r="J95" s="37">
        <f>+F95+H95</f>
        <v>23284.998</v>
      </c>
      <c r="K95" s="5711">
        <f>+K96*K5/1000</f>
        <v>12092.634560906501</v>
      </c>
      <c r="L95" s="5711">
        <v>12438.977000000001</v>
      </c>
      <c r="M95" s="2885">
        <f>+K95+G95+E95</f>
        <v>34448.786831196659</v>
      </c>
      <c r="N95" s="2885">
        <f>+L95+H95+F95</f>
        <v>35723.974999999999</v>
      </c>
      <c r="O95" s="5849">
        <f>+O96*O5/1000</f>
        <v>12237.110481586404</v>
      </c>
      <c r="P95" s="5849">
        <v>13341.602000000001</v>
      </c>
      <c r="Q95" s="2884">
        <f>+M95+O95</f>
        <v>46685.897312783061</v>
      </c>
      <c r="R95" s="2884">
        <f>+N95+P95</f>
        <v>49065.576999999997</v>
      </c>
      <c r="S95" s="5916">
        <f>+S96*S5/1000</f>
        <v>12237.110481586404</v>
      </c>
      <c r="T95" s="5916">
        <v>12537.81</v>
      </c>
      <c r="U95" s="4347">
        <f>+Q95+S95</f>
        <v>58923.007794369463</v>
      </c>
      <c r="V95" s="4347">
        <f>+R95+T95</f>
        <v>61603.386999999995</v>
      </c>
      <c r="W95" s="6028">
        <f>+W96*W5/1000</f>
        <v>6421.9546742209868</v>
      </c>
      <c r="X95" s="6028">
        <f>11751865/1000</f>
        <v>11751.865</v>
      </c>
      <c r="Y95" s="2885">
        <f>+W95+S95+O95</f>
        <v>30896.175637393797</v>
      </c>
      <c r="Z95" s="2885">
        <f>+X95+T95+P95</f>
        <v>37631.277000000002</v>
      </c>
      <c r="AA95" s="2925">
        <f>+Y95+M95</f>
        <v>65344.962468590456</v>
      </c>
      <c r="AB95" s="2925">
        <f>+Z95+N95</f>
        <v>73355.252000000008</v>
      </c>
      <c r="AC95" s="6148">
        <f>+AC96*AC5/1000</f>
        <v>12477.90368271954</v>
      </c>
      <c r="AD95" s="6148">
        <f>9163436/1000</f>
        <v>9163.4359999999997</v>
      </c>
      <c r="AE95" s="2884">
        <f>+AA95+AC95</f>
        <v>77822.866151309994</v>
      </c>
      <c r="AF95" s="2884">
        <f>+AB95+AD95</f>
        <v>82518.688000000009</v>
      </c>
      <c r="AG95" s="6310">
        <f>+AG96*AG5/1000</f>
        <v>12092.634560906501</v>
      </c>
      <c r="AH95" s="6310">
        <f>11687079/1000</f>
        <v>11687.079</v>
      </c>
      <c r="AI95" s="4647">
        <f>+AE95+AG95</f>
        <v>89915.500712216497</v>
      </c>
      <c r="AJ95" s="4647">
        <f>+AF95+AH95</f>
        <v>94205.767000000007</v>
      </c>
      <c r="AK95" s="6571">
        <f>+AK96*AK5/1000</f>
        <v>12477.90368271954</v>
      </c>
      <c r="AL95" s="6571">
        <f>11907592/1000</f>
        <v>11907.592000000001</v>
      </c>
      <c r="AM95" s="2885">
        <f>+AK95+AG95+AC95</f>
        <v>37048.441926345578</v>
      </c>
      <c r="AN95" s="2885">
        <f>+AL95+AH95+AD95</f>
        <v>32758.107000000004</v>
      </c>
      <c r="AO95" s="2884">
        <f t="shared" ref="AO95:AP95" si="292">+AK95+AI95</f>
        <v>102393.40439493603</v>
      </c>
      <c r="AP95" s="2884">
        <f t="shared" si="292"/>
        <v>106113.35900000001</v>
      </c>
      <c r="AQ95" s="4971">
        <f>+AQ96*AQ5/1000</f>
        <v>12670.538243626062</v>
      </c>
      <c r="AR95" s="4971">
        <f>11594640/1000</f>
        <v>11594.64</v>
      </c>
      <c r="AS95" s="2884">
        <f>+AO95+AQ95</f>
        <v>115063.94263856209</v>
      </c>
      <c r="AT95" s="2884">
        <f>+AP95+AR95</f>
        <v>117707.99900000001</v>
      </c>
      <c r="AU95" s="6845">
        <f>+AU96*AU5/1000</f>
        <v>11322.096317280453</v>
      </c>
      <c r="AV95" s="6845">
        <v>9493.2739999999994</v>
      </c>
      <c r="AW95" s="5040">
        <f>+AS95+AU95</f>
        <v>126386.03895584254</v>
      </c>
      <c r="AX95" s="5040">
        <f>+AT95+AV95</f>
        <v>127201.27300000002</v>
      </c>
      <c r="AY95" s="6998">
        <f>+AY96*AY5/1000</f>
        <v>12670.538243626062</v>
      </c>
      <c r="AZ95" s="6998">
        <v>12118.648999999999</v>
      </c>
      <c r="BA95" s="2885">
        <f>+AY95+AU95+AQ95</f>
        <v>36663.17280453258</v>
      </c>
      <c r="BB95" s="2885">
        <f>+AZ95+AV95+AR95</f>
        <v>33206.562999999995</v>
      </c>
      <c r="BC95" s="2925">
        <f t="shared" ref="BC95" si="293">+BA95+AM95</f>
        <v>73711.614730878151</v>
      </c>
      <c r="BD95" s="2925">
        <f t="shared" ref="BD95" si="294">+BB95+AN95</f>
        <v>65964.67</v>
      </c>
      <c r="BE95" s="2884">
        <f>+AW95+AY95</f>
        <v>139056.57719946859</v>
      </c>
      <c r="BF95" s="37">
        <f>+AX95+AZ95</f>
        <v>139319.92200000002</v>
      </c>
      <c r="BG95" s="4396"/>
      <c r="BH95" s="4396"/>
      <c r="BI95" s="3604"/>
      <c r="BJ95" s="3604"/>
      <c r="BK95" s="3957"/>
      <c r="BL95" s="3604"/>
      <c r="BM95" s="3957"/>
      <c r="BN95" s="3957"/>
    </row>
    <row r="96" spans="1:66" ht="15" x14ac:dyDescent="0.25">
      <c r="B96" s="3699" t="s">
        <v>289</v>
      </c>
      <c r="C96" s="3180" t="s">
        <v>271</v>
      </c>
      <c r="D96" s="1938">
        <v>51.000000000000007</v>
      </c>
      <c r="E96" s="2893">
        <v>51.000000000000007</v>
      </c>
      <c r="F96" s="2883">
        <f>+(F95*1000)/F5</f>
        <v>50.809609991667635</v>
      </c>
      <c r="G96" s="5589">
        <v>51</v>
      </c>
      <c r="H96" s="5601">
        <f>+(H95*1000)/H5</f>
        <v>50.469375163752233</v>
      </c>
      <c r="I96" s="3432">
        <f>+(I95*1000)/I5</f>
        <v>51</v>
      </c>
      <c r="J96" s="103">
        <f>+(J95*1000)/J5</f>
        <v>50.634531078753717</v>
      </c>
      <c r="K96" s="3171">
        <v>51</v>
      </c>
      <c r="L96" s="3171">
        <f>+(L95*1000)/L5</f>
        <v>51.093956533704656</v>
      </c>
      <c r="M96" s="3679">
        <f>+(M95*1000)/M5</f>
        <v>50.999999999999986</v>
      </c>
      <c r="N96" s="3679">
        <f>+(N95*1000)/N5</f>
        <v>50.793561082698126</v>
      </c>
      <c r="O96" s="3171">
        <v>51</v>
      </c>
      <c r="P96" s="3171">
        <f>+(P95*1000)/P5</f>
        <v>52.595982054860407</v>
      </c>
      <c r="Q96" s="3250">
        <f>+(Q95*1000)/Q5</f>
        <v>50.999999999999993</v>
      </c>
      <c r="R96" s="3250">
        <f>+(R95*1000)/R5</f>
        <v>51.271320478296808</v>
      </c>
      <c r="S96" s="3171">
        <v>51</v>
      </c>
      <c r="T96" s="3171">
        <f>+(T95*1000)/T5</f>
        <v>52.763675080590183</v>
      </c>
      <c r="U96" s="3250">
        <f>+(U95*1000)/U5</f>
        <v>50.999999999999993</v>
      </c>
      <c r="V96" s="3250">
        <f>+(V95*1000)/V5</f>
        <v>51.568169623162873</v>
      </c>
      <c r="W96" s="3171">
        <v>51</v>
      </c>
      <c r="X96" s="3171">
        <f>+(X95*1000)/X5</f>
        <v>51.805247589785182</v>
      </c>
      <c r="Y96" s="2885">
        <f>+(Y95*1000)/Y5</f>
        <v>51.000000000000007</v>
      </c>
      <c r="Z96" s="3697">
        <f>+(Z95*1000)/Z5</f>
        <v>52.40168854986068</v>
      </c>
      <c r="AA96" s="2925">
        <f>+(AA95*1000)/AA5</f>
        <v>51</v>
      </c>
      <c r="AB96" s="3698">
        <f>+(AB95*1000)/AB5</f>
        <v>51.606004581243923</v>
      </c>
      <c r="AC96" s="3171">
        <v>51</v>
      </c>
      <c r="AD96" s="3171">
        <f>+(AD95*1000)/AD5</f>
        <v>51.134960184373973</v>
      </c>
      <c r="AE96" s="3250">
        <f>+(AE95*1000)/AE5</f>
        <v>51.000000000000007</v>
      </c>
      <c r="AF96" s="3250">
        <f>+(AF95*1000)/AF5</f>
        <v>51.553268705381392</v>
      </c>
      <c r="AG96" s="3171">
        <v>51</v>
      </c>
      <c r="AH96" s="3171">
        <f>+(AH95*1000)/AH5</f>
        <v>50.923647724202837</v>
      </c>
      <c r="AI96" s="3250">
        <f>+(AI95*1000)/AI5</f>
        <v>51</v>
      </c>
      <c r="AJ96" s="3250">
        <f>+(AJ95*1000)/AJ5</f>
        <v>51.474313868090668</v>
      </c>
      <c r="AK96" s="3171">
        <v>51</v>
      </c>
      <c r="AL96" s="3171">
        <f>+(AL95*1000)/AL5</f>
        <v>50.807893670129928</v>
      </c>
      <c r="AM96" s="2885">
        <f>+(AM95*1000)/AM5</f>
        <v>50.999999999999993</v>
      </c>
      <c r="AN96" s="3697">
        <f>+(AN95*1000)/AN5</f>
        <v>50.940346899550285</v>
      </c>
      <c r="AO96" s="3250">
        <f>+(AO95*1000)/AO5</f>
        <v>51</v>
      </c>
      <c r="AP96" s="3250">
        <f>+(AP95*1000)/AP5</f>
        <v>51.398661478041348</v>
      </c>
      <c r="AQ96" s="4963">
        <v>51</v>
      </c>
      <c r="AR96" s="6683">
        <f>+(AR95*1000)/AR5</f>
        <v>50.843203374742927</v>
      </c>
      <c r="AS96" s="3432">
        <f>+(AS95*1000)/AS5</f>
        <v>50.999999999999993</v>
      </c>
      <c r="AT96" s="3432">
        <f>+(AT95*1000)/AT5</f>
        <v>51.343408665323487</v>
      </c>
      <c r="AU96" s="6840">
        <v>51</v>
      </c>
      <c r="AV96" s="6852">
        <f>+(AV95*1000)/AV5</f>
        <v>51.310556924806505</v>
      </c>
      <c r="AW96" s="3432">
        <f>+(AW95*1000)/AW5</f>
        <v>50.999999999999993</v>
      </c>
      <c r="AX96" s="3432">
        <f>+(AX95*1000)/AX5</f>
        <v>51.340955424630259</v>
      </c>
      <c r="AY96" s="6993">
        <v>51</v>
      </c>
      <c r="AZ96" s="7008">
        <f>+(AZ95*1000)/AZ5</f>
        <v>50.234824241419332</v>
      </c>
      <c r="BA96" s="2885">
        <f t="shared" ref="BA96:BF96" si="295">+(BA95*1000)/BA5</f>
        <v>51</v>
      </c>
      <c r="BB96" s="3697">
        <f t="shared" si="295"/>
        <v>50.751048061830673</v>
      </c>
      <c r="BC96" s="2925">
        <f t="shared" si="295"/>
        <v>50.999999999999986</v>
      </c>
      <c r="BD96" s="3698">
        <f t="shared" si="295"/>
        <v>50.844877833711408</v>
      </c>
      <c r="BE96" s="3250">
        <f t="shared" si="295"/>
        <v>50.999999999999986</v>
      </c>
      <c r="BF96" s="3183">
        <f t="shared" si="295"/>
        <v>51.242808734233513</v>
      </c>
      <c r="BG96" s="4396"/>
      <c r="BH96" s="4396"/>
      <c r="BI96" s="3604"/>
      <c r="BJ96" s="3604"/>
      <c r="BK96" s="3957"/>
      <c r="BL96" s="3604"/>
      <c r="BM96" s="3957"/>
      <c r="BN96" s="3957"/>
    </row>
    <row r="97" spans="2:66" ht="15" x14ac:dyDescent="0.25">
      <c r="B97" s="9" t="s">
        <v>290</v>
      </c>
      <c r="C97" s="3180" t="s">
        <v>299</v>
      </c>
      <c r="D97" s="382">
        <v>4.9721737510725994</v>
      </c>
      <c r="E97" s="2961">
        <f>+(EMD!D29+EMD!D31)/24/E$2</f>
        <v>3.9712678865342164</v>
      </c>
      <c r="F97" s="2961">
        <f>+(EMD!E29+EMD!E31)/24/F$2</f>
        <v>4.9997222222222222</v>
      </c>
      <c r="G97" s="3172">
        <f>+(EMD!F29+EMD!F31)/24/G$2</f>
        <v>5.1486119720548036</v>
      </c>
      <c r="H97" s="3172">
        <f>+(EMD!G29+EMD!G31)/24/H$2</f>
        <v>5.028225806451613</v>
      </c>
      <c r="I97" s="3250">
        <f>+((E97*E2)+(G97*G2))/I2</f>
        <v>4.5695902906512371</v>
      </c>
      <c r="J97" s="3183">
        <f>+((F97*F2)+(H97*H2))/J2</f>
        <v>5.0142076502732245</v>
      </c>
      <c r="K97" s="3172">
        <f>+(EMD!J29+EMD!J31)/24/K$2</f>
        <v>5.1580767490048887</v>
      </c>
      <c r="L97" s="3172">
        <f>+(EMD!K29+EMD!K31)/24/L$2</f>
        <v>4.9874999999999998</v>
      </c>
      <c r="M97" s="3697">
        <f>+((E97*E2)+(G97*G2)+(K97*K2))/M2</f>
        <v>4.7635968153832104</v>
      </c>
      <c r="N97" s="3697">
        <f>+((F97*F2)+(H97*H2)+(L97*L2))/N2</f>
        <v>5.0054029304029308</v>
      </c>
      <c r="O97" s="3172">
        <f>+(EMD!N29+EMD!N31)/24/O$2</f>
        <v>5.0207095808374529</v>
      </c>
      <c r="P97" s="3172">
        <f>+(EMD!O29+EMD!O31)/24/P$2</f>
        <v>5.000013440860215</v>
      </c>
      <c r="Q97" s="3250">
        <f>+((M97*M2)+(O97*O2))/Q2</f>
        <v>4.8289287475887965</v>
      </c>
      <c r="R97" s="3250">
        <f>+((N97*N2)+(P97*P2))/R2</f>
        <v>5.0040334699453561</v>
      </c>
      <c r="S97" s="3172">
        <f>+(EMD!R29+EMD!R31)/24/S$2</f>
        <v>5.0207095808374529</v>
      </c>
      <c r="T97" s="3172">
        <f>+(EMD!S29+EMD!S31)/24/T$2</f>
        <v>4.8797580645161291</v>
      </c>
      <c r="U97" s="3250">
        <f>+((Q97*Q2)+(S97*S2))/U2</f>
        <v>4.86778630203787</v>
      </c>
      <c r="V97" s="3250">
        <f>+((R97*R2)+(T97*T2))/V2</f>
        <v>4.9788534858387807</v>
      </c>
      <c r="W97" s="3172">
        <f>+(EMD!V29+EMD!V31)/24/W$2</f>
        <v>2.4242702835826866</v>
      </c>
      <c r="X97" s="3172">
        <f>+(EMD!W29+EMD!W31)/24/X$2</f>
        <v>4.9930972222222225</v>
      </c>
      <c r="Y97" s="3697">
        <f>+((O97*O2)+(S97*S2)+(W97*W2))/Y2</f>
        <v>4.1740445926022032</v>
      </c>
      <c r="Z97" s="3697">
        <f>+((P97*P2)+(T97*T2)+(X97*X2))/Z2</f>
        <v>4.9572373188405798</v>
      </c>
      <c r="AA97" s="3698">
        <f>+((Y97*Y2)+(M97*M2))/AA2</f>
        <v>4.467209905569808</v>
      </c>
      <c r="AB97" s="3698">
        <f>+((Z97*Z2)+(N97*N2))/AB2</f>
        <v>4.9811885245901646</v>
      </c>
      <c r="AC97" s="3172">
        <f>+(EMD!AB29+EMD!AB31)/24/AC$2</f>
        <v>5.1486119720548036</v>
      </c>
      <c r="AD97" s="3172">
        <f>+(EMD!AC29+EMD!AC31)/24/AD$2</f>
        <v>4.5689516129032262</v>
      </c>
      <c r="AE97" s="3250">
        <f>+((AA97*AA2)+(AC97*AC2))/AE2</f>
        <v>4.5659176815559528</v>
      </c>
      <c r="AF97" s="3250">
        <f>+((AB97*AB2)+(AD97*AD2))/AF2</f>
        <v>4.9214719626168231</v>
      </c>
      <c r="AG97" s="3172">
        <f>+(EMD!AF29+EMD!AF31)/24/AG$2</f>
        <v>5.1580767490048887</v>
      </c>
      <c r="AH97" s="3172">
        <f>+(EMD!AG29+EMD!AG31)/24/AH$2</f>
        <v>5.0001388888888885</v>
      </c>
      <c r="AI97" s="3250">
        <f>+((AE97*AE2)+(AG97*AG2))/AI2</f>
        <v>4.6387241242750843</v>
      </c>
      <c r="AJ97" s="3250">
        <f>+((AF97*AF2)+(AH97*AH2))/AJ2</f>
        <v>4.9311441256830602</v>
      </c>
      <c r="AK97" s="3172">
        <f>+(EMD!AJ29+EMD!AJ31)/24/AK$2</f>
        <v>5.1486119720548036</v>
      </c>
      <c r="AL97" s="3172">
        <f>+(EMD!AK29+EMD!AK31)/24/AL$2</f>
        <v>5.002016129032258</v>
      </c>
      <c r="AM97" s="3697">
        <f>+((AC97*AC2)+(AG97*AG2)+(AK97*AK2))/AM2</f>
        <v>5.1516983123646138</v>
      </c>
      <c r="AN97" s="3697">
        <f>+((AD97*AD2)+(AH97*AH2)+(AL97*AL2))/AN2</f>
        <v>4.8554800724637683</v>
      </c>
      <c r="AO97" s="3250">
        <f>+((AK97*AK2)+(AI97*AI2))/AO2</f>
        <v>4.6962023907520702</v>
      </c>
      <c r="AP97" s="3250">
        <f>+((AL97*AL2)+(AJ97*AJ2))/AP2</f>
        <v>4.9391333333333334</v>
      </c>
      <c r="AQ97" s="3172">
        <f>+(EMD!AP29+EMD!AP31)/24/AQ$2</f>
        <v>5.2509338850286849</v>
      </c>
      <c r="AR97" s="2961">
        <f>+(EMD!AQ29+EMD!AQ31)/24/AR$2</f>
        <v>4.946236559139785</v>
      </c>
      <c r="AS97" s="3250">
        <f>+((AO97*AO2)+(AQ97*AQ2))/AS2</f>
        <v>4.7524006793879368</v>
      </c>
      <c r="AT97" s="3250">
        <f>+((AP97*AP2)+(AR97*AR2))/AT2</f>
        <v>4.9398529411764711</v>
      </c>
      <c r="AU97" s="3172">
        <f>+(EMD!AT29+EMD!AT31)/24/AU$2</f>
        <v>5.1790344693943595</v>
      </c>
      <c r="AV97" s="2961">
        <f>+(EMD!AU29+EMD!AU31)/24/AV$2</f>
        <v>4.8488095238095239</v>
      </c>
      <c r="AW97" s="3250">
        <f>+((AS97*AS2)+(AU97*AU2))/AW2</f>
        <v>4.7881663863345834</v>
      </c>
      <c r="AX97" s="3250">
        <f>+((AT97*AT2)+(AV97*AV2))/AX2</f>
        <v>4.9322205588822365</v>
      </c>
      <c r="AY97" s="3172">
        <f>+(EMD!AX29+EMD!AX31)/24/AY$2</f>
        <v>5.2509338850286849</v>
      </c>
      <c r="AZ97" s="2961">
        <f>+(EMD!AY29+EMD!AY31)/24/AZ$2</f>
        <v>4.8844489247311831</v>
      </c>
      <c r="BA97" s="3697">
        <f>+((AQ97*AQ2)+(AU97*AU2)+(AY97*AY2))/BA2</f>
        <v>5.2285651779424507</v>
      </c>
      <c r="BB97" s="3697">
        <f>+((AR97*AR2)+(AV97*AV2)+(AZ97*AZ2))/BB2</f>
        <v>4.8946435185185191</v>
      </c>
      <c r="BC97" s="3698">
        <f>+((BA97*BA2)+(AM97*AM2))/BC2</f>
        <v>5.1897093997382697</v>
      </c>
      <c r="BD97" s="3698">
        <f>+((BB97*BB2)+(AN97*AN2))/BD2</f>
        <v>4.8748466117216127</v>
      </c>
      <c r="BE97" s="3250">
        <f>+((AW97*AW2)+(AY97*AY2))/BE2</f>
        <v>4.8274699273195623</v>
      </c>
      <c r="BF97" s="3183">
        <f>+((AX97*AX2)+(AZ97*AZ2))/BF2</f>
        <v>4.9281632420091332</v>
      </c>
      <c r="BG97" s="4396">
        <f>F97*24*30</f>
        <v>3599.8</v>
      </c>
      <c r="BH97" s="4396"/>
      <c r="BI97" s="3604"/>
      <c r="BJ97" s="3604"/>
      <c r="BK97" s="3957"/>
      <c r="BL97" s="3604"/>
      <c r="BM97" s="3957"/>
      <c r="BN97" s="3957"/>
    </row>
    <row r="98" spans="2:66" ht="15" x14ac:dyDescent="0.25">
      <c r="B98" s="9" t="s">
        <v>493</v>
      </c>
      <c r="C98" s="3180" t="s">
        <v>595</v>
      </c>
      <c r="D98" s="382">
        <v>0.59999999999999987</v>
      </c>
      <c r="E98" s="2961">
        <f>+(EMD!D100)/24/E$2</f>
        <v>0.6</v>
      </c>
      <c r="F98" s="2961">
        <f>+(EMD!E100)/24/F$2</f>
        <v>1.2519972222222222</v>
      </c>
      <c r="G98" s="3172">
        <f>+(EMD!F100)/24/G$2</f>
        <v>0.6</v>
      </c>
      <c r="H98" s="3172">
        <f>+(EMD!G100)/24/H$2</f>
        <v>0.62913455636636406</v>
      </c>
      <c r="I98" s="3250">
        <f>+((E98*E2)+(G98*G2))/I2</f>
        <v>0.59999999999999987</v>
      </c>
      <c r="J98" s="3183">
        <f>+((F98*F2)+(H98*H2))/J2</f>
        <v>0.93546045760695007</v>
      </c>
      <c r="K98" s="3172">
        <f>+(EMD!J100)/24/K$2</f>
        <v>0.6</v>
      </c>
      <c r="L98" s="3172">
        <f>+(EMD!K100)/24/L$2</f>
        <v>0.62682424242424217</v>
      </c>
      <c r="M98" s="3697">
        <f>+((E98*E2)+(G98*G2)+(K98*K2))/M2</f>
        <v>0.6</v>
      </c>
      <c r="N98" s="3697">
        <f>+((F98*F2)+(H98*H2)+(L98*L2))/N2</f>
        <v>0.83371225479946387</v>
      </c>
      <c r="O98" s="3172">
        <f>+(EMD!N100)/24/O$2</f>
        <v>0.6</v>
      </c>
      <c r="P98" s="3172">
        <f>+(EMD!O100)/24/P$2</f>
        <v>0.63333504682988906</v>
      </c>
      <c r="Q98" s="3432">
        <f>+((M98*M2)+(O98*O2))/Q2</f>
        <v>0.6</v>
      </c>
      <c r="R98" s="3432">
        <f>+((N98*N2)+(P98*P2))/R2</f>
        <v>0.78279673474162115</v>
      </c>
      <c r="S98" s="3172">
        <f>+(EMD!R100)/24/S$2</f>
        <v>0.6</v>
      </c>
      <c r="T98" s="3172">
        <f>+(EMD!S100)/24/T$2</f>
        <v>0.62669780513310136</v>
      </c>
      <c r="U98" s="3250">
        <f>+((Q98*Q2)+(S98*S2))/U2</f>
        <v>0.6</v>
      </c>
      <c r="V98" s="3250">
        <f>+((R98*R2)+(T98*T2))/V2</f>
        <v>0.75116884704316289</v>
      </c>
      <c r="W98" s="3172">
        <f>+(EMD!V100)/24/W$2</f>
        <v>0.4</v>
      </c>
      <c r="X98" s="3172">
        <f>+(EMD!W100)/24/X$2</f>
        <v>0.63647638888888891</v>
      </c>
      <c r="Y98" s="3697">
        <f>+((O98*O2)+(S98*S2)+(W98*W2))/Y2</f>
        <v>0.53478260869565208</v>
      </c>
      <c r="Z98" s="3697">
        <f>+((P98*P2)+(T98*T2)+(X98*X2))/Z2</f>
        <v>0.6321229356252106</v>
      </c>
      <c r="AA98" s="3698">
        <f>+((Y98*Y2)+(M98*M2))/AA2</f>
        <v>0.5672131147540983</v>
      </c>
      <c r="AB98" s="3698">
        <f>+((Z98*Z2)+(N98*N2))/AB2</f>
        <v>0.73236680472279014</v>
      </c>
      <c r="AC98" s="3172">
        <f>+(EMD!AB100)/24/AC$2</f>
        <v>0.6</v>
      </c>
      <c r="AD98" s="3172">
        <f>+(EMD!AC100)/24/AD$2</f>
        <v>0.53958064516129034</v>
      </c>
      <c r="AE98" s="3250">
        <f>+((AA98*AA2)+(AC98*AC2))/AE2</f>
        <v>0.57196261682242977</v>
      </c>
      <c r="AF98" s="3250">
        <f>+((AB98*AB2)+(AD98*AD2))/AF2</f>
        <v>0.70443983768350749</v>
      </c>
      <c r="AG98" s="3172">
        <f>+(EMD!AF100)/24/AG$2</f>
        <v>0.52147928467005666</v>
      </c>
      <c r="AH98" s="3172">
        <f>+(EMD!AG100)/24/AH$2</f>
        <v>0.63059305555555556</v>
      </c>
      <c r="AI98" s="3250">
        <f>+((AE98*AE2)+(AG98*AG2))/AI2</f>
        <v>0.56575564975451509</v>
      </c>
      <c r="AJ98" s="3250">
        <f>+((AF98*AF2)+(AH98*AH2))/AJ2</f>
        <v>0.69536031529072639</v>
      </c>
      <c r="AK98" s="3172">
        <f>+(EMD!AJ100)/24/AK$2</f>
        <v>0.50547852932303983</v>
      </c>
      <c r="AL98" s="3172">
        <f>+(EMD!AK100)/24/AL$2</f>
        <v>0.6163472686353404</v>
      </c>
      <c r="AM98" s="3697">
        <f>+((AC98*AC2)+(AG98*AG2)+(AK98*AK2))/AM2</f>
        <v>0.54254579292517324</v>
      </c>
      <c r="AN98" s="3697">
        <f>+((AD98*AD2)+(AH98*AH2)+(AL98*AL2))/AN2</f>
        <v>0.59512561950393716</v>
      </c>
      <c r="AO98" s="3432">
        <f>+((AK98*AK2)+(AI98*AI2))/AO2</f>
        <v>0.55896077436042158</v>
      </c>
      <c r="AP98" s="3432">
        <f>+((AL98*AL2)+(AJ98*AJ2))/AP2</f>
        <v>0.68645339003139194</v>
      </c>
      <c r="AQ98" s="3172">
        <f>+(EMD!AP100)/24/AQ$2</f>
        <v>0.50547852932303983</v>
      </c>
      <c r="AR98" s="2961">
        <f>+(EMD!AQ100)/24/AR$2</f>
        <v>0.61671102150537638</v>
      </c>
      <c r="AS98" s="3432">
        <f>+((AO98*AO2)+(AQ98*AQ2))/AS2</f>
        <v>0.55354263842526197</v>
      </c>
      <c r="AT98" s="3432">
        <f>+((AP98*AP2)+(AR98*AR2))/AT2</f>
        <v>0.67938798668398515</v>
      </c>
      <c r="AU98" s="3172">
        <f>+(EMD!AT100)/24/AU$2</f>
        <v>0.33967741141855878</v>
      </c>
      <c r="AV98" s="2961">
        <f>+(EMD!AU100)/24/AV$2</f>
        <v>0.59550892857142856</v>
      </c>
      <c r="AW98" s="3432">
        <f>+((AS98*AS2)+(AU98*AU2))/AW2</f>
        <v>0.53561381699955035</v>
      </c>
      <c r="AX98" s="3432">
        <f>+((AT98*AT2)+(AV98*AV2))/AX2</f>
        <v>0.67235620935718399</v>
      </c>
      <c r="AY98" s="3172">
        <f>+(EMD!AX100)/24/AY$2</f>
        <v>0.6</v>
      </c>
      <c r="AZ98" s="2961">
        <f>+(EMD!AY100)/24/AZ$2</f>
        <v>1.0068575268817204</v>
      </c>
      <c r="BA98" s="3697">
        <f>+((AQ98*AQ2)+(AU98*AU2)+(AY98*AY2))/BA2</f>
        <v>0.48645335476370977</v>
      </c>
      <c r="BB98" s="3697">
        <f>+((AR98*AR2)+(AV98*AV2)+(AZ98*AZ2))/BB2</f>
        <v>0.74449861111111104</v>
      </c>
      <c r="BC98" s="3698">
        <f>+((BA98*BA2)+(AM98*AM2))/BC2</f>
        <v>0.51480777405411982</v>
      </c>
      <c r="BD98" s="3698">
        <f>+((BB98*BB2)+(AN98*AN2))/BD2</f>
        <v>0.66899138458440777</v>
      </c>
      <c r="BE98" s="3432">
        <f>+((AW98*AW2)+(AY98*AY2))/BE2</f>
        <v>0.54108223254205423</v>
      </c>
      <c r="BF98" s="103">
        <f>+((AX98*AX2)+(AZ98*AZ2))/BF2</f>
        <v>0.70076591029762414</v>
      </c>
      <c r="BG98" s="4396">
        <f>F98*24*30</f>
        <v>901.43799999999999</v>
      </c>
      <c r="BH98" s="4396"/>
      <c r="BI98" s="3604"/>
      <c r="BJ98" s="3604"/>
      <c r="BK98" s="3957"/>
      <c r="BL98" s="3604"/>
      <c r="BM98" s="3957"/>
      <c r="BN98" s="3957"/>
    </row>
    <row r="99" spans="2:66" ht="15" x14ac:dyDescent="0.25">
      <c r="B99" s="9" t="s">
        <v>291</v>
      </c>
      <c r="C99" s="3180" t="s">
        <v>213</v>
      </c>
      <c r="D99" s="7646">
        <f>27.2960222478721*365*24*1000</f>
        <v>239113154.89135963</v>
      </c>
      <c r="E99" s="7648">
        <f>+'POWER DISTRIBUTION'!I23</f>
        <v>16432757.062146895</v>
      </c>
      <c r="F99" s="7648">
        <f>+'POWER DISTRIBUTION'!J23</f>
        <v>20585170.000000004</v>
      </c>
      <c r="G99" s="5596">
        <f>+'POWER DISTRIBUTION'!K23</f>
        <v>22264494.80642115</v>
      </c>
      <c r="H99" s="5596">
        <f>+'POWER DISTRIBUTION'!L23</f>
        <v>20855320.000000004</v>
      </c>
      <c r="I99" s="2884">
        <f>+E99+G99</f>
        <v>38697251.868568048</v>
      </c>
      <c r="J99" s="37">
        <f>+F99+H99</f>
        <v>41440490.000000007</v>
      </c>
      <c r="K99" s="5711">
        <f>+'POWER DISTRIBUTION'!O23</f>
        <v>21577053.824362602</v>
      </c>
      <c r="L99" s="5711">
        <f>+'POWER DISTRIBUTION'!P23</f>
        <v>19860070</v>
      </c>
      <c r="M99" s="2885">
        <f>+K99+G99+E99</f>
        <v>60274305.692930646</v>
      </c>
      <c r="N99" s="2885">
        <f>+L99+H99+F99</f>
        <v>61300560</v>
      </c>
      <c r="O99" s="5849">
        <f>+'POWER DISTRIBUTION'!S23</f>
        <v>21834844.192634564</v>
      </c>
      <c r="P99" s="5849">
        <f>+'POWER DISTRIBUTION'!T23</f>
        <v>20412479.999999993</v>
      </c>
      <c r="Q99" s="2884">
        <f>+M99+O99</f>
        <v>82109149.885565206</v>
      </c>
      <c r="R99" s="2884">
        <f>+N99+P99</f>
        <v>81713040</v>
      </c>
      <c r="S99" s="5916">
        <f>+'POWER DISTRIBUTION'!W23</f>
        <v>21834844.192634564</v>
      </c>
      <c r="T99" s="5916">
        <f>+'POWER DISTRIBUTION'!X23</f>
        <v>19977985.000000007</v>
      </c>
      <c r="U99" s="4347">
        <f>+Q99+S99</f>
        <v>103943994.07819977</v>
      </c>
      <c r="V99" s="4347">
        <f>+R99+T99</f>
        <v>101691025</v>
      </c>
      <c r="W99" s="6028">
        <f>+'POWER DISTRIBUTION'!AA23</f>
        <v>12214781.869688384</v>
      </c>
      <c r="X99" s="6028">
        <f>+'POWER DISTRIBUTION'!AB23</f>
        <v>19075500</v>
      </c>
      <c r="Y99" s="2885">
        <f>+W99+S99+O99</f>
        <v>55884470.254957512</v>
      </c>
      <c r="Z99" s="2885">
        <f>+X99+T99+P99</f>
        <v>59465965</v>
      </c>
      <c r="AA99" s="2925">
        <f>+Y99+M99</f>
        <v>116158775.94788817</v>
      </c>
      <c r="AB99" s="2925">
        <f>+Z99+N99</f>
        <v>120766525</v>
      </c>
      <c r="AC99" s="6148">
        <f>+'POWER DISTRIBUTION'!AG23</f>
        <v>22264494.80642115</v>
      </c>
      <c r="AD99" s="6148">
        <f>+'POWER DISTRIBUTION'!AH23</f>
        <v>17140469.999999993</v>
      </c>
      <c r="AE99" s="2884">
        <f>+AA99+AC99</f>
        <v>138423270.75430933</v>
      </c>
      <c r="AF99" s="2884">
        <f>+AB99+AD99</f>
        <v>137906995</v>
      </c>
      <c r="AG99" s="6310">
        <f>+'POWER DISTRIBUTION'!AK23</f>
        <v>21577053.824362602</v>
      </c>
      <c r="AH99" s="6310">
        <f>+'POWER DISTRIBUTION'!AL23</f>
        <v>20069990</v>
      </c>
      <c r="AI99" s="4647">
        <f>+AE99+AG99</f>
        <v>160000324.57867193</v>
      </c>
      <c r="AJ99" s="4647">
        <f>+AF99+AH99</f>
        <v>157976985</v>
      </c>
      <c r="AK99" s="6571">
        <f>+'POWER DISTRIBUTION'!AO23</f>
        <v>22264494.80642115</v>
      </c>
      <c r="AL99" s="6571">
        <f>+'POWER DISTRIBUTION'!AP23</f>
        <v>20294950.000000011</v>
      </c>
      <c r="AM99" s="2885">
        <f>+AK99+AG99+AC99</f>
        <v>66106043.437204897</v>
      </c>
      <c r="AN99" s="2885">
        <f>+AL99+AH99+AD99</f>
        <v>57505410.000000007</v>
      </c>
      <c r="AO99" s="2884">
        <f t="shared" ref="AO99:AP99" si="296">+AK99+AI99</f>
        <v>182264819.38509309</v>
      </c>
      <c r="AP99" s="2884">
        <f t="shared" si="296"/>
        <v>178271935</v>
      </c>
      <c r="AQ99" s="4971">
        <f>+'POWER DISTRIBUTION'!AU23</f>
        <v>22608215.297450427</v>
      </c>
      <c r="AR99" s="6779">
        <f>+'POWER DISTRIBUTION'!AV23</f>
        <v>20309500.000000004</v>
      </c>
      <c r="AS99" s="2884">
        <f>+AO99+AQ99</f>
        <v>204873034.68254352</v>
      </c>
      <c r="AT99" s="2884">
        <f>+AP99+AR99</f>
        <v>198581435</v>
      </c>
      <c r="AU99" s="6845">
        <f>+'POWER DISTRIBUTION'!AY23</f>
        <v>20202171.860245515</v>
      </c>
      <c r="AV99" s="6845">
        <f>+'POWER DISTRIBUTION'!AZ23</f>
        <v>17159379.999999993</v>
      </c>
      <c r="AW99" s="5040">
        <f>+AS99+AU99</f>
        <v>225075206.54278904</v>
      </c>
      <c r="AX99" s="5040">
        <f>+AT99+AV99</f>
        <v>215740815</v>
      </c>
      <c r="AY99" s="6998">
        <f>+'POWER DISTRIBUTION'!BC23</f>
        <v>22608215.297450427</v>
      </c>
      <c r="AZ99" s="7105">
        <f>+'POWER DISTRIBUTION'!BD23</f>
        <v>21041790</v>
      </c>
      <c r="BA99" s="2885">
        <f>+'POWER DISTRIBUTION'!BE23</f>
        <v>65418602.455146372</v>
      </c>
      <c r="BB99" s="2885">
        <f>+'POWER DISTRIBUTION'!BF23</f>
        <v>58510670</v>
      </c>
      <c r="BC99" s="2925">
        <f>+'POWER DISTRIBUTION'!BG23</f>
        <v>131524645.89235127</v>
      </c>
      <c r="BD99" s="2925">
        <f>+'POWER DISTRIBUTION'!BH23</f>
        <v>116016080</v>
      </c>
      <c r="BE99" s="2884">
        <f>+'POWER DISTRIBUTION'!BI23</f>
        <v>247683421.84023947</v>
      </c>
      <c r="BF99" s="37">
        <f>+'POWER DISTRIBUTION'!BJ23</f>
        <v>236782605</v>
      </c>
      <c r="BG99" s="4396"/>
      <c r="BH99" s="4396"/>
      <c r="BI99" s="3604"/>
      <c r="BJ99" s="3604"/>
      <c r="BK99" s="3957"/>
      <c r="BL99" s="3604"/>
      <c r="BM99" s="3957"/>
      <c r="BN99" s="3957"/>
    </row>
    <row r="100" spans="2:66" ht="15" x14ac:dyDescent="0.25">
      <c r="B100" s="9" t="s">
        <v>292</v>
      </c>
      <c r="C100" s="3180" t="s">
        <v>272</v>
      </c>
      <c r="D100" s="725">
        <f t="shared" ref="D100:N100" si="297">+D99/D5</f>
        <v>84.866710278264804</v>
      </c>
      <c r="E100" s="2961">
        <f t="shared" si="297"/>
        <v>84.84</v>
      </c>
      <c r="F100" s="3174">
        <f t="shared" si="297"/>
        <v>92.216722066425973</v>
      </c>
      <c r="G100" s="2961">
        <f t="shared" ref="G100:H100" si="298">+G99/G5</f>
        <v>91.000000000000043</v>
      </c>
      <c r="H100" s="3171">
        <f t="shared" si="298"/>
        <v>88.131745535374719</v>
      </c>
      <c r="I100" s="3432">
        <f t="shared" si="297"/>
        <v>88.27815365704501</v>
      </c>
      <c r="J100" s="103">
        <f t="shared" si="297"/>
        <v>90.114664335542699</v>
      </c>
      <c r="K100" s="2961">
        <f t="shared" si="297"/>
        <v>91.000000000000085</v>
      </c>
      <c r="L100" s="3171">
        <f t="shared" si="297"/>
        <v>81.576608215959553</v>
      </c>
      <c r="M100" s="3679">
        <f t="shared" si="297"/>
        <v>89.233609456332786</v>
      </c>
      <c r="N100" s="3679">
        <f t="shared" si="297"/>
        <v>87.159218389431786</v>
      </c>
      <c r="O100" s="2961">
        <f t="shared" ref="O100:P100" si="299">+O99/O5</f>
        <v>91</v>
      </c>
      <c r="P100" s="3171">
        <f t="shared" si="299"/>
        <v>80.471178181990183</v>
      </c>
      <c r="Q100" s="3432">
        <f>+Q99/Q5</f>
        <v>89.696608294968499</v>
      </c>
      <c r="R100" s="3432">
        <f>+R99/R5</f>
        <v>85.386450486374315</v>
      </c>
      <c r="S100" s="2961">
        <f t="shared" ref="S100:T100" si="300">+S99/S5</f>
        <v>91</v>
      </c>
      <c r="T100" s="3171">
        <f t="shared" si="300"/>
        <v>84.07464376194126</v>
      </c>
      <c r="U100" s="3432">
        <f t="shared" ref="U100:X100" si="301">+U99/U5</f>
        <v>89.967296246793964</v>
      </c>
      <c r="V100" s="3432">
        <f t="shared" si="301"/>
        <v>85.125514711606641</v>
      </c>
      <c r="W100" s="2961">
        <f t="shared" si="301"/>
        <v>97.003779527558692</v>
      </c>
      <c r="X100" s="3171">
        <f t="shared" si="301"/>
        <v>84.089716857617688</v>
      </c>
      <c r="Y100" s="3697">
        <f t="shared" ref="Y100:AF100" si="302">+Y99/Y5</f>
        <v>92.247921440261791</v>
      </c>
      <c r="Z100" s="3697">
        <f t="shared" si="302"/>
        <v>82.806570110467305</v>
      </c>
      <c r="AA100" s="3698">
        <f t="shared" si="302"/>
        <v>90.658825861134261</v>
      </c>
      <c r="AB100" s="3698">
        <f t="shared" si="302"/>
        <v>84.960213106634924</v>
      </c>
      <c r="AC100" s="2961">
        <f t="shared" si="302"/>
        <v>91.000000000000043</v>
      </c>
      <c r="AD100" s="3171">
        <f t="shared" si="302"/>
        <v>95.64941043855778</v>
      </c>
      <c r="AE100" s="3432">
        <f t="shared" si="302"/>
        <v>90.713528781424117</v>
      </c>
      <c r="AF100" s="3432">
        <f t="shared" si="302"/>
        <v>86.156924472510838</v>
      </c>
      <c r="AG100" s="2961">
        <f t="shared" ref="AG100:AH100" si="303">+AG99/AG5</f>
        <v>91.000000000000085</v>
      </c>
      <c r="AH100" s="3171">
        <f t="shared" si="303"/>
        <v>87.450174726146173</v>
      </c>
      <c r="AI100" s="3432">
        <f t="shared" ref="AI100:AL100" si="304">+AI99/AI5</f>
        <v>90.752055973410123</v>
      </c>
      <c r="AJ100" s="3432">
        <f t="shared" si="304"/>
        <v>86.319098806601204</v>
      </c>
      <c r="AK100" s="2961">
        <f t="shared" si="304"/>
        <v>91.000000000000043</v>
      </c>
      <c r="AL100" s="3171">
        <f t="shared" si="304"/>
        <v>86.595481407206762</v>
      </c>
      <c r="AM100" s="3697">
        <f t="shared" ref="AM100:BF100" si="305">+AM99/AM5</f>
        <v>91.000000000000043</v>
      </c>
      <c r="AN100" s="3697">
        <f t="shared" si="305"/>
        <v>89.423529082460959</v>
      </c>
      <c r="AO100" s="3432">
        <f t="shared" si="305"/>
        <v>90.782271021935728</v>
      </c>
      <c r="AP100" s="3432">
        <f t="shared" si="305"/>
        <v>86.350473912529623</v>
      </c>
      <c r="AQ100" s="2961">
        <f t="shared" si="305"/>
        <v>91</v>
      </c>
      <c r="AR100" s="3174">
        <f t="shared" si="305"/>
        <v>89.058395856994409</v>
      </c>
      <c r="AS100" s="3432">
        <f t="shared" si="305"/>
        <v>90.806246763423871</v>
      </c>
      <c r="AT100" s="3432">
        <f t="shared" si="305"/>
        <v>86.619837710021486</v>
      </c>
      <c r="AU100" s="2961">
        <f t="shared" ref="AU100:AV100" si="306">+AU99/AU5</f>
        <v>91</v>
      </c>
      <c r="AV100" s="3174">
        <f t="shared" si="306"/>
        <v>92.74538418298954</v>
      </c>
      <c r="AW100" s="3432">
        <f t="shared" ref="AW100:AZ100" si="307">+AW99/AW5</f>
        <v>90.823603845142884</v>
      </c>
      <c r="AX100" s="3432">
        <f t="shared" si="307"/>
        <v>87.07726978635192</v>
      </c>
      <c r="AY100" s="2961">
        <f t="shared" si="307"/>
        <v>91</v>
      </c>
      <c r="AZ100" s="3174">
        <f t="shared" si="307"/>
        <v>87.223470402918252</v>
      </c>
      <c r="BA100" s="3697">
        <f t="shared" si="305"/>
        <v>91.000000000000014</v>
      </c>
      <c r="BB100" s="3697">
        <f t="shared" si="305"/>
        <v>89.424425686570288</v>
      </c>
      <c r="BC100" s="3698">
        <f t="shared" si="305"/>
        <v>91.000000000000028</v>
      </c>
      <c r="BD100" s="3698">
        <f t="shared" si="305"/>
        <v>89.423981266730948</v>
      </c>
      <c r="BE100" s="3432">
        <f t="shared" si="305"/>
        <v>90.839676685933</v>
      </c>
      <c r="BF100" s="103">
        <f t="shared" si="305"/>
        <v>87.090242123510251</v>
      </c>
      <c r="BG100" s="4396"/>
      <c r="BH100" s="4396"/>
      <c r="BI100" s="3604"/>
      <c r="BJ100" s="3604"/>
      <c r="BK100" s="3957"/>
      <c r="BL100" s="3604"/>
      <c r="BM100" s="3957"/>
      <c r="BN100" s="3957"/>
    </row>
    <row r="101" spans="2:66" ht="15" x14ac:dyDescent="0.25">
      <c r="B101" s="9" t="s">
        <v>293</v>
      </c>
      <c r="C101" s="3180" t="s">
        <v>1741</v>
      </c>
      <c r="D101" s="1250">
        <v>4.4999999999999998E-2</v>
      </c>
      <c r="E101" s="2965">
        <f>+$D$101</f>
        <v>4.4999999999999998E-2</v>
      </c>
      <c r="F101" s="2965">
        <v>4.7E-2</v>
      </c>
      <c r="G101" s="2965">
        <f>+$D$101</f>
        <v>4.4999999999999998E-2</v>
      </c>
      <c r="H101" s="2965">
        <v>4.5999999999999999E-2</v>
      </c>
      <c r="I101" s="3445">
        <f>+((E101*E20)+(G101*G20))/I20</f>
        <v>4.4999999999999998E-2</v>
      </c>
      <c r="J101" s="3182">
        <f>+((F101*F20)+(H101*H20))/J20</f>
        <v>4.6485595066556883E-2</v>
      </c>
      <c r="K101" s="2965">
        <f>+$D$101</f>
        <v>4.4999999999999998E-2</v>
      </c>
      <c r="L101" s="2965">
        <v>4.3400000000000001E-2</v>
      </c>
      <c r="M101" s="3701">
        <f>+((E101*E20)+(G101*G20)+(K101*K20))/M20</f>
        <v>4.4999999999999998E-2</v>
      </c>
      <c r="N101" s="3701">
        <f>+((F101*F20)+(H101*H20)+(L101*L20))/N20</f>
        <v>4.541763941330948E-2</v>
      </c>
      <c r="O101" s="2965">
        <f>+$D$101</f>
        <v>4.4999999999999998E-2</v>
      </c>
      <c r="P101" s="2965">
        <v>4.2999999999999997E-2</v>
      </c>
      <c r="Q101" s="3445">
        <f>+((M101*M20)+(O101*O20))/Q20</f>
        <v>4.4999999999999998E-2</v>
      </c>
      <c r="R101" s="3445">
        <f>+((N101*N20)+(P101*P20))/R20</f>
        <v>4.4777129258697757E-2</v>
      </c>
      <c r="S101" s="2965">
        <f>+$D$101</f>
        <v>4.4999999999999998E-2</v>
      </c>
      <c r="T101" s="2965">
        <v>4.4999999999999998E-2</v>
      </c>
      <c r="U101" s="3445">
        <f>+((Q101*Q20)+(S101*S20))/U20</f>
        <v>4.5000000000000005E-2</v>
      </c>
      <c r="V101" s="3445">
        <f>+((R101*R20)+(T101*T20))/V20</f>
        <v>4.482143902868E-2</v>
      </c>
      <c r="W101" s="2965">
        <f>+$D$101</f>
        <v>4.4999999999999998E-2</v>
      </c>
      <c r="X101" s="2965">
        <v>4.5999999999999999E-2</v>
      </c>
      <c r="Y101" s="3701">
        <f>+((O101*O20)+(S101*S20)+(W101*W20))/Y20</f>
        <v>4.4999999999999998E-2</v>
      </c>
      <c r="Z101" s="3701">
        <f>+((P101*P20)+(T101*T20)+(X101*X20))/Z20</f>
        <v>4.4610016908667095E-2</v>
      </c>
      <c r="AA101" s="3702">
        <f>+((Y101*Y20)+(M101*M20))/AA20</f>
        <v>4.4999999999999998E-2</v>
      </c>
      <c r="AB101" s="3702">
        <f>+((Z101*Z20)+(N101*N20))/AB20</f>
        <v>4.5009679236773625E-2</v>
      </c>
      <c r="AC101" s="2965">
        <f>+$D$101</f>
        <v>4.4999999999999998E-2</v>
      </c>
      <c r="AD101" s="2965">
        <v>5.6000000000000001E-2</v>
      </c>
      <c r="AE101" s="3445">
        <f>+((AA101*AA20)+(AC101*AC20))/AE20</f>
        <v>4.4999999999999998E-2</v>
      </c>
      <c r="AF101" s="3445">
        <f>+((AB101*AB20)+(AD101*AD20))/AF20</f>
        <v>4.6241507385806013E-2</v>
      </c>
      <c r="AG101" s="2965">
        <f>+$D$101</f>
        <v>4.4999999999999998E-2</v>
      </c>
      <c r="AH101" s="2965">
        <v>4.5999999999999999E-2</v>
      </c>
      <c r="AI101" s="3445">
        <f>+((AE101*AE20)+(AG101*AG20))/AI20</f>
        <v>4.4999999999999991E-2</v>
      </c>
      <c r="AJ101" s="3445">
        <f>+((AF101*AF20)+(AH101*AH20))/AJ20</f>
        <v>4.6211204312766048E-2</v>
      </c>
      <c r="AK101" s="2965">
        <f>+$D$101</f>
        <v>4.4999999999999998E-2</v>
      </c>
      <c r="AL101" s="2965">
        <v>4.7E-2</v>
      </c>
      <c r="AM101" s="3701">
        <f>+((AC101*AC20)+(AG101*AG20)+(AK101*AK20))/AM20</f>
        <v>4.4999999999999998E-2</v>
      </c>
      <c r="AN101" s="3701">
        <f>+((AD101*AD20)+(AH101*AH20)+(AL101*AL20))/AN20</f>
        <v>4.9151820596968272E-2</v>
      </c>
      <c r="AO101" s="3445">
        <f>+((AK101*AK20)+(AI101*AI20))/AO20</f>
        <v>4.4999999999999991E-2</v>
      </c>
      <c r="AP101" s="3445">
        <f>+((AL101*AL20)+(AJ101*AJ20))/AP20</f>
        <v>4.6300813200709848E-2</v>
      </c>
      <c r="AQ101" s="2965">
        <f>+$D$101</f>
        <v>4.4999999999999998E-2</v>
      </c>
      <c r="AR101" s="2965">
        <v>4.7E-2</v>
      </c>
      <c r="AS101" s="3445">
        <f>+((AO101*AO20)+(AQ101*AQ20))/AS20</f>
        <v>4.4999999999999991E-2</v>
      </c>
      <c r="AT101" s="3445">
        <f>+((AP101*AP20)+(AR101*AR20))/AT20</f>
        <v>4.6370371173142452E-2</v>
      </c>
      <c r="AU101" s="2965">
        <f>+$D$101</f>
        <v>4.4999999999999998E-2</v>
      </c>
      <c r="AV101" s="2965">
        <v>5.1999999999999998E-2</v>
      </c>
      <c r="AW101" s="3445">
        <f>+((AS101*AS20)+(AU101*AU20))/AW20</f>
        <v>4.4999999999999984E-2</v>
      </c>
      <c r="AX101" s="3445">
        <f>+((AT101*AT20)+(AV101*AV20))/AX20</f>
        <v>4.6791116147831817E-2</v>
      </c>
      <c r="AY101" s="2965">
        <f>+$D$101</f>
        <v>4.4999999999999998E-2</v>
      </c>
      <c r="AZ101" s="2965">
        <v>4.3999999999999997E-2</v>
      </c>
      <c r="BA101" s="3701">
        <f>+((AQ101*AQ20)+(AU101*AU20)+(AY101*AY20))/BA20</f>
        <v>4.4999999999999998E-2</v>
      </c>
      <c r="BB101" s="3701">
        <f>+((AR101*AR20)+(AV101*AV20)+(AZ101*AZ20))/BB20</f>
        <v>4.7308737115304367E-2</v>
      </c>
      <c r="BC101" s="3702">
        <f>+((BA101*BA20)+(AM101*AM20))/BC20</f>
        <v>4.4999999999999998E-2</v>
      </c>
      <c r="BD101" s="3702">
        <f>+((BB101*BB20)+(AN101*AN20))/BD20</f>
        <v>4.8222459624158887E-2</v>
      </c>
      <c r="BE101" s="3445">
        <f>+((AW101*AW20)+(AY101*AY20))/BE20</f>
        <v>4.4999999999999984E-2</v>
      </c>
      <c r="BF101" s="3182">
        <f>+((AX101*AX20)+(AZ101*AZ20))/BF20</f>
        <v>4.6543443310415447E-2</v>
      </c>
      <c r="BG101" s="4396"/>
      <c r="BH101" s="4396"/>
      <c r="BI101" s="3604"/>
      <c r="BJ101" s="3604"/>
      <c r="BK101" s="3957"/>
      <c r="BL101" s="3604"/>
      <c r="BM101" s="3957"/>
      <c r="BN101" s="3957"/>
    </row>
    <row r="102" spans="2:66" ht="15" x14ac:dyDescent="0.25">
      <c r="B102" s="9" t="s">
        <v>294</v>
      </c>
      <c r="C102" s="3180" t="s">
        <v>1742</v>
      </c>
      <c r="D102" s="931">
        <v>3.9E-2</v>
      </c>
      <c r="E102" s="2965">
        <v>3.9E-2</v>
      </c>
      <c r="F102" s="2965">
        <v>5.3999999999999999E-2</v>
      </c>
      <c r="G102" s="2965">
        <v>3.8999999999999993E-2</v>
      </c>
      <c r="H102" s="2965">
        <v>0.04</v>
      </c>
      <c r="I102" s="3445">
        <f>+((E102*E5)+(G102*G5))/I5</f>
        <v>3.9E-2</v>
      </c>
      <c r="J102" s="3182">
        <f>+((F102*F5)+(H102*H5))/J5</f>
        <v>4.6795843988657521E-2</v>
      </c>
      <c r="K102" s="2965">
        <v>3.8999999999999993E-2</v>
      </c>
      <c r="L102" s="2965">
        <v>3.7999999999999999E-2</v>
      </c>
      <c r="M102" s="3701">
        <f>+((E102*E5)+(G102*G5)+(K102*K5))/M5</f>
        <v>3.8999999999999993E-2</v>
      </c>
      <c r="N102" s="3701">
        <f>+((F102*F5)+(H102*H5)+(L102*L5))/N5</f>
        <v>4.375116483747727E-2</v>
      </c>
      <c r="O102" s="2965">
        <v>3.9E-2</v>
      </c>
      <c r="P102" s="2965">
        <v>3.6999999999999998E-2</v>
      </c>
      <c r="Q102" s="3445">
        <f>+((M102*M5)+(O102*O5))/Q5</f>
        <v>3.8999999999999993E-2</v>
      </c>
      <c r="R102" s="3445">
        <f>+((N102*N5)+(P102*P5))/R5</f>
        <v>4.1961664780522878E-2</v>
      </c>
      <c r="S102" s="2965">
        <v>3.9E-2</v>
      </c>
      <c r="T102" s="2965">
        <v>3.9E-2</v>
      </c>
      <c r="U102" s="3445">
        <f>+((Q102*Q5)+(S102*S5))/U5</f>
        <v>3.8999999999999993E-2</v>
      </c>
      <c r="V102" s="3445">
        <f>+((R102*R5)+(T102*T5))/V5</f>
        <v>4.1372550332705232E-2</v>
      </c>
      <c r="W102" s="2965">
        <v>3.9E-2</v>
      </c>
      <c r="X102" s="2965">
        <v>0.04</v>
      </c>
      <c r="Y102" s="3701">
        <f>+((O102*O5)+(S102*S5)+(W102*W5))/Y5</f>
        <v>3.9E-2</v>
      </c>
      <c r="Z102" s="3701">
        <f>+((P102*P5)+(T102*T5)+(X102*X5))/Z5</f>
        <v>3.8609434768865296E-2</v>
      </c>
      <c r="AA102" s="3702">
        <f>+((Y102*Y5)+(M102*M5))/AA5</f>
        <v>3.8999999999999993E-2</v>
      </c>
      <c r="AB102" s="3702">
        <f>+((Z102*Z5)+(N102*N5))/AB5</f>
        <v>4.1153506846539588E-2</v>
      </c>
      <c r="AC102" s="2965">
        <v>3.9000000000000007E-2</v>
      </c>
      <c r="AD102" s="2965">
        <v>4.5999999999999999E-2</v>
      </c>
      <c r="AE102" s="3445">
        <f>+((AA102*AA5)+(AC102*AC5))/AE5</f>
        <v>3.9E-2</v>
      </c>
      <c r="AF102" s="3445">
        <f>+((AB102*AB5)+(AD102*AD5))/AF5</f>
        <v>4.1696097020646007E-2</v>
      </c>
      <c r="AG102" s="2965">
        <v>3.7092537633619263E-2</v>
      </c>
      <c r="AH102" s="2965">
        <v>0.04</v>
      </c>
      <c r="AI102" s="3445">
        <f>+((AE102*AE5)+(AG102*AG5))/AI5</f>
        <v>3.8743467531709021E-2</v>
      </c>
      <c r="AJ102" s="3445">
        <f>+((AF102*AF5)+(AH102*AH5))/AJ5</f>
        <v>4.1483405467636278E-2</v>
      </c>
      <c r="AK102" s="2965">
        <v>3.6700560751509244E-2</v>
      </c>
      <c r="AL102" s="2965">
        <v>0.04</v>
      </c>
      <c r="AM102" s="3701">
        <f>+((AC102*AC5)+(AG102*AG5)+(AK102*AK5))/AM5</f>
        <v>3.7602952671932727E-2</v>
      </c>
      <c r="AN102" s="3701">
        <f>+((AD102*AD5)+(AH102*AH5)+(AL102*AL5))/AN5</f>
        <v>4.1671994252551831E-2</v>
      </c>
      <c r="AO102" s="3445">
        <f>+((AK102*AK5)+(AI102*AI5))/AO5</f>
        <v>3.8494514054805494E-2</v>
      </c>
      <c r="AP102" s="3445">
        <f>+((AL102*AL5)+(AJ102*AJ5))/AP5</f>
        <v>4.1315008457188038E-2</v>
      </c>
      <c r="AQ102" s="2965">
        <f>+$D$102</f>
        <v>3.9E-2</v>
      </c>
      <c r="AR102" s="2965">
        <v>3.9E-2</v>
      </c>
      <c r="AS102" s="3445">
        <f>+((AO102*AO5)+(AQ102*AQ5))/AS5</f>
        <v>3.8550176835458867E-2</v>
      </c>
      <c r="AT102" s="3445">
        <f>+((AP102*AP5)+(AR102*AR5))/AT5</f>
        <v>4.1084728751183727E-2</v>
      </c>
      <c r="AU102" s="2965">
        <f>+$D$102</f>
        <v>3.9E-2</v>
      </c>
      <c r="AV102" s="2965">
        <v>4.2999999999999997E-2</v>
      </c>
      <c r="AW102" s="3445">
        <f>+((AS102*AS5)+(AU102*AU5))/AW5</f>
        <v>3.859047354256951E-2</v>
      </c>
      <c r="AX102" s="3445">
        <f>+((AT102*AT5)+(AV102*AV5))/AX5</f>
        <v>4.1227753787063906E-2</v>
      </c>
      <c r="AY102" s="2965">
        <f>+$D$102</f>
        <v>3.9E-2</v>
      </c>
      <c r="AZ102" s="2965">
        <v>4.5999999999999999E-2</v>
      </c>
      <c r="BA102" s="3701">
        <f>+((AQ102*AQ5)+(AU102*AU5)+(AY102*AY5))/BA5</f>
        <v>3.9E-2</v>
      </c>
      <c r="BB102" s="3701">
        <f>+((AR102*AR5)+(AV102*AV5)+(AZ102*AZ5))/BB5</f>
        <v>4.2711956081509642E-2</v>
      </c>
      <c r="BC102" s="3702">
        <f>+((BA102*BA5)+(AM102*AM5))/BC5</f>
        <v>3.8297825356407841E-2</v>
      </c>
      <c r="BD102" s="3702">
        <f>+((BB102*BB5)+(AN102*AN5))/BD5</f>
        <v>4.2196478108420803E-2</v>
      </c>
      <c r="BE102" s="3445">
        <f>+((AW102*AW5)+(AY102*AY5))/BE5</f>
        <v>3.8627788718486766E-2</v>
      </c>
      <c r="BF102" s="3182">
        <f>+((AX102*AX5)+(AZ102*AZ5))/BF5</f>
        <v>4.1651193772001743E-2</v>
      </c>
      <c r="BG102" s="4396"/>
      <c r="BH102" s="4396"/>
      <c r="BI102" s="3604"/>
      <c r="BJ102" s="3604"/>
      <c r="BK102" s="3957"/>
      <c r="BL102" s="3604"/>
      <c r="BM102" s="3957"/>
      <c r="BN102" s="3957"/>
    </row>
    <row r="103" spans="2:66" ht="15" x14ac:dyDescent="0.25">
      <c r="B103" s="3447" t="s">
        <v>554</v>
      </c>
      <c r="C103" s="3180" t="s">
        <v>596</v>
      </c>
      <c r="D103" s="931">
        <v>5.9950375157009191E-2</v>
      </c>
      <c r="E103" s="2965">
        <v>5.0126857607557432E-2</v>
      </c>
      <c r="F103" s="2965">
        <f>11.9/(F2*24)</f>
        <v>1.6527777777777777E-2</v>
      </c>
      <c r="G103" s="2965">
        <v>6.041666666666666E-2</v>
      </c>
      <c r="H103" s="4698">
        <f>40.9605/(H2*24)</f>
        <v>5.505443548387097E-2</v>
      </c>
      <c r="I103" s="3445">
        <f>+((E103*E2)+(G103*G2))/I2</f>
        <v>5.5356104834317861E-2</v>
      </c>
      <c r="J103" s="3182">
        <f>+((F103*F2)+(H103*H2))/J2</f>
        <v>3.6106898907103821E-2</v>
      </c>
      <c r="K103" s="2965">
        <v>6.041666666666666E-2</v>
      </c>
      <c r="L103" s="4698">
        <f>38.225/(L2*24)</f>
        <v>5.3090277777777778E-2</v>
      </c>
      <c r="M103" s="3701">
        <f>+((E103*E2)+(G103*G2)+(K103*K2))/M2</f>
        <v>5.7024421921905377E-2</v>
      </c>
      <c r="N103" s="3701">
        <f>+((F103*F2)+(H103*H2)+(L103*L2))/N2</f>
        <v>4.1705815018315016E-2</v>
      </c>
      <c r="O103" s="2965">
        <v>6.041666666666666E-2</v>
      </c>
      <c r="P103" s="2965">
        <f>40.7/(P2*24)</f>
        <v>5.4704301075268823E-2</v>
      </c>
      <c r="Q103" s="3445">
        <f>+((M103*M2)+(O103*O2))/Q2</f>
        <v>5.7886385750492264E-2</v>
      </c>
      <c r="R103" s="3445">
        <f>+((N103*N2)+(P103*P2))/R2</f>
        <v>4.5008709016393443E-2</v>
      </c>
      <c r="S103" s="2965">
        <v>6.041666666666666E-2</v>
      </c>
      <c r="T103" s="3181">
        <f>37.4965/(T2*24)</f>
        <v>5.039852150537634E-2</v>
      </c>
      <c r="U103" s="3445">
        <f>+((Q103*Q2)+(S103*S2))/U2</f>
        <v>5.8399057047233478E-2</v>
      </c>
      <c r="V103" s="3445">
        <f>+((R103*R2)+(T103*T2))/V2</f>
        <v>4.6100762527233115E-2</v>
      </c>
      <c r="W103" s="2965">
        <v>6.0416666666666667E-2</v>
      </c>
      <c r="X103" s="3181">
        <f>35.7/(X2*24)</f>
        <v>4.958333333333334E-2</v>
      </c>
      <c r="Y103" s="3701">
        <f>+((O103*O2)+(S103*S2)+(W103*W2))/Y2</f>
        <v>6.0416666666666667E-2</v>
      </c>
      <c r="Z103" s="3701">
        <f>+((P103*P2)+(T103*T2)+(X103*X2))/Z2</f>
        <v>5.1583559782608701E-2</v>
      </c>
      <c r="AA103" s="3702">
        <f>+((Y103*Y2)+(M103*M2))/AA2</f>
        <v>5.8729812722550394E-2</v>
      </c>
      <c r="AB103" s="3702">
        <f>+((Z103*Z2)+(N103*N2))/AB2</f>
        <v>4.6671675774134794E-2</v>
      </c>
      <c r="AC103" s="2965">
        <v>6.041666666666666E-2</v>
      </c>
      <c r="AD103" s="2965">
        <f>32.6/(AD2*24)</f>
        <v>4.3817204301075267E-2</v>
      </c>
      <c r="AE103" s="3445">
        <f>+((AA103*AA2)+(AC103*AC2))/AE2</f>
        <v>5.8974170069595273E-2</v>
      </c>
      <c r="AF103" s="3445">
        <f>+((AB103*AB2)+(AD103*AD2))/AF2</f>
        <v>4.625817757009347E-2</v>
      </c>
      <c r="AG103" s="2965">
        <v>6.0416666666666667E-2</v>
      </c>
      <c r="AH103" s="2965">
        <f>35.1/(AH2*24)</f>
        <v>4.8750000000000002E-2</v>
      </c>
      <c r="AI103" s="3445">
        <f>+((AE103*AE2)+(AG103*AG2))/AI2</f>
        <v>5.9151526208579462E-2</v>
      </c>
      <c r="AJ103" s="3445">
        <f>+((AF103*AF2)+(AH103*AH2))/AJ2</f>
        <v>4.6564549180327881E-2</v>
      </c>
      <c r="AK103" s="2965">
        <v>6.041666666666666E-2</v>
      </c>
      <c r="AL103" s="2965">
        <f>40.5/(AL2*24)</f>
        <v>5.4435483870967742E-2</v>
      </c>
      <c r="AM103" s="3701">
        <f>+((AC103*AC2)+(AG103*AG2)+(AK103*AK2))/AM2</f>
        <v>6.0416666666666667E-2</v>
      </c>
      <c r="AN103" s="3701">
        <f>+((AD103*AD2)+(AH103*AH2)+(AL103*AL2))/AN2</f>
        <v>4.9003623188405801E-2</v>
      </c>
      <c r="AO103" s="3445">
        <f>+((AK103*AK2)+(AI103*AI2))/AO2</f>
        <v>5.9294142042036563E-2</v>
      </c>
      <c r="AP103" s="3445">
        <f>+((AL103*AL2)+(AJ103*AJ2))/AP2</f>
        <v>4.7451818181818192E-2</v>
      </c>
      <c r="AQ103" s="2965">
        <v>6.041666666666666E-2</v>
      </c>
      <c r="AR103" s="2965">
        <f>24/(AR2*24)</f>
        <v>3.2258064516129031E-2</v>
      </c>
      <c r="AS103" s="3445">
        <f>+((AO103*AO2)+(AQ103*AQ2))/AS2</f>
        <v>5.9407861856950066E-2</v>
      </c>
      <c r="AT103" s="3445">
        <f>+((AP103*AP2)+(AR103*AR2))/AT2</f>
        <v>4.5912581699346415E-2</v>
      </c>
      <c r="AU103" s="2965">
        <v>6.0416666666666667E-2</v>
      </c>
      <c r="AV103" s="2965">
        <f>26.8/(AV2*24)</f>
        <v>3.9880952380952385E-2</v>
      </c>
      <c r="AW103" s="3445">
        <f>+((AS103*AS2)+(AU103*AU2))/AW2</f>
        <v>5.9492432320040083E-2</v>
      </c>
      <c r="AX103" s="3445">
        <f>+((AT103*AT2)+(AV103*AV2))/AX2</f>
        <v>4.5406936127744518E-2</v>
      </c>
      <c r="AY103" s="2965">
        <v>6.041666666666666E-2</v>
      </c>
      <c r="AZ103" s="2965">
        <f>15.7/(AZ2*24)</f>
        <v>2.1102150537634409E-2</v>
      </c>
      <c r="BA103" s="3701">
        <f>+((AQ103*AQ2)+(AU103*AU2)+(AY103*AY2))/BA2</f>
        <v>6.0416666666666667E-2</v>
      </c>
      <c r="BB103" s="3701">
        <f>+((AR103*AR2)+(AV103*AV2)+(AZ103*AZ2))/BB2</f>
        <v>3.078703703703704E-2</v>
      </c>
      <c r="BC103" s="3702">
        <f>+((BA103*BA2)+(AM103*AM2))/BC2</f>
        <v>6.0416666666666667E-2</v>
      </c>
      <c r="BD103" s="3702">
        <f>+((BB103*BB2)+(AN103*AN2))/BD2</f>
        <v>3.9995421245421249E-2</v>
      </c>
      <c r="BE103" s="3445">
        <f>+((AW103*AW2)+(AY103*AY2))/BE2</f>
        <v>5.9570928935780962E-2</v>
      </c>
      <c r="BF103" s="3182">
        <f>+((AX103*AX2)+(AZ103*AZ2))/BF2</f>
        <v>4.3342694063926948E-2</v>
      </c>
      <c r="BG103" s="4396"/>
      <c r="BH103" s="4396"/>
      <c r="BI103" s="3604"/>
      <c r="BJ103" s="3604"/>
      <c r="BK103" s="3957"/>
      <c r="BL103" s="3604"/>
      <c r="BM103" s="3957"/>
      <c r="BN103" s="3957"/>
    </row>
    <row r="104" spans="2:66" ht="15" x14ac:dyDescent="0.25">
      <c r="B104" s="3447" t="s">
        <v>520</v>
      </c>
      <c r="C104" s="3180" t="s">
        <v>269</v>
      </c>
      <c r="D104" s="1267">
        <v>7</v>
      </c>
      <c r="E104" s="2961">
        <v>7</v>
      </c>
      <c r="F104" s="3172">
        <v>6.8</v>
      </c>
      <c r="G104" s="2961">
        <v>9</v>
      </c>
      <c r="H104" s="3172">
        <v>7.5</v>
      </c>
      <c r="I104" s="3250">
        <f>+((E5*E104)+(G5*G104))/I5</f>
        <v>8.1162836548847306</v>
      </c>
      <c r="J104" s="3183">
        <f>+((F5*F104)+(H5*H104))/J5</f>
        <v>7.1602078005671235</v>
      </c>
      <c r="K104" s="2961">
        <v>9</v>
      </c>
      <c r="L104" s="3172">
        <v>6.4</v>
      </c>
      <c r="M104" s="3697">
        <f>+((E5*E104)+(G5*G104)+(K5*K104))/M5</f>
        <v>8.4264965767314077</v>
      </c>
      <c r="N104" s="3697">
        <f>+((F5*F104)+(H5*H104)+(L5*L104))/N5</f>
        <v>6.8970620644744827</v>
      </c>
      <c r="O104" s="2961">
        <v>9</v>
      </c>
      <c r="P104" s="3172">
        <v>6.46</v>
      </c>
      <c r="Q104" s="3445">
        <f>+((M5*M104)+(O5*O104))/Q5</f>
        <v>8.5768208749897639</v>
      </c>
      <c r="R104" s="3445">
        <f>+((N5*N104)+(P5*P104))/R5</f>
        <v>6.7812120433154748</v>
      </c>
      <c r="S104" s="2961">
        <v>9</v>
      </c>
      <c r="T104" s="3172">
        <v>7.3</v>
      </c>
      <c r="U104" s="3445">
        <f>+((Q5*Q104)+(S5*S104))/U5</f>
        <v>8.6647065736343958</v>
      </c>
      <c r="V104" s="3445">
        <f>+((R5*R104)+(T5*T104))/V5</f>
        <v>6.8844058560138484</v>
      </c>
      <c r="W104" s="2961">
        <v>9</v>
      </c>
      <c r="X104" s="3172">
        <v>6.6</v>
      </c>
      <c r="Y104" s="3697">
        <f>+((O5*O104)+(S5*S104)+(W5*W104))/Y5</f>
        <v>9</v>
      </c>
      <c r="Z104" s="3703">
        <f>+((P5*P104)+(T5*T104)+(X5*X104))/Z5</f>
        <v>6.7821711080568869</v>
      </c>
      <c r="AA104" s="3698">
        <f>+((Y104*Y5)+(M104*M5))/AA5</f>
        <v>8.6976584509534671</v>
      </c>
      <c r="AB104" s="3698">
        <f>+((Z104*Z5)+(N104*N5))/AB5</f>
        <v>6.839017902870876</v>
      </c>
      <c r="AC104" s="2961">
        <v>9</v>
      </c>
      <c r="AD104" s="3172">
        <v>6.4</v>
      </c>
      <c r="AE104" s="3445">
        <f>+((AA5*AA104)+(AC5*AC104))/AE5</f>
        <v>8.7461350609121897</v>
      </c>
      <c r="AF104" s="3250">
        <f>+((AB5*AB104)+(AD5*AD104))/AF5</f>
        <v>6.789867559970987</v>
      </c>
      <c r="AG104" s="2961">
        <v>9</v>
      </c>
      <c r="AH104" s="3172">
        <v>6.85</v>
      </c>
      <c r="AI104" s="3445">
        <f>+((AE5*AE104)+(AG5*AG104))/AI5</f>
        <v>8.7802770710428035</v>
      </c>
      <c r="AJ104" s="3250">
        <f>+((AF5*AF104)+(AH5*AH104))/AJ5</f>
        <v>6.7974082029297032</v>
      </c>
      <c r="AK104" s="2961">
        <v>9</v>
      </c>
      <c r="AL104" s="3172">
        <v>6.3</v>
      </c>
      <c r="AM104" s="3697">
        <f>+((AC5*AC104)+(AG5*AG104)+(AK5*AK104))/AM5</f>
        <v>8.9999999999999982</v>
      </c>
      <c r="AN104" s="3703">
        <f>+((AD5*AD104)+(AH5*AH104)+(AL5*AL104))/AN5</f>
        <v>6.5241538997431059</v>
      </c>
      <c r="AO104" s="3445">
        <f>+((AK5*AK104)+(AI5*AI104))/AO5</f>
        <v>8.8070530295199525</v>
      </c>
      <c r="AP104" s="3445">
        <f>+((AL5*AL104)+(AJ5*AJ104))/AP5</f>
        <v>6.7409421481838843</v>
      </c>
      <c r="AQ104" s="2961">
        <f>+$D$104</f>
        <v>7</v>
      </c>
      <c r="AR104" s="3172">
        <v>6.53</v>
      </c>
      <c r="AS104" s="3445">
        <f>+((AO5*AO104)+(AQ5*AQ104))/AS5</f>
        <v>8.6080651103356196</v>
      </c>
      <c r="AT104" s="3250">
        <f>+((AP5*AP104)+(AR5*AR104))/AT5</f>
        <v>6.7199592028659625</v>
      </c>
      <c r="AU104" s="2961">
        <f>+$D$104</f>
        <v>7</v>
      </c>
      <c r="AV104" s="2961">
        <v>6.75</v>
      </c>
      <c r="AW104" s="3445">
        <f>+((AS5*AS104)+(AU5*AU104))/AW5</f>
        <v>8.4640091037221108</v>
      </c>
      <c r="AX104" s="3445">
        <f>+((AT5*AT104)+(AV5*AV104))/AX5</f>
        <v>6.7222025331987396</v>
      </c>
      <c r="AY104" s="2961">
        <f>+$D$104</f>
        <v>7</v>
      </c>
      <c r="AZ104" s="2961">
        <v>5.3</v>
      </c>
      <c r="BA104" s="3697">
        <f>+((AQ5*AQ104)+(AU5*AU104)+(AY5*AY104))/BA5</f>
        <v>6.9999999999999991</v>
      </c>
      <c r="BB104" s="3703">
        <f>+((AR5*AR104)+(AV5*AV104)+(AZ5*AZ104))/BB5</f>
        <v>6.138710826635366</v>
      </c>
      <c r="BC104" s="3698">
        <f>+((BA104*BA5)+(AM104*AM5))/BC5</f>
        <v>8.0052267084803326</v>
      </c>
      <c r="BD104" s="3698">
        <f>+((BB104*BB5)+(AN104*AN5))/BD5</f>
        <v>6.3297634292735072</v>
      </c>
      <c r="BE104" s="3445">
        <f>+((AW5*AW104)+(AY5*AY104))/BE5</f>
        <v>8.3306117217980677</v>
      </c>
      <c r="BF104" s="3182">
        <f>+((AX5*AX104)+(AZ5*AZ104))/BF5</f>
        <v>6.5960109260675308</v>
      </c>
      <c r="BG104" s="4396"/>
      <c r="BH104" s="4396"/>
      <c r="BI104" s="3604"/>
      <c r="BJ104" s="3604"/>
      <c r="BK104" s="3957"/>
      <c r="BL104" s="3604"/>
      <c r="BM104" s="3957"/>
      <c r="BN104" s="3957"/>
    </row>
    <row r="105" spans="2:66" ht="15" x14ac:dyDescent="0.25">
      <c r="B105" s="3704" t="s">
        <v>1438</v>
      </c>
      <c r="C105" s="3686" t="s">
        <v>647</v>
      </c>
      <c r="D105" s="3705"/>
      <c r="E105" s="3650"/>
      <c r="F105" s="3650">
        <v>0</v>
      </c>
      <c r="G105" s="5595"/>
      <c r="H105" s="5595">
        <v>15</v>
      </c>
      <c r="I105" s="3648"/>
      <c r="J105" s="1959">
        <f t="shared" ref="J105:J108" si="308">+F105+H105</f>
        <v>15</v>
      </c>
      <c r="K105" s="5710"/>
      <c r="L105" s="5710">
        <v>9</v>
      </c>
      <c r="M105" s="3649"/>
      <c r="N105" s="3649">
        <f t="shared" ref="N105:N108" si="309">+L105+H105+F105</f>
        <v>24</v>
      </c>
      <c r="O105" s="5847"/>
      <c r="P105" s="5847">
        <v>11</v>
      </c>
      <c r="Q105" s="4278"/>
      <c r="R105" s="3648">
        <f>+N105+P105</f>
        <v>35</v>
      </c>
      <c r="S105" s="5915"/>
      <c r="T105" s="5915">
        <v>2</v>
      </c>
      <c r="U105" s="4347"/>
      <c r="V105" s="4345">
        <f>+R105+T105</f>
        <v>37</v>
      </c>
      <c r="W105" s="6027"/>
      <c r="X105" s="6027">
        <v>9</v>
      </c>
      <c r="Y105" s="4491"/>
      <c r="Z105" s="3649">
        <f>+X105+T105+P105</f>
        <v>22</v>
      </c>
      <c r="AA105" s="2925"/>
      <c r="AB105" s="2912">
        <f>Z105+N105</f>
        <v>46</v>
      </c>
      <c r="AC105" s="6146"/>
      <c r="AD105" s="6146">
        <v>8</v>
      </c>
      <c r="AE105" s="2884"/>
      <c r="AF105" s="3648">
        <f>+AB105+AD105</f>
        <v>54</v>
      </c>
      <c r="AG105" s="6308"/>
      <c r="AH105" s="6308">
        <v>9</v>
      </c>
      <c r="AI105" s="4647"/>
      <c r="AJ105" s="4645">
        <f>+AF105+AH105</f>
        <v>63</v>
      </c>
      <c r="AK105" s="6570"/>
      <c r="AL105" s="6570">
        <v>10</v>
      </c>
      <c r="AM105" s="2885"/>
      <c r="AN105" s="3649">
        <f>+AL105+AH105+AD105</f>
        <v>27</v>
      </c>
      <c r="AO105" s="2884"/>
      <c r="AP105" s="3648">
        <f>+AL105+AJ105</f>
        <v>73</v>
      </c>
      <c r="AQ105" s="4970"/>
      <c r="AR105" s="6705">
        <v>14</v>
      </c>
      <c r="AS105" s="2884"/>
      <c r="AT105" s="3648">
        <f>+AP105+AR105</f>
        <v>87</v>
      </c>
      <c r="AU105" s="6844"/>
      <c r="AV105" s="6844">
        <v>0</v>
      </c>
      <c r="AW105" s="5075"/>
      <c r="AX105" s="5038">
        <f>+AT105+AV105</f>
        <v>87</v>
      </c>
      <c r="AY105" s="6997"/>
      <c r="AZ105" s="6997">
        <v>19</v>
      </c>
      <c r="BA105" s="2885"/>
      <c r="BB105" s="3649">
        <f>+AZ105+AV105+AR105</f>
        <v>33</v>
      </c>
      <c r="BC105" s="2925"/>
      <c r="BD105" s="2912">
        <f>BB105+AN105</f>
        <v>60</v>
      </c>
      <c r="BE105" s="2884"/>
      <c r="BF105" s="1959">
        <f>+AX105+AZ105</f>
        <v>106</v>
      </c>
      <c r="BG105" s="4396"/>
      <c r="BH105" s="4396"/>
      <c r="BI105" s="3604"/>
      <c r="BJ105" s="3604"/>
      <c r="BK105" s="3957"/>
      <c r="BL105" s="3604"/>
      <c r="BM105" s="3957"/>
      <c r="BN105" s="3957"/>
    </row>
    <row r="106" spans="2:66" ht="15" x14ac:dyDescent="0.25">
      <c r="B106" s="3704" t="s">
        <v>1439</v>
      </c>
      <c r="C106" s="3686" t="s">
        <v>647</v>
      </c>
      <c r="D106" s="3705"/>
      <c r="E106" s="3650"/>
      <c r="F106" s="3650">
        <v>416</v>
      </c>
      <c r="G106" s="5595"/>
      <c r="H106" s="5595">
        <v>556</v>
      </c>
      <c r="I106" s="3648"/>
      <c r="J106" s="1959">
        <f t="shared" si="308"/>
        <v>972</v>
      </c>
      <c r="K106" s="5710"/>
      <c r="L106" s="5710">
        <v>541</v>
      </c>
      <c r="M106" s="3649"/>
      <c r="N106" s="3649">
        <f t="shared" si="309"/>
        <v>1513</v>
      </c>
      <c r="O106" s="5847"/>
      <c r="P106" s="5847">
        <v>403</v>
      </c>
      <c r="Q106" s="2884"/>
      <c r="R106" s="3648">
        <f t="shared" ref="R106:R108" si="310">+N106+P106</f>
        <v>1916</v>
      </c>
      <c r="S106" s="5915"/>
      <c r="T106" s="5915">
        <v>481</v>
      </c>
      <c r="U106" s="4347"/>
      <c r="V106" s="4345">
        <f t="shared" ref="V106:V108" si="311">+R106+T106</f>
        <v>2397</v>
      </c>
      <c r="W106" s="6027"/>
      <c r="X106" s="6027">
        <v>476</v>
      </c>
      <c r="Y106" s="2885"/>
      <c r="Z106" s="3649">
        <f t="shared" ref="Z106:Z108" si="312">+X106+T106+P106</f>
        <v>1360</v>
      </c>
      <c r="AA106" s="2925"/>
      <c r="AB106" s="2912">
        <f t="shared" ref="AB106:AB108" si="313">Z106+N106</f>
        <v>2873</v>
      </c>
      <c r="AC106" s="6146"/>
      <c r="AD106" s="6146">
        <v>409</v>
      </c>
      <c r="AE106" s="2884"/>
      <c r="AF106" s="3648">
        <f t="shared" ref="AF106:AF108" si="314">+AB106+AD106</f>
        <v>3282</v>
      </c>
      <c r="AG106" s="6308"/>
      <c r="AH106" s="6308">
        <v>389</v>
      </c>
      <c r="AI106" s="4647"/>
      <c r="AJ106" s="4645">
        <f t="shared" ref="AJ106:AJ108" si="315">+AF106+AH106</f>
        <v>3671</v>
      </c>
      <c r="AK106" s="6570"/>
      <c r="AL106" s="6570">
        <v>439</v>
      </c>
      <c r="AM106" s="2885"/>
      <c r="AN106" s="3649">
        <f t="shared" ref="AN106:AN108" si="316">+AL106+AH106+AD106</f>
        <v>1237</v>
      </c>
      <c r="AO106" s="2884"/>
      <c r="AP106" s="3648">
        <f t="shared" ref="AP106:AP108" si="317">+AL106+AJ106</f>
        <v>4110</v>
      </c>
      <c r="AQ106" s="4970"/>
      <c r="AR106" s="6705">
        <v>423</v>
      </c>
      <c r="AS106" s="2884"/>
      <c r="AT106" s="3648">
        <f t="shared" ref="AT106:AT108" si="318">+AP106+AR106</f>
        <v>4533</v>
      </c>
      <c r="AU106" s="6844"/>
      <c r="AV106" s="6844">
        <v>375</v>
      </c>
      <c r="AW106" s="5040"/>
      <c r="AX106" s="5038">
        <f t="shared" ref="AX106:AX108" si="319">+AT106+AV106</f>
        <v>4908</v>
      </c>
      <c r="AY106" s="6997"/>
      <c r="AZ106" s="6997">
        <v>438</v>
      </c>
      <c r="BA106" s="2885"/>
      <c r="BB106" s="3649">
        <f t="shared" ref="BB106:BB108" si="320">+AZ106+AV106+AR106</f>
        <v>1236</v>
      </c>
      <c r="BC106" s="2925"/>
      <c r="BD106" s="2912">
        <f t="shared" ref="BD106:BD108" si="321">BB106+AN106</f>
        <v>2473</v>
      </c>
      <c r="BE106" s="2884"/>
      <c r="BF106" s="1959">
        <f t="shared" ref="BF106:BF108" si="322">+AX106+AZ106</f>
        <v>5346</v>
      </c>
      <c r="BG106" s="4396"/>
      <c r="BH106" s="4396"/>
      <c r="BI106" s="3604"/>
      <c r="BJ106" s="3604"/>
      <c r="BK106" s="3957"/>
      <c r="BL106" s="3604"/>
      <c r="BM106" s="3957"/>
      <c r="BN106" s="3957"/>
    </row>
    <row r="107" spans="2:66" ht="15" x14ac:dyDescent="0.25">
      <c r="B107" s="3704" t="s">
        <v>1440</v>
      </c>
      <c r="C107" s="3686" t="s">
        <v>647</v>
      </c>
      <c r="D107" s="3705"/>
      <c r="E107" s="3650"/>
      <c r="F107" s="5457">
        <v>189</v>
      </c>
      <c r="G107" s="5595"/>
      <c r="H107" s="5595">
        <v>200</v>
      </c>
      <c r="I107" s="3648"/>
      <c r="J107" s="1959">
        <f t="shared" si="308"/>
        <v>389</v>
      </c>
      <c r="K107" s="5710"/>
      <c r="L107" s="5762">
        <v>140</v>
      </c>
      <c r="M107" s="3649"/>
      <c r="N107" s="3649">
        <f t="shared" si="309"/>
        <v>529</v>
      </c>
      <c r="O107" s="5847"/>
      <c r="P107" s="5847">
        <v>134</v>
      </c>
      <c r="Q107" s="2884"/>
      <c r="R107" s="3648">
        <f t="shared" si="310"/>
        <v>663</v>
      </c>
      <c r="S107" s="5915"/>
      <c r="T107" s="5915">
        <v>142</v>
      </c>
      <c r="U107" s="4370"/>
      <c r="V107" s="4345">
        <f t="shared" si="311"/>
        <v>805</v>
      </c>
      <c r="W107" s="6027"/>
      <c r="X107" s="6078">
        <v>121</v>
      </c>
      <c r="Y107" s="2885"/>
      <c r="Z107" s="3649">
        <f t="shared" si="312"/>
        <v>397</v>
      </c>
      <c r="AA107" s="2925"/>
      <c r="AB107" s="2912">
        <f t="shared" si="313"/>
        <v>926</v>
      </c>
      <c r="AC107" s="6146"/>
      <c r="AD107" s="6146">
        <v>113</v>
      </c>
      <c r="AE107" s="2884"/>
      <c r="AF107" s="3648">
        <f t="shared" si="314"/>
        <v>1039</v>
      </c>
      <c r="AG107" s="6308"/>
      <c r="AH107" s="6308">
        <v>101</v>
      </c>
      <c r="AI107" s="4647"/>
      <c r="AJ107" s="4645">
        <f t="shared" si="315"/>
        <v>1140</v>
      </c>
      <c r="AK107" s="6570"/>
      <c r="AL107" s="6570">
        <v>193</v>
      </c>
      <c r="AM107" s="2885"/>
      <c r="AN107" s="3649">
        <f t="shared" si="316"/>
        <v>407</v>
      </c>
      <c r="AO107" s="2884"/>
      <c r="AP107" s="3648">
        <f t="shared" si="317"/>
        <v>1333</v>
      </c>
      <c r="AQ107" s="4970"/>
      <c r="AR107" s="6705">
        <v>222</v>
      </c>
      <c r="AS107" s="2884"/>
      <c r="AT107" s="3648">
        <f t="shared" si="318"/>
        <v>1555</v>
      </c>
      <c r="AU107" s="6844"/>
      <c r="AV107" s="6844">
        <v>164</v>
      </c>
      <c r="AW107" s="5040"/>
      <c r="AX107" s="5038">
        <f t="shared" si="319"/>
        <v>1719</v>
      </c>
      <c r="AY107" s="6997"/>
      <c r="AZ107" s="6997">
        <v>232</v>
      </c>
      <c r="BA107" s="2885"/>
      <c r="BB107" s="3649">
        <f t="shared" si="320"/>
        <v>618</v>
      </c>
      <c r="BC107" s="2925"/>
      <c r="BD107" s="2912">
        <f t="shared" si="321"/>
        <v>1025</v>
      </c>
      <c r="BE107" s="2884"/>
      <c r="BF107" s="1959">
        <f t="shared" si="322"/>
        <v>1951</v>
      </c>
      <c r="BG107" s="4396"/>
      <c r="BH107" s="4396"/>
      <c r="BI107" s="3604"/>
      <c r="BJ107" s="3604"/>
      <c r="BK107" s="3957"/>
      <c r="BL107" s="3604"/>
      <c r="BM107" s="3957"/>
      <c r="BN107" s="3957"/>
    </row>
    <row r="108" spans="2:66" ht="21" customHeight="1" x14ac:dyDescent="0.25">
      <c r="B108" s="3706" t="s">
        <v>1441</v>
      </c>
      <c r="C108" s="3665" t="s">
        <v>50</v>
      </c>
      <c r="D108" s="1911"/>
      <c r="E108" s="3707"/>
      <c r="F108" s="3707">
        <v>29810.769999999997</v>
      </c>
      <c r="G108" s="3707"/>
      <c r="H108" s="3707">
        <v>31301.989999999998</v>
      </c>
      <c r="I108" s="3708"/>
      <c r="J108" s="1959">
        <f t="shared" si="308"/>
        <v>61112.759999999995</v>
      </c>
      <c r="K108" s="3707"/>
      <c r="L108" s="3707">
        <v>22004.6</v>
      </c>
      <c r="M108" s="3649"/>
      <c r="N108" s="3649">
        <f t="shared" si="309"/>
        <v>83117.359999999986</v>
      </c>
      <c r="O108" s="3707"/>
      <c r="P108" s="3707">
        <v>21209.759999999998</v>
      </c>
      <c r="Q108" s="2884"/>
      <c r="R108" s="3648">
        <f t="shared" si="310"/>
        <v>104327.11999999998</v>
      </c>
      <c r="S108" s="3707"/>
      <c r="T108" s="3707">
        <v>22497.17</v>
      </c>
      <c r="U108" s="4347"/>
      <c r="V108" s="4345">
        <f t="shared" si="311"/>
        <v>126824.28999999998</v>
      </c>
      <c r="W108" s="3707"/>
      <c r="X108" s="3707">
        <v>18935.099999999999</v>
      </c>
      <c r="Y108" s="2885"/>
      <c r="Z108" s="3649">
        <f t="shared" si="312"/>
        <v>62642.03</v>
      </c>
      <c r="AA108" s="2925"/>
      <c r="AB108" s="2912">
        <f t="shared" si="313"/>
        <v>145759.38999999998</v>
      </c>
      <c r="AC108" s="3707"/>
      <c r="AD108" s="3707">
        <v>17755.399999999998</v>
      </c>
      <c r="AE108" s="2884"/>
      <c r="AF108" s="3648">
        <f t="shared" si="314"/>
        <v>163514.78999999998</v>
      </c>
      <c r="AG108" s="3707"/>
      <c r="AH108" s="3707">
        <v>16214.990000000002</v>
      </c>
      <c r="AI108" s="4647"/>
      <c r="AJ108" s="4645">
        <f t="shared" si="315"/>
        <v>179729.77999999997</v>
      </c>
      <c r="AK108" s="3707"/>
      <c r="AL108" s="3707">
        <v>30110.519999999997</v>
      </c>
      <c r="AM108" s="2885"/>
      <c r="AN108" s="3649">
        <f t="shared" si="316"/>
        <v>64080.909999999989</v>
      </c>
      <c r="AO108" s="2884"/>
      <c r="AP108" s="3648">
        <f t="shared" si="317"/>
        <v>209840.29999999996</v>
      </c>
      <c r="AQ108" s="3707"/>
      <c r="AR108" s="3707">
        <v>34859.44000000001</v>
      </c>
      <c r="AS108" s="2884"/>
      <c r="AT108" s="3648">
        <f t="shared" si="318"/>
        <v>244699.73999999996</v>
      </c>
      <c r="AU108" s="3707"/>
      <c r="AV108" s="3707">
        <v>25973.510000000002</v>
      </c>
      <c r="AW108" s="5040"/>
      <c r="AX108" s="5038">
        <f t="shared" si="319"/>
        <v>270673.24999999994</v>
      </c>
      <c r="AY108" s="3707"/>
      <c r="AZ108" s="3707">
        <v>36566.22</v>
      </c>
      <c r="BA108" s="2885"/>
      <c r="BB108" s="3649">
        <f t="shared" si="320"/>
        <v>97399.170000000013</v>
      </c>
      <c r="BC108" s="2925"/>
      <c r="BD108" s="2912">
        <f t="shared" si="321"/>
        <v>161480.08000000002</v>
      </c>
      <c r="BE108" s="2884"/>
      <c r="BF108" s="1959">
        <f t="shared" si="322"/>
        <v>307239.46999999997</v>
      </c>
      <c r="BG108" s="4396"/>
      <c r="BH108" s="4396"/>
      <c r="BI108" s="3604"/>
      <c r="BJ108" s="3604"/>
      <c r="BK108" s="3957"/>
      <c r="BL108" s="3604"/>
      <c r="BM108" s="3957"/>
      <c r="BN108" s="3957"/>
    </row>
    <row r="109" spans="2:66" ht="21" customHeight="1" thickBot="1" x14ac:dyDescent="0.3">
      <c r="B109" s="3704" t="s">
        <v>1799</v>
      </c>
      <c r="C109" s="3686"/>
      <c r="D109" s="3705">
        <v>89</v>
      </c>
      <c r="E109" s="4507">
        <v>89</v>
      </c>
      <c r="F109" s="7682">
        <v>94.3</v>
      </c>
      <c r="G109" s="5595"/>
      <c r="H109" s="5597">
        <v>88.37</v>
      </c>
      <c r="I109" s="4508"/>
      <c r="J109" s="3696">
        <f>AVERAGE(F109,H109)</f>
        <v>91.335000000000008</v>
      </c>
      <c r="K109" s="5710"/>
      <c r="L109" s="5803">
        <v>86</v>
      </c>
      <c r="M109" s="4513"/>
      <c r="N109" s="4513">
        <f>+AVERAGE(F109,H109,L109)</f>
        <v>89.556666666666672</v>
      </c>
      <c r="O109" s="5847"/>
      <c r="P109" s="5852">
        <v>86.2</v>
      </c>
      <c r="Q109" s="4509"/>
      <c r="R109" s="4508">
        <f>AVERAGE(F109,H109,L109,P109)</f>
        <v>88.717500000000001</v>
      </c>
      <c r="S109" s="5915"/>
      <c r="T109" s="5919">
        <v>92.2</v>
      </c>
      <c r="U109" s="4509"/>
      <c r="V109" s="3432">
        <f>+AVERAGE(F109,H109,L109,P109,T109)</f>
        <v>89.414000000000001</v>
      </c>
      <c r="W109" s="6027"/>
      <c r="X109" s="6116">
        <v>89.47</v>
      </c>
      <c r="Y109" s="4511"/>
      <c r="Z109" s="4513">
        <f>+AVERAGE(P109,T109,X109)</f>
        <v>89.29</v>
      </c>
      <c r="AA109" s="4512"/>
      <c r="AB109" s="4510">
        <f>+AVERAGE(N109,Z109)</f>
        <v>89.423333333333346</v>
      </c>
      <c r="AC109" s="6146"/>
      <c r="AD109" s="6151">
        <v>89.6</v>
      </c>
      <c r="AE109" s="4514"/>
      <c r="AF109" s="4515">
        <f>AVERAGE(F109,H109,L109,P109,T109,X109,AD109)</f>
        <v>89.448571428571427</v>
      </c>
      <c r="AG109" s="6308"/>
      <c r="AH109" s="6313">
        <v>88.8</v>
      </c>
      <c r="AI109" s="4514"/>
      <c r="AJ109" s="5096">
        <f>AVERAGE(AF109,AH109)</f>
        <v>89.124285714285719</v>
      </c>
      <c r="AK109" s="6570"/>
      <c r="AL109" s="6635">
        <v>90.3</v>
      </c>
      <c r="AM109" s="4516"/>
      <c r="AN109" s="5202">
        <f>+AVERAGE(AD109,AH109,AL109)</f>
        <v>89.566666666666663</v>
      </c>
      <c r="AO109" s="4514"/>
      <c r="AP109" s="5096">
        <f>+AVERAGE(F109,H109,L109,P109,T109,X109,AD109,AH109,AL109)</f>
        <v>89.471111111111099</v>
      </c>
      <c r="AQ109" s="4970"/>
      <c r="AR109" s="6788">
        <v>89.7</v>
      </c>
      <c r="AS109" s="4514"/>
      <c r="AT109" s="5096">
        <f>AVERAGE(F109,H109,L109,P109,T109,X109,AD109,AH109,AR109)</f>
        <v>89.404444444444437</v>
      </c>
      <c r="AU109" s="6844"/>
      <c r="AV109" s="6927">
        <v>92.7</v>
      </c>
      <c r="AW109" s="4514"/>
      <c r="AX109" s="5096">
        <f>AVERAGE(F109,H109,L109,P109,T109,X109,AD109,AH109,AL109,AR109,AV109)</f>
        <v>89.785454545454542</v>
      </c>
      <c r="AY109" s="6997"/>
      <c r="AZ109" s="7002">
        <v>93.4</v>
      </c>
      <c r="BA109" s="4516"/>
      <c r="BB109" s="5202">
        <f>+AVERAGE(AR109,AV109,AZ109)</f>
        <v>91.933333333333337</v>
      </c>
      <c r="BC109" s="4517"/>
      <c r="BD109" s="7234">
        <f>+AVERAGE(BB109,AN109)</f>
        <v>90.75</v>
      </c>
      <c r="BE109" s="4514"/>
      <c r="BF109" s="3696">
        <f>AVERAGE(AZ109,AV109,AR109,AL109,AH109,AD109,X109,T109,P109,L109,H109,F109)</f>
        <v>90.086666666666687</v>
      </c>
      <c r="BG109" s="4396"/>
      <c r="BH109" s="4396"/>
      <c r="BI109" s="3604"/>
      <c r="BJ109" s="3604"/>
      <c r="BK109" s="3957"/>
      <c r="BL109" s="3604"/>
      <c r="BM109" s="3957"/>
      <c r="BN109" s="3957"/>
    </row>
    <row r="110" spans="2:66" ht="21" customHeight="1" x14ac:dyDescent="0.25">
      <c r="B110" s="836" t="s">
        <v>1474</v>
      </c>
      <c r="C110" s="710"/>
      <c r="D110" s="1965"/>
      <c r="E110" s="2055"/>
      <c r="F110" s="1360"/>
      <c r="G110" s="2055"/>
      <c r="H110" s="1360"/>
      <c r="I110" s="3709"/>
      <c r="J110" s="3710"/>
      <c r="K110" s="2055"/>
      <c r="L110" s="1360"/>
      <c r="M110" s="3701"/>
      <c r="N110" s="3701"/>
      <c r="O110" s="2055"/>
      <c r="P110" s="1360"/>
      <c r="Q110" s="3445"/>
      <c r="R110" s="3445"/>
      <c r="S110" s="2055"/>
      <c r="T110" s="1360"/>
      <c r="U110" s="3445"/>
      <c r="V110" s="3445"/>
      <c r="W110" s="2055"/>
      <c r="X110" s="1360"/>
      <c r="Y110" s="3701"/>
      <c r="Z110" s="3701"/>
      <c r="AA110" s="3702"/>
      <c r="AB110" s="3702"/>
      <c r="AC110" s="2055"/>
      <c r="AD110" s="1360"/>
      <c r="AE110" s="3445"/>
      <c r="AF110" s="3445"/>
      <c r="AG110" s="2055"/>
      <c r="AH110" s="1360"/>
      <c r="AI110" s="3445"/>
      <c r="AJ110" s="3445"/>
      <c r="AK110" s="2055"/>
      <c r="AL110" s="1360"/>
      <c r="AM110" s="3701"/>
      <c r="AN110" s="3701"/>
      <c r="AO110" s="3445"/>
      <c r="AP110" s="3445"/>
      <c r="AQ110" s="2055"/>
      <c r="AR110" s="1360"/>
      <c r="AS110" s="3445"/>
      <c r="AT110" s="3445"/>
      <c r="AU110" s="2055"/>
      <c r="AV110" s="1360"/>
      <c r="AW110" s="3445"/>
      <c r="AX110" s="3445"/>
      <c r="AY110" s="2055"/>
      <c r="AZ110" s="1360"/>
      <c r="BA110" s="3701"/>
      <c r="BB110" s="3701"/>
      <c r="BC110" s="3702"/>
      <c r="BD110" s="3702"/>
      <c r="BE110" s="3445"/>
      <c r="BF110" s="3182"/>
      <c r="BG110" s="4396"/>
      <c r="BH110" s="4396"/>
      <c r="BI110" s="3604"/>
      <c r="BJ110" s="3604"/>
      <c r="BK110" s="3957"/>
      <c r="BL110" s="3604"/>
      <c r="BM110" s="3957"/>
      <c r="BN110" s="3957"/>
    </row>
    <row r="111" spans="2:66" ht="15" x14ac:dyDescent="0.25">
      <c r="B111" s="1636" t="s">
        <v>546</v>
      </c>
      <c r="C111" s="3180" t="s">
        <v>50</v>
      </c>
      <c r="D111" s="3594">
        <v>203.29823409764467</v>
      </c>
      <c r="E111" s="2961">
        <v>13.975819381687556</v>
      </c>
      <c r="F111" s="3171"/>
      <c r="G111" s="2961"/>
      <c r="H111" s="3171"/>
      <c r="I111" s="3432"/>
      <c r="J111" s="103">
        <f>+F111+H111</f>
        <v>0</v>
      </c>
      <c r="K111" s="2961"/>
      <c r="L111" s="3171"/>
      <c r="M111" s="3701"/>
      <c r="N111" s="2885">
        <f t="shared" ref="N111:N132" si="323">+L111+H111+F111</f>
        <v>0</v>
      </c>
      <c r="O111" s="2961"/>
      <c r="P111" s="3171">
        <v>0.72499999999999998</v>
      </c>
      <c r="Q111" s="3445"/>
      <c r="R111" s="3432">
        <f>+N111+P111</f>
        <v>0.72499999999999998</v>
      </c>
      <c r="S111" s="2961"/>
      <c r="T111" s="3171"/>
      <c r="U111" s="3445"/>
      <c r="V111" s="3432">
        <f>+R111+T111</f>
        <v>0.72499999999999998</v>
      </c>
      <c r="W111" s="2961"/>
      <c r="X111" s="3171"/>
      <c r="Y111" s="3701"/>
      <c r="Z111" s="2885">
        <f t="shared" ref="Z111:Z132" si="324">+X111+T111+P111</f>
        <v>0.72499999999999998</v>
      </c>
      <c r="AA111" s="3702"/>
      <c r="AB111" s="2925">
        <f t="shared" ref="AB111:AB132" si="325">+Z111+N111</f>
        <v>0.72499999999999998</v>
      </c>
      <c r="AC111" s="2961"/>
      <c r="AD111" s="3171"/>
      <c r="AE111" s="3445"/>
      <c r="AF111" s="3432">
        <f>+AB111+AD111</f>
        <v>0.72499999999999998</v>
      </c>
      <c r="AG111" s="2961"/>
      <c r="AH111" s="3171"/>
      <c r="AI111" s="3445"/>
      <c r="AJ111" s="3432">
        <f>+AF111+AH111</f>
        <v>0.72499999999999998</v>
      </c>
      <c r="AK111" s="2961"/>
      <c r="AL111" s="3171"/>
      <c r="AM111" s="3701"/>
      <c r="AN111" s="2885">
        <f t="shared" ref="AN111:AN132" si="326">+AL111+AH111+AD111</f>
        <v>0</v>
      </c>
      <c r="AO111" s="3445"/>
      <c r="AP111" s="2884">
        <f t="shared" ref="AP111:AP132" si="327">+AL111+AJ111</f>
        <v>0.72499999999999998</v>
      </c>
      <c r="AQ111" s="3174"/>
      <c r="AR111" s="4994"/>
      <c r="AS111" s="3445"/>
      <c r="AT111" s="4993">
        <f>+AP111+AR111</f>
        <v>0.72499999999999998</v>
      </c>
      <c r="AU111" s="3174"/>
      <c r="AV111" s="6852"/>
      <c r="AW111" s="3445"/>
      <c r="AX111" s="5040">
        <f>+AT111+AV111</f>
        <v>0.72499999999999998</v>
      </c>
      <c r="AY111" s="3174"/>
      <c r="AZ111" s="7008"/>
      <c r="BA111" s="3701"/>
      <c r="BB111" s="2885">
        <f t="shared" ref="BB111:BB132" si="328">+AZ111+AV111+AR111</f>
        <v>0</v>
      </c>
      <c r="BC111" s="3702"/>
      <c r="BD111" s="2925">
        <f t="shared" ref="BD111:BD132" si="329">+BB111+AN111</f>
        <v>0</v>
      </c>
      <c r="BE111" s="3445"/>
      <c r="BF111" s="37">
        <f>+AX111+AZ111</f>
        <v>0.72499999999999998</v>
      </c>
      <c r="BG111" s="4396"/>
      <c r="BH111" s="4396"/>
      <c r="BI111" s="3604"/>
      <c r="BJ111" s="3604"/>
      <c r="BK111" s="3957"/>
      <c r="BL111" s="3604"/>
      <c r="BM111" s="3957"/>
      <c r="BN111" s="3957"/>
    </row>
    <row r="112" spans="2:66" ht="15" x14ac:dyDescent="0.25">
      <c r="B112" s="1636" t="s">
        <v>764</v>
      </c>
      <c r="C112" s="3180" t="s">
        <v>50</v>
      </c>
      <c r="D112" s="3594"/>
      <c r="E112" s="2961"/>
      <c r="F112" s="3171">
        <v>8.875</v>
      </c>
      <c r="G112" s="2961"/>
      <c r="H112" s="3171">
        <v>3.64</v>
      </c>
      <c r="I112" s="3432"/>
      <c r="J112" s="103">
        <f t="shared" ref="J112:J131" si="330">+F112+H112</f>
        <v>12.515000000000001</v>
      </c>
      <c r="K112" s="2961"/>
      <c r="L112" s="3171">
        <v>7.0609999999999999</v>
      </c>
      <c r="M112" s="3701"/>
      <c r="N112" s="2885">
        <f t="shared" si="323"/>
        <v>19.576000000000001</v>
      </c>
      <c r="O112" s="2961"/>
      <c r="P112" s="3171">
        <v>4.2640000000000002</v>
      </c>
      <c r="Q112" s="3445"/>
      <c r="R112" s="3432">
        <f t="shared" ref="R112:R132" si="331">+N112+P112</f>
        <v>23.84</v>
      </c>
      <c r="S112" s="2961"/>
      <c r="T112" s="3171">
        <v>12.468999999999999</v>
      </c>
      <c r="U112" s="3445"/>
      <c r="V112" s="3432">
        <f t="shared" ref="V112:V132" si="332">+R112+T112</f>
        <v>36.308999999999997</v>
      </c>
      <c r="W112" s="2961"/>
      <c r="X112" s="3171">
        <v>5.367</v>
      </c>
      <c r="Y112" s="3701"/>
      <c r="Z112" s="2885">
        <f t="shared" si="324"/>
        <v>22.099999999999998</v>
      </c>
      <c r="AA112" s="3702"/>
      <c r="AB112" s="2925">
        <f t="shared" si="325"/>
        <v>41.676000000000002</v>
      </c>
      <c r="AC112" s="2961"/>
      <c r="AD112" s="3171"/>
      <c r="AE112" s="3445"/>
      <c r="AF112" s="3432">
        <f t="shared" ref="AF112:AF132" si="333">+AB112+AD112</f>
        <v>41.676000000000002</v>
      </c>
      <c r="AG112" s="2961"/>
      <c r="AH112" s="3171">
        <v>15.382</v>
      </c>
      <c r="AI112" s="3445"/>
      <c r="AJ112" s="3432">
        <f t="shared" ref="AJ112:AJ132" si="334">+AF112+AH112</f>
        <v>57.058</v>
      </c>
      <c r="AK112" s="2961"/>
      <c r="AL112" s="3171">
        <v>16.719000000000001</v>
      </c>
      <c r="AM112" s="3701"/>
      <c r="AN112" s="2885">
        <f t="shared" si="326"/>
        <v>32.100999999999999</v>
      </c>
      <c r="AO112" s="3445"/>
      <c r="AP112" s="2884">
        <f t="shared" si="327"/>
        <v>73.777000000000001</v>
      </c>
      <c r="AQ112" s="3174"/>
      <c r="AR112" s="4994">
        <v>1.32</v>
      </c>
      <c r="AS112" s="3445"/>
      <c r="AT112" s="4993">
        <f t="shared" ref="AT112:AT132" si="335">+AP112+AR112</f>
        <v>75.096999999999994</v>
      </c>
      <c r="AU112" s="3174"/>
      <c r="AV112" s="6852">
        <v>1.2</v>
      </c>
      <c r="AW112" s="3445"/>
      <c r="AX112" s="5040">
        <f t="shared" ref="AX112:AX132" si="336">+AT112+AV112</f>
        <v>76.296999999999997</v>
      </c>
      <c r="AY112" s="3174"/>
      <c r="AZ112" s="7008">
        <v>0.4</v>
      </c>
      <c r="BA112" s="3701"/>
      <c r="BB112" s="2885">
        <f t="shared" si="328"/>
        <v>2.92</v>
      </c>
      <c r="BC112" s="3702"/>
      <c r="BD112" s="2925">
        <f t="shared" si="329"/>
        <v>35.021000000000001</v>
      </c>
      <c r="BE112" s="3445"/>
      <c r="BF112" s="37">
        <f t="shared" ref="BF112:BF132" si="337">+AX112+AZ112</f>
        <v>76.697000000000003</v>
      </c>
      <c r="BG112" s="4396"/>
      <c r="BH112" s="4396"/>
      <c r="BI112" s="3604"/>
      <c r="BJ112" s="3604"/>
      <c r="BK112" s="3957"/>
      <c r="BL112" s="3604"/>
      <c r="BM112" s="3957"/>
      <c r="BN112" s="3957"/>
    </row>
    <row r="113" spans="2:66" ht="15" x14ac:dyDescent="0.25">
      <c r="B113" s="1636" t="s">
        <v>545</v>
      </c>
      <c r="C113" s="3180" t="s">
        <v>50</v>
      </c>
      <c r="D113" s="3594">
        <v>1533.2036805024604</v>
      </c>
      <c r="E113" s="2961">
        <v>105.40070753270373</v>
      </c>
      <c r="F113" s="3171">
        <v>99</v>
      </c>
      <c r="G113" s="2961"/>
      <c r="H113" s="3171">
        <v>43</v>
      </c>
      <c r="I113" s="3432"/>
      <c r="J113" s="103">
        <f t="shared" si="330"/>
        <v>142</v>
      </c>
      <c r="K113" s="2961"/>
      <c r="L113" s="3171">
        <v>42</v>
      </c>
      <c r="M113" s="3701"/>
      <c r="N113" s="2885">
        <f t="shared" si="323"/>
        <v>184</v>
      </c>
      <c r="O113" s="2961"/>
      <c r="P113" s="3171">
        <v>30</v>
      </c>
      <c r="Q113" s="3445"/>
      <c r="R113" s="3432">
        <f t="shared" si="331"/>
        <v>214</v>
      </c>
      <c r="S113" s="2961"/>
      <c r="T113" s="3171">
        <v>76</v>
      </c>
      <c r="U113" s="3445"/>
      <c r="V113" s="3432">
        <f t="shared" si="332"/>
        <v>290</v>
      </c>
      <c r="W113" s="2961"/>
      <c r="X113" s="3171">
        <v>109</v>
      </c>
      <c r="Y113" s="3701"/>
      <c r="Z113" s="2885">
        <f t="shared" si="324"/>
        <v>215</v>
      </c>
      <c r="AA113" s="3702"/>
      <c r="AB113" s="2925">
        <f t="shared" si="325"/>
        <v>399</v>
      </c>
      <c r="AC113" s="2961"/>
      <c r="AD113" s="3171">
        <v>26</v>
      </c>
      <c r="AE113" s="3445"/>
      <c r="AF113" s="3432">
        <f t="shared" si="333"/>
        <v>425</v>
      </c>
      <c r="AG113" s="2961"/>
      <c r="AH113" s="3171">
        <v>76</v>
      </c>
      <c r="AI113" s="3445"/>
      <c r="AJ113" s="3432">
        <f t="shared" si="334"/>
        <v>501</v>
      </c>
      <c r="AK113" s="2961"/>
      <c r="AL113" s="3171">
        <v>99</v>
      </c>
      <c r="AM113" s="3701"/>
      <c r="AN113" s="2885">
        <f t="shared" si="326"/>
        <v>201</v>
      </c>
      <c r="AO113" s="3445"/>
      <c r="AP113" s="2884">
        <f t="shared" si="327"/>
        <v>600</v>
      </c>
      <c r="AQ113" s="3174"/>
      <c r="AR113" s="4994">
        <v>40</v>
      </c>
      <c r="AS113" s="3445"/>
      <c r="AT113" s="4993">
        <f t="shared" si="335"/>
        <v>640</v>
      </c>
      <c r="AU113" s="3174"/>
      <c r="AV113" s="6852">
        <v>30</v>
      </c>
      <c r="AW113" s="3445"/>
      <c r="AX113" s="5040">
        <f t="shared" si="336"/>
        <v>670</v>
      </c>
      <c r="AY113" s="3174"/>
      <c r="AZ113" s="7008">
        <v>21</v>
      </c>
      <c r="BA113" s="3701"/>
      <c r="BB113" s="2885">
        <f t="shared" si="328"/>
        <v>91</v>
      </c>
      <c r="BC113" s="3702"/>
      <c r="BD113" s="2925">
        <f t="shared" si="329"/>
        <v>292</v>
      </c>
      <c r="BE113" s="3445"/>
      <c r="BF113" s="37">
        <f t="shared" si="337"/>
        <v>691</v>
      </c>
      <c r="BG113" s="4396"/>
      <c r="BH113" s="4396"/>
      <c r="BI113" s="3604"/>
      <c r="BJ113" s="3604"/>
      <c r="BK113" s="3957"/>
      <c r="BL113" s="3604"/>
      <c r="BM113" s="3957"/>
      <c r="BN113" s="3957"/>
    </row>
    <row r="114" spans="2:66" ht="15" x14ac:dyDescent="0.25">
      <c r="B114" s="1636" t="s">
        <v>671</v>
      </c>
      <c r="C114" s="3180" t="s">
        <v>50</v>
      </c>
      <c r="D114" s="3594">
        <v>106.73583241540733</v>
      </c>
      <c r="E114" s="7580">
        <v>7.337597997409695</v>
      </c>
      <c r="F114" s="3171">
        <v>5.5750000000000002</v>
      </c>
      <c r="G114" s="2961"/>
      <c r="H114" s="3171">
        <v>5.05</v>
      </c>
      <c r="I114" s="3432"/>
      <c r="J114" s="103">
        <f t="shared" si="330"/>
        <v>10.625</v>
      </c>
      <c r="K114" s="2961"/>
      <c r="L114" s="3171">
        <v>11.63</v>
      </c>
      <c r="M114" s="3701"/>
      <c r="N114" s="2885">
        <f t="shared" si="323"/>
        <v>22.254999999999999</v>
      </c>
      <c r="O114" s="2961"/>
      <c r="P114" s="3171">
        <v>7.3</v>
      </c>
      <c r="Q114" s="3445"/>
      <c r="R114" s="3432">
        <f t="shared" si="331"/>
        <v>29.555</v>
      </c>
      <c r="S114" s="2961"/>
      <c r="T114" s="3171">
        <v>2.02</v>
      </c>
      <c r="U114" s="3445"/>
      <c r="V114" s="3432">
        <f t="shared" si="332"/>
        <v>31.574999999999999</v>
      </c>
      <c r="W114" s="2961"/>
      <c r="X114" s="3171">
        <v>2.6949999999999998</v>
      </c>
      <c r="Y114" s="3701"/>
      <c r="Z114" s="2885">
        <f t="shared" si="324"/>
        <v>12.015000000000001</v>
      </c>
      <c r="AA114" s="3702"/>
      <c r="AB114" s="2925">
        <f t="shared" si="325"/>
        <v>34.269999999999996</v>
      </c>
      <c r="AC114" s="2961"/>
      <c r="AD114" s="3171">
        <v>8.6150000000000002</v>
      </c>
      <c r="AE114" s="3445"/>
      <c r="AF114" s="3432">
        <f t="shared" si="333"/>
        <v>42.884999999999998</v>
      </c>
      <c r="AG114" s="2961"/>
      <c r="AH114" s="3171">
        <v>11.5</v>
      </c>
      <c r="AI114" s="3445"/>
      <c r="AJ114" s="3432">
        <f t="shared" si="334"/>
        <v>54.384999999999998</v>
      </c>
      <c r="AK114" s="2961"/>
      <c r="AL114" s="3171">
        <v>21.78</v>
      </c>
      <c r="AM114" s="3701"/>
      <c r="AN114" s="2885">
        <f t="shared" si="326"/>
        <v>41.895000000000003</v>
      </c>
      <c r="AO114" s="3445"/>
      <c r="AP114" s="2884">
        <f t="shared" si="327"/>
        <v>76.164999999999992</v>
      </c>
      <c r="AQ114" s="3174"/>
      <c r="AR114" s="4994">
        <v>11.9</v>
      </c>
      <c r="AS114" s="3445"/>
      <c r="AT114" s="4993">
        <f t="shared" si="335"/>
        <v>88.064999999999998</v>
      </c>
      <c r="AU114" s="3174"/>
      <c r="AV114" s="6852">
        <v>3.605</v>
      </c>
      <c r="AW114" s="3445"/>
      <c r="AX114" s="5040">
        <f t="shared" si="336"/>
        <v>91.67</v>
      </c>
      <c r="AY114" s="3174"/>
      <c r="AZ114" s="7008">
        <v>16.263000000000002</v>
      </c>
      <c r="BA114" s="3701"/>
      <c r="BB114" s="2885">
        <f t="shared" si="328"/>
        <v>31.768000000000001</v>
      </c>
      <c r="BC114" s="3702"/>
      <c r="BD114" s="2925">
        <f t="shared" si="329"/>
        <v>73.663000000000011</v>
      </c>
      <c r="BE114" s="3445"/>
      <c r="BF114" s="37">
        <f t="shared" si="337"/>
        <v>107.93300000000001</v>
      </c>
      <c r="BG114" s="4396"/>
      <c r="BH114" s="4396"/>
      <c r="BI114" s="3604"/>
      <c r="BJ114" s="3604"/>
      <c r="BK114" s="3957"/>
      <c r="BL114" s="3604"/>
      <c r="BM114" s="3957"/>
      <c r="BN114" s="3957"/>
    </row>
    <row r="115" spans="2:66" ht="15" x14ac:dyDescent="0.25">
      <c r="B115" s="1636" t="s">
        <v>1631</v>
      </c>
      <c r="C115" s="3180" t="s">
        <v>50</v>
      </c>
      <c r="D115" s="3594"/>
      <c r="E115" s="2961"/>
      <c r="F115" s="3171"/>
      <c r="G115" s="2961"/>
      <c r="H115" s="3171"/>
      <c r="I115" s="3432"/>
      <c r="J115" s="103">
        <f t="shared" si="330"/>
        <v>0</v>
      </c>
      <c r="K115" s="2961"/>
      <c r="L115" s="3171"/>
      <c r="M115" s="3701"/>
      <c r="N115" s="2885">
        <f t="shared" si="323"/>
        <v>0</v>
      </c>
      <c r="O115" s="2961"/>
      <c r="P115" s="3171"/>
      <c r="Q115" s="3445"/>
      <c r="R115" s="3432">
        <f t="shared" si="331"/>
        <v>0</v>
      </c>
      <c r="S115" s="2961"/>
      <c r="T115" s="3171"/>
      <c r="U115" s="3445"/>
      <c r="V115" s="3432">
        <f t="shared" si="332"/>
        <v>0</v>
      </c>
      <c r="W115" s="2961"/>
      <c r="X115" s="3171"/>
      <c r="Y115" s="3701"/>
      <c r="Z115" s="2885">
        <f t="shared" si="324"/>
        <v>0</v>
      </c>
      <c r="AA115" s="3702"/>
      <c r="AB115" s="2925">
        <f t="shared" si="325"/>
        <v>0</v>
      </c>
      <c r="AC115" s="2961"/>
      <c r="AD115" s="3171"/>
      <c r="AE115" s="3445"/>
      <c r="AF115" s="3432">
        <f t="shared" si="333"/>
        <v>0</v>
      </c>
      <c r="AG115" s="2961"/>
      <c r="AH115" s="3171"/>
      <c r="AI115" s="3445"/>
      <c r="AJ115" s="3432">
        <f t="shared" si="334"/>
        <v>0</v>
      </c>
      <c r="AK115" s="2961"/>
      <c r="AL115" s="3171"/>
      <c r="AM115" s="3701"/>
      <c r="AN115" s="2885">
        <f t="shared" si="326"/>
        <v>0</v>
      </c>
      <c r="AO115" s="3445"/>
      <c r="AP115" s="2884">
        <f t="shared" si="327"/>
        <v>0</v>
      </c>
      <c r="AQ115" s="3174"/>
      <c r="AR115" s="4994"/>
      <c r="AS115" s="3445"/>
      <c r="AT115" s="4993">
        <f t="shared" si="335"/>
        <v>0</v>
      </c>
      <c r="AU115" s="3174"/>
      <c r="AV115" s="6852"/>
      <c r="AW115" s="3445"/>
      <c r="AX115" s="5040">
        <f t="shared" si="336"/>
        <v>0</v>
      </c>
      <c r="AY115" s="3174"/>
      <c r="AZ115" s="7008"/>
      <c r="BA115" s="3701"/>
      <c r="BB115" s="2885">
        <f t="shared" si="328"/>
        <v>0</v>
      </c>
      <c r="BC115" s="3702"/>
      <c r="BD115" s="2925">
        <f t="shared" si="329"/>
        <v>0</v>
      </c>
      <c r="BE115" s="3445"/>
      <c r="BF115" s="37">
        <f t="shared" si="337"/>
        <v>0</v>
      </c>
      <c r="BG115" s="4396"/>
      <c r="BH115" s="4396"/>
      <c r="BI115" s="3604"/>
      <c r="BJ115" s="3604"/>
      <c r="BK115" s="3957"/>
      <c r="BL115" s="3604"/>
      <c r="BM115" s="3957"/>
      <c r="BN115" s="3957"/>
    </row>
    <row r="116" spans="2:66" ht="15" x14ac:dyDescent="0.25">
      <c r="B116" s="1636" t="s">
        <v>19</v>
      </c>
      <c r="C116" s="3180" t="s">
        <v>50</v>
      </c>
      <c r="D116" s="3594"/>
      <c r="E116" s="2961"/>
      <c r="F116" s="3171"/>
      <c r="G116" s="2961"/>
      <c r="H116" s="3171">
        <v>773.1</v>
      </c>
      <c r="I116" s="3432"/>
      <c r="J116" s="103">
        <f t="shared" si="330"/>
        <v>773.1</v>
      </c>
      <c r="K116" s="2961"/>
      <c r="L116" s="3171"/>
      <c r="M116" s="3701"/>
      <c r="N116" s="2885">
        <f t="shared" si="323"/>
        <v>773.1</v>
      </c>
      <c r="O116" s="2961"/>
      <c r="P116" s="3171">
        <v>899.6</v>
      </c>
      <c r="Q116" s="3445"/>
      <c r="R116" s="3432">
        <f t="shared" si="331"/>
        <v>1672.7</v>
      </c>
      <c r="S116" s="2961"/>
      <c r="T116" s="3171">
        <v>1809.45</v>
      </c>
      <c r="U116" s="3445"/>
      <c r="V116" s="3432">
        <f t="shared" si="332"/>
        <v>3482.15</v>
      </c>
      <c r="W116" s="2961"/>
      <c r="X116" s="3171">
        <v>2628.8</v>
      </c>
      <c r="Y116" s="3701"/>
      <c r="Z116" s="2885">
        <f t="shared" si="324"/>
        <v>5337.85</v>
      </c>
      <c r="AA116" s="3702"/>
      <c r="AB116" s="2925">
        <f t="shared" si="325"/>
        <v>6110.9500000000007</v>
      </c>
      <c r="AC116" s="2961"/>
      <c r="AD116" s="3171">
        <v>1139.2</v>
      </c>
      <c r="AE116" s="3445"/>
      <c r="AF116" s="3432">
        <f t="shared" si="333"/>
        <v>7250.1500000000005</v>
      </c>
      <c r="AG116" s="2961"/>
      <c r="AH116" s="3171"/>
      <c r="AI116" s="3445"/>
      <c r="AJ116" s="3432">
        <f t="shared" si="334"/>
        <v>7250.1500000000005</v>
      </c>
      <c r="AK116" s="2961"/>
      <c r="AL116" s="3171">
        <v>33.5</v>
      </c>
      <c r="AM116" s="3701"/>
      <c r="AN116" s="2885">
        <f t="shared" si="326"/>
        <v>1172.7</v>
      </c>
      <c r="AO116" s="3445"/>
      <c r="AP116" s="2884">
        <f t="shared" si="327"/>
        <v>7283.6500000000005</v>
      </c>
      <c r="AQ116" s="3174"/>
      <c r="AR116" s="4994"/>
      <c r="AS116" s="3445"/>
      <c r="AT116" s="4993">
        <f t="shared" si="335"/>
        <v>7283.6500000000005</v>
      </c>
      <c r="AU116" s="3174"/>
      <c r="AV116" s="6852"/>
      <c r="AW116" s="3445"/>
      <c r="AX116" s="5040">
        <f t="shared" si="336"/>
        <v>7283.6500000000005</v>
      </c>
      <c r="AY116" s="3174"/>
      <c r="AZ116" s="7008">
        <v>0</v>
      </c>
      <c r="BA116" s="3701"/>
      <c r="BB116" s="2885">
        <f t="shared" si="328"/>
        <v>0</v>
      </c>
      <c r="BC116" s="3702"/>
      <c r="BD116" s="2925">
        <f t="shared" si="329"/>
        <v>1172.7</v>
      </c>
      <c r="BE116" s="3445"/>
      <c r="BF116" s="37">
        <f t="shared" si="337"/>
        <v>7283.6500000000005</v>
      </c>
      <c r="BG116" s="4396"/>
      <c r="BH116" s="4396"/>
      <c r="BI116" s="3604"/>
      <c r="BJ116" s="3604"/>
      <c r="BK116" s="3957"/>
      <c r="BL116" s="3604"/>
      <c r="BM116" s="3957"/>
      <c r="BN116" s="3957"/>
    </row>
    <row r="117" spans="2:66" ht="15" x14ac:dyDescent="0.25">
      <c r="B117" s="1636" t="s">
        <v>585</v>
      </c>
      <c r="C117" s="3180" t="s">
        <v>50</v>
      </c>
      <c r="D117" s="3594"/>
      <c r="E117" s="2961"/>
      <c r="F117" s="3171">
        <v>79.131</v>
      </c>
      <c r="G117" s="2961"/>
      <c r="H117" s="3171">
        <v>83.968000000000004</v>
      </c>
      <c r="I117" s="3432"/>
      <c r="J117" s="103">
        <f t="shared" si="330"/>
        <v>163.09899999999999</v>
      </c>
      <c r="K117" s="2961"/>
      <c r="L117" s="3171">
        <v>76.239000000000004</v>
      </c>
      <c r="M117" s="3701"/>
      <c r="N117" s="2885">
        <f t="shared" si="323"/>
        <v>239.33799999999999</v>
      </c>
      <c r="O117" s="2961"/>
      <c r="P117" s="3171">
        <v>76.820999999999998</v>
      </c>
      <c r="Q117" s="3445"/>
      <c r="R117" s="3432">
        <f t="shared" si="331"/>
        <v>316.15899999999999</v>
      </c>
      <c r="S117" s="2961"/>
      <c r="T117" s="3171">
        <v>78.066999999999993</v>
      </c>
      <c r="U117" s="3445"/>
      <c r="V117" s="3432">
        <f t="shared" si="332"/>
        <v>394.226</v>
      </c>
      <c r="W117" s="2961"/>
      <c r="X117" s="3171">
        <v>73.569000000000003</v>
      </c>
      <c r="Y117" s="3701"/>
      <c r="Z117" s="2885">
        <f t="shared" si="324"/>
        <v>228.45699999999999</v>
      </c>
      <c r="AA117" s="3702"/>
      <c r="AB117" s="2912">
        <f t="shared" si="325"/>
        <v>467.79499999999996</v>
      </c>
      <c r="AC117" s="2961"/>
      <c r="AD117" s="3171">
        <v>59.860999999999997</v>
      </c>
      <c r="AE117" s="3445"/>
      <c r="AF117" s="3432">
        <f t="shared" si="333"/>
        <v>527.65599999999995</v>
      </c>
      <c r="AG117" s="2961"/>
      <c r="AH117" s="3171">
        <v>75.644999999999996</v>
      </c>
      <c r="AI117" s="3445"/>
      <c r="AJ117" s="3432">
        <f t="shared" si="334"/>
        <v>603.30099999999993</v>
      </c>
      <c r="AK117" s="2961"/>
      <c r="AL117" s="3171">
        <v>81.941999999999993</v>
      </c>
      <c r="AM117" s="3701"/>
      <c r="AN117" s="2885">
        <f t="shared" si="326"/>
        <v>217.44799999999998</v>
      </c>
      <c r="AO117" s="3445"/>
      <c r="AP117" s="2884">
        <f t="shared" si="327"/>
        <v>685.24299999999994</v>
      </c>
      <c r="AQ117" s="3174"/>
      <c r="AR117" s="4994">
        <v>75.203999999999994</v>
      </c>
      <c r="AS117" s="3445"/>
      <c r="AT117" s="4993">
        <f t="shared" si="335"/>
        <v>760.44699999999989</v>
      </c>
      <c r="AU117" s="3174"/>
      <c r="AV117" s="6852">
        <v>51.429000000000002</v>
      </c>
      <c r="AW117" s="3445"/>
      <c r="AX117" s="5040">
        <f t="shared" si="336"/>
        <v>811.87599999999986</v>
      </c>
      <c r="AY117" s="3174"/>
      <c r="AZ117" s="7008">
        <v>87.227000000000004</v>
      </c>
      <c r="BA117" s="3701"/>
      <c r="BB117" s="2885">
        <f t="shared" si="328"/>
        <v>213.86</v>
      </c>
      <c r="BC117" s="3702"/>
      <c r="BD117" s="2925">
        <f t="shared" si="329"/>
        <v>431.30799999999999</v>
      </c>
      <c r="BE117" s="3445"/>
      <c r="BF117" s="37">
        <f t="shared" si="337"/>
        <v>899.10299999999984</v>
      </c>
      <c r="BG117" s="4396"/>
      <c r="BH117" s="4396"/>
      <c r="BI117" s="3604"/>
      <c r="BJ117" s="3604"/>
      <c r="BK117" s="3957"/>
      <c r="BL117" s="3604"/>
      <c r="BM117" s="3957"/>
      <c r="BN117" s="3957"/>
    </row>
    <row r="118" spans="2:66" ht="15" x14ac:dyDescent="0.25">
      <c r="B118" s="1636" t="s">
        <v>1789</v>
      </c>
      <c r="C118" s="3180" t="s">
        <v>50</v>
      </c>
      <c r="D118" s="3594">
        <v>1265.5847253200805</v>
      </c>
      <c r="E118" s="2961">
        <v>87.003134148232263</v>
      </c>
      <c r="F118" s="3171">
        <v>143</v>
      </c>
      <c r="G118" s="2961"/>
      <c r="H118" s="3171">
        <v>58.99</v>
      </c>
      <c r="I118" s="3432"/>
      <c r="J118" s="103">
        <f t="shared" si="330"/>
        <v>201.99</v>
      </c>
      <c r="K118" s="2961"/>
      <c r="L118" s="3171">
        <v>77.239999999999995</v>
      </c>
      <c r="M118" s="3701"/>
      <c r="N118" s="2885">
        <f t="shared" si="323"/>
        <v>279.23</v>
      </c>
      <c r="O118" s="2961"/>
      <c r="P118" s="3171">
        <v>80.7</v>
      </c>
      <c r="Q118" s="3445"/>
      <c r="R118" s="3432">
        <f t="shared" si="331"/>
        <v>359.93</v>
      </c>
      <c r="S118" s="2961"/>
      <c r="T118" s="3171">
        <v>95.5</v>
      </c>
      <c r="U118" s="3445"/>
      <c r="V118" s="3432">
        <f t="shared" si="332"/>
        <v>455.43</v>
      </c>
      <c r="W118" s="2961"/>
      <c r="X118" s="3171">
        <v>119.7</v>
      </c>
      <c r="Y118" s="3701"/>
      <c r="Z118" s="2885">
        <f t="shared" si="324"/>
        <v>295.89999999999998</v>
      </c>
      <c r="AA118" s="3702"/>
      <c r="AB118" s="2925">
        <f t="shared" si="325"/>
        <v>575.13</v>
      </c>
      <c r="AC118" s="2961"/>
      <c r="AD118" s="3171">
        <v>55</v>
      </c>
      <c r="AE118" s="3445"/>
      <c r="AF118" s="3432">
        <f t="shared" si="333"/>
        <v>630.13</v>
      </c>
      <c r="AG118" s="2961"/>
      <c r="AH118" s="3171">
        <v>87</v>
      </c>
      <c r="AI118" s="3445"/>
      <c r="AJ118" s="3432">
        <f t="shared" si="334"/>
        <v>717.13</v>
      </c>
      <c r="AK118" s="2961"/>
      <c r="AL118" s="3171">
        <v>94</v>
      </c>
      <c r="AM118" s="3701"/>
      <c r="AN118" s="2885">
        <f t="shared" si="326"/>
        <v>236</v>
      </c>
      <c r="AO118" s="3445"/>
      <c r="AP118" s="2884">
        <f t="shared" si="327"/>
        <v>811.13</v>
      </c>
      <c r="AQ118" s="3174"/>
      <c r="AR118" s="4994">
        <v>142</v>
      </c>
      <c r="AS118" s="3445"/>
      <c r="AT118" s="4993">
        <f t="shared" si="335"/>
        <v>953.13</v>
      </c>
      <c r="AU118" s="3174"/>
      <c r="AV118" s="6852">
        <v>102</v>
      </c>
      <c r="AW118" s="3445"/>
      <c r="AX118" s="5040">
        <f t="shared" si="336"/>
        <v>1055.1300000000001</v>
      </c>
      <c r="AY118" s="3174"/>
      <c r="AZ118" s="7008">
        <v>112</v>
      </c>
      <c r="BA118" s="3701"/>
      <c r="BB118" s="2885">
        <f t="shared" si="328"/>
        <v>356</v>
      </c>
      <c r="BC118" s="3702"/>
      <c r="BD118" s="2925">
        <f t="shared" si="329"/>
        <v>592</v>
      </c>
      <c r="BE118" s="3445"/>
      <c r="BF118" s="37">
        <f t="shared" si="337"/>
        <v>1167.1300000000001</v>
      </c>
      <c r="BG118" s="4396"/>
      <c r="BH118" s="4396"/>
      <c r="BI118" s="3604"/>
      <c r="BJ118" s="3604"/>
      <c r="BK118" s="3957"/>
      <c r="BL118" s="3604"/>
      <c r="BM118" s="3957"/>
      <c r="BN118" s="3957"/>
    </row>
    <row r="119" spans="2:66" ht="15" x14ac:dyDescent="0.25">
      <c r="B119" s="1636" t="s">
        <v>672</v>
      </c>
      <c r="C119" s="3180" t="s">
        <v>50</v>
      </c>
      <c r="D119" s="3594">
        <v>87.951104551865114</v>
      </c>
      <c r="E119" s="2961">
        <v>6.0462342778954143</v>
      </c>
      <c r="F119" s="3171">
        <v>2.464</v>
      </c>
      <c r="G119" s="2961"/>
      <c r="H119" s="3171">
        <v>5.1440000000000001</v>
      </c>
      <c r="I119" s="3432"/>
      <c r="J119" s="103">
        <f t="shared" si="330"/>
        <v>7.6080000000000005</v>
      </c>
      <c r="K119" s="2961"/>
      <c r="L119" s="3171">
        <v>6.1219999999999999</v>
      </c>
      <c r="M119" s="3701"/>
      <c r="N119" s="2885">
        <f t="shared" si="323"/>
        <v>13.73</v>
      </c>
      <c r="O119" s="2961"/>
      <c r="P119" s="3171">
        <v>6.16</v>
      </c>
      <c r="Q119" s="3445"/>
      <c r="R119" s="3432">
        <f t="shared" si="331"/>
        <v>19.89</v>
      </c>
      <c r="S119" s="2961"/>
      <c r="T119" s="3171">
        <v>7.95</v>
      </c>
      <c r="U119" s="3445"/>
      <c r="V119" s="3432">
        <f t="shared" si="332"/>
        <v>27.84</v>
      </c>
      <c r="W119" s="2961"/>
      <c r="X119" s="3171">
        <v>6.1420000000000003</v>
      </c>
      <c r="Y119" s="3701"/>
      <c r="Z119" s="2885">
        <f t="shared" si="324"/>
        <v>20.252000000000002</v>
      </c>
      <c r="AA119" s="3702"/>
      <c r="AB119" s="2925">
        <f t="shared" si="325"/>
        <v>33.981999999999999</v>
      </c>
      <c r="AC119" s="2961"/>
      <c r="AD119" s="3171">
        <v>9.032</v>
      </c>
      <c r="AE119" s="3445"/>
      <c r="AF119" s="3432">
        <f t="shared" si="333"/>
        <v>43.013999999999996</v>
      </c>
      <c r="AG119" s="2961"/>
      <c r="AH119" s="3171">
        <v>3.5139999999999998</v>
      </c>
      <c r="AI119" s="3445"/>
      <c r="AJ119" s="3432">
        <f t="shared" si="334"/>
        <v>46.527999999999999</v>
      </c>
      <c r="AK119" s="2961"/>
      <c r="AL119" s="3171">
        <v>3.19</v>
      </c>
      <c r="AM119" s="3701"/>
      <c r="AN119" s="2885">
        <f t="shared" si="326"/>
        <v>15.736000000000001</v>
      </c>
      <c r="AO119" s="3445"/>
      <c r="AP119" s="2884">
        <f t="shared" si="327"/>
        <v>49.717999999999996</v>
      </c>
      <c r="AQ119" s="3174"/>
      <c r="AR119" s="4994">
        <v>1.056</v>
      </c>
      <c r="AS119" s="3445"/>
      <c r="AT119" s="4993">
        <f t="shared" si="335"/>
        <v>50.773999999999994</v>
      </c>
      <c r="AU119" s="3174"/>
      <c r="AV119" s="6852">
        <v>1.0780000000000001</v>
      </c>
      <c r="AW119" s="3445"/>
      <c r="AX119" s="5040">
        <f t="shared" si="336"/>
        <v>51.851999999999997</v>
      </c>
      <c r="AY119" s="3174"/>
      <c r="AZ119" s="7008">
        <v>1.716</v>
      </c>
      <c r="BA119" s="3701"/>
      <c r="BB119" s="2885">
        <f t="shared" si="328"/>
        <v>3.85</v>
      </c>
      <c r="BC119" s="3702"/>
      <c r="BD119" s="2925">
        <f t="shared" si="329"/>
        <v>19.586000000000002</v>
      </c>
      <c r="BE119" s="3445"/>
      <c r="BF119" s="37">
        <f t="shared" si="337"/>
        <v>53.567999999999998</v>
      </c>
      <c r="BG119" s="4396"/>
      <c r="BH119" s="4396"/>
      <c r="BI119" s="3604"/>
      <c r="BJ119" s="3604"/>
      <c r="BK119" s="3957"/>
      <c r="BL119" s="3604"/>
      <c r="BM119" s="3957"/>
      <c r="BN119" s="3957"/>
    </row>
    <row r="120" spans="2:66" ht="15" x14ac:dyDescent="0.25">
      <c r="B120" s="1636" t="s">
        <v>544</v>
      </c>
      <c r="C120" s="3180" t="s">
        <v>50</v>
      </c>
      <c r="D120" s="3594">
        <v>0.95960398580274953</v>
      </c>
      <c r="E120" s="2961">
        <v>13.958809170243009</v>
      </c>
      <c r="F120" s="3171"/>
      <c r="G120" s="2961"/>
      <c r="H120" s="3171">
        <v>0.185</v>
      </c>
      <c r="I120" s="3432"/>
      <c r="J120" s="103">
        <f t="shared" si="330"/>
        <v>0.185</v>
      </c>
      <c r="K120" s="2961"/>
      <c r="L120" s="3171">
        <v>4.4999999999999998E-2</v>
      </c>
      <c r="M120" s="3701"/>
      <c r="N120" s="2885">
        <f t="shared" si="323"/>
        <v>0.22999999999999998</v>
      </c>
      <c r="O120" s="2961"/>
      <c r="P120" s="3171">
        <v>0.06</v>
      </c>
      <c r="Q120" s="3445"/>
      <c r="R120" s="3432">
        <f t="shared" si="331"/>
        <v>0.28999999999999998</v>
      </c>
      <c r="S120" s="2961"/>
      <c r="T120" s="3171">
        <v>1.4999999999999999E-2</v>
      </c>
      <c r="U120" s="3445"/>
      <c r="V120" s="3432">
        <f t="shared" si="332"/>
        <v>0.30499999999999999</v>
      </c>
      <c r="W120" s="2961"/>
      <c r="X120" s="3171">
        <v>0.105</v>
      </c>
      <c r="Y120" s="3701"/>
      <c r="Z120" s="2885">
        <f t="shared" si="324"/>
        <v>0.18</v>
      </c>
      <c r="AA120" s="3702"/>
      <c r="AB120" s="2925">
        <f t="shared" si="325"/>
        <v>0.41</v>
      </c>
      <c r="AC120" s="2961"/>
      <c r="AD120" s="3171">
        <v>7.4999999999999997E-2</v>
      </c>
      <c r="AE120" s="3445"/>
      <c r="AF120" s="3432">
        <f t="shared" si="333"/>
        <v>0.48499999999999999</v>
      </c>
      <c r="AG120" s="2961"/>
      <c r="AH120" s="3171">
        <v>0.09</v>
      </c>
      <c r="AI120" s="3445"/>
      <c r="AJ120" s="3432">
        <f t="shared" si="334"/>
        <v>0.57499999999999996</v>
      </c>
      <c r="AK120" s="2961"/>
      <c r="AL120" s="3171">
        <v>4.4999999999999998E-2</v>
      </c>
      <c r="AM120" s="3701"/>
      <c r="AN120" s="2885">
        <f t="shared" si="326"/>
        <v>0.21000000000000002</v>
      </c>
      <c r="AO120" s="3445"/>
      <c r="AP120" s="2884">
        <f t="shared" si="327"/>
        <v>0.62</v>
      </c>
      <c r="AQ120" s="3174"/>
      <c r="AR120" s="4994"/>
      <c r="AS120" s="3445"/>
      <c r="AT120" s="4993">
        <f t="shared" si="335"/>
        <v>0.62</v>
      </c>
      <c r="AU120" s="3174"/>
      <c r="AV120" s="6852"/>
      <c r="AW120" s="3445"/>
      <c r="AX120" s="5040">
        <f t="shared" si="336"/>
        <v>0.62</v>
      </c>
      <c r="AY120" s="3174"/>
      <c r="AZ120" s="261">
        <v>0.03</v>
      </c>
      <c r="BA120" s="3701"/>
      <c r="BB120" s="2885">
        <f>+AZ126+AV120+AR120</f>
        <v>186</v>
      </c>
      <c r="BC120" s="3702"/>
      <c r="BD120" s="2925">
        <f t="shared" si="329"/>
        <v>186.21</v>
      </c>
      <c r="BE120" s="3445"/>
      <c r="BF120" s="37">
        <f>+AX120+AZ126</f>
        <v>186.62</v>
      </c>
      <c r="BG120" s="4396"/>
      <c r="BH120" s="4396"/>
      <c r="BI120" s="3604"/>
      <c r="BJ120" s="3604"/>
      <c r="BK120" s="3957"/>
      <c r="BL120" s="3604"/>
      <c r="BM120" s="3957"/>
      <c r="BN120" s="3957"/>
    </row>
    <row r="121" spans="2:66" ht="15" x14ac:dyDescent="0.25">
      <c r="B121" s="1636" t="s">
        <v>1313</v>
      </c>
      <c r="C121" s="3180" t="s">
        <v>50</v>
      </c>
      <c r="D121" s="3594"/>
      <c r="E121" s="2961"/>
      <c r="F121" s="3171"/>
      <c r="G121" s="2961"/>
      <c r="H121" s="3171"/>
      <c r="I121" s="3432"/>
      <c r="J121" s="103">
        <f t="shared" si="330"/>
        <v>0</v>
      </c>
      <c r="K121" s="2961"/>
      <c r="L121" s="3171"/>
      <c r="M121" s="3701"/>
      <c r="N121" s="2885">
        <f t="shared" si="323"/>
        <v>0</v>
      </c>
      <c r="O121" s="2961"/>
      <c r="P121" s="3171"/>
      <c r="Q121" s="3445"/>
      <c r="R121" s="3432">
        <f t="shared" si="331"/>
        <v>0</v>
      </c>
      <c r="S121" s="2961"/>
      <c r="T121" s="3171"/>
      <c r="U121" s="3445"/>
      <c r="V121" s="3432">
        <f t="shared" si="332"/>
        <v>0</v>
      </c>
      <c r="W121" s="2961"/>
      <c r="X121" s="3171"/>
      <c r="Y121" s="3701"/>
      <c r="Z121" s="2885">
        <f t="shared" si="324"/>
        <v>0</v>
      </c>
      <c r="AA121" s="3702"/>
      <c r="AB121" s="2925">
        <f t="shared" si="325"/>
        <v>0</v>
      </c>
      <c r="AC121" s="2961"/>
      <c r="AD121" s="3171"/>
      <c r="AE121" s="3445"/>
      <c r="AF121" s="3432">
        <f t="shared" si="333"/>
        <v>0</v>
      </c>
      <c r="AG121" s="2961"/>
      <c r="AH121" s="3171"/>
      <c r="AI121" s="3445"/>
      <c r="AJ121" s="3432">
        <f t="shared" si="334"/>
        <v>0</v>
      </c>
      <c r="AK121" s="2961"/>
      <c r="AL121" s="3171"/>
      <c r="AM121" s="3701"/>
      <c r="AN121" s="2885">
        <f t="shared" si="326"/>
        <v>0</v>
      </c>
      <c r="AO121" s="3445"/>
      <c r="AP121" s="2884">
        <f t="shared" si="327"/>
        <v>0</v>
      </c>
      <c r="AQ121" s="3174"/>
      <c r="AR121" s="4994"/>
      <c r="AS121" s="3445"/>
      <c r="AT121" s="4993">
        <f t="shared" si="335"/>
        <v>0</v>
      </c>
      <c r="AU121" s="3174"/>
      <c r="AV121" s="6852"/>
      <c r="AW121" s="3445"/>
      <c r="AX121" s="5040">
        <f t="shared" si="336"/>
        <v>0</v>
      </c>
      <c r="AY121" s="3174"/>
      <c r="AZ121" s="7008"/>
      <c r="BA121" s="3701"/>
      <c r="BB121" s="2885">
        <f t="shared" si="328"/>
        <v>0</v>
      </c>
      <c r="BC121" s="3702"/>
      <c r="BD121" s="2925">
        <f t="shared" si="329"/>
        <v>0</v>
      </c>
      <c r="BE121" s="3445"/>
      <c r="BF121" s="37">
        <f t="shared" si="337"/>
        <v>0</v>
      </c>
      <c r="BG121" s="4396"/>
      <c r="BH121" s="4396"/>
      <c r="BI121" s="3604"/>
      <c r="BJ121" s="3604"/>
      <c r="BK121" s="3957"/>
      <c r="BL121" s="3604"/>
      <c r="BM121" s="3957"/>
      <c r="BN121" s="3957"/>
    </row>
    <row r="122" spans="2:66" ht="15" x14ac:dyDescent="0.25">
      <c r="B122" s="1636" t="s">
        <v>884</v>
      </c>
      <c r="C122" s="3180" t="s">
        <v>50</v>
      </c>
      <c r="D122" s="3594"/>
      <c r="E122" s="2961"/>
      <c r="F122" s="3171"/>
      <c r="G122" s="2961"/>
      <c r="H122" s="3171"/>
      <c r="I122" s="3432"/>
      <c r="J122" s="103">
        <f t="shared" si="330"/>
        <v>0</v>
      </c>
      <c r="K122" s="2961"/>
      <c r="L122" s="3171"/>
      <c r="M122" s="3701"/>
      <c r="N122" s="2885">
        <f t="shared" si="323"/>
        <v>0</v>
      </c>
      <c r="O122" s="2961"/>
      <c r="P122" s="3171"/>
      <c r="Q122" s="3445"/>
      <c r="R122" s="3432">
        <f t="shared" si="331"/>
        <v>0</v>
      </c>
      <c r="S122" s="2961"/>
      <c r="T122" s="3171"/>
      <c r="U122" s="3445"/>
      <c r="V122" s="3432">
        <f t="shared" si="332"/>
        <v>0</v>
      </c>
      <c r="W122" s="2961"/>
      <c r="X122" s="3171"/>
      <c r="Y122" s="3701"/>
      <c r="Z122" s="2885">
        <f t="shared" si="324"/>
        <v>0</v>
      </c>
      <c r="AA122" s="3702"/>
      <c r="AB122" s="2925">
        <f t="shared" si="325"/>
        <v>0</v>
      </c>
      <c r="AC122" s="2961"/>
      <c r="AD122" s="3171"/>
      <c r="AE122" s="3445"/>
      <c r="AF122" s="3432">
        <f t="shared" si="333"/>
        <v>0</v>
      </c>
      <c r="AG122" s="2961"/>
      <c r="AH122" s="3171"/>
      <c r="AI122" s="3445"/>
      <c r="AJ122" s="3432">
        <f t="shared" si="334"/>
        <v>0</v>
      </c>
      <c r="AK122" s="2961"/>
      <c r="AL122" s="3171"/>
      <c r="AM122" s="3701"/>
      <c r="AN122" s="2885">
        <f t="shared" si="326"/>
        <v>0</v>
      </c>
      <c r="AO122" s="3445"/>
      <c r="AP122" s="2884">
        <f t="shared" si="327"/>
        <v>0</v>
      </c>
      <c r="AQ122" s="3174"/>
      <c r="AR122" s="4994"/>
      <c r="AS122" s="3445"/>
      <c r="AT122" s="4993">
        <f t="shared" si="335"/>
        <v>0</v>
      </c>
      <c r="AU122" s="3174"/>
      <c r="AV122" s="6852"/>
      <c r="AW122" s="3445"/>
      <c r="AX122" s="5040">
        <f t="shared" si="336"/>
        <v>0</v>
      </c>
      <c r="AY122" s="3174"/>
      <c r="AZ122" s="7008"/>
      <c r="BA122" s="3701"/>
      <c r="BB122" s="2885">
        <f t="shared" si="328"/>
        <v>0</v>
      </c>
      <c r="BC122" s="3702"/>
      <c r="BD122" s="2925">
        <f t="shared" si="329"/>
        <v>0</v>
      </c>
      <c r="BE122" s="3445"/>
      <c r="BF122" s="37">
        <f t="shared" si="337"/>
        <v>0</v>
      </c>
      <c r="BG122" s="4396"/>
      <c r="BH122" s="4396"/>
      <c r="BI122" s="3604"/>
      <c r="BJ122" s="3604"/>
      <c r="BK122" s="3957"/>
      <c r="BL122" s="3604"/>
      <c r="BM122" s="3957"/>
      <c r="BN122" s="3957"/>
    </row>
    <row r="123" spans="2:66" ht="15" x14ac:dyDescent="0.25">
      <c r="B123" s="1636" t="s">
        <v>983</v>
      </c>
      <c r="C123" s="3180" t="s">
        <v>50</v>
      </c>
      <c r="D123" s="3593"/>
      <c r="E123" s="2961"/>
      <c r="F123" s="3171">
        <v>11.083</v>
      </c>
      <c r="G123" s="2961"/>
      <c r="H123" s="3171">
        <v>9.9410000000000007</v>
      </c>
      <c r="I123" s="3432"/>
      <c r="J123" s="103">
        <f t="shared" si="330"/>
        <v>21.024000000000001</v>
      </c>
      <c r="K123" s="2961"/>
      <c r="L123" s="3171">
        <v>8.7230000000000008</v>
      </c>
      <c r="M123" s="3701"/>
      <c r="N123" s="2885">
        <f t="shared" si="323"/>
        <v>29.747</v>
      </c>
      <c r="O123" s="2961"/>
      <c r="P123" s="3171">
        <v>8.1560000000000006</v>
      </c>
      <c r="Q123" s="3445"/>
      <c r="R123" s="3432">
        <f t="shared" si="331"/>
        <v>37.902999999999999</v>
      </c>
      <c r="S123" s="2961"/>
      <c r="T123" s="3171">
        <v>7.8070000000000004</v>
      </c>
      <c r="U123" s="3445"/>
      <c r="V123" s="3432">
        <f t="shared" si="332"/>
        <v>45.71</v>
      </c>
      <c r="W123" s="2961"/>
      <c r="X123" s="3171">
        <v>7.6319999999999997</v>
      </c>
      <c r="Y123" s="3701"/>
      <c r="Z123" s="2885">
        <f t="shared" si="324"/>
        <v>23.594999999999999</v>
      </c>
      <c r="AA123" s="3702"/>
      <c r="AB123" s="2925">
        <f t="shared" si="325"/>
        <v>53.341999999999999</v>
      </c>
      <c r="AC123" s="2961"/>
      <c r="AD123" s="3171">
        <v>7.3780000000000001</v>
      </c>
      <c r="AE123" s="3445"/>
      <c r="AF123" s="3432">
        <f t="shared" si="333"/>
        <v>60.72</v>
      </c>
      <c r="AG123" s="2961"/>
      <c r="AH123" s="3171">
        <v>8.4149999999999991</v>
      </c>
      <c r="AI123" s="3445"/>
      <c r="AJ123" s="3432">
        <f t="shared" si="334"/>
        <v>69.134999999999991</v>
      </c>
      <c r="AK123" s="2961"/>
      <c r="AL123" s="3171">
        <v>9.4049999999999994</v>
      </c>
      <c r="AM123" s="3701"/>
      <c r="AN123" s="2885">
        <f t="shared" si="326"/>
        <v>25.198</v>
      </c>
      <c r="AO123" s="3445"/>
      <c r="AP123" s="2884">
        <f t="shared" si="327"/>
        <v>78.539999999999992</v>
      </c>
      <c r="AQ123" s="3174"/>
      <c r="AR123" s="4994">
        <v>8.3409999999999993</v>
      </c>
      <c r="AS123" s="3445"/>
      <c r="AT123" s="4993">
        <f t="shared" si="335"/>
        <v>86.880999999999986</v>
      </c>
      <c r="AU123" s="3174"/>
      <c r="AV123" s="6852">
        <v>7.5460000000000003</v>
      </c>
      <c r="AW123" s="3445"/>
      <c r="AX123" s="5040">
        <f t="shared" si="336"/>
        <v>94.426999999999992</v>
      </c>
      <c r="AY123" s="3174"/>
      <c r="AZ123" s="7008">
        <v>12.712</v>
      </c>
      <c r="BA123" s="3701"/>
      <c r="BB123" s="2885">
        <f t="shared" si="328"/>
        <v>28.598999999999997</v>
      </c>
      <c r="BC123" s="3702"/>
      <c r="BD123" s="2925">
        <f t="shared" si="329"/>
        <v>53.796999999999997</v>
      </c>
      <c r="BE123" s="3445"/>
      <c r="BF123" s="37">
        <f t="shared" si="337"/>
        <v>107.139</v>
      </c>
      <c r="BG123" s="4396"/>
      <c r="BH123" s="4396"/>
      <c r="BI123" s="3604"/>
      <c r="BJ123" s="3604"/>
      <c r="BK123" s="3957"/>
      <c r="BL123" s="3604"/>
      <c r="BM123" s="3957"/>
      <c r="BN123" s="3957"/>
    </row>
    <row r="124" spans="2:66" ht="15" x14ac:dyDescent="0.25">
      <c r="B124" s="1636" t="s">
        <v>1315</v>
      </c>
      <c r="C124" s="3180" t="s">
        <v>50</v>
      </c>
      <c r="D124" s="3593"/>
      <c r="E124" s="2961"/>
      <c r="F124" s="3171"/>
      <c r="G124" s="2961"/>
      <c r="H124" s="3171"/>
      <c r="I124" s="3432"/>
      <c r="J124" s="103">
        <f t="shared" si="330"/>
        <v>0</v>
      </c>
      <c r="K124" s="2961"/>
      <c r="L124" s="3171"/>
      <c r="M124" s="3701"/>
      <c r="N124" s="2885">
        <f t="shared" si="323"/>
        <v>0</v>
      </c>
      <c r="O124" s="2961"/>
      <c r="P124" s="3171"/>
      <c r="Q124" s="3445"/>
      <c r="R124" s="3432">
        <f t="shared" si="331"/>
        <v>0</v>
      </c>
      <c r="S124" s="2961"/>
      <c r="T124" s="3171"/>
      <c r="U124" s="3445"/>
      <c r="V124" s="3432">
        <f t="shared" si="332"/>
        <v>0</v>
      </c>
      <c r="W124" s="2961"/>
      <c r="X124" s="3171"/>
      <c r="Y124" s="3701"/>
      <c r="Z124" s="2885">
        <f t="shared" si="324"/>
        <v>0</v>
      </c>
      <c r="AA124" s="3702"/>
      <c r="AB124" s="2925">
        <f t="shared" si="325"/>
        <v>0</v>
      </c>
      <c r="AC124" s="2961"/>
      <c r="AD124" s="3171"/>
      <c r="AE124" s="3445"/>
      <c r="AF124" s="3432">
        <f t="shared" si="333"/>
        <v>0</v>
      </c>
      <c r="AG124" s="2961"/>
      <c r="AH124" s="3171"/>
      <c r="AI124" s="3445"/>
      <c r="AJ124" s="3432">
        <f t="shared" si="334"/>
        <v>0</v>
      </c>
      <c r="AK124" s="2961"/>
      <c r="AL124" s="3171"/>
      <c r="AM124" s="3701"/>
      <c r="AN124" s="2885">
        <f t="shared" si="326"/>
        <v>0</v>
      </c>
      <c r="AO124" s="3445"/>
      <c r="AP124" s="2884">
        <f t="shared" si="327"/>
        <v>0</v>
      </c>
      <c r="AQ124" s="3174"/>
      <c r="AR124" s="4994"/>
      <c r="AS124" s="3445"/>
      <c r="AT124" s="4993">
        <f t="shared" si="335"/>
        <v>0</v>
      </c>
      <c r="AU124" s="3174"/>
      <c r="AV124" s="6852"/>
      <c r="AW124" s="3445"/>
      <c r="AX124" s="5040">
        <f t="shared" si="336"/>
        <v>0</v>
      </c>
      <c r="AY124" s="3174"/>
      <c r="AZ124" s="7008"/>
      <c r="BA124" s="3701"/>
      <c r="BB124" s="2885">
        <f t="shared" si="328"/>
        <v>0</v>
      </c>
      <c r="BC124" s="3702"/>
      <c r="BD124" s="2925">
        <f t="shared" si="329"/>
        <v>0</v>
      </c>
      <c r="BE124" s="3445"/>
      <c r="BF124" s="37">
        <f t="shared" si="337"/>
        <v>0</v>
      </c>
      <c r="BG124" s="4396"/>
      <c r="BH124" s="4396"/>
      <c r="BI124" s="3604"/>
      <c r="BJ124" s="3604"/>
      <c r="BK124" s="3957"/>
      <c r="BL124" s="3604"/>
      <c r="BM124" s="3957"/>
      <c r="BN124" s="3957"/>
    </row>
    <row r="125" spans="2:66" ht="15" x14ac:dyDescent="0.25">
      <c r="B125" s="1636" t="s">
        <v>1099</v>
      </c>
      <c r="C125" s="3180" t="s">
        <v>50</v>
      </c>
      <c r="D125" s="3593"/>
      <c r="E125" s="2961"/>
      <c r="F125" s="3171">
        <v>417.25599999999997</v>
      </c>
      <c r="G125" s="2961"/>
      <c r="H125" s="3171">
        <v>696.69899999999996</v>
      </c>
      <c r="I125" s="3432"/>
      <c r="J125" s="103">
        <f t="shared" si="330"/>
        <v>1113.9549999999999</v>
      </c>
      <c r="K125" s="2961"/>
      <c r="L125" s="3171">
        <v>418.88499999999999</v>
      </c>
      <c r="M125" s="3701"/>
      <c r="N125" s="2885">
        <f t="shared" si="323"/>
        <v>1532.8399999999997</v>
      </c>
      <c r="O125" s="2961"/>
      <c r="P125" s="3171">
        <v>401.20400000000001</v>
      </c>
      <c r="Q125" s="3445"/>
      <c r="R125" s="3432">
        <f t="shared" si="331"/>
        <v>1934.0439999999996</v>
      </c>
      <c r="S125" s="2961"/>
      <c r="T125" s="3171">
        <v>386.86900000000003</v>
      </c>
      <c r="U125" s="3445"/>
      <c r="V125" s="3432">
        <f t="shared" si="332"/>
        <v>2320.9129999999996</v>
      </c>
      <c r="W125" s="2961"/>
      <c r="X125" s="3171">
        <v>386.40699999999998</v>
      </c>
      <c r="Y125" s="3701"/>
      <c r="Z125" s="2885">
        <f t="shared" si="324"/>
        <v>1174.48</v>
      </c>
      <c r="AA125" s="3702"/>
      <c r="AB125" s="2925">
        <f t="shared" si="325"/>
        <v>2707.3199999999997</v>
      </c>
      <c r="AC125" s="2961"/>
      <c r="AD125" s="3171">
        <v>335.20800000000003</v>
      </c>
      <c r="AE125" s="3445"/>
      <c r="AF125" s="3432">
        <f t="shared" si="333"/>
        <v>3042.5279999999998</v>
      </c>
      <c r="AG125" s="2961"/>
      <c r="AH125" s="3171">
        <v>354.10599999999999</v>
      </c>
      <c r="AI125" s="3445"/>
      <c r="AJ125" s="3432">
        <f t="shared" si="334"/>
        <v>3396.634</v>
      </c>
      <c r="AK125" s="2961"/>
      <c r="AL125" s="3171">
        <v>423.79599999999999</v>
      </c>
      <c r="AM125" s="3701"/>
      <c r="AN125" s="2885">
        <f t="shared" si="326"/>
        <v>1113.1100000000001</v>
      </c>
      <c r="AO125" s="3445"/>
      <c r="AP125" s="2884">
        <f t="shared" si="327"/>
        <v>3820.43</v>
      </c>
      <c r="AQ125" s="3174"/>
      <c r="AR125" s="4994">
        <v>438.52699999999999</v>
      </c>
      <c r="AS125" s="3445"/>
      <c r="AT125" s="4993">
        <f t="shared" si="335"/>
        <v>4258.9569999999994</v>
      </c>
      <c r="AU125" s="3174"/>
      <c r="AV125" s="6852">
        <v>315.98599999999999</v>
      </c>
      <c r="AW125" s="3445"/>
      <c r="AX125" s="5040">
        <f t="shared" si="336"/>
        <v>4574.9429999999993</v>
      </c>
      <c r="AY125" s="3174"/>
      <c r="AZ125" s="7008">
        <v>339.85</v>
      </c>
      <c r="BA125" s="3701"/>
      <c r="BB125" s="2885">
        <f t="shared" si="328"/>
        <v>1094.3630000000001</v>
      </c>
      <c r="BC125" s="3702"/>
      <c r="BD125" s="2925">
        <f t="shared" si="329"/>
        <v>2207.473</v>
      </c>
      <c r="BE125" s="3445"/>
      <c r="BF125" s="37">
        <f t="shared" si="337"/>
        <v>4914.7929999999997</v>
      </c>
      <c r="BG125" s="4396"/>
      <c r="BH125" s="4396"/>
      <c r="BI125" s="3604"/>
      <c r="BJ125" s="3604"/>
      <c r="BK125" s="3957"/>
      <c r="BL125" s="3604"/>
      <c r="BM125" s="3957"/>
      <c r="BN125" s="3957"/>
    </row>
    <row r="126" spans="2:66" ht="15" x14ac:dyDescent="0.25">
      <c r="B126" s="1636" t="s">
        <v>1</v>
      </c>
      <c r="C126" s="3180" t="s">
        <v>50</v>
      </c>
      <c r="D126" s="3593"/>
      <c r="E126" s="2961"/>
      <c r="F126" s="3171">
        <v>175</v>
      </c>
      <c r="G126" s="2961"/>
      <c r="H126" s="3171">
        <v>50</v>
      </c>
      <c r="I126" s="3432"/>
      <c r="J126" s="103">
        <f t="shared" si="330"/>
        <v>225</v>
      </c>
      <c r="K126" s="2961"/>
      <c r="L126" s="3171">
        <v>106</v>
      </c>
      <c r="M126" s="3701"/>
      <c r="N126" s="2885">
        <f t="shared" si="323"/>
        <v>331</v>
      </c>
      <c r="O126" s="2961"/>
      <c r="P126" s="3171">
        <v>109</v>
      </c>
      <c r="Q126" s="3445"/>
      <c r="R126" s="3432">
        <f t="shared" si="331"/>
        <v>440</v>
      </c>
      <c r="S126" s="2961"/>
      <c r="T126" s="3171">
        <v>114.65</v>
      </c>
      <c r="U126" s="3445"/>
      <c r="V126" s="3432">
        <f t="shared" si="332"/>
        <v>554.65</v>
      </c>
      <c r="W126" s="2961"/>
      <c r="X126" s="3171">
        <v>95</v>
      </c>
      <c r="Y126" s="3701"/>
      <c r="Z126" s="2885">
        <f t="shared" si="324"/>
        <v>318.64999999999998</v>
      </c>
      <c r="AA126" s="3702"/>
      <c r="AB126" s="2925">
        <f t="shared" si="325"/>
        <v>649.65</v>
      </c>
      <c r="AC126" s="2961"/>
      <c r="AD126" s="3171">
        <v>95</v>
      </c>
      <c r="AE126" s="3445"/>
      <c r="AF126" s="3432">
        <f t="shared" si="333"/>
        <v>744.65</v>
      </c>
      <c r="AG126" s="2961"/>
      <c r="AH126" s="3171">
        <v>169</v>
      </c>
      <c r="AI126" s="3445"/>
      <c r="AJ126" s="3432">
        <f t="shared" si="334"/>
        <v>913.65</v>
      </c>
      <c r="AK126" s="2961"/>
      <c r="AL126" s="3171">
        <v>250</v>
      </c>
      <c r="AM126" s="3701"/>
      <c r="AN126" s="2885">
        <f t="shared" si="326"/>
        <v>514</v>
      </c>
      <c r="AO126" s="3445"/>
      <c r="AP126" s="2884">
        <f t="shared" si="327"/>
        <v>1163.6500000000001</v>
      </c>
      <c r="AQ126" s="3174"/>
      <c r="AR126" s="4994">
        <v>225</v>
      </c>
      <c r="AS126" s="3445"/>
      <c r="AT126" s="4993">
        <f t="shared" si="335"/>
        <v>1388.65</v>
      </c>
      <c r="AU126" s="3174"/>
      <c r="AV126" s="6852">
        <v>210</v>
      </c>
      <c r="AW126" s="3445"/>
      <c r="AX126" s="5040">
        <f t="shared" si="336"/>
        <v>1598.65</v>
      </c>
      <c r="AY126" s="3174"/>
      <c r="AZ126" s="7008">
        <v>186</v>
      </c>
      <c r="BA126" s="3701"/>
      <c r="BB126" s="7193">
        <f t="shared" si="328"/>
        <v>621</v>
      </c>
      <c r="BC126" s="3702"/>
      <c r="BD126" s="2925">
        <f t="shared" si="329"/>
        <v>1135</v>
      </c>
      <c r="BE126" s="3445"/>
      <c r="BF126" s="37">
        <f t="shared" si="337"/>
        <v>1784.65</v>
      </c>
      <c r="BG126" s="4396"/>
      <c r="BH126" s="4396"/>
      <c r="BI126" s="3604"/>
      <c r="BJ126" s="5885"/>
      <c r="BK126" s="3957"/>
      <c r="BL126" s="3604"/>
      <c r="BM126" s="3957"/>
      <c r="BN126" s="3957"/>
    </row>
    <row r="127" spans="2:66" ht="15" x14ac:dyDescent="0.25">
      <c r="B127" s="1636" t="s">
        <v>1736</v>
      </c>
      <c r="C127" s="3180" t="s">
        <v>50</v>
      </c>
      <c r="D127" s="6325"/>
      <c r="E127" s="6333"/>
      <c r="F127" s="6337">
        <v>637</v>
      </c>
      <c r="G127" s="6333"/>
      <c r="H127" s="6337">
        <v>759</v>
      </c>
      <c r="I127" s="6332"/>
      <c r="J127" s="37">
        <f t="shared" si="330"/>
        <v>1396</v>
      </c>
      <c r="K127" s="6333"/>
      <c r="L127" s="6337">
        <v>777</v>
      </c>
      <c r="M127" s="6335"/>
      <c r="N127" s="6335">
        <f t="shared" si="323"/>
        <v>2173</v>
      </c>
      <c r="O127" s="6333"/>
      <c r="P127" s="6337">
        <v>707</v>
      </c>
      <c r="Q127" s="6332"/>
      <c r="R127" s="6332">
        <f t="shared" si="331"/>
        <v>2880</v>
      </c>
      <c r="S127" s="6333"/>
      <c r="T127" s="6337">
        <v>710.5</v>
      </c>
      <c r="U127" s="6332"/>
      <c r="V127" s="6332">
        <f t="shared" si="332"/>
        <v>3590.5</v>
      </c>
      <c r="W127" s="6333"/>
      <c r="X127" s="6337">
        <v>717.5</v>
      </c>
      <c r="Y127" s="6335"/>
      <c r="Z127" s="6335">
        <f t="shared" si="324"/>
        <v>2135</v>
      </c>
      <c r="AA127" s="6334"/>
      <c r="AB127" s="6334">
        <f t="shared" si="325"/>
        <v>4308</v>
      </c>
      <c r="AC127" s="6333"/>
      <c r="AD127" s="6337">
        <v>574</v>
      </c>
      <c r="AE127" s="6332"/>
      <c r="AF127" s="6332">
        <f t="shared" si="333"/>
        <v>4882</v>
      </c>
      <c r="AG127" s="6333"/>
      <c r="AH127" s="6337">
        <v>598.5</v>
      </c>
      <c r="AI127" s="6332"/>
      <c r="AJ127" s="6332">
        <f t="shared" si="334"/>
        <v>5480.5</v>
      </c>
      <c r="AK127" s="6571"/>
      <c r="AL127" s="6577">
        <v>640.5</v>
      </c>
      <c r="AM127" s="6335"/>
      <c r="AN127" s="6335">
        <f t="shared" si="326"/>
        <v>1813</v>
      </c>
      <c r="AO127" s="6332"/>
      <c r="AP127" s="6332">
        <f t="shared" si="327"/>
        <v>6121</v>
      </c>
      <c r="AQ127" s="6333"/>
      <c r="AR127" s="6337">
        <v>507.5</v>
      </c>
      <c r="AS127" s="6332"/>
      <c r="AT127" s="6332">
        <f t="shared" si="335"/>
        <v>6628.5</v>
      </c>
      <c r="AU127" s="6845"/>
      <c r="AV127" s="6852">
        <v>427</v>
      </c>
      <c r="AW127" s="6332"/>
      <c r="AX127" s="6332">
        <f t="shared" si="336"/>
        <v>7055.5</v>
      </c>
      <c r="AY127" s="6998"/>
      <c r="AZ127" s="7008">
        <v>731.5</v>
      </c>
      <c r="BA127" s="6335"/>
      <c r="BB127" s="6335">
        <f t="shared" si="328"/>
        <v>1666</v>
      </c>
      <c r="BC127" s="6334"/>
      <c r="BD127" s="6334">
        <f t="shared" si="329"/>
        <v>3479</v>
      </c>
      <c r="BE127" s="6332"/>
      <c r="BF127" s="37">
        <f t="shared" si="337"/>
        <v>7787</v>
      </c>
      <c r="BG127" s="4396"/>
      <c r="BH127" s="4396"/>
      <c r="BI127" s="3604"/>
      <c r="BJ127" s="3604"/>
      <c r="BK127" s="3957"/>
      <c r="BL127" s="3604"/>
      <c r="BM127" s="3957"/>
      <c r="BN127" s="3957"/>
    </row>
    <row r="128" spans="2:66" ht="15" x14ac:dyDescent="0.25">
      <c r="B128" s="1636" t="s">
        <v>673</v>
      </c>
      <c r="C128" s="3180" t="s">
        <v>50</v>
      </c>
      <c r="D128" s="3593"/>
      <c r="E128" s="2961"/>
      <c r="F128" s="3171"/>
      <c r="G128" s="2961"/>
      <c r="H128" s="3171"/>
      <c r="I128" s="3432"/>
      <c r="J128" s="103">
        <f t="shared" si="330"/>
        <v>0</v>
      </c>
      <c r="K128" s="2961"/>
      <c r="L128" s="3171"/>
      <c r="M128" s="3701"/>
      <c r="N128" s="2885">
        <f t="shared" si="323"/>
        <v>0</v>
      </c>
      <c r="O128" s="2961"/>
      <c r="P128" s="3171"/>
      <c r="Q128" s="3445"/>
      <c r="R128" s="3432">
        <f t="shared" si="331"/>
        <v>0</v>
      </c>
      <c r="S128" s="2961"/>
      <c r="T128" s="3171"/>
      <c r="U128" s="3445"/>
      <c r="V128" s="3432">
        <f t="shared" si="332"/>
        <v>0</v>
      </c>
      <c r="W128" s="2961"/>
      <c r="X128" s="3171"/>
      <c r="Y128" s="3701"/>
      <c r="Z128" s="2885">
        <f t="shared" si="324"/>
        <v>0</v>
      </c>
      <c r="AA128" s="3702"/>
      <c r="AB128" s="2925">
        <f t="shared" si="325"/>
        <v>0</v>
      </c>
      <c r="AC128" s="2961"/>
      <c r="AD128" s="3171"/>
      <c r="AE128" s="3445"/>
      <c r="AF128" s="3432">
        <f t="shared" si="333"/>
        <v>0</v>
      </c>
      <c r="AG128" s="2961"/>
      <c r="AH128" s="3171"/>
      <c r="AI128" s="3445"/>
      <c r="AJ128" s="3432">
        <f t="shared" si="334"/>
        <v>0</v>
      </c>
      <c r="AK128" s="2961"/>
      <c r="AL128" s="3171"/>
      <c r="AM128" s="3701"/>
      <c r="AN128" s="2885">
        <f t="shared" si="326"/>
        <v>0</v>
      </c>
      <c r="AO128" s="3445"/>
      <c r="AP128" s="2884">
        <f t="shared" si="327"/>
        <v>0</v>
      </c>
      <c r="AQ128" s="3174"/>
      <c r="AR128" s="4994"/>
      <c r="AS128" s="3445"/>
      <c r="AT128" s="4993">
        <f t="shared" si="335"/>
        <v>0</v>
      </c>
      <c r="AU128" s="3174"/>
      <c r="AV128" s="6852"/>
      <c r="AW128" s="3445"/>
      <c r="AX128" s="5040">
        <f t="shared" si="336"/>
        <v>0</v>
      </c>
      <c r="AY128" s="3174"/>
      <c r="AZ128" s="7008"/>
      <c r="BA128" s="3701"/>
      <c r="BB128" s="2885">
        <f t="shared" si="328"/>
        <v>0</v>
      </c>
      <c r="BC128" s="3702"/>
      <c r="BD128" s="2925">
        <f t="shared" si="329"/>
        <v>0</v>
      </c>
      <c r="BE128" s="3445"/>
      <c r="BF128" s="37">
        <f t="shared" si="337"/>
        <v>0</v>
      </c>
      <c r="BG128" s="4396"/>
      <c r="BH128" s="4396"/>
      <c r="BI128" s="3604"/>
      <c r="BJ128" s="3604"/>
      <c r="BK128" s="3957"/>
      <c r="BL128" s="3604"/>
      <c r="BM128" s="3957"/>
      <c r="BN128" s="3957"/>
    </row>
    <row r="129" spans="2:66" ht="15" x14ac:dyDescent="0.25">
      <c r="B129" s="1636" t="s">
        <v>588</v>
      </c>
      <c r="C129" s="3180" t="s">
        <v>50</v>
      </c>
      <c r="D129" s="3593">
        <v>59.733642845634499</v>
      </c>
      <c r="E129" s="2961">
        <v>4.1064134527595133</v>
      </c>
      <c r="F129" s="3171"/>
      <c r="G129" s="2961"/>
      <c r="H129" s="3171">
        <v>0.433</v>
      </c>
      <c r="I129" s="3432"/>
      <c r="J129" s="103">
        <f t="shared" si="330"/>
        <v>0.433</v>
      </c>
      <c r="K129" s="2961"/>
      <c r="L129" s="3171"/>
      <c r="M129" s="3701"/>
      <c r="N129" s="2885">
        <f t="shared" si="323"/>
        <v>0.433</v>
      </c>
      <c r="O129" s="2961"/>
      <c r="P129" s="3171"/>
      <c r="Q129" s="3445"/>
      <c r="R129" s="3432">
        <f t="shared" si="331"/>
        <v>0.433</v>
      </c>
      <c r="S129" s="2961"/>
      <c r="T129" s="3171"/>
      <c r="U129" s="3445"/>
      <c r="V129" s="3432">
        <f t="shared" si="332"/>
        <v>0.433</v>
      </c>
      <c r="W129" s="2961"/>
      <c r="X129" s="3171"/>
      <c r="Y129" s="3701"/>
      <c r="Z129" s="2885">
        <f t="shared" si="324"/>
        <v>0</v>
      </c>
      <c r="AA129" s="3702"/>
      <c r="AB129" s="2925">
        <f t="shared" si="325"/>
        <v>0.433</v>
      </c>
      <c r="AC129" s="2961"/>
      <c r="AD129" s="3171"/>
      <c r="AE129" s="3445"/>
      <c r="AF129" s="3432">
        <f t="shared" si="333"/>
        <v>0.433</v>
      </c>
      <c r="AG129" s="2961"/>
      <c r="AH129" s="3171"/>
      <c r="AI129" s="3445"/>
      <c r="AJ129" s="3432">
        <f t="shared" si="334"/>
        <v>0.433</v>
      </c>
      <c r="AK129" s="2961"/>
      <c r="AL129" s="3171"/>
      <c r="AM129" s="3701"/>
      <c r="AN129" s="2885">
        <f t="shared" si="326"/>
        <v>0</v>
      </c>
      <c r="AO129" s="3445"/>
      <c r="AP129" s="2884">
        <f t="shared" si="327"/>
        <v>0.433</v>
      </c>
      <c r="AQ129" s="3174"/>
      <c r="AR129" s="4994"/>
      <c r="AS129" s="3445"/>
      <c r="AT129" s="4993">
        <f t="shared" si="335"/>
        <v>0.433</v>
      </c>
      <c r="AU129" s="3174"/>
      <c r="AV129" s="6852"/>
      <c r="AW129" s="3445"/>
      <c r="AX129" s="5040">
        <f t="shared" si="336"/>
        <v>0.433</v>
      </c>
      <c r="AY129" s="3174"/>
      <c r="AZ129" s="3171">
        <v>0.12</v>
      </c>
      <c r="BA129" s="3701"/>
      <c r="BB129" s="2885">
        <f t="shared" si="328"/>
        <v>0.12</v>
      </c>
      <c r="BC129" s="3702"/>
      <c r="BD129" s="2925">
        <f t="shared" si="329"/>
        <v>0.12</v>
      </c>
      <c r="BE129" s="3445"/>
      <c r="BF129" s="37">
        <f t="shared" si="337"/>
        <v>0.55299999999999994</v>
      </c>
      <c r="BG129" s="4396"/>
      <c r="BH129" s="4396"/>
      <c r="BI129" s="3604"/>
      <c r="BJ129" s="3604"/>
      <c r="BK129" s="3957"/>
      <c r="BL129" s="3604"/>
      <c r="BM129" s="3957"/>
      <c r="BN129" s="3957"/>
    </row>
    <row r="130" spans="2:66" ht="15" x14ac:dyDescent="0.25">
      <c r="B130" s="1636" t="s">
        <v>1298</v>
      </c>
      <c r="C130" s="3180" t="s">
        <v>50</v>
      </c>
      <c r="D130" s="3593"/>
      <c r="E130" s="2961"/>
      <c r="F130" s="3171"/>
      <c r="G130" s="2961"/>
      <c r="H130" s="3171"/>
      <c r="I130" s="3432"/>
      <c r="J130" s="103">
        <f t="shared" si="330"/>
        <v>0</v>
      </c>
      <c r="K130" s="2961"/>
      <c r="L130" s="3171"/>
      <c r="M130" s="3701"/>
      <c r="N130" s="2885">
        <f t="shared" si="323"/>
        <v>0</v>
      </c>
      <c r="O130" s="2961"/>
      <c r="P130" s="3171"/>
      <c r="Q130" s="3445"/>
      <c r="R130" s="3432">
        <f t="shared" si="331"/>
        <v>0</v>
      </c>
      <c r="S130" s="2961"/>
      <c r="T130" s="3171"/>
      <c r="U130" s="3445"/>
      <c r="V130" s="3432">
        <f t="shared" si="332"/>
        <v>0</v>
      </c>
      <c r="W130" s="2961"/>
      <c r="X130" s="3171"/>
      <c r="Y130" s="3701"/>
      <c r="Z130" s="2885">
        <f t="shared" si="324"/>
        <v>0</v>
      </c>
      <c r="AA130" s="3702"/>
      <c r="AB130" s="2925">
        <f t="shared" si="325"/>
        <v>0</v>
      </c>
      <c r="AC130" s="2961"/>
      <c r="AD130" s="3171"/>
      <c r="AE130" s="3445"/>
      <c r="AF130" s="3432">
        <f t="shared" si="333"/>
        <v>0</v>
      </c>
      <c r="AG130" s="2961"/>
      <c r="AH130" s="3171"/>
      <c r="AI130" s="3445"/>
      <c r="AJ130" s="3432">
        <f t="shared" si="334"/>
        <v>0</v>
      </c>
      <c r="AK130" s="2961"/>
      <c r="AL130" s="3171"/>
      <c r="AM130" s="3701"/>
      <c r="AN130" s="2885">
        <f t="shared" si="326"/>
        <v>0</v>
      </c>
      <c r="AO130" s="3445"/>
      <c r="AP130" s="2884">
        <f t="shared" si="327"/>
        <v>0</v>
      </c>
      <c r="AQ130" s="3174"/>
      <c r="AR130" s="4994"/>
      <c r="AS130" s="3445"/>
      <c r="AT130" s="4993">
        <f t="shared" si="335"/>
        <v>0</v>
      </c>
      <c r="AU130" s="3174"/>
      <c r="AV130" s="6852"/>
      <c r="AW130" s="3445"/>
      <c r="AX130" s="5040">
        <f t="shared" si="336"/>
        <v>0</v>
      </c>
      <c r="AY130" s="3174"/>
      <c r="AZ130" s="7008"/>
      <c r="BA130" s="3701"/>
      <c r="BB130" s="2885">
        <f t="shared" si="328"/>
        <v>0</v>
      </c>
      <c r="BC130" s="3702"/>
      <c r="BD130" s="2925">
        <f t="shared" si="329"/>
        <v>0</v>
      </c>
      <c r="BE130" s="3445"/>
      <c r="BF130" s="37">
        <f t="shared" si="337"/>
        <v>0</v>
      </c>
      <c r="BG130" s="4396"/>
      <c r="BH130" s="4396"/>
      <c r="BI130" s="3604"/>
      <c r="BJ130" s="3604"/>
      <c r="BK130" s="3957"/>
      <c r="BL130" s="3604"/>
      <c r="BM130" s="3957"/>
      <c r="BN130" s="3957"/>
    </row>
    <row r="131" spans="2:66" ht="15" x14ac:dyDescent="0.25">
      <c r="B131" s="1636" t="s">
        <v>674</v>
      </c>
      <c r="C131" s="3180" t="s">
        <v>50</v>
      </c>
      <c r="D131" s="1938"/>
      <c r="E131" s="2961"/>
      <c r="F131" s="3171">
        <v>55.295999999999999</v>
      </c>
      <c r="G131" s="2961"/>
      <c r="H131" s="3171">
        <v>58.09</v>
      </c>
      <c r="I131" s="3432"/>
      <c r="J131" s="103">
        <f t="shared" si="330"/>
        <v>113.386</v>
      </c>
      <c r="K131" s="2961"/>
      <c r="L131" s="3171">
        <v>64.3</v>
      </c>
      <c r="M131" s="3701"/>
      <c r="N131" s="2885">
        <f t="shared" si="323"/>
        <v>177.68600000000001</v>
      </c>
      <c r="O131" s="2961"/>
      <c r="P131" s="3171">
        <v>60.26</v>
      </c>
      <c r="Q131" s="3445"/>
      <c r="R131" s="3432">
        <f t="shared" si="331"/>
        <v>237.946</v>
      </c>
      <c r="S131" s="2961"/>
      <c r="T131" s="3171">
        <v>64.337000000000003</v>
      </c>
      <c r="U131" s="3445"/>
      <c r="V131" s="3432">
        <f t="shared" si="332"/>
        <v>302.28300000000002</v>
      </c>
      <c r="W131" s="2961"/>
      <c r="X131" s="3171">
        <v>58.1</v>
      </c>
      <c r="Y131" s="3701"/>
      <c r="Z131" s="2885">
        <f t="shared" si="324"/>
        <v>182.697</v>
      </c>
      <c r="AA131" s="3702"/>
      <c r="AB131" s="2925">
        <f t="shared" si="325"/>
        <v>360.38300000000004</v>
      </c>
      <c r="AC131" s="2961"/>
      <c r="AD131" s="3171">
        <v>45.04</v>
      </c>
      <c r="AE131" s="3445"/>
      <c r="AF131" s="3432">
        <f t="shared" si="333"/>
        <v>405.42300000000006</v>
      </c>
      <c r="AG131" s="2961"/>
      <c r="AH131" s="3171">
        <v>58.677999999999997</v>
      </c>
      <c r="AI131" s="3445"/>
      <c r="AJ131" s="3432">
        <f t="shared" si="334"/>
        <v>464.10100000000006</v>
      </c>
      <c r="AK131" s="2961"/>
      <c r="AL131" s="3171">
        <v>61.98</v>
      </c>
      <c r="AM131" s="3701"/>
      <c r="AN131" s="2885">
        <f t="shared" si="326"/>
        <v>165.69799999999998</v>
      </c>
      <c r="AO131" s="3445"/>
      <c r="AP131" s="2884">
        <f t="shared" si="327"/>
        <v>526.08100000000002</v>
      </c>
      <c r="AQ131" s="3174"/>
      <c r="AR131" s="4994">
        <v>60.7</v>
      </c>
      <c r="AS131" s="3445"/>
      <c r="AT131" s="4993">
        <f t="shared" si="335"/>
        <v>586.78100000000006</v>
      </c>
      <c r="AU131" s="3174"/>
      <c r="AV131" s="6852">
        <v>41.45</v>
      </c>
      <c r="AW131" s="3445"/>
      <c r="AX131" s="5040">
        <f t="shared" si="336"/>
        <v>628.23100000000011</v>
      </c>
      <c r="AY131" s="3174"/>
      <c r="AZ131" s="7008">
        <v>58</v>
      </c>
      <c r="BA131" s="3701"/>
      <c r="BB131" s="2885">
        <f t="shared" si="328"/>
        <v>160.15</v>
      </c>
      <c r="BC131" s="3702"/>
      <c r="BD131" s="2925">
        <f t="shared" si="329"/>
        <v>325.84799999999996</v>
      </c>
      <c r="BE131" s="3445"/>
      <c r="BF131" s="37">
        <f t="shared" si="337"/>
        <v>686.23100000000011</v>
      </c>
      <c r="BG131" s="4396"/>
      <c r="BH131" s="4396"/>
      <c r="BI131" s="3604"/>
      <c r="BJ131" s="3604"/>
      <c r="BK131" s="3957"/>
      <c r="BL131" s="3604"/>
      <c r="BM131" s="3957"/>
      <c r="BN131" s="3957"/>
    </row>
    <row r="132" spans="2:66" ht="15.75" thickBot="1" x14ac:dyDescent="0.3">
      <c r="B132" s="1630" t="s">
        <v>1314</v>
      </c>
      <c r="C132" s="702" t="s">
        <v>50</v>
      </c>
      <c r="D132" s="3639"/>
      <c r="E132" s="838"/>
      <c r="F132" s="1362"/>
      <c r="G132" s="838"/>
      <c r="H132" s="1362"/>
      <c r="I132" s="3711"/>
      <c r="J132" s="122">
        <f t="shared" ref="J132" si="338">+F132+H132</f>
        <v>0</v>
      </c>
      <c r="K132" s="838"/>
      <c r="L132" s="1362"/>
      <c r="M132" s="3712"/>
      <c r="N132" s="2885">
        <f t="shared" si="323"/>
        <v>0</v>
      </c>
      <c r="O132" s="838"/>
      <c r="P132" s="1362"/>
      <c r="Q132" s="3713"/>
      <c r="R132" s="3432">
        <f t="shared" si="331"/>
        <v>0</v>
      </c>
      <c r="S132" s="838"/>
      <c r="T132" s="1362"/>
      <c r="U132" s="3713"/>
      <c r="V132" s="3432">
        <f t="shared" si="332"/>
        <v>0</v>
      </c>
      <c r="W132" s="838"/>
      <c r="X132" s="1362"/>
      <c r="Y132" s="3712"/>
      <c r="Z132" s="2885">
        <f t="shared" si="324"/>
        <v>0</v>
      </c>
      <c r="AA132" s="3714"/>
      <c r="AB132" s="2925">
        <f t="shared" si="325"/>
        <v>0</v>
      </c>
      <c r="AC132" s="838"/>
      <c r="AD132" s="1362"/>
      <c r="AE132" s="3713"/>
      <c r="AF132" s="3432">
        <f t="shared" si="333"/>
        <v>0</v>
      </c>
      <c r="AG132" s="838"/>
      <c r="AH132" s="1362"/>
      <c r="AI132" s="3713"/>
      <c r="AJ132" s="3432">
        <f t="shared" si="334"/>
        <v>0</v>
      </c>
      <c r="AK132" s="838"/>
      <c r="AL132" s="1362"/>
      <c r="AM132" s="3712"/>
      <c r="AN132" s="2885">
        <f t="shared" si="326"/>
        <v>0</v>
      </c>
      <c r="AO132" s="3713"/>
      <c r="AP132" s="2884">
        <f t="shared" si="327"/>
        <v>0</v>
      </c>
      <c r="AQ132" s="838"/>
      <c r="AR132" s="4371"/>
      <c r="AS132" s="3713"/>
      <c r="AT132" s="4993">
        <f t="shared" si="335"/>
        <v>0</v>
      </c>
      <c r="AU132" s="838"/>
      <c r="AV132" s="4371"/>
      <c r="AW132" s="3713"/>
      <c r="AX132" s="5040">
        <f t="shared" si="336"/>
        <v>0</v>
      </c>
      <c r="AY132" s="838"/>
      <c r="AZ132" s="4371"/>
      <c r="BA132" s="3712"/>
      <c r="BB132" s="2885">
        <f t="shared" si="328"/>
        <v>0</v>
      </c>
      <c r="BC132" s="3714"/>
      <c r="BD132" s="2925">
        <f t="shared" si="329"/>
        <v>0</v>
      </c>
      <c r="BE132" s="3713"/>
      <c r="BF132" s="37">
        <f t="shared" si="337"/>
        <v>0</v>
      </c>
      <c r="BG132" s="4396"/>
      <c r="BH132" s="4396"/>
      <c r="BI132" s="3604"/>
      <c r="BJ132" s="3604"/>
      <c r="BK132" s="3957"/>
      <c r="BL132" s="3604"/>
      <c r="BM132" s="3957"/>
      <c r="BN132" s="3957"/>
    </row>
    <row r="133" spans="2:66" ht="15.75" thickBot="1" x14ac:dyDescent="0.3">
      <c r="B133" s="3715"/>
      <c r="C133" s="3716"/>
      <c r="D133" s="3717"/>
      <c r="E133" s="3718"/>
      <c r="F133" s="3718"/>
      <c r="G133" s="3718"/>
      <c r="H133" s="3718"/>
      <c r="I133" s="3718"/>
      <c r="J133" s="3719"/>
      <c r="K133" s="3718"/>
      <c r="L133" s="3718"/>
      <c r="M133" s="3660"/>
      <c r="N133" s="3660"/>
      <c r="O133" s="3718"/>
      <c r="P133" s="3718"/>
      <c r="Q133" s="3660"/>
      <c r="R133" s="3660"/>
      <c r="S133" s="3718"/>
      <c r="T133" s="3718"/>
      <c r="U133" s="3660"/>
      <c r="V133" s="3660"/>
      <c r="W133" s="3718"/>
      <c r="X133" s="3718"/>
      <c r="Y133" s="3660"/>
      <c r="Z133" s="3660"/>
      <c r="AA133" s="3660"/>
      <c r="AB133" s="3660"/>
      <c r="AC133" s="3718"/>
      <c r="AD133" s="3718"/>
      <c r="AE133" s="3660"/>
      <c r="AF133" s="3660"/>
      <c r="AG133" s="3718"/>
      <c r="AH133" s="3718"/>
      <c r="AI133" s="3660"/>
      <c r="AJ133" s="3660"/>
      <c r="AK133" s="3718"/>
      <c r="AL133" s="3718"/>
      <c r="AM133" s="3660"/>
      <c r="AN133" s="3660"/>
      <c r="AO133" s="3660"/>
      <c r="AP133" s="3660"/>
      <c r="AQ133" s="3718"/>
      <c r="AR133" s="3718"/>
      <c r="AS133" s="3660"/>
      <c r="AT133" s="3660"/>
      <c r="AU133" s="3718"/>
      <c r="AV133" s="3718"/>
      <c r="AW133" s="3660"/>
      <c r="AX133" s="3660"/>
      <c r="AY133" s="3718"/>
      <c r="AZ133" s="3718"/>
      <c r="BA133" s="3660"/>
      <c r="BB133" s="3660"/>
      <c r="BC133" s="3660"/>
      <c r="BD133" s="3660"/>
      <c r="BE133" s="3660"/>
      <c r="BF133" s="3720"/>
      <c r="BH133" s="3957"/>
      <c r="BI133" s="3604"/>
      <c r="BJ133" s="3604"/>
      <c r="BK133" s="3604"/>
      <c r="BL133" s="3604"/>
      <c r="BM133" s="3957"/>
      <c r="BN133" s="3957"/>
    </row>
    <row r="134" spans="2:66" ht="15" x14ac:dyDescent="0.25">
      <c r="B134" s="3721" t="s">
        <v>539</v>
      </c>
      <c r="C134" s="3601" t="s">
        <v>49</v>
      </c>
      <c r="D134" s="1226"/>
      <c r="E134" s="8075"/>
      <c r="F134" s="7589">
        <v>93.06</v>
      </c>
      <c r="G134" s="8075"/>
      <c r="H134" s="3722">
        <v>91.36</v>
      </c>
      <c r="I134" s="8076"/>
      <c r="J134" s="3691">
        <f>+((F134*F7)+(H134*H7))/J7</f>
        <v>91.987861771058306</v>
      </c>
      <c r="K134" s="8075"/>
      <c r="L134" s="3722">
        <v>95.59</v>
      </c>
      <c r="M134" s="8081"/>
      <c r="N134" s="3703">
        <f>+((F134*F7)+(H134*H7)+(L134*L7))/N7</f>
        <v>93.167647058823533</v>
      </c>
      <c r="O134" s="8075"/>
      <c r="P134" s="3722">
        <v>96.82</v>
      </c>
      <c r="Q134" s="8076"/>
      <c r="R134" s="3690">
        <f>+((N134*N7)+(P134*P7))/R7</f>
        <v>94.181337880377754</v>
      </c>
      <c r="S134" s="8075"/>
      <c r="T134" s="3722">
        <v>92.98</v>
      </c>
      <c r="U134" s="8076"/>
      <c r="V134" s="3690">
        <f>+((R134*R7)+(T134*T7))/V7</f>
        <v>93.937253344481604</v>
      </c>
      <c r="W134" s="8075"/>
      <c r="X134" s="3722">
        <v>95.77</v>
      </c>
      <c r="Y134" s="8081"/>
      <c r="Z134" s="3703">
        <f>+((P134*P7)+(T134*T7)+(X134*X7))/Z7</f>
        <v>95.234913101604278</v>
      </c>
      <c r="AA134" s="8056"/>
      <c r="AB134" s="3723">
        <f>+((Z134*Z7)+(N134*N7))/AB7</f>
        <v>94.24409328228333</v>
      </c>
      <c r="AC134" s="8075"/>
      <c r="AD134" s="3722">
        <v>97.87</v>
      </c>
      <c r="AE134" s="8076"/>
      <c r="AF134" s="3690">
        <f>+((AB134*AB7)+(AD134*AD7))/AF7</f>
        <v>94.641853114347697</v>
      </c>
      <c r="AG134" s="8075"/>
      <c r="AH134" s="3722">
        <v>96.14</v>
      </c>
      <c r="AI134" s="8076"/>
      <c r="AJ134" s="3690">
        <f>+((AF134*AF7)+(AH134*AH7))/AJ7</f>
        <v>94.85353911655136</v>
      </c>
      <c r="AK134" s="8075"/>
      <c r="AL134" s="3722">
        <v>94.02</v>
      </c>
      <c r="AM134" s="8081"/>
      <c r="AN134" s="3703">
        <f>+((AD134*AD7)+(AH134*AH7)+(AL134*AL7))/AN7</f>
        <v>95.776259703599166</v>
      </c>
      <c r="AO134" s="8076"/>
      <c r="AP134" s="3690">
        <f>+((AL134*AL7)+(AJ134*AJ7))/AP7</f>
        <v>94.750172494172503</v>
      </c>
      <c r="AQ134" s="8075"/>
      <c r="AR134" s="3722">
        <v>94.75</v>
      </c>
      <c r="AS134" s="8076"/>
      <c r="AT134" s="3690">
        <f>+((AP134*AP7)+(AR134*AR7))/AT7</f>
        <v>94.750153336096162</v>
      </c>
      <c r="AU134" s="8075"/>
      <c r="AV134" s="3722">
        <v>95.58</v>
      </c>
      <c r="AW134" s="8076"/>
      <c r="AX134" s="3690">
        <f>+((AT134*AT7)+(AV134*AV7))/AX7</f>
        <v>94.819346628679966</v>
      </c>
      <c r="AY134" s="8075"/>
      <c r="AZ134" s="3722">
        <v>94.61</v>
      </c>
      <c r="BA134" s="8081"/>
      <c r="BB134" s="3703">
        <f>+((AR134*AR7)+(AV134*AV7)+(AZ134*AZ7))/BB7</f>
        <v>94.941044282881691</v>
      </c>
      <c r="BC134" s="8056"/>
      <c r="BD134" s="3723">
        <f>+((BB134*BB7)+(AN134*AN7))/BD7</f>
        <v>95.344969283276455</v>
      </c>
      <c r="BE134" s="8076"/>
      <c r="BF134" s="3691">
        <f>+((AX134*AX7)+(AZ134*AZ7))/BF7</f>
        <v>94.799937963122531</v>
      </c>
      <c r="BH134" s="3957"/>
      <c r="BI134" s="3604"/>
      <c r="BJ134" s="3604"/>
      <c r="BK134" s="3604"/>
      <c r="BL134" s="3604"/>
      <c r="BM134" s="3957"/>
      <c r="BN134" s="3957"/>
    </row>
    <row r="135" spans="2:66" ht="15" x14ac:dyDescent="0.25">
      <c r="B135" s="3724" t="s">
        <v>538</v>
      </c>
      <c r="C135" s="3686" t="s">
        <v>49</v>
      </c>
      <c r="D135" s="1226"/>
      <c r="E135" s="8075"/>
      <c r="F135" s="7589">
        <v>91.67</v>
      </c>
      <c r="G135" s="8075"/>
      <c r="H135" s="3722">
        <v>89.16</v>
      </c>
      <c r="I135" s="8076"/>
      <c r="J135" s="3691">
        <f>+((F135*F8)+(H135*H8))/J8</f>
        <v>90.603508230452675</v>
      </c>
      <c r="K135" s="8075"/>
      <c r="L135" s="3722">
        <v>95.79</v>
      </c>
      <c r="M135" s="8081"/>
      <c r="N135" s="3703">
        <f>+((F135*F8)+(H135*H8)+(L135*L8))/N8</f>
        <v>92.545939510939519</v>
      </c>
      <c r="O135" s="8075"/>
      <c r="P135" s="3722">
        <v>98.07</v>
      </c>
      <c r="Q135" s="8076"/>
      <c r="R135" s="3690">
        <f>+((N135*N8)+(P135*P8))/R8</f>
        <v>94.013104914933848</v>
      </c>
      <c r="S135" s="8075"/>
      <c r="T135" s="3722">
        <v>94.4</v>
      </c>
      <c r="U135" s="8076"/>
      <c r="V135" s="3690">
        <f>+((R135*R8)+(T135*T8))/V8</f>
        <v>94.090951302378258</v>
      </c>
      <c r="W135" s="8075"/>
      <c r="X135" s="3722">
        <v>95.79</v>
      </c>
      <c r="Y135" s="8081"/>
      <c r="Z135" s="3703">
        <f>+((P135*P8)+(T135*T8)+(X135*X8))/Z8</f>
        <v>96.125291563275439</v>
      </c>
      <c r="AA135" s="8056"/>
      <c r="AB135" s="3723">
        <f>+((Z135*Z8)+(N135*N8))/AB8</f>
        <v>94.368401768793419</v>
      </c>
      <c r="AC135" s="8075"/>
      <c r="AD135" s="3722">
        <v>68.41</v>
      </c>
      <c r="AE135" s="8076"/>
      <c r="AF135" s="3690">
        <f>+((AB135*AB8)+(AD135*AD8))/AF8</f>
        <v>91.501964034841251</v>
      </c>
      <c r="AG135" s="8075"/>
      <c r="AH135" s="3722">
        <v>94.65</v>
      </c>
      <c r="AI135" s="8076"/>
      <c r="AJ135" s="3690">
        <f>+((AF135*AF8)+(AH135*AH8))/AJ8</f>
        <v>91.882248023715405</v>
      </c>
      <c r="AK135" s="8075"/>
      <c r="AL135" s="3722">
        <v>98.28</v>
      </c>
      <c r="AM135" s="8081"/>
      <c r="AN135" s="3703">
        <f>+((AD135*AD8)+(AH135*AH8)+(AL135*AL8))/AN8</f>
        <v>88.430160349854233</v>
      </c>
      <c r="AO135" s="8076"/>
      <c r="AP135" s="3690">
        <f>+((AL135*AL8)+(AJ135*AJ8))/AP8</f>
        <v>92.573058616130453</v>
      </c>
      <c r="AQ135" s="8075"/>
      <c r="AR135" s="3722">
        <v>89.04</v>
      </c>
      <c r="AS135" s="8076"/>
      <c r="AT135" s="3690">
        <f>+((AP135*AP8)+(AR135*AR8))/AT8</f>
        <v>92.263365500603129</v>
      </c>
      <c r="AU135" s="8075"/>
      <c r="AV135" s="3722">
        <v>92.02</v>
      </c>
      <c r="AW135" s="8076"/>
      <c r="AX135" s="3690">
        <f>+((AT135*AT8)+(AV135*AV8))/AX8</f>
        <v>92.245881694345954</v>
      </c>
      <c r="AY135" s="8075"/>
      <c r="AZ135" s="3722">
        <v>89.51</v>
      </c>
      <c r="BA135" s="8081"/>
      <c r="BB135" s="3703">
        <f>+((AR135*AR8)+(AV135*AV8)+(AZ135*AZ8))/BB8</f>
        <v>90.097523148148142</v>
      </c>
      <c r="BC135" s="8056"/>
      <c r="BD135" s="3723">
        <f>+((BB135*BB8)+(AN135*AN8))/BD8</f>
        <v>89.240093703148432</v>
      </c>
      <c r="BE135" s="8076"/>
      <c r="BF135" s="3691">
        <f>+((AX135*AX8)+(AZ135*AZ8))/BF8</f>
        <v>92.023128213918397</v>
      </c>
      <c r="BH135" s="3957"/>
      <c r="BI135" s="3604"/>
      <c r="BJ135" s="3604"/>
      <c r="BK135" s="3604"/>
      <c r="BL135" s="3604"/>
      <c r="BM135" s="3957"/>
      <c r="BN135" s="3957"/>
    </row>
    <row r="136" spans="2:66" ht="15.75" thickBot="1" x14ac:dyDescent="0.3">
      <c r="B136" s="3725" t="s">
        <v>540</v>
      </c>
      <c r="C136" s="3671" t="s">
        <v>49</v>
      </c>
      <c r="D136" s="1226"/>
      <c r="E136" s="8075"/>
      <c r="F136" s="7589">
        <v>92.94</v>
      </c>
      <c r="G136" s="8075"/>
      <c r="H136" s="3722">
        <v>90.35</v>
      </c>
      <c r="I136" s="8076"/>
      <c r="J136" s="3691">
        <f>+((F136*F9)+(H136*H9))/J9</f>
        <v>91.647490384615367</v>
      </c>
      <c r="K136" s="8075"/>
      <c r="L136" s="3722">
        <v>96.13</v>
      </c>
      <c r="M136" s="8081"/>
      <c r="N136" s="3703">
        <f>+((F136*F9)+(H136*H9)+(L136*L9))/N9</f>
        <v>93.151207667731626</v>
      </c>
      <c r="O136" s="8075"/>
      <c r="P136" s="3722">
        <v>97.68</v>
      </c>
      <c r="Q136" s="8076"/>
      <c r="R136" s="3690">
        <f>+((N136*N9)+(P136*P9))/R9</f>
        <v>94.287199617041637</v>
      </c>
      <c r="S136" s="8075"/>
      <c r="T136" s="3722">
        <v>92.39</v>
      </c>
      <c r="U136" s="8076"/>
      <c r="V136" s="3690">
        <f>+((R136*R9)+(T136*T9))/V9</f>
        <v>93.920803398995744</v>
      </c>
      <c r="W136" s="8075"/>
      <c r="X136" s="3722">
        <v>92.04</v>
      </c>
      <c r="Y136" s="8081"/>
      <c r="Z136" s="3703">
        <f>+((P136*P9)+(T136*T9)+(X136*X9))/Z9</f>
        <v>94.155108108108109</v>
      </c>
      <c r="AA136" s="8056"/>
      <c r="AB136" s="3723">
        <f>+((Z136*Z9)+(N136*N9))/AB9</f>
        <v>93.639146141215093</v>
      </c>
      <c r="AC136" s="8075"/>
      <c r="AD136" s="3722">
        <v>70.400000000000006</v>
      </c>
      <c r="AE136" s="8076"/>
      <c r="AF136" s="3690">
        <f>+((AB136*AB9)+(AD136*AD9))/AF9</f>
        <v>90.911072463768107</v>
      </c>
      <c r="AG136" s="8075"/>
      <c r="AH136" s="3722">
        <v>96.38</v>
      </c>
      <c r="AI136" s="8076"/>
      <c r="AJ136" s="3690">
        <f>+((AF136*AF9)+(AH136*AH9))/AJ9</f>
        <v>91.525922305119622</v>
      </c>
      <c r="AK136" s="8075"/>
      <c r="AL136" s="3722">
        <v>96.7</v>
      </c>
      <c r="AM136" s="8081"/>
      <c r="AN136" s="3703">
        <f>+((AD136*AD9)+(AH136*AH9)+(AL136*AL9))/AN9</f>
        <v>88.549441087613289</v>
      </c>
      <c r="AO136" s="8076"/>
      <c r="AP136" s="3690">
        <f>+((AL136*AL9)+(AJ136*AJ9))/AP9</f>
        <v>92.096740672922863</v>
      </c>
      <c r="AQ136" s="8075"/>
      <c r="AR136" s="3722">
        <v>93.69</v>
      </c>
      <c r="AS136" s="8076"/>
      <c r="AT136" s="3690">
        <f>+((AP136*AP9)+(AR136*AR9))/AT9</f>
        <v>92.257705761316856</v>
      </c>
      <c r="AU136" s="8075"/>
      <c r="AV136" s="3722">
        <v>94.79</v>
      </c>
      <c r="AW136" s="8076"/>
      <c r="AX136" s="3690">
        <f>+((AT136*AT9)+(AV136*AV9))/AX9</f>
        <v>92.434151990811614</v>
      </c>
      <c r="AY136" s="8075"/>
      <c r="AZ136" s="3722">
        <v>94.21</v>
      </c>
      <c r="BA136" s="8081"/>
      <c r="BB136" s="3703">
        <f>+((AR136*AR9)+(AV136*AV9)+(AZ136*AZ9))/BB9</f>
        <v>94.177737226277372</v>
      </c>
      <c r="BC136" s="8056"/>
      <c r="BD136" s="3723">
        <f>+((BB136*BB9)+(AN136*AN9))/BD9</f>
        <v>91.411640682999248</v>
      </c>
      <c r="BE136" s="8076"/>
      <c r="BF136" s="3691">
        <f>+((AX136*AX9)+(AZ136*AZ9))/BF9</f>
        <v>92.593511064645398</v>
      </c>
      <c r="BH136" s="3957"/>
      <c r="BI136" s="3604"/>
      <c r="BJ136" s="3604"/>
      <c r="BK136" s="3604"/>
      <c r="BL136" s="3604"/>
      <c r="BM136" s="3957"/>
      <c r="BN136" s="3957"/>
    </row>
    <row r="137" spans="2:66" ht="15" x14ac:dyDescent="0.25">
      <c r="B137" s="3721" t="s">
        <v>551</v>
      </c>
      <c r="C137" s="3601" t="s">
        <v>49</v>
      </c>
      <c r="D137" s="1226"/>
      <c r="E137" s="3600"/>
      <c r="F137" s="7589">
        <v>71.805555555555557</v>
      </c>
      <c r="G137" s="5593"/>
      <c r="H137" s="3722">
        <v>75.7</v>
      </c>
      <c r="I137" s="3482"/>
      <c r="J137" s="3691">
        <f>+((F137*F22)+(H137*H22))/J22</f>
        <v>73.808194308145247</v>
      </c>
      <c r="K137" s="5709"/>
      <c r="L137" s="3722">
        <v>74.010000000000005</v>
      </c>
      <c r="M137" s="3613"/>
      <c r="N137" s="3703">
        <f>+((F137*F22)+(H137*H22)+(L137*L22))/N22</f>
        <v>73.878179487179494</v>
      </c>
      <c r="O137" s="5846"/>
      <c r="P137" s="3722">
        <v>78.78</v>
      </c>
      <c r="Q137" s="3482"/>
      <c r="R137" s="3690">
        <f>+((N137*N22)+(P137*P22))/R22</f>
        <v>75.218360503027483</v>
      </c>
      <c r="S137" s="5914"/>
      <c r="T137" s="3722">
        <v>70.53</v>
      </c>
      <c r="U137" s="3482"/>
      <c r="V137" s="3690">
        <f>+((R137*R22)+(T137*T22))/V22</f>
        <v>74.315599849567505</v>
      </c>
      <c r="W137" s="6026"/>
      <c r="X137" s="3722">
        <v>71.599999999999994</v>
      </c>
      <c r="Y137" s="3613"/>
      <c r="Z137" s="3703">
        <f>+((P137*P22)+(T137*T22)+(X137*X22))/Z22</f>
        <v>73.90762743864066</v>
      </c>
      <c r="AA137" s="3615"/>
      <c r="AB137" s="3723">
        <f>+((Z137*Z22)+(N137*N22))/AB22</f>
        <v>73.893039060019049</v>
      </c>
      <c r="AC137" s="6145"/>
      <c r="AD137" s="3722">
        <v>60.47</v>
      </c>
      <c r="AE137" s="3482"/>
      <c r="AF137" s="3690">
        <f>+((AB137*AB22)+(AD137*AD22))/AF22</f>
        <v>72.247417107829477</v>
      </c>
      <c r="AG137" s="6307"/>
      <c r="AH137" s="3722">
        <v>77.145833333333314</v>
      </c>
      <c r="AI137" s="3482"/>
      <c r="AJ137" s="3690">
        <f>+((AF137*AF22)+(AH137*AH22))/AJ22</f>
        <v>72.890104494472666</v>
      </c>
      <c r="AK137" s="6569"/>
      <c r="AL137" s="3722">
        <v>63.967293906810035</v>
      </c>
      <c r="AM137" s="3613"/>
      <c r="AN137" s="3703">
        <f>+((AD137*AD22)+(AH137*AH22)+(AL137*AL22))/AN22</f>
        <v>67.867056641799039</v>
      </c>
      <c r="AO137" s="3482"/>
      <c r="AP137" s="3690">
        <f>+((AL137*AL22)+(AJ137*AJ22))/AP22</f>
        <v>72.004827822561097</v>
      </c>
      <c r="AQ137" s="4969"/>
      <c r="AR137" s="3722">
        <v>63.328853046594979</v>
      </c>
      <c r="AS137" s="3482"/>
      <c r="AT137" s="3690">
        <f>+((AP137*AP22)+(AR137*AR22))/AT22</f>
        <v>71.215477491110462</v>
      </c>
      <c r="AU137" s="6843"/>
      <c r="AV137" s="3722">
        <v>55.30257936507936</v>
      </c>
      <c r="AW137" s="3482"/>
      <c r="AX137" s="3690">
        <f>+((AT137*AT22)+(AV137*AV22))/AX22</f>
        <v>70.13912917949942</v>
      </c>
      <c r="AY137" s="6996"/>
      <c r="AZ137" s="3722">
        <v>64.63933691756273</v>
      </c>
      <c r="BA137" s="3613"/>
      <c r="BB137" s="3703">
        <f>+((AR137*AR22)+(AV137*AV22)+(AZ137*AZ22))/BB22</f>
        <v>61.54082854363589</v>
      </c>
      <c r="BC137" s="3615"/>
      <c r="BD137" s="3723">
        <f>+((BB137*BB22)+(AN137*AN22))/BD22</f>
        <v>64.865916245559973</v>
      </c>
      <c r="BE137" s="3482"/>
      <c r="BF137" s="3691">
        <f>+((AX137*AX22)+(AZ137*AZ22))/BF22</f>
        <v>69.697874386428865</v>
      </c>
      <c r="BH137" s="3957"/>
      <c r="BI137" s="3604"/>
      <c r="BJ137" s="3604"/>
      <c r="BK137" s="3604"/>
      <c r="BL137" s="3604"/>
      <c r="BM137" s="3957"/>
      <c r="BN137" s="3957"/>
    </row>
    <row r="138" spans="2:66" ht="15" x14ac:dyDescent="0.25">
      <c r="B138" s="3724" t="s">
        <v>552</v>
      </c>
      <c r="C138" s="3686" t="s">
        <v>49</v>
      </c>
      <c r="D138" s="1226"/>
      <c r="E138" s="3600"/>
      <c r="F138" s="7589">
        <v>80.28017241379311</v>
      </c>
      <c r="G138" s="5593"/>
      <c r="H138" s="3722">
        <v>81.069999999999993</v>
      </c>
      <c r="I138" s="3482"/>
      <c r="J138" s="3691">
        <f>+((F138*F23)+(H138*H23))/J23</f>
        <v>80.686970972811096</v>
      </c>
      <c r="K138" s="5709"/>
      <c r="L138" s="3722">
        <v>82.63</v>
      </c>
      <c r="M138" s="3613"/>
      <c r="N138" s="3703">
        <f>+((F138*F23)+(H138*H23)+(L138*L23))/N23</f>
        <v>81.366868217651927</v>
      </c>
      <c r="O138" s="5846"/>
      <c r="P138" s="3722">
        <v>80.459999999999994</v>
      </c>
      <c r="Q138" s="3482"/>
      <c r="R138" s="3690">
        <f>+((N138*N23)+(P138*P23))/R23</f>
        <v>81.135994683908038</v>
      </c>
      <c r="S138" s="5914"/>
      <c r="T138" s="3722">
        <v>83.15</v>
      </c>
      <c r="U138" s="3482"/>
      <c r="V138" s="3690">
        <f>+((R138*R23)+(T138*T23))/V23</f>
        <v>81.556326159373327</v>
      </c>
      <c r="W138" s="6026"/>
      <c r="X138" s="3722">
        <v>84.14</v>
      </c>
      <c r="Y138" s="3613"/>
      <c r="Z138" s="3703">
        <f>+((P138*P23)+(T138*T23)+(X138*X23))/Z23</f>
        <v>82.590889008620692</v>
      </c>
      <c r="AA138" s="3615"/>
      <c r="AB138" s="3723">
        <f>+((Z138*Z23)+(N138*N23))/AB23</f>
        <v>81.990128186935337</v>
      </c>
      <c r="AC138" s="6145"/>
      <c r="AD138" s="3722">
        <v>59.88</v>
      </c>
      <c r="AE138" s="3482"/>
      <c r="AF138" s="3690">
        <f>+((AB138*AB23)+(AD138*AD23))/AF23</f>
        <v>79.676467020726918</v>
      </c>
      <c r="AG138" s="6307"/>
      <c r="AH138" s="3722">
        <v>81.145833333333314</v>
      </c>
      <c r="AI138" s="3482"/>
      <c r="AJ138" s="3690">
        <f>+((AF138*AF23)+(AH138*AH23))/AJ23</f>
        <v>79.862187355088551</v>
      </c>
      <c r="AK138" s="6569"/>
      <c r="AL138" s="3722">
        <v>84.536290322580641</v>
      </c>
      <c r="AM138" s="3613"/>
      <c r="AN138" s="3703">
        <f>+((AD138*AD23)+(AH138*AH23)+(AL138*AL23))/AN23</f>
        <v>76.937166405203115</v>
      </c>
      <c r="AO138" s="3482"/>
      <c r="AP138" s="3690">
        <f>+((AL138*AL23)+(AJ138*AJ23))/AP23</f>
        <v>80.418838559156612</v>
      </c>
      <c r="AQ138" s="4969"/>
      <c r="AR138" s="3722">
        <v>82.329749103942646</v>
      </c>
      <c r="AS138" s="3482"/>
      <c r="AT138" s="3690">
        <f>+((AP138*AP23)+(AR138*AR23))/AT23</f>
        <v>80.612623780022474</v>
      </c>
      <c r="AU138" s="6843"/>
      <c r="AV138" s="3722">
        <v>78.325892857142861</v>
      </c>
      <c r="AW138" s="3482"/>
      <c r="AX138" s="3690">
        <f>+((AT138*AT23)+(AV138*AV23))/AX23</f>
        <v>80.432949508104258</v>
      </c>
      <c r="AY138" s="6996"/>
      <c r="AZ138" s="3722">
        <v>84.534050179211448</v>
      </c>
      <c r="BA138" s="3613"/>
      <c r="BB138" s="3703">
        <f>+((AR138*AR23)+(AV138*AV23)+(AZ138*AZ23))/BB23</f>
        <v>81.99250045580898</v>
      </c>
      <c r="BC138" s="3615"/>
      <c r="BD138" s="3723">
        <f>+((BB138*BB23)+(AN138*AN23))/BD23</f>
        <v>79.53867203643847</v>
      </c>
      <c r="BE138" s="3482"/>
      <c r="BF138" s="3691">
        <f>+((AX138*AX23)+(AZ138*AZ23))/BF23</f>
        <v>80.80901006153961</v>
      </c>
      <c r="BH138" s="3957"/>
      <c r="BI138" s="3604"/>
      <c r="BJ138" s="3604"/>
      <c r="BK138" s="3604"/>
      <c r="BL138" s="3604"/>
      <c r="BM138" s="3957"/>
      <c r="BN138" s="3957"/>
    </row>
    <row r="139" spans="2:66" ht="15.75" thickBot="1" x14ac:dyDescent="0.3">
      <c r="B139" s="3725" t="s">
        <v>553</v>
      </c>
      <c r="C139" s="3671" t="s">
        <v>49</v>
      </c>
      <c r="D139" s="1066"/>
      <c r="E139" s="2217"/>
      <c r="F139" s="7597">
        <v>54.907135874877817</v>
      </c>
      <c r="G139" s="2217"/>
      <c r="H139" s="1593">
        <v>63.4</v>
      </c>
      <c r="I139" s="3628"/>
      <c r="J139" s="3726">
        <f>+((F139*F24)+(H139*H24))/J24</f>
        <v>59.345560876437688</v>
      </c>
      <c r="K139" s="2217"/>
      <c r="L139" s="1593">
        <v>63.2</v>
      </c>
      <c r="M139" s="3629"/>
      <c r="N139" s="3727">
        <f>+((F139*F24)+(H139*H24)+(L139*L24))/N24</f>
        <v>60.659650989554024</v>
      </c>
      <c r="O139" s="2217"/>
      <c r="P139" s="1593">
        <v>65.62</v>
      </c>
      <c r="Q139" s="3628"/>
      <c r="R139" s="582">
        <f>+((N139*N24)+(P139*P24))/R24</f>
        <v>61.975596766955022</v>
      </c>
      <c r="S139" s="2217"/>
      <c r="T139" s="1593">
        <v>63.56</v>
      </c>
      <c r="U139" s="3628"/>
      <c r="V139" s="582">
        <f>+((R139*R24)+(T139*T24))/V24</f>
        <v>62.280448143047913</v>
      </c>
      <c r="W139" s="2217"/>
      <c r="X139" s="1593">
        <v>57.24</v>
      </c>
      <c r="Y139" s="3629"/>
      <c r="Z139" s="3727">
        <f>+((P139*P24)+(T139*T24)+(X139*X24))/Z24</f>
        <v>62.373829787234037</v>
      </c>
      <c r="AA139" s="3630"/>
      <c r="AB139" s="3728">
        <f>+((Z139*Z24)+(N139*N24))/AB24</f>
        <v>61.511829783640877</v>
      </c>
      <c r="AC139" s="2217"/>
      <c r="AD139" s="1593">
        <v>48.54</v>
      </c>
      <c r="AE139" s="3628"/>
      <c r="AF139" s="582">
        <f>+((AB139*AB24)+(AD139*AD24))/AF24</f>
        <v>60.091444968242214</v>
      </c>
      <c r="AG139" s="2217"/>
      <c r="AH139" s="1593">
        <v>55.688824662813118</v>
      </c>
      <c r="AI139" s="3628"/>
      <c r="AJ139" s="582">
        <f>+((AF139*AF24)+(AH139*AH24))/AJ24</f>
        <v>59.592052407501122</v>
      </c>
      <c r="AK139" s="2217"/>
      <c r="AL139" s="1593">
        <v>63.028846153846146</v>
      </c>
      <c r="AM139" s="3629"/>
      <c r="AN139" s="3727">
        <f>+((AD139*AD24)+(AH139*AH24)+(AL139*AL24))/AN24</f>
        <v>56.744436893104108</v>
      </c>
      <c r="AO139" s="3628"/>
      <c r="AP139" s="582">
        <f>+((AL139*AL24)+(AJ139*AJ24))/AP24</f>
        <v>60.029348666146298</v>
      </c>
      <c r="AQ139" s="2217"/>
      <c r="AR139" s="1593">
        <v>64.779693486590062</v>
      </c>
      <c r="AS139" s="3628"/>
      <c r="AT139" s="582">
        <f>+((AP139*AP24)+(AR139*AR24))/AT24</f>
        <v>60.549600059407446</v>
      </c>
      <c r="AU139" s="2217"/>
      <c r="AV139" s="1593">
        <v>59.128035320088294</v>
      </c>
      <c r="AW139" s="3628"/>
      <c r="AX139" s="582">
        <f>+((AT139*AT24)+(AV139*AV24))/AX24</f>
        <v>60.437361946738918</v>
      </c>
      <c r="AY139" s="2217"/>
      <c r="AZ139" s="1593">
        <v>65.368521160247298</v>
      </c>
      <c r="BA139" s="3629"/>
      <c r="BB139" s="3727">
        <f>+((AR139*AR24)+(AV139*AV24)+(AZ139*AZ24))/BB24</f>
        <v>63.408566059308676</v>
      </c>
      <c r="BC139" s="3630"/>
      <c r="BD139" s="3728">
        <f>+((BB139*BB24)+(AN139*AN24))/BD24</f>
        <v>60.241945054114488</v>
      </c>
      <c r="BE139" s="3628"/>
      <c r="BF139" s="3726">
        <f>+((AX139*AX24)+(AZ139*AZ24))/BF24</f>
        <v>60.893248953593556</v>
      </c>
      <c r="BH139" s="3957"/>
      <c r="BI139" s="3604"/>
      <c r="BJ139" s="3604"/>
      <c r="BK139" s="3604"/>
      <c r="BL139" s="3604"/>
      <c r="BM139" s="3957"/>
      <c r="BN139" s="3957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396"/>
      <c r="R140" s="4396"/>
      <c r="T140" s="4"/>
      <c r="W140" s="4"/>
      <c r="AH140" s="3604"/>
      <c r="AJ140" s="3604"/>
      <c r="AL140" s="3604"/>
      <c r="AQ140" s="4396"/>
      <c r="AR140" s="4396"/>
      <c r="AU140" s="4396"/>
      <c r="AV140" s="4396"/>
      <c r="AY140" s="4396"/>
      <c r="AZ140" s="4396"/>
    </row>
    <row r="141" spans="2:66" ht="21" hidden="1" customHeight="1" x14ac:dyDescent="0.25">
      <c r="B141" s="3729" t="s">
        <v>1462</v>
      </c>
      <c r="C141" s="3730"/>
      <c r="D141" s="3730"/>
      <c r="E141" s="3730"/>
      <c r="F141" s="3730"/>
      <c r="G141" s="3730"/>
      <c r="H141" s="3730"/>
      <c r="I141" s="3730"/>
      <c r="J141" s="3730"/>
      <c r="K141" s="3730"/>
      <c r="L141" s="3730"/>
      <c r="M141" s="3730"/>
      <c r="N141" s="3730"/>
      <c r="O141" s="3730"/>
      <c r="P141" s="3730"/>
      <c r="Q141" s="3730"/>
      <c r="R141" s="3730"/>
      <c r="S141" s="3730"/>
      <c r="T141" s="3730"/>
      <c r="U141" s="3730"/>
      <c r="V141" s="3730"/>
      <c r="W141" s="3730"/>
      <c r="X141" s="3730"/>
      <c r="AC141" s="3730"/>
      <c r="AD141" s="3730"/>
      <c r="AG141" s="3730"/>
      <c r="AH141" s="3730"/>
      <c r="AJ141" s="3730"/>
      <c r="AK141" s="3730"/>
      <c r="AL141" s="3730"/>
      <c r="AQ141" s="3730"/>
      <c r="AR141" s="3730"/>
      <c r="AU141" s="3730"/>
      <c r="AV141" s="3730"/>
      <c r="AY141" s="3730"/>
      <c r="AZ141" s="3730"/>
    </row>
    <row r="142" spans="2:66" ht="21" hidden="1" customHeight="1" x14ac:dyDescent="0.25">
      <c r="B142" s="3731" t="s">
        <v>1464</v>
      </c>
      <c r="C142" s="3730"/>
      <c r="D142" s="3730"/>
      <c r="E142" s="3730"/>
      <c r="F142" s="3730"/>
      <c r="G142" s="3730"/>
      <c r="H142" s="3730"/>
      <c r="I142" s="3730"/>
      <c r="J142" s="3730"/>
      <c r="K142" s="3730"/>
      <c r="L142" s="3730">
        <v>835</v>
      </c>
      <c r="M142" s="3730"/>
      <c r="N142" s="3730">
        <f t="shared" ref="N142:N146" si="339">+L142+H142+F142</f>
        <v>835</v>
      </c>
      <c r="O142" s="3730"/>
      <c r="P142" s="3730">
        <v>835</v>
      </c>
      <c r="Q142" s="3730"/>
      <c r="R142" s="3730">
        <f>+N142+P142</f>
        <v>1670</v>
      </c>
      <c r="S142" s="3730"/>
      <c r="T142" s="3730">
        <v>835</v>
      </c>
      <c r="U142" s="3730"/>
      <c r="V142" s="3730">
        <f>+R142+T142</f>
        <v>2505</v>
      </c>
      <c r="W142" s="3730"/>
      <c r="X142" s="3730"/>
      <c r="AC142" s="3730"/>
      <c r="AD142" s="3730"/>
      <c r="AG142" s="3730"/>
      <c r="AH142" s="3730"/>
      <c r="AJ142" s="3730"/>
      <c r="AK142" s="3730"/>
      <c r="AL142" s="3730"/>
      <c r="AQ142" s="3730"/>
      <c r="AR142" s="3730"/>
      <c r="AU142" s="3730"/>
      <c r="AV142" s="3730"/>
      <c r="AY142" s="3730"/>
      <c r="AZ142" s="3730"/>
    </row>
    <row r="143" spans="2:66" ht="21" hidden="1" customHeight="1" x14ac:dyDescent="0.25">
      <c r="B143" s="3731" t="s">
        <v>1465</v>
      </c>
      <c r="C143" s="3730"/>
      <c r="D143" s="3730"/>
      <c r="E143" s="3730"/>
      <c r="F143" s="3730"/>
      <c r="G143" s="3730"/>
      <c r="H143" s="3730"/>
      <c r="I143" s="3730"/>
      <c r="J143" s="3730"/>
      <c r="K143" s="3730"/>
      <c r="L143" s="3730">
        <v>865</v>
      </c>
      <c r="M143" s="3730"/>
      <c r="N143" s="3730">
        <f t="shared" si="339"/>
        <v>865</v>
      </c>
      <c r="O143" s="3730"/>
      <c r="P143" s="3730">
        <v>865</v>
      </c>
      <c r="Q143" s="3730"/>
      <c r="R143" s="3730">
        <f t="shared" ref="R143:R146" si="340">+N143+P143</f>
        <v>1730</v>
      </c>
      <c r="S143" s="3730"/>
      <c r="T143" s="3730">
        <v>865</v>
      </c>
      <c r="U143" s="3730"/>
      <c r="V143" s="3730">
        <f t="shared" ref="V143:V146" si="341">+R143+T143</f>
        <v>2595</v>
      </c>
      <c r="W143" s="3730"/>
      <c r="X143" s="3730"/>
      <c r="AC143" s="3730"/>
      <c r="AD143" s="3730"/>
      <c r="AG143" s="3730"/>
      <c r="AH143" s="3730"/>
      <c r="AJ143" s="3730"/>
      <c r="AK143" s="3730"/>
      <c r="AL143" s="3730"/>
      <c r="AQ143" s="3730"/>
      <c r="AR143" s="3730"/>
      <c r="AU143" s="3730"/>
      <c r="AV143" s="3730"/>
      <c r="AY143" s="3730"/>
      <c r="AZ143" s="3730"/>
    </row>
    <row r="144" spans="2:66" ht="21" hidden="1" customHeight="1" x14ac:dyDescent="0.25">
      <c r="B144" s="3731" t="s">
        <v>1466</v>
      </c>
      <c r="C144" s="3730"/>
      <c r="D144" s="3730"/>
      <c r="E144" s="3730"/>
      <c r="F144" s="3730"/>
      <c r="G144" s="3730"/>
      <c r="H144" s="3730"/>
      <c r="I144" s="3730"/>
      <c r="J144" s="3730"/>
      <c r="K144" s="3730"/>
      <c r="L144" s="3730">
        <v>288</v>
      </c>
      <c r="M144" s="3730"/>
      <c r="N144" s="3730">
        <f t="shared" si="339"/>
        <v>288</v>
      </c>
      <c r="O144" s="3730"/>
      <c r="P144" s="3730">
        <v>288</v>
      </c>
      <c r="Q144" s="3730"/>
      <c r="R144" s="3730">
        <f t="shared" si="340"/>
        <v>576</v>
      </c>
      <c r="S144" s="3730"/>
      <c r="T144" s="3730">
        <v>288</v>
      </c>
      <c r="U144" s="3730"/>
      <c r="V144" s="3730">
        <f t="shared" si="341"/>
        <v>864</v>
      </c>
      <c r="W144" s="3730"/>
      <c r="X144" s="3730"/>
      <c r="AC144" s="3730"/>
      <c r="AD144" s="3730"/>
      <c r="AG144" s="3730"/>
      <c r="AH144" s="3730"/>
      <c r="AJ144" s="3730"/>
      <c r="AK144" s="3730"/>
      <c r="AL144" s="3730"/>
      <c r="AQ144" s="3730"/>
      <c r="AR144" s="3730"/>
      <c r="AU144" s="3730"/>
      <c r="AV144" s="3730"/>
      <c r="AY144" s="3730"/>
      <c r="AZ144" s="3730"/>
    </row>
    <row r="145" spans="2:58" ht="21" hidden="1" customHeight="1" x14ac:dyDescent="0.25">
      <c r="B145" s="3731" t="s">
        <v>1467</v>
      </c>
      <c r="C145" s="3730"/>
      <c r="D145" s="3730"/>
      <c r="E145" s="3730"/>
      <c r="F145" s="3730"/>
      <c r="G145" s="3730"/>
      <c r="H145" s="3730"/>
      <c r="I145" s="3730"/>
      <c r="J145" s="3730"/>
      <c r="K145" s="3730"/>
      <c r="L145" s="3730">
        <v>374</v>
      </c>
      <c r="M145" s="3730"/>
      <c r="N145" s="3730">
        <f t="shared" si="339"/>
        <v>374</v>
      </c>
      <c r="O145" s="3730"/>
      <c r="P145" s="3730">
        <v>374</v>
      </c>
      <c r="Q145" s="3730"/>
      <c r="R145" s="3730">
        <f t="shared" si="340"/>
        <v>748</v>
      </c>
      <c r="S145" s="3730"/>
      <c r="T145" s="3730">
        <v>374</v>
      </c>
      <c r="U145" s="3730"/>
      <c r="V145" s="3730">
        <f t="shared" si="341"/>
        <v>1122</v>
      </c>
      <c r="W145" s="3730"/>
      <c r="X145" s="3730"/>
      <c r="AC145" s="3730"/>
      <c r="AD145" s="3730"/>
      <c r="AG145" s="3730"/>
      <c r="AH145" s="3730"/>
      <c r="AJ145" s="3730"/>
      <c r="AK145" s="3730"/>
      <c r="AL145" s="3730"/>
      <c r="AQ145" s="3730"/>
      <c r="AR145" s="3730"/>
      <c r="AU145" s="3730"/>
      <c r="AV145" s="3730"/>
      <c r="AY145" s="3730"/>
      <c r="AZ145" s="3730"/>
    </row>
    <row r="146" spans="2:58" ht="21" hidden="1" customHeight="1" x14ac:dyDescent="0.25">
      <c r="B146" s="3731" t="s">
        <v>1468</v>
      </c>
      <c r="C146" s="3730"/>
      <c r="D146" s="3730"/>
      <c r="E146" s="3730"/>
      <c r="F146" s="3730"/>
      <c r="G146" s="3730"/>
      <c r="H146" s="3730"/>
      <c r="I146" s="3730"/>
      <c r="J146" s="3730"/>
      <c r="K146" s="3730"/>
      <c r="L146" s="3730">
        <v>913</v>
      </c>
      <c r="M146" s="3730"/>
      <c r="N146" s="3730">
        <f t="shared" si="339"/>
        <v>913</v>
      </c>
      <c r="O146" s="3730"/>
      <c r="P146" s="3730">
        <v>913</v>
      </c>
      <c r="Q146" s="3730"/>
      <c r="R146" s="3730">
        <f t="shared" si="340"/>
        <v>1826</v>
      </c>
      <c r="S146" s="3730"/>
      <c r="T146" s="3730">
        <v>913</v>
      </c>
      <c r="U146" s="3730"/>
      <c r="V146" s="3730">
        <f t="shared" si="341"/>
        <v>2739</v>
      </c>
      <c r="W146" s="3730"/>
      <c r="X146" s="3730"/>
      <c r="AC146" s="3730"/>
      <c r="AD146" s="3730"/>
      <c r="AG146" s="3730"/>
      <c r="AH146" s="3730"/>
      <c r="AJ146" s="3730"/>
      <c r="AK146" s="3730"/>
      <c r="AL146" s="3730"/>
      <c r="AQ146" s="3730"/>
      <c r="AR146" s="3730"/>
      <c r="AU146" s="3730"/>
      <c r="AV146" s="3730"/>
      <c r="AY146" s="3730"/>
      <c r="AZ146" s="3730"/>
    </row>
    <row r="147" spans="2:58" ht="21" hidden="1" customHeight="1" x14ac:dyDescent="0.25">
      <c r="B147" s="3731" t="s">
        <v>21</v>
      </c>
      <c r="C147" s="3730"/>
      <c r="D147" s="3730"/>
      <c r="E147" s="3730"/>
      <c r="F147" s="3730"/>
      <c r="G147" s="3730"/>
      <c r="H147" s="3730"/>
      <c r="I147" s="3730"/>
      <c r="J147" s="3730"/>
      <c r="K147" s="3730"/>
      <c r="L147" s="3730">
        <f>SUM(L142:L146)</f>
        <v>3275</v>
      </c>
      <c r="M147" s="3730"/>
      <c r="N147" s="3730">
        <f>SUM(N142:N146)</f>
        <v>3275</v>
      </c>
      <c r="O147" s="3730"/>
      <c r="P147" s="3730">
        <f>SUM(P142:P146)</f>
        <v>3275</v>
      </c>
      <c r="Q147" s="3730"/>
      <c r="R147" s="3730">
        <f>SUM(R142:R146)</f>
        <v>6550</v>
      </c>
      <c r="S147" s="3730"/>
      <c r="T147" s="3730">
        <f>SUM(T142:T146)</f>
        <v>3275</v>
      </c>
      <c r="U147" s="3730"/>
      <c r="V147" s="3730">
        <f>SUM(V142:V146)</f>
        <v>9825</v>
      </c>
      <c r="W147" s="3730"/>
      <c r="X147" s="3730"/>
      <c r="AC147" s="3730"/>
      <c r="AD147" s="3730"/>
      <c r="AG147" s="3730"/>
      <c r="AH147" s="3730"/>
      <c r="AJ147" s="3730"/>
      <c r="AK147" s="3730"/>
      <c r="AL147" s="3730"/>
      <c r="AQ147" s="3730"/>
      <c r="AR147" s="3730"/>
      <c r="AU147" s="3730"/>
      <c r="AV147" s="3730"/>
      <c r="AY147" s="3730"/>
      <c r="AZ147" s="3730"/>
    </row>
    <row r="148" spans="2:58" ht="21" hidden="1" customHeight="1" x14ac:dyDescent="0.25">
      <c r="B148" s="3731" t="s">
        <v>1473</v>
      </c>
      <c r="C148" s="3730"/>
      <c r="D148" s="3730"/>
      <c r="E148" s="3730"/>
      <c r="F148" s="3732"/>
      <c r="G148" s="3730"/>
      <c r="H148" s="3732"/>
      <c r="I148" s="3730"/>
      <c r="J148" s="3730"/>
      <c r="K148" s="3730"/>
      <c r="L148" s="3732">
        <f>+L147-L27</f>
        <v>-125</v>
      </c>
      <c r="M148" s="3730"/>
      <c r="N148" s="3732">
        <f>+N147-N27</f>
        <v>-6629</v>
      </c>
      <c r="O148" s="3730"/>
      <c r="P148" s="3732">
        <f>+P147-P27</f>
        <v>-121</v>
      </c>
      <c r="Q148" s="3730"/>
      <c r="R148" s="3732">
        <f>+R147-R27</f>
        <v>-6750</v>
      </c>
      <c r="S148" s="3730"/>
      <c r="T148" s="3732">
        <f>+T147-T27</f>
        <v>123</v>
      </c>
      <c r="U148" s="3730"/>
      <c r="V148" s="3732">
        <f>+V147-V27</f>
        <v>-6627</v>
      </c>
      <c r="W148" s="3730"/>
      <c r="X148" s="3732"/>
      <c r="AC148" s="3730"/>
      <c r="AD148" s="3732"/>
      <c r="AG148" s="3730"/>
      <c r="AH148" s="3732"/>
      <c r="AJ148" s="3732"/>
      <c r="AK148" s="3730"/>
      <c r="AL148" s="3732"/>
      <c r="AQ148" s="3730"/>
      <c r="AR148" s="3732"/>
      <c r="AU148" s="3730"/>
      <c r="AV148" s="3732"/>
      <c r="AY148" s="3730"/>
      <c r="AZ148" s="3732"/>
    </row>
    <row r="149" spans="2:58" ht="21" hidden="1" customHeight="1" x14ac:dyDescent="0.25">
      <c r="B149" s="3731"/>
      <c r="C149" s="3730"/>
      <c r="D149" s="3730"/>
      <c r="E149" s="3730"/>
      <c r="F149" s="3732"/>
      <c r="G149" s="3730"/>
      <c r="H149" s="3732"/>
      <c r="I149" s="3730"/>
      <c r="J149" s="3730"/>
      <c r="K149" s="3730"/>
      <c r="L149" s="3732"/>
      <c r="M149" s="3730"/>
      <c r="N149" s="3732"/>
      <c r="O149" s="3730"/>
      <c r="P149" s="3732"/>
      <c r="Q149" s="3730"/>
      <c r="R149" s="3732"/>
      <c r="S149" s="3730"/>
      <c r="T149" s="3732"/>
      <c r="U149" s="3730"/>
      <c r="V149" s="3732"/>
      <c r="W149" s="3730"/>
      <c r="X149" s="3732"/>
      <c r="AC149" s="3730"/>
      <c r="AD149" s="3732"/>
      <c r="AG149" s="3730"/>
      <c r="AH149" s="3732"/>
      <c r="AJ149" s="3732"/>
      <c r="AK149" s="3730"/>
      <c r="AL149" s="3732"/>
      <c r="AQ149" s="3730"/>
      <c r="AR149" s="3732"/>
      <c r="AU149" s="3730"/>
      <c r="AV149" s="3732"/>
      <c r="AY149" s="3730"/>
      <c r="AZ149" s="3732"/>
    </row>
    <row r="150" spans="2:58" ht="21" hidden="1" customHeight="1" x14ac:dyDescent="0.25">
      <c r="B150" s="3731" t="s">
        <v>1463</v>
      </c>
      <c r="C150" s="3730"/>
      <c r="D150" s="3730"/>
      <c r="E150" s="3730"/>
      <c r="F150" s="3730"/>
      <c r="G150" s="3730"/>
      <c r="H150" s="3730"/>
      <c r="I150" s="3730"/>
      <c r="J150" s="3730"/>
      <c r="K150" s="3730"/>
      <c r="L150" s="3730"/>
      <c r="M150" s="3730"/>
      <c r="N150" s="3730"/>
      <c r="O150" s="3730"/>
      <c r="P150" s="3730"/>
      <c r="Q150" s="3730"/>
      <c r="R150" s="3730"/>
      <c r="S150" s="3730"/>
      <c r="T150" s="3730"/>
      <c r="U150" s="3730"/>
      <c r="V150" s="3730"/>
      <c r="W150" s="3730"/>
      <c r="X150" s="3730"/>
      <c r="AC150" s="3730"/>
      <c r="AD150" s="3730"/>
      <c r="AG150" s="3730"/>
      <c r="AH150" s="3730"/>
      <c r="AJ150" s="3730"/>
      <c r="AK150" s="3730"/>
      <c r="AL150" s="3730"/>
      <c r="AQ150" s="3730"/>
      <c r="AR150" s="3730"/>
      <c r="AU150" s="3730"/>
      <c r="AV150" s="3730"/>
      <c r="AY150" s="3730"/>
      <c r="AZ150" s="3730"/>
    </row>
    <row r="151" spans="2:58" ht="21" hidden="1" customHeight="1" x14ac:dyDescent="0.25">
      <c r="B151" s="3733"/>
      <c r="C151" s="62" t="s">
        <v>198</v>
      </c>
      <c r="D151" s="3730"/>
      <c r="E151" s="3730"/>
      <c r="F151" s="3730"/>
      <c r="G151" s="3730"/>
      <c r="H151" s="3730"/>
      <c r="I151" s="3730"/>
      <c r="J151" s="3730"/>
      <c r="K151" s="3730"/>
      <c r="L151" s="3730">
        <v>2449</v>
      </c>
      <c r="M151" s="3730"/>
      <c r="N151" s="3730">
        <f t="shared" ref="N151:N153" si="342">+L151+H151+F151</f>
        <v>2449</v>
      </c>
      <c r="O151" s="3730"/>
      <c r="P151" s="3730">
        <v>2449</v>
      </c>
      <c r="Q151" s="3730"/>
      <c r="R151" s="3730">
        <f t="shared" ref="R151:R153" si="343">+N151+P151</f>
        <v>4898</v>
      </c>
      <c r="S151" s="3730"/>
      <c r="T151" s="3730">
        <v>2449</v>
      </c>
      <c r="U151" s="3730"/>
      <c r="V151" s="3730">
        <f t="shared" ref="V151:V153" si="344">+R151+T151</f>
        <v>7347</v>
      </c>
      <c r="W151" s="3730"/>
      <c r="X151" s="3730"/>
      <c r="AC151" s="3730"/>
      <c r="AD151" s="3730"/>
      <c r="AG151" s="3730"/>
      <c r="AH151" s="3730"/>
      <c r="AJ151" s="3730"/>
      <c r="AK151" s="3730"/>
      <c r="AL151" s="3730"/>
      <c r="AQ151" s="3730"/>
      <c r="AR151" s="3730"/>
      <c r="AU151" s="3730"/>
      <c r="AV151" s="3730"/>
      <c r="AY151" s="3730"/>
      <c r="AZ151" s="3730"/>
    </row>
    <row r="152" spans="2:58" ht="21" hidden="1" customHeight="1" x14ac:dyDescent="0.25">
      <c r="B152" s="8093" t="s">
        <v>1471</v>
      </c>
      <c r="C152" s="62" t="s">
        <v>1469</v>
      </c>
      <c r="D152" s="3730"/>
      <c r="E152" s="3730"/>
      <c r="F152" s="3730"/>
      <c r="G152" s="3730"/>
      <c r="H152" s="3730"/>
      <c r="I152" s="3730"/>
      <c r="J152" s="3730"/>
      <c r="K152" s="3730"/>
      <c r="L152" s="3730">
        <v>4866</v>
      </c>
      <c r="M152" s="3730"/>
      <c r="N152" s="3730">
        <f t="shared" si="342"/>
        <v>4866</v>
      </c>
      <c r="O152" s="3730"/>
      <c r="P152" s="3730">
        <v>4866</v>
      </c>
      <c r="Q152" s="3730"/>
      <c r="R152" s="3730">
        <f t="shared" si="343"/>
        <v>9732</v>
      </c>
      <c r="S152" s="3730"/>
      <c r="T152" s="3730">
        <v>4866</v>
      </c>
      <c r="U152" s="3730"/>
      <c r="V152" s="3730">
        <f t="shared" si="344"/>
        <v>14598</v>
      </c>
      <c r="W152" s="3730"/>
      <c r="X152" s="3730"/>
      <c r="AC152" s="3730"/>
      <c r="AD152" s="3730"/>
      <c r="AG152" s="3730"/>
      <c r="AH152" s="3730"/>
      <c r="AJ152" s="3730"/>
      <c r="AK152" s="3730"/>
      <c r="AL152" s="3730"/>
      <c r="AQ152" s="3730"/>
      <c r="AR152" s="3730"/>
      <c r="AU152" s="3730"/>
      <c r="AV152" s="3730"/>
      <c r="AY152" s="3730"/>
      <c r="AZ152" s="3730"/>
    </row>
    <row r="153" spans="2:58" ht="21" hidden="1" customHeight="1" x14ac:dyDescent="0.25">
      <c r="B153" s="8093"/>
      <c r="C153" s="62" t="s">
        <v>1470</v>
      </c>
      <c r="D153" s="3730"/>
      <c r="E153" s="3730"/>
      <c r="F153" s="3730"/>
      <c r="G153" s="3730"/>
      <c r="H153" s="3730"/>
      <c r="I153" s="3730"/>
      <c r="J153" s="3730"/>
      <c r="K153" s="3730"/>
      <c r="L153" s="3730">
        <v>1022</v>
      </c>
      <c r="M153" s="3730"/>
      <c r="N153" s="3730">
        <f t="shared" si="342"/>
        <v>1022</v>
      </c>
      <c r="O153" s="3730"/>
      <c r="P153" s="3730">
        <v>1022</v>
      </c>
      <c r="Q153" s="3730"/>
      <c r="R153" s="3730">
        <f t="shared" si="343"/>
        <v>2044</v>
      </c>
      <c r="S153" s="3730"/>
      <c r="T153" s="3730">
        <v>1022</v>
      </c>
      <c r="U153" s="3730"/>
      <c r="V153" s="3730">
        <f t="shared" si="344"/>
        <v>3066</v>
      </c>
      <c r="W153" s="3730"/>
      <c r="X153" s="3730"/>
      <c r="AC153" s="3730"/>
      <c r="AD153" s="3730"/>
      <c r="AG153" s="3730"/>
      <c r="AH153" s="3730"/>
      <c r="AJ153" s="3730"/>
      <c r="AK153" s="3730"/>
      <c r="AL153" s="3730"/>
      <c r="AQ153" s="3730"/>
      <c r="AR153" s="3730"/>
      <c r="AU153" s="3730"/>
      <c r="AV153" s="3730"/>
      <c r="AY153" s="3730"/>
      <c r="AZ153" s="3730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3734" t="s">
        <v>276</v>
      </c>
      <c r="C157" s="710" t="s">
        <v>175</v>
      </c>
      <c r="D157" s="1243"/>
      <c r="E157" s="3735"/>
      <c r="F157" s="3736" t="s">
        <v>2334</v>
      </c>
      <c r="G157" s="3735"/>
      <c r="H157" s="3736" t="s">
        <v>1962</v>
      </c>
      <c r="I157" s="3737"/>
      <c r="J157" s="3738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735"/>
      <c r="L157" s="3736" t="s">
        <v>2002</v>
      </c>
      <c r="M157" s="3739"/>
      <c r="N157" s="3740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735"/>
      <c r="P157" s="3736" t="s">
        <v>2021</v>
      </c>
      <c r="Q157" s="3741"/>
      <c r="R157" s="3738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735"/>
      <c r="T157" s="3736" t="s">
        <v>2026</v>
      </c>
      <c r="U157" s="3741"/>
      <c r="V157" s="3738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735"/>
      <c r="X157" s="3736" t="s">
        <v>2044</v>
      </c>
      <c r="Y157" s="3742"/>
      <c r="Z157" s="3743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744"/>
      <c r="AB157" s="374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735"/>
      <c r="AD157" s="3736" t="s">
        <v>2074</v>
      </c>
      <c r="AE157" s="3741"/>
      <c r="AF157" s="3738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735"/>
      <c r="AH157" s="3736" t="s">
        <v>2171</v>
      </c>
      <c r="AI157" s="3741"/>
      <c r="AJ157" s="3738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735"/>
      <c r="AL157" s="3736" t="s">
        <v>2203</v>
      </c>
      <c r="AM157" s="3742"/>
      <c r="AN157" s="3743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741"/>
      <c r="AP157" s="3738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735"/>
      <c r="AR157" s="3736" t="s">
        <v>2208</v>
      </c>
      <c r="AS157" s="3741"/>
      <c r="AT157" s="3738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735"/>
      <c r="AV157" s="3736" t="s">
        <v>2244</v>
      </c>
      <c r="AW157" s="3741"/>
      <c r="AX157" s="3738" t="s">
        <v>2244</v>
      </c>
      <c r="AY157" s="3735"/>
      <c r="AZ157" s="3736" t="s">
        <v>2331</v>
      </c>
      <c r="BA157" s="3742"/>
      <c r="BB157" s="3743" t="s">
        <v>2331</v>
      </c>
      <c r="BC157" s="3744"/>
      <c r="BD157" s="3745" t="s">
        <v>2331</v>
      </c>
      <c r="BE157" s="3741"/>
      <c r="BF157" s="3738" t="s">
        <v>2331</v>
      </c>
    </row>
    <row r="158" spans="2:58" ht="409.6" thickBot="1" x14ac:dyDescent="0.3">
      <c r="B158" s="3746" t="s">
        <v>277</v>
      </c>
      <c r="C158" s="3284" t="s">
        <v>175</v>
      </c>
      <c r="D158" s="1317"/>
      <c r="E158" s="3747"/>
      <c r="F158" s="3748" t="s">
        <v>2335</v>
      </c>
      <c r="G158" s="3747"/>
      <c r="H158" s="3748" t="s">
        <v>1960</v>
      </c>
      <c r="I158" s="3749"/>
      <c r="J158" s="3750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747"/>
      <c r="L158" s="3748" t="s">
        <v>2003</v>
      </c>
      <c r="M158" s="3751"/>
      <c r="N158" s="3752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747"/>
      <c r="P158" s="3748" t="s">
        <v>2022</v>
      </c>
      <c r="Q158" s="3753"/>
      <c r="R158" s="3750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747"/>
      <c r="T158" s="3748" t="s">
        <v>2027</v>
      </c>
      <c r="U158" s="3753"/>
      <c r="V158" s="3750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747"/>
      <c r="X158" s="3748" t="s">
        <v>2045</v>
      </c>
      <c r="Y158" s="3751"/>
      <c r="Z158" s="3754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755"/>
      <c r="AB158" s="3756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747"/>
      <c r="AD158" s="3748" t="s">
        <v>2075</v>
      </c>
      <c r="AE158" s="3753"/>
      <c r="AF158" s="3750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747"/>
      <c r="AH158" s="3748" t="s">
        <v>2172</v>
      </c>
      <c r="AI158" s="3753"/>
      <c r="AJ158" s="3750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747"/>
      <c r="AL158" s="3748" t="s">
        <v>2205</v>
      </c>
      <c r="AM158" s="3751"/>
      <c r="AN158" s="3754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753"/>
      <c r="AP158" s="3750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747"/>
      <c r="AR158" s="3748" t="s">
        <v>2209</v>
      </c>
      <c r="AS158" s="3753"/>
      <c r="AT158" s="3750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747"/>
      <c r="AV158" s="3748" t="s">
        <v>2245</v>
      </c>
      <c r="AW158" s="3753"/>
      <c r="AX158" s="3750" t="s">
        <v>2245</v>
      </c>
      <c r="AY158" s="3747"/>
      <c r="AZ158" s="3748" t="s">
        <v>2332</v>
      </c>
      <c r="BA158" s="3751"/>
      <c r="BB158" s="3754" t="s">
        <v>2332</v>
      </c>
      <c r="BC158" s="3755"/>
      <c r="BD158" s="3756" t="s">
        <v>2332</v>
      </c>
      <c r="BE158" s="3753"/>
      <c r="BF158" s="3750" t="s">
        <v>2332</v>
      </c>
    </row>
    <row r="159" spans="2:58" ht="405.75" customHeight="1" thickBot="1" x14ac:dyDescent="0.3">
      <c r="B159" s="3757" t="s">
        <v>278</v>
      </c>
      <c r="C159" s="3287" t="s">
        <v>175</v>
      </c>
      <c r="D159" s="3340"/>
      <c r="E159" s="3758"/>
      <c r="F159" s="3759" t="s">
        <v>2336</v>
      </c>
      <c r="G159" s="3758"/>
      <c r="H159" s="3759" t="s">
        <v>1961</v>
      </c>
      <c r="I159" s="3760"/>
      <c r="J159" s="3761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758"/>
      <c r="L159" s="3759" t="s">
        <v>2004</v>
      </c>
      <c r="M159" s="3762"/>
      <c r="N159" s="3763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758"/>
      <c r="P159" s="3759" t="s">
        <v>2023</v>
      </c>
      <c r="Q159" s="3764"/>
      <c r="R159" s="3765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758"/>
      <c r="T159" s="3759" t="s">
        <v>2028</v>
      </c>
      <c r="U159" s="3764"/>
      <c r="V159" s="3765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758"/>
      <c r="X159" s="3759" t="s">
        <v>2046</v>
      </c>
      <c r="Y159" s="3767"/>
      <c r="Z159" s="3768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769"/>
      <c r="AB159" s="3770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758"/>
      <c r="AD159" s="3759" t="s">
        <v>2079</v>
      </c>
      <c r="AE159" s="3764"/>
      <c r="AF159" s="3765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758"/>
      <c r="AH159" s="3759" t="s">
        <v>2173</v>
      </c>
      <c r="AI159" s="3764"/>
      <c r="AJ159" s="3765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758"/>
      <c r="AL159" s="3759" t="s">
        <v>2204</v>
      </c>
      <c r="AM159" s="3767"/>
      <c r="AN159" s="376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764"/>
      <c r="AP159" s="3765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758"/>
      <c r="AR159" s="3759" t="s">
        <v>2210</v>
      </c>
      <c r="AS159" s="3764"/>
      <c r="AT159" s="3765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747"/>
      <c r="AV159" s="3766" t="s">
        <v>2246</v>
      </c>
      <c r="AW159" s="3764"/>
      <c r="AX159" s="3765" t="s">
        <v>2246</v>
      </c>
      <c r="AY159" s="3747"/>
      <c r="AZ159" s="3766" t="s">
        <v>2333</v>
      </c>
      <c r="BA159" s="3767"/>
      <c r="BB159" s="3768" t="s">
        <v>2333</v>
      </c>
      <c r="BC159" s="3769"/>
      <c r="BD159" s="3770" t="s">
        <v>2333</v>
      </c>
      <c r="BE159" s="3764"/>
      <c r="BF159" s="3765" t="s">
        <v>2333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3"/>
      <c r="P181" s="43"/>
      <c r="S181" s="107"/>
      <c r="U181" s="107"/>
    </row>
    <row r="182" spans="4:38" ht="21" customHeight="1" x14ac:dyDescent="0.25">
      <c r="E182" s="4"/>
      <c r="F182" s="4"/>
      <c r="L182" s="43"/>
      <c r="P182" s="43"/>
      <c r="S182" s="107"/>
      <c r="U182" s="107"/>
      <c r="AL182" s="4">
        <f>AL127/AL5*1000</f>
        <v>2.7329166044417894</v>
      </c>
    </row>
    <row r="183" spans="4:38" ht="21" customHeight="1" x14ac:dyDescent="0.25">
      <c r="E183" s="4"/>
      <c r="F183" s="4"/>
      <c r="L183" s="43"/>
      <c r="P183" s="43"/>
      <c r="S183" s="107"/>
      <c r="U183" s="107"/>
    </row>
    <row r="184" spans="4:38" ht="21" customHeight="1" x14ac:dyDescent="0.25">
      <c r="E184" s="4"/>
      <c r="F184" s="4"/>
      <c r="L184" s="43"/>
      <c r="P184" s="43"/>
      <c r="S184" s="107"/>
      <c r="U184" s="107"/>
    </row>
    <row r="185" spans="4:38" ht="21" customHeight="1" x14ac:dyDescent="0.25">
      <c r="E185" s="4"/>
      <c r="F185" s="4"/>
      <c r="L185" s="43"/>
      <c r="P185" s="43"/>
      <c r="S185" s="107"/>
      <c r="U185" s="107"/>
    </row>
    <row r="186" spans="4:38" ht="21" customHeight="1" x14ac:dyDescent="0.25">
      <c r="E186" s="4"/>
      <c r="F186" s="4"/>
      <c r="L186" s="43"/>
      <c r="P186" s="43"/>
      <c r="S186" s="107"/>
      <c r="U186" s="107"/>
    </row>
    <row r="187" spans="4:38" ht="21" customHeight="1" x14ac:dyDescent="0.25">
      <c r="E187" s="4"/>
      <c r="F187" s="4"/>
      <c r="L187" s="43"/>
      <c r="P187" s="43"/>
      <c r="S187" s="107"/>
      <c r="U187" s="107"/>
    </row>
    <row r="188" spans="4:38" ht="21" customHeight="1" x14ac:dyDescent="0.25">
      <c r="E188" s="4"/>
      <c r="F188" s="4"/>
      <c r="L188" s="43"/>
      <c r="P188" s="43"/>
      <c r="S188" s="107"/>
      <c r="U188" s="107"/>
    </row>
    <row r="189" spans="4:38" ht="21" customHeight="1" x14ac:dyDescent="0.25">
      <c r="E189" s="4"/>
      <c r="F189" s="4"/>
      <c r="L189" s="43"/>
      <c r="P189" s="43"/>
      <c r="S189" s="107"/>
      <c r="U189" s="107"/>
    </row>
    <row r="190" spans="4:38" ht="21" customHeight="1" x14ac:dyDescent="0.25">
      <c r="E190" s="4"/>
      <c r="F190" s="4"/>
      <c r="L190" s="43"/>
      <c r="P190" s="43"/>
      <c r="S190" s="107"/>
      <c r="U190" s="107"/>
    </row>
    <row r="191" spans="4:38" ht="21" customHeight="1" x14ac:dyDescent="0.25">
      <c r="E191" s="4"/>
      <c r="F191" s="4"/>
      <c r="L191" s="43"/>
      <c r="P191" s="43"/>
      <c r="S191" s="107"/>
      <c r="U191" s="107"/>
    </row>
    <row r="192" spans="4:38" ht="21" customHeight="1" x14ac:dyDescent="0.25">
      <c r="E192" s="4"/>
      <c r="F192" s="4"/>
      <c r="L192" s="43"/>
      <c r="P192" s="43"/>
      <c r="S192" s="107"/>
      <c r="U192" s="107"/>
    </row>
    <row r="193" spans="5:21" ht="21" customHeight="1" x14ac:dyDescent="0.25">
      <c r="E193" s="4"/>
      <c r="F193" s="4"/>
      <c r="L193" s="43"/>
      <c r="P193" s="43"/>
      <c r="S193" s="107"/>
      <c r="U193" s="107"/>
    </row>
    <row r="194" spans="5:21" ht="21" customHeight="1" x14ac:dyDescent="0.25">
      <c r="E194" s="4"/>
      <c r="F194" s="4"/>
      <c r="L194" s="43"/>
      <c r="P194" s="43"/>
      <c r="S194" s="107"/>
      <c r="U194" s="107"/>
    </row>
    <row r="195" spans="5:21" ht="21" customHeight="1" x14ac:dyDescent="0.25">
      <c r="E195" s="4"/>
      <c r="F195" s="4"/>
      <c r="L195" s="43"/>
      <c r="P195" s="43"/>
      <c r="S195" s="107"/>
      <c r="U195" s="107"/>
    </row>
    <row r="196" spans="5:21" ht="21" customHeight="1" x14ac:dyDescent="0.25">
      <c r="E196" s="4"/>
      <c r="F196" s="4"/>
      <c r="L196" s="43"/>
      <c r="P196" s="43"/>
      <c r="S196" s="107"/>
      <c r="U196" s="107"/>
    </row>
    <row r="197" spans="5:21" ht="21" customHeight="1" x14ac:dyDescent="0.25">
      <c r="E197" s="4"/>
      <c r="F197" s="4"/>
      <c r="L197" s="43"/>
      <c r="P197" s="43"/>
      <c r="S197" s="107"/>
      <c r="U197" s="107"/>
    </row>
    <row r="198" spans="5:21" ht="21" customHeight="1" x14ac:dyDescent="0.25">
      <c r="E198" s="4"/>
      <c r="F198" s="4"/>
      <c r="L198" s="43"/>
      <c r="P198" s="43"/>
      <c r="S198" s="107"/>
      <c r="U198" s="107"/>
    </row>
    <row r="199" spans="5:21" ht="21" customHeight="1" x14ac:dyDescent="0.25">
      <c r="E199" s="4"/>
      <c r="F199" s="4"/>
      <c r="L199" s="43"/>
      <c r="P199" s="43"/>
      <c r="S199" s="107"/>
      <c r="U199" s="107"/>
    </row>
    <row r="200" spans="5:21" ht="21" customHeight="1" x14ac:dyDescent="0.25">
      <c r="E200" s="4"/>
      <c r="F200" s="4"/>
      <c r="L200" s="43"/>
      <c r="P200" s="43"/>
      <c r="S200" s="107"/>
      <c r="U200" s="107"/>
    </row>
    <row r="201" spans="5:21" ht="21" customHeight="1" x14ac:dyDescent="0.25">
      <c r="E201" s="4"/>
      <c r="F201" s="4"/>
      <c r="L201" s="43"/>
      <c r="P201" s="43"/>
      <c r="S201" s="107"/>
      <c r="U201" s="107"/>
    </row>
    <row r="202" spans="5:21" ht="21" customHeight="1" x14ac:dyDescent="0.25">
      <c r="E202" s="4"/>
      <c r="F202" s="4"/>
      <c r="L202" s="43"/>
      <c r="P202" s="43"/>
      <c r="S202" s="107"/>
      <c r="U202" s="107"/>
    </row>
    <row r="203" spans="5:21" ht="21" customHeight="1" x14ac:dyDescent="0.25">
      <c r="E203" s="4"/>
      <c r="F203" s="4"/>
      <c r="L203" s="43"/>
      <c r="P203" s="43"/>
      <c r="S203" s="107"/>
      <c r="U203" s="107"/>
    </row>
    <row r="204" spans="5:21" ht="21" customHeight="1" x14ac:dyDescent="0.25">
      <c r="E204" s="4"/>
      <c r="F204" s="4"/>
      <c r="S204" s="107"/>
      <c r="U204" s="107"/>
    </row>
    <row r="205" spans="5:21" ht="21" customHeight="1" x14ac:dyDescent="0.25">
      <c r="E205" s="4"/>
      <c r="F205" s="4"/>
      <c r="S205" s="107"/>
      <c r="U205" s="107"/>
    </row>
    <row r="206" spans="5:21" ht="21" customHeight="1" x14ac:dyDescent="0.25">
      <c r="E206" s="4"/>
      <c r="F206" s="4"/>
      <c r="S206" s="107"/>
      <c r="U206" s="107"/>
    </row>
    <row r="207" spans="5:21" ht="21" customHeight="1" x14ac:dyDescent="0.25">
      <c r="E207" s="4"/>
      <c r="F207" s="4"/>
      <c r="S207" s="107"/>
      <c r="U207" s="107"/>
    </row>
    <row r="208" spans="5:21" ht="21" customHeight="1" x14ac:dyDescent="0.25">
      <c r="E208" s="4"/>
      <c r="F208" s="4"/>
      <c r="S208" s="107"/>
      <c r="U208" s="107"/>
    </row>
    <row r="209" spans="5:21" ht="21" customHeight="1" x14ac:dyDescent="0.25">
      <c r="E209" s="4"/>
      <c r="F209" s="4"/>
      <c r="S209" s="107"/>
      <c r="U209" s="107"/>
    </row>
    <row r="210" spans="5:21" ht="21" customHeight="1" x14ac:dyDescent="0.25">
      <c r="E210" s="4"/>
      <c r="F210" s="4"/>
      <c r="S210" s="107"/>
      <c r="U210" s="107"/>
    </row>
    <row r="211" spans="5:21" ht="21" customHeight="1" x14ac:dyDescent="0.25">
      <c r="E211" s="4"/>
      <c r="F211" s="4"/>
      <c r="S211" s="107"/>
      <c r="U211" s="107"/>
    </row>
    <row r="212" spans="5:21" ht="21" customHeight="1" x14ac:dyDescent="0.25">
      <c r="E212" s="4"/>
      <c r="F212" s="4"/>
      <c r="S212" s="107"/>
      <c r="U212" s="107"/>
    </row>
    <row r="213" spans="5:21" ht="21" customHeight="1" x14ac:dyDescent="0.25">
      <c r="E213" s="4"/>
      <c r="F213" s="4"/>
      <c r="S213" s="107"/>
      <c r="U213" s="107"/>
    </row>
    <row r="214" spans="5:21" ht="21" customHeight="1" x14ac:dyDescent="0.25">
      <c r="E214" s="4"/>
      <c r="F214" s="4"/>
      <c r="S214" s="107"/>
      <c r="U214" s="107"/>
    </row>
    <row r="215" spans="5:21" ht="21" customHeight="1" x14ac:dyDescent="0.25">
      <c r="E215" s="4"/>
      <c r="F215" s="4"/>
      <c r="S215" s="107"/>
      <c r="U215" s="107"/>
    </row>
    <row r="216" spans="5:21" ht="21" customHeight="1" x14ac:dyDescent="0.25">
      <c r="E216" s="4"/>
      <c r="F216" s="4"/>
      <c r="S216" s="107"/>
      <c r="U216" s="107"/>
    </row>
    <row r="217" spans="5:21" ht="21" customHeight="1" x14ac:dyDescent="0.25">
      <c r="E217" s="4"/>
      <c r="F217" s="4"/>
      <c r="S217" s="107"/>
      <c r="U217" s="107"/>
    </row>
    <row r="218" spans="5:21" ht="21" customHeight="1" x14ac:dyDescent="0.25">
      <c r="E218" s="4"/>
      <c r="F218" s="4"/>
      <c r="S218" s="107"/>
      <c r="U218" s="107"/>
    </row>
    <row r="219" spans="5:21" ht="21" customHeight="1" x14ac:dyDescent="0.25">
      <c r="E219" s="4"/>
      <c r="F219" s="4"/>
      <c r="S219" s="107"/>
      <c r="U219" s="107"/>
    </row>
    <row r="220" spans="5:21" ht="21" customHeight="1" x14ac:dyDescent="0.25">
      <c r="E220" s="4"/>
      <c r="F220" s="4"/>
      <c r="S220" s="107"/>
      <c r="U220" s="107"/>
    </row>
    <row r="221" spans="5:21" ht="21" customHeight="1" x14ac:dyDescent="0.25">
      <c r="E221" s="4"/>
      <c r="F221" s="4"/>
      <c r="S221" s="107"/>
      <c r="U221" s="107"/>
    </row>
    <row r="222" spans="5:21" ht="21" customHeight="1" x14ac:dyDescent="0.25">
      <c r="E222" s="4"/>
      <c r="F222" s="4"/>
      <c r="S222" s="107"/>
      <c r="U222" s="107"/>
    </row>
    <row r="223" spans="5:21" ht="21" customHeight="1" x14ac:dyDescent="0.25">
      <c r="E223" s="4"/>
      <c r="F223" s="4"/>
      <c r="S223" s="107"/>
      <c r="U223" s="107"/>
    </row>
    <row r="224" spans="5:21" ht="21" customHeight="1" x14ac:dyDescent="0.25">
      <c r="E224" s="4"/>
      <c r="F224" s="4"/>
      <c r="S224" s="107"/>
      <c r="U224" s="107"/>
    </row>
    <row r="225" spans="5:21" ht="21" customHeight="1" x14ac:dyDescent="0.25">
      <c r="E225" s="4"/>
      <c r="F225" s="4"/>
      <c r="S225" s="107"/>
      <c r="U225" s="107"/>
    </row>
    <row r="226" spans="5:21" ht="21" customHeight="1" x14ac:dyDescent="0.25">
      <c r="E226" s="4"/>
      <c r="F226" s="4"/>
      <c r="S226" s="107"/>
      <c r="U226" s="107"/>
    </row>
    <row r="227" spans="5:21" ht="21" customHeight="1" x14ac:dyDescent="0.25">
      <c r="E227" s="4"/>
      <c r="F227" s="4"/>
      <c r="S227" s="107"/>
      <c r="U227" s="107"/>
    </row>
    <row r="228" spans="5:21" ht="21" customHeight="1" x14ac:dyDescent="0.25">
      <c r="E228" s="4"/>
      <c r="F228" s="4"/>
      <c r="S228" s="107"/>
      <c r="U228" s="107"/>
    </row>
    <row r="229" spans="5:21" ht="21" customHeight="1" x14ac:dyDescent="0.25">
      <c r="E229" s="4"/>
      <c r="F229" s="4"/>
      <c r="S229" s="107"/>
      <c r="U229" s="107"/>
    </row>
    <row r="230" spans="5:21" ht="21" customHeight="1" x14ac:dyDescent="0.25">
      <c r="E230" s="4"/>
      <c r="F230" s="4"/>
      <c r="S230" s="107"/>
      <c r="U230" s="107"/>
    </row>
    <row r="231" spans="5:21" ht="21" customHeight="1" x14ac:dyDescent="0.25">
      <c r="E231" s="4"/>
      <c r="F231" s="4"/>
      <c r="S231" s="107"/>
      <c r="U231" s="107"/>
    </row>
    <row r="232" spans="5:21" ht="21" customHeight="1" x14ac:dyDescent="0.25">
      <c r="E232" s="4"/>
      <c r="F232" s="4"/>
      <c r="S232" s="107"/>
      <c r="U232" s="107"/>
    </row>
    <row r="233" spans="5:21" ht="21" customHeight="1" x14ac:dyDescent="0.25">
      <c r="E233" s="4"/>
      <c r="F233" s="4"/>
      <c r="S233" s="107"/>
      <c r="U233" s="107"/>
    </row>
    <row r="234" spans="5:21" ht="21" customHeight="1" x14ac:dyDescent="0.25">
      <c r="E234" s="4"/>
      <c r="F234" s="4"/>
      <c r="S234" s="107"/>
      <c r="U234" s="107"/>
    </row>
    <row r="235" spans="5:21" ht="21" customHeight="1" x14ac:dyDescent="0.25">
      <c r="E235" s="4"/>
      <c r="F235" s="4"/>
      <c r="S235" s="107"/>
      <c r="U235" s="107"/>
    </row>
    <row r="236" spans="5:21" ht="21" customHeight="1" x14ac:dyDescent="0.25">
      <c r="E236" s="4"/>
      <c r="F236" s="4"/>
      <c r="S236" s="107"/>
      <c r="U236" s="107"/>
    </row>
    <row r="237" spans="5:21" ht="21" customHeight="1" x14ac:dyDescent="0.25">
      <c r="E237" s="4"/>
      <c r="F237" s="4"/>
      <c r="S237" s="107"/>
      <c r="U237" s="107"/>
    </row>
    <row r="238" spans="5:21" ht="21" customHeight="1" x14ac:dyDescent="0.25">
      <c r="E238" s="4"/>
      <c r="F238" s="4"/>
      <c r="S238" s="107"/>
      <c r="U238" s="107"/>
    </row>
    <row r="239" spans="5:21" ht="21" customHeight="1" x14ac:dyDescent="0.25">
      <c r="E239" s="4"/>
      <c r="F239" s="4"/>
      <c r="S239" s="107"/>
      <c r="U239" s="107"/>
    </row>
    <row r="240" spans="5:21" ht="21" customHeight="1" x14ac:dyDescent="0.25">
      <c r="E240" s="4"/>
      <c r="F240" s="4"/>
      <c r="S240" s="107"/>
      <c r="U240" s="107"/>
    </row>
    <row r="241" spans="5:21" ht="21" customHeight="1" x14ac:dyDescent="0.25">
      <c r="E241" s="4"/>
      <c r="F241" s="4"/>
      <c r="S241" s="107"/>
      <c r="U241" s="107"/>
    </row>
    <row r="242" spans="5:21" ht="21" customHeight="1" x14ac:dyDescent="0.25">
      <c r="E242" s="4"/>
      <c r="F242" s="4"/>
      <c r="S242" s="107"/>
      <c r="U242" s="107"/>
    </row>
    <row r="243" spans="5:21" ht="21" customHeight="1" x14ac:dyDescent="0.25">
      <c r="E243" s="4"/>
      <c r="F243" s="4"/>
      <c r="S243" s="107"/>
      <c r="U243" s="107"/>
    </row>
    <row r="244" spans="5:21" ht="21" customHeight="1" x14ac:dyDescent="0.25">
      <c r="E244" s="4"/>
      <c r="F244" s="4"/>
      <c r="S244" s="107"/>
      <c r="U244" s="107"/>
    </row>
    <row r="245" spans="5:21" ht="21" customHeight="1" x14ac:dyDescent="0.25">
      <c r="E245" s="4"/>
      <c r="F245" s="4"/>
      <c r="S245" s="107"/>
      <c r="U245" s="107"/>
    </row>
    <row r="246" spans="5:21" ht="21" customHeight="1" x14ac:dyDescent="0.25">
      <c r="E246" s="4"/>
      <c r="F246" s="4"/>
      <c r="S246" s="107"/>
      <c r="U246" s="107"/>
    </row>
    <row r="247" spans="5:21" ht="21" customHeight="1" x14ac:dyDescent="0.25">
      <c r="E247" s="4"/>
      <c r="F247" s="4"/>
      <c r="S247" s="107"/>
      <c r="U247" s="107"/>
    </row>
    <row r="248" spans="5:21" ht="21" customHeight="1" x14ac:dyDescent="0.25">
      <c r="E248" s="4"/>
      <c r="F248" s="4"/>
      <c r="S248" s="107"/>
      <c r="U248" s="107"/>
    </row>
    <row r="249" spans="5:21" ht="21" customHeight="1" x14ac:dyDescent="0.25">
      <c r="E249" s="4"/>
      <c r="F249" s="4"/>
      <c r="S249" s="107"/>
      <c r="U249" s="107"/>
    </row>
    <row r="250" spans="5:21" ht="21" customHeight="1" x14ac:dyDescent="0.25">
      <c r="E250" s="4"/>
      <c r="F250" s="4"/>
      <c r="S250" s="107"/>
      <c r="U250" s="107"/>
    </row>
    <row r="251" spans="5:21" ht="21" customHeight="1" x14ac:dyDescent="0.25">
      <c r="E251" s="4"/>
      <c r="F251" s="4"/>
      <c r="S251" s="107"/>
      <c r="U251" s="107"/>
    </row>
    <row r="252" spans="5:21" ht="21" customHeight="1" x14ac:dyDescent="0.25">
      <c r="E252" s="4"/>
      <c r="F252" s="4"/>
      <c r="S252" s="107"/>
      <c r="U252" s="107"/>
    </row>
    <row r="253" spans="5:21" ht="21" customHeight="1" x14ac:dyDescent="0.25">
      <c r="E253" s="4"/>
      <c r="F253" s="4"/>
      <c r="S253" s="107"/>
      <c r="U253" s="107"/>
    </row>
    <row r="254" spans="5:21" ht="21" customHeight="1" x14ac:dyDescent="0.25">
      <c r="E254" s="4"/>
      <c r="F254" s="4"/>
      <c r="S254" s="107"/>
      <c r="U254" s="107"/>
    </row>
    <row r="255" spans="5:21" ht="21" customHeight="1" x14ac:dyDescent="0.25">
      <c r="E255" s="4"/>
      <c r="F255" s="4"/>
      <c r="S255" s="107"/>
      <c r="U255" s="107"/>
    </row>
    <row r="256" spans="5:21" ht="21" customHeight="1" x14ac:dyDescent="0.25">
      <c r="E256" s="4"/>
      <c r="F256" s="4"/>
      <c r="S256" s="107"/>
      <c r="U256" s="107"/>
    </row>
    <row r="257" spans="5:21" ht="21" customHeight="1" x14ac:dyDescent="0.25">
      <c r="E257" s="4"/>
      <c r="F257" s="4"/>
      <c r="S257" s="107"/>
      <c r="U257" s="107"/>
    </row>
    <row r="258" spans="5:21" ht="21" customHeight="1" x14ac:dyDescent="0.25">
      <c r="E258" s="4"/>
      <c r="F258" s="4"/>
      <c r="S258" s="107"/>
      <c r="U258" s="107"/>
    </row>
    <row r="259" spans="5:21" ht="21" customHeight="1" x14ac:dyDescent="0.25">
      <c r="E259" s="4"/>
      <c r="F259" s="4"/>
      <c r="S259" s="107"/>
      <c r="U259" s="107"/>
    </row>
    <row r="260" spans="5:21" ht="21" customHeight="1" x14ac:dyDescent="0.25">
      <c r="E260" s="4"/>
      <c r="F260" s="4"/>
      <c r="S260" s="107"/>
      <c r="U260" s="107"/>
    </row>
    <row r="261" spans="5:21" ht="21" customHeight="1" x14ac:dyDescent="0.25">
      <c r="E261" s="4"/>
      <c r="F261" s="4"/>
      <c r="S261" s="107"/>
      <c r="U261" s="107"/>
    </row>
    <row r="262" spans="5:21" ht="21" customHeight="1" x14ac:dyDescent="0.25">
      <c r="E262" s="4"/>
      <c r="F262" s="4"/>
      <c r="S262" s="107"/>
      <c r="U262" s="107"/>
    </row>
    <row r="263" spans="5:21" ht="21" customHeight="1" x14ac:dyDescent="0.25">
      <c r="E263" s="4"/>
      <c r="F263" s="4"/>
      <c r="S263" s="107"/>
      <c r="U263" s="107"/>
    </row>
    <row r="264" spans="5:21" ht="21" customHeight="1" x14ac:dyDescent="0.25">
      <c r="E264" s="4"/>
      <c r="F264" s="4"/>
      <c r="S264" s="107"/>
      <c r="U264" s="107"/>
    </row>
    <row r="265" spans="5:21" ht="21" customHeight="1" x14ac:dyDescent="0.25">
      <c r="E265" s="4"/>
      <c r="F265" s="4"/>
      <c r="S265" s="107"/>
      <c r="U265" s="107"/>
    </row>
    <row r="266" spans="5:21" ht="21" customHeight="1" x14ac:dyDescent="0.25">
      <c r="E266" s="4"/>
      <c r="F266" s="4"/>
      <c r="S266" s="107"/>
      <c r="U266" s="107"/>
    </row>
    <row r="267" spans="5:21" ht="21" customHeight="1" x14ac:dyDescent="0.25">
      <c r="E267" s="4"/>
      <c r="F267" s="4"/>
      <c r="S267" s="107"/>
      <c r="U267" s="107"/>
    </row>
    <row r="268" spans="5:21" ht="21" customHeight="1" x14ac:dyDescent="0.25">
      <c r="E268" s="4"/>
      <c r="F268" s="4"/>
      <c r="S268" s="107"/>
      <c r="U268" s="107"/>
    </row>
    <row r="269" spans="5:21" ht="21" customHeight="1" x14ac:dyDescent="0.25">
      <c r="E269" s="4"/>
      <c r="F269" s="4"/>
      <c r="S269" s="107"/>
      <c r="U269" s="107"/>
    </row>
    <row r="270" spans="5:21" ht="21" customHeight="1" x14ac:dyDescent="0.25">
      <c r="E270" s="4"/>
      <c r="F270" s="4"/>
      <c r="S270" s="107"/>
      <c r="U270" s="107"/>
    </row>
    <row r="271" spans="5:21" ht="21" customHeight="1" x14ac:dyDescent="0.25">
      <c r="E271" s="4"/>
      <c r="F271" s="4"/>
      <c r="S271" s="107"/>
      <c r="U271" s="107"/>
    </row>
    <row r="272" spans="5:21" ht="21" customHeight="1" x14ac:dyDescent="0.25">
      <c r="E272" s="4"/>
      <c r="F272" s="4"/>
      <c r="S272" s="107"/>
      <c r="U272" s="107"/>
    </row>
    <row r="273" spans="5:21" ht="21" customHeight="1" x14ac:dyDescent="0.25">
      <c r="E273" s="4"/>
      <c r="F273" s="4"/>
      <c r="S273" s="107"/>
      <c r="U273" s="107"/>
    </row>
    <row r="274" spans="5:21" ht="21" customHeight="1" x14ac:dyDescent="0.25">
      <c r="E274" s="4"/>
      <c r="F274" s="4"/>
      <c r="S274" s="107"/>
      <c r="U274" s="107"/>
    </row>
    <row r="275" spans="5:21" ht="21" customHeight="1" x14ac:dyDescent="0.25">
      <c r="E275" s="4"/>
      <c r="F275" s="4"/>
      <c r="S275" s="107"/>
      <c r="U275" s="107"/>
    </row>
    <row r="276" spans="5:21" ht="21" customHeight="1" x14ac:dyDescent="0.25">
      <c r="E276" s="4"/>
      <c r="F276" s="4"/>
      <c r="S276" s="107"/>
      <c r="U276" s="107"/>
    </row>
    <row r="277" spans="5:21" ht="21" customHeight="1" x14ac:dyDescent="0.25">
      <c r="E277" s="4"/>
      <c r="F277" s="4"/>
      <c r="S277" s="107"/>
      <c r="U277" s="107"/>
    </row>
    <row r="278" spans="5:21" ht="21" customHeight="1" x14ac:dyDescent="0.25">
      <c r="E278" s="4"/>
      <c r="F278" s="4"/>
      <c r="S278" s="107"/>
      <c r="U278" s="107"/>
    </row>
    <row r="279" spans="5:21" ht="21" customHeight="1" x14ac:dyDescent="0.25">
      <c r="E279" s="4"/>
      <c r="F279" s="4"/>
      <c r="S279" s="107"/>
      <c r="U279" s="107"/>
    </row>
    <row r="280" spans="5:21" ht="21" customHeight="1" x14ac:dyDescent="0.25">
      <c r="E280" s="4"/>
      <c r="F280" s="4"/>
      <c r="S280" s="107"/>
      <c r="U280" s="107"/>
    </row>
    <row r="281" spans="5:21" ht="21" customHeight="1" x14ac:dyDescent="0.25">
      <c r="E281" s="4"/>
      <c r="F281" s="4"/>
      <c r="S281" s="107"/>
      <c r="U281" s="107"/>
    </row>
    <row r="282" spans="5:21" ht="21" customHeight="1" x14ac:dyDescent="0.25">
      <c r="E282" s="4"/>
      <c r="F282" s="4"/>
      <c r="S282" s="107"/>
      <c r="U282" s="107"/>
    </row>
    <row r="283" spans="5:21" ht="21" customHeight="1" x14ac:dyDescent="0.25">
      <c r="E283" s="4"/>
      <c r="F283" s="4"/>
      <c r="S283" s="107"/>
      <c r="U283" s="107"/>
    </row>
    <row r="284" spans="5:21" ht="21" customHeight="1" x14ac:dyDescent="0.25">
      <c r="E284" s="4"/>
      <c r="F284" s="4"/>
      <c r="S284" s="107"/>
      <c r="U284" s="107"/>
    </row>
    <row r="285" spans="5:21" ht="21" customHeight="1" x14ac:dyDescent="0.25">
      <c r="E285" s="4"/>
      <c r="F285" s="4"/>
      <c r="S285" s="107"/>
      <c r="U285" s="107"/>
    </row>
    <row r="286" spans="5:21" ht="21" customHeight="1" x14ac:dyDescent="0.25">
      <c r="E286" s="4"/>
      <c r="F286" s="4"/>
      <c r="S286" s="107"/>
      <c r="U286" s="107"/>
    </row>
    <row r="287" spans="5:21" ht="21" customHeight="1" x14ac:dyDescent="0.25">
      <c r="E287" s="4"/>
      <c r="F287" s="4"/>
      <c r="S287" s="107"/>
      <c r="U287" s="107"/>
    </row>
    <row r="288" spans="5:21" ht="21" customHeight="1" x14ac:dyDescent="0.25">
      <c r="E288" s="4"/>
      <c r="F288" s="4"/>
      <c r="S288" s="107"/>
      <c r="U288" s="107"/>
    </row>
    <row r="289" spans="5:21" ht="21" customHeight="1" x14ac:dyDescent="0.25">
      <c r="E289" s="4"/>
      <c r="F289" s="4"/>
      <c r="S289" s="107"/>
      <c r="U289" s="107"/>
    </row>
    <row r="290" spans="5:21" ht="21" customHeight="1" x14ac:dyDescent="0.25">
      <c r="E290" s="4"/>
      <c r="F290" s="4"/>
      <c r="S290" s="107"/>
      <c r="U290" s="107"/>
    </row>
    <row r="291" spans="5:21" ht="21" customHeight="1" x14ac:dyDescent="0.25">
      <c r="S291" s="107"/>
      <c r="U291" s="107"/>
    </row>
    <row r="292" spans="5:21" ht="21" customHeight="1" x14ac:dyDescent="0.25">
      <c r="S292" s="107"/>
      <c r="U292" s="107"/>
    </row>
    <row r="293" spans="5:21" ht="21" customHeight="1" x14ac:dyDescent="0.25">
      <c r="S293" s="107"/>
      <c r="U293" s="107"/>
    </row>
    <row r="294" spans="5:21" ht="21" customHeight="1" x14ac:dyDescent="0.25">
      <c r="S294" s="107"/>
      <c r="U294" s="107"/>
    </row>
    <row r="295" spans="5:21" ht="21" customHeight="1" x14ac:dyDescent="0.25">
      <c r="S295" s="107"/>
      <c r="U295" s="107"/>
    </row>
    <row r="296" spans="5:21" ht="21" customHeight="1" x14ac:dyDescent="0.25">
      <c r="S296" s="107"/>
      <c r="U296" s="107"/>
    </row>
    <row r="297" spans="5:21" ht="21" customHeight="1" x14ac:dyDescent="0.25">
      <c r="S297" s="107"/>
      <c r="U297" s="107"/>
    </row>
    <row r="298" spans="5:21" ht="21" customHeight="1" x14ac:dyDescent="0.25">
      <c r="S298" s="107"/>
      <c r="U298" s="107"/>
    </row>
    <row r="299" spans="5:21" ht="21" customHeight="1" x14ac:dyDescent="0.25">
      <c r="S299" s="107"/>
      <c r="U299" s="107"/>
    </row>
    <row r="300" spans="5:21" ht="21" customHeight="1" x14ac:dyDescent="0.25">
      <c r="S300" s="107"/>
      <c r="U300" s="107"/>
    </row>
    <row r="301" spans="5:21" ht="21" customHeight="1" x14ac:dyDescent="0.25">
      <c r="S301" s="107"/>
      <c r="U301" s="107"/>
    </row>
    <row r="302" spans="5:21" ht="21" customHeight="1" x14ac:dyDescent="0.25">
      <c r="S302" s="107"/>
      <c r="U302" s="107"/>
    </row>
    <row r="303" spans="5:21" ht="21" customHeight="1" x14ac:dyDescent="0.25">
      <c r="S303" s="107"/>
      <c r="U303" s="107"/>
    </row>
    <row r="304" spans="5:21" ht="21" customHeight="1" x14ac:dyDescent="0.25">
      <c r="S304" s="107"/>
      <c r="U304" s="107"/>
    </row>
    <row r="305" spans="19:21" ht="21" customHeight="1" x14ac:dyDescent="0.25">
      <c r="S305" s="107"/>
      <c r="U305" s="107"/>
    </row>
    <row r="306" spans="19:21" ht="21" customHeight="1" x14ac:dyDescent="0.25">
      <c r="S306" s="107"/>
      <c r="U306" s="107"/>
    </row>
    <row r="307" spans="19:21" ht="21" customHeight="1" x14ac:dyDescent="0.25">
      <c r="S307" s="107"/>
      <c r="U307" s="107"/>
    </row>
    <row r="308" spans="19:21" ht="21" customHeight="1" x14ac:dyDescent="0.25">
      <c r="S308" s="107"/>
      <c r="U308" s="107"/>
    </row>
    <row r="309" spans="19:21" ht="21" customHeight="1" x14ac:dyDescent="0.25">
      <c r="S309" s="107"/>
      <c r="U309" s="107"/>
    </row>
    <row r="310" spans="19:21" ht="21" customHeight="1" x14ac:dyDescent="0.25">
      <c r="S310" s="107"/>
      <c r="U310" s="107"/>
    </row>
    <row r="311" spans="19:21" ht="21" customHeight="1" x14ac:dyDescent="0.25">
      <c r="S311" s="107"/>
      <c r="U311" s="107"/>
    </row>
    <row r="312" spans="19:21" ht="21" customHeight="1" x14ac:dyDescent="0.25">
      <c r="S312" s="107"/>
      <c r="U312" s="107"/>
    </row>
    <row r="313" spans="19:21" ht="21" customHeight="1" x14ac:dyDescent="0.25">
      <c r="S313" s="107"/>
      <c r="U313" s="107"/>
    </row>
    <row r="314" spans="19:21" ht="21" customHeight="1" x14ac:dyDescent="0.25">
      <c r="S314" s="107"/>
      <c r="U314" s="107"/>
    </row>
    <row r="315" spans="19:21" ht="21" customHeight="1" x14ac:dyDescent="0.25">
      <c r="S315" s="107"/>
      <c r="U315" s="107"/>
    </row>
    <row r="316" spans="19:21" ht="21" customHeight="1" x14ac:dyDescent="0.25">
      <c r="S316" s="107"/>
      <c r="U316" s="107"/>
    </row>
    <row r="317" spans="19:21" ht="21" customHeight="1" x14ac:dyDescent="0.25">
      <c r="S317" s="107"/>
      <c r="U317" s="107"/>
    </row>
    <row r="318" spans="19:21" ht="21" customHeight="1" x14ac:dyDescent="0.25">
      <c r="S318" s="107"/>
      <c r="U318" s="107"/>
    </row>
    <row r="319" spans="19:21" ht="21" customHeight="1" x14ac:dyDescent="0.25">
      <c r="S319" s="107"/>
      <c r="U319" s="107"/>
    </row>
    <row r="320" spans="19:21" ht="21" customHeight="1" x14ac:dyDescent="0.25">
      <c r="S320" s="107"/>
      <c r="U320" s="107"/>
    </row>
    <row r="321" spans="19:21" ht="21" customHeight="1" x14ac:dyDescent="0.25">
      <c r="S321" s="107"/>
      <c r="U321" s="107"/>
    </row>
    <row r="322" spans="19:21" ht="21" customHeight="1" x14ac:dyDescent="0.25">
      <c r="S322" s="107"/>
      <c r="U322" s="107"/>
    </row>
    <row r="323" spans="19:21" ht="21" customHeight="1" x14ac:dyDescent="0.25">
      <c r="S323" s="107"/>
      <c r="U323" s="107"/>
    </row>
    <row r="324" spans="19:21" ht="21" customHeight="1" x14ac:dyDescent="0.25">
      <c r="S324" s="107"/>
      <c r="U324" s="107"/>
    </row>
    <row r="325" spans="19:21" ht="21" customHeight="1" x14ac:dyDescent="0.25">
      <c r="S325" s="107"/>
      <c r="U325" s="107"/>
    </row>
    <row r="326" spans="19:21" ht="21" customHeight="1" x14ac:dyDescent="0.25">
      <c r="S326" s="107"/>
      <c r="U326" s="107"/>
    </row>
    <row r="327" spans="19:21" ht="21" customHeight="1" x14ac:dyDescent="0.25">
      <c r="S327" s="107"/>
      <c r="U327" s="107"/>
    </row>
    <row r="328" spans="19:21" ht="21" customHeight="1" x14ac:dyDescent="0.25">
      <c r="S328" s="107"/>
      <c r="U328" s="107"/>
    </row>
    <row r="329" spans="19:21" ht="21" customHeight="1" x14ac:dyDescent="0.25">
      <c r="S329" s="107"/>
      <c r="U329" s="107"/>
    </row>
    <row r="330" spans="19:21" ht="21" customHeight="1" x14ac:dyDescent="0.25">
      <c r="S330" s="107"/>
      <c r="U330" s="107"/>
    </row>
    <row r="331" spans="19:21" ht="21" customHeight="1" x14ac:dyDescent="0.25">
      <c r="S331" s="107"/>
      <c r="U331" s="107"/>
    </row>
    <row r="332" spans="19:21" ht="21" customHeight="1" x14ac:dyDescent="0.25">
      <c r="S332" s="107"/>
      <c r="U332" s="107"/>
    </row>
    <row r="333" spans="19:21" ht="21" customHeight="1" x14ac:dyDescent="0.25">
      <c r="S333" s="107"/>
      <c r="U333" s="107"/>
    </row>
    <row r="334" spans="19:21" ht="21" customHeight="1" x14ac:dyDescent="0.25">
      <c r="S334" s="107"/>
      <c r="U334" s="107"/>
    </row>
    <row r="335" spans="19:21" ht="21" customHeight="1" x14ac:dyDescent="0.25">
      <c r="S335" s="107"/>
      <c r="U335" s="107"/>
    </row>
    <row r="336" spans="19:21" ht="21" customHeight="1" x14ac:dyDescent="0.25">
      <c r="S336" s="107"/>
      <c r="U336" s="107"/>
    </row>
    <row r="337" spans="19:21" ht="21" customHeight="1" x14ac:dyDescent="0.25">
      <c r="S337" s="107"/>
      <c r="U337" s="107"/>
    </row>
    <row r="338" spans="19:21" ht="21" customHeight="1" x14ac:dyDescent="0.25">
      <c r="S338" s="107"/>
      <c r="U338" s="107"/>
    </row>
    <row r="339" spans="19:21" ht="21" customHeight="1" x14ac:dyDescent="0.25">
      <c r="S339" s="107"/>
      <c r="U339" s="107"/>
    </row>
    <row r="340" spans="19:21" ht="21" customHeight="1" x14ac:dyDescent="0.25">
      <c r="S340" s="107"/>
      <c r="U340" s="107"/>
    </row>
    <row r="341" spans="19:21" ht="21" customHeight="1" x14ac:dyDescent="0.25">
      <c r="S341" s="107"/>
      <c r="U341" s="107"/>
    </row>
    <row r="342" spans="19:21" ht="21" customHeight="1" x14ac:dyDescent="0.25">
      <c r="S342" s="107"/>
      <c r="U342" s="107"/>
    </row>
    <row r="343" spans="19:21" ht="21" customHeight="1" x14ac:dyDescent="0.25">
      <c r="S343" s="107"/>
      <c r="U343" s="107"/>
    </row>
    <row r="344" spans="19:21" ht="21" customHeight="1" x14ac:dyDescent="0.25">
      <c r="S344" s="107"/>
      <c r="U344" s="107"/>
    </row>
    <row r="345" spans="19:21" ht="21" customHeight="1" x14ac:dyDescent="0.25">
      <c r="S345" s="107"/>
      <c r="U345" s="107"/>
    </row>
    <row r="346" spans="19:21" ht="21" customHeight="1" x14ac:dyDescent="0.25">
      <c r="S346" s="107"/>
      <c r="U346" s="107"/>
    </row>
    <row r="347" spans="19:21" ht="21" customHeight="1" x14ac:dyDescent="0.25">
      <c r="S347" s="107"/>
      <c r="U347" s="107"/>
    </row>
    <row r="348" spans="19:21" ht="21" customHeight="1" x14ac:dyDescent="0.25">
      <c r="S348" s="107"/>
      <c r="U348" s="107"/>
    </row>
    <row r="349" spans="19:21" ht="21" customHeight="1" x14ac:dyDescent="0.25">
      <c r="S349" s="107"/>
      <c r="U349" s="107"/>
    </row>
    <row r="350" spans="19:21" ht="21" customHeight="1" x14ac:dyDescent="0.25">
      <c r="S350" s="107"/>
      <c r="U350" s="107"/>
    </row>
    <row r="351" spans="19:21" ht="21" customHeight="1" x14ac:dyDescent="0.25">
      <c r="S351" s="107"/>
      <c r="U351" s="107"/>
    </row>
    <row r="352" spans="19:21" ht="21" customHeight="1" x14ac:dyDescent="0.25">
      <c r="S352" s="107"/>
      <c r="U352" s="107"/>
    </row>
    <row r="353" spans="19:21" ht="21" customHeight="1" x14ac:dyDescent="0.25">
      <c r="S353" s="107"/>
      <c r="U353" s="107"/>
    </row>
    <row r="354" spans="19:21" ht="21" customHeight="1" x14ac:dyDescent="0.25">
      <c r="S354" s="107"/>
      <c r="U354" s="107"/>
    </row>
    <row r="355" spans="19:21" ht="21" customHeight="1" x14ac:dyDescent="0.25">
      <c r="S355" s="107"/>
      <c r="U355" s="107"/>
    </row>
    <row r="356" spans="19:21" ht="21" customHeight="1" x14ac:dyDescent="0.25">
      <c r="S356" s="107"/>
      <c r="U356" s="107"/>
    </row>
    <row r="357" spans="19:21" ht="21" customHeight="1" x14ac:dyDescent="0.25">
      <c r="S357" s="107"/>
      <c r="U357" s="107"/>
    </row>
    <row r="358" spans="19:21" ht="21" customHeight="1" x14ac:dyDescent="0.25">
      <c r="S358" s="107"/>
      <c r="U358" s="107"/>
    </row>
    <row r="359" spans="19:21" ht="21" customHeight="1" x14ac:dyDescent="0.25">
      <c r="S359" s="107"/>
      <c r="U359" s="107"/>
    </row>
    <row r="360" spans="19:21" ht="21" customHeight="1" x14ac:dyDescent="0.25">
      <c r="S360" s="107"/>
      <c r="U360" s="107"/>
    </row>
    <row r="361" spans="19:21" ht="21" customHeight="1" x14ac:dyDescent="0.25">
      <c r="S361" s="107"/>
      <c r="U361" s="107"/>
    </row>
    <row r="362" spans="19:21" ht="21" customHeight="1" x14ac:dyDescent="0.25">
      <c r="S362" s="107"/>
      <c r="U362" s="107"/>
    </row>
    <row r="363" spans="19:21" ht="21" customHeight="1" x14ac:dyDescent="0.25">
      <c r="S363" s="107"/>
      <c r="U363" s="107"/>
    </row>
    <row r="364" spans="19:21" ht="21" customHeight="1" x14ac:dyDescent="0.25">
      <c r="S364" s="107"/>
      <c r="U364" s="107"/>
    </row>
    <row r="365" spans="19:21" ht="21" customHeight="1" x14ac:dyDescent="0.25">
      <c r="S365" s="107"/>
      <c r="U365" s="107"/>
    </row>
    <row r="366" spans="19:21" ht="21" customHeight="1" x14ac:dyDescent="0.25">
      <c r="S366" s="107"/>
      <c r="U366" s="107"/>
    </row>
    <row r="367" spans="19:21" ht="21" customHeight="1" x14ac:dyDescent="0.25">
      <c r="S367" s="107"/>
      <c r="U367" s="107"/>
    </row>
    <row r="368" spans="19:21" ht="21" customHeight="1" x14ac:dyDescent="0.25">
      <c r="S368" s="107"/>
      <c r="U368" s="107"/>
    </row>
    <row r="369" spans="19:21" ht="21" customHeight="1" x14ac:dyDescent="0.25">
      <c r="S369" s="107"/>
      <c r="U369" s="107"/>
    </row>
    <row r="370" spans="19:21" ht="21" customHeight="1" x14ac:dyDescent="0.25">
      <c r="S370" s="107"/>
      <c r="U370" s="107"/>
    </row>
    <row r="371" spans="19:21" ht="21" customHeight="1" x14ac:dyDescent="0.25">
      <c r="S371" s="107"/>
      <c r="U371" s="107"/>
    </row>
    <row r="372" spans="19:21" ht="21" customHeight="1" x14ac:dyDescent="0.25">
      <c r="S372" s="107"/>
      <c r="U372" s="107"/>
    </row>
    <row r="373" spans="19:21" ht="21" customHeight="1" x14ac:dyDescent="0.25">
      <c r="S373" s="107"/>
      <c r="U373" s="107"/>
    </row>
    <row r="374" spans="19:21" ht="21" customHeight="1" x14ac:dyDescent="0.25">
      <c r="S374" s="107"/>
      <c r="U374" s="107"/>
    </row>
    <row r="375" spans="19:21" ht="21" customHeight="1" x14ac:dyDescent="0.25">
      <c r="S375" s="107"/>
      <c r="U375" s="107"/>
    </row>
    <row r="376" spans="19:21" ht="21" customHeight="1" x14ac:dyDescent="0.25">
      <c r="S376" s="107"/>
      <c r="U376" s="107"/>
    </row>
    <row r="377" spans="19:21" ht="21" customHeight="1" x14ac:dyDescent="0.25">
      <c r="S377" s="107"/>
      <c r="U377" s="107"/>
    </row>
    <row r="378" spans="19:21" ht="21" customHeight="1" x14ac:dyDescent="0.25">
      <c r="S378" s="107"/>
      <c r="U378" s="107"/>
    </row>
    <row r="379" spans="19:21" ht="21" customHeight="1" x14ac:dyDescent="0.25">
      <c r="S379" s="107"/>
      <c r="U379" s="107"/>
    </row>
    <row r="380" spans="19:21" ht="21" customHeight="1" x14ac:dyDescent="0.25">
      <c r="S380" s="107"/>
      <c r="U380" s="107"/>
    </row>
    <row r="381" spans="19:21" ht="21" customHeight="1" x14ac:dyDescent="0.25">
      <c r="S381" s="107"/>
      <c r="U381" s="107"/>
    </row>
    <row r="382" spans="19:21" ht="21" customHeight="1" x14ac:dyDescent="0.25">
      <c r="S382" s="107"/>
      <c r="U382" s="107"/>
    </row>
    <row r="383" spans="19:21" ht="21" customHeight="1" x14ac:dyDescent="0.25">
      <c r="S383" s="107"/>
      <c r="U383" s="107"/>
    </row>
    <row r="384" spans="19:21" ht="21" customHeight="1" x14ac:dyDescent="0.25">
      <c r="S384" s="107"/>
      <c r="U384" s="107"/>
    </row>
    <row r="385" spans="19:21" ht="21" customHeight="1" x14ac:dyDescent="0.25">
      <c r="S385" s="107"/>
      <c r="U385" s="107"/>
    </row>
    <row r="386" spans="19:21" ht="21" customHeight="1" x14ac:dyDescent="0.25">
      <c r="S386" s="107"/>
      <c r="U386" s="107"/>
    </row>
    <row r="387" spans="19:21" ht="21" customHeight="1" x14ac:dyDescent="0.25">
      <c r="S387" s="107"/>
      <c r="U387" s="107"/>
    </row>
    <row r="388" spans="19:21" ht="21" customHeight="1" x14ac:dyDescent="0.25">
      <c r="S388" s="107"/>
      <c r="U388" s="107"/>
    </row>
    <row r="389" spans="19:21" ht="21" customHeight="1" x14ac:dyDescent="0.25">
      <c r="S389" s="107"/>
      <c r="U389" s="107"/>
    </row>
    <row r="390" spans="19:21" ht="21" customHeight="1" x14ac:dyDescent="0.25">
      <c r="S390" s="107"/>
      <c r="U390" s="107"/>
    </row>
    <row r="391" spans="19:21" ht="21" customHeight="1" x14ac:dyDescent="0.25">
      <c r="S391" s="107"/>
      <c r="U391" s="107"/>
    </row>
    <row r="392" spans="19:21" ht="21" customHeight="1" x14ac:dyDescent="0.25">
      <c r="S392" s="107"/>
      <c r="U392" s="107"/>
    </row>
    <row r="393" spans="19:21" ht="21" customHeight="1" x14ac:dyDescent="0.25">
      <c r="S393" s="107"/>
      <c r="U393" s="107"/>
    </row>
    <row r="394" spans="19:21" ht="21" customHeight="1" x14ac:dyDescent="0.25">
      <c r="S394" s="107"/>
      <c r="U394" s="107"/>
    </row>
    <row r="395" spans="19:21" ht="21" customHeight="1" x14ac:dyDescent="0.25">
      <c r="S395" s="107"/>
      <c r="U395" s="107"/>
    </row>
    <row r="396" spans="19:21" ht="21" customHeight="1" x14ac:dyDescent="0.25">
      <c r="S396" s="107"/>
      <c r="U396" s="107"/>
    </row>
    <row r="397" spans="19:21" ht="21" customHeight="1" x14ac:dyDescent="0.25">
      <c r="S397" s="107"/>
      <c r="U397" s="107"/>
    </row>
    <row r="398" spans="19:21" ht="21" customHeight="1" x14ac:dyDescent="0.25">
      <c r="S398" s="107"/>
      <c r="U398" s="107"/>
    </row>
    <row r="399" spans="19:21" ht="21" customHeight="1" x14ac:dyDescent="0.25">
      <c r="S399" s="107"/>
      <c r="U399" s="107"/>
    </row>
    <row r="400" spans="19:21" ht="21" customHeight="1" x14ac:dyDescent="0.25">
      <c r="S400" s="107"/>
      <c r="U400" s="107"/>
    </row>
    <row r="401" spans="19:21" ht="21" customHeight="1" x14ac:dyDescent="0.25">
      <c r="S401" s="107"/>
      <c r="U401" s="107"/>
    </row>
    <row r="402" spans="19:21" ht="21" customHeight="1" x14ac:dyDescent="0.25">
      <c r="S402" s="107"/>
      <c r="U402" s="107"/>
    </row>
    <row r="403" spans="19:21" ht="21" customHeight="1" x14ac:dyDescent="0.25">
      <c r="S403" s="107"/>
      <c r="U403" s="107"/>
    </row>
    <row r="404" spans="19:21" ht="21" customHeight="1" x14ac:dyDescent="0.25">
      <c r="S404" s="107"/>
      <c r="U404" s="107"/>
    </row>
    <row r="405" spans="19:21" ht="21" customHeight="1" x14ac:dyDescent="0.25">
      <c r="S405" s="107"/>
      <c r="U405" s="107"/>
    </row>
    <row r="406" spans="19:21" ht="21" customHeight="1" x14ac:dyDescent="0.25">
      <c r="S406" s="107"/>
      <c r="U406" s="107"/>
    </row>
    <row r="407" spans="19:21" ht="21" customHeight="1" x14ac:dyDescent="0.25">
      <c r="S407" s="107"/>
      <c r="U407" s="107"/>
    </row>
    <row r="408" spans="19:21" ht="21" customHeight="1" x14ac:dyDescent="0.25">
      <c r="S408" s="107"/>
      <c r="U408" s="107"/>
    </row>
    <row r="409" spans="19:21" ht="21" customHeight="1" x14ac:dyDescent="0.25">
      <c r="S409" s="107"/>
      <c r="U409" s="107"/>
    </row>
    <row r="410" spans="19:21" ht="21" customHeight="1" x14ac:dyDescent="0.25">
      <c r="S410" s="107"/>
      <c r="U410" s="107"/>
    </row>
    <row r="411" spans="19:21" ht="21" customHeight="1" x14ac:dyDescent="0.25">
      <c r="S411" s="107"/>
      <c r="U411" s="107"/>
    </row>
    <row r="412" spans="19:21" ht="21" customHeight="1" x14ac:dyDescent="0.25">
      <c r="S412" s="107"/>
      <c r="U412" s="107"/>
    </row>
    <row r="413" spans="19:21" ht="21" customHeight="1" x14ac:dyDescent="0.25">
      <c r="S413" s="107"/>
      <c r="U413" s="107"/>
    </row>
    <row r="414" spans="19:21" ht="21" customHeight="1" x14ac:dyDescent="0.25">
      <c r="S414" s="107"/>
      <c r="U414" s="107"/>
    </row>
    <row r="415" spans="19:21" ht="21" customHeight="1" x14ac:dyDescent="0.25">
      <c r="S415" s="107"/>
      <c r="U415" s="107"/>
    </row>
    <row r="416" spans="19:21" ht="21" customHeight="1" x14ac:dyDescent="0.25">
      <c r="S416" s="107"/>
      <c r="U416" s="107"/>
    </row>
    <row r="417" spans="19:21" ht="21" customHeight="1" x14ac:dyDescent="0.25">
      <c r="S417" s="107"/>
      <c r="U417" s="107"/>
    </row>
    <row r="418" spans="19:21" ht="21" customHeight="1" x14ac:dyDescent="0.25">
      <c r="S418" s="107"/>
      <c r="U418" s="107"/>
    </row>
    <row r="419" spans="19:21" ht="21" customHeight="1" x14ac:dyDescent="0.25">
      <c r="S419" s="107"/>
      <c r="U419" s="107"/>
    </row>
    <row r="420" spans="19:21" ht="21" customHeight="1" x14ac:dyDescent="0.25">
      <c r="S420" s="107"/>
      <c r="U420" s="107"/>
    </row>
    <row r="421" spans="19:21" ht="21" customHeight="1" x14ac:dyDescent="0.25">
      <c r="S421" s="107"/>
      <c r="U421" s="107"/>
    </row>
    <row r="422" spans="19:21" ht="21" customHeight="1" x14ac:dyDescent="0.25">
      <c r="S422" s="107"/>
      <c r="U422" s="107"/>
    </row>
    <row r="423" spans="19:21" ht="21" customHeight="1" x14ac:dyDescent="0.25">
      <c r="S423" s="107"/>
      <c r="U423" s="107"/>
    </row>
    <row r="424" spans="19:21" ht="21" customHeight="1" x14ac:dyDescent="0.25">
      <c r="S424" s="107"/>
      <c r="U424" s="107"/>
    </row>
    <row r="425" spans="19:21" ht="21" customHeight="1" x14ac:dyDescent="0.25">
      <c r="S425" s="107"/>
      <c r="U425" s="107"/>
    </row>
    <row r="426" spans="19:21" ht="21" customHeight="1" x14ac:dyDescent="0.25">
      <c r="S426" s="107"/>
      <c r="U426" s="107"/>
    </row>
    <row r="427" spans="19:21" ht="21" customHeight="1" x14ac:dyDescent="0.25">
      <c r="S427" s="107"/>
      <c r="U427" s="107"/>
    </row>
    <row r="428" spans="19:21" ht="21" customHeight="1" x14ac:dyDescent="0.25">
      <c r="S428" s="107"/>
      <c r="U428" s="107"/>
    </row>
    <row r="429" spans="19:21" ht="21" customHeight="1" x14ac:dyDescent="0.25">
      <c r="S429" s="107"/>
      <c r="U429" s="107"/>
    </row>
    <row r="430" spans="19:21" ht="21" customHeight="1" x14ac:dyDescent="0.25">
      <c r="S430" s="107"/>
      <c r="U430" s="107"/>
    </row>
    <row r="431" spans="19:21" ht="21" customHeight="1" x14ac:dyDescent="0.25">
      <c r="S431" s="107"/>
      <c r="U431" s="107"/>
    </row>
    <row r="432" spans="19:21" ht="21" customHeight="1" x14ac:dyDescent="0.25">
      <c r="S432" s="107"/>
      <c r="U432" s="107"/>
    </row>
    <row r="433" spans="19:21" ht="21" customHeight="1" x14ac:dyDescent="0.25">
      <c r="S433" s="107"/>
      <c r="U433" s="107"/>
    </row>
    <row r="434" spans="19:21" ht="21" customHeight="1" x14ac:dyDescent="0.25">
      <c r="S434" s="107"/>
      <c r="U434" s="107"/>
    </row>
    <row r="435" spans="19:21" ht="21" customHeight="1" x14ac:dyDescent="0.25">
      <c r="S435" s="107"/>
      <c r="U435" s="107"/>
    </row>
    <row r="436" spans="19:21" ht="21" customHeight="1" x14ac:dyDescent="0.25">
      <c r="S436" s="107"/>
      <c r="U436" s="107"/>
    </row>
    <row r="437" spans="19:21" ht="21" customHeight="1" x14ac:dyDescent="0.25">
      <c r="S437" s="107"/>
      <c r="U437" s="107"/>
    </row>
    <row r="438" spans="19:21" ht="21" customHeight="1" x14ac:dyDescent="0.25">
      <c r="S438" s="107"/>
      <c r="U438" s="107"/>
    </row>
    <row r="439" spans="19:21" ht="21" customHeight="1" x14ac:dyDescent="0.25">
      <c r="S439" s="107"/>
      <c r="U439" s="107"/>
    </row>
    <row r="440" spans="19:21" ht="21" customHeight="1" x14ac:dyDescent="0.25">
      <c r="S440" s="107"/>
      <c r="U440" s="107"/>
    </row>
    <row r="441" spans="19:21" ht="21" customHeight="1" x14ac:dyDescent="0.25">
      <c r="S441" s="107"/>
      <c r="U441" s="107"/>
    </row>
    <row r="442" spans="19:21" ht="21" customHeight="1" x14ac:dyDescent="0.25">
      <c r="S442" s="107"/>
      <c r="U442" s="107"/>
    </row>
    <row r="443" spans="19:21" ht="21" customHeight="1" x14ac:dyDescent="0.25">
      <c r="S443" s="107"/>
      <c r="U443" s="107"/>
    </row>
    <row r="444" spans="19:21" ht="21" customHeight="1" x14ac:dyDescent="0.25">
      <c r="S444" s="107"/>
      <c r="U444" s="107"/>
    </row>
    <row r="445" spans="19:21" ht="21" customHeight="1" x14ac:dyDescent="0.25">
      <c r="S445" s="107"/>
      <c r="U445" s="107"/>
    </row>
    <row r="446" spans="19:21" ht="21" customHeight="1" x14ac:dyDescent="0.25">
      <c r="S446" s="107"/>
      <c r="U446" s="107"/>
    </row>
    <row r="447" spans="19:21" ht="21" customHeight="1" x14ac:dyDescent="0.25">
      <c r="S447" s="107"/>
      <c r="U447" s="107"/>
    </row>
    <row r="448" spans="19:21" ht="21" customHeight="1" x14ac:dyDescent="0.25">
      <c r="S448" s="107"/>
      <c r="U448" s="107"/>
    </row>
    <row r="449" spans="19:21" ht="21" customHeight="1" x14ac:dyDescent="0.25">
      <c r="S449" s="107"/>
      <c r="U449" s="107"/>
    </row>
    <row r="450" spans="19:21" ht="21" customHeight="1" x14ac:dyDescent="0.25">
      <c r="S450" s="107"/>
      <c r="U450" s="107"/>
    </row>
    <row r="451" spans="19:21" ht="21" customHeight="1" x14ac:dyDescent="0.25">
      <c r="S451" s="107"/>
      <c r="U451" s="107"/>
    </row>
    <row r="452" spans="19:21" ht="21" customHeight="1" x14ac:dyDescent="0.25">
      <c r="S452" s="107"/>
      <c r="U452" s="107"/>
    </row>
    <row r="453" spans="19:21" ht="21" customHeight="1" x14ac:dyDescent="0.25">
      <c r="S453" s="107"/>
      <c r="U453" s="107"/>
    </row>
    <row r="454" spans="19:21" ht="21" customHeight="1" x14ac:dyDescent="0.25">
      <c r="S454" s="107"/>
      <c r="U454" s="107"/>
    </row>
    <row r="455" spans="19:21" ht="21" customHeight="1" x14ac:dyDescent="0.25">
      <c r="S455" s="107"/>
      <c r="U455" s="107"/>
    </row>
    <row r="456" spans="19:21" ht="21" customHeight="1" x14ac:dyDescent="0.25">
      <c r="S456" s="107"/>
      <c r="U456" s="107"/>
    </row>
    <row r="457" spans="19:21" ht="21" customHeight="1" x14ac:dyDescent="0.25">
      <c r="S457" s="107"/>
      <c r="U457" s="107"/>
    </row>
    <row r="458" spans="19:21" ht="21" customHeight="1" x14ac:dyDescent="0.25">
      <c r="S458" s="107"/>
      <c r="U458" s="107"/>
    </row>
    <row r="459" spans="19:21" ht="21" customHeight="1" x14ac:dyDescent="0.25">
      <c r="S459" s="107"/>
      <c r="U459" s="107"/>
    </row>
    <row r="460" spans="19:21" ht="21" customHeight="1" x14ac:dyDescent="0.25">
      <c r="S460" s="107"/>
      <c r="U460" s="107"/>
    </row>
    <row r="461" spans="19:21" ht="21" customHeight="1" x14ac:dyDescent="0.25">
      <c r="S461" s="107"/>
      <c r="U461" s="107"/>
    </row>
    <row r="462" spans="19:21" ht="21" customHeight="1" x14ac:dyDescent="0.25">
      <c r="S462" s="107"/>
      <c r="U462" s="107"/>
    </row>
    <row r="463" spans="19:21" ht="21" customHeight="1" x14ac:dyDescent="0.25">
      <c r="S463" s="107"/>
      <c r="U463" s="107"/>
    </row>
    <row r="464" spans="19:21" ht="21" customHeight="1" x14ac:dyDescent="0.25">
      <c r="S464" s="107"/>
      <c r="U464" s="107"/>
    </row>
    <row r="465" spans="19:21" ht="21" customHeight="1" x14ac:dyDescent="0.25">
      <c r="S465" s="107"/>
      <c r="U465" s="107"/>
    </row>
    <row r="466" spans="19:21" ht="21" customHeight="1" x14ac:dyDescent="0.25">
      <c r="S466" s="107"/>
      <c r="U466" s="107"/>
    </row>
    <row r="467" spans="19:21" ht="21" customHeight="1" x14ac:dyDescent="0.25">
      <c r="S467" s="107"/>
      <c r="U467" s="107"/>
    </row>
    <row r="468" spans="19:21" ht="21" customHeight="1" x14ac:dyDescent="0.25">
      <c r="S468" s="107"/>
      <c r="U468" s="107"/>
    </row>
    <row r="469" spans="19:21" ht="21" customHeight="1" x14ac:dyDescent="0.25">
      <c r="S469" s="107"/>
      <c r="U469" s="107"/>
    </row>
    <row r="470" spans="19:21" ht="21" customHeight="1" x14ac:dyDescent="0.25">
      <c r="S470" s="107"/>
      <c r="U470" s="107"/>
    </row>
    <row r="471" spans="19:21" ht="21" customHeight="1" x14ac:dyDescent="0.25">
      <c r="S471" s="107"/>
      <c r="U471" s="107"/>
    </row>
    <row r="472" spans="19:21" ht="21" customHeight="1" x14ac:dyDescent="0.25">
      <c r="S472" s="107"/>
      <c r="U472" s="107"/>
    </row>
    <row r="473" spans="19:21" ht="21" customHeight="1" x14ac:dyDescent="0.25">
      <c r="S473" s="107"/>
      <c r="U473" s="107"/>
    </row>
    <row r="474" spans="19:21" ht="21" customHeight="1" x14ac:dyDescent="0.25">
      <c r="S474" s="107"/>
      <c r="U474" s="107"/>
    </row>
    <row r="475" spans="19:21" ht="21" customHeight="1" x14ac:dyDescent="0.25">
      <c r="S475" s="107"/>
      <c r="U475" s="107"/>
    </row>
    <row r="476" spans="19:21" ht="21" customHeight="1" x14ac:dyDescent="0.25">
      <c r="S476" s="107"/>
      <c r="U476" s="107"/>
    </row>
    <row r="477" spans="19:21" ht="21" customHeight="1" x14ac:dyDescent="0.25">
      <c r="S477" s="107"/>
      <c r="U477" s="107"/>
    </row>
    <row r="478" spans="19:21" ht="21" customHeight="1" x14ac:dyDescent="0.25">
      <c r="S478" s="107"/>
      <c r="U478" s="107"/>
    </row>
    <row r="479" spans="19:21" ht="21" customHeight="1" x14ac:dyDescent="0.25">
      <c r="S479" s="107"/>
      <c r="U479" s="107"/>
    </row>
    <row r="480" spans="19:21" ht="21" customHeight="1" x14ac:dyDescent="0.25">
      <c r="S480" s="107"/>
      <c r="U480" s="107"/>
    </row>
    <row r="481" spans="19:21" ht="21" customHeight="1" x14ac:dyDescent="0.25">
      <c r="S481" s="107"/>
      <c r="U481" s="107"/>
    </row>
    <row r="482" spans="19:21" ht="21" customHeight="1" x14ac:dyDescent="0.25">
      <c r="S482" s="107"/>
      <c r="U482" s="107"/>
    </row>
    <row r="483" spans="19:21" ht="21" customHeight="1" x14ac:dyDescent="0.25">
      <c r="S483" s="107"/>
      <c r="U483" s="107"/>
    </row>
    <row r="484" spans="19:21" ht="21" customHeight="1" x14ac:dyDescent="0.25">
      <c r="S484" s="107"/>
      <c r="U484" s="107"/>
    </row>
    <row r="485" spans="19:21" ht="21" customHeight="1" x14ac:dyDescent="0.25">
      <c r="S485" s="107"/>
      <c r="U485" s="107"/>
    </row>
    <row r="486" spans="19:21" ht="21" customHeight="1" x14ac:dyDescent="0.25">
      <c r="S486" s="107"/>
      <c r="U486" s="107"/>
    </row>
    <row r="487" spans="19:21" ht="21" customHeight="1" x14ac:dyDescent="0.25">
      <c r="S487" s="107"/>
      <c r="U487" s="107"/>
    </row>
    <row r="488" spans="19:21" ht="21" customHeight="1" x14ac:dyDescent="0.25">
      <c r="S488" s="107"/>
      <c r="U488" s="107"/>
    </row>
    <row r="489" spans="19:21" ht="21" customHeight="1" x14ac:dyDescent="0.25">
      <c r="S489" s="107"/>
      <c r="U489" s="107"/>
    </row>
    <row r="490" spans="19:21" ht="21" customHeight="1" x14ac:dyDescent="0.25">
      <c r="S490" s="107"/>
      <c r="U490" s="107"/>
    </row>
    <row r="491" spans="19:21" ht="21" customHeight="1" x14ac:dyDescent="0.25">
      <c r="S491" s="107"/>
      <c r="U491" s="107"/>
    </row>
    <row r="492" spans="19:21" ht="21" customHeight="1" x14ac:dyDescent="0.25">
      <c r="S492" s="107"/>
      <c r="U492" s="107"/>
    </row>
    <row r="493" spans="19:21" ht="21" customHeight="1" x14ac:dyDescent="0.25">
      <c r="S493" s="107"/>
      <c r="U493" s="107"/>
    </row>
    <row r="494" spans="19:21" ht="21" customHeight="1" x14ac:dyDescent="0.25">
      <c r="S494" s="107"/>
      <c r="U494" s="107"/>
    </row>
    <row r="495" spans="19:21" ht="21" customHeight="1" x14ac:dyDescent="0.25">
      <c r="S495" s="107"/>
      <c r="U495" s="107"/>
    </row>
    <row r="496" spans="19:21" ht="21" customHeight="1" x14ac:dyDescent="0.25">
      <c r="S496" s="107"/>
      <c r="U496" s="107"/>
    </row>
    <row r="497" spans="19:21" ht="21" customHeight="1" x14ac:dyDescent="0.25">
      <c r="S497" s="107"/>
      <c r="U497" s="107"/>
    </row>
    <row r="498" spans="19:21" ht="21" customHeight="1" x14ac:dyDescent="0.25">
      <c r="S498" s="107"/>
      <c r="U498" s="107"/>
    </row>
    <row r="499" spans="19:21" ht="21" customHeight="1" x14ac:dyDescent="0.25">
      <c r="S499" s="107"/>
      <c r="U499" s="107"/>
    </row>
    <row r="500" spans="19:21" ht="21" customHeight="1" x14ac:dyDescent="0.25">
      <c r="S500" s="107"/>
      <c r="U500" s="107"/>
    </row>
    <row r="501" spans="19:21" ht="21" customHeight="1" x14ac:dyDescent="0.25">
      <c r="S501" s="107"/>
      <c r="U501" s="107"/>
    </row>
    <row r="502" spans="19:21" ht="21" customHeight="1" x14ac:dyDescent="0.25">
      <c r="S502" s="107"/>
      <c r="U502" s="107"/>
    </row>
    <row r="503" spans="19:21" ht="21" customHeight="1" x14ac:dyDescent="0.25">
      <c r="S503" s="107"/>
      <c r="U503" s="107"/>
    </row>
    <row r="504" spans="19:21" ht="21" customHeight="1" x14ac:dyDescent="0.25">
      <c r="S504" s="107"/>
      <c r="U504" s="107"/>
    </row>
    <row r="505" spans="19:21" ht="21" customHeight="1" x14ac:dyDescent="0.25">
      <c r="S505" s="107"/>
      <c r="U505" s="107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P213"/>
  <sheetViews>
    <sheetView zoomScaleNormal="100" workbookViewId="0">
      <pane xSplit="4" topLeftCell="E1" activePane="topRight" state="frozen"/>
      <selection pane="topRight" activeCell="C42" sqref="C42"/>
    </sheetView>
  </sheetViews>
  <sheetFormatPr defaultColWidth="8.85546875" defaultRowHeight="15" x14ac:dyDescent="0.25"/>
  <cols>
    <col min="2" max="2" width="33.42578125" bestFit="1" customWidth="1"/>
    <col min="3" max="3" width="32.140625" bestFit="1" customWidth="1"/>
    <col min="4" max="4" width="24.28515625" bestFit="1" customWidth="1"/>
    <col min="5" max="5" width="15.85546875" style="84" bestFit="1" customWidth="1"/>
    <col min="6" max="6" width="15.85546875" style="90" bestFit="1" customWidth="1"/>
    <col min="7" max="7" width="8.7109375" style="84" hidden="1" customWidth="1"/>
    <col min="8" max="8" width="8.7109375" style="90" hidden="1" customWidth="1"/>
    <col min="9" max="9" width="11.28515625" style="84" hidden="1" customWidth="1"/>
    <col min="10" max="10" width="11.140625" style="90" hidden="1" customWidth="1"/>
    <col min="11" max="11" width="8.7109375" style="192" hidden="1" customWidth="1"/>
    <col min="12" max="12" width="8.7109375" style="90" hidden="1" customWidth="1"/>
    <col min="13" max="13" width="9" style="84" hidden="1" customWidth="1"/>
    <col min="14" max="14" width="9" style="90" hidden="1" customWidth="1"/>
    <col min="15" max="15" width="8.7109375" style="192" hidden="1" customWidth="1"/>
    <col min="16" max="16" width="8.7109375" style="144" hidden="1" customWidth="1"/>
    <col min="17" max="17" width="10.140625" style="84" hidden="1" customWidth="1"/>
    <col min="18" max="18" width="10.140625" style="90" hidden="1" customWidth="1"/>
    <col min="19" max="19" width="8.7109375" hidden="1" customWidth="1"/>
    <col min="20" max="20" width="8.7109375" style="1654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5" width="8.85546875" hidden="1" customWidth="1"/>
    <col min="36" max="36" width="9" hidden="1" customWidth="1"/>
    <col min="37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0" width="9" hidden="1" customWidth="1"/>
    <col min="51" max="51" width="8.85546875" hidden="1" customWidth="1"/>
    <col min="52" max="52" width="9.5703125" hidden="1" customWidth="1"/>
    <col min="53" max="56" width="8.85546875" style="2819" hidden="1" customWidth="1"/>
    <col min="57" max="58" width="8.85546875" hidden="1" customWidth="1"/>
    <col min="59" max="59" width="4.5703125" bestFit="1" customWidth="1"/>
    <col min="60" max="61" width="11.5703125" hidden="1" customWidth="1"/>
    <col min="62" max="66" width="0" hidden="1" customWidth="1"/>
    <col min="67" max="67" width="30.85546875" bestFit="1" customWidth="1"/>
  </cols>
  <sheetData>
    <row r="1" spans="1:65" ht="22.5" x14ac:dyDescent="0.3">
      <c r="B1" s="365" t="s">
        <v>51</v>
      </c>
      <c r="C1" s="365"/>
      <c r="D1" s="43"/>
      <c r="E1" s="43"/>
      <c r="F1" s="43"/>
      <c r="G1" s="43"/>
      <c r="H1" s="43"/>
      <c r="I1" s="43"/>
      <c r="J1" s="43"/>
      <c r="K1" s="144"/>
      <c r="M1" s="90"/>
      <c r="O1" s="144"/>
      <c r="Q1" s="90"/>
      <c r="S1" s="90"/>
      <c r="T1" s="1659"/>
      <c r="U1" s="90"/>
      <c r="V1" s="90"/>
      <c r="W1" s="8102"/>
      <c r="X1" s="8102"/>
      <c r="Y1" s="90"/>
      <c r="Z1" s="90"/>
      <c r="AA1" s="90"/>
      <c r="AB1" s="90"/>
    </row>
    <row r="2" spans="1:65" ht="15.75" thickBot="1" x14ac:dyDescent="0.3">
      <c r="B2" s="43"/>
      <c r="C2" s="43"/>
      <c r="D2" s="43"/>
      <c r="E2" s="93">
        <v>30</v>
      </c>
      <c r="F2" s="93">
        <v>30</v>
      </c>
      <c r="G2" s="93">
        <v>31</v>
      </c>
      <c r="H2" s="93">
        <v>31</v>
      </c>
      <c r="I2" s="93">
        <f>+E2+G2</f>
        <v>61</v>
      </c>
      <c r="J2" s="93">
        <f>+F2+H2</f>
        <v>61</v>
      </c>
      <c r="K2" s="375">
        <v>30</v>
      </c>
      <c r="L2" s="93">
        <v>30</v>
      </c>
      <c r="M2" s="93">
        <f>+I2+K2</f>
        <v>91</v>
      </c>
      <c r="N2" s="93">
        <f>+J2+L2</f>
        <v>91</v>
      </c>
      <c r="O2" s="375">
        <v>31</v>
      </c>
      <c r="P2" s="375">
        <v>31</v>
      </c>
      <c r="Q2" s="93">
        <f>+M2+O2</f>
        <v>122</v>
      </c>
      <c r="R2" s="93">
        <f>+N2+P2</f>
        <v>122</v>
      </c>
      <c r="S2" s="93">
        <v>31</v>
      </c>
      <c r="T2" s="1660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M2+Y2</f>
        <v>183</v>
      </c>
      <c r="AB2" s="93">
        <f>N2+Z2</f>
        <v>183</v>
      </c>
      <c r="AC2" s="93">
        <v>31</v>
      </c>
      <c r="AD2" s="1660">
        <v>31</v>
      </c>
      <c r="AE2" s="93">
        <f>+AA2+AC2</f>
        <v>214</v>
      </c>
      <c r="AF2" s="93">
        <f>+AB2+AD2</f>
        <v>214</v>
      </c>
      <c r="AG2" s="93">
        <v>30</v>
      </c>
      <c r="AH2" s="1660">
        <v>30</v>
      </c>
      <c r="AI2" s="93">
        <f>+AE2+AG2</f>
        <v>244</v>
      </c>
      <c r="AJ2" s="93">
        <f>+AF2+AH2</f>
        <v>244</v>
      </c>
      <c r="AK2" s="93">
        <v>31</v>
      </c>
      <c r="AL2" s="1660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660">
        <v>31</v>
      </c>
      <c r="AS2" s="93">
        <f>+AO2+AQ2</f>
        <v>306</v>
      </c>
      <c r="AT2" s="93">
        <f>+AP2+AR2</f>
        <v>306</v>
      </c>
      <c r="AU2" s="93">
        <v>28</v>
      </c>
      <c r="AV2" s="1660">
        <v>28</v>
      </c>
      <c r="AW2" s="93">
        <f>+AS2+AU2</f>
        <v>334</v>
      </c>
      <c r="AX2" s="93">
        <f>+AT2+AV2</f>
        <v>334</v>
      </c>
      <c r="AY2" s="93">
        <v>31</v>
      </c>
      <c r="AZ2" s="1660">
        <v>31</v>
      </c>
      <c r="BA2" s="93">
        <f>+AQ2+AU2+AY2</f>
        <v>90</v>
      </c>
      <c r="BB2" s="93">
        <f>+AR2+AV2+AZ2</f>
        <v>90</v>
      </c>
      <c r="BC2" s="93">
        <f>AO2+BA2</f>
        <v>365</v>
      </c>
      <c r="BD2" s="93">
        <f>AP2+BB2</f>
        <v>365</v>
      </c>
      <c r="BE2" s="93">
        <f>+AW2+AY2</f>
        <v>365</v>
      </c>
      <c r="BF2" s="93">
        <f>+AX2+AZ2</f>
        <v>365</v>
      </c>
    </row>
    <row r="3" spans="1:65" ht="16.5" customHeight="1" thickBot="1" x14ac:dyDescent="0.3">
      <c r="B3" s="7835" t="s">
        <v>171</v>
      </c>
      <c r="C3" s="8103" t="s">
        <v>812</v>
      </c>
      <c r="D3" s="8106" t="s">
        <v>172</v>
      </c>
      <c r="E3" s="7707" t="s">
        <v>2319</v>
      </c>
      <c r="F3" s="7708"/>
      <c r="G3" s="7707" t="s">
        <v>1956</v>
      </c>
      <c r="H3" s="7708"/>
      <c r="I3" s="7813" t="s">
        <v>14</v>
      </c>
      <c r="J3" s="8051"/>
      <c r="K3" s="7768" t="s">
        <v>1986</v>
      </c>
      <c r="L3" s="7768"/>
      <c r="M3" s="7734" t="s">
        <v>607</v>
      </c>
      <c r="N3" s="7734"/>
      <c r="O3" s="7768" t="s">
        <v>2008</v>
      </c>
      <c r="P3" s="7768"/>
      <c r="Q3" s="7766" t="s">
        <v>17</v>
      </c>
      <c r="R3" s="7767"/>
      <c r="S3" s="7768" t="s">
        <v>2011</v>
      </c>
      <c r="T3" s="7768"/>
      <c r="U3" s="7766" t="s">
        <v>18</v>
      </c>
      <c r="V3" s="7767"/>
      <c r="W3" s="7768" t="s">
        <v>2042</v>
      </c>
      <c r="X3" s="7768"/>
      <c r="Y3" s="7769" t="s">
        <v>629</v>
      </c>
      <c r="Z3" s="7770"/>
      <c r="AA3" s="7771" t="s">
        <v>626</v>
      </c>
      <c r="AB3" s="7772"/>
      <c r="AC3" s="7768" t="s">
        <v>2067</v>
      </c>
      <c r="AD3" s="7768"/>
      <c r="AE3" s="7766" t="s">
        <v>24</v>
      </c>
      <c r="AF3" s="7767"/>
      <c r="AG3" s="7768" t="s">
        <v>2170</v>
      </c>
      <c r="AH3" s="7768"/>
      <c r="AI3" s="7766" t="s">
        <v>27</v>
      </c>
      <c r="AJ3" s="7767"/>
      <c r="AK3" s="7768" t="s">
        <v>2194</v>
      </c>
      <c r="AL3" s="7768"/>
      <c r="AM3" s="7769" t="s">
        <v>631</v>
      </c>
      <c r="AN3" s="7770"/>
      <c r="AO3" s="7766" t="s">
        <v>1575</v>
      </c>
      <c r="AP3" s="7767"/>
      <c r="AQ3" s="7768" t="s">
        <v>2206</v>
      </c>
      <c r="AR3" s="7768"/>
      <c r="AS3" s="7766" t="s">
        <v>28</v>
      </c>
      <c r="AT3" s="7767"/>
      <c r="AU3" s="7768" t="s">
        <v>2243</v>
      </c>
      <c r="AV3" s="7768"/>
      <c r="AW3" s="7766" t="s">
        <v>30</v>
      </c>
      <c r="AX3" s="7767"/>
      <c r="AY3" s="7768" t="s">
        <v>2261</v>
      </c>
      <c r="AZ3" s="7768"/>
      <c r="BA3" s="7769" t="s">
        <v>632</v>
      </c>
      <c r="BB3" s="7770"/>
      <c r="BC3" s="7771" t="s">
        <v>638</v>
      </c>
      <c r="BD3" s="7772"/>
      <c r="BE3" s="7766" t="s">
        <v>1984</v>
      </c>
      <c r="BF3" s="7767"/>
    </row>
    <row r="4" spans="1:65" ht="15.75" customHeight="1" thickBot="1" x14ac:dyDescent="0.3">
      <c r="B4" s="8094"/>
      <c r="C4" s="8104"/>
      <c r="D4" s="7954"/>
      <c r="E4" s="1226" t="s">
        <v>173</v>
      </c>
      <c r="F4" s="735" t="s">
        <v>174</v>
      </c>
      <c r="G4" s="1226" t="s">
        <v>173</v>
      </c>
      <c r="H4" s="735" t="s">
        <v>174</v>
      </c>
      <c r="I4" s="1383" t="s">
        <v>173</v>
      </c>
      <c r="J4" s="2227" t="s">
        <v>174</v>
      </c>
      <c r="K4" s="211" t="s">
        <v>173</v>
      </c>
      <c r="L4" s="2223" t="s">
        <v>174</v>
      </c>
      <c r="M4" s="2225" t="s">
        <v>173</v>
      </c>
      <c r="N4" s="2225" t="s">
        <v>174</v>
      </c>
      <c r="O4" s="211" t="s">
        <v>173</v>
      </c>
      <c r="P4" s="376" t="s">
        <v>174</v>
      </c>
      <c r="Q4" s="2219" t="s">
        <v>173</v>
      </c>
      <c r="R4" s="152" t="s">
        <v>174</v>
      </c>
      <c r="S4" s="211" t="s">
        <v>173</v>
      </c>
      <c r="T4" s="1661" t="s">
        <v>174</v>
      </c>
      <c r="U4" s="2219" t="s">
        <v>173</v>
      </c>
      <c r="V4" s="152" t="s">
        <v>174</v>
      </c>
      <c r="W4" s="211" t="s">
        <v>173</v>
      </c>
      <c r="X4" s="376" t="s">
        <v>174</v>
      </c>
      <c r="Y4" s="2213" t="s">
        <v>173</v>
      </c>
      <c r="Z4" s="159" t="s">
        <v>174</v>
      </c>
      <c r="AA4" s="2215" t="s">
        <v>173</v>
      </c>
      <c r="AB4" s="441" t="s">
        <v>174</v>
      </c>
      <c r="AC4" s="211" t="s">
        <v>173</v>
      </c>
      <c r="AD4" s="1661" t="s">
        <v>174</v>
      </c>
      <c r="AE4" s="2443" t="s">
        <v>173</v>
      </c>
      <c r="AF4" s="152" t="s">
        <v>174</v>
      </c>
      <c r="AG4" s="211" t="s">
        <v>173</v>
      </c>
      <c r="AH4" s="1661" t="s">
        <v>174</v>
      </c>
      <c r="AI4" s="2480" t="s">
        <v>173</v>
      </c>
      <c r="AJ4" s="152" t="s">
        <v>174</v>
      </c>
      <c r="AK4" s="211" t="s">
        <v>173</v>
      </c>
      <c r="AL4" s="1661" t="s">
        <v>174</v>
      </c>
      <c r="AM4" s="2547" t="s">
        <v>173</v>
      </c>
      <c r="AN4" s="159" t="s">
        <v>174</v>
      </c>
      <c r="AO4" s="2548" t="s">
        <v>173</v>
      </c>
      <c r="AP4" s="152" t="s">
        <v>174</v>
      </c>
      <c r="AQ4" s="211" t="s">
        <v>173</v>
      </c>
      <c r="AR4" s="1661" t="s">
        <v>174</v>
      </c>
      <c r="AS4" s="2607" t="s">
        <v>173</v>
      </c>
      <c r="AT4" s="152" t="s">
        <v>174</v>
      </c>
      <c r="AU4" s="211" t="s">
        <v>173</v>
      </c>
      <c r="AV4" s="1661" t="s">
        <v>174</v>
      </c>
      <c r="AW4" s="2641" t="s">
        <v>173</v>
      </c>
      <c r="AX4" s="152" t="s">
        <v>174</v>
      </c>
      <c r="AY4" s="211" t="s">
        <v>173</v>
      </c>
      <c r="AZ4" s="1661" t="s">
        <v>174</v>
      </c>
      <c r="BA4" s="2815" t="s">
        <v>173</v>
      </c>
      <c r="BB4" s="159" t="s">
        <v>174</v>
      </c>
      <c r="BC4" s="2813" t="s">
        <v>173</v>
      </c>
      <c r="BD4" s="441" t="s">
        <v>174</v>
      </c>
      <c r="BE4" s="2818" t="s">
        <v>173</v>
      </c>
      <c r="BF4" s="152" t="s">
        <v>174</v>
      </c>
    </row>
    <row r="5" spans="1:65" ht="16.5" thickBot="1" x14ac:dyDescent="0.3">
      <c r="B5" s="729" t="s">
        <v>809</v>
      </c>
      <c r="C5" s="8105"/>
      <c r="D5" s="8107"/>
      <c r="E5" s="1452">
        <v>38020.833333333336</v>
      </c>
      <c r="F5" s="1662">
        <v>43425.637000000039</v>
      </c>
      <c r="G5" s="1040">
        <v>45833.333333333336</v>
      </c>
      <c r="H5" s="645">
        <v>41157.484000000004</v>
      </c>
      <c r="I5" s="889">
        <f>+E5+G5</f>
        <v>83854.166666666672</v>
      </c>
      <c r="J5" s="350">
        <f>+F5+H5</f>
        <v>84583.121000000043</v>
      </c>
      <c r="K5" s="1040">
        <v>44270.833333333336</v>
      </c>
      <c r="L5" s="645">
        <v>40197.709999999992</v>
      </c>
      <c r="M5" s="2253">
        <f>+E5+G5+K5</f>
        <v>128125</v>
      </c>
      <c r="N5" s="2253">
        <f>+F5+H5+L5</f>
        <v>124780.83100000003</v>
      </c>
      <c r="O5" s="1040">
        <v>45833.333333333336</v>
      </c>
      <c r="P5" s="645">
        <v>49152.613999999987</v>
      </c>
      <c r="Q5" s="350">
        <f>+M5+O5</f>
        <v>173958.33333333334</v>
      </c>
      <c r="R5" s="350">
        <f>+N5+P5</f>
        <v>173933.44500000001</v>
      </c>
      <c r="S5" s="1040">
        <v>45833.333333333336</v>
      </c>
      <c r="T5" s="645">
        <v>40383.741999999998</v>
      </c>
      <c r="U5" s="350">
        <f>+Q5+S5</f>
        <v>219791.66666666669</v>
      </c>
      <c r="V5" s="350">
        <f>+R5+T5</f>
        <v>214317.18700000001</v>
      </c>
      <c r="W5" s="1040">
        <v>26041.666666666668</v>
      </c>
      <c r="X5" s="645">
        <v>42888.832000000002</v>
      </c>
      <c r="Y5" s="795">
        <f>O5++S5+W5</f>
        <v>117708.33333333334</v>
      </c>
      <c r="Z5" s="234">
        <f>P5++T5+X5</f>
        <v>132425.18799999999</v>
      </c>
      <c r="AA5" s="796">
        <f>M5+Y5</f>
        <v>245833.33333333334</v>
      </c>
      <c r="AB5" s="628">
        <f>N5+Z5</f>
        <v>257206.01900000003</v>
      </c>
      <c r="AC5" s="1040">
        <v>44270.833333333336</v>
      </c>
      <c r="AD5" s="645">
        <v>31300.876999999993</v>
      </c>
      <c r="AE5" s="350">
        <f>+AA5+AC5</f>
        <v>290104.16666666669</v>
      </c>
      <c r="AF5" s="350">
        <f>+AB5+AD5</f>
        <v>288506.89600000001</v>
      </c>
      <c r="AG5" s="1040">
        <v>44270.833333333336</v>
      </c>
      <c r="AH5" s="645">
        <v>36144.469000000005</v>
      </c>
      <c r="AI5" s="350">
        <f>+AE5+AG5</f>
        <v>334375</v>
      </c>
      <c r="AJ5" s="350">
        <f>+AF5+AH5</f>
        <v>324651.36499999999</v>
      </c>
      <c r="AK5" s="1040">
        <v>45833.333333333336</v>
      </c>
      <c r="AL5" s="645">
        <v>46160.167000000023</v>
      </c>
      <c r="AM5" s="795">
        <f>AC5++AG5+AK5</f>
        <v>134375</v>
      </c>
      <c r="AN5" s="234">
        <f>AD5++AH5+AL5</f>
        <v>113605.51300000001</v>
      </c>
      <c r="AO5" s="350">
        <f>AI5+AK5</f>
        <v>380208.33333333331</v>
      </c>
      <c r="AP5" s="350">
        <f>AJ5+AL5</f>
        <v>370811.53200000001</v>
      </c>
      <c r="AQ5" s="1452">
        <v>46354.166666666672</v>
      </c>
      <c r="AR5" s="1662">
        <v>46542.352999999988</v>
      </c>
      <c r="AS5" s="350">
        <f>+AO5+AQ5</f>
        <v>426562.5</v>
      </c>
      <c r="AT5" s="350">
        <f>+AP5+AR5</f>
        <v>417353.88500000001</v>
      </c>
      <c r="AU5" s="1452">
        <v>41666.666666666672</v>
      </c>
      <c r="AV5" s="1662">
        <v>39136.924000000014</v>
      </c>
      <c r="AW5" s="350">
        <f>+AS5+AU5</f>
        <v>468229.16666666669</v>
      </c>
      <c r="AX5" s="350">
        <f>+AT5+AV5</f>
        <v>456490.80900000001</v>
      </c>
      <c r="AY5" s="1452">
        <v>46354.166666666672</v>
      </c>
      <c r="AZ5" s="1662">
        <v>48905.930000000029</v>
      </c>
      <c r="BA5" s="795">
        <f>AQ5++AU5+AY5</f>
        <v>134375</v>
      </c>
      <c r="BB5" s="234">
        <f>AR5++AV5+AZ5</f>
        <v>134585.20700000002</v>
      </c>
      <c r="BC5" s="796">
        <f>AM5+BA5</f>
        <v>268750</v>
      </c>
      <c r="BD5" s="628">
        <f>AN5+BB5</f>
        <v>248190.72000000003</v>
      </c>
      <c r="BE5" s="350">
        <f>+AW5+AY5</f>
        <v>514583.33333333337</v>
      </c>
      <c r="BF5" s="350">
        <f>+AX5+AZ5</f>
        <v>505396.73900000006</v>
      </c>
      <c r="BG5" s="1137"/>
      <c r="BH5" s="4234">
        <f>E5+G5+K5+O5+S5+W5+AC5+AG5+AK5+AQ5+AU5+AY5-BE5</f>
        <v>0</v>
      </c>
      <c r="BI5" s="4234">
        <f>F5+H5+L5+P5+T5+X5+AD5+AH5+AL5+AR5+AV5+AZ5-BF5</f>
        <v>0</v>
      </c>
      <c r="BJ5" s="25">
        <f>AY5+AU5+AQ5+AK5+AG5+AC5-BC5</f>
        <v>0</v>
      </c>
      <c r="BK5" s="25">
        <f>AZ5+AV5+AR5+AL5+AH5+AD5-BD5</f>
        <v>0</v>
      </c>
      <c r="BL5" s="25">
        <f>AQ5+AU5+AY5-BA5</f>
        <v>0</v>
      </c>
      <c r="BM5" s="25">
        <f>AR5+AV5+AZ5-BB5</f>
        <v>0</v>
      </c>
    </row>
    <row r="6" spans="1:65" ht="15.75" x14ac:dyDescent="0.25">
      <c r="A6" s="139"/>
      <c r="B6" s="1628" t="s">
        <v>311</v>
      </c>
      <c r="C6" s="3151"/>
      <c r="D6" s="1637"/>
      <c r="E6" s="2374"/>
      <c r="F6" s="5242"/>
      <c r="G6" s="2374"/>
      <c r="H6" s="2374"/>
      <c r="I6" s="3152"/>
      <c r="J6" s="3152"/>
      <c r="K6" s="2374"/>
      <c r="L6" s="2374"/>
      <c r="M6" s="2374"/>
      <c r="N6" s="2374"/>
      <c r="O6" s="2374"/>
      <c r="P6" s="2374"/>
      <c r="Q6" s="2374"/>
      <c r="R6" s="2374"/>
      <c r="S6" s="2374"/>
      <c r="T6" s="2374"/>
      <c r="U6" s="2374"/>
      <c r="V6" s="2374"/>
      <c r="W6" s="2374"/>
      <c r="X6" s="2374"/>
      <c r="Y6" s="1637"/>
      <c r="Z6" s="1637"/>
      <c r="AA6" s="1637"/>
      <c r="AB6" s="1637"/>
      <c r="AC6" s="2374"/>
      <c r="AD6" s="2374"/>
      <c r="AE6" s="2374"/>
      <c r="AF6" s="2374"/>
      <c r="AG6" s="2374"/>
      <c r="AH6" s="2374"/>
      <c r="AI6" s="2374"/>
      <c r="AJ6" s="2374"/>
      <c r="AK6" s="2374"/>
      <c r="AL6" s="2374"/>
      <c r="AM6" s="1637"/>
      <c r="AN6" s="1637"/>
      <c r="AO6" s="2374"/>
      <c r="AP6" s="2374"/>
      <c r="AQ6" s="2374"/>
      <c r="AR6" s="5242"/>
      <c r="AS6" s="2374"/>
      <c r="AT6" s="2374"/>
      <c r="AU6" s="2374"/>
      <c r="AV6" s="5242"/>
      <c r="AW6" s="2374"/>
      <c r="AX6" s="2374"/>
      <c r="AY6" s="2374"/>
      <c r="AZ6" s="5242"/>
      <c r="BA6" s="1637"/>
      <c r="BB6" s="1637"/>
      <c r="BC6" s="1637"/>
      <c r="BD6" s="1637"/>
      <c r="BE6" s="2374"/>
      <c r="BF6" s="2374"/>
      <c r="BG6" s="25"/>
      <c r="BH6" s="4234">
        <f t="shared" ref="BH6:BH69" si="0">E6+G6+K6+O6+S6+W6+AC6+AG6+AK6+AQ6+AU6+AY6-BE6</f>
        <v>0</v>
      </c>
      <c r="BI6" s="4234">
        <f t="shared" ref="BI6:BI69" si="1">F6+H6+L6+P6+T6+X6+AD6+AH6+AL6+AR6+AV6+AZ6-BF6</f>
        <v>0</v>
      </c>
      <c r="BJ6" s="25">
        <f t="shared" ref="BJ6:BJ69" si="2">AY6+AU6+AQ6+AK6+AG6+AC6-BC6</f>
        <v>0</v>
      </c>
      <c r="BK6" s="25">
        <f t="shared" ref="BK6:BK69" si="3">AZ6+AV6+AR6+AL6+AH6+AD6-BD6</f>
        <v>0</v>
      </c>
      <c r="BL6" s="25">
        <f t="shared" ref="BL6:BL69" si="4">AQ6+AU6+AY6-BA6</f>
        <v>0</v>
      </c>
      <c r="BM6" s="25">
        <f t="shared" ref="BM6:BM69" si="5">AR6+AV6+AZ6-BB6</f>
        <v>0</v>
      </c>
    </row>
    <row r="7" spans="1:65" ht="16.5" hidden="1" thickBot="1" x14ac:dyDescent="0.3">
      <c r="A7" s="139"/>
      <c r="B7" s="3153" t="s">
        <v>72</v>
      </c>
      <c r="C7" s="3154" t="s">
        <v>1316</v>
      </c>
      <c r="D7" s="3155" t="s">
        <v>50</v>
      </c>
      <c r="E7" s="3156"/>
      <c r="F7" s="147"/>
      <c r="G7" s="3156"/>
      <c r="H7" s="147"/>
      <c r="I7" s="349"/>
      <c r="J7" s="41">
        <f>+F7+H7</f>
        <v>0</v>
      </c>
      <c r="K7" s="3156"/>
      <c r="L7" s="147"/>
      <c r="M7" s="586"/>
      <c r="N7" s="586">
        <f>+F7+H7+L7</f>
        <v>0</v>
      </c>
      <c r="O7" s="3156"/>
      <c r="P7" s="147"/>
      <c r="Q7" s="349"/>
      <c r="R7" s="349">
        <f>+N7+P7</f>
        <v>0</v>
      </c>
      <c r="S7" s="3156"/>
      <c r="T7" s="147"/>
      <c r="U7" s="349"/>
      <c r="V7" s="349">
        <f>+R7+T7</f>
        <v>0</v>
      </c>
      <c r="W7" s="3156"/>
      <c r="X7" s="147"/>
      <c r="Y7" s="4598"/>
      <c r="Z7" s="4598">
        <f t="shared" ref="Z7:Z78" si="6">P7+T7+X7</f>
        <v>0</v>
      </c>
      <c r="AA7" s="4599"/>
      <c r="AB7" s="4599">
        <f t="shared" ref="AB7:AB78" si="7">N7+Z7</f>
        <v>0</v>
      </c>
      <c r="AC7" s="3156"/>
      <c r="AD7" s="147"/>
      <c r="AE7" s="349"/>
      <c r="AF7" s="349">
        <f>+AB7+AD7</f>
        <v>0</v>
      </c>
      <c r="AG7" s="3156"/>
      <c r="AH7" s="147"/>
      <c r="AI7" s="349"/>
      <c r="AJ7" s="349">
        <f>+AF7+AH7</f>
        <v>0</v>
      </c>
      <c r="AK7" s="3156"/>
      <c r="AL7" s="147"/>
      <c r="AM7" s="4598"/>
      <c r="AN7" s="4598">
        <f t="shared" ref="AN7:AN74" si="8">AD7+AH7+AL7</f>
        <v>0</v>
      </c>
      <c r="AO7" s="349"/>
      <c r="AP7" s="349">
        <f>AJ7+AL7</f>
        <v>0</v>
      </c>
      <c r="AQ7" s="3156"/>
      <c r="AR7" s="147"/>
      <c r="AS7" s="349"/>
      <c r="AT7" s="349">
        <f>+AP7+AR7</f>
        <v>0</v>
      </c>
      <c r="AU7" s="3156"/>
      <c r="AV7" s="147"/>
      <c r="AW7" s="349"/>
      <c r="AX7" s="349">
        <f>+AT7+AV7</f>
        <v>0</v>
      </c>
      <c r="AY7" s="3156"/>
      <c r="AZ7" s="147"/>
      <c r="BA7" s="4598"/>
      <c r="BB7" s="4598">
        <f t="shared" ref="BB7:BB73" si="9">AR7+AV7+AZ7</f>
        <v>0</v>
      </c>
      <c r="BC7" s="4599"/>
      <c r="BD7" s="4599">
        <f>AN7+BB7</f>
        <v>0</v>
      </c>
      <c r="BE7" s="349"/>
      <c r="BF7" s="41">
        <f>+AX7+AZ7</f>
        <v>0</v>
      </c>
      <c r="BG7" s="1137"/>
      <c r="BH7" s="4234">
        <f t="shared" si="0"/>
        <v>0</v>
      </c>
      <c r="BI7" s="4234">
        <f t="shared" si="1"/>
        <v>0</v>
      </c>
      <c r="BJ7" s="25">
        <f t="shared" si="2"/>
        <v>0</v>
      </c>
      <c r="BK7" s="25">
        <f t="shared" si="3"/>
        <v>0</v>
      </c>
      <c r="BL7" s="25">
        <f t="shared" si="4"/>
        <v>0</v>
      </c>
      <c r="BM7" s="25">
        <f t="shared" si="5"/>
        <v>0</v>
      </c>
    </row>
    <row r="8" spans="1:65" ht="16.5" hidden="1" thickBot="1" x14ac:dyDescent="0.3">
      <c r="A8" s="518"/>
      <c r="B8" s="5244" t="s">
        <v>72</v>
      </c>
      <c r="C8" s="5245" t="s">
        <v>928</v>
      </c>
      <c r="D8" s="5246" t="s">
        <v>50</v>
      </c>
      <c r="E8" s="5247"/>
      <c r="F8" s="5248"/>
      <c r="G8" s="5247"/>
      <c r="H8" s="5248"/>
      <c r="I8" s="5241"/>
      <c r="J8" s="41">
        <f t="shared" ref="J8:J73" si="10">+F8+H8</f>
        <v>0</v>
      </c>
      <c r="K8" s="5247"/>
      <c r="L8" s="5248"/>
      <c r="M8" s="5249"/>
      <c r="N8" s="586">
        <f t="shared" ref="N8:N73" si="11">+F8+H8+L8</f>
        <v>0</v>
      </c>
      <c r="O8" s="5247"/>
      <c r="P8" s="5248"/>
      <c r="Q8" s="5241"/>
      <c r="R8" s="349">
        <f t="shared" ref="R8:R73" si="12">+N8+P8</f>
        <v>0</v>
      </c>
      <c r="S8" s="5247"/>
      <c r="T8" s="5248"/>
      <c r="U8" s="5241"/>
      <c r="V8" s="349">
        <f t="shared" ref="V8:V73" si="13">+R8+T8</f>
        <v>0</v>
      </c>
      <c r="W8" s="5247"/>
      <c r="X8" s="5248"/>
      <c r="Y8" s="5249"/>
      <c r="Z8" s="4598">
        <f t="shared" si="6"/>
        <v>0</v>
      </c>
      <c r="AA8" s="5250"/>
      <c r="AB8" s="4599">
        <f t="shared" si="7"/>
        <v>0</v>
      </c>
      <c r="AC8" s="5247"/>
      <c r="AD8" s="5248"/>
      <c r="AE8" s="5241"/>
      <c r="AF8" s="349">
        <f t="shared" ref="AF8:AF73" si="14">+AB8+AD8</f>
        <v>0</v>
      </c>
      <c r="AG8" s="5247"/>
      <c r="AH8" s="5248"/>
      <c r="AI8" s="5241"/>
      <c r="AJ8" s="349">
        <f t="shared" ref="AJ8:AJ10" si="15">+AF8+AH8</f>
        <v>0</v>
      </c>
      <c r="AK8" s="5247"/>
      <c r="AL8" s="5248"/>
      <c r="AM8" s="5249"/>
      <c r="AN8" s="4598">
        <f t="shared" si="8"/>
        <v>0</v>
      </c>
      <c r="AO8" s="5241"/>
      <c r="AP8" s="349">
        <f t="shared" ref="AP8:AP73" si="16">AJ8+AL8</f>
        <v>0</v>
      </c>
      <c r="AQ8" s="5247"/>
      <c r="AR8" s="5248"/>
      <c r="AS8" s="5241"/>
      <c r="AT8" s="5241">
        <f t="shared" ref="AT8:AT73" si="17">+AP8+AR8</f>
        <v>0</v>
      </c>
      <c r="AU8" s="5247"/>
      <c r="AV8" s="5248"/>
      <c r="AW8" s="5241"/>
      <c r="AX8" s="349">
        <f t="shared" ref="AX8:AX73" si="18">+AT8+AV8</f>
        <v>0</v>
      </c>
      <c r="AY8" s="5247"/>
      <c r="AZ8" s="5248"/>
      <c r="BA8" s="5249"/>
      <c r="BB8" s="5181">
        <f t="shared" si="9"/>
        <v>0</v>
      </c>
      <c r="BC8" s="5250"/>
      <c r="BD8" s="5250">
        <f t="shared" ref="BD8:BD74" si="19">AN8+BB8</f>
        <v>0</v>
      </c>
      <c r="BE8" s="5241"/>
      <c r="BF8" s="5174">
        <f t="shared" ref="BF8:BF74" si="20">+AX8+AZ8</f>
        <v>0</v>
      </c>
      <c r="BG8" s="1137"/>
      <c r="BH8" s="4234">
        <f t="shared" si="0"/>
        <v>0</v>
      </c>
      <c r="BI8" s="4234">
        <f t="shared" si="1"/>
        <v>0</v>
      </c>
      <c r="BJ8" s="25">
        <f t="shared" si="2"/>
        <v>0</v>
      </c>
      <c r="BK8" s="25">
        <f t="shared" si="3"/>
        <v>0</v>
      </c>
      <c r="BL8" s="25">
        <f t="shared" si="4"/>
        <v>0</v>
      </c>
      <c r="BM8" s="25">
        <f t="shared" si="5"/>
        <v>0</v>
      </c>
    </row>
    <row r="9" spans="1:65" ht="16.5" hidden="1" thickBot="1" x14ac:dyDescent="0.3">
      <c r="A9" s="139"/>
      <c r="B9" s="5244" t="s">
        <v>72</v>
      </c>
      <c r="C9" s="5245" t="s">
        <v>930</v>
      </c>
      <c r="D9" s="5246" t="s">
        <v>50</v>
      </c>
      <c r="E9" s="5251"/>
      <c r="F9" s="5248"/>
      <c r="G9" s="5251"/>
      <c r="H9" s="5248"/>
      <c r="I9" s="5241"/>
      <c r="J9" s="41">
        <f t="shared" si="10"/>
        <v>0</v>
      </c>
      <c r="K9" s="5251"/>
      <c r="L9" s="5248"/>
      <c r="M9" s="5249"/>
      <c r="N9" s="586">
        <f t="shared" si="11"/>
        <v>0</v>
      </c>
      <c r="O9" s="5251"/>
      <c r="P9" s="5248"/>
      <c r="Q9" s="5241"/>
      <c r="R9" s="349">
        <f t="shared" si="12"/>
        <v>0</v>
      </c>
      <c r="S9" s="5251"/>
      <c r="T9" s="5248"/>
      <c r="U9" s="5241"/>
      <c r="V9" s="349">
        <f t="shared" si="13"/>
        <v>0</v>
      </c>
      <c r="W9" s="5251"/>
      <c r="X9" s="5248"/>
      <c r="Y9" s="5181"/>
      <c r="Z9" s="4598">
        <f t="shared" si="6"/>
        <v>0</v>
      </c>
      <c r="AA9" s="5250"/>
      <c r="AB9" s="4599">
        <f t="shared" si="7"/>
        <v>0</v>
      </c>
      <c r="AC9" s="5251"/>
      <c r="AD9" s="5248"/>
      <c r="AE9" s="5241"/>
      <c r="AF9" s="349">
        <f t="shared" si="14"/>
        <v>0</v>
      </c>
      <c r="AG9" s="5251"/>
      <c r="AH9" s="5248"/>
      <c r="AI9" s="5241"/>
      <c r="AJ9" s="349">
        <f t="shared" si="15"/>
        <v>0</v>
      </c>
      <c r="AK9" s="5251"/>
      <c r="AL9" s="5248"/>
      <c r="AM9" s="5181"/>
      <c r="AN9" s="4598">
        <f t="shared" si="8"/>
        <v>0</v>
      </c>
      <c r="AO9" s="5241"/>
      <c r="AP9" s="349">
        <f t="shared" si="16"/>
        <v>0</v>
      </c>
      <c r="AQ9" s="5251"/>
      <c r="AR9" s="5248"/>
      <c r="AS9" s="5241"/>
      <c r="AT9" s="5241">
        <f t="shared" si="17"/>
        <v>0</v>
      </c>
      <c r="AU9" s="5251"/>
      <c r="AV9" s="5248">
        <f>65.6-2.05</f>
        <v>63.55</v>
      </c>
      <c r="AW9" s="5241"/>
      <c r="AX9" s="349">
        <f t="shared" si="18"/>
        <v>63.55</v>
      </c>
      <c r="AY9" s="5251"/>
      <c r="AZ9" s="5248"/>
      <c r="BA9" s="5181"/>
      <c r="BB9" s="5181">
        <f t="shared" si="9"/>
        <v>63.55</v>
      </c>
      <c r="BC9" s="5250"/>
      <c r="BD9" s="5250">
        <f t="shared" si="19"/>
        <v>63.55</v>
      </c>
      <c r="BE9" s="5241"/>
      <c r="BF9" s="5174">
        <f t="shared" si="20"/>
        <v>63.55</v>
      </c>
      <c r="BG9" s="1137"/>
      <c r="BH9" s="4234">
        <f t="shared" si="0"/>
        <v>0</v>
      </c>
      <c r="BI9" s="4234">
        <f t="shared" si="1"/>
        <v>0</v>
      </c>
      <c r="BJ9" s="25">
        <f t="shared" si="2"/>
        <v>0</v>
      </c>
      <c r="BK9" s="25">
        <f t="shared" si="3"/>
        <v>0</v>
      </c>
      <c r="BL9" s="25">
        <f t="shared" si="4"/>
        <v>0</v>
      </c>
      <c r="BM9" s="25">
        <f t="shared" si="5"/>
        <v>0</v>
      </c>
    </row>
    <row r="10" spans="1:65" ht="16.5" hidden="1" thickBot="1" x14ac:dyDescent="0.3">
      <c r="A10" s="139"/>
      <c r="B10" s="5244" t="s">
        <v>72</v>
      </c>
      <c r="C10" s="5245" t="s">
        <v>1077</v>
      </c>
      <c r="D10" s="5246" t="s">
        <v>50</v>
      </c>
      <c r="E10" s="5251"/>
      <c r="F10" s="5248"/>
      <c r="G10" s="5251"/>
      <c r="H10" s="5248"/>
      <c r="I10" s="5241"/>
      <c r="J10" s="41">
        <f t="shared" si="10"/>
        <v>0</v>
      </c>
      <c r="K10" s="5251"/>
      <c r="L10" s="5248"/>
      <c r="M10" s="5249"/>
      <c r="N10" s="586">
        <f t="shared" si="11"/>
        <v>0</v>
      </c>
      <c r="O10" s="5251"/>
      <c r="P10" s="5248"/>
      <c r="Q10" s="5241"/>
      <c r="R10" s="349">
        <f t="shared" si="12"/>
        <v>0</v>
      </c>
      <c r="S10" s="5251"/>
      <c r="T10" s="5248"/>
      <c r="U10" s="5241"/>
      <c r="V10" s="349">
        <f t="shared" si="13"/>
        <v>0</v>
      </c>
      <c r="W10" s="5251"/>
      <c r="X10" s="5248"/>
      <c r="Y10" s="5181"/>
      <c r="Z10" s="4598">
        <f t="shared" si="6"/>
        <v>0</v>
      </c>
      <c r="AA10" s="5250"/>
      <c r="AB10" s="4599">
        <f t="shared" si="7"/>
        <v>0</v>
      </c>
      <c r="AC10" s="5251"/>
      <c r="AD10" s="5248"/>
      <c r="AE10" s="5241"/>
      <c r="AF10" s="349">
        <f t="shared" si="14"/>
        <v>0</v>
      </c>
      <c r="AG10" s="5251"/>
      <c r="AH10" s="5248"/>
      <c r="AI10" s="5241"/>
      <c r="AJ10" s="349">
        <f t="shared" si="15"/>
        <v>0</v>
      </c>
      <c r="AK10" s="5251"/>
      <c r="AL10" s="5248"/>
      <c r="AM10" s="5181"/>
      <c r="AN10" s="4598">
        <f t="shared" si="8"/>
        <v>0</v>
      </c>
      <c r="AO10" s="5241"/>
      <c r="AP10" s="349">
        <f t="shared" si="16"/>
        <v>0</v>
      </c>
      <c r="AQ10" s="5251"/>
      <c r="AR10" s="5248"/>
      <c r="AS10" s="5241"/>
      <c r="AT10" s="5241">
        <f t="shared" si="17"/>
        <v>0</v>
      </c>
      <c r="AU10" s="5251"/>
      <c r="AV10" s="5248"/>
      <c r="AW10" s="5241"/>
      <c r="AX10" s="349">
        <f t="shared" si="18"/>
        <v>0</v>
      </c>
      <c r="AY10" s="5251"/>
      <c r="AZ10" s="5248"/>
      <c r="BA10" s="5181"/>
      <c r="BB10" s="5181">
        <f t="shared" si="9"/>
        <v>0</v>
      </c>
      <c r="BC10" s="5250"/>
      <c r="BD10" s="5250">
        <f t="shared" si="19"/>
        <v>0</v>
      </c>
      <c r="BE10" s="5241"/>
      <c r="BF10" s="5174">
        <f t="shared" si="20"/>
        <v>0</v>
      </c>
      <c r="BG10" s="1137"/>
      <c r="BH10" s="4234">
        <f t="shared" si="0"/>
        <v>0</v>
      </c>
      <c r="BI10" s="4234">
        <f t="shared" si="1"/>
        <v>0</v>
      </c>
      <c r="BJ10" s="25">
        <f t="shared" si="2"/>
        <v>0</v>
      </c>
      <c r="BK10" s="25">
        <f t="shared" si="3"/>
        <v>0</v>
      </c>
      <c r="BL10" s="25">
        <f t="shared" si="4"/>
        <v>0</v>
      </c>
      <c r="BM10" s="25">
        <f t="shared" si="5"/>
        <v>0</v>
      </c>
    </row>
    <row r="11" spans="1:65" ht="16.5" hidden="1" thickBot="1" x14ac:dyDescent="0.3">
      <c r="A11" s="139"/>
      <c r="B11" s="5244" t="s">
        <v>72</v>
      </c>
      <c r="C11" s="5245" t="s">
        <v>1091</v>
      </c>
      <c r="D11" s="5246" t="s">
        <v>50</v>
      </c>
      <c r="E11" s="5251"/>
      <c r="F11" s="5248"/>
      <c r="G11" s="5251"/>
      <c r="H11" s="5248"/>
      <c r="I11" s="5241"/>
      <c r="J11" s="41">
        <f t="shared" si="10"/>
        <v>0</v>
      </c>
      <c r="K11" s="5251"/>
      <c r="L11" s="5248"/>
      <c r="M11" s="5249"/>
      <c r="N11" s="586">
        <f t="shared" si="11"/>
        <v>0</v>
      </c>
      <c r="O11" s="5251"/>
      <c r="P11" s="5248"/>
      <c r="Q11" s="5241"/>
      <c r="R11" s="349">
        <f t="shared" si="12"/>
        <v>0</v>
      </c>
      <c r="S11" s="5251"/>
      <c r="T11" s="5248"/>
      <c r="U11" s="5241"/>
      <c r="V11" s="349">
        <f t="shared" si="13"/>
        <v>0</v>
      </c>
      <c r="W11" s="5251"/>
      <c r="X11" s="5248"/>
      <c r="Y11" s="5181"/>
      <c r="Z11" s="4598">
        <f t="shared" si="6"/>
        <v>0</v>
      </c>
      <c r="AA11" s="5250"/>
      <c r="AB11" s="4599">
        <f t="shared" si="7"/>
        <v>0</v>
      </c>
      <c r="AC11" s="5251"/>
      <c r="AD11" s="5248"/>
      <c r="AE11" s="5241"/>
      <c r="AF11" s="349">
        <f t="shared" si="14"/>
        <v>0</v>
      </c>
      <c r="AG11" s="5251"/>
      <c r="AH11" s="5248"/>
      <c r="AI11" s="5241"/>
      <c r="AJ11" s="5241">
        <f t="shared" ref="AJ11:AJ75" si="21">+AF11+AH11</f>
        <v>0</v>
      </c>
      <c r="AK11" s="5251"/>
      <c r="AL11" s="5248"/>
      <c r="AM11" s="5181"/>
      <c r="AN11" s="4598">
        <f t="shared" si="8"/>
        <v>0</v>
      </c>
      <c r="AO11" s="5241"/>
      <c r="AP11" s="349">
        <f t="shared" si="16"/>
        <v>0</v>
      </c>
      <c r="AQ11" s="5251"/>
      <c r="AR11" s="5248"/>
      <c r="AS11" s="5241"/>
      <c r="AT11" s="5241">
        <f t="shared" si="17"/>
        <v>0</v>
      </c>
      <c r="AU11" s="5251"/>
      <c r="AV11" s="5248"/>
      <c r="AW11" s="5241"/>
      <c r="AX11" s="349">
        <f t="shared" si="18"/>
        <v>0</v>
      </c>
      <c r="AY11" s="5251"/>
      <c r="AZ11" s="5248"/>
      <c r="BA11" s="5181"/>
      <c r="BB11" s="5181">
        <f t="shared" si="9"/>
        <v>0</v>
      </c>
      <c r="BC11" s="5250"/>
      <c r="BD11" s="5250">
        <f t="shared" si="19"/>
        <v>0</v>
      </c>
      <c r="BE11" s="5241"/>
      <c r="BF11" s="5174">
        <f t="shared" si="20"/>
        <v>0</v>
      </c>
      <c r="BG11" s="1137"/>
      <c r="BH11" s="4234">
        <f t="shared" si="0"/>
        <v>0</v>
      </c>
      <c r="BI11" s="4234">
        <f t="shared" si="1"/>
        <v>0</v>
      </c>
      <c r="BJ11" s="25">
        <f t="shared" si="2"/>
        <v>0</v>
      </c>
      <c r="BK11" s="25">
        <f t="shared" si="3"/>
        <v>0</v>
      </c>
      <c r="BL11" s="25">
        <f t="shared" si="4"/>
        <v>0</v>
      </c>
      <c r="BM11" s="25">
        <f t="shared" si="5"/>
        <v>0</v>
      </c>
    </row>
    <row r="12" spans="1:65" ht="16.5" hidden="1" thickBot="1" x14ac:dyDescent="0.3">
      <c r="A12" s="139"/>
      <c r="B12" s="5244" t="s">
        <v>72</v>
      </c>
      <c r="C12" s="5245" t="s">
        <v>836</v>
      </c>
      <c r="D12" s="5246" t="s">
        <v>50</v>
      </c>
      <c r="E12" s="5247"/>
      <c r="F12" s="5248"/>
      <c r="G12" s="5247"/>
      <c r="H12" s="5248">
        <v>666.25000000000011</v>
      </c>
      <c r="I12" s="5241"/>
      <c r="J12" s="41">
        <f t="shared" si="10"/>
        <v>666.25000000000011</v>
      </c>
      <c r="K12" s="5247"/>
      <c r="L12" s="5248">
        <v>590.4</v>
      </c>
      <c r="M12" s="5249"/>
      <c r="N12" s="586">
        <f t="shared" si="11"/>
        <v>1256.6500000000001</v>
      </c>
      <c r="O12" s="5247"/>
      <c r="P12" s="5248">
        <v>250.1</v>
      </c>
      <c r="Q12" s="5241"/>
      <c r="R12" s="349">
        <f t="shared" si="12"/>
        <v>1506.75</v>
      </c>
      <c r="S12" s="5247"/>
      <c r="T12" s="5248">
        <f>787.2-6.15</f>
        <v>781.05000000000007</v>
      </c>
      <c r="U12" s="5241"/>
      <c r="V12" s="349">
        <f t="shared" si="13"/>
        <v>2287.8000000000002</v>
      </c>
      <c r="W12" s="5247"/>
      <c r="X12" s="5248">
        <f>1293.55-4.1</f>
        <v>1289.45</v>
      </c>
      <c r="Y12" s="5181"/>
      <c r="Z12" s="4598">
        <f t="shared" si="6"/>
        <v>2320.6000000000004</v>
      </c>
      <c r="AA12" s="5250"/>
      <c r="AB12" s="4599">
        <f t="shared" si="7"/>
        <v>3577.2500000000005</v>
      </c>
      <c r="AC12" s="5247"/>
      <c r="AD12" s="5248"/>
      <c r="AE12" s="5241"/>
      <c r="AF12" s="349">
        <f t="shared" si="14"/>
        <v>3577.2500000000005</v>
      </c>
      <c r="AG12" s="5247"/>
      <c r="AH12" s="5248">
        <f>2033.6-4.1</f>
        <v>2029.5</v>
      </c>
      <c r="AI12" s="5241"/>
      <c r="AJ12" s="349">
        <f t="shared" si="21"/>
        <v>5606.75</v>
      </c>
      <c r="AK12" s="5247"/>
      <c r="AL12" s="5248">
        <f>641.65-8.2</f>
        <v>633.44999999999993</v>
      </c>
      <c r="AM12" s="5181"/>
      <c r="AN12" s="4598">
        <f t="shared" si="8"/>
        <v>2662.95</v>
      </c>
      <c r="AO12" s="5241"/>
      <c r="AP12" s="349">
        <f t="shared" si="16"/>
        <v>6240.2</v>
      </c>
      <c r="AQ12" s="5247"/>
      <c r="AR12" s="5248">
        <v>334.15000000000003</v>
      </c>
      <c r="AS12" s="5241"/>
      <c r="AT12" s="5241">
        <f t="shared" si="17"/>
        <v>6574.3499999999995</v>
      </c>
      <c r="AU12" s="5247"/>
      <c r="AV12" s="5248">
        <f>426.4-12.3</f>
        <v>414.09999999999997</v>
      </c>
      <c r="AW12" s="5241"/>
      <c r="AX12" s="349">
        <f t="shared" si="18"/>
        <v>6988.45</v>
      </c>
      <c r="AY12" s="5247"/>
      <c r="AZ12" s="5248">
        <v>274.7</v>
      </c>
      <c r="BA12" s="5181"/>
      <c r="BB12" s="5181">
        <f t="shared" si="9"/>
        <v>1022.95</v>
      </c>
      <c r="BC12" s="5250"/>
      <c r="BD12" s="5250">
        <f t="shared" si="19"/>
        <v>3685.8999999999996</v>
      </c>
      <c r="BE12" s="5241"/>
      <c r="BF12" s="5174">
        <f t="shared" si="20"/>
        <v>7263.15</v>
      </c>
      <c r="BG12" s="1137"/>
      <c r="BH12" s="4234">
        <f t="shared" si="0"/>
        <v>0</v>
      </c>
      <c r="BI12" s="4234">
        <f t="shared" si="1"/>
        <v>0</v>
      </c>
      <c r="BJ12" s="25">
        <f t="shared" si="2"/>
        <v>0</v>
      </c>
      <c r="BK12" s="25">
        <f t="shared" si="3"/>
        <v>0</v>
      </c>
      <c r="BL12" s="25">
        <f t="shared" si="4"/>
        <v>0</v>
      </c>
      <c r="BM12" s="25">
        <f t="shared" si="5"/>
        <v>0</v>
      </c>
    </row>
    <row r="13" spans="1:65" ht="16.5" hidden="1" thickBot="1" x14ac:dyDescent="0.3">
      <c r="A13" s="139"/>
      <c r="B13" s="5244" t="s">
        <v>72</v>
      </c>
      <c r="C13" s="5245" t="s">
        <v>837</v>
      </c>
      <c r="D13" s="5246" t="s">
        <v>50</v>
      </c>
      <c r="E13" s="5247"/>
      <c r="F13" s="5248"/>
      <c r="G13" s="5247"/>
      <c r="H13" s="5248">
        <f>489.95-4.1</f>
        <v>485.84999999999997</v>
      </c>
      <c r="I13" s="5241"/>
      <c r="J13" s="41">
        <f t="shared" si="10"/>
        <v>485.84999999999997</v>
      </c>
      <c r="K13" s="5247"/>
      <c r="L13" s="5248">
        <v>508.40000000000003</v>
      </c>
      <c r="M13" s="5249"/>
      <c r="N13" s="586">
        <f t="shared" si="11"/>
        <v>994.25</v>
      </c>
      <c r="O13" s="5247"/>
      <c r="P13" s="5248"/>
      <c r="Q13" s="5241"/>
      <c r="R13" s="349">
        <f t="shared" si="12"/>
        <v>994.25</v>
      </c>
      <c r="S13" s="5247"/>
      <c r="T13" s="5248"/>
      <c r="U13" s="5241"/>
      <c r="V13" s="349">
        <f t="shared" si="13"/>
        <v>994.25</v>
      </c>
      <c r="W13" s="5247"/>
      <c r="X13" s="5248"/>
      <c r="Y13" s="5181"/>
      <c r="Z13" s="4598">
        <f t="shared" si="6"/>
        <v>0</v>
      </c>
      <c r="AA13" s="5250"/>
      <c r="AB13" s="4599">
        <f t="shared" si="7"/>
        <v>994.25</v>
      </c>
      <c r="AC13" s="5247"/>
      <c r="AD13" s="5248"/>
      <c r="AE13" s="5241"/>
      <c r="AF13" s="349">
        <f t="shared" si="14"/>
        <v>994.25</v>
      </c>
      <c r="AG13" s="5247"/>
      <c r="AH13" s="5248">
        <f>168.1-2.05</f>
        <v>166.04999999999998</v>
      </c>
      <c r="AI13" s="5241"/>
      <c r="AJ13" s="349">
        <f t="shared" si="21"/>
        <v>1160.3</v>
      </c>
      <c r="AK13" s="5247"/>
      <c r="AL13" s="5248"/>
      <c r="AM13" s="5181"/>
      <c r="AN13" s="4598">
        <f t="shared" si="8"/>
        <v>166.04999999999998</v>
      </c>
      <c r="AO13" s="5241"/>
      <c r="AP13" s="349">
        <f t="shared" si="16"/>
        <v>1160.3</v>
      </c>
      <c r="AQ13" s="5247"/>
      <c r="AR13" s="5248"/>
      <c r="AS13" s="5241"/>
      <c r="AT13" s="5241">
        <f t="shared" si="17"/>
        <v>1160.3</v>
      </c>
      <c r="AU13" s="5247"/>
      <c r="AV13" s="5248">
        <v>379.25000000000006</v>
      </c>
      <c r="AW13" s="5241"/>
      <c r="AX13" s="349">
        <f t="shared" si="18"/>
        <v>1539.55</v>
      </c>
      <c r="AY13" s="5247"/>
      <c r="AZ13" s="5248">
        <v>373.1</v>
      </c>
      <c r="BA13" s="5181"/>
      <c r="BB13" s="5181">
        <f t="shared" si="9"/>
        <v>752.35000000000014</v>
      </c>
      <c r="BC13" s="5250"/>
      <c r="BD13" s="5250">
        <f t="shared" si="19"/>
        <v>918.40000000000009</v>
      </c>
      <c r="BE13" s="5241"/>
      <c r="BF13" s="5174">
        <f t="shared" si="20"/>
        <v>1912.65</v>
      </c>
      <c r="BG13" s="1137"/>
      <c r="BH13" s="4234">
        <f t="shared" si="0"/>
        <v>0</v>
      </c>
      <c r="BI13" s="4234">
        <f t="shared" si="1"/>
        <v>0</v>
      </c>
      <c r="BJ13" s="25">
        <f t="shared" si="2"/>
        <v>0</v>
      </c>
      <c r="BK13" s="25">
        <f t="shared" si="3"/>
        <v>0</v>
      </c>
      <c r="BL13" s="25">
        <f t="shared" si="4"/>
        <v>0</v>
      </c>
      <c r="BM13" s="25">
        <f t="shared" si="5"/>
        <v>0</v>
      </c>
    </row>
    <row r="14" spans="1:65" ht="16.5" hidden="1" customHeight="1" thickBot="1" x14ac:dyDescent="0.3">
      <c r="A14" s="139"/>
      <c r="B14" s="5244" t="s">
        <v>72</v>
      </c>
      <c r="C14" s="5245" t="s">
        <v>1274</v>
      </c>
      <c r="D14" s="5246" t="s">
        <v>50</v>
      </c>
      <c r="E14" s="5247"/>
      <c r="F14" s="5248"/>
      <c r="G14" s="5247"/>
      <c r="H14" s="5248"/>
      <c r="I14" s="5241"/>
      <c r="J14" s="41">
        <f t="shared" si="10"/>
        <v>0</v>
      </c>
      <c r="K14" s="5247"/>
      <c r="L14" s="5248">
        <v>161.95000000000002</v>
      </c>
      <c r="M14" s="5249"/>
      <c r="N14" s="586">
        <f t="shared" si="11"/>
        <v>161.95000000000002</v>
      </c>
      <c r="O14" s="5247"/>
      <c r="P14" s="5248">
        <v>676.5</v>
      </c>
      <c r="Q14" s="5241"/>
      <c r="R14" s="349">
        <f t="shared" si="12"/>
        <v>838.45</v>
      </c>
      <c r="S14" s="5247"/>
      <c r="T14" s="5248">
        <v>211.14999999999998</v>
      </c>
      <c r="U14" s="5241"/>
      <c r="V14" s="349">
        <f t="shared" si="13"/>
        <v>1049.5999999999999</v>
      </c>
      <c r="W14" s="5247"/>
      <c r="X14" s="5248">
        <f>1328.4-2.05</f>
        <v>1326.3500000000001</v>
      </c>
      <c r="Y14" s="5181"/>
      <c r="Z14" s="4598">
        <f t="shared" si="6"/>
        <v>2214</v>
      </c>
      <c r="AA14" s="5250"/>
      <c r="AB14" s="4599">
        <f t="shared" si="7"/>
        <v>2375.9499999999998</v>
      </c>
      <c r="AC14" s="5247"/>
      <c r="AD14" s="5248"/>
      <c r="AE14" s="5241"/>
      <c r="AF14" s="349">
        <f t="shared" si="14"/>
        <v>2375.9499999999998</v>
      </c>
      <c r="AG14" s="5247"/>
      <c r="AH14" s="5248"/>
      <c r="AI14" s="5241"/>
      <c r="AJ14" s="349">
        <f t="shared" si="21"/>
        <v>2375.9499999999998</v>
      </c>
      <c r="AK14" s="5247"/>
      <c r="AL14" s="5248"/>
      <c r="AM14" s="5181"/>
      <c r="AN14" s="4598">
        <f t="shared" si="8"/>
        <v>0</v>
      </c>
      <c r="AO14" s="5241"/>
      <c r="AP14" s="349">
        <f t="shared" si="16"/>
        <v>2375.9499999999998</v>
      </c>
      <c r="AQ14" s="5247"/>
      <c r="AR14" s="5248">
        <v>670.35</v>
      </c>
      <c r="AS14" s="5241"/>
      <c r="AT14" s="5241">
        <f t="shared" si="17"/>
        <v>3046.2999999999997</v>
      </c>
      <c r="AU14" s="5247"/>
      <c r="AV14" s="5248"/>
      <c r="AW14" s="5241"/>
      <c r="AX14" s="349">
        <f t="shared" si="18"/>
        <v>3046.2999999999997</v>
      </c>
      <c r="AY14" s="5247"/>
      <c r="AZ14" s="5248"/>
      <c r="BA14" s="5181"/>
      <c r="BB14" s="5181">
        <f t="shared" si="9"/>
        <v>670.35</v>
      </c>
      <c r="BC14" s="5250"/>
      <c r="BD14" s="5250">
        <f t="shared" si="19"/>
        <v>670.35</v>
      </c>
      <c r="BE14" s="5241"/>
      <c r="BF14" s="5174">
        <f t="shared" si="20"/>
        <v>3046.2999999999997</v>
      </c>
      <c r="BG14" s="1137"/>
      <c r="BH14" s="4234">
        <f t="shared" si="0"/>
        <v>0</v>
      </c>
      <c r="BI14" s="4234">
        <f t="shared" si="1"/>
        <v>0</v>
      </c>
      <c r="BJ14" s="25">
        <f t="shared" si="2"/>
        <v>0</v>
      </c>
      <c r="BK14" s="25">
        <f t="shared" si="3"/>
        <v>0</v>
      </c>
      <c r="BL14" s="25">
        <f t="shared" si="4"/>
        <v>0</v>
      </c>
      <c r="BM14" s="25">
        <f t="shared" si="5"/>
        <v>0</v>
      </c>
    </row>
    <row r="15" spans="1:65" ht="16.5" hidden="1" thickBot="1" x14ac:dyDescent="0.3">
      <c r="A15" s="139"/>
      <c r="B15" s="5244" t="s">
        <v>72</v>
      </c>
      <c r="C15" s="5245" t="s">
        <v>929</v>
      </c>
      <c r="D15" s="5246" t="s">
        <v>50</v>
      </c>
      <c r="E15" s="5247"/>
      <c r="F15" s="5248"/>
      <c r="G15" s="5247"/>
      <c r="H15" s="5248">
        <v>223.45000000000002</v>
      </c>
      <c r="I15" s="5241"/>
      <c r="J15" s="41">
        <f t="shared" si="10"/>
        <v>223.45000000000002</v>
      </c>
      <c r="K15" s="5247"/>
      <c r="L15" s="5248">
        <f>539.15-2.05</f>
        <v>537.1</v>
      </c>
      <c r="M15" s="5249"/>
      <c r="N15" s="586">
        <f t="shared" si="11"/>
        <v>760.55000000000007</v>
      </c>
      <c r="O15" s="5247"/>
      <c r="P15" s="5248">
        <v>325.95</v>
      </c>
      <c r="Q15" s="5241"/>
      <c r="R15" s="349">
        <f t="shared" si="12"/>
        <v>1086.5</v>
      </c>
      <c r="S15" s="5247"/>
      <c r="T15" s="5248">
        <v>1055.75</v>
      </c>
      <c r="U15" s="5241"/>
      <c r="V15" s="349">
        <f t="shared" si="13"/>
        <v>2142.25</v>
      </c>
      <c r="W15" s="5247"/>
      <c r="X15" s="5248">
        <v>742.1</v>
      </c>
      <c r="Y15" s="5181"/>
      <c r="Z15" s="4598">
        <f t="shared" si="6"/>
        <v>2123.8000000000002</v>
      </c>
      <c r="AA15" s="5250"/>
      <c r="AB15" s="4599">
        <f t="shared" si="7"/>
        <v>2884.3500000000004</v>
      </c>
      <c r="AC15" s="5247"/>
      <c r="AD15" s="5248"/>
      <c r="AE15" s="5241"/>
      <c r="AF15" s="349">
        <f t="shared" si="14"/>
        <v>2884.3500000000004</v>
      </c>
      <c r="AG15" s="5247"/>
      <c r="AH15" s="5248">
        <v>321.85000000000002</v>
      </c>
      <c r="AI15" s="5241"/>
      <c r="AJ15" s="349">
        <f t="shared" si="21"/>
        <v>3206.2000000000003</v>
      </c>
      <c r="AK15" s="5247"/>
      <c r="AL15" s="5248">
        <v>399.75</v>
      </c>
      <c r="AM15" s="5181"/>
      <c r="AN15" s="4598">
        <f t="shared" si="8"/>
        <v>721.6</v>
      </c>
      <c r="AO15" s="5241"/>
      <c r="AP15" s="349">
        <f t="shared" si="16"/>
        <v>3605.9500000000003</v>
      </c>
      <c r="AQ15" s="5247"/>
      <c r="AR15" s="5248">
        <v>227.54999999999998</v>
      </c>
      <c r="AS15" s="5241"/>
      <c r="AT15" s="5241">
        <f t="shared" si="17"/>
        <v>3833.5000000000005</v>
      </c>
      <c r="AU15" s="5247"/>
      <c r="AV15" s="5248">
        <v>979.90000000000009</v>
      </c>
      <c r="AW15" s="5241"/>
      <c r="AX15" s="349">
        <f t="shared" si="18"/>
        <v>4813.4000000000005</v>
      </c>
      <c r="AY15" s="5247"/>
      <c r="AZ15" s="5248">
        <v>186.55</v>
      </c>
      <c r="BA15" s="5181"/>
      <c r="BB15" s="5181">
        <f t="shared" si="9"/>
        <v>1394</v>
      </c>
      <c r="BC15" s="5250"/>
      <c r="BD15" s="5250">
        <f t="shared" si="19"/>
        <v>2115.6</v>
      </c>
      <c r="BE15" s="5241"/>
      <c r="BF15" s="5174">
        <f t="shared" si="20"/>
        <v>4999.9500000000007</v>
      </c>
      <c r="BG15" s="1137"/>
      <c r="BH15" s="4234">
        <f t="shared" si="0"/>
        <v>0</v>
      </c>
      <c r="BI15" s="4234">
        <f t="shared" si="1"/>
        <v>0</v>
      </c>
      <c r="BJ15" s="25">
        <f t="shared" si="2"/>
        <v>0</v>
      </c>
      <c r="BK15" s="25">
        <f t="shared" si="3"/>
        <v>0</v>
      </c>
      <c r="BL15" s="25">
        <f t="shared" si="4"/>
        <v>0</v>
      </c>
      <c r="BM15" s="25">
        <f t="shared" si="5"/>
        <v>0</v>
      </c>
    </row>
    <row r="16" spans="1:65" ht="16.5" hidden="1" thickBot="1" x14ac:dyDescent="0.3">
      <c r="A16" s="139"/>
      <c r="B16" s="5244" t="s">
        <v>72</v>
      </c>
      <c r="C16" s="5245" t="s">
        <v>1544</v>
      </c>
      <c r="D16" s="5246" t="s">
        <v>50</v>
      </c>
      <c r="E16" s="5247"/>
      <c r="F16" s="5248"/>
      <c r="G16" s="5247"/>
      <c r="H16" s="5248"/>
      <c r="I16" s="5241"/>
      <c r="J16" s="41">
        <f t="shared" si="10"/>
        <v>0</v>
      </c>
      <c r="K16" s="5247"/>
      <c r="L16" s="5248"/>
      <c r="M16" s="5249"/>
      <c r="N16" s="586">
        <f t="shared" si="11"/>
        <v>0</v>
      </c>
      <c r="O16" s="5247"/>
      <c r="P16" s="5248"/>
      <c r="Q16" s="5241"/>
      <c r="R16" s="349">
        <f t="shared" si="12"/>
        <v>0</v>
      </c>
      <c r="S16" s="5247"/>
      <c r="T16" s="5248"/>
      <c r="U16" s="5241"/>
      <c r="V16" s="349">
        <f t="shared" si="13"/>
        <v>0</v>
      </c>
      <c r="W16" s="5247"/>
      <c r="X16" s="5248"/>
      <c r="Y16" s="5181"/>
      <c r="Z16" s="4598">
        <f t="shared" si="6"/>
        <v>0</v>
      </c>
      <c r="AA16" s="5250"/>
      <c r="AB16" s="4599">
        <f t="shared" si="7"/>
        <v>0</v>
      </c>
      <c r="AC16" s="5247"/>
      <c r="AD16" s="5248"/>
      <c r="AE16" s="5241"/>
      <c r="AF16" s="349">
        <f t="shared" si="14"/>
        <v>0</v>
      </c>
      <c r="AG16" s="5247"/>
      <c r="AH16" s="5248"/>
      <c r="AI16" s="5241"/>
      <c r="AJ16" s="349">
        <f t="shared" si="21"/>
        <v>0</v>
      </c>
      <c r="AK16" s="5247"/>
      <c r="AL16" s="5248"/>
      <c r="AM16" s="5181"/>
      <c r="AN16" s="4598">
        <f t="shared" si="8"/>
        <v>0</v>
      </c>
      <c r="AO16" s="5241"/>
      <c r="AP16" s="349">
        <f t="shared" si="16"/>
        <v>0</v>
      </c>
      <c r="AQ16" s="5247"/>
      <c r="AR16" s="5248"/>
      <c r="AS16" s="5241"/>
      <c r="AT16" s="5241">
        <f t="shared" si="17"/>
        <v>0</v>
      </c>
      <c r="AU16" s="5247"/>
      <c r="AV16" s="5248"/>
      <c r="AW16" s="5241"/>
      <c r="AX16" s="349">
        <f t="shared" si="18"/>
        <v>0</v>
      </c>
      <c r="AY16" s="5247"/>
      <c r="AZ16" s="5248"/>
      <c r="BA16" s="5181"/>
      <c r="BB16" s="5181">
        <f t="shared" si="9"/>
        <v>0</v>
      </c>
      <c r="BC16" s="5250"/>
      <c r="BD16" s="5250">
        <f t="shared" si="19"/>
        <v>0</v>
      </c>
      <c r="BE16" s="5241"/>
      <c r="BF16" s="5174">
        <f t="shared" si="20"/>
        <v>0</v>
      </c>
      <c r="BG16" s="1137"/>
      <c r="BH16" s="4234">
        <f t="shared" si="0"/>
        <v>0</v>
      </c>
      <c r="BI16" s="4234">
        <f t="shared" si="1"/>
        <v>0</v>
      </c>
      <c r="BJ16" s="25">
        <f t="shared" si="2"/>
        <v>0</v>
      </c>
      <c r="BK16" s="25">
        <f t="shared" si="3"/>
        <v>0</v>
      </c>
      <c r="BL16" s="25">
        <f t="shared" si="4"/>
        <v>0</v>
      </c>
      <c r="BM16" s="25">
        <f t="shared" si="5"/>
        <v>0</v>
      </c>
    </row>
    <row r="17" spans="1:65" ht="16.5" hidden="1" thickBot="1" x14ac:dyDescent="0.3">
      <c r="A17" s="139"/>
      <c r="B17" s="5244" t="s">
        <v>72</v>
      </c>
      <c r="C17" s="5245" t="s">
        <v>932</v>
      </c>
      <c r="D17" s="5246" t="s">
        <v>50</v>
      </c>
      <c r="E17" s="5247"/>
      <c r="F17" s="5248"/>
      <c r="G17" s="5247"/>
      <c r="H17" s="5248">
        <v>328</v>
      </c>
      <c r="I17" s="5241"/>
      <c r="J17" s="41">
        <f t="shared" si="10"/>
        <v>328</v>
      </c>
      <c r="K17" s="5247"/>
      <c r="L17" s="5248">
        <v>491.99999999999994</v>
      </c>
      <c r="M17" s="5249"/>
      <c r="N17" s="586">
        <f t="shared" si="11"/>
        <v>820</v>
      </c>
      <c r="O17" s="5247"/>
      <c r="P17" s="5248">
        <v>270.60000000000002</v>
      </c>
      <c r="Q17" s="5241"/>
      <c r="R17" s="349">
        <f t="shared" si="12"/>
        <v>1090.5999999999999</v>
      </c>
      <c r="S17" s="5247"/>
      <c r="T17" s="5248">
        <f>340.3-2.05</f>
        <v>338.25</v>
      </c>
      <c r="U17" s="5241"/>
      <c r="V17" s="349">
        <f t="shared" si="13"/>
        <v>1428.85</v>
      </c>
      <c r="W17" s="5247"/>
      <c r="X17" s="5248"/>
      <c r="Y17" s="5181"/>
      <c r="Z17" s="4598">
        <f t="shared" si="6"/>
        <v>608.85</v>
      </c>
      <c r="AA17" s="5250"/>
      <c r="AB17" s="4599">
        <f t="shared" si="7"/>
        <v>1428.85</v>
      </c>
      <c r="AC17" s="5247"/>
      <c r="AD17" s="5248"/>
      <c r="AE17" s="5241"/>
      <c r="AF17" s="349">
        <f t="shared" si="14"/>
        <v>1428.85</v>
      </c>
      <c r="AG17" s="5247"/>
      <c r="AH17" s="5248"/>
      <c r="AI17" s="5241"/>
      <c r="AJ17" s="349">
        <f t="shared" si="21"/>
        <v>1428.85</v>
      </c>
      <c r="AK17" s="5247"/>
      <c r="AL17" s="5248">
        <v>709.30000000000007</v>
      </c>
      <c r="AM17" s="5181"/>
      <c r="AN17" s="4598">
        <f t="shared" si="8"/>
        <v>709.30000000000007</v>
      </c>
      <c r="AO17" s="5241"/>
      <c r="AP17" s="349">
        <f t="shared" si="16"/>
        <v>2138.15</v>
      </c>
      <c r="AQ17" s="5247"/>
      <c r="AR17" s="5248">
        <v>631.4</v>
      </c>
      <c r="AS17" s="5241"/>
      <c r="AT17" s="5241">
        <f t="shared" si="17"/>
        <v>2769.55</v>
      </c>
      <c r="AU17" s="5247"/>
      <c r="AV17" s="5248"/>
      <c r="AW17" s="5241"/>
      <c r="AX17" s="349">
        <f t="shared" si="18"/>
        <v>2769.55</v>
      </c>
      <c r="AY17" s="5247"/>
      <c r="AZ17" s="5248">
        <v>120.95</v>
      </c>
      <c r="BA17" s="5181"/>
      <c r="BB17" s="5181">
        <f t="shared" si="9"/>
        <v>752.35</v>
      </c>
      <c r="BC17" s="5250"/>
      <c r="BD17" s="5250">
        <f t="shared" si="19"/>
        <v>1461.65</v>
      </c>
      <c r="BE17" s="5241"/>
      <c r="BF17" s="5174">
        <f t="shared" si="20"/>
        <v>2890.5</v>
      </c>
      <c r="BG17" s="1137"/>
      <c r="BH17" s="4234">
        <f t="shared" si="0"/>
        <v>0</v>
      </c>
      <c r="BI17" s="4234">
        <f t="shared" si="1"/>
        <v>0</v>
      </c>
      <c r="BJ17" s="25">
        <f t="shared" si="2"/>
        <v>0</v>
      </c>
      <c r="BK17" s="25">
        <f t="shared" si="3"/>
        <v>0</v>
      </c>
      <c r="BL17" s="25">
        <f t="shared" si="4"/>
        <v>0</v>
      </c>
      <c r="BM17" s="25">
        <f t="shared" si="5"/>
        <v>0</v>
      </c>
    </row>
    <row r="18" spans="1:65" ht="16.5" hidden="1" thickBot="1" x14ac:dyDescent="0.3">
      <c r="A18" s="139"/>
      <c r="B18" s="5244" t="s">
        <v>72</v>
      </c>
      <c r="C18" s="5245" t="s">
        <v>931</v>
      </c>
      <c r="D18" s="5246" t="s">
        <v>50</v>
      </c>
      <c r="E18" s="5247"/>
      <c r="F18" s="5248"/>
      <c r="G18" s="5247"/>
      <c r="H18" s="5248">
        <v>479.70000000000005</v>
      </c>
      <c r="I18" s="5241"/>
      <c r="J18" s="41">
        <f t="shared" si="10"/>
        <v>479.70000000000005</v>
      </c>
      <c r="K18" s="5247"/>
      <c r="L18" s="5248">
        <v>477.65</v>
      </c>
      <c r="M18" s="5249"/>
      <c r="N18" s="586">
        <f t="shared" si="11"/>
        <v>957.35</v>
      </c>
      <c r="O18" s="5247"/>
      <c r="P18" s="5248">
        <v>455.10000000000014</v>
      </c>
      <c r="Q18" s="5241"/>
      <c r="R18" s="349">
        <f t="shared" si="12"/>
        <v>1412.4500000000003</v>
      </c>
      <c r="S18" s="5247"/>
      <c r="T18" s="5248">
        <v>1152.1000000000001</v>
      </c>
      <c r="U18" s="5241"/>
      <c r="V18" s="349">
        <f t="shared" si="13"/>
        <v>2564.5500000000002</v>
      </c>
      <c r="W18" s="5247"/>
      <c r="X18" s="5248">
        <v>512.5</v>
      </c>
      <c r="Y18" s="5181"/>
      <c r="Z18" s="4598">
        <f t="shared" si="6"/>
        <v>2119.7000000000003</v>
      </c>
      <c r="AA18" s="5250"/>
      <c r="AB18" s="4599">
        <f t="shared" si="7"/>
        <v>3077.05</v>
      </c>
      <c r="AC18" s="5247"/>
      <c r="AD18" s="5248"/>
      <c r="AE18" s="5241"/>
      <c r="AF18" s="349">
        <f t="shared" si="14"/>
        <v>3077.05</v>
      </c>
      <c r="AG18" s="5247"/>
      <c r="AH18" s="5248">
        <v>668.30000000000007</v>
      </c>
      <c r="AI18" s="5241"/>
      <c r="AJ18" s="349">
        <f t="shared" si="21"/>
        <v>3745.3500000000004</v>
      </c>
      <c r="AK18" s="5247"/>
      <c r="AL18" s="5248">
        <v>627.30000000000018</v>
      </c>
      <c r="AM18" s="5181"/>
      <c r="AN18" s="4598">
        <f t="shared" si="8"/>
        <v>1295.6000000000004</v>
      </c>
      <c r="AO18" s="5241"/>
      <c r="AP18" s="349">
        <f t="shared" si="16"/>
        <v>4372.6500000000005</v>
      </c>
      <c r="AQ18" s="5247"/>
      <c r="AR18" s="5248">
        <v>973.75</v>
      </c>
      <c r="AS18" s="5241"/>
      <c r="AT18" s="5241">
        <f t="shared" si="17"/>
        <v>5346.4000000000005</v>
      </c>
      <c r="AU18" s="5247"/>
      <c r="AV18" s="5248">
        <v>182.45000000000002</v>
      </c>
      <c r="AW18" s="5241"/>
      <c r="AX18" s="349">
        <f t="shared" si="18"/>
        <v>5528.85</v>
      </c>
      <c r="AY18" s="5247"/>
      <c r="AZ18" s="5248">
        <v>619.09999999999991</v>
      </c>
      <c r="BA18" s="5181"/>
      <c r="BB18" s="5181">
        <f t="shared" si="9"/>
        <v>1775.3</v>
      </c>
      <c r="BC18" s="5250"/>
      <c r="BD18" s="5250">
        <f t="shared" si="19"/>
        <v>3070.9000000000005</v>
      </c>
      <c r="BE18" s="5241"/>
      <c r="BF18" s="5174">
        <f t="shared" si="20"/>
        <v>6147.9500000000007</v>
      </c>
      <c r="BG18" s="1137"/>
      <c r="BH18" s="4234">
        <f t="shared" si="0"/>
        <v>0</v>
      </c>
      <c r="BI18" s="4234">
        <f t="shared" si="1"/>
        <v>0</v>
      </c>
      <c r="BJ18" s="25">
        <f t="shared" si="2"/>
        <v>0</v>
      </c>
      <c r="BK18" s="25">
        <f t="shared" si="3"/>
        <v>0</v>
      </c>
      <c r="BL18" s="25">
        <f t="shared" si="4"/>
        <v>0</v>
      </c>
      <c r="BM18" s="25">
        <f t="shared" si="5"/>
        <v>0</v>
      </c>
    </row>
    <row r="19" spans="1:65" ht="16.5" hidden="1" thickBot="1" x14ac:dyDescent="0.3">
      <c r="A19" s="139"/>
      <c r="B19" s="5244" t="s">
        <v>72</v>
      </c>
      <c r="C19" s="5245" t="s">
        <v>1090</v>
      </c>
      <c r="D19" s="5246" t="s">
        <v>50</v>
      </c>
      <c r="E19" s="5247"/>
      <c r="F19" s="5248"/>
      <c r="G19" s="5247"/>
      <c r="H19" s="5248">
        <v>243.95000000000002</v>
      </c>
      <c r="I19" s="5241"/>
      <c r="J19" s="41">
        <f t="shared" si="10"/>
        <v>243.95000000000002</v>
      </c>
      <c r="K19" s="5247"/>
      <c r="L19" s="5248"/>
      <c r="M19" s="5249"/>
      <c r="N19" s="586">
        <f t="shared" si="11"/>
        <v>243.95000000000002</v>
      </c>
      <c r="O19" s="5247"/>
      <c r="P19" s="5248">
        <v>202.95</v>
      </c>
      <c r="Q19" s="5241"/>
      <c r="R19" s="349">
        <f t="shared" si="12"/>
        <v>446.9</v>
      </c>
      <c r="S19" s="5247"/>
      <c r="T19" s="5248">
        <v>399.74999999999994</v>
      </c>
      <c r="U19" s="5241"/>
      <c r="V19" s="349">
        <f t="shared" si="13"/>
        <v>846.64999999999986</v>
      </c>
      <c r="W19" s="5247"/>
      <c r="X19" s="5248"/>
      <c r="Y19" s="5181"/>
      <c r="Z19" s="4598">
        <f t="shared" si="6"/>
        <v>602.69999999999993</v>
      </c>
      <c r="AA19" s="5250"/>
      <c r="AB19" s="4599">
        <f t="shared" si="7"/>
        <v>846.65</v>
      </c>
      <c r="AC19" s="5247"/>
      <c r="AD19" s="5248"/>
      <c r="AE19" s="5241"/>
      <c r="AF19" s="349">
        <f t="shared" si="14"/>
        <v>846.65</v>
      </c>
      <c r="AG19" s="5247"/>
      <c r="AH19" s="5248"/>
      <c r="AI19" s="5241"/>
      <c r="AJ19" s="349">
        <f t="shared" si="21"/>
        <v>846.65</v>
      </c>
      <c r="AK19" s="5247"/>
      <c r="AL19" s="5248">
        <v>340.3</v>
      </c>
      <c r="AM19" s="5181"/>
      <c r="AN19" s="4598">
        <f t="shared" si="8"/>
        <v>340.3</v>
      </c>
      <c r="AO19" s="5241"/>
      <c r="AP19" s="349">
        <f t="shared" si="16"/>
        <v>1186.95</v>
      </c>
      <c r="AQ19" s="5247"/>
      <c r="AR19" s="5248">
        <v>407.95</v>
      </c>
      <c r="AS19" s="5241"/>
      <c r="AT19" s="5241">
        <f t="shared" si="17"/>
        <v>1594.9</v>
      </c>
      <c r="AU19" s="5247"/>
      <c r="AV19" s="5248">
        <v>291.10000000000002</v>
      </c>
      <c r="AW19" s="5241"/>
      <c r="AX19" s="349">
        <f t="shared" si="18"/>
        <v>1886</v>
      </c>
      <c r="AY19" s="5247"/>
      <c r="AZ19" s="5248"/>
      <c r="BA19" s="5181"/>
      <c r="BB19" s="5181">
        <f t="shared" si="9"/>
        <v>699.05</v>
      </c>
      <c r="BC19" s="5250"/>
      <c r="BD19" s="5250">
        <f t="shared" si="19"/>
        <v>1039.3499999999999</v>
      </c>
      <c r="BE19" s="5241"/>
      <c r="BF19" s="5174">
        <f t="shared" si="20"/>
        <v>1886</v>
      </c>
      <c r="BG19" s="1137"/>
      <c r="BH19" s="4234">
        <f t="shared" si="0"/>
        <v>0</v>
      </c>
      <c r="BI19" s="4234">
        <f t="shared" si="1"/>
        <v>0</v>
      </c>
      <c r="BJ19" s="25">
        <f t="shared" si="2"/>
        <v>0</v>
      </c>
      <c r="BK19" s="25">
        <f t="shared" si="3"/>
        <v>0</v>
      </c>
      <c r="BL19" s="25">
        <f t="shared" si="4"/>
        <v>0</v>
      </c>
      <c r="BM19" s="25">
        <f t="shared" si="5"/>
        <v>0</v>
      </c>
    </row>
    <row r="20" spans="1:65" ht="16.5" hidden="1" thickBot="1" x14ac:dyDescent="0.3">
      <c r="A20" s="139"/>
      <c r="B20" s="4286" t="s">
        <v>72</v>
      </c>
      <c r="C20" s="4287" t="s">
        <v>933</v>
      </c>
      <c r="D20" s="3434" t="s">
        <v>50</v>
      </c>
      <c r="E20" s="6882"/>
      <c r="F20" s="7590"/>
      <c r="G20" s="6882"/>
      <c r="H20" s="6878">
        <f>1644.1-2.05</f>
        <v>1642.05</v>
      </c>
      <c r="I20" s="5152"/>
      <c r="J20" s="6887">
        <f t="shared" si="10"/>
        <v>1642.05</v>
      </c>
      <c r="K20" s="6882"/>
      <c r="L20" s="6878">
        <v>1564.1499999999994</v>
      </c>
      <c r="M20" s="6696"/>
      <c r="N20" s="6888">
        <f t="shared" si="11"/>
        <v>3206.1999999999994</v>
      </c>
      <c r="O20" s="6882"/>
      <c r="P20" s="6878">
        <v>1008.5999999999999</v>
      </c>
      <c r="Q20" s="5152"/>
      <c r="R20" s="6889">
        <f t="shared" si="12"/>
        <v>4214.7999999999993</v>
      </c>
      <c r="S20" s="6882"/>
      <c r="T20" s="6878">
        <f>2134.05-4.1</f>
        <v>2129.9500000000003</v>
      </c>
      <c r="U20" s="5152"/>
      <c r="V20" s="6889">
        <f t="shared" si="13"/>
        <v>6344.75</v>
      </c>
      <c r="W20" s="6882"/>
      <c r="X20" s="6878">
        <v>514.54999999999995</v>
      </c>
      <c r="Y20" s="6883"/>
      <c r="Z20" s="6890">
        <f t="shared" si="6"/>
        <v>3653.1000000000004</v>
      </c>
      <c r="AA20" s="6884"/>
      <c r="AB20" s="6891">
        <f t="shared" si="7"/>
        <v>6859.2999999999993</v>
      </c>
      <c r="AC20" s="6882"/>
      <c r="AD20" s="6878"/>
      <c r="AE20" s="5152"/>
      <c r="AF20" s="6889">
        <f t="shared" si="14"/>
        <v>6859.2999999999993</v>
      </c>
      <c r="AG20" s="6882"/>
      <c r="AH20" s="6878">
        <v>967.60000000000014</v>
      </c>
      <c r="AI20" s="5152"/>
      <c r="AJ20" s="6889">
        <f t="shared" si="21"/>
        <v>7826.9</v>
      </c>
      <c r="AK20" s="6882"/>
      <c r="AL20" s="6878">
        <v>596.54999999999995</v>
      </c>
      <c r="AM20" s="6883"/>
      <c r="AN20" s="6890">
        <f t="shared" si="8"/>
        <v>1564.15</v>
      </c>
      <c r="AO20" s="5152"/>
      <c r="AP20" s="6889">
        <f t="shared" si="16"/>
        <v>8423.4499999999989</v>
      </c>
      <c r="AQ20" s="6882"/>
      <c r="AR20" s="6878">
        <v>1287.4000000000001</v>
      </c>
      <c r="AS20" s="5152"/>
      <c r="AT20" s="5152">
        <f t="shared" si="17"/>
        <v>9710.8499999999985</v>
      </c>
      <c r="AU20" s="6882"/>
      <c r="AV20" s="6878">
        <v>403.84999999999991</v>
      </c>
      <c r="AW20" s="5152"/>
      <c r="AX20" s="6889">
        <f t="shared" si="18"/>
        <v>10114.699999999999</v>
      </c>
      <c r="AY20" s="6882"/>
      <c r="AZ20" s="7003">
        <v>1582.5999999999997</v>
      </c>
      <c r="BA20" s="5259"/>
      <c r="BB20" s="5259">
        <f t="shared" si="9"/>
        <v>3273.8499999999995</v>
      </c>
      <c r="BC20" s="5260"/>
      <c r="BD20" s="5260">
        <f t="shared" si="19"/>
        <v>4838</v>
      </c>
      <c r="BE20" s="5256"/>
      <c r="BF20" s="5257">
        <f t="shared" si="20"/>
        <v>11697.3</v>
      </c>
      <c r="BG20" s="1137"/>
      <c r="BH20" s="4234">
        <f t="shared" si="0"/>
        <v>0</v>
      </c>
      <c r="BI20" s="4234">
        <f t="shared" si="1"/>
        <v>0</v>
      </c>
      <c r="BJ20" s="25">
        <f t="shared" si="2"/>
        <v>0</v>
      </c>
      <c r="BK20" s="25">
        <f t="shared" si="3"/>
        <v>0</v>
      </c>
      <c r="BL20" s="25">
        <f t="shared" si="4"/>
        <v>0</v>
      </c>
      <c r="BM20" s="25">
        <f t="shared" si="5"/>
        <v>0</v>
      </c>
    </row>
    <row r="21" spans="1:65" s="4487" customFormat="1" ht="16.5" hidden="1" thickBot="1" x14ac:dyDescent="0.3">
      <c r="A21" s="139"/>
      <c r="B21" s="4286" t="s">
        <v>72</v>
      </c>
      <c r="C21" s="2880" t="s">
        <v>1094</v>
      </c>
      <c r="D21" s="3434" t="s">
        <v>50</v>
      </c>
      <c r="E21" s="6892"/>
      <c r="F21" s="6365"/>
      <c r="G21" s="6892"/>
      <c r="H21" s="6365"/>
      <c r="I21" s="6366"/>
      <c r="J21" s="6366"/>
      <c r="K21" s="6892"/>
      <c r="L21" s="6365"/>
      <c r="M21" s="6367"/>
      <c r="N21" s="6367"/>
      <c r="O21" s="6892"/>
      <c r="P21" s="6365"/>
      <c r="Q21" s="6366"/>
      <c r="R21" s="6366"/>
      <c r="S21" s="6892"/>
      <c r="T21" s="6365"/>
      <c r="U21" s="6366"/>
      <c r="V21" s="6366"/>
      <c r="W21" s="6892"/>
      <c r="X21" s="6365"/>
      <c r="Y21" s="6772"/>
      <c r="Z21" s="6772"/>
      <c r="AA21" s="6773"/>
      <c r="AB21" s="6773"/>
      <c r="AC21" s="6892"/>
      <c r="AD21" s="6365"/>
      <c r="AE21" s="6366"/>
      <c r="AF21" s="6366"/>
      <c r="AG21" s="6892"/>
      <c r="AH21" s="6365"/>
      <c r="AI21" s="6366"/>
      <c r="AJ21" s="6366"/>
      <c r="AK21" s="6892"/>
      <c r="AL21" s="6365"/>
      <c r="AM21" s="6772"/>
      <c r="AN21" s="6772"/>
      <c r="AO21" s="6366"/>
      <c r="AP21" s="6366"/>
      <c r="AQ21" s="6892"/>
      <c r="AR21" s="6365"/>
      <c r="AS21" s="6366"/>
      <c r="AT21" s="6366"/>
      <c r="AU21" s="6892"/>
      <c r="AV21" s="6365">
        <v>131.19999999999999</v>
      </c>
      <c r="AW21" s="6366"/>
      <c r="AX21" s="6889">
        <f t="shared" si="18"/>
        <v>131.19999999999999</v>
      </c>
      <c r="AY21" s="6892"/>
      <c r="AZ21" s="6365"/>
      <c r="BA21" s="6885"/>
      <c r="BB21" s="5259">
        <f t="shared" si="9"/>
        <v>131.19999999999999</v>
      </c>
      <c r="BC21" s="6886"/>
      <c r="BD21" s="5260">
        <f t="shared" si="19"/>
        <v>131.19999999999999</v>
      </c>
      <c r="BE21" s="3833"/>
      <c r="BF21" s="5257">
        <f t="shared" si="20"/>
        <v>131.19999999999999</v>
      </c>
      <c r="BG21" s="1137"/>
      <c r="BH21" s="4234">
        <f t="shared" si="0"/>
        <v>0</v>
      </c>
      <c r="BI21" s="4234">
        <f t="shared" si="1"/>
        <v>0</v>
      </c>
      <c r="BJ21" s="25">
        <f t="shared" si="2"/>
        <v>0</v>
      </c>
      <c r="BK21" s="25">
        <f t="shared" si="3"/>
        <v>0</v>
      </c>
      <c r="BL21" s="25">
        <f t="shared" si="4"/>
        <v>0</v>
      </c>
      <c r="BM21" s="25">
        <f t="shared" si="5"/>
        <v>0</v>
      </c>
    </row>
    <row r="22" spans="1:65" s="4487" customFormat="1" ht="16.5" hidden="1" thickBot="1" x14ac:dyDescent="0.3">
      <c r="A22" s="139"/>
      <c r="B22" s="5252" t="s">
        <v>72</v>
      </c>
      <c r="C22" s="5253" t="s">
        <v>934</v>
      </c>
      <c r="D22" s="3434" t="s">
        <v>50</v>
      </c>
      <c r="E22" s="5254"/>
      <c r="F22" s="5255"/>
      <c r="G22" s="5254"/>
      <c r="H22" s="5255"/>
      <c r="I22" s="5256"/>
      <c r="J22" s="5256"/>
      <c r="K22" s="5254"/>
      <c r="L22" s="5255"/>
      <c r="M22" s="5258"/>
      <c r="N22" s="5258"/>
      <c r="O22" s="5254"/>
      <c r="P22" s="5255"/>
      <c r="Q22" s="5256"/>
      <c r="R22" s="5256"/>
      <c r="S22" s="5254"/>
      <c r="T22" s="5255"/>
      <c r="U22" s="5256"/>
      <c r="V22" s="5256"/>
      <c r="W22" s="5254"/>
      <c r="X22" s="5255"/>
      <c r="Y22" s="5259"/>
      <c r="Z22" s="5259"/>
      <c r="AA22" s="5260"/>
      <c r="AB22" s="5260"/>
      <c r="AC22" s="5254"/>
      <c r="AD22" s="5255"/>
      <c r="AE22" s="5256"/>
      <c r="AF22" s="5256"/>
      <c r="AG22" s="5254"/>
      <c r="AH22" s="5255"/>
      <c r="AI22" s="5256"/>
      <c r="AJ22" s="5256"/>
      <c r="AK22" s="5254"/>
      <c r="AL22" s="5255"/>
      <c r="AM22" s="5259"/>
      <c r="AN22" s="5259"/>
      <c r="AO22" s="5256"/>
      <c r="AP22" s="5256"/>
      <c r="AQ22" s="5254"/>
      <c r="AR22" s="5255"/>
      <c r="AS22" s="5256"/>
      <c r="AT22" s="5256"/>
      <c r="AU22" s="5254"/>
      <c r="AV22" s="5255">
        <v>375.15</v>
      </c>
      <c r="AW22" s="5256"/>
      <c r="AX22" s="3290">
        <f t="shared" si="18"/>
        <v>375.15</v>
      </c>
      <c r="AY22" s="5254"/>
      <c r="AZ22" s="5255"/>
      <c r="BA22" s="6885"/>
      <c r="BB22" s="5259">
        <f t="shared" si="9"/>
        <v>375.15</v>
      </c>
      <c r="BC22" s="6886"/>
      <c r="BD22" s="5260">
        <f t="shared" si="19"/>
        <v>375.15</v>
      </c>
      <c r="BE22" s="3833"/>
      <c r="BF22" s="5257">
        <f t="shared" si="20"/>
        <v>375.15</v>
      </c>
      <c r="BG22" s="1137"/>
      <c r="BH22" s="4234">
        <f t="shared" si="0"/>
        <v>0</v>
      </c>
      <c r="BI22" s="4234">
        <f t="shared" si="1"/>
        <v>0</v>
      </c>
      <c r="BJ22" s="25">
        <f t="shared" si="2"/>
        <v>0</v>
      </c>
      <c r="BK22" s="25">
        <f t="shared" si="3"/>
        <v>0</v>
      </c>
      <c r="BL22" s="25">
        <f t="shared" si="4"/>
        <v>0</v>
      </c>
      <c r="BM22" s="25">
        <f t="shared" si="5"/>
        <v>0</v>
      </c>
    </row>
    <row r="23" spans="1:65" ht="16.5" thickBot="1" x14ac:dyDescent="0.3">
      <c r="A23" s="2094"/>
      <c r="B23" s="4591" t="s">
        <v>74</v>
      </c>
      <c r="C23" s="4592" t="s">
        <v>1316</v>
      </c>
      <c r="D23" s="47" t="s">
        <v>50</v>
      </c>
      <c r="E23" s="5243"/>
      <c r="F23" s="7592">
        <f>7949.9-6.15</f>
        <v>7943.75</v>
      </c>
      <c r="G23" s="5243"/>
      <c r="H23" s="6206">
        <f>1965.95-2.05</f>
        <v>1963.9</v>
      </c>
      <c r="I23" s="5237"/>
      <c r="J23" s="60">
        <f t="shared" si="10"/>
        <v>9907.65</v>
      </c>
      <c r="K23" s="5243"/>
      <c r="L23" s="5720">
        <v>301.34999999999997</v>
      </c>
      <c r="M23" s="2244"/>
      <c r="N23" s="2244">
        <f t="shared" si="11"/>
        <v>10209</v>
      </c>
      <c r="O23" s="5243"/>
      <c r="P23" s="5855">
        <v>990.15000000000009</v>
      </c>
      <c r="Q23" s="5237"/>
      <c r="R23" s="6876">
        <f t="shared" si="12"/>
        <v>11199.15</v>
      </c>
      <c r="S23" s="5243"/>
      <c r="T23" s="5937">
        <v>303.39999999999998</v>
      </c>
      <c r="U23" s="5237"/>
      <c r="V23" s="6876">
        <f t="shared" si="13"/>
        <v>11502.55</v>
      </c>
      <c r="W23" s="5243"/>
      <c r="X23" s="6041">
        <f>1197.2-2.05</f>
        <v>1195.1500000000001</v>
      </c>
      <c r="Y23" s="4594"/>
      <c r="Z23" s="4594">
        <f t="shared" si="6"/>
        <v>2488.7000000000003</v>
      </c>
      <c r="AA23" s="4595"/>
      <c r="AB23" s="4595">
        <f t="shared" si="7"/>
        <v>12697.7</v>
      </c>
      <c r="AC23" s="5243"/>
      <c r="AD23" s="6167">
        <v>442.79999999999995</v>
      </c>
      <c r="AE23" s="5237"/>
      <c r="AF23" s="6876">
        <f t="shared" si="14"/>
        <v>13140.5</v>
      </c>
      <c r="AG23" s="5243"/>
      <c r="AH23" s="6331">
        <v>1070.1000000000001</v>
      </c>
      <c r="AI23" s="5237"/>
      <c r="AJ23" s="6876">
        <f t="shared" si="21"/>
        <v>14210.6</v>
      </c>
      <c r="AK23" s="5243"/>
      <c r="AL23" s="6934">
        <v>918.4</v>
      </c>
      <c r="AM23" s="4594"/>
      <c r="AN23" s="4594">
        <f t="shared" si="8"/>
        <v>2431.3000000000002</v>
      </c>
      <c r="AO23" s="5237"/>
      <c r="AP23" s="6876">
        <f t="shared" si="16"/>
        <v>15129</v>
      </c>
      <c r="AQ23" s="5243"/>
      <c r="AR23" s="5238"/>
      <c r="AS23" s="5237"/>
      <c r="AT23" s="5237">
        <f t="shared" si="17"/>
        <v>15129</v>
      </c>
      <c r="AU23" s="5243"/>
      <c r="AV23" s="6849">
        <v>1353</v>
      </c>
      <c r="AW23" s="5237"/>
      <c r="AX23" s="6876">
        <f t="shared" si="18"/>
        <v>16482</v>
      </c>
      <c r="AY23" s="5243"/>
      <c r="AZ23" s="7005">
        <v>5303.3500000000031</v>
      </c>
      <c r="BA23" s="4594"/>
      <c r="BB23" s="4594">
        <f t="shared" si="9"/>
        <v>6656.3500000000031</v>
      </c>
      <c r="BC23" s="4595"/>
      <c r="BD23" s="4595">
        <f t="shared" si="19"/>
        <v>9087.6500000000033</v>
      </c>
      <c r="BE23" s="5237"/>
      <c r="BF23" s="5237">
        <f t="shared" si="20"/>
        <v>21785.350000000002</v>
      </c>
      <c r="BG23" s="1137"/>
      <c r="BH23" s="4234">
        <f t="shared" si="0"/>
        <v>0</v>
      </c>
      <c r="BI23" s="4234">
        <f t="shared" si="1"/>
        <v>0</v>
      </c>
      <c r="BJ23" s="25">
        <f t="shared" si="2"/>
        <v>0</v>
      </c>
      <c r="BK23" s="25">
        <f t="shared" si="3"/>
        <v>0</v>
      </c>
      <c r="BL23" s="25">
        <f t="shared" si="4"/>
        <v>0</v>
      </c>
      <c r="BM23" s="25">
        <f t="shared" si="5"/>
        <v>0</v>
      </c>
    </row>
    <row r="24" spans="1:65" ht="16.5" hidden="1" thickBot="1" x14ac:dyDescent="0.3">
      <c r="A24" s="2094"/>
      <c r="B24" s="797" t="s">
        <v>74</v>
      </c>
      <c r="C24" s="2880" t="s">
        <v>928</v>
      </c>
      <c r="D24" s="2881" t="s">
        <v>50</v>
      </c>
      <c r="E24" s="2926"/>
      <c r="F24" s="7594"/>
      <c r="G24" s="2926"/>
      <c r="H24" s="6209">
        <f>5545.25-14.35</f>
        <v>5530.9</v>
      </c>
      <c r="I24" s="2884"/>
      <c r="J24" s="41">
        <f t="shared" si="10"/>
        <v>5530.9</v>
      </c>
      <c r="K24" s="2926"/>
      <c r="L24" s="5722">
        <f>4975.35-22.55-2.05</f>
        <v>4950.75</v>
      </c>
      <c r="M24" s="2088"/>
      <c r="N24" s="586">
        <f t="shared" si="11"/>
        <v>10481.65</v>
      </c>
      <c r="O24" s="2926"/>
      <c r="P24" s="5857">
        <f>9288.55-22.55</f>
        <v>9266</v>
      </c>
      <c r="Q24" s="2089"/>
      <c r="R24" s="349">
        <f t="shared" si="12"/>
        <v>19747.650000000001</v>
      </c>
      <c r="S24" s="2926"/>
      <c r="T24" s="5940">
        <f>10489.85-65.6</f>
        <v>10424.25</v>
      </c>
      <c r="U24" s="4351"/>
      <c r="V24" s="349">
        <f t="shared" si="13"/>
        <v>30171.9</v>
      </c>
      <c r="W24" s="2926"/>
      <c r="X24" s="6043">
        <f>10875.25-2.05</f>
        <v>10873.2</v>
      </c>
      <c r="Y24" s="2091"/>
      <c r="Z24" s="4598">
        <f t="shared" si="6"/>
        <v>30563.45</v>
      </c>
      <c r="AA24" s="629"/>
      <c r="AB24" s="4599">
        <f t="shared" si="7"/>
        <v>41045.1</v>
      </c>
      <c r="AC24" s="2926"/>
      <c r="AD24" s="6169">
        <f>6900.3-16.4</f>
        <v>6883.9000000000005</v>
      </c>
      <c r="AE24" s="2236"/>
      <c r="AF24" s="349">
        <f t="shared" si="14"/>
        <v>47929</v>
      </c>
      <c r="AG24" s="2926"/>
      <c r="AH24" s="6337">
        <f>7757.2-16.4</f>
        <v>7740.8</v>
      </c>
      <c r="AI24" s="4635"/>
      <c r="AJ24" s="349">
        <f t="shared" si="21"/>
        <v>55669.8</v>
      </c>
      <c r="AK24" s="2926"/>
      <c r="AL24" s="6936">
        <f>8161.05-10.25-4.1</f>
        <v>8146.7</v>
      </c>
      <c r="AM24" s="2449"/>
      <c r="AN24" s="4598">
        <f t="shared" si="8"/>
        <v>22771.4</v>
      </c>
      <c r="AO24" s="2236"/>
      <c r="AP24" s="349">
        <f t="shared" si="16"/>
        <v>63816.5</v>
      </c>
      <c r="AQ24" s="2926"/>
      <c r="AR24" s="4979">
        <f>7166.80000000001-14.35-2.05</f>
        <v>7150.4000000000096</v>
      </c>
      <c r="AS24" s="2236"/>
      <c r="AT24" s="4975">
        <f t="shared" si="17"/>
        <v>70966.900000000009</v>
      </c>
      <c r="AU24" s="2926"/>
      <c r="AV24" s="6852">
        <v>8312.7500000000036</v>
      </c>
      <c r="AW24" s="5036"/>
      <c r="AX24" s="349">
        <f t="shared" si="18"/>
        <v>79279.650000000009</v>
      </c>
      <c r="AY24" s="2926"/>
      <c r="AZ24" s="7008"/>
      <c r="BA24" s="2449"/>
      <c r="BB24" s="2449">
        <f t="shared" si="9"/>
        <v>15463.150000000012</v>
      </c>
      <c r="BC24" s="629"/>
      <c r="BD24" s="629">
        <f t="shared" si="19"/>
        <v>38234.550000000017</v>
      </c>
      <c r="BE24" s="2236"/>
      <c r="BF24" s="5106">
        <f t="shared" si="20"/>
        <v>79279.650000000009</v>
      </c>
      <c r="BG24" s="1137"/>
      <c r="BH24" s="4234">
        <f t="shared" si="0"/>
        <v>0</v>
      </c>
      <c r="BI24" s="4234">
        <f t="shared" si="1"/>
        <v>0</v>
      </c>
      <c r="BJ24" s="25">
        <f t="shared" si="2"/>
        <v>0</v>
      </c>
      <c r="BK24" s="25">
        <f t="shared" si="3"/>
        <v>0</v>
      </c>
      <c r="BL24" s="25">
        <f t="shared" si="4"/>
        <v>0</v>
      </c>
      <c r="BM24" s="25">
        <f t="shared" si="5"/>
        <v>0</v>
      </c>
    </row>
    <row r="25" spans="1:65" ht="16.5" hidden="1" thickBot="1" x14ac:dyDescent="0.3">
      <c r="A25" s="2094"/>
      <c r="B25" s="797" t="s">
        <v>74</v>
      </c>
      <c r="C25" s="2880" t="s">
        <v>930</v>
      </c>
      <c r="D25" s="2881" t="s">
        <v>50</v>
      </c>
      <c r="E25" s="2926"/>
      <c r="F25" s="7594"/>
      <c r="G25" s="2926"/>
      <c r="H25" s="6209">
        <f>2343.15-2.05</f>
        <v>2341.1</v>
      </c>
      <c r="I25" s="2884"/>
      <c r="J25" s="41">
        <f t="shared" si="10"/>
        <v>2341.1</v>
      </c>
      <c r="K25" s="2926"/>
      <c r="L25" s="5722">
        <v>1754.8000000000002</v>
      </c>
      <c r="M25" s="2088"/>
      <c r="N25" s="586">
        <f t="shared" si="11"/>
        <v>4095.9</v>
      </c>
      <c r="O25" s="2926"/>
      <c r="P25" s="5857">
        <v>2121.7499999999986</v>
      </c>
      <c r="Q25" s="2089"/>
      <c r="R25" s="349">
        <f t="shared" si="12"/>
        <v>6217.6499999999987</v>
      </c>
      <c r="S25" s="2926"/>
      <c r="T25" s="5940">
        <f>1432.95-2.05</f>
        <v>1430.9</v>
      </c>
      <c r="U25" s="4351"/>
      <c r="V25" s="349">
        <f t="shared" si="13"/>
        <v>7648.5499999999993</v>
      </c>
      <c r="W25" s="2926"/>
      <c r="X25" s="6043">
        <f>1391.95-2.05</f>
        <v>1389.9</v>
      </c>
      <c r="Y25" s="2091"/>
      <c r="Z25" s="4598">
        <f t="shared" si="6"/>
        <v>4942.5499999999993</v>
      </c>
      <c r="AA25" s="629"/>
      <c r="AB25" s="4599">
        <f t="shared" si="7"/>
        <v>9038.4499999999989</v>
      </c>
      <c r="AC25" s="2926"/>
      <c r="AD25" s="6169">
        <v>401.79999999999995</v>
      </c>
      <c r="AE25" s="2236"/>
      <c r="AF25" s="349">
        <f t="shared" si="14"/>
        <v>9440.2499999999982</v>
      </c>
      <c r="AG25" s="2926"/>
      <c r="AH25" s="6337">
        <f>930.7-2.05</f>
        <v>928.65000000000009</v>
      </c>
      <c r="AI25" s="4635"/>
      <c r="AJ25" s="349">
        <f t="shared" si="21"/>
        <v>10368.899999999998</v>
      </c>
      <c r="AK25" s="2926"/>
      <c r="AL25" s="6936">
        <v>1307.9000000000001</v>
      </c>
      <c r="AM25" s="2449"/>
      <c r="AN25" s="4598">
        <f t="shared" si="8"/>
        <v>2638.3500000000004</v>
      </c>
      <c r="AO25" s="2236"/>
      <c r="AP25" s="349">
        <f t="shared" si="16"/>
        <v>11676.799999999997</v>
      </c>
      <c r="AQ25" s="2926"/>
      <c r="AR25" s="4979">
        <f>926.6-4.1</f>
        <v>922.5</v>
      </c>
      <c r="AS25" s="2236"/>
      <c r="AT25" s="4975">
        <f t="shared" si="17"/>
        <v>12599.299999999997</v>
      </c>
      <c r="AU25" s="2926"/>
      <c r="AV25" s="6852">
        <f>1857.3-12.3</f>
        <v>1845</v>
      </c>
      <c r="AW25" s="5036"/>
      <c r="AX25" s="349">
        <f t="shared" si="18"/>
        <v>14444.299999999997</v>
      </c>
      <c r="AY25" s="2926"/>
      <c r="AZ25" s="7008"/>
      <c r="BA25" s="2449"/>
      <c r="BB25" s="2449">
        <f t="shared" si="9"/>
        <v>2767.5</v>
      </c>
      <c r="BC25" s="629"/>
      <c r="BD25" s="629">
        <f t="shared" si="19"/>
        <v>5405.85</v>
      </c>
      <c r="BE25" s="2236"/>
      <c r="BF25" s="5106">
        <f t="shared" si="20"/>
        <v>14444.299999999997</v>
      </c>
      <c r="BG25" s="1137"/>
      <c r="BH25" s="4234">
        <f t="shared" si="0"/>
        <v>0</v>
      </c>
      <c r="BI25" s="4234">
        <f t="shared" si="1"/>
        <v>0</v>
      </c>
      <c r="BJ25" s="25">
        <f t="shared" si="2"/>
        <v>0</v>
      </c>
      <c r="BK25" s="25">
        <f t="shared" si="3"/>
        <v>0</v>
      </c>
      <c r="BL25" s="25">
        <f t="shared" si="4"/>
        <v>0</v>
      </c>
      <c r="BM25" s="25">
        <f t="shared" si="5"/>
        <v>0</v>
      </c>
    </row>
    <row r="26" spans="1:65" ht="16.5" hidden="1" thickBot="1" x14ac:dyDescent="0.3">
      <c r="A26" s="2094"/>
      <c r="B26" s="797" t="s">
        <v>74</v>
      </c>
      <c r="C26" s="2880" t="s">
        <v>1077</v>
      </c>
      <c r="D26" s="2881" t="s">
        <v>50</v>
      </c>
      <c r="E26" s="2926"/>
      <c r="F26" s="7594"/>
      <c r="G26" s="2926"/>
      <c r="H26" s="6209"/>
      <c r="I26" s="2884"/>
      <c r="J26" s="41">
        <f t="shared" si="10"/>
        <v>0</v>
      </c>
      <c r="K26" s="2926"/>
      <c r="L26" s="5722"/>
      <c r="M26" s="2088"/>
      <c r="N26" s="586">
        <f t="shared" si="11"/>
        <v>0</v>
      </c>
      <c r="O26" s="2926"/>
      <c r="P26" s="5857"/>
      <c r="Q26" s="2089"/>
      <c r="R26" s="349">
        <f t="shared" si="12"/>
        <v>0</v>
      </c>
      <c r="S26" s="2926"/>
      <c r="T26" s="5940"/>
      <c r="U26" s="4351"/>
      <c r="V26" s="349">
        <f t="shared" si="13"/>
        <v>0</v>
      </c>
      <c r="W26" s="2926"/>
      <c r="X26" s="6043"/>
      <c r="Y26" s="2091"/>
      <c r="Z26" s="4598">
        <f t="shared" si="6"/>
        <v>0</v>
      </c>
      <c r="AA26" s="629"/>
      <c r="AB26" s="4599">
        <f t="shared" si="7"/>
        <v>0</v>
      </c>
      <c r="AC26" s="2926"/>
      <c r="AD26" s="6169"/>
      <c r="AE26" s="2236"/>
      <c r="AF26" s="349">
        <f t="shared" si="14"/>
        <v>0</v>
      </c>
      <c r="AG26" s="2926"/>
      <c r="AH26" s="6337"/>
      <c r="AI26" s="4635"/>
      <c r="AJ26" s="349">
        <f t="shared" si="21"/>
        <v>0</v>
      </c>
      <c r="AK26" s="2926"/>
      <c r="AL26" s="6936"/>
      <c r="AM26" s="2449"/>
      <c r="AN26" s="4598">
        <f t="shared" si="8"/>
        <v>0</v>
      </c>
      <c r="AO26" s="2236"/>
      <c r="AP26" s="349">
        <f t="shared" si="16"/>
        <v>0</v>
      </c>
      <c r="AQ26" s="2926"/>
      <c r="AR26" s="4979"/>
      <c r="AS26" s="2236"/>
      <c r="AT26" s="4975">
        <f t="shared" si="17"/>
        <v>0</v>
      </c>
      <c r="AU26" s="2926"/>
      <c r="AV26" s="6852"/>
      <c r="AW26" s="5036"/>
      <c r="AX26" s="349">
        <f t="shared" si="18"/>
        <v>0</v>
      </c>
      <c r="AY26" s="2926"/>
      <c r="AZ26" s="7008"/>
      <c r="BA26" s="2449"/>
      <c r="BB26" s="2449">
        <f t="shared" si="9"/>
        <v>0</v>
      </c>
      <c r="BC26" s="629"/>
      <c r="BD26" s="629">
        <f t="shared" si="19"/>
        <v>0</v>
      </c>
      <c r="BE26" s="2236"/>
      <c r="BF26" s="5106">
        <f t="shared" si="20"/>
        <v>0</v>
      </c>
      <c r="BG26" s="1137"/>
      <c r="BH26" s="4234">
        <f t="shared" si="0"/>
        <v>0</v>
      </c>
      <c r="BI26" s="4234">
        <f t="shared" si="1"/>
        <v>0</v>
      </c>
      <c r="BJ26" s="25">
        <f t="shared" si="2"/>
        <v>0</v>
      </c>
      <c r="BK26" s="25">
        <f t="shared" si="3"/>
        <v>0</v>
      </c>
      <c r="BL26" s="25">
        <f t="shared" si="4"/>
        <v>0</v>
      </c>
      <c r="BM26" s="25">
        <f t="shared" si="5"/>
        <v>0</v>
      </c>
    </row>
    <row r="27" spans="1:65" ht="16.5" hidden="1" thickBot="1" x14ac:dyDescent="0.3">
      <c r="A27" s="2094"/>
      <c r="B27" s="797" t="s">
        <v>74</v>
      </c>
      <c r="C27" s="2880" t="s">
        <v>1091</v>
      </c>
      <c r="D27" s="2881" t="s">
        <v>50</v>
      </c>
      <c r="E27" s="2926"/>
      <c r="F27" s="7594"/>
      <c r="G27" s="2926"/>
      <c r="H27" s="6209"/>
      <c r="I27" s="2884"/>
      <c r="J27" s="41">
        <f t="shared" si="10"/>
        <v>0</v>
      </c>
      <c r="K27" s="2926"/>
      <c r="L27" s="5722"/>
      <c r="M27" s="2088"/>
      <c r="N27" s="586">
        <f t="shared" si="11"/>
        <v>0</v>
      </c>
      <c r="O27" s="2926"/>
      <c r="P27" s="5857"/>
      <c r="Q27" s="2089"/>
      <c r="R27" s="349">
        <f t="shared" si="12"/>
        <v>0</v>
      </c>
      <c r="S27" s="2926"/>
      <c r="T27" s="5940"/>
      <c r="U27" s="4351"/>
      <c r="V27" s="349">
        <f t="shared" si="13"/>
        <v>0</v>
      </c>
      <c r="W27" s="2926"/>
      <c r="X27" s="6043"/>
      <c r="Y27" s="2091"/>
      <c r="Z27" s="4598">
        <f t="shared" si="6"/>
        <v>0</v>
      </c>
      <c r="AA27" s="629"/>
      <c r="AB27" s="4599">
        <f t="shared" si="7"/>
        <v>0</v>
      </c>
      <c r="AC27" s="2926"/>
      <c r="AD27" s="6169"/>
      <c r="AE27" s="2236"/>
      <c r="AF27" s="349">
        <f t="shared" si="14"/>
        <v>0</v>
      </c>
      <c r="AG27" s="2926"/>
      <c r="AH27" s="6337"/>
      <c r="AI27" s="4635"/>
      <c r="AJ27" s="4635">
        <f t="shared" si="21"/>
        <v>0</v>
      </c>
      <c r="AK27" s="2926"/>
      <c r="AL27" s="6936"/>
      <c r="AM27" s="2449"/>
      <c r="AN27" s="4598">
        <f t="shared" si="8"/>
        <v>0</v>
      </c>
      <c r="AO27" s="2236"/>
      <c r="AP27" s="349">
        <f t="shared" si="16"/>
        <v>0</v>
      </c>
      <c r="AQ27" s="2926"/>
      <c r="AR27" s="4979"/>
      <c r="AS27" s="2236"/>
      <c r="AT27" s="4975">
        <f t="shared" si="17"/>
        <v>0</v>
      </c>
      <c r="AU27" s="2926"/>
      <c r="AV27" s="6852"/>
      <c r="AW27" s="5036"/>
      <c r="AX27" s="349">
        <f t="shared" si="18"/>
        <v>0</v>
      </c>
      <c r="AY27" s="2926"/>
      <c r="AZ27" s="7008"/>
      <c r="BA27" s="2449"/>
      <c r="BB27" s="2449">
        <f t="shared" si="9"/>
        <v>0</v>
      </c>
      <c r="BC27" s="629"/>
      <c r="BD27" s="629">
        <f t="shared" si="19"/>
        <v>0</v>
      </c>
      <c r="BE27" s="2236"/>
      <c r="BF27" s="5106">
        <f t="shared" si="20"/>
        <v>0</v>
      </c>
      <c r="BG27" s="1137"/>
      <c r="BH27" s="4234">
        <f t="shared" si="0"/>
        <v>0</v>
      </c>
      <c r="BI27" s="4234">
        <f t="shared" si="1"/>
        <v>0</v>
      </c>
      <c r="BJ27" s="25">
        <f t="shared" si="2"/>
        <v>0</v>
      </c>
      <c r="BK27" s="25">
        <f t="shared" si="3"/>
        <v>0</v>
      </c>
      <c r="BL27" s="25">
        <f t="shared" si="4"/>
        <v>0</v>
      </c>
      <c r="BM27" s="25">
        <f t="shared" si="5"/>
        <v>0</v>
      </c>
    </row>
    <row r="28" spans="1:65" s="4487" customFormat="1" ht="16.5" hidden="1" thickBot="1" x14ac:dyDescent="0.3">
      <c r="A28" s="2094"/>
      <c r="B28" s="797" t="s">
        <v>74</v>
      </c>
      <c r="C28" s="5058" t="s">
        <v>1851</v>
      </c>
      <c r="D28" s="5059"/>
      <c r="E28" s="5060"/>
      <c r="F28" s="5061"/>
      <c r="G28" s="5060"/>
      <c r="H28" s="5061"/>
      <c r="I28" s="5062"/>
      <c r="J28" s="41">
        <f t="shared" si="10"/>
        <v>0</v>
      </c>
      <c r="K28" s="5060"/>
      <c r="L28" s="5061"/>
      <c r="M28" s="5063"/>
      <c r="N28" s="586">
        <f t="shared" si="11"/>
        <v>0</v>
      </c>
      <c r="O28" s="5060"/>
      <c r="P28" s="5061"/>
      <c r="Q28" s="5062"/>
      <c r="R28" s="349">
        <f t="shared" si="12"/>
        <v>0</v>
      </c>
      <c r="S28" s="5060"/>
      <c r="T28" s="5061">
        <v>217.3</v>
      </c>
      <c r="U28" s="5062"/>
      <c r="V28" s="349">
        <f t="shared" si="13"/>
        <v>217.3</v>
      </c>
      <c r="W28" s="5060"/>
      <c r="X28" s="5061">
        <f>610.9-2.05</f>
        <v>608.85</v>
      </c>
      <c r="Y28" s="5064"/>
      <c r="Z28" s="4598">
        <f t="shared" si="6"/>
        <v>826.15000000000009</v>
      </c>
      <c r="AA28" s="5065"/>
      <c r="AB28" s="4599">
        <f t="shared" si="7"/>
        <v>826.15000000000009</v>
      </c>
      <c r="AC28" s="5060"/>
      <c r="AD28" s="5061"/>
      <c r="AE28" s="5062"/>
      <c r="AF28" s="349">
        <f t="shared" si="14"/>
        <v>826.15000000000009</v>
      </c>
      <c r="AG28" s="5060"/>
      <c r="AH28" s="5061"/>
      <c r="AI28" s="5062"/>
      <c r="AJ28" s="349">
        <f t="shared" si="21"/>
        <v>826.15000000000009</v>
      </c>
      <c r="AK28" s="5060"/>
      <c r="AL28" s="5061"/>
      <c r="AM28" s="5064"/>
      <c r="AN28" s="4598">
        <f t="shared" si="8"/>
        <v>0</v>
      </c>
      <c r="AO28" s="5062"/>
      <c r="AP28" s="349">
        <f t="shared" si="16"/>
        <v>826.15000000000009</v>
      </c>
      <c r="AQ28" s="5060"/>
      <c r="AR28" s="5061">
        <v>239.85</v>
      </c>
      <c r="AS28" s="5062"/>
      <c r="AT28" s="5047">
        <f t="shared" si="17"/>
        <v>1066</v>
      </c>
      <c r="AU28" s="5060"/>
      <c r="AV28" s="5061"/>
      <c r="AW28" s="5062"/>
      <c r="AX28" s="349">
        <f t="shared" si="18"/>
        <v>1066</v>
      </c>
      <c r="AY28" s="5060"/>
      <c r="AZ28" s="5061"/>
      <c r="BA28" s="5064"/>
      <c r="BB28" s="2449">
        <f t="shared" si="9"/>
        <v>239.85</v>
      </c>
      <c r="BC28" s="5065"/>
      <c r="BD28" s="629">
        <f t="shared" si="19"/>
        <v>239.85</v>
      </c>
      <c r="BE28" s="5062"/>
      <c r="BF28" s="5106">
        <f t="shared" si="20"/>
        <v>1066</v>
      </c>
      <c r="BG28" s="1137"/>
      <c r="BH28" s="4234">
        <f t="shared" si="0"/>
        <v>0</v>
      </c>
      <c r="BI28" s="4234">
        <f t="shared" si="1"/>
        <v>0</v>
      </c>
      <c r="BJ28" s="25">
        <f t="shared" si="2"/>
        <v>0</v>
      </c>
      <c r="BK28" s="25">
        <f t="shared" si="3"/>
        <v>0</v>
      </c>
      <c r="BL28" s="25">
        <f t="shared" si="4"/>
        <v>0</v>
      </c>
      <c r="BM28" s="25">
        <f t="shared" si="5"/>
        <v>0</v>
      </c>
    </row>
    <row r="29" spans="1:65" ht="16.5" hidden="1" thickBot="1" x14ac:dyDescent="0.3">
      <c r="A29" s="2094"/>
      <c r="B29" s="797" t="s">
        <v>74</v>
      </c>
      <c r="C29" s="2880" t="s">
        <v>994</v>
      </c>
      <c r="D29" s="2881" t="s">
        <v>50</v>
      </c>
      <c r="E29" s="2926"/>
      <c r="F29" s="7594"/>
      <c r="G29" s="2926"/>
      <c r="H29" s="6209"/>
      <c r="I29" s="2884"/>
      <c r="J29" s="41">
        <f t="shared" si="10"/>
        <v>0</v>
      </c>
      <c r="K29" s="2926"/>
      <c r="L29" s="5722"/>
      <c r="M29" s="2088"/>
      <c r="N29" s="586">
        <f t="shared" si="11"/>
        <v>0</v>
      </c>
      <c r="O29" s="2926"/>
      <c r="P29" s="5857"/>
      <c r="Q29" s="2089"/>
      <c r="R29" s="349">
        <f t="shared" si="12"/>
        <v>0</v>
      </c>
      <c r="S29" s="2926"/>
      <c r="T29" s="5940"/>
      <c r="U29" s="4351"/>
      <c r="V29" s="349">
        <f t="shared" si="13"/>
        <v>0</v>
      </c>
      <c r="W29" s="2926"/>
      <c r="X29" s="6043"/>
      <c r="Y29" s="2091"/>
      <c r="Z29" s="4598">
        <f t="shared" si="6"/>
        <v>0</v>
      </c>
      <c r="AA29" s="629"/>
      <c r="AB29" s="4599">
        <f t="shared" si="7"/>
        <v>0</v>
      </c>
      <c r="AC29" s="2926"/>
      <c r="AD29" s="6169"/>
      <c r="AE29" s="2236"/>
      <c r="AF29" s="349">
        <f t="shared" si="14"/>
        <v>0</v>
      </c>
      <c r="AG29" s="2926"/>
      <c r="AH29" s="6337"/>
      <c r="AI29" s="4635"/>
      <c r="AJ29" s="349">
        <f t="shared" si="21"/>
        <v>0</v>
      </c>
      <c r="AK29" s="2926"/>
      <c r="AL29" s="6936"/>
      <c r="AM29" s="2449"/>
      <c r="AN29" s="4598">
        <f t="shared" si="8"/>
        <v>0</v>
      </c>
      <c r="AO29" s="2236"/>
      <c r="AP29" s="349">
        <f t="shared" si="16"/>
        <v>0</v>
      </c>
      <c r="AQ29" s="2926"/>
      <c r="AR29" s="4979"/>
      <c r="AS29" s="2236"/>
      <c r="AT29" s="4975">
        <f t="shared" si="17"/>
        <v>0</v>
      </c>
      <c r="AU29" s="2926"/>
      <c r="AV29" s="6852"/>
      <c r="AW29" s="5036"/>
      <c r="AX29" s="349">
        <f t="shared" si="18"/>
        <v>0</v>
      </c>
      <c r="AY29" s="2926"/>
      <c r="AZ29" s="7008"/>
      <c r="BA29" s="2449"/>
      <c r="BB29" s="2449">
        <f t="shared" si="9"/>
        <v>0</v>
      </c>
      <c r="BC29" s="629"/>
      <c r="BD29" s="629">
        <f t="shared" si="19"/>
        <v>0</v>
      </c>
      <c r="BE29" s="2236"/>
      <c r="BF29" s="5106">
        <f t="shared" si="20"/>
        <v>0</v>
      </c>
      <c r="BG29" s="1137"/>
      <c r="BH29" s="4234">
        <f t="shared" si="0"/>
        <v>0</v>
      </c>
      <c r="BI29" s="4234">
        <f t="shared" si="1"/>
        <v>0</v>
      </c>
      <c r="BJ29" s="25">
        <f t="shared" si="2"/>
        <v>0</v>
      </c>
      <c r="BK29" s="25">
        <f t="shared" si="3"/>
        <v>0</v>
      </c>
      <c r="BL29" s="25">
        <f t="shared" si="4"/>
        <v>0</v>
      </c>
      <c r="BM29" s="25">
        <f t="shared" si="5"/>
        <v>0</v>
      </c>
    </row>
    <row r="30" spans="1:65" ht="16.5" hidden="1" thickBot="1" x14ac:dyDescent="0.3">
      <c r="A30" s="2094"/>
      <c r="B30" s="797" t="s">
        <v>74</v>
      </c>
      <c r="C30" s="2880" t="s">
        <v>935</v>
      </c>
      <c r="D30" s="2881" t="s">
        <v>50</v>
      </c>
      <c r="E30" s="2926"/>
      <c r="F30" s="7594"/>
      <c r="G30" s="2926"/>
      <c r="H30" s="6209"/>
      <c r="I30" s="2884"/>
      <c r="J30" s="41">
        <f t="shared" si="10"/>
        <v>0</v>
      </c>
      <c r="K30" s="2926"/>
      <c r="L30" s="5722"/>
      <c r="M30" s="2088"/>
      <c r="N30" s="586">
        <f t="shared" si="11"/>
        <v>0</v>
      </c>
      <c r="O30" s="2926"/>
      <c r="P30" s="5857"/>
      <c r="Q30" s="2089"/>
      <c r="R30" s="349">
        <f t="shared" si="12"/>
        <v>0</v>
      </c>
      <c r="S30" s="2926"/>
      <c r="T30" s="5940"/>
      <c r="U30" s="4351"/>
      <c r="V30" s="349">
        <f t="shared" si="13"/>
        <v>0</v>
      </c>
      <c r="W30" s="2926"/>
      <c r="X30" s="6043">
        <f>133.25-4.1</f>
        <v>129.15</v>
      </c>
      <c r="Y30" s="2091"/>
      <c r="Z30" s="4598">
        <f t="shared" si="6"/>
        <v>129.15</v>
      </c>
      <c r="AA30" s="629"/>
      <c r="AB30" s="4599">
        <f t="shared" si="7"/>
        <v>129.15</v>
      </c>
      <c r="AC30" s="2926"/>
      <c r="AD30" s="6169"/>
      <c r="AE30" s="2236"/>
      <c r="AF30" s="349">
        <f t="shared" si="14"/>
        <v>129.15</v>
      </c>
      <c r="AG30" s="2926"/>
      <c r="AH30" s="6337"/>
      <c r="AI30" s="4635"/>
      <c r="AJ30" s="4635">
        <f t="shared" si="21"/>
        <v>129.15</v>
      </c>
      <c r="AK30" s="2926"/>
      <c r="AL30" s="6936"/>
      <c r="AM30" s="2449"/>
      <c r="AN30" s="4598">
        <f t="shared" si="8"/>
        <v>0</v>
      </c>
      <c r="AO30" s="2236"/>
      <c r="AP30" s="349">
        <f t="shared" si="16"/>
        <v>129.15</v>
      </c>
      <c r="AQ30" s="2926"/>
      <c r="AR30" s="4979"/>
      <c r="AS30" s="2236"/>
      <c r="AT30" s="4975">
        <f t="shared" si="17"/>
        <v>129.15</v>
      </c>
      <c r="AU30" s="2926"/>
      <c r="AV30" s="6852"/>
      <c r="AW30" s="5036"/>
      <c r="AX30" s="349">
        <f t="shared" si="18"/>
        <v>129.15</v>
      </c>
      <c r="AY30" s="2926"/>
      <c r="AZ30" s="7008"/>
      <c r="BA30" s="2449"/>
      <c r="BB30" s="2449">
        <f t="shared" si="9"/>
        <v>0</v>
      </c>
      <c r="BC30" s="629"/>
      <c r="BD30" s="629">
        <f t="shared" si="19"/>
        <v>0</v>
      </c>
      <c r="BE30" s="2236"/>
      <c r="BF30" s="5106">
        <f t="shared" si="20"/>
        <v>129.15</v>
      </c>
      <c r="BG30" s="1137"/>
      <c r="BH30" s="4234">
        <f t="shared" si="0"/>
        <v>0</v>
      </c>
      <c r="BI30" s="4234">
        <f t="shared" si="1"/>
        <v>0</v>
      </c>
      <c r="BJ30" s="25">
        <f t="shared" si="2"/>
        <v>0</v>
      </c>
      <c r="BK30" s="25">
        <f t="shared" si="3"/>
        <v>0</v>
      </c>
      <c r="BL30" s="25">
        <f t="shared" si="4"/>
        <v>0</v>
      </c>
      <c r="BM30" s="25">
        <f t="shared" si="5"/>
        <v>0</v>
      </c>
    </row>
    <row r="31" spans="1:65" s="4487" customFormat="1" ht="16.5" hidden="1" thickBot="1" x14ac:dyDescent="0.3">
      <c r="A31" s="2094"/>
      <c r="B31" s="797" t="s">
        <v>74</v>
      </c>
      <c r="C31" s="2880" t="s">
        <v>1802</v>
      </c>
      <c r="D31" s="2881" t="s">
        <v>50</v>
      </c>
      <c r="E31" s="4583"/>
      <c r="F31" s="4574"/>
      <c r="G31" s="4583"/>
      <c r="H31" s="4574"/>
      <c r="I31" s="4514"/>
      <c r="J31" s="41">
        <f t="shared" si="10"/>
        <v>0</v>
      </c>
      <c r="K31" s="4583"/>
      <c r="L31" s="4574"/>
      <c r="M31" s="4516"/>
      <c r="N31" s="586">
        <f t="shared" si="11"/>
        <v>0</v>
      </c>
      <c r="O31" s="4583"/>
      <c r="P31" s="4574"/>
      <c r="Q31" s="4514"/>
      <c r="R31" s="349">
        <f t="shared" si="12"/>
        <v>0</v>
      </c>
      <c r="S31" s="4583"/>
      <c r="T31" s="4574"/>
      <c r="U31" s="4514"/>
      <c r="V31" s="349">
        <f t="shared" si="13"/>
        <v>0</v>
      </c>
      <c r="W31" s="4583"/>
      <c r="X31" s="4574"/>
      <c r="Y31" s="4579"/>
      <c r="Z31" s="4598">
        <f t="shared" si="6"/>
        <v>0</v>
      </c>
      <c r="AA31" s="4580"/>
      <c r="AB31" s="4599">
        <f t="shared" si="7"/>
        <v>0</v>
      </c>
      <c r="AC31" s="4583"/>
      <c r="AD31" s="4574"/>
      <c r="AE31" s="4514"/>
      <c r="AF31" s="349">
        <f t="shared" si="14"/>
        <v>0</v>
      </c>
      <c r="AG31" s="4583"/>
      <c r="AH31" s="4574"/>
      <c r="AI31" s="4514"/>
      <c r="AJ31" s="349">
        <f t="shared" si="21"/>
        <v>0</v>
      </c>
      <c r="AK31" s="4583"/>
      <c r="AL31" s="4574"/>
      <c r="AM31" s="4579"/>
      <c r="AN31" s="4598">
        <f t="shared" si="8"/>
        <v>0</v>
      </c>
      <c r="AO31" s="4514"/>
      <c r="AP31" s="349">
        <f t="shared" si="16"/>
        <v>0</v>
      </c>
      <c r="AQ31" s="4583"/>
      <c r="AR31" s="4574"/>
      <c r="AS31" s="4514"/>
      <c r="AT31" s="4975">
        <f t="shared" si="17"/>
        <v>0</v>
      </c>
      <c r="AU31" s="4583"/>
      <c r="AV31" s="4574"/>
      <c r="AW31" s="4514"/>
      <c r="AX31" s="349">
        <f t="shared" si="18"/>
        <v>0</v>
      </c>
      <c r="AY31" s="4583"/>
      <c r="AZ31" s="4574"/>
      <c r="BA31" s="4579"/>
      <c r="BB31" s="2449">
        <f t="shared" si="9"/>
        <v>0</v>
      </c>
      <c r="BC31" s="4580"/>
      <c r="BD31" s="629">
        <f t="shared" si="19"/>
        <v>0</v>
      </c>
      <c r="BE31" s="4514"/>
      <c r="BF31" s="5106">
        <f t="shared" si="20"/>
        <v>0</v>
      </c>
      <c r="BG31" s="1137"/>
      <c r="BH31" s="4234">
        <f t="shared" si="0"/>
        <v>0</v>
      </c>
      <c r="BI31" s="4234">
        <f t="shared" si="1"/>
        <v>0</v>
      </c>
      <c r="BJ31" s="25">
        <f t="shared" si="2"/>
        <v>0</v>
      </c>
      <c r="BK31" s="25">
        <f t="shared" si="3"/>
        <v>0</v>
      </c>
      <c r="BL31" s="25">
        <f t="shared" si="4"/>
        <v>0</v>
      </c>
      <c r="BM31" s="25">
        <f t="shared" si="5"/>
        <v>0</v>
      </c>
    </row>
    <row r="32" spans="1:65" ht="16.5" thickBot="1" x14ac:dyDescent="0.3">
      <c r="A32" s="2094"/>
      <c r="B32" s="797" t="s">
        <v>74</v>
      </c>
      <c r="C32" s="2880" t="s">
        <v>836</v>
      </c>
      <c r="D32" s="2881" t="s">
        <v>50</v>
      </c>
      <c r="E32" s="2926"/>
      <c r="F32" s="7594">
        <f>8210.25-38.95</f>
        <v>8171.3</v>
      </c>
      <c r="G32" s="2926"/>
      <c r="H32" s="6209">
        <f>6937.2-18.45</f>
        <v>6918.75</v>
      </c>
      <c r="I32" s="2884"/>
      <c r="J32" s="41">
        <f t="shared" si="10"/>
        <v>15090.05</v>
      </c>
      <c r="K32" s="2926"/>
      <c r="L32" s="5722">
        <v>3515.7500000000005</v>
      </c>
      <c r="M32" s="2088"/>
      <c r="N32" s="586">
        <f t="shared" si="11"/>
        <v>18605.8</v>
      </c>
      <c r="O32" s="2926"/>
      <c r="P32" s="5857">
        <f>6143.85-10.25</f>
        <v>6133.6</v>
      </c>
      <c r="Q32" s="2089"/>
      <c r="R32" s="349">
        <f t="shared" si="12"/>
        <v>24739.4</v>
      </c>
      <c r="S32" s="2926"/>
      <c r="T32" s="5940">
        <f>4635.05-24.6</f>
        <v>4610.45</v>
      </c>
      <c r="U32" s="4351"/>
      <c r="V32" s="349">
        <f t="shared" si="13"/>
        <v>29349.850000000002</v>
      </c>
      <c r="W32" s="2926"/>
      <c r="X32" s="6043">
        <f>6687.1-2.05</f>
        <v>6685.05</v>
      </c>
      <c r="Y32" s="2091"/>
      <c r="Z32" s="4598">
        <f t="shared" si="6"/>
        <v>17429.099999999999</v>
      </c>
      <c r="AA32" s="629"/>
      <c r="AB32" s="4599">
        <f t="shared" si="7"/>
        <v>36034.899999999994</v>
      </c>
      <c r="AC32" s="2926"/>
      <c r="AD32" s="6169">
        <f>4005.7-2.05</f>
        <v>4003.6499999999996</v>
      </c>
      <c r="AE32" s="2236"/>
      <c r="AF32" s="349">
        <f t="shared" si="14"/>
        <v>40038.549999999996</v>
      </c>
      <c r="AG32" s="2926"/>
      <c r="AH32" s="6337">
        <v>6496.4500000000035</v>
      </c>
      <c r="AI32" s="4635"/>
      <c r="AJ32" s="349">
        <f t="shared" si="21"/>
        <v>46535</v>
      </c>
      <c r="AK32" s="2926"/>
      <c r="AL32" s="6936">
        <v>3983.15</v>
      </c>
      <c r="AM32" s="2449"/>
      <c r="AN32" s="4598">
        <f t="shared" si="8"/>
        <v>14483.250000000002</v>
      </c>
      <c r="AO32" s="2236"/>
      <c r="AP32" s="349">
        <f t="shared" si="16"/>
        <v>50518.15</v>
      </c>
      <c r="AQ32" s="2926"/>
      <c r="AR32" s="4979">
        <f>4128.7-2.05-6.15</f>
        <v>4120.5</v>
      </c>
      <c r="AS32" s="2236"/>
      <c r="AT32" s="4975">
        <f t="shared" si="17"/>
        <v>54638.65</v>
      </c>
      <c r="AU32" s="2926"/>
      <c r="AV32" s="6852">
        <f>8593.60000000001-30.75</f>
        <v>8562.8500000000095</v>
      </c>
      <c r="AW32" s="5036"/>
      <c r="AX32" s="349">
        <f t="shared" si="18"/>
        <v>63201.500000000015</v>
      </c>
      <c r="AY32" s="2926"/>
      <c r="AZ32" s="7008">
        <f>7047.9-24.6</f>
        <v>7023.2999999999993</v>
      </c>
      <c r="BA32" s="2449"/>
      <c r="BB32" s="2449">
        <f t="shared" si="9"/>
        <v>19706.650000000009</v>
      </c>
      <c r="BC32" s="629"/>
      <c r="BD32" s="629">
        <f t="shared" si="19"/>
        <v>34189.900000000009</v>
      </c>
      <c r="BE32" s="2236"/>
      <c r="BF32" s="5106">
        <f t="shared" si="20"/>
        <v>70224.800000000017</v>
      </c>
      <c r="BG32" s="1137"/>
      <c r="BH32" s="4234">
        <f t="shared" si="0"/>
        <v>0</v>
      </c>
      <c r="BI32" s="4234">
        <f t="shared" si="1"/>
        <v>0</v>
      </c>
      <c r="BJ32" s="25">
        <f t="shared" si="2"/>
        <v>0</v>
      </c>
      <c r="BK32" s="25">
        <f t="shared" si="3"/>
        <v>0</v>
      </c>
      <c r="BL32" s="25">
        <f t="shared" si="4"/>
        <v>0</v>
      </c>
      <c r="BM32" s="25">
        <f t="shared" si="5"/>
        <v>0</v>
      </c>
    </row>
    <row r="33" spans="1:65" s="4233" customFormat="1" ht="16.5" hidden="1" thickBot="1" x14ac:dyDescent="0.3">
      <c r="A33" s="2094"/>
      <c r="B33" s="797" t="s">
        <v>74</v>
      </c>
      <c r="C33" s="2880" t="s">
        <v>929</v>
      </c>
      <c r="D33" s="2881" t="s">
        <v>50</v>
      </c>
      <c r="E33" s="2926"/>
      <c r="F33" s="7594"/>
      <c r="G33" s="2926"/>
      <c r="H33" s="6209"/>
      <c r="I33" s="4414"/>
      <c r="J33" s="41">
        <f t="shared" si="10"/>
        <v>0</v>
      </c>
      <c r="K33" s="2926"/>
      <c r="L33" s="5722"/>
      <c r="M33" s="4415"/>
      <c r="N33" s="586">
        <f t="shared" si="11"/>
        <v>0</v>
      </c>
      <c r="O33" s="2926"/>
      <c r="P33" s="5857"/>
      <c r="Q33" s="4414"/>
      <c r="R33" s="349">
        <f t="shared" si="12"/>
        <v>0</v>
      </c>
      <c r="S33" s="2926"/>
      <c r="T33" s="5940"/>
      <c r="U33" s="4414"/>
      <c r="V33" s="349">
        <f t="shared" si="13"/>
        <v>0</v>
      </c>
      <c r="W33" s="2926"/>
      <c r="X33" s="6043"/>
      <c r="Y33" s="2886"/>
      <c r="Z33" s="4598">
        <f t="shared" si="6"/>
        <v>0</v>
      </c>
      <c r="AA33" s="629"/>
      <c r="AB33" s="4599">
        <f t="shared" si="7"/>
        <v>0</v>
      </c>
      <c r="AC33" s="2926"/>
      <c r="AD33" s="6169"/>
      <c r="AE33" s="4414"/>
      <c r="AF33" s="349">
        <f t="shared" si="14"/>
        <v>0</v>
      </c>
      <c r="AG33" s="2926"/>
      <c r="AH33" s="6337">
        <v>340.29999999999995</v>
      </c>
      <c r="AI33" s="4647"/>
      <c r="AJ33" s="349">
        <f t="shared" si="21"/>
        <v>340.29999999999995</v>
      </c>
      <c r="AK33" s="2926"/>
      <c r="AL33" s="6936"/>
      <c r="AM33" s="2886"/>
      <c r="AN33" s="4598">
        <f t="shared" si="8"/>
        <v>340.29999999999995</v>
      </c>
      <c r="AO33" s="4414"/>
      <c r="AP33" s="349">
        <f t="shared" si="16"/>
        <v>340.29999999999995</v>
      </c>
      <c r="AQ33" s="2926"/>
      <c r="AR33" s="4979">
        <v>428.44999999999993</v>
      </c>
      <c r="AS33" s="4414"/>
      <c r="AT33" s="4975">
        <f t="shared" si="17"/>
        <v>768.74999999999989</v>
      </c>
      <c r="AU33" s="2926"/>
      <c r="AV33" s="6852"/>
      <c r="AW33" s="5040"/>
      <c r="AX33" s="349">
        <f t="shared" si="18"/>
        <v>768.74999999999989</v>
      </c>
      <c r="AY33" s="2926"/>
      <c r="AZ33" s="7008"/>
      <c r="BA33" s="2886"/>
      <c r="BB33" s="2449">
        <f t="shared" si="9"/>
        <v>428.44999999999993</v>
      </c>
      <c r="BC33" s="4416"/>
      <c r="BD33" s="629">
        <f t="shared" si="19"/>
        <v>768.74999999999989</v>
      </c>
      <c r="BE33" s="4414"/>
      <c r="BF33" s="5106">
        <f t="shared" si="20"/>
        <v>768.74999999999989</v>
      </c>
      <c r="BG33" s="1137"/>
      <c r="BH33" s="4234">
        <f t="shared" si="0"/>
        <v>0</v>
      </c>
      <c r="BI33" s="4234">
        <f t="shared" si="1"/>
        <v>0</v>
      </c>
      <c r="BJ33" s="25">
        <f t="shared" si="2"/>
        <v>0</v>
      </c>
      <c r="BK33" s="25">
        <f t="shared" si="3"/>
        <v>0</v>
      </c>
      <c r="BL33" s="25">
        <f t="shared" si="4"/>
        <v>0</v>
      </c>
      <c r="BM33" s="25">
        <f t="shared" si="5"/>
        <v>0</v>
      </c>
    </row>
    <row r="34" spans="1:65" ht="16.5" hidden="1" thickBot="1" x14ac:dyDescent="0.3">
      <c r="A34" s="2094"/>
      <c r="B34" s="797" t="s">
        <v>74</v>
      </c>
      <c r="C34" s="2880" t="s">
        <v>932</v>
      </c>
      <c r="D34" s="2881" t="s">
        <v>50</v>
      </c>
      <c r="E34" s="2926"/>
      <c r="F34" s="7594"/>
      <c r="G34" s="2926"/>
      <c r="H34" s="6209">
        <v>237.8</v>
      </c>
      <c r="I34" s="2884"/>
      <c r="J34" s="41">
        <f t="shared" si="10"/>
        <v>237.8</v>
      </c>
      <c r="K34" s="2926"/>
      <c r="L34" s="5722"/>
      <c r="M34" s="2088"/>
      <c r="N34" s="586">
        <f t="shared" si="11"/>
        <v>237.8</v>
      </c>
      <c r="O34" s="2926"/>
      <c r="P34" s="5857">
        <v>67.649999999999991</v>
      </c>
      <c r="Q34" s="2089"/>
      <c r="R34" s="349">
        <f t="shared" si="12"/>
        <v>305.45</v>
      </c>
      <c r="S34" s="2926"/>
      <c r="T34" s="5940"/>
      <c r="U34" s="4351"/>
      <c r="V34" s="349">
        <f t="shared" si="13"/>
        <v>305.45</v>
      </c>
      <c r="W34" s="2926"/>
      <c r="X34" s="6043">
        <v>319.8</v>
      </c>
      <c r="Y34" s="2091"/>
      <c r="Z34" s="4598">
        <f t="shared" si="6"/>
        <v>387.45</v>
      </c>
      <c r="AA34" s="629"/>
      <c r="AB34" s="4599">
        <f t="shared" si="7"/>
        <v>625.25</v>
      </c>
      <c r="AC34" s="2926"/>
      <c r="AD34" s="6169"/>
      <c r="AE34" s="2236"/>
      <c r="AF34" s="349">
        <f t="shared" si="14"/>
        <v>625.25</v>
      </c>
      <c r="AG34" s="2926"/>
      <c r="AH34" s="6337"/>
      <c r="AI34" s="4635"/>
      <c r="AJ34" s="349">
        <f t="shared" si="21"/>
        <v>625.25</v>
      </c>
      <c r="AK34" s="2926"/>
      <c r="AL34" s="6936"/>
      <c r="AM34" s="2449"/>
      <c r="AN34" s="4598">
        <f t="shared" si="8"/>
        <v>0</v>
      </c>
      <c r="AO34" s="2236"/>
      <c r="AP34" s="349">
        <f t="shared" si="16"/>
        <v>625.25</v>
      </c>
      <c r="AQ34" s="2926"/>
      <c r="AR34" s="4979">
        <v>67.650000000000006</v>
      </c>
      <c r="AS34" s="2236"/>
      <c r="AT34" s="4975">
        <f t="shared" si="17"/>
        <v>692.9</v>
      </c>
      <c r="AU34" s="2926"/>
      <c r="AV34" s="6852"/>
      <c r="AW34" s="5036"/>
      <c r="AX34" s="349">
        <f t="shared" si="18"/>
        <v>692.9</v>
      </c>
      <c r="AY34" s="2926"/>
      <c r="AZ34" s="7008"/>
      <c r="BA34" s="2449"/>
      <c r="BB34" s="2449">
        <f t="shared" si="9"/>
        <v>67.650000000000006</v>
      </c>
      <c r="BC34" s="629"/>
      <c r="BD34" s="629">
        <f t="shared" si="19"/>
        <v>67.650000000000006</v>
      </c>
      <c r="BE34" s="2236"/>
      <c r="BF34" s="5106">
        <f t="shared" si="20"/>
        <v>692.9</v>
      </c>
      <c r="BG34" s="1137"/>
      <c r="BH34" s="4234">
        <f t="shared" si="0"/>
        <v>0</v>
      </c>
      <c r="BI34" s="4234">
        <f t="shared" si="1"/>
        <v>0</v>
      </c>
      <c r="BJ34" s="25">
        <f t="shared" si="2"/>
        <v>0</v>
      </c>
      <c r="BK34" s="25">
        <f t="shared" si="3"/>
        <v>0</v>
      </c>
      <c r="BL34" s="25">
        <f t="shared" si="4"/>
        <v>0</v>
      </c>
      <c r="BM34" s="25">
        <f t="shared" si="5"/>
        <v>0</v>
      </c>
    </row>
    <row r="35" spans="1:65" ht="16.5" thickBot="1" x14ac:dyDescent="0.3">
      <c r="A35" s="2094"/>
      <c r="B35" s="797" t="s">
        <v>74</v>
      </c>
      <c r="C35" s="2880" t="s">
        <v>931</v>
      </c>
      <c r="D35" s="2881" t="s">
        <v>50</v>
      </c>
      <c r="E35" s="2926"/>
      <c r="F35" s="7594">
        <v>420.25000000000006</v>
      </c>
      <c r="G35" s="2926"/>
      <c r="H35" s="6209">
        <v>426.4</v>
      </c>
      <c r="I35" s="2884"/>
      <c r="J35" s="41">
        <f t="shared" si="10"/>
        <v>846.65000000000009</v>
      </c>
      <c r="K35" s="2926"/>
      <c r="L35" s="5722">
        <v>135.30000000000001</v>
      </c>
      <c r="M35" s="2088"/>
      <c r="N35" s="586">
        <f t="shared" si="11"/>
        <v>981.95</v>
      </c>
      <c r="O35" s="2926"/>
      <c r="P35" s="5857"/>
      <c r="Q35" s="2089"/>
      <c r="R35" s="349">
        <f t="shared" si="12"/>
        <v>981.95</v>
      </c>
      <c r="S35" s="2926"/>
      <c r="T35" s="5940"/>
      <c r="U35" s="4351"/>
      <c r="V35" s="349">
        <f t="shared" si="13"/>
        <v>981.95</v>
      </c>
      <c r="W35" s="2926"/>
      <c r="X35" s="6043">
        <v>707.25000000000011</v>
      </c>
      <c r="Y35" s="2091"/>
      <c r="Z35" s="4598">
        <f t="shared" si="6"/>
        <v>707.25000000000011</v>
      </c>
      <c r="AA35" s="629"/>
      <c r="AB35" s="4599">
        <f t="shared" si="7"/>
        <v>1689.2000000000003</v>
      </c>
      <c r="AC35" s="2926"/>
      <c r="AD35" s="6169">
        <f>383.35</f>
        <v>383.35</v>
      </c>
      <c r="AE35" s="2236"/>
      <c r="AF35" s="349">
        <f t="shared" si="14"/>
        <v>2072.5500000000002</v>
      </c>
      <c r="AG35" s="2926"/>
      <c r="AH35" s="6337">
        <f>323.9-2.05</f>
        <v>321.84999999999997</v>
      </c>
      <c r="AI35" s="4635"/>
      <c r="AJ35" s="349">
        <f t="shared" si="21"/>
        <v>2394.4</v>
      </c>
      <c r="AK35" s="2926"/>
      <c r="AL35" s="6936"/>
      <c r="AM35" s="2449"/>
      <c r="AN35" s="4598">
        <f t="shared" si="8"/>
        <v>705.2</v>
      </c>
      <c r="AO35" s="2236"/>
      <c r="AP35" s="349">
        <f t="shared" si="16"/>
        <v>2394.4</v>
      </c>
      <c r="AQ35" s="2926"/>
      <c r="AR35" s="4979">
        <v>407.95000000000005</v>
      </c>
      <c r="AS35" s="2236"/>
      <c r="AT35" s="4975">
        <f t="shared" si="17"/>
        <v>2802.3500000000004</v>
      </c>
      <c r="AU35" s="2926"/>
      <c r="AV35" s="6852"/>
      <c r="AW35" s="5036"/>
      <c r="AX35" s="349">
        <f t="shared" si="18"/>
        <v>2802.3500000000004</v>
      </c>
      <c r="AY35" s="2926"/>
      <c r="AZ35" s="7008">
        <v>200.9</v>
      </c>
      <c r="BA35" s="2449"/>
      <c r="BB35" s="2449">
        <f t="shared" si="9"/>
        <v>608.85</v>
      </c>
      <c r="BC35" s="629"/>
      <c r="BD35" s="629">
        <f t="shared" si="19"/>
        <v>1314.0500000000002</v>
      </c>
      <c r="BE35" s="2236"/>
      <c r="BF35" s="5106">
        <f t="shared" si="20"/>
        <v>3003.2500000000005</v>
      </c>
      <c r="BG35" s="1137"/>
      <c r="BH35" s="4234">
        <f t="shared" si="0"/>
        <v>0</v>
      </c>
      <c r="BI35" s="4234">
        <f t="shared" si="1"/>
        <v>0</v>
      </c>
      <c r="BJ35" s="25">
        <f t="shared" si="2"/>
        <v>0</v>
      </c>
      <c r="BK35" s="25">
        <f t="shared" si="3"/>
        <v>0</v>
      </c>
      <c r="BL35" s="25">
        <f t="shared" si="4"/>
        <v>0</v>
      </c>
      <c r="BM35" s="25">
        <f t="shared" si="5"/>
        <v>0</v>
      </c>
    </row>
    <row r="36" spans="1:65" s="4233" customFormat="1" ht="16.5" thickBot="1" x14ac:dyDescent="0.3">
      <c r="A36" s="2094"/>
      <c r="B36" s="797" t="s">
        <v>74</v>
      </c>
      <c r="C36" s="2880" t="s">
        <v>1090</v>
      </c>
      <c r="D36" s="2881" t="s">
        <v>50</v>
      </c>
      <c r="E36" s="2926"/>
      <c r="F36" s="7594">
        <v>123</v>
      </c>
      <c r="G36" s="2926"/>
      <c r="H36" s="6209"/>
      <c r="I36" s="4376"/>
      <c r="J36" s="41">
        <f t="shared" si="10"/>
        <v>123</v>
      </c>
      <c r="K36" s="2926"/>
      <c r="L36" s="5722"/>
      <c r="M36" s="4377"/>
      <c r="N36" s="586">
        <f t="shared" si="11"/>
        <v>123</v>
      </c>
      <c r="O36" s="2926"/>
      <c r="P36" s="5857"/>
      <c r="Q36" s="4376"/>
      <c r="R36" s="349">
        <f t="shared" si="12"/>
        <v>123</v>
      </c>
      <c r="S36" s="2926"/>
      <c r="T36" s="5940"/>
      <c r="U36" s="4376"/>
      <c r="V36" s="349">
        <f t="shared" si="13"/>
        <v>123</v>
      </c>
      <c r="W36" s="2926"/>
      <c r="X36" s="6043"/>
      <c r="Y36" s="2886"/>
      <c r="Z36" s="4598">
        <f t="shared" si="6"/>
        <v>0</v>
      </c>
      <c r="AA36" s="4379"/>
      <c r="AB36" s="4599">
        <f t="shared" si="7"/>
        <v>123</v>
      </c>
      <c r="AC36" s="2926"/>
      <c r="AD36" s="6169"/>
      <c r="AE36" s="4376"/>
      <c r="AF36" s="349">
        <f t="shared" si="14"/>
        <v>123</v>
      </c>
      <c r="AG36" s="2926"/>
      <c r="AH36" s="6337"/>
      <c r="AI36" s="4647"/>
      <c r="AJ36" s="349">
        <f t="shared" si="21"/>
        <v>123</v>
      </c>
      <c r="AK36" s="2926"/>
      <c r="AL36" s="6936"/>
      <c r="AM36" s="2886"/>
      <c r="AN36" s="4598">
        <f t="shared" si="8"/>
        <v>0</v>
      </c>
      <c r="AO36" s="4376"/>
      <c r="AP36" s="349">
        <f t="shared" si="16"/>
        <v>123</v>
      </c>
      <c r="AQ36" s="2926"/>
      <c r="AR36" s="4979">
        <v>186.55</v>
      </c>
      <c r="AS36" s="4376"/>
      <c r="AT36" s="4975">
        <f t="shared" si="17"/>
        <v>309.55</v>
      </c>
      <c r="AU36" s="2926"/>
      <c r="AV36" s="6852"/>
      <c r="AW36" s="5040"/>
      <c r="AX36" s="349">
        <f t="shared" si="18"/>
        <v>309.55</v>
      </c>
      <c r="AY36" s="2926"/>
      <c r="AZ36" s="7008"/>
      <c r="BA36" s="2886"/>
      <c r="BB36" s="2449">
        <f t="shared" si="9"/>
        <v>186.55</v>
      </c>
      <c r="BC36" s="4379"/>
      <c r="BD36" s="629">
        <f t="shared" si="19"/>
        <v>186.55</v>
      </c>
      <c r="BE36" s="4376"/>
      <c r="BF36" s="5106">
        <f t="shared" si="20"/>
        <v>309.55</v>
      </c>
      <c r="BG36" s="1137"/>
      <c r="BH36" s="4234">
        <f t="shared" si="0"/>
        <v>0</v>
      </c>
      <c r="BI36" s="4234">
        <f t="shared" si="1"/>
        <v>0</v>
      </c>
      <c r="BJ36" s="25">
        <f t="shared" si="2"/>
        <v>0</v>
      </c>
      <c r="BK36" s="25">
        <f t="shared" si="3"/>
        <v>0</v>
      </c>
      <c r="BL36" s="25">
        <f t="shared" si="4"/>
        <v>0</v>
      </c>
      <c r="BM36" s="25">
        <f t="shared" si="5"/>
        <v>0</v>
      </c>
    </row>
    <row r="37" spans="1:65" ht="16.5" thickBot="1" x14ac:dyDescent="0.3">
      <c r="A37" s="2094"/>
      <c r="B37" s="797" t="s">
        <v>74</v>
      </c>
      <c r="C37" s="2880" t="s">
        <v>933</v>
      </c>
      <c r="D37" s="2881" t="s">
        <v>50</v>
      </c>
      <c r="E37" s="2926"/>
      <c r="F37" s="7594">
        <v>1734.2999999999997</v>
      </c>
      <c r="G37" s="2926"/>
      <c r="H37" s="6209">
        <v>535.05000000000007</v>
      </c>
      <c r="I37" s="2884"/>
      <c r="J37" s="41">
        <f t="shared" si="10"/>
        <v>2269.35</v>
      </c>
      <c r="K37" s="2926"/>
      <c r="L37" s="5722">
        <v>358.75000000000006</v>
      </c>
      <c r="M37" s="2088"/>
      <c r="N37" s="586">
        <f t="shared" si="11"/>
        <v>2628.1</v>
      </c>
      <c r="O37" s="2926"/>
      <c r="P37" s="5857">
        <v>207.05</v>
      </c>
      <c r="Q37" s="2089"/>
      <c r="R37" s="349">
        <f t="shared" si="12"/>
        <v>2835.15</v>
      </c>
      <c r="S37" s="2926"/>
      <c r="T37" s="5940">
        <v>155.79999999999998</v>
      </c>
      <c r="U37" s="4351"/>
      <c r="V37" s="349">
        <f t="shared" si="13"/>
        <v>2990.9500000000003</v>
      </c>
      <c r="W37" s="2926"/>
      <c r="X37" s="6043">
        <v>305.45</v>
      </c>
      <c r="Y37" s="2091"/>
      <c r="Z37" s="4598">
        <f t="shared" si="6"/>
        <v>668.3</v>
      </c>
      <c r="AA37" s="629"/>
      <c r="AB37" s="4599">
        <f t="shared" si="7"/>
        <v>3296.3999999999996</v>
      </c>
      <c r="AC37" s="2926"/>
      <c r="AD37" s="6169">
        <v>861.00000000000023</v>
      </c>
      <c r="AE37" s="2236"/>
      <c r="AF37" s="349">
        <f t="shared" si="14"/>
        <v>4157.3999999999996</v>
      </c>
      <c r="AG37" s="2926"/>
      <c r="AH37" s="6337">
        <v>1443.2</v>
      </c>
      <c r="AI37" s="4635"/>
      <c r="AJ37" s="349">
        <f t="shared" si="21"/>
        <v>5600.5999999999995</v>
      </c>
      <c r="AK37" s="2926"/>
      <c r="AL37" s="6936"/>
      <c r="AM37" s="2449"/>
      <c r="AN37" s="4598">
        <f t="shared" si="8"/>
        <v>2304.2000000000003</v>
      </c>
      <c r="AO37" s="2236"/>
      <c r="AP37" s="349">
        <f t="shared" si="16"/>
        <v>5600.5999999999995</v>
      </c>
      <c r="AQ37" s="2926"/>
      <c r="AR37" s="4979">
        <v>815.90000000000009</v>
      </c>
      <c r="AS37" s="2236"/>
      <c r="AT37" s="4975">
        <f t="shared" si="17"/>
        <v>6416.5</v>
      </c>
      <c r="AU37" s="2926"/>
      <c r="AV37" s="6852">
        <v>418.20000000000005</v>
      </c>
      <c r="AW37" s="5036"/>
      <c r="AX37" s="349">
        <f t="shared" si="18"/>
        <v>6834.7</v>
      </c>
      <c r="AY37" s="2926"/>
      <c r="AZ37" s="7008">
        <v>200.9</v>
      </c>
      <c r="BA37" s="2449"/>
      <c r="BB37" s="2449">
        <f t="shared" si="9"/>
        <v>1435.0000000000002</v>
      </c>
      <c r="BC37" s="629"/>
      <c r="BD37" s="629">
        <f t="shared" si="19"/>
        <v>3739.2000000000007</v>
      </c>
      <c r="BE37" s="2236"/>
      <c r="BF37" s="5106">
        <f t="shared" si="20"/>
        <v>7035.5999999999995</v>
      </c>
      <c r="BG37" s="1137"/>
      <c r="BH37" s="4234">
        <f t="shared" si="0"/>
        <v>0</v>
      </c>
      <c r="BI37" s="4234">
        <f t="shared" si="1"/>
        <v>0</v>
      </c>
      <c r="BJ37" s="25">
        <f t="shared" si="2"/>
        <v>0</v>
      </c>
      <c r="BK37" s="25">
        <f t="shared" si="3"/>
        <v>0</v>
      </c>
      <c r="BL37" s="25">
        <f t="shared" si="4"/>
        <v>0</v>
      </c>
      <c r="BM37" s="25">
        <f t="shared" si="5"/>
        <v>0</v>
      </c>
    </row>
    <row r="38" spans="1:65" ht="16.5" hidden="1" thickBot="1" x14ac:dyDescent="0.3">
      <c r="A38" s="2094"/>
      <c r="B38" s="797" t="s">
        <v>74</v>
      </c>
      <c r="C38" s="2880" t="s">
        <v>1094</v>
      </c>
      <c r="D38" s="2881" t="s">
        <v>50</v>
      </c>
      <c r="E38" s="2926"/>
      <c r="F38" s="7594"/>
      <c r="G38" s="2926"/>
      <c r="H38" s="6209"/>
      <c r="I38" s="2884"/>
      <c r="J38" s="41">
        <f t="shared" si="10"/>
        <v>0</v>
      </c>
      <c r="K38" s="2926"/>
      <c r="L38" s="5722">
        <v>53.3</v>
      </c>
      <c r="M38" s="2442"/>
      <c r="N38" s="586">
        <f t="shared" si="11"/>
        <v>53.3</v>
      </c>
      <c r="O38" s="2926"/>
      <c r="P38" s="5857">
        <v>4.0999999999999996</v>
      </c>
      <c r="Q38" s="2236"/>
      <c r="R38" s="349">
        <f t="shared" si="12"/>
        <v>57.4</v>
      </c>
      <c r="S38" s="2926"/>
      <c r="T38" s="5940">
        <v>6.15</v>
      </c>
      <c r="U38" s="4351"/>
      <c r="V38" s="349">
        <f t="shared" si="13"/>
        <v>63.55</v>
      </c>
      <c r="W38" s="2926"/>
      <c r="X38" s="6043"/>
      <c r="Y38" s="2445"/>
      <c r="Z38" s="4598">
        <f t="shared" si="6"/>
        <v>10.25</v>
      </c>
      <c r="AA38" s="629"/>
      <c r="AB38" s="4599">
        <f t="shared" si="7"/>
        <v>63.55</v>
      </c>
      <c r="AC38" s="2926"/>
      <c r="AD38" s="6169">
        <v>43.05</v>
      </c>
      <c r="AE38" s="2236"/>
      <c r="AF38" s="349">
        <f t="shared" si="14"/>
        <v>106.6</v>
      </c>
      <c r="AG38" s="2926"/>
      <c r="AH38" s="6337"/>
      <c r="AI38" s="4635"/>
      <c r="AJ38" s="349">
        <f t="shared" si="21"/>
        <v>106.6</v>
      </c>
      <c r="AK38" s="2926"/>
      <c r="AL38" s="6936"/>
      <c r="AM38" s="2449"/>
      <c r="AN38" s="4598">
        <f t="shared" si="8"/>
        <v>43.05</v>
      </c>
      <c r="AO38" s="2236"/>
      <c r="AP38" s="349">
        <f t="shared" si="16"/>
        <v>106.6</v>
      </c>
      <c r="AQ38" s="2926"/>
      <c r="AR38" s="4979"/>
      <c r="AS38" s="2236"/>
      <c r="AT38" s="4975">
        <f t="shared" si="17"/>
        <v>106.6</v>
      </c>
      <c r="AU38" s="2926"/>
      <c r="AV38" s="6852"/>
      <c r="AW38" s="5036"/>
      <c r="AX38" s="349">
        <f t="shared" si="18"/>
        <v>106.6</v>
      </c>
      <c r="AY38" s="2926"/>
      <c r="AZ38" s="7008"/>
      <c r="BA38" s="2449"/>
      <c r="BB38" s="2449">
        <f t="shared" si="9"/>
        <v>0</v>
      </c>
      <c r="BC38" s="629"/>
      <c r="BD38" s="629">
        <f t="shared" si="19"/>
        <v>43.05</v>
      </c>
      <c r="BE38" s="2236"/>
      <c r="BF38" s="5106">
        <f t="shared" si="20"/>
        <v>106.6</v>
      </c>
      <c r="BG38" s="1137"/>
      <c r="BH38" s="4234">
        <f t="shared" si="0"/>
        <v>0</v>
      </c>
      <c r="BI38" s="4234">
        <f t="shared" si="1"/>
        <v>0</v>
      </c>
      <c r="BJ38" s="25">
        <f t="shared" si="2"/>
        <v>0</v>
      </c>
      <c r="BK38" s="25">
        <f t="shared" si="3"/>
        <v>0</v>
      </c>
      <c r="BL38" s="25">
        <f t="shared" si="4"/>
        <v>0</v>
      </c>
      <c r="BM38" s="25">
        <f t="shared" si="5"/>
        <v>0</v>
      </c>
    </row>
    <row r="39" spans="1:65" ht="16.5" thickBot="1" x14ac:dyDescent="0.3">
      <c r="A39" s="2094"/>
      <c r="B39" s="797" t="s">
        <v>74</v>
      </c>
      <c r="C39" s="2880" t="s">
        <v>1095</v>
      </c>
      <c r="D39" s="2881" t="s">
        <v>50</v>
      </c>
      <c r="E39" s="2926"/>
      <c r="F39" s="7594">
        <v>524.79999999999995</v>
      </c>
      <c r="G39" s="2926"/>
      <c r="H39" s="6209"/>
      <c r="I39" s="2884"/>
      <c r="J39" s="41">
        <f t="shared" si="10"/>
        <v>524.79999999999995</v>
      </c>
      <c r="K39" s="2926"/>
      <c r="L39" s="5722">
        <f>932.75-53.3</f>
        <v>879.45</v>
      </c>
      <c r="M39" s="2490"/>
      <c r="N39" s="586">
        <f t="shared" si="11"/>
        <v>1404.25</v>
      </c>
      <c r="O39" s="2926"/>
      <c r="P39" s="5857">
        <f>988.1-4.1</f>
        <v>984</v>
      </c>
      <c r="Q39" s="2236"/>
      <c r="R39" s="349">
        <f t="shared" si="12"/>
        <v>2388.25</v>
      </c>
      <c r="S39" s="2926"/>
      <c r="T39" s="5940">
        <f>98.4-6.15</f>
        <v>92.25</v>
      </c>
      <c r="U39" s="4351"/>
      <c r="V39" s="349">
        <f t="shared" si="13"/>
        <v>2480.5</v>
      </c>
      <c r="W39" s="2926"/>
      <c r="X39" s="6043"/>
      <c r="Y39" s="2449"/>
      <c r="Z39" s="4598">
        <f t="shared" si="6"/>
        <v>1076.25</v>
      </c>
      <c r="AA39" s="629"/>
      <c r="AB39" s="4599">
        <f t="shared" si="7"/>
        <v>2480.5</v>
      </c>
      <c r="AC39" s="2926"/>
      <c r="AD39" s="6169">
        <f>1691.25-43.05</f>
        <v>1648.2</v>
      </c>
      <c r="AE39" s="2236"/>
      <c r="AF39" s="349">
        <f t="shared" si="14"/>
        <v>4128.7</v>
      </c>
      <c r="AG39" s="2926"/>
      <c r="AH39" s="6337"/>
      <c r="AI39" s="4635"/>
      <c r="AJ39" s="349">
        <f t="shared" si="21"/>
        <v>4128.7</v>
      </c>
      <c r="AK39" s="2926"/>
      <c r="AL39" s="6936"/>
      <c r="AM39" s="2449"/>
      <c r="AN39" s="4598">
        <f t="shared" si="8"/>
        <v>1648.2</v>
      </c>
      <c r="AO39" s="2236"/>
      <c r="AP39" s="349">
        <f t="shared" si="16"/>
        <v>4128.7</v>
      </c>
      <c r="AQ39" s="2926"/>
      <c r="AR39" s="4979">
        <v>330.05000000000007</v>
      </c>
      <c r="AS39" s="2236"/>
      <c r="AT39" s="4975">
        <f t="shared" si="17"/>
        <v>4458.75</v>
      </c>
      <c r="AU39" s="2926"/>
      <c r="AV39" s="6852">
        <v>863.05000000000007</v>
      </c>
      <c r="AW39" s="5036"/>
      <c r="AX39" s="349">
        <f t="shared" si="18"/>
        <v>5321.8</v>
      </c>
      <c r="AY39" s="2926"/>
      <c r="AZ39" s="7008"/>
      <c r="BA39" s="2449"/>
      <c r="BB39" s="2449">
        <f t="shared" si="9"/>
        <v>1193.1000000000001</v>
      </c>
      <c r="BC39" s="629"/>
      <c r="BD39" s="629">
        <f t="shared" si="19"/>
        <v>2841.3</v>
      </c>
      <c r="BE39" s="2236"/>
      <c r="BF39" s="5106">
        <f t="shared" si="20"/>
        <v>5321.8</v>
      </c>
      <c r="BG39" s="1137"/>
      <c r="BH39" s="4234">
        <f t="shared" si="0"/>
        <v>0</v>
      </c>
      <c r="BI39" s="4234">
        <f t="shared" si="1"/>
        <v>0</v>
      </c>
      <c r="BJ39" s="25">
        <f t="shared" si="2"/>
        <v>0</v>
      </c>
      <c r="BK39" s="25">
        <f t="shared" si="3"/>
        <v>0</v>
      </c>
      <c r="BL39" s="25">
        <f t="shared" si="4"/>
        <v>0</v>
      </c>
      <c r="BM39" s="25">
        <f t="shared" si="5"/>
        <v>0</v>
      </c>
    </row>
    <row r="40" spans="1:65" ht="16.5" thickBot="1" x14ac:dyDescent="0.3">
      <c r="A40" s="2094"/>
      <c r="B40" s="797" t="s">
        <v>74</v>
      </c>
      <c r="C40" s="2880" t="s">
        <v>1527</v>
      </c>
      <c r="D40" s="2881" t="s">
        <v>50</v>
      </c>
      <c r="E40" s="2926"/>
      <c r="F40" s="7594">
        <v>789.25</v>
      </c>
      <c r="G40" s="2926"/>
      <c r="H40" s="6209"/>
      <c r="I40" s="2884"/>
      <c r="J40" s="41">
        <f t="shared" si="10"/>
        <v>789.25</v>
      </c>
      <c r="K40" s="2926"/>
      <c r="L40" s="5722"/>
      <c r="M40" s="2088"/>
      <c r="N40" s="586">
        <f t="shared" si="11"/>
        <v>789.25</v>
      </c>
      <c r="O40" s="2926"/>
      <c r="P40" s="5857"/>
      <c r="Q40" s="2089"/>
      <c r="R40" s="349">
        <f t="shared" si="12"/>
        <v>789.25</v>
      </c>
      <c r="S40" s="2926"/>
      <c r="T40" s="5940"/>
      <c r="U40" s="4351"/>
      <c r="V40" s="349">
        <f t="shared" si="13"/>
        <v>789.25</v>
      </c>
      <c r="W40" s="2926"/>
      <c r="X40" s="6043"/>
      <c r="Y40" s="2091"/>
      <c r="Z40" s="4598">
        <f t="shared" si="6"/>
        <v>0</v>
      </c>
      <c r="AA40" s="629"/>
      <c r="AB40" s="4599">
        <f t="shared" si="7"/>
        <v>789.25</v>
      </c>
      <c r="AC40" s="2926"/>
      <c r="AD40" s="6169"/>
      <c r="AE40" s="2236"/>
      <c r="AF40" s="349">
        <f t="shared" si="14"/>
        <v>789.25</v>
      </c>
      <c r="AG40" s="2926"/>
      <c r="AH40" s="6337">
        <v>149.65</v>
      </c>
      <c r="AI40" s="4635"/>
      <c r="AJ40" s="349">
        <f t="shared" si="21"/>
        <v>938.9</v>
      </c>
      <c r="AK40" s="2926"/>
      <c r="AL40" s="6936"/>
      <c r="AM40" s="2449"/>
      <c r="AN40" s="4598">
        <f t="shared" si="8"/>
        <v>149.65</v>
      </c>
      <c r="AO40" s="2236"/>
      <c r="AP40" s="349">
        <f t="shared" si="16"/>
        <v>938.9</v>
      </c>
      <c r="AQ40" s="2926"/>
      <c r="AR40" s="4979">
        <v>512.5</v>
      </c>
      <c r="AS40" s="2236"/>
      <c r="AT40" s="4975">
        <f t="shared" si="17"/>
        <v>1451.4</v>
      </c>
      <c r="AU40" s="2926"/>
      <c r="AV40" s="6852">
        <v>629.35</v>
      </c>
      <c r="AW40" s="5036"/>
      <c r="AX40" s="349">
        <f t="shared" si="18"/>
        <v>2080.75</v>
      </c>
      <c r="AY40" s="2926"/>
      <c r="AZ40" s="7008"/>
      <c r="BA40" s="2449"/>
      <c r="BB40" s="2449">
        <f t="shared" si="9"/>
        <v>1141.8499999999999</v>
      </c>
      <c r="BC40" s="629"/>
      <c r="BD40" s="629">
        <f t="shared" si="19"/>
        <v>1291.5</v>
      </c>
      <c r="BE40" s="2236"/>
      <c r="BF40" s="5106">
        <f t="shared" si="20"/>
        <v>2080.75</v>
      </c>
      <c r="BG40" s="1137"/>
      <c r="BH40" s="4234">
        <f t="shared" si="0"/>
        <v>0</v>
      </c>
      <c r="BI40" s="4234">
        <f t="shared" si="1"/>
        <v>0</v>
      </c>
      <c r="BJ40" s="25">
        <f t="shared" si="2"/>
        <v>0</v>
      </c>
      <c r="BK40" s="25">
        <f t="shared" si="3"/>
        <v>0</v>
      </c>
      <c r="BL40" s="25">
        <f t="shared" si="4"/>
        <v>0</v>
      </c>
      <c r="BM40" s="25">
        <f t="shared" si="5"/>
        <v>0</v>
      </c>
    </row>
    <row r="41" spans="1:65" ht="16.5" thickBot="1" x14ac:dyDescent="0.3">
      <c r="A41" s="2094"/>
      <c r="B41" s="797" t="s">
        <v>74</v>
      </c>
      <c r="C41" s="2880" t="s">
        <v>2047</v>
      </c>
      <c r="D41" s="2881" t="s">
        <v>50</v>
      </c>
      <c r="E41" s="2926"/>
      <c r="F41" s="7594"/>
      <c r="G41" s="2926"/>
      <c r="H41" s="6209"/>
      <c r="I41" s="2884"/>
      <c r="J41" s="41">
        <f t="shared" si="10"/>
        <v>0</v>
      </c>
      <c r="K41" s="2926"/>
      <c r="L41" s="5722"/>
      <c r="M41" s="2088"/>
      <c r="N41" s="586">
        <f t="shared" si="11"/>
        <v>0</v>
      </c>
      <c r="O41" s="2926"/>
      <c r="P41" s="5857"/>
      <c r="Q41" s="2089"/>
      <c r="R41" s="349">
        <f t="shared" si="12"/>
        <v>0</v>
      </c>
      <c r="S41" s="2926"/>
      <c r="T41" s="5940"/>
      <c r="U41" s="4351"/>
      <c r="V41" s="349">
        <f t="shared" si="13"/>
        <v>0</v>
      </c>
      <c r="W41" s="2926"/>
      <c r="X41" s="6043">
        <v>94.3</v>
      </c>
      <c r="Y41" s="2091"/>
      <c r="Z41" s="4598">
        <f t="shared" si="6"/>
        <v>94.3</v>
      </c>
      <c r="AA41" s="629"/>
      <c r="AB41" s="4599">
        <f t="shared" si="7"/>
        <v>94.3</v>
      </c>
      <c r="AC41" s="2926"/>
      <c r="AD41" s="6169"/>
      <c r="AE41" s="2236"/>
      <c r="AF41" s="349">
        <f t="shared" si="14"/>
        <v>94.3</v>
      </c>
      <c r="AG41" s="2926"/>
      <c r="AH41" s="6337"/>
      <c r="AI41" s="4635"/>
      <c r="AJ41" s="349">
        <f t="shared" si="21"/>
        <v>94.3</v>
      </c>
      <c r="AK41" s="2926"/>
      <c r="AL41" s="6936"/>
      <c r="AM41" s="2449"/>
      <c r="AN41" s="4598">
        <f t="shared" si="8"/>
        <v>0</v>
      </c>
      <c r="AO41" s="2236"/>
      <c r="AP41" s="349">
        <f t="shared" si="16"/>
        <v>94.3</v>
      </c>
      <c r="AQ41" s="2926"/>
      <c r="AR41" s="4979"/>
      <c r="AS41" s="2236"/>
      <c r="AT41" s="4975">
        <f t="shared" si="17"/>
        <v>94.3</v>
      </c>
      <c r="AU41" s="2926"/>
      <c r="AV41" s="6852"/>
      <c r="AW41" s="5036"/>
      <c r="AX41" s="349">
        <f t="shared" si="18"/>
        <v>94.3</v>
      </c>
      <c r="AY41" s="2926"/>
      <c r="AZ41" s="7008"/>
      <c r="BA41" s="2449"/>
      <c r="BB41" s="2449">
        <f t="shared" si="9"/>
        <v>0</v>
      </c>
      <c r="BC41" s="629"/>
      <c r="BD41" s="629">
        <f t="shared" si="19"/>
        <v>0</v>
      </c>
      <c r="BE41" s="2236"/>
      <c r="BF41" s="5106">
        <f t="shared" si="20"/>
        <v>94.3</v>
      </c>
      <c r="BG41" s="1137"/>
      <c r="BH41" s="4234">
        <f t="shared" si="0"/>
        <v>0</v>
      </c>
      <c r="BI41" s="4234">
        <f t="shared" si="1"/>
        <v>0</v>
      </c>
      <c r="BJ41" s="25">
        <f t="shared" si="2"/>
        <v>0</v>
      </c>
      <c r="BK41" s="25">
        <f t="shared" si="3"/>
        <v>0</v>
      </c>
      <c r="BL41" s="25">
        <f t="shared" si="4"/>
        <v>0</v>
      </c>
      <c r="BM41" s="25">
        <f t="shared" si="5"/>
        <v>0</v>
      </c>
    </row>
    <row r="42" spans="1:65" ht="16.5" thickBot="1" x14ac:dyDescent="0.3">
      <c r="A42" s="2094"/>
      <c r="B42" s="797" t="s">
        <v>74</v>
      </c>
      <c r="C42" s="2880" t="s">
        <v>1451</v>
      </c>
      <c r="D42" s="2881" t="s">
        <v>50</v>
      </c>
      <c r="E42" s="2926"/>
      <c r="F42" s="7594"/>
      <c r="G42" s="2926"/>
      <c r="H42" s="6209"/>
      <c r="I42" s="2884"/>
      <c r="J42" s="41">
        <f t="shared" si="10"/>
        <v>0</v>
      </c>
      <c r="K42" s="2926"/>
      <c r="L42" s="5722"/>
      <c r="M42" s="2088"/>
      <c r="N42" s="586">
        <f t="shared" si="11"/>
        <v>0</v>
      </c>
      <c r="O42" s="2926"/>
      <c r="P42" s="5857"/>
      <c r="Q42" s="2089"/>
      <c r="R42" s="349">
        <f t="shared" si="12"/>
        <v>0</v>
      </c>
      <c r="S42" s="2926"/>
      <c r="T42" s="5940"/>
      <c r="U42" s="4351"/>
      <c r="V42" s="349">
        <f t="shared" si="13"/>
        <v>0</v>
      </c>
      <c r="W42" s="2926"/>
      <c r="X42" s="6043"/>
      <c r="Y42" s="2091"/>
      <c r="Z42" s="4598">
        <f t="shared" si="6"/>
        <v>0</v>
      </c>
      <c r="AA42" s="629"/>
      <c r="AB42" s="4599">
        <f t="shared" si="7"/>
        <v>0</v>
      </c>
      <c r="AC42" s="2926"/>
      <c r="AD42" s="6169"/>
      <c r="AE42" s="2236"/>
      <c r="AF42" s="349">
        <f t="shared" si="14"/>
        <v>0</v>
      </c>
      <c r="AG42" s="2926"/>
      <c r="AH42" s="6337"/>
      <c r="AI42" s="4635"/>
      <c r="AJ42" s="349">
        <f t="shared" si="21"/>
        <v>0</v>
      </c>
      <c r="AK42" s="2926"/>
      <c r="AL42" s="6936"/>
      <c r="AM42" s="2449"/>
      <c r="AN42" s="4598">
        <f t="shared" si="8"/>
        <v>0</v>
      </c>
      <c r="AO42" s="2236"/>
      <c r="AP42" s="349">
        <f t="shared" si="16"/>
        <v>0</v>
      </c>
      <c r="AQ42" s="2926"/>
      <c r="AR42" s="4979"/>
      <c r="AS42" s="2236"/>
      <c r="AT42" s="4975">
        <f t="shared" si="17"/>
        <v>0</v>
      </c>
      <c r="AU42" s="2926"/>
      <c r="AV42" s="6852"/>
      <c r="AW42" s="5036"/>
      <c r="AX42" s="349">
        <f t="shared" si="18"/>
        <v>0</v>
      </c>
      <c r="AY42" s="2926"/>
      <c r="AZ42" s="7008"/>
      <c r="BA42" s="2449"/>
      <c r="BB42" s="2449">
        <f t="shared" si="9"/>
        <v>0</v>
      </c>
      <c r="BC42" s="629"/>
      <c r="BD42" s="629">
        <f t="shared" si="19"/>
        <v>0</v>
      </c>
      <c r="BE42" s="2236"/>
      <c r="BF42" s="5106">
        <f t="shared" si="20"/>
        <v>0</v>
      </c>
      <c r="BG42" s="1137"/>
      <c r="BH42" s="4234">
        <f t="shared" si="0"/>
        <v>0</v>
      </c>
      <c r="BI42" s="4234">
        <f t="shared" si="1"/>
        <v>0</v>
      </c>
      <c r="BJ42" s="25">
        <f t="shared" si="2"/>
        <v>0</v>
      </c>
      <c r="BK42" s="25">
        <f t="shared" si="3"/>
        <v>0</v>
      </c>
      <c r="BL42" s="25">
        <f t="shared" si="4"/>
        <v>0</v>
      </c>
      <c r="BM42" s="25">
        <f t="shared" si="5"/>
        <v>0</v>
      </c>
    </row>
    <row r="43" spans="1:65" ht="16.5" thickBot="1" x14ac:dyDescent="0.3">
      <c r="A43" s="2094"/>
      <c r="B43" s="797" t="s">
        <v>74</v>
      </c>
      <c r="C43" s="2880" t="s">
        <v>1395</v>
      </c>
      <c r="D43" s="2881" t="s">
        <v>50</v>
      </c>
      <c r="E43" s="2926"/>
      <c r="F43" s="7594"/>
      <c r="G43" s="2926"/>
      <c r="H43" s="6209"/>
      <c r="I43" s="2884"/>
      <c r="J43" s="41">
        <f t="shared" si="10"/>
        <v>0</v>
      </c>
      <c r="K43" s="2926"/>
      <c r="L43" s="5722"/>
      <c r="M43" s="2088"/>
      <c r="N43" s="586">
        <f t="shared" si="11"/>
        <v>0</v>
      </c>
      <c r="O43" s="2926"/>
      <c r="P43" s="5857"/>
      <c r="Q43" s="2089"/>
      <c r="R43" s="349">
        <f t="shared" si="12"/>
        <v>0</v>
      </c>
      <c r="S43" s="2926"/>
      <c r="T43" s="5940"/>
      <c r="U43" s="4351"/>
      <c r="V43" s="349">
        <f t="shared" si="13"/>
        <v>0</v>
      </c>
      <c r="W43" s="2926"/>
      <c r="X43" s="6043"/>
      <c r="Y43" s="2091"/>
      <c r="Z43" s="4598">
        <f t="shared" si="6"/>
        <v>0</v>
      </c>
      <c r="AA43" s="629"/>
      <c r="AB43" s="4599">
        <f t="shared" si="7"/>
        <v>0</v>
      </c>
      <c r="AC43" s="2926"/>
      <c r="AD43" s="6169"/>
      <c r="AE43" s="2236"/>
      <c r="AF43" s="349">
        <f t="shared" si="14"/>
        <v>0</v>
      </c>
      <c r="AG43" s="2926"/>
      <c r="AH43" s="6337"/>
      <c r="AI43" s="4635"/>
      <c r="AJ43" s="349">
        <f t="shared" si="21"/>
        <v>0</v>
      </c>
      <c r="AK43" s="2926"/>
      <c r="AL43" s="6936"/>
      <c r="AM43" s="2449"/>
      <c r="AN43" s="4598">
        <f t="shared" si="8"/>
        <v>0</v>
      </c>
      <c r="AO43" s="2236"/>
      <c r="AP43" s="349">
        <f t="shared" si="16"/>
        <v>0</v>
      </c>
      <c r="AQ43" s="2926"/>
      <c r="AR43" s="4979"/>
      <c r="AS43" s="2236"/>
      <c r="AT43" s="4975">
        <f t="shared" si="17"/>
        <v>0</v>
      </c>
      <c r="AU43" s="2926"/>
      <c r="AV43" s="6852"/>
      <c r="AW43" s="5036"/>
      <c r="AX43" s="349">
        <f t="shared" si="18"/>
        <v>0</v>
      </c>
      <c r="AY43" s="2926"/>
      <c r="AZ43" s="7008"/>
      <c r="BA43" s="2449"/>
      <c r="BB43" s="2449">
        <f t="shared" si="9"/>
        <v>0</v>
      </c>
      <c r="BC43" s="629"/>
      <c r="BD43" s="629">
        <f t="shared" si="19"/>
        <v>0</v>
      </c>
      <c r="BE43" s="2236"/>
      <c r="BF43" s="5106">
        <f t="shared" si="20"/>
        <v>0</v>
      </c>
      <c r="BG43" s="1137"/>
      <c r="BH43" s="4234">
        <f t="shared" si="0"/>
        <v>0</v>
      </c>
      <c r="BI43" s="4234">
        <f t="shared" si="1"/>
        <v>0</v>
      </c>
      <c r="BJ43" s="25">
        <f t="shared" si="2"/>
        <v>0</v>
      </c>
      <c r="BK43" s="25">
        <f t="shared" si="3"/>
        <v>0</v>
      </c>
      <c r="BL43" s="25">
        <f t="shared" si="4"/>
        <v>0</v>
      </c>
      <c r="BM43" s="25">
        <f t="shared" si="5"/>
        <v>0</v>
      </c>
    </row>
    <row r="44" spans="1:65" ht="16.5" thickBot="1" x14ac:dyDescent="0.3">
      <c r="A44" s="2094"/>
      <c r="B44" s="3157" t="s">
        <v>74</v>
      </c>
      <c r="C44" s="3158" t="s">
        <v>1397</v>
      </c>
      <c r="D44" s="3159" t="s">
        <v>50</v>
      </c>
      <c r="E44" s="3162"/>
      <c r="F44" s="105"/>
      <c r="G44" s="3162"/>
      <c r="H44" s="105"/>
      <c r="I44" s="557"/>
      <c r="J44" s="41">
        <f t="shared" si="10"/>
        <v>0</v>
      </c>
      <c r="K44" s="3162"/>
      <c r="L44" s="105"/>
      <c r="M44" s="2088"/>
      <c r="N44" s="586">
        <f t="shared" si="11"/>
        <v>0</v>
      </c>
      <c r="O44" s="3162"/>
      <c r="P44" s="105"/>
      <c r="Q44" s="2089"/>
      <c r="R44" s="349">
        <f t="shared" si="12"/>
        <v>0</v>
      </c>
      <c r="S44" s="3162"/>
      <c r="T44" s="105"/>
      <c r="U44" s="4351"/>
      <c r="V44" s="349">
        <f t="shared" si="13"/>
        <v>0</v>
      </c>
      <c r="W44" s="3162"/>
      <c r="X44" s="105"/>
      <c r="Y44" s="2091"/>
      <c r="Z44" s="4598">
        <f t="shared" si="6"/>
        <v>0</v>
      </c>
      <c r="AA44" s="629"/>
      <c r="AB44" s="4599">
        <f t="shared" si="7"/>
        <v>0</v>
      </c>
      <c r="AC44" s="3162"/>
      <c r="AD44" s="105"/>
      <c r="AE44" s="2236"/>
      <c r="AF44" s="349">
        <f t="shared" si="14"/>
        <v>0</v>
      </c>
      <c r="AG44" s="3162"/>
      <c r="AH44" s="105"/>
      <c r="AI44" s="4635"/>
      <c r="AJ44" s="349">
        <f t="shared" si="21"/>
        <v>0</v>
      </c>
      <c r="AK44" s="3162"/>
      <c r="AL44" s="105"/>
      <c r="AM44" s="2449"/>
      <c r="AN44" s="4598">
        <f t="shared" si="8"/>
        <v>0</v>
      </c>
      <c r="AO44" s="2236"/>
      <c r="AP44" s="349">
        <f t="shared" si="16"/>
        <v>0</v>
      </c>
      <c r="AQ44" s="3162"/>
      <c r="AR44" s="105"/>
      <c r="AS44" s="2236"/>
      <c r="AT44" s="4975">
        <f t="shared" si="17"/>
        <v>0</v>
      </c>
      <c r="AU44" s="3162"/>
      <c r="AV44" s="105"/>
      <c r="AW44" s="5036"/>
      <c r="AX44" s="349">
        <f t="shared" si="18"/>
        <v>0</v>
      </c>
      <c r="AY44" s="3162"/>
      <c r="AZ44" s="105"/>
      <c r="BA44" s="2449"/>
      <c r="BB44" s="2449">
        <f t="shared" si="9"/>
        <v>0</v>
      </c>
      <c r="BC44" s="629"/>
      <c r="BD44" s="629">
        <f t="shared" si="19"/>
        <v>0</v>
      </c>
      <c r="BE44" s="2236"/>
      <c r="BF44" s="5106">
        <f t="shared" si="20"/>
        <v>0</v>
      </c>
      <c r="BG44" s="1137"/>
      <c r="BH44" s="4234">
        <f t="shared" si="0"/>
        <v>0</v>
      </c>
      <c r="BI44" s="4234">
        <f t="shared" si="1"/>
        <v>0</v>
      </c>
      <c r="BJ44" s="25">
        <f t="shared" si="2"/>
        <v>0</v>
      </c>
      <c r="BK44" s="25">
        <f t="shared" si="3"/>
        <v>0</v>
      </c>
      <c r="BL44" s="25">
        <f t="shared" si="4"/>
        <v>0</v>
      </c>
      <c r="BM44" s="25">
        <f t="shared" si="5"/>
        <v>0</v>
      </c>
    </row>
    <row r="45" spans="1:65" ht="16.5" hidden="1" thickBot="1" x14ac:dyDescent="0.3">
      <c r="A45" s="139"/>
      <c r="B45" s="3153" t="s">
        <v>968</v>
      </c>
      <c r="C45" s="3154" t="s">
        <v>1316</v>
      </c>
      <c r="D45" s="3155" t="s">
        <v>50</v>
      </c>
      <c r="E45" s="3156"/>
      <c r="F45" s="147"/>
      <c r="G45" s="3156"/>
      <c r="H45" s="147"/>
      <c r="I45" s="349"/>
      <c r="J45" s="41">
        <f t="shared" si="10"/>
        <v>0</v>
      </c>
      <c r="K45" s="3156"/>
      <c r="L45" s="147"/>
      <c r="M45" s="732"/>
      <c r="N45" s="586">
        <f t="shared" si="11"/>
        <v>0</v>
      </c>
      <c r="O45" s="3156"/>
      <c r="P45" s="147"/>
      <c r="Q45" s="733"/>
      <c r="R45" s="349">
        <f t="shared" si="12"/>
        <v>0</v>
      </c>
      <c r="S45" s="3156"/>
      <c r="T45" s="147"/>
      <c r="U45" s="4351"/>
      <c r="V45" s="349">
        <f t="shared" si="13"/>
        <v>0</v>
      </c>
      <c r="W45" s="3156"/>
      <c r="X45" s="147"/>
      <c r="Y45" s="543"/>
      <c r="Z45" s="4598">
        <f t="shared" si="6"/>
        <v>0</v>
      </c>
      <c r="AA45" s="629"/>
      <c r="AB45" s="4599">
        <f t="shared" si="7"/>
        <v>0</v>
      </c>
      <c r="AC45" s="3156"/>
      <c r="AD45" s="147"/>
      <c r="AE45" s="2236"/>
      <c r="AF45" s="349">
        <f t="shared" si="14"/>
        <v>0</v>
      </c>
      <c r="AG45" s="3156"/>
      <c r="AH45" s="147"/>
      <c r="AI45" s="4635"/>
      <c r="AJ45" s="349">
        <f t="shared" si="21"/>
        <v>0</v>
      </c>
      <c r="AK45" s="3156"/>
      <c r="AL45" s="147"/>
      <c r="AM45" s="2449"/>
      <c r="AN45" s="4598">
        <f t="shared" si="8"/>
        <v>0</v>
      </c>
      <c r="AO45" s="2236"/>
      <c r="AP45" s="349">
        <f t="shared" si="16"/>
        <v>0</v>
      </c>
      <c r="AQ45" s="3156"/>
      <c r="AR45" s="147"/>
      <c r="AS45" s="2236"/>
      <c r="AT45" s="4975">
        <f t="shared" si="17"/>
        <v>0</v>
      </c>
      <c r="AU45" s="3156"/>
      <c r="AV45" s="147"/>
      <c r="AW45" s="5036"/>
      <c r="AX45" s="349">
        <f t="shared" si="18"/>
        <v>0</v>
      </c>
      <c r="AY45" s="3156"/>
      <c r="AZ45" s="147"/>
      <c r="BA45" s="2449"/>
      <c r="BB45" s="2449">
        <f t="shared" si="9"/>
        <v>0</v>
      </c>
      <c r="BC45" s="629"/>
      <c r="BD45" s="629">
        <f t="shared" si="19"/>
        <v>0</v>
      </c>
      <c r="BE45" s="2236"/>
      <c r="BF45" s="5106">
        <f t="shared" si="20"/>
        <v>0</v>
      </c>
      <c r="BG45" s="1137"/>
      <c r="BH45" s="4234">
        <f t="shared" si="0"/>
        <v>0</v>
      </c>
      <c r="BI45" s="4234">
        <f t="shared" si="1"/>
        <v>0</v>
      </c>
      <c r="BJ45" s="25">
        <f t="shared" si="2"/>
        <v>0</v>
      </c>
      <c r="BK45" s="25">
        <f t="shared" si="3"/>
        <v>0</v>
      </c>
      <c r="BL45" s="25">
        <f t="shared" si="4"/>
        <v>0</v>
      </c>
      <c r="BM45" s="25">
        <f t="shared" si="5"/>
        <v>0</v>
      </c>
    </row>
    <row r="46" spans="1:65" ht="16.5" hidden="1" thickBot="1" x14ac:dyDescent="0.3">
      <c r="A46" s="139"/>
      <c r="B46" s="797" t="s">
        <v>968</v>
      </c>
      <c r="C46" s="2880" t="s">
        <v>928</v>
      </c>
      <c r="D46" s="2881" t="s">
        <v>50</v>
      </c>
      <c r="E46" s="2882"/>
      <c r="F46" s="7594"/>
      <c r="G46" s="2882"/>
      <c r="H46" s="6209"/>
      <c r="I46" s="2884"/>
      <c r="J46" s="41">
        <f t="shared" si="10"/>
        <v>0</v>
      </c>
      <c r="K46" s="2882"/>
      <c r="L46" s="5722"/>
      <c r="M46" s="1651"/>
      <c r="N46" s="586">
        <f t="shared" si="11"/>
        <v>0</v>
      </c>
      <c r="O46" s="2882"/>
      <c r="P46" s="5857"/>
      <c r="Q46" s="1650"/>
      <c r="R46" s="349">
        <f t="shared" si="12"/>
        <v>0</v>
      </c>
      <c r="S46" s="2882"/>
      <c r="T46" s="5940"/>
      <c r="U46" s="4351"/>
      <c r="V46" s="349">
        <f t="shared" si="13"/>
        <v>0</v>
      </c>
      <c r="W46" s="2882"/>
      <c r="X46" s="6043">
        <v>73.8</v>
      </c>
      <c r="Y46" s="1653"/>
      <c r="Z46" s="4598">
        <f t="shared" si="6"/>
        <v>73.8</v>
      </c>
      <c r="AA46" s="629"/>
      <c r="AB46" s="4599">
        <f t="shared" si="7"/>
        <v>73.8</v>
      </c>
      <c r="AC46" s="2882"/>
      <c r="AD46" s="6169"/>
      <c r="AE46" s="2236"/>
      <c r="AF46" s="349">
        <f t="shared" si="14"/>
        <v>73.8</v>
      </c>
      <c r="AG46" s="2882"/>
      <c r="AH46" s="6337"/>
      <c r="AI46" s="4635"/>
      <c r="AJ46" s="349">
        <f t="shared" si="21"/>
        <v>73.8</v>
      </c>
      <c r="AK46" s="2882"/>
      <c r="AL46" s="6600"/>
      <c r="AM46" s="2449"/>
      <c r="AN46" s="4598">
        <f t="shared" si="8"/>
        <v>0</v>
      </c>
      <c r="AO46" s="2236"/>
      <c r="AP46" s="349">
        <f t="shared" si="16"/>
        <v>73.8</v>
      </c>
      <c r="AQ46" s="2882"/>
      <c r="AR46" s="4979"/>
      <c r="AS46" s="2236"/>
      <c r="AT46" s="4975">
        <f t="shared" si="17"/>
        <v>73.8</v>
      </c>
      <c r="AU46" s="2882"/>
      <c r="AV46" s="6852"/>
      <c r="AW46" s="5036"/>
      <c r="AX46" s="349">
        <f t="shared" si="18"/>
        <v>73.8</v>
      </c>
      <c r="AY46" s="2882"/>
      <c r="AZ46" s="7008"/>
      <c r="BA46" s="2449"/>
      <c r="BB46" s="2449">
        <f t="shared" si="9"/>
        <v>0</v>
      </c>
      <c r="BC46" s="629"/>
      <c r="BD46" s="629">
        <f t="shared" si="19"/>
        <v>0</v>
      </c>
      <c r="BE46" s="2236"/>
      <c r="BF46" s="5106">
        <f t="shared" si="20"/>
        <v>73.8</v>
      </c>
      <c r="BG46" s="1137"/>
      <c r="BH46" s="4234">
        <f t="shared" si="0"/>
        <v>0</v>
      </c>
      <c r="BI46" s="4234">
        <f t="shared" si="1"/>
        <v>0</v>
      </c>
      <c r="BJ46" s="25">
        <f t="shared" si="2"/>
        <v>0</v>
      </c>
      <c r="BK46" s="25">
        <f t="shared" si="3"/>
        <v>0</v>
      </c>
      <c r="BL46" s="25">
        <f t="shared" si="4"/>
        <v>0</v>
      </c>
      <c r="BM46" s="25">
        <f t="shared" si="5"/>
        <v>0</v>
      </c>
    </row>
    <row r="47" spans="1:65" ht="16.5" hidden="1" thickBot="1" x14ac:dyDescent="0.3">
      <c r="A47" s="139"/>
      <c r="B47" s="797" t="s">
        <v>968</v>
      </c>
      <c r="C47" s="2880" t="s">
        <v>930</v>
      </c>
      <c r="D47" s="2881" t="s">
        <v>50</v>
      </c>
      <c r="E47" s="2882"/>
      <c r="F47" s="7594"/>
      <c r="G47" s="2882"/>
      <c r="H47" s="6209"/>
      <c r="I47" s="2884"/>
      <c r="J47" s="41">
        <f t="shared" si="10"/>
        <v>0</v>
      </c>
      <c r="K47" s="2882"/>
      <c r="L47" s="5722"/>
      <c r="M47" s="732"/>
      <c r="N47" s="586">
        <f t="shared" si="11"/>
        <v>0</v>
      </c>
      <c r="O47" s="2882"/>
      <c r="P47" s="5857"/>
      <c r="Q47" s="733"/>
      <c r="R47" s="349">
        <f t="shared" si="12"/>
        <v>0</v>
      </c>
      <c r="S47" s="2882"/>
      <c r="T47" s="5940"/>
      <c r="U47" s="4351"/>
      <c r="V47" s="349">
        <f t="shared" si="13"/>
        <v>0</v>
      </c>
      <c r="W47" s="2882"/>
      <c r="X47" s="6043"/>
      <c r="Y47" s="543"/>
      <c r="Z47" s="4598">
        <f t="shared" si="6"/>
        <v>0</v>
      </c>
      <c r="AA47" s="629"/>
      <c r="AB47" s="4599">
        <f t="shared" si="7"/>
        <v>0</v>
      </c>
      <c r="AC47" s="2882"/>
      <c r="AD47" s="6169"/>
      <c r="AE47" s="2236"/>
      <c r="AF47" s="349">
        <f t="shared" si="14"/>
        <v>0</v>
      </c>
      <c r="AG47" s="2882"/>
      <c r="AH47" s="6337">
        <f>1133.65-2.05</f>
        <v>1131.6000000000001</v>
      </c>
      <c r="AI47" s="4635"/>
      <c r="AJ47" s="349">
        <f t="shared" si="21"/>
        <v>1131.6000000000001</v>
      </c>
      <c r="AK47" s="2882"/>
      <c r="AL47" s="6600">
        <f>1834.75-4.1</f>
        <v>1830.65</v>
      </c>
      <c r="AM47" s="2449"/>
      <c r="AN47" s="4598">
        <f t="shared" si="8"/>
        <v>2962.25</v>
      </c>
      <c r="AO47" s="2236"/>
      <c r="AP47" s="349">
        <f t="shared" si="16"/>
        <v>2962.25</v>
      </c>
      <c r="AQ47" s="2882"/>
      <c r="AR47" s="4979"/>
      <c r="AS47" s="2236"/>
      <c r="AT47" s="4975">
        <f t="shared" si="17"/>
        <v>2962.25</v>
      </c>
      <c r="AU47" s="2882"/>
      <c r="AV47" s="6852"/>
      <c r="AW47" s="5036"/>
      <c r="AX47" s="349">
        <f t="shared" si="18"/>
        <v>2962.25</v>
      </c>
      <c r="AY47" s="2882"/>
      <c r="AZ47" s="7008"/>
      <c r="BA47" s="2449"/>
      <c r="BB47" s="2449">
        <f t="shared" si="9"/>
        <v>0</v>
      </c>
      <c r="BC47" s="629"/>
      <c r="BD47" s="629">
        <f t="shared" si="19"/>
        <v>2962.25</v>
      </c>
      <c r="BE47" s="2236"/>
      <c r="BF47" s="5106">
        <f t="shared" si="20"/>
        <v>2962.25</v>
      </c>
      <c r="BG47" s="1137"/>
      <c r="BH47" s="4234">
        <f t="shared" si="0"/>
        <v>0</v>
      </c>
      <c r="BI47" s="4234">
        <f t="shared" si="1"/>
        <v>0</v>
      </c>
      <c r="BJ47" s="25">
        <f t="shared" si="2"/>
        <v>0</v>
      </c>
      <c r="BK47" s="25">
        <f t="shared" si="3"/>
        <v>0</v>
      </c>
      <c r="BL47" s="25">
        <f t="shared" si="4"/>
        <v>0</v>
      </c>
      <c r="BM47" s="25">
        <f t="shared" si="5"/>
        <v>0</v>
      </c>
    </row>
    <row r="48" spans="1:65" ht="16.5" hidden="1" thickBot="1" x14ac:dyDescent="0.3">
      <c r="A48" s="139"/>
      <c r="B48" s="797" t="s">
        <v>968</v>
      </c>
      <c r="C48" s="2880" t="s">
        <v>1077</v>
      </c>
      <c r="D48" s="2881" t="s">
        <v>50</v>
      </c>
      <c r="E48" s="2882"/>
      <c r="F48" s="7594"/>
      <c r="G48" s="2882"/>
      <c r="H48" s="6209"/>
      <c r="I48" s="2884"/>
      <c r="J48" s="41">
        <f t="shared" si="10"/>
        <v>0</v>
      </c>
      <c r="K48" s="2882"/>
      <c r="L48" s="5722"/>
      <c r="M48" s="732"/>
      <c r="N48" s="586">
        <f t="shared" si="11"/>
        <v>0</v>
      </c>
      <c r="O48" s="2882"/>
      <c r="P48" s="5857"/>
      <c r="Q48" s="733"/>
      <c r="R48" s="349">
        <f t="shared" si="12"/>
        <v>0</v>
      </c>
      <c r="S48" s="2882"/>
      <c r="T48" s="5940"/>
      <c r="U48" s="4351"/>
      <c r="V48" s="349">
        <f t="shared" si="13"/>
        <v>0</v>
      </c>
      <c r="W48" s="2882"/>
      <c r="X48" s="6043"/>
      <c r="Y48" s="543"/>
      <c r="Z48" s="4598">
        <f t="shared" si="6"/>
        <v>0</v>
      </c>
      <c r="AA48" s="629"/>
      <c r="AB48" s="4599">
        <f t="shared" si="7"/>
        <v>0</v>
      </c>
      <c r="AC48" s="2882"/>
      <c r="AD48" s="6169"/>
      <c r="AE48" s="2236"/>
      <c r="AF48" s="349">
        <f t="shared" si="14"/>
        <v>0</v>
      </c>
      <c r="AG48" s="2882"/>
      <c r="AH48" s="6337"/>
      <c r="AI48" s="4635"/>
      <c r="AJ48" s="349">
        <f t="shared" si="21"/>
        <v>0</v>
      </c>
      <c r="AK48" s="2882"/>
      <c r="AL48" s="6600"/>
      <c r="AM48" s="2449"/>
      <c r="AN48" s="4598">
        <f t="shared" si="8"/>
        <v>0</v>
      </c>
      <c r="AO48" s="2236"/>
      <c r="AP48" s="349">
        <f t="shared" si="16"/>
        <v>0</v>
      </c>
      <c r="AQ48" s="2882"/>
      <c r="AR48" s="4979">
        <f>779-2.05</f>
        <v>776.95</v>
      </c>
      <c r="AS48" s="2236"/>
      <c r="AT48" s="4975">
        <f t="shared" si="17"/>
        <v>776.95</v>
      </c>
      <c r="AU48" s="2882"/>
      <c r="AV48" s="6852"/>
      <c r="AW48" s="5036"/>
      <c r="AX48" s="349">
        <f t="shared" si="18"/>
        <v>776.95</v>
      </c>
      <c r="AY48" s="2882"/>
      <c r="AZ48" s="7008"/>
      <c r="BA48" s="2449"/>
      <c r="BB48" s="2449">
        <f t="shared" si="9"/>
        <v>776.95</v>
      </c>
      <c r="BC48" s="629"/>
      <c r="BD48" s="629">
        <f t="shared" si="19"/>
        <v>776.95</v>
      </c>
      <c r="BE48" s="2236"/>
      <c r="BF48" s="5106">
        <f t="shared" si="20"/>
        <v>776.95</v>
      </c>
      <c r="BG48" s="1137"/>
      <c r="BH48" s="4234">
        <f t="shared" si="0"/>
        <v>0</v>
      </c>
      <c r="BI48" s="4234">
        <f t="shared" si="1"/>
        <v>0</v>
      </c>
      <c r="BJ48" s="25">
        <f t="shared" si="2"/>
        <v>0</v>
      </c>
      <c r="BK48" s="25">
        <f t="shared" si="3"/>
        <v>0</v>
      </c>
      <c r="BL48" s="25">
        <f t="shared" si="4"/>
        <v>0</v>
      </c>
      <c r="BM48" s="25">
        <f t="shared" si="5"/>
        <v>0</v>
      </c>
    </row>
    <row r="49" spans="1:65" ht="16.5" hidden="1" thickBot="1" x14ac:dyDescent="0.3">
      <c r="A49" s="139"/>
      <c r="B49" s="797" t="s">
        <v>968</v>
      </c>
      <c r="C49" s="2880" t="s">
        <v>1091</v>
      </c>
      <c r="D49" s="2881" t="s">
        <v>50</v>
      </c>
      <c r="E49" s="2882"/>
      <c r="F49" s="7594"/>
      <c r="G49" s="2882"/>
      <c r="H49" s="6209"/>
      <c r="I49" s="2884"/>
      <c r="J49" s="41">
        <f t="shared" si="10"/>
        <v>0</v>
      </c>
      <c r="K49" s="2882"/>
      <c r="L49" s="5722"/>
      <c r="M49" s="732"/>
      <c r="N49" s="586">
        <f t="shared" si="11"/>
        <v>0</v>
      </c>
      <c r="O49" s="2882"/>
      <c r="P49" s="5857"/>
      <c r="Q49" s="733"/>
      <c r="R49" s="349">
        <f t="shared" si="12"/>
        <v>0</v>
      </c>
      <c r="S49" s="2882"/>
      <c r="T49" s="5940"/>
      <c r="U49" s="4351"/>
      <c r="V49" s="349">
        <f t="shared" si="13"/>
        <v>0</v>
      </c>
      <c r="W49" s="2882"/>
      <c r="X49" s="6043"/>
      <c r="Y49" s="543"/>
      <c r="Z49" s="4598">
        <f t="shared" si="6"/>
        <v>0</v>
      </c>
      <c r="AA49" s="629"/>
      <c r="AB49" s="4599">
        <f t="shared" si="7"/>
        <v>0</v>
      </c>
      <c r="AC49" s="2882"/>
      <c r="AD49" s="6169"/>
      <c r="AE49" s="2236"/>
      <c r="AF49" s="349">
        <f t="shared" si="14"/>
        <v>0</v>
      </c>
      <c r="AG49" s="2882"/>
      <c r="AH49" s="6337"/>
      <c r="AI49" s="4635"/>
      <c r="AJ49" s="4635">
        <f t="shared" si="21"/>
        <v>0</v>
      </c>
      <c r="AK49" s="2882"/>
      <c r="AL49" s="6600"/>
      <c r="AM49" s="2449"/>
      <c r="AN49" s="4598">
        <f t="shared" si="8"/>
        <v>0</v>
      </c>
      <c r="AO49" s="2236"/>
      <c r="AP49" s="349">
        <f t="shared" si="16"/>
        <v>0</v>
      </c>
      <c r="AQ49" s="2882"/>
      <c r="AR49" s="4979"/>
      <c r="AS49" s="2236"/>
      <c r="AT49" s="4975">
        <f t="shared" si="17"/>
        <v>0</v>
      </c>
      <c r="AU49" s="2882"/>
      <c r="AV49" s="6852"/>
      <c r="AW49" s="5036"/>
      <c r="AX49" s="349">
        <f t="shared" si="18"/>
        <v>0</v>
      </c>
      <c r="AY49" s="2882"/>
      <c r="AZ49" s="7008"/>
      <c r="BA49" s="2449"/>
      <c r="BB49" s="2449">
        <f t="shared" si="9"/>
        <v>0</v>
      </c>
      <c r="BC49" s="629"/>
      <c r="BD49" s="629">
        <f t="shared" si="19"/>
        <v>0</v>
      </c>
      <c r="BE49" s="2236"/>
      <c r="BF49" s="5106">
        <f t="shared" si="20"/>
        <v>0</v>
      </c>
      <c r="BG49" s="1137"/>
      <c r="BH49" s="4234">
        <f t="shared" si="0"/>
        <v>0</v>
      </c>
      <c r="BI49" s="4234">
        <f t="shared" si="1"/>
        <v>0</v>
      </c>
      <c r="BJ49" s="25">
        <f t="shared" si="2"/>
        <v>0</v>
      </c>
      <c r="BK49" s="25">
        <f t="shared" si="3"/>
        <v>0</v>
      </c>
      <c r="BL49" s="25">
        <f t="shared" si="4"/>
        <v>0</v>
      </c>
      <c r="BM49" s="25">
        <f t="shared" si="5"/>
        <v>0</v>
      </c>
    </row>
    <row r="50" spans="1:65" ht="16.5" hidden="1" thickBot="1" x14ac:dyDescent="0.3">
      <c r="A50" s="139"/>
      <c r="B50" s="797" t="s">
        <v>968</v>
      </c>
      <c r="C50" s="2880" t="s">
        <v>836</v>
      </c>
      <c r="D50" s="2881" t="s">
        <v>50</v>
      </c>
      <c r="E50" s="2882"/>
      <c r="F50" s="7594"/>
      <c r="G50" s="2882"/>
      <c r="H50" s="6209"/>
      <c r="I50" s="2884"/>
      <c r="J50" s="41">
        <f t="shared" si="10"/>
        <v>0</v>
      </c>
      <c r="K50" s="2882"/>
      <c r="L50" s="5722"/>
      <c r="M50" s="1651"/>
      <c r="N50" s="586">
        <f t="shared" si="11"/>
        <v>0</v>
      </c>
      <c r="O50" s="2882"/>
      <c r="P50" s="5857"/>
      <c r="Q50" s="1650"/>
      <c r="R50" s="349">
        <f t="shared" si="12"/>
        <v>0</v>
      </c>
      <c r="S50" s="2882"/>
      <c r="T50" s="5940"/>
      <c r="U50" s="4351"/>
      <c r="V50" s="349">
        <f t="shared" si="13"/>
        <v>0</v>
      </c>
      <c r="W50" s="2882"/>
      <c r="X50" s="6043"/>
      <c r="Y50" s="1653"/>
      <c r="Z50" s="4598">
        <f t="shared" si="6"/>
        <v>0</v>
      </c>
      <c r="AA50" s="629"/>
      <c r="AB50" s="4599">
        <f t="shared" si="7"/>
        <v>0</v>
      </c>
      <c r="AC50" s="2882"/>
      <c r="AD50" s="6169"/>
      <c r="AE50" s="2236"/>
      <c r="AF50" s="349">
        <f t="shared" si="14"/>
        <v>0</v>
      </c>
      <c r="AG50" s="2882"/>
      <c r="AH50" s="6337"/>
      <c r="AI50" s="4635"/>
      <c r="AJ50" s="349">
        <f t="shared" si="21"/>
        <v>0</v>
      </c>
      <c r="AK50" s="2882"/>
      <c r="AL50" s="6600"/>
      <c r="AM50" s="2449"/>
      <c r="AN50" s="4598">
        <f t="shared" si="8"/>
        <v>0</v>
      </c>
      <c r="AO50" s="2236"/>
      <c r="AP50" s="349">
        <f t="shared" si="16"/>
        <v>0</v>
      </c>
      <c r="AQ50" s="2882"/>
      <c r="AR50" s="4979"/>
      <c r="AS50" s="2236"/>
      <c r="AT50" s="4975">
        <f t="shared" si="17"/>
        <v>0</v>
      </c>
      <c r="AU50" s="2882"/>
      <c r="AV50" s="6852"/>
      <c r="AW50" s="5036"/>
      <c r="AX50" s="349">
        <f t="shared" si="18"/>
        <v>0</v>
      </c>
      <c r="AY50" s="2882"/>
      <c r="AZ50" s="7008"/>
      <c r="BA50" s="2449"/>
      <c r="BB50" s="2449">
        <f t="shared" si="9"/>
        <v>0</v>
      </c>
      <c r="BC50" s="629"/>
      <c r="BD50" s="629">
        <f t="shared" si="19"/>
        <v>0</v>
      </c>
      <c r="BE50" s="2236"/>
      <c r="BF50" s="5106">
        <f t="shared" si="20"/>
        <v>0</v>
      </c>
      <c r="BG50" s="1137"/>
      <c r="BH50" s="4234">
        <f t="shared" si="0"/>
        <v>0</v>
      </c>
      <c r="BI50" s="4234">
        <f t="shared" si="1"/>
        <v>0</v>
      </c>
      <c r="BJ50" s="25">
        <f t="shared" si="2"/>
        <v>0</v>
      </c>
      <c r="BK50" s="25">
        <f t="shared" si="3"/>
        <v>0</v>
      </c>
      <c r="BL50" s="25">
        <f t="shared" si="4"/>
        <v>0</v>
      </c>
      <c r="BM50" s="25">
        <f t="shared" si="5"/>
        <v>0</v>
      </c>
    </row>
    <row r="51" spans="1:65" ht="16.5" hidden="1" thickBot="1" x14ac:dyDescent="0.3">
      <c r="A51" s="139"/>
      <c r="B51" s="797" t="s">
        <v>968</v>
      </c>
      <c r="C51" s="2880" t="s">
        <v>1094</v>
      </c>
      <c r="D51" s="2881" t="s">
        <v>50</v>
      </c>
      <c r="E51" s="2882"/>
      <c r="F51" s="7594"/>
      <c r="G51" s="2882"/>
      <c r="H51" s="6209"/>
      <c r="I51" s="2884"/>
      <c r="J51" s="41">
        <f t="shared" si="10"/>
        <v>0</v>
      </c>
      <c r="K51" s="2882"/>
      <c r="L51" s="5722"/>
      <c r="M51" s="2885"/>
      <c r="N51" s="586">
        <f t="shared" si="11"/>
        <v>0</v>
      </c>
      <c r="O51" s="2882"/>
      <c r="P51" s="5857"/>
      <c r="Q51" s="2884"/>
      <c r="R51" s="349">
        <f t="shared" si="12"/>
        <v>0</v>
      </c>
      <c r="S51" s="2882"/>
      <c r="T51" s="5940"/>
      <c r="U51" s="4355"/>
      <c r="V51" s="349">
        <f t="shared" si="13"/>
        <v>0</v>
      </c>
      <c r="W51" s="2882"/>
      <c r="X51" s="6043"/>
      <c r="Y51" s="2886"/>
      <c r="Z51" s="4598">
        <f t="shared" si="6"/>
        <v>0</v>
      </c>
      <c r="AA51" s="629"/>
      <c r="AB51" s="4599">
        <f t="shared" si="7"/>
        <v>0</v>
      </c>
      <c r="AC51" s="2882"/>
      <c r="AD51" s="6169"/>
      <c r="AE51" s="2884"/>
      <c r="AF51" s="349">
        <f t="shared" si="14"/>
        <v>0</v>
      </c>
      <c r="AG51" s="2882"/>
      <c r="AH51" s="6337"/>
      <c r="AI51" s="4647"/>
      <c r="AJ51" s="349">
        <f t="shared" si="21"/>
        <v>0</v>
      </c>
      <c r="AK51" s="2882"/>
      <c r="AL51" s="6600"/>
      <c r="AM51" s="2886"/>
      <c r="AN51" s="4598">
        <f t="shared" si="8"/>
        <v>0</v>
      </c>
      <c r="AO51" s="2236"/>
      <c r="AP51" s="349">
        <f t="shared" si="16"/>
        <v>0</v>
      </c>
      <c r="AQ51" s="2882"/>
      <c r="AR51" s="4979"/>
      <c r="AS51" s="2884"/>
      <c r="AT51" s="4975">
        <f t="shared" si="17"/>
        <v>0</v>
      </c>
      <c r="AU51" s="2882"/>
      <c r="AV51" s="6852"/>
      <c r="AW51" s="5040"/>
      <c r="AX51" s="349">
        <f t="shared" si="18"/>
        <v>0</v>
      </c>
      <c r="AY51" s="2882"/>
      <c r="AZ51" s="7008"/>
      <c r="BA51" s="2886"/>
      <c r="BB51" s="2449">
        <f t="shared" si="9"/>
        <v>0</v>
      </c>
      <c r="BC51" s="629"/>
      <c r="BD51" s="629">
        <f t="shared" si="19"/>
        <v>0</v>
      </c>
      <c r="BE51" s="2236"/>
      <c r="BF51" s="5106">
        <f t="shared" si="20"/>
        <v>0</v>
      </c>
      <c r="BG51" s="1137"/>
      <c r="BH51" s="4234">
        <f t="shared" si="0"/>
        <v>0</v>
      </c>
      <c r="BI51" s="4234">
        <f t="shared" si="1"/>
        <v>0</v>
      </c>
      <c r="BJ51" s="25">
        <f t="shared" si="2"/>
        <v>0</v>
      </c>
      <c r="BK51" s="25">
        <f t="shared" si="3"/>
        <v>0</v>
      </c>
      <c r="BL51" s="25">
        <f t="shared" si="4"/>
        <v>0</v>
      </c>
      <c r="BM51" s="25">
        <f t="shared" si="5"/>
        <v>0</v>
      </c>
    </row>
    <row r="52" spans="1:65" ht="16.5" hidden="1" thickBot="1" x14ac:dyDescent="0.3">
      <c r="A52" s="139"/>
      <c r="B52" s="3157" t="s">
        <v>968</v>
      </c>
      <c r="C52" s="3158" t="s">
        <v>1095</v>
      </c>
      <c r="D52" s="3159" t="s">
        <v>50</v>
      </c>
      <c r="E52" s="3160"/>
      <c r="F52" s="105"/>
      <c r="G52" s="3160"/>
      <c r="H52" s="105"/>
      <c r="I52" s="557"/>
      <c r="J52" s="41">
        <f t="shared" si="10"/>
        <v>0</v>
      </c>
      <c r="K52" s="3160"/>
      <c r="L52" s="105"/>
      <c r="M52" s="732"/>
      <c r="N52" s="586">
        <f t="shared" si="11"/>
        <v>0</v>
      </c>
      <c r="O52" s="3160"/>
      <c r="P52" s="105"/>
      <c r="Q52" s="733"/>
      <c r="R52" s="349">
        <f t="shared" si="12"/>
        <v>0</v>
      </c>
      <c r="S52" s="3160"/>
      <c r="T52" s="105"/>
      <c r="U52" s="4351"/>
      <c r="V52" s="349">
        <f t="shared" si="13"/>
        <v>0</v>
      </c>
      <c r="W52" s="3160"/>
      <c r="X52" s="105">
        <v>1535.4499999999998</v>
      </c>
      <c r="Y52" s="543"/>
      <c r="Z52" s="4598">
        <f t="shared" si="6"/>
        <v>1535.4499999999998</v>
      </c>
      <c r="AA52" s="629"/>
      <c r="AB52" s="4599">
        <f t="shared" si="7"/>
        <v>1535.4499999999998</v>
      </c>
      <c r="AC52" s="3160"/>
      <c r="AD52" s="105"/>
      <c r="AE52" s="2236"/>
      <c r="AF52" s="349">
        <f t="shared" si="14"/>
        <v>1535.4499999999998</v>
      </c>
      <c r="AG52" s="3160"/>
      <c r="AH52" s="105">
        <v>760.55000000000007</v>
      </c>
      <c r="AI52" s="4635"/>
      <c r="AJ52" s="349">
        <f t="shared" si="21"/>
        <v>2296</v>
      </c>
      <c r="AK52" s="3160"/>
      <c r="AL52" s="105">
        <f>1113.15-4.1-2.05</f>
        <v>1107.0000000000002</v>
      </c>
      <c r="AM52" s="2449"/>
      <c r="AN52" s="4598">
        <f t="shared" si="8"/>
        <v>1867.5500000000002</v>
      </c>
      <c r="AO52" s="2236"/>
      <c r="AP52" s="349">
        <f t="shared" si="16"/>
        <v>3403</v>
      </c>
      <c r="AQ52" s="3160"/>
      <c r="AR52" s="105">
        <v>1111.0999999999997</v>
      </c>
      <c r="AS52" s="2236"/>
      <c r="AT52" s="4975">
        <f t="shared" si="17"/>
        <v>4514.0999999999995</v>
      </c>
      <c r="AU52" s="3160"/>
      <c r="AV52" s="105"/>
      <c r="AW52" s="5036"/>
      <c r="AX52" s="349">
        <f t="shared" si="18"/>
        <v>4514.0999999999995</v>
      </c>
      <c r="AY52" s="3160"/>
      <c r="AZ52" s="105"/>
      <c r="BA52" s="2449"/>
      <c r="BB52" s="2449">
        <f t="shared" si="9"/>
        <v>1111.0999999999997</v>
      </c>
      <c r="BC52" s="629"/>
      <c r="BD52" s="629">
        <f t="shared" si="19"/>
        <v>2978.6499999999996</v>
      </c>
      <c r="BE52" s="2236"/>
      <c r="BF52" s="5106">
        <f t="shared" si="20"/>
        <v>4514.0999999999995</v>
      </c>
      <c r="BG52" s="1137"/>
      <c r="BH52" s="4234">
        <f t="shared" si="0"/>
        <v>0</v>
      </c>
      <c r="BI52" s="4234">
        <f t="shared" si="1"/>
        <v>0</v>
      </c>
      <c r="BJ52" s="25">
        <f t="shared" si="2"/>
        <v>0</v>
      </c>
      <c r="BK52" s="25">
        <f t="shared" si="3"/>
        <v>0</v>
      </c>
      <c r="BL52" s="25">
        <f t="shared" si="4"/>
        <v>0</v>
      </c>
      <c r="BM52" s="25">
        <f t="shared" si="5"/>
        <v>0</v>
      </c>
    </row>
    <row r="53" spans="1:65" ht="16.5" thickBot="1" x14ac:dyDescent="0.3">
      <c r="A53" s="2094"/>
      <c r="B53" s="3153" t="s">
        <v>832</v>
      </c>
      <c r="C53" s="3154" t="s">
        <v>1316</v>
      </c>
      <c r="D53" s="3155" t="s">
        <v>50</v>
      </c>
      <c r="E53" s="3161"/>
      <c r="F53" s="147"/>
      <c r="G53" s="3161"/>
      <c r="H53" s="147"/>
      <c r="I53" s="349"/>
      <c r="J53" s="41">
        <f t="shared" si="10"/>
        <v>0</v>
      </c>
      <c r="K53" s="3161"/>
      <c r="L53" s="147"/>
      <c r="M53" s="2088"/>
      <c r="N53" s="586">
        <f t="shared" si="11"/>
        <v>0</v>
      </c>
      <c r="O53" s="3161"/>
      <c r="P53" s="147"/>
      <c r="Q53" s="2089"/>
      <c r="R53" s="349">
        <f t="shared" si="12"/>
        <v>0</v>
      </c>
      <c r="S53" s="3161"/>
      <c r="T53" s="147"/>
      <c r="U53" s="4351"/>
      <c r="V53" s="349">
        <f t="shared" si="13"/>
        <v>0</v>
      </c>
      <c r="W53" s="3161"/>
      <c r="X53" s="147"/>
      <c r="Y53" s="2091"/>
      <c r="Z53" s="4598">
        <f t="shared" si="6"/>
        <v>0</v>
      </c>
      <c r="AA53" s="629"/>
      <c r="AB53" s="4599">
        <f t="shared" si="7"/>
        <v>0</v>
      </c>
      <c r="AC53" s="3161"/>
      <c r="AD53" s="147"/>
      <c r="AE53" s="2236"/>
      <c r="AF53" s="349">
        <f t="shared" si="14"/>
        <v>0</v>
      </c>
      <c r="AG53" s="3161"/>
      <c r="AH53" s="147"/>
      <c r="AI53" s="4635"/>
      <c r="AJ53" s="349">
        <f t="shared" si="21"/>
        <v>0</v>
      </c>
      <c r="AK53" s="3161"/>
      <c r="AL53" s="147"/>
      <c r="AM53" s="2449"/>
      <c r="AN53" s="4598">
        <f t="shared" si="8"/>
        <v>0</v>
      </c>
      <c r="AO53" s="2236"/>
      <c r="AP53" s="349">
        <f t="shared" si="16"/>
        <v>0</v>
      </c>
      <c r="AQ53" s="3161"/>
      <c r="AR53" s="147"/>
      <c r="AS53" s="2236"/>
      <c r="AT53" s="4975">
        <f t="shared" si="17"/>
        <v>0</v>
      </c>
      <c r="AU53" s="3161"/>
      <c r="AV53" s="147"/>
      <c r="AW53" s="5036"/>
      <c r="AX53" s="349">
        <f t="shared" si="18"/>
        <v>0</v>
      </c>
      <c r="AY53" s="3161"/>
      <c r="AZ53" s="147"/>
      <c r="BA53" s="2449"/>
      <c r="BB53" s="2449">
        <f t="shared" si="9"/>
        <v>0</v>
      </c>
      <c r="BC53" s="629"/>
      <c r="BD53" s="629">
        <f t="shared" si="19"/>
        <v>0</v>
      </c>
      <c r="BE53" s="2236"/>
      <c r="BF53" s="5106">
        <f t="shared" si="20"/>
        <v>0</v>
      </c>
      <c r="BG53" s="1137"/>
      <c r="BH53" s="4234">
        <f t="shared" si="0"/>
        <v>0</v>
      </c>
      <c r="BI53" s="4234">
        <f t="shared" si="1"/>
        <v>0</v>
      </c>
      <c r="BJ53" s="25">
        <f t="shared" si="2"/>
        <v>0</v>
      </c>
      <c r="BK53" s="25">
        <f t="shared" si="3"/>
        <v>0</v>
      </c>
      <c r="BL53" s="25">
        <f t="shared" si="4"/>
        <v>0</v>
      </c>
      <c r="BM53" s="25">
        <f t="shared" si="5"/>
        <v>0</v>
      </c>
    </row>
    <row r="54" spans="1:65" ht="16.5" thickBot="1" x14ac:dyDescent="0.3">
      <c r="A54" s="2094"/>
      <c r="B54" s="797" t="s">
        <v>832</v>
      </c>
      <c r="C54" s="2880" t="s">
        <v>928</v>
      </c>
      <c r="D54" s="2881" t="s">
        <v>50</v>
      </c>
      <c r="E54" s="2926"/>
      <c r="F54" s="7594"/>
      <c r="G54" s="2926"/>
      <c r="H54" s="6209"/>
      <c r="I54" s="2884"/>
      <c r="J54" s="41">
        <f t="shared" si="10"/>
        <v>0</v>
      </c>
      <c r="K54" s="2926"/>
      <c r="L54" s="5722"/>
      <c r="M54" s="2885"/>
      <c r="N54" s="586">
        <f t="shared" si="11"/>
        <v>0</v>
      </c>
      <c r="O54" s="2926"/>
      <c r="P54" s="5857">
        <v>196.8</v>
      </c>
      <c r="Q54" s="2884"/>
      <c r="R54" s="349">
        <f t="shared" si="12"/>
        <v>196.8</v>
      </c>
      <c r="S54" s="2926"/>
      <c r="T54" s="5940">
        <f>127.1-4.1</f>
        <v>123</v>
      </c>
      <c r="U54" s="4355"/>
      <c r="V54" s="349">
        <f t="shared" si="13"/>
        <v>319.8</v>
      </c>
      <c r="W54" s="2926"/>
      <c r="X54" s="6043"/>
      <c r="Y54" s="2886"/>
      <c r="Z54" s="4598">
        <f t="shared" si="6"/>
        <v>319.8</v>
      </c>
      <c r="AA54" s="3119"/>
      <c r="AB54" s="4599">
        <f t="shared" si="7"/>
        <v>319.8</v>
      </c>
      <c r="AC54" s="2926"/>
      <c r="AD54" s="6169">
        <v>422.29999999999995</v>
      </c>
      <c r="AE54" s="2884"/>
      <c r="AF54" s="349">
        <f t="shared" si="14"/>
        <v>742.09999999999991</v>
      </c>
      <c r="AG54" s="2926"/>
      <c r="AH54" s="6337"/>
      <c r="AI54" s="4647"/>
      <c r="AJ54" s="349">
        <f t="shared" si="21"/>
        <v>742.09999999999991</v>
      </c>
      <c r="AK54" s="2926"/>
      <c r="AL54" s="6936"/>
      <c r="AM54" s="2886"/>
      <c r="AN54" s="4598">
        <f t="shared" si="8"/>
        <v>422.29999999999995</v>
      </c>
      <c r="AO54" s="2884"/>
      <c r="AP54" s="349">
        <f t="shared" si="16"/>
        <v>742.09999999999991</v>
      </c>
      <c r="AQ54" s="2926"/>
      <c r="AR54" s="4979"/>
      <c r="AS54" s="2884"/>
      <c r="AT54" s="4975">
        <f t="shared" si="17"/>
        <v>742.09999999999991</v>
      </c>
      <c r="AU54" s="2926"/>
      <c r="AV54" s="6852"/>
      <c r="AW54" s="5040"/>
      <c r="AX54" s="349">
        <f t="shared" si="18"/>
        <v>742.09999999999991</v>
      </c>
      <c r="AY54" s="2926"/>
      <c r="AZ54" s="7008"/>
      <c r="BA54" s="2886"/>
      <c r="BB54" s="2449">
        <f t="shared" si="9"/>
        <v>0</v>
      </c>
      <c r="BC54" s="3119"/>
      <c r="BD54" s="629">
        <f t="shared" si="19"/>
        <v>422.29999999999995</v>
      </c>
      <c r="BE54" s="2884"/>
      <c r="BF54" s="5106">
        <f t="shared" si="20"/>
        <v>742.09999999999991</v>
      </c>
      <c r="BG54" s="1137"/>
      <c r="BH54" s="4234">
        <f t="shared" si="0"/>
        <v>0</v>
      </c>
      <c r="BI54" s="4234">
        <f t="shared" si="1"/>
        <v>0</v>
      </c>
      <c r="BJ54" s="25">
        <f t="shared" si="2"/>
        <v>0</v>
      </c>
      <c r="BK54" s="25">
        <f t="shared" si="3"/>
        <v>0</v>
      </c>
      <c r="BL54" s="25">
        <f t="shared" si="4"/>
        <v>0</v>
      </c>
      <c r="BM54" s="25">
        <f t="shared" si="5"/>
        <v>0</v>
      </c>
    </row>
    <row r="55" spans="1:65" ht="16.5" thickBot="1" x14ac:dyDescent="0.3">
      <c r="A55" s="2094"/>
      <c r="B55" s="797" t="s">
        <v>832</v>
      </c>
      <c r="C55" s="2880" t="s">
        <v>930</v>
      </c>
      <c r="D55" s="2881" t="s">
        <v>50</v>
      </c>
      <c r="E55" s="2926"/>
      <c r="F55" s="7588">
        <f>8.2+8.2</f>
        <v>16.399999999999999</v>
      </c>
      <c r="G55" s="2926"/>
      <c r="H55" s="6207">
        <f>123+100.45</f>
        <v>223.45</v>
      </c>
      <c r="I55" s="2884"/>
      <c r="J55" s="41">
        <f t="shared" si="10"/>
        <v>239.85</v>
      </c>
      <c r="K55" s="2926"/>
      <c r="L55" s="5718">
        <v>166.04999999999998</v>
      </c>
      <c r="M55" s="2088"/>
      <c r="N55" s="586">
        <f t="shared" si="11"/>
        <v>405.9</v>
      </c>
      <c r="O55" s="2926"/>
      <c r="P55" s="5849">
        <v>223.45</v>
      </c>
      <c r="Q55" s="2089"/>
      <c r="R55" s="349">
        <f t="shared" si="12"/>
        <v>629.34999999999991</v>
      </c>
      <c r="S55" s="2926"/>
      <c r="T55" s="5938"/>
      <c r="U55" s="4351"/>
      <c r="V55" s="349">
        <f t="shared" si="13"/>
        <v>629.34999999999991</v>
      </c>
      <c r="W55" s="2926"/>
      <c r="X55" s="6038">
        <v>102.5</v>
      </c>
      <c r="Y55" s="2091"/>
      <c r="Z55" s="4598">
        <f t="shared" si="6"/>
        <v>325.95</v>
      </c>
      <c r="AA55" s="629"/>
      <c r="AB55" s="4599">
        <f t="shared" si="7"/>
        <v>731.84999999999991</v>
      </c>
      <c r="AC55" s="2926"/>
      <c r="AD55" s="6164">
        <f>106.6+26.65</f>
        <v>133.25</v>
      </c>
      <c r="AE55" s="2236"/>
      <c r="AF55" s="349">
        <f t="shared" si="14"/>
        <v>865.09999999999991</v>
      </c>
      <c r="AG55" s="2926"/>
      <c r="AH55" s="6333"/>
      <c r="AI55" s="4635"/>
      <c r="AJ55" s="349">
        <f t="shared" si="21"/>
        <v>865.09999999999991</v>
      </c>
      <c r="AK55" s="2926"/>
      <c r="AL55" s="6935">
        <f>102.5+774.9+18.45</f>
        <v>895.85</v>
      </c>
      <c r="AM55" s="2449"/>
      <c r="AN55" s="4598">
        <f t="shared" si="8"/>
        <v>1029.0999999999999</v>
      </c>
      <c r="AO55" s="2236"/>
      <c r="AP55" s="349">
        <f t="shared" si="16"/>
        <v>1760.9499999999998</v>
      </c>
      <c r="AQ55" s="2926"/>
      <c r="AR55" s="4976">
        <v>71.75</v>
      </c>
      <c r="AS55" s="2236"/>
      <c r="AT55" s="4975">
        <f t="shared" si="17"/>
        <v>1832.6999999999998</v>
      </c>
      <c r="AU55" s="2926"/>
      <c r="AV55" s="6845"/>
      <c r="AW55" s="5036"/>
      <c r="AX55" s="349">
        <f t="shared" si="18"/>
        <v>1832.6999999999998</v>
      </c>
      <c r="AY55" s="2926"/>
      <c r="AZ55" s="6998">
        <f>233.7+805.65+24.6+12.3</f>
        <v>1076.2499999999998</v>
      </c>
      <c r="BA55" s="2449"/>
      <c r="BB55" s="2449">
        <f t="shared" si="9"/>
        <v>1147.9999999999998</v>
      </c>
      <c r="BC55" s="629"/>
      <c r="BD55" s="629">
        <f t="shared" si="19"/>
        <v>2177.0999999999995</v>
      </c>
      <c r="BE55" s="2236"/>
      <c r="BF55" s="5106">
        <f t="shared" si="20"/>
        <v>2908.95</v>
      </c>
      <c r="BG55" s="1137"/>
      <c r="BH55" s="4234">
        <f t="shared" si="0"/>
        <v>0</v>
      </c>
      <c r="BI55" s="4234">
        <f t="shared" si="1"/>
        <v>0</v>
      </c>
      <c r="BJ55" s="25">
        <f t="shared" si="2"/>
        <v>0</v>
      </c>
      <c r="BK55" s="25">
        <f t="shared" si="3"/>
        <v>0</v>
      </c>
      <c r="BL55" s="25">
        <f t="shared" si="4"/>
        <v>0</v>
      </c>
      <c r="BM55" s="25">
        <f t="shared" si="5"/>
        <v>0</v>
      </c>
    </row>
    <row r="56" spans="1:65" ht="16.5" thickBot="1" x14ac:dyDescent="0.3">
      <c r="A56" s="2094"/>
      <c r="B56" s="797" t="s">
        <v>832</v>
      </c>
      <c r="C56" s="2880" t="s">
        <v>1077</v>
      </c>
      <c r="D56" s="2881" t="s">
        <v>50</v>
      </c>
      <c r="E56" s="2926"/>
      <c r="F56" s="7588">
        <f>1869.6-8.2</f>
        <v>1861.3999999999999</v>
      </c>
      <c r="G56" s="2926"/>
      <c r="H56" s="6207">
        <v>2402.5999999999995</v>
      </c>
      <c r="I56" s="2884"/>
      <c r="J56" s="41">
        <f t="shared" si="10"/>
        <v>4263.9999999999991</v>
      </c>
      <c r="K56" s="2926"/>
      <c r="L56" s="5718"/>
      <c r="M56" s="2088"/>
      <c r="N56" s="586">
        <f t="shared" si="11"/>
        <v>4263.9999999999991</v>
      </c>
      <c r="O56" s="2926"/>
      <c r="P56" s="5849"/>
      <c r="Q56" s="2089"/>
      <c r="R56" s="349">
        <f t="shared" si="12"/>
        <v>4263.9999999999991</v>
      </c>
      <c r="S56" s="2926"/>
      <c r="T56" s="5938">
        <v>940.95000000000016</v>
      </c>
      <c r="U56" s="4351"/>
      <c r="V56" s="349">
        <f t="shared" si="13"/>
        <v>5204.9499999999989</v>
      </c>
      <c r="W56" s="2926"/>
      <c r="X56" s="6038">
        <v>1281.25</v>
      </c>
      <c r="Y56" s="2091"/>
      <c r="Z56" s="4598">
        <f t="shared" si="6"/>
        <v>2222.2000000000003</v>
      </c>
      <c r="AA56" s="629"/>
      <c r="AB56" s="4599">
        <f t="shared" si="7"/>
        <v>6486.1999999999989</v>
      </c>
      <c r="AC56" s="2926"/>
      <c r="AD56" s="6164">
        <f>243.95-24.6</f>
        <v>219.35</v>
      </c>
      <c r="AE56" s="2236"/>
      <c r="AF56" s="349">
        <f t="shared" si="14"/>
        <v>6705.5499999999993</v>
      </c>
      <c r="AG56" s="2926"/>
      <c r="AH56" s="6333">
        <f>1055.75-4.1</f>
        <v>1051.6500000000001</v>
      </c>
      <c r="AI56" s="4635"/>
      <c r="AJ56" s="349">
        <f t="shared" si="21"/>
        <v>7757.1999999999989</v>
      </c>
      <c r="AK56" s="2926"/>
      <c r="AL56" s="6935">
        <f>1391.95-2.05</f>
        <v>1389.9</v>
      </c>
      <c r="AM56" s="2449"/>
      <c r="AN56" s="4598">
        <f t="shared" si="8"/>
        <v>2660.9</v>
      </c>
      <c r="AO56" s="2236"/>
      <c r="AP56" s="349">
        <f t="shared" si="16"/>
        <v>9147.0999999999985</v>
      </c>
      <c r="AQ56" s="2926"/>
      <c r="AR56" s="4976">
        <v>1022.9500000000002</v>
      </c>
      <c r="AS56" s="2236"/>
      <c r="AT56" s="4975">
        <f t="shared" si="17"/>
        <v>10170.049999999999</v>
      </c>
      <c r="AU56" s="2926"/>
      <c r="AV56" s="6845">
        <f>1605.15</f>
        <v>1605.15</v>
      </c>
      <c r="AW56" s="5036"/>
      <c r="AX56" s="349">
        <f t="shared" si="18"/>
        <v>11775.199999999999</v>
      </c>
      <c r="AY56" s="2926"/>
      <c r="AZ56" s="6998">
        <f>2890.5-24.6</f>
        <v>2865.9</v>
      </c>
      <c r="BA56" s="2449"/>
      <c r="BB56" s="2449">
        <f t="shared" si="9"/>
        <v>5494</v>
      </c>
      <c r="BC56" s="629"/>
      <c r="BD56" s="629">
        <f t="shared" si="19"/>
        <v>8154.9</v>
      </c>
      <c r="BE56" s="2236"/>
      <c r="BF56" s="5106">
        <f t="shared" si="20"/>
        <v>14641.099999999999</v>
      </c>
      <c r="BG56" s="1137"/>
      <c r="BH56" s="4234">
        <f t="shared" si="0"/>
        <v>0</v>
      </c>
      <c r="BI56" s="4234">
        <f t="shared" si="1"/>
        <v>0</v>
      </c>
      <c r="BJ56" s="25">
        <f t="shared" si="2"/>
        <v>0</v>
      </c>
      <c r="BK56" s="25">
        <f t="shared" si="3"/>
        <v>0</v>
      </c>
      <c r="BL56" s="25">
        <f t="shared" si="4"/>
        <v>0</v>
      </c>
      <c r="BM56" s="25">
        <f t="shared" si="5"/>
        <v>0</v>
      </c>
    </row>
    <row r="57" spans="1:65" ht="16.5" thickBot="1" x14ac:dyDescent="0.3">
      <c r="A57" s="2094"/>
      <c r="B57" s="797" t="s">
        <v>832</v>
      </c>
      <c r="C57" s="2880" t="s">
        <v>1091</v>
      </c>
      <c r="D57" s="2881" t="s">
        <v>50</v>
      </c>
      <c r="E57" s="2926"/>
      <c r="F57" s="7594">
        <v>198.85000000000002</v>
      </c>
      <c r="G57" s="2926"/>
      <c r="H57" s="6209">
        <v>342.34999999999997</v>
      </c>
      <c r="I57" s="2884"/>
      <c r="J57" s="41">
        <f t="shared" si="10"/>
        <v>541.20000000000005</v>
      </c>
      <c r="K57" s="2926"/>
      <c r="L57" s="5722">
        <v>578.1</v>
      </c>
      <c r="M57" s="2088"/>
      <c r="N57" s="586">
        <f t="shared" si="11"/>
        <v>1119.3000000000002</v>
      </c>
      <c r="O57" s="2926"/>
      <c r="P57" s="5857">
        <v>260.35000000000002</v>
      </c>
      <c r="Q57" s="2089"/>
      <c r="R57" s="349">
        <f t="shared" si="12"/>
        <v>1379.65</v>
      </c>
      <c r="S57" s="2926"/>
      <c r="T57" s="5940">
        <v>744.15</v>
      </c>
      <c r="U57" s="4351"/>
      <c r="V57" s="349">
        <f t="shared" si="13"/>
        <v>2123.8000000000002</v>
      </c>
      <c r="W57" s="2926"/>
      <c r="X57" s="6043"/>
      <c r="Y57" s="2091"/>
      <c r="Z57" s="4598">
        <f t="shared" si="6"/>
        <v>1004.5</v>
      </c>
      <c r="AA57" s="629"/>
      <c r="AB57" s="4599">
        <f t="shared" si="7"/>
        <v>2123.8000000000002</v>
      </c>
      <c r="AC57" s="2926"/>
      <c r="AD57" s="6169"/>
      <c r="AE57" s="2236"/>
      <c r="AF57" s="349">
        <f t="shared" si="14"/>
        <v>2123.8000000000002</v>
      </c>
      <c r="AG57" s="2926"/>
      <c r="AH57" s="6337"/>
      <c r="AI57" s="4635"/>
      <c r="AJ57" s="4635">
        <f t="shared" si="21"/>
        <v>2123.8000000000002</v>
      </c>
      <c r="AK57" s="2926"/>
      <c r="AL57" s="6936">
        <f>471.5-4.1</f>
        <v>467.4</v>
      </c>
      <c r="AM57" s="2449"/>
      <c r="AN57" s="4598">
        <f t="shared" si="8"/>
        <v>467.4</v>
      </c>
      <c r="AO57" s="2236"/>
      <c r="AP57" s="349">
        <f t="shared" si="16"/>
        <v>2591.2000000000003</v>
      </c>
      <c r="AQ57" s="2926"/>
      <c r="AR57" s="4979">
        <v>362.85</v>
      </c>
      <c r="AS57" s="2236"/>
      <c r="AT57" s="4975">
        <f t="shared" si="17"/>
        <v>2954.05</v>
      </c>
      <c r="AU57" s="2926"/>
      <c r="AV57" s="6852"/>
      <c r="AW57" s="5036"/>
      <c r="AX57" s="349">
        <f t="shared" si="18"/>
        <v>2954.05</v>
      </c>
      <c r="AY57" s="2926"/>
      <c r="AZ57" s="7008">
        <v>328</v>
      </c>
      <c r="BA57" s="2449"/>
      <c r="BB57" s="2449">
        <f t="shared" si="9"/>
        <v>690.85</v>
      </c>
      <c r="BC57" s="629"/>
      <c r="BD57" s="629">
        <f t="shared" si="19"/>
        <v>1158.25</v>
      </c>
      <c r="BE57" s="2236"/>
      <c r="BF57" s="5106">
        <f t="shared" si="20"/>
        <v>3282.05</v>
      </c>
      <c r="BG57" s="1137"/>
      <c r="BH57" s="4234">
        <f t="shared" si="0"/>
        <v>0</v>
      </c>
      <c r="BI57" s="4234">
        <f t="shared" si="1"/>
        <v>0</v>
      </c>
      <c r="BJ57" s="25">
        <f t="shared" si="2"/>
        <v>0</v>
      </c>
      <c r="BK57" s="25">
        <f t="shared" si="3"/>
        <v>0</v>
      </c>
      <c r="BL57" s="25">
        <f t="shared" si="4"/>
        <v>0</v>
      </c>
      <c r="BM57" s="25">
        <f t="shared" si="5"/>
        <v>0</v>
      </c>
    </row>
    <row r="58" spans="1:65" s="4487" customFormat="1" ht="16.5" thickBot="1" x14ac:dyDescent="0.3">
      <c r="A58" s="2094"/>
      <c r="B58" s="5116" t="s">
        <v>832</v>
      </c>
      <c r="C58" s="5058" t="s">
        <v>1851</v>
      </c>
      <c r="D58" s="2881" t="s">
        <v>50</v>
      </c>
      <c r="E58" s="5117"/>
      <c r="F58" s="5118"/>
      <c r="G58" s="5117"/>
      <c r="H58" s="5118">
        <v>225.5</v>
      </c>
      <c r="I58" s="5119"/>
      <c r="J58" s="41">
        <f t="shared" si="10"/>
        <v>225.5</v>
      </c>
      <c r="K58" s="5117"/>
      <c r="L58" s="5118">
        <v>209.1</v>
      </c>
      <c r="M58" s="5121"/>
      <c r="N58" s="586">
        <f t="shared" si="11"/>
        <v>434.6</v>
      </c>
      <c r="O58" s="5117"/>
      <c r="P58" s="5118"/>
      <c r="Q58" s="5119"/>
      <c r="R58" s="349">
        <f t="shared" si="12"/>
        <v>434.6</v>
      </c>
      <c r="S58" s="5117"/>
      <c r="T58" s="5118"/>
      <c r="U58" s="5119"/>
      <c r="V58" s="349">
        <f t="shared" si="13"/>
        <v>434.6</v>
      </c>
      <c r="W58" s="5117"/>
      <c r="X58" s="5118"/>
      <c r="Y58" s="5122"/>
      <c r="Z58" s="4598">
        <f t="shared" si="6"/>
        <v>0</v>
      </c>
      <c r="AA58" s="5123"/>
      <c r="AB58" s="4599">
        <f t="shared" si="7"/>
        <v>434.6</v>
      </c>
      <c r="AC58" s="5117"/>
      <c r="AD58" s="5118"/>
      <c r="AE58" s="5119"/>
      <c r="AF58" s="349">
        <f t="shared" si="14"/>
        <v>434.6</v>
      </c>
      <c r="AG58" s="5117"/>
      <c r="AH58" s="5118"/>
      <c r="AI58" s="5119"/>
      <c r="AJ58" s="349">
        <f>+AF58+AH58</f>
        <v>434.6</v>
      </c>
      <c r="AK58" s="5117"/>
      <c r="AL58" s="5118"/>
      <c r="AM58" s="5122"/>
      <c r="AN58" s="4598">
        <f t="shared" si="8"/>
        <v>0</v>
      </c>
      <c r="AO58" s="5119"/>
      <c r="AP58" s="349">
        <f t="shared" si="16"/>
        <v>434.6</v>
      </c>
      <c r="AQ58" s="5117"/>
      <c r="AR58" s="5118"/>
      <c r="AS58" s="5119"/>
      <c r="AT58" s="5119">
        <f t="shared" si="17"/>
        <v>434.6</v>
      </c>
      <c r="AU58" s="5117"/>
      <c r="AV58" s="5118"/>
      <c r="AW58" s="5119"/>
      <c r="AX58" s="349">
        <f t="shared" si="18"/>
        <v>434.6</v>
      </c>
      <c r="AY58" s="5117"/>
      <c r="AZ58" s="5118"/>
      <c r="BA58" s="5122"/>
      <c r="BB58" s="2449">
        <f t="shared" si="9"/>
        <v>0</v>
      </c>
      <c r="BC58" s="5123"/>
      <c r="BD58" s="629">
        <f t="shared" si="19"/>
        <v>0</v>
      </c>
      <c r="BE58" s="5119"/>
      <c r="BF58" s="5115">
        <f t="shared" si="20"/>
        <v>434.6</v>
      </c>
      <c r="BG58" s="1137"/>
      <c r="BH58" s="4234">
        <f t="shared" si="0"/>
        <v>0</v>
      </c>
      <c r="BI58" s="4234">
        <f t="shared" si="1"/>
        <v>0</v>
      </c>
      <c r="BJ58" s="25">
        <f t="shared" si="2"/>
        <v>0</v>
      </c>
      <c r="BK58" s="25">
        <f t="shared" si="3"/>
        <v>0</v>
      </c>
      <c r="BL58" s="25">
        <f t="shared" si="4"/>
        <v>0</v>
      </c>
      <c r="BM58" s="25">
        <f t="shared" si="5"/>
        <v>0</v>
      </c>
    </row>
    <row r="59" spans="1:65" ht="16.5" customHeight="1" thickBot="1" x14ac:dyDescent="0.3">
      <c r="A59" s="2094"/>
      <c r="B59" s="797" t="s">
        <v>832</v>
      </c>
      <c r="C59" s="2880" t="s">
        <v>935</v>
      </c>
      <c r="D59" s="2881" t="s">
        <v>50</v>
      </c>
      <c r="E59" s="2926"/>
      <c r="F59" s="7594"/>
      <c r="G59" s="2926"/>
      <c r="H59" s="6209"/>
      <c r="I59" s="2884"/>
      <c r="J59" s="41">
        <f t="shared" si="10"/>
        <v>0</v>
      </c>
      <c r="K59" s="2926"/>
      <c r="L59" s="5722"/>
      <c r="M59" s="2088"/>
      <c r="N59" s="586">
        <f t="shared" si="11"/>
        <v>0</v>
      </c>
      <c r="O59" s="2926"/>
      <c r="P59" s="5857"/>
      <c r="Q59" s="2089"/>
      <c r="R59" s="349">
        <f t="shared" si="12"/>
        <v>0</v>
      </c>
      <c r="S59" s="2926"/>
      <c r="T59" s="5940">
        <v>198.85</v>
      </c>
      <c r="U59" s="4351"/>
      <c r="V59" s="349">
        <f t="shared" si="13"/>
        <v>198.85</v>
      </c>
      <c r="W59" s="2926"/>
      <c r="X59" s="6043"/>
      <c r="Y59" s="2091"/>
      <c r="Z59" s="4598">
        <f t="shared" si="6"/>
        <v>198.85</v>
      </c>
      <c r="AA59" s="629"/>
      <c r="AB59" s="4599">
        <f t="shared" si="7"/>
        <v>198.85</v>
      </c>
      <c r="AC59" s="2926"/>
      <c r="AD59" s="6169"/>
      <c r="AE59" s="2236"/>
      <c r="AF59" s="349">
        <f t="shared" si="14"/>
        <v>198.85</v>
      </c>
      <c r="AG59" s="2926"/>
      <c r="AH59" s="6337"/>
      <c r="AI59" s="4635"/>
      <c r="AJ59" s="4635">
        <f t="shared" si="21"/>
        <v>198.85</v>
      </c>
      <c r="AK59" s="2926"/>
      <c r="AL59" s="6936"/>
      <c r="AM59" s="2449"/>
      <c r="AN59" s="4598">
        <f t="shared" si="8"/>
        <v>0</v>
      </c>
      <c r="AO59" s="2236"/>
      <c r="AP59" s="349">
        <f t="shared" si="16"/>
        <v>198.85</v>
      </c>
      <c r="AQ59" s="2926"/>
      <c r="AR59" s="4979"/>
      <c r="AS59" s="2236"/>
      <c r="AT59" s="4975">
        <f t="shared" si="17"/>
        <v>198.85</v>
      </c>
      <c r="AU59" s="2926"/>
      <c r="AV59" s="6852"/>
      <c r="AW59" s="5036"/>
      <c r="AX59" s="349">
        <f t="shared" si="18"/>
        <v>198.85</v>
      </c>
      <c r="AY59" s="2926"/>
      <c r="AZ59" s="7008"/>
      <c r="BA59" s="2449"/>
      <c r="BB59" s="2449">
        <f t="shared" si="9"/>
        <v>0</v>
      </c>
      <c r="BC59" s="629"/>
      <c r="BD59" s="629">
        <f t="shared" si="19"/>
        <v>0</v>
      </c>
      <c r="BE59" s="2236"/>
      <c r="BF59" s="5115">
        <f t="shared" si="20"/>
        <v>198.85</v>
      </c>
      <c r="BG59" s="1137"/>
      <c r="BH59" s="4234">
        <f t="shared" si="0"/>
        <v>0</v>
      </c>
      <c r="BI59" s="4234">
        <f t="shared" si="1"/>
        <v>0</v>
      </c>
      <c r="BJ59" s="25">
        <f t="shared" si="2"/>
        <v>0</v>
      </c>
      <c r="BK59" s="25">
        <f t="shared" si="3"/>
        <v>0</v>
      </c>
      <c r="BL59" s="25">
        <f t="shared" si="4"/>
        <v>0</v>
      </c>
      <c r="BM59" s="25">
        <f t="shared" si="5"/>
        <v>0</v>
      </c>
    </row>
    <row r="60" spans="1:65" ht="16.5" thickBot="1" x14ac:dyDescent="0.3">
      <c r="A60" s="2094"/>
      <c r="B60" s="797" t="s">
        <v>832</v>
      </c>
      <c r="C60" s="2880" t="s">
        <v>836</v>
      </c>
      <c r="D60" s="2881" t="s">
        <v>50</v>
      </c>
      <c r="E60" s="2926"/>
      <c r="F60" s="7594">
        <v>762.5999999999998</v>
      </c>
      <c r="G60" s="2926"/>
      <c r="H60" s="6209">
        <f>1920.85-2.05-12.3</f>
        <v>1906.5</v>
      </c>
      <c r="I60" s="2884"/>
      <c r="J60" s="41">
        <f t="shared" si="10"/>
        <v>2669.1</v>
      </c>
      <c r="K60" s="2926"/>
      <c r="L60" s="5722">
        <v>848.69999999999993</v>
      </c>
      <c r="M60" s="2088"/>
      <c r="N60" s="586">
        <f t="shared" si="11"/>
        <v>3517.7999999999997</v>
      </c>
      <c r="O60" s="2926"/>
      <c r="P60" s="5857">
        <v>1406.3</v>
      </c>
      <c r="Q60" s="2089"/>
      <c r="R60" s="349">
        <f t="shared" si="12"/>
        <v>4924.0999999999995</v>
      </c>
      <c r="S60" s="2926"/>
      <c r="T60" s="5940">
        <v>1170.55</v>
      </c>
      <c r="U60" s="4351"/>
      <c r="V60" s="349">
        <f t="shared" si="13"/>
        <v>6094.65</v>
      </c>
      <c r="W60" s="2926"/>
      <c r="X60" s="6043">
        <v>272.64999999999998</v>
      </c>
      <c r="Y60" s="2091"/>
      <c r="Z60" s="4598">
        <f t="shared" si="6"/>
        <v>2849.5</v>
      </c>
      <c r="AA60" s="629"/>
      <c r="AB60" s="4599">
        <f t="shared" si="7"/>
        <v>6367.2999999999993</v>
      </c>
      <c r="AC60" s="2926"/>
      <c r="AD60" s="6169">
        <f>1133.65-26.65</f>
        <v>1107</v>
      </c>
      <c r="AE60" s="2236"/>
      <c r="AF60" s="349">
        <f t="shared" si="14"/>
        <v>7474.2999999999993</v>
      </c>
      <c r="AG60" s="2926"/>
      <c r="AH60" s="6337">
        <v>735.95</v>
      </c>
      <c r="AI60" s="4635"/>
      <c r="AJ60" s="349">
        <f t="shared" si="21"/>
        <v>8210.25</v>
      </c>
      <c r="AK60" s="2926"/>
      <c r="AL60" s="6936">
        <f>1324.3-18.45</f>
        <v>1305.8499999999999</v>
      </c>
      <c r="AM60" s="2449"/>
      <c r="AN60" s="4598">
        <f t="shared" si="8"/>
        <v>3148.8</v>
      </c>
      <c r="AO60" s="2236"/>
      <c r="AP60" s="349">
        <f t="shared" si="16"/>
        <v>9516.1</v>
      </c>
      <c r="AQ60" s="2926"/>
      <c r="AR60" s="4979">
        <f>1355.05-2.05</f>
        <v>1353</v>
      </c>
      <c r="AS60" s="2236"/>
      <c r="AT60" s="4975">
        <f t="shared" si="17"/>
        <v>10869.1</v>
      </c>
      <c r="AU60" s="2926"/>
      <c r="AV60" s="6852">
        <v>973.75</v>
      </c>
      <c r="AW60" s="5036"/>
      <c r="AX60" s="349">
        <f t="shared" si="18"/>
        <v>11842.85</v>
      </c>
      <c r="AY60" s="2926"/>
      <c r="AZ60" s="7008">
        <f>2367.75-12.3</f>
        <v>2355.4499999999998</v>
      </c>
      <c r="BA60" s="2449"/>
      <c r="BB60" s="2449">
        <f t="shared" si="9"/>
        <v>4682.2</v>
      </c>
      <c r="BC60" s="629"/>
      <c r="BD60" s="629">
        <f t="shared" si="19"/>
        <v>7831</v>
      </c>
      <c r="BE60" s="2236"/>
      <c r="BF60" s="5115">
        <f t="shared" si="20"/>
        <v>14198.3</v>
      </c>
      <c r="BG60" s="1137"/>
      <c r="BH60" s="4234">
        <f t="shared" si="0"/>
        <v>0</v>
      </c>
      <c r="BI60" s="4234">
        <f t="shared" si="1"/>
        <v>0</v>
      </c>
      <c r="BJ60" s="25">
        <f t="shared" si="2"/>
        <v>0</v>
      </c>
      <c r="BK60" s="25">
        <f t="shared" si="3"/>
        <v>0</v>
      </c>
      <c r="BL60" s="25">
        <f t="shared" si="4"/>
        <v>0</v>
      </c>
      <c r="BM60" s="25">
        <f t="shared" si="5"/>
        <v>0</v>
      </c>
    </row>
    <row r="61" spans="1:65" ht="16.5" thickBot="1" x14ac:dyDescent="0.3">
      <c r="A61" s="2094"/>
      <c r="B61" s="797" t="s">
        <v>832</v>
      </c>
      <c r="C61" s="2880" t="s">
        <v>929</v>
      </c>
      <c r="D61" s="2881" t="s">
        <v>50</v>
      </c>
      <c r="E61" s="2926"/>
      <c r="F61" s="7594">
        <v>207.05</v>
      </c>
      <c r="G61" s="2926"/>
      <c r="H61" s="6209"/>
      <c r="I61" s="2884"/>
      <c r="J61" s="41">
        <f t="shared" si="10"/>
        <v>207.05</v>
      </c>
      <c r="K61" s="2926"/>
      <c r="L61" s="5722">
        <v>161.95000000000002</v>
      </c>
      <c r="M61" s="2088"/>
      <c r="N61" s="586">
        <f t="shared" si="11"/>
        <v>369</v>
      </c>
      <c r="O61" s="2926"/>
      <c r="P61" s="5857">
        <v>129.14999999999998</v>
      </c>
      <c r="Q61" s="2089"/>
      <c r="R61" s="349">
        <f t="shared" si="12"/>
        <v>498.15</v>
      </c>
      <c r="S61" s="2926"/>
      <c r="T61" s="5940">
        <v>186.55</v>
      </c>
      <c r="U61" s="4351"/>
      <c r="V61" s="349">
        <f t="shared" si="13"/>
        <v>684.7</v>
      </c>
      <c r="W61" s="2926"/>
      <c r="X61" s="6043"/>
      <c r="Y61" s="2091"/>
      <c r="Z61" s="4598">
        <f t="shared" si="6"/>
        <v>315.7</v>
      </c>
      <c r="AA61" s="629"/>
      <c r="AB61" s="4599">
        <f t="shared" si="7"/>
        <v>684.7</v>
      </c>
      <c r="AC61" s="2926"/>
      <c r="AD61" s="6169"/>
      <c r="AE61" s="2236"/>
      <c r="AF61" s="349">
        <f t="shared" si="14"/>
        <v>684.7</v>
      </c>
      <c r="AG61" s="2926"/>
      <c r="AH61" s="6337">
        <v>1207.45</v>
      </c>
      <c r="AI61" s="4635"/>
      <c r="AJ61" s="349">
        <f t="shared" si="21"/>
        <v>1892.15</v>
      </c>
      <c r="AK61" s="2926"/>
      <c r="AL61" s="6936"/>
      <c r="AM61" s="2449"/>
      <c r="AN61" s="4598">
        <f t="shared" si="8"/>
        <v>1207.45</v>
      </c>
      <c r="AO61" s="2236"/>
      <c r="AP61" s="349">
        <f t="shared" si="16"/>
        <v>1892.15</v>
      </c>
      <c r="AQ61" s="2926"/>
      <c r="AR61" s="4979"/>
      <c r="AS61" s="2236"/>
      <c r="AT61" s="4975">
        <f t="shared" si="17"/>
        <v>1892.15</v>
      </c>
      <c r="AU61" s="2926"/>
      <c r="AV61" s="6852"/>
      <c r="AW61" s="5036"/>
      <c r="AX61" s="349">
        <f t="shared" si="18"/>
        <v>1892.15</v>
      </c>
      <c r="AY61" s="2926"/>
      <c r="AZ61" s="7008"/>
      <c r="BA61" s="2449"/>
      <c r="BB61" s="2449">
        <f t="shared" si="9"/>
        <v>0</v>
      </c>
      <c r="BC61" s="629"/>
      <c r="BD61" s="629">
        <f t="shared" si="19"/>
        <v>1207.45</v>
      </c>
      <c r="BE61" s="2236"/>
      <c r="BF61" s="5106">
        <f t="shared" si="20"/>
        <v>1892.15</v>
      </c>
      <c r="BG61" s="1137"/>
      <c r="BH61" s="4234">
        <f t="shared" si="0"/>
        <v>0</v>
      </c>
      <c r="BI61" s="4234">
        <f t="shared" si="1"/>
        <v>0</v>
      </c>
      <c r="BJ61" s="25">
        <f t="shared" si="2"/>
        <v>0</v>
      </c>
      <c r="BK61" s="25">
        <f t="shared" si="3"/>
        <v>0</v>
      </c>
      <c r="BL61" s="25">
        <f t="shared" si="4"/>
        <v>0</v>
      </c>
      <c r="BM61" s="25">
        <f t="shared" si="5"/>
        <v>0</v>
      </c>
    </row>
    <row r="62" spans="1:65" ht="16.5" thickBot="1" x14ac:dyDescent="0.3">
      <c r="A62" s="2094"/>
      <c r="B62" s="797" t="s">
        <v>832</v>
      </c>
      <c r="C62" s="2880" t="s">
        <v>931</v>
      </c>
      <c r="D62" s="2881" t="s">
        <v>50</v>
      </c>
      <c r="E62" s="2926"/>
      <c r="F62" s="7594">
        <v>1156.1999999999998</v>
      </c>
      <c r="G62" s="2926"/>
      <c r="H62" s="6209"/>
      <c r="I62" s="2884"/>
      <c r="J62" s="41">
        <f t="shared" si="10"/>
        <v>1156.1999999999998</v>
      </c>
      <c r="K62" s="2926"/>
      <c r="L62" s="5722">
        <v>399.75</v>
      </c>
      <c r="M62" s="2660"/>
      <c r="N62" s="586">
        <f t="shared" si="11"/>
        <v>1555.9499999999998</v>
      </c>
      <c r="O62" s="2926"/>
      <c r="P62" s="5857">
        <v>791.29999999999973</v>
      </c>
      <c r="Q62" s="2658"/>
      <c r="R62" s="349">
        <f t="shared" si="12"/>
        <v>2347.2499999999995</v>
      </c>
      <c r="S62" s="2926"/>
      <c r="T62" s="5940">
        <v>457.14999999999992</v>
      </c>
      <c r="U62" s="2658"/>
      <c r="V62" s="349">
        <f t="shared" si="13"/>
        <v>2804.3999999999996</v>
      </c>
      <c r="W62" s="2926"/>
      <c r="X62" s="6043">
        <v>563.75</v>
      </c>
      <c r="Y62" s="2661"/>
      <c r="Z62" s="4598">
        <f t="shared" si="6"/>
        <v>1812.1999999999996</v>
      </c>
      <c r="AA62" s="629"/>
      <c r="AB62" s="4599">
        <f t="shared" si="7"/>
        <v>3368.1499999999996</v>
      </c>
      <c r="AC62" s="2926"/>
      <c r="AD62" s="6169">
        <v>430.5</v>
      </c>
      <c r="AE62" s="2658"/>
      <c r="AF62" s="349">
        <f t="shared" si="14"/>
        <v>3798.6499999999996</v>
      </c>
      <c r="AG62" s="2926"/>
      <c r="AH62" s="6337">
        <v>612.95000000000005</v>
      </c>
      <c r="AI62" s="2658"/>
      <c r="AJ62" s="349">
        <f t="shared" si="21"/>
        <v>4411.5999999999995</v>
      </c>
      <c r="AK62" s="2926"/>
      <c r="AL62" s="6936">
        <v>600.65</v>
      </c>
      <c r="AM62" s="2661"/>
      <c r="AN62" s="4598">
        <f t="shared" si="8"/>
        <v>1644.1</v>
      </c>
      <c r="AO62" s="2236"/>
      <c r="AP62" s="349">
        <f t="shared" si="16"/>
        <v>5012.2499999999991</v>
      </c>
      <c r="AQ62" s="2926"/>
      <c r="AR62" s="4979">
        <v>1076.2500000000002</v>
      </c>
      <c r="AS62" s="2658"/>
      <c r="AT62" s="4975">
        <f t="shared" si="17"/>
        <v>6088.4999999999991</v>
      </c>
      <c r="AU62" s="2926"/>
      <c r="AV62" s="6852">
        <v>1275.1000000000004</v>
      </c>
      <c r="AW62" s="2658"/>
      <c r="AX62" s="349">
        <f t="shared" si="18"/>
        <v>7363.5999999999995</v>
      </c>
      <c r="AY62" s="2926"/>
      <c r="AZ62" s="7008">
        <v>551.44999999999993</v>
      </c>
      <c r="BA62" s="2661"/>
      <c r="BB62" s="2449">
        <f t="shared" si="9"/>
        <v>2902.8</v>
      </c>
      <c r="BC62" s="629"/>
      <c r="BD62" s="629">
        <f t="shared" si="19"/>
        <v>4546.8999999999996</v>
      </c>
      <c r="BE62" s="2236"/>
      <c r="BF62" s="5106">
        <f t="shared" si="20"/>
        <v>7915.0499999999993</v>
      </c>
      <c r="BG62" s="1137"/>
      <c r="BH62" s="4234">
        <f t="shared" si="0"/>
        <v>0</v>
      </c>
      <c r="BI62" s="4234">
        <f t="shared" si="1"/>
        <v>0</v>
      </c>
      <c r="BJ62" s="25">
        <f t="shared" si="2"/>
        <v>0</v>
      </c>
      <c r="BK62" s="25">
        <f t="shared" si="3"/>
        <v>0</v>
      </c>
      <c r="BL62" s="25">
        <f t="shared" si="4"/>
        <v>0</v>
      </c>
      <c r="BM62" s="25">
        <f t="shared" si="5"/>
        <v>0</v>
      </c>
    </row>
    <row r="63" spans="1:65" ht="16.5" thickBot="1" x14ac:dyDescent="0.3">
      <c r="A63" s="2094"/>
      <c r="B63" s="797" t="s">
        <v>832</v>
      </c>
      <c r="C63" s="2880" t="s">
        <v>933</v>
      </c>
      <c r="D63" s="2881" t="s">
        <v>50</v>
      </c>
      <c r="E63" s="2926"/>
      <c r="F63" s="7594">
        <v>235.75000000000003</v>
      </c>
      <c r="G63" s="2926"/>
      <c r="H63" s="6209"/>
      <c r="I63" s="2884"/>
      <c r="J63" s="41">
        <f t="shared" si="10"/>
        <v>235.75000000000003</v>
      </c>
      <c r="K63" s="2926"/>
      <c r="L63" s="5722"/>
      <c r="M63" s="2885"/>
      <c r="N63" s="586">
        <f t="shared" si="11"/>
        <v>235.75000000000003</v>
      </c>
      <c r="O63" s="2926"/>
      <c r="P63" s="5857"/>
      <c r="Q63" s="2884"/>
      <c r="R63" s="349">
        <f t="shared" si="12"/>
        <v>235.75000000000003</v>
      </c>
      <c r="S63" s="2926"/>
      <c r="T63" s="5940"/>
      <c r="U63" s="4355"/>
      <c r="V63" s="349">
        <f t="shared" si="13"/>
        <v>235.75000000000003</v>
      </c>
      <c r="W63" s="2926"/>
      <c r="X63" s="6043">
        <v>209.10000000000002</v>
      </c>
      <c r="Y63" s="2886"/>
      <c r="Z63" s="4598">
        <f t="shared" si="6"/>
        <v>209.10000000000002</v>
      </c>
      <c r="AA63" s="3119"/>
      <c r="AB63" s="4599">
        <f t="shared" si="7"/>
        <v>444.85</v>
      </c>
      <c r="AC63" s="2926"/>
      <c r="AD63" s="6169"/>
      <c r="AE63" s="2884"/>
      <c r="AF63" s="349">
        <f t="shared" si="14"/>
        <v>444.85</v>
      </c>
      <c r="AG63" s="2926"/>
      <c r="AH63" s="6337"/>
      <c r="AI63" s="4647"/>
      <c r="AJ63" s="349">
        <f t="shared" si="21"/>
        <v>444.85</v>
      </c>
      <c r="AK63" s="2926"/>
      <c r="AL63" s="6936">
        <v>114.8</v>
      </c>
      <c r="AM63" s="2886"/>
      <c r="AN63" s="4598">
        <f t="shared" si="8"/>
        <v>114.8</v>
      </c>
      <c r="AO63" s="2884"/>
      <c r="AP63" s="349">
        <f t="shared" si="16"/>
        <v>559.65</v>
      </c>
      <c r="AQ63" s="2926"/>
      <c r="AR63" s="4979"/>
      <c r="AS63" s="2884"/>
      <c r="AT63" s="4975">
        <f t="shared" si="17"/>
        <v>559.65</v>
      </c>
      <c r="AU63" s="2926"/>
      <c r="AV63" s="6852">
        <v>211.14999999999998</v>
      </c>
      <c r="AW63" s="5040"/>
      <c r="AX63" s="349">
        <f t="shared" si="18"/>
        <v>770.8</v>
      </c>
      <c r="AY63" s="2926"/>
      <c r="AZ63" s="7008">
        <v>555.54999999999995</v>
      </c>
      <c r="BA63" s="2886"/>
      <c r="BB63" s="2449">
        <f t="shared" si="9"/>
        <v>766.69999999999993</v>
      </c>
      <c r="BC63" s="3119"/>
      <c r="BD63" s="629">
        <f t="shared" si="19"/>
        <v>881.49999999999989</v>
      </c>
      <c r="BE63" s="2884"/>
      <c r="BF63" s="5106">
        <f t="shared" si="20"/>
        <v>1326.35</v>
      </c>
      <c r="BG63" s="1137"/>
      <c r="BH63" s="4234">
        <f t="shared" si="0"/>
        <v>0</v>
      </c>
      <c r="BI63" s="4234">
        <f t="shared" si="1"/>
        <v>0</v>
      </c>
      <c r="BJ63" s="25">
        <f t="shared" si="2"/>
        <v>0</v>
      </c>
      <c r="BK63" s="25">
        <f t="shared" si="3"/>
        <v>0</v>
      </c>
      <c r="BL63" s="25">
        <f t="shared" si="4"/>
        <v>0</v>
      </c>
      <c r="BM63" s="25">
        <f t="shared" si="5"/>
        <v>0</v>
      </c>
    </row>
    <row r="64" spans="1:65" ht="16.5" thickBot="1" x14ac:dyDescent="0.3">
      <c r="A64" s="2094"/>
      <c r="B64" s="797" t="s">
        <v>832</v>
      </c>
      <c r="C64" s="2880" t="s">
        <v>1094</v>
      </c>
      <c r="D64" s="2881" t="s">
        <v>50</v>
      </c>
      <c r="E64" s="2926"/>
      <c r="F64" s="7594"/>
      <c r="G64" s="2926"/>
      <c r="H64" s="6209">
        <v>4.0999999999999996</v>
      </c>
      <c r="I64" s="2884"/>
      <c r="J64" s="41">
        <f t="shared" si="10"/>
        <v>4.0999999999999996</v>
      </c>
      <c r="K64" s="2926"/>
      <c r="L64" s="5722">
        <v>45.1</v>
      </c>
      <c r="M64" s="2088"/>
      <c r="N64" s="586">
        <f t="shared" si="11"/>
        <v>49.2</v>
      </c>
      <c r="O64" s="2926"/>
      <c r="P64" s="5857">
        <v>2.0499999999999998</v>
      </c>
      <c r="Q64" s="2089"/>
      <c r="R64" s="349">
        <f t="shared" si="12"/>
        <v>51.25</v>
      </c>
      <c r="S64" s="2926"/>
      <c r="T64" s="5940"/>
      <c r="U64" s="4351"/>
      <c r="V64" s="349">
        <f t="shared" si="13"/>
        <v>51.25</v>
      </c>
      <c r="W64" s="2926"/>
      <c r="X64" s="6043"/>
      <c r="Y64" s="2091"/>
      <c r="Z64" s="4598">
        <f t="shared" si="6"/>
        <v>2.0499999999999998</v>
      </c>
      <c r="AA64" s="629"/>
      <c r="AB64" s="4599">
        <f t="shared" si="7"/>
        <v>51.25</v>
      </c>
      <c r="AC64" s="2926"/>
      <c r="AD64" s="6169">
        <v>51.25</v>
      </c>
      <c r="AE64" s="2236"/>
      <c r="AF64" s="349">
        <f t="shared" si="14"/>
        <v>102.5</v>
      </c>
      <c r="AG64" s="2926"/>
      <c r="AH64" s="6374">
        <v>2.0499999999999998</v>
      </c>
      <c r="AI64" s="4635"/>
      <c r="AJ64" s="349">
        <f t="shared" si="21"/>
        <v>104.55</v>
      </c>
      <c r="AK64" s="2926"/>
      <c r="AL64" s="6936">
        <v>92.25</v>
      </c>
      <c r="AM64" s="2449"/>
      <c r="AN64" s="4598">
        <f t="shared" si="8"/>
        <v>145.55000000000001</v>
      </c>
      <c r="AO64" s="2236"/>
      <c r="AP64" s="349">
        <f t="shared" si="16"/>
        <v>196.8</v>
      </c>
      <c r="AQ64" s="2926"/>
      <c r="AR64" s="4979"/>
      <c r="AS64" s="2236"/>
      <c r="AT64" s="4975">
        <f t="shared" si="17"/>
        <v>196.8</v>
      </c>
      <c r="AU64" s="2926"/>
      <c r="AV64" s="6852">
        <v>94.3</v>
      </c>
      <c r="AW64" s="5036"/>
      <c r="AX64" s="349">
        <f t="shared" si="18"/>
        <v>291.10000000000002</v>
      </c>
      <c r="AY64" s="2926"/>
      <c r="AZ64" s="7008">
        <v>53.3</v>
      </c>
      <c r="BA64" s="2449"/>
      <c r="BB64" s="2449">
        <f t="shared" si="9"/>
        <v>147.6</v>
      </c>
      <c r="BC64" s="629"/>
      <c r="BD64" s="629">
        <f t="shared" si="19"/>
        <v>293.14999999999998</v>
      </c>
      <c r="BE64" s="2236"/>
      <c r="BF64" s="5106">
        <f t="shared" si="20"/>
        <v>344.40000000000003</v>
      </c>
      <c r="BG64" s="1137"/>
      <c r="BH64" s="4234">
        <f t="shared" si="0"/>
        <v>0</v>
      </c>
      <c r="BI64" s="4234">
        <f t="shared" si="1"/>
        <v>0</v>
      </c>
      <c r="BJ64" s="25">
        <f t="shared" si="2"/>
        <v>0</v>
      </c>
      <c r="BK64" s="25">
        <f t="shared" si="3"/>
        <v>0</v>
      </c>
      <c r="BL64" s="25">
        <f t="shared" si="4"/>
        <v>0</v>
      </c>
      <c r="BM64" s="25">
        <f t="shared" si="5"/>
        <v>0</v>
      </c>
    </row>
    <row r="65" spans="1:65" ht="16.5" thickBot="1" x14ac:dyDescent="0.3">
      <c r="A65" s="2094"/>
      <c r="B65" s="797" t="s">
        <v>832</v>
      </c>
      <c r="C65" s="2880" t="s">
        <v>932</v>
      </c>
      <c r="D65" s="2881" t="s">
        <v>50</v>
      </c>
      <c r="E65" s="2926"/>
      <c r="F65" s="7594"/>
      <c r="G65" s="2926"/>
      <c r="H65" s="6209"/>
      <c r="I65" s="2884"/>
      <c r="J65" s="41">
        <f t="shared" si="10"/>
        <v>0</v>
      </c>
      <c r="K65" s="2926"/>
      <c r="L65" s="5722">
        <v>10.25</v>
      </c>
      <c r="M65" s="2490"/>
      <c r="N65" s="586">
        <f t="shared" si="11"/>
        <v>10.25</v>
      </c>
      <c r="O65" s="2926"/>
      <c r="P65" s="5857"/>
      <c r="Q65" s="2236"/>
      <c r="R65" s="349">
        <f t="shared" si="12"/>
        <v>10.25</v>
      </c>
      <c r="S65" s="2926"/>
      <c r="T65" s="5940"/>
      <c r="U65" s="4351"/>
      <c r="V65" s="349">
        <f t="shared" si="13"/>
        <v>10.25</v>
      </c>
      <c r="W65" s="2926"/>
      <c r="X65" s="6043"/>
      <c r="Y65" s="2449"/>
      <c r="Z65" s="4598">
        <f t="shared" si="6"/>
        <v>0</v>
      </c>
      <c r="AA65" s="629"/>
      <c r="AB65" s="4599">
        <f t="shared" si="7"/>
        <v>10.25</v>
      </c>
      <c r="AC65" s="2926"/>
      <c r="AD65" s="6169"/>
      <c r="AE65" s="2236"/>
      <c r="AF65" s="349">
        <f t="shared" si="14"/>
        <v>10.25</v>
      </c>
      <c r="AG65" s="2926"/>
      <c r="AH65" s="6337"/>
      <c r="AI65" s="4635"/>
      <c r="AJ65" s="349">
        <f t="shared" si="21"/>
        <v>10.25</v>
      </c>
      <c r="AK65" s="2926"/>
      <c r="AL65" s="6936"/>
      <c r="AM65" s="2449"/>
      <c r="AN65" s="4598">
        <f t="shared" si="8"/>
        <v>0</v>
      </c>
      <c r="AO65" s="2236"/>
      <c r="AP65" s="349">
        <f t="shared" si="16"/>
        <v>10.25</v>
      </c>
      <c r="AQ65" s="2926"/>
      <c r="AR65" s="4979"/>
      <c r="AS65" s="2236"/>
      <c r="AT65" s="4975">
        <f t="shared" si="17"/>
        <v>10.25</v>
      </c>
      <c r="AU65" s="2926"/>
      <c r="AV65" s="6852"/>
      <c r="AW65" s="5036"/>
      <c r="AX65" s="349">
        <f t="shared" si="18"/>
        <v>10.25</v>
      </c>
      <c r="AY65" s="2926"/>
      <c r="AZ65" s="7008"/>
      <c r="BA65" s="2449"/>
      <c r="BB65" s="2449">
        <f t="shared" si="9"/>
        <v>0</v>
      </c>
      <c r="BC65" s="629"/>
      <c r="BD65" s="629">
        <f t="shared" si="19"/>
        <v>0</v>
      </c>
      <c r="BE65" s="2236"/>
      <c r="BF65" s="5106">
        <f t="shared" si="20"/>
        <v>10.25</v>
      </c>
      <c r="BG65" s="1137"/>
      <c r="BH65" s="4234">
        <f t="shared" si="0"/>
        <v>0</v>
      </c>
      <c r="BI65" s="4234">
        <f t="shared" si="1"/>
        <v>0</v>
      </c>
      <c r="BJ65" s="25">
        <f t="shared" si="2"/>
        <v>0</v>
      </c>
      <c r="BK65" s="25">
        <f t="shared" si="3"/>
        <v>0</v>
      </c>
      <c r="BL65" s="25">
        <f t="shared" si="4"/>
        <v>0</v>
      </c>
      <c r="BM65" s="25">
        <f t="shared" si="5"/>
        <v>0</v>
      </c>
    </row>
    <row r="66" spans="1:65" s="4233" customFormat="1" ht="16.5" thickBot="1" x14ac:dyDescent="0.3">
      <c r="A66" s="2094"/>
      <c r="B66" s="797" t="s">
        <v>832</v>
      </c>
      <c r="C66" s="2880" t="s">
        <v>934</v>
      </c>
      <c r="D66" s="2881" t="s">
        <v>50</v>
      </c>
      <c r="E66" s="2926"/>
      <c r="F66" s="7594">
        <v>82</v>
      </c>
      <c r="G66" s="2926"/>
      <c r="H66" s="6209"/>
      <c r="I66" s="4414"/>
      <c r="J66" s="41">
        <f t="shared" si="10"/>
        <v>82</v>
      </c>
      <c r="K66" s="2926"/>
      <c r="L66" s="5722"/>
      <c r="M66" s="4415"/>
      <c r="N66" s="586">
        <f t="shared" si="11"/>
        <v>82</v>
      </c>
      <c r="O66" s="2926"/>
      <c r="P66" s="5857"/>
      <c r="Q66" s="4414"/>
      <c r="R66" s="349">
        <f t="shared" si="12"/>
        <v>82</v>
      </c>
      <c r="S66" s="2926"/>
      <c r="T66" s="5940"/>
      <c r="U66" s="4414"/>
      <c r="V66" s="349">
        <f t="shared" si="13"/>
        <v>82</v>
      </c>
      <c r="W66" s="2926"/>
      <c r="X66" s="6043"/>
      <c r="Y66" s="2886"/>
      <c r="Z66" s="4598">
        <f t="shared" si="6"/>
        <v>0</v>
      </c>
      <c r="AA66" s="629"/>
      <c r="AB66" s="4599">
        <f t="shared" si="7"/>
        <v>82</v>
      </c>
      <c r="AC66" s="2926"/>
      <c r="AD66" s="6169"/>
      <c r="AE66" s="4414"/>
      <c r="AF66" s="349">
        <f t="shared" si="14"/>
        <v>82</v>
      </c>
      <c r="AG66" s="2926"/>
      <c r="AH66" s="6337"/>
      <c r="AI66" s="4647"/>
      <c r="AJ66" s="349">
        <f t="shared" si="21"/>
        <v>82</v>
      </c>
      <c r="AK66" s="2926"/>
      <c r="AL66" s="6936">
        <v>82</v>
      </c>
      <c r="AM66" s="2886"/>
      <c r="AN66" s="4598">
        <f t="shared" si="8"/>
        <v>82</v>
      </c>
      <c r="AO66" s="4414"/>
      <c r="AP66" s="349">
        <f t="shared" si="16"/>
        <v>164</v>
      </c>
      <c r="AQ66" s="2926"/>
      <c r="AR66" s="4979"/>
      <c r="AS66" s="4414"/>
      <c r="AT66" s="4975">
        <f t="shared" si="17"/>
        <v>164</v>
      </c>
      <c r="AU66" s="2926"/>
      <c r="AV66" s="6852"/>
      <c r="AW66" s="5040"/>
      <c r="AX66" s="349">
        <f t="shared" si="18"/>
        <v>164</v>
      </c>
      <c r="AY66" s="2926"/>
      <c r="AZ66" s="7008"/>
      <c r="BA66" s="2886"/>
      <c r="BB66" s="2449">
        <f t="shared" si="9"/>
        <v>0</v>
      </c>
      <c r="BC66" s="4416"/>
      <c r="BD66" s="629">
        <f t="shared" si="19"/>
        <v>82</v>
      </c>
      <c r="BE66" s="4414"/>
      <c r="BF66" s="5106">
        <f t="shared" si="20"/>
        <v>164</v>
      </c>
      <c r="BG66" s="1137"/>
      <c r="BH66" s="4234">
        <f t="shared" si="0"/>
        <v>0</v>
      </c>
      <c r="BI66" s="4234">
        <f t="shared" si="1"/>
        <v>0</v>
      </c>
      <c r="BJ66" s="25">
        <f t="shared" si="2"/>
        <v>0</v>
      </c>
      <c r="BK66" s="25">
        <f t="shared" si="3"/>
        <v>0</v>
      </c>
      <c r="BL66" s="25">
        <f t="shared" si="4"/>
        <v>0</v>
      </c>
      <c r="BM66" s="25">
        <f t="shared" si="5"/>
        <v>0</v>
      </c>
    </row>
    <row r="67" spans="1:65" ht="15.75" customHeight="1" thickBot="1" x14ac:dyDescent="0.3">
      <c r="A67" s="2094"/>
      <c r="B67" s="797" t="s">
        <v>832</v>
      </c>
      <c r="C67" s="2880" t="s">
        <v>1095</v>
      </c>
      <c r="D67" s="2881" t="s">
        <v>50</v>
      </c>
      <c r="E67" s="2926"/>
      <c r="F67" s="7594">
        <v>15135.149999999994</v>
      </c>
      <c r="G67" s="2926"/>
      <c r="H67" s="6209">
        <f>3854-2.05-4.1</f>
        <v>3847.85</v>
      </c>
      <c r="I67" s="2884"/>
      <c r="J67" s="41">
        <f t="shared" si="10"/>
        <v>18982.999999999993</v>
      </c>
      <c r="K67" s="2926"/>
      <c r="L67" s="5722">
        <f>6109-45.1</f>
        <v>6063.9</v>
      </c>
      <c r="M67" s="2088"/>
      <c r="N67" s="586">
        <f t="shared" si="11"/>
        <v>25046.899999999994</v>
      </c>
      <c r="O67" s="2926"/>
      <c r="P67" s="5857">
        <f>5282.85-2.05</f>
        <v>5280.8</v>
      </c>
      <c r="Q67" s="2089"/>
      <c r="R67" s="349">
        <f t="shared" si="12"/>
        <v>30327.699999999993</v>
      </c>
      <c r="S67" s="2926"/>
      <c r="T67" s="5940">
        <v>4751.9000000000005</v>
      </c>
      <c r="U67" s="4351"/>
      <c r="V67" s="349">
        <f t="shared" si="13"/>
        <v>35079.599999999991</v>
      </c>
      <c r="W67" s="2926"/>
      <c r="X67" s="6043">
        <v>5106.55</v>
      </c>
      <c r="Y67" s="2091"/>
      <c r="Z67" s="4598">
        <f t="shared" si="6"/>
        <v>15139.25</v>
      </c>
      <c r="AA67" s="629"/>
      <c r="AB67" s="4599">
        <f t="shared" si="7"/>
        <v>40186.149999999994</v>
      </c>
      <c r="AC67" s="2926"/>
      <c r="AD67" s="6169">
        <f>8146.7-51.25-2.05-2.05</f>
        <v>8091.3499999999995</v>
      </c>
      <c r="AE67" s="2236"/>
      <c r="AF67" s="349">
        <f t="shared" si="14"/>
        <v>48277.499999999993</v>
      </c>
      <c r="AG67" s="2926"/>
      <c r="AH67" s="6337">
        <f>5002-2.05</f>
        <v>4999.95</v>
      </c>
      <c r="AI67" s="4635"/>
      <c r="AJ67" s="349">
        <f t="shared" si="21"/>
        <v>53277.44999999999</v>
      </c>
      <c r="AK67" s="2926"/>
      <c r="AL67" s="6936">
        <f>7377.95-92.25-4.1-4.1</f>
        <v>7277.4999999999991</v>
      </c>
      <c r="AM67" s="2449"/>
      <c r="AN67" s="4598">
        <f t="shared" si="8"/>
        <v>20368.8</v>
      </c>
      <c r="AO67" s="2236"/>
      <c r="AP67" s="349">
        <f t="shared" si="16"/>
        <v>60554.94999999999</v>
      </c>
      <c r="AQ67" s="2926"/>
      <c r="AR67" s="4979">
        <v>9878.9500000000025</v>
      </c>
      <c r="AS67" s="2236"/>
      <c r="AT67" s="4975">
        <f t="shared" si="17"/>
        <v>70433.899999999994</v>
      </c>
      <c r="AU67" s="2926"/>
      <c r="AV67" s="6852">
        <f>7650.6-94.3</f>
        <v>7556.3</v>
      </c>
      <c r="AW67" s="5036"/>
      <c r="AX67" s="349">
        <f t="shared" si="18"/>
        <v>77990.2</v>
      </c>
      <c r="AY67" s="2926"/>
      <c r="AZ67" s="7008">
        <f>9983.49999999999-53.3</f>
        <v>9930.1999999999916</v>
      </c>
      <c r="BA67" s="2449"/>
      <c r="BB67" s="2449">
        <f t="shared" si="9"/>
        <v>27365.449999999997</v>
      </c>
      <c r="BC67" s="629"/>
      <c r="BD67" s="629">
        <f t="shared" si="19"/>
        <v>47734.25</v>
      </c>
      <c r="BE67" s="2236"/>
      <c r="BF67" s="5106">
        <f t="shared" si="20"/>
        <v>87920.4</v>
      </c>
      <c r="BG67" s="1137"/>
      <c r="BH67" s="4234">
        <f t="shared" si="0"/>
        <v>0</v>
      </c>
      <c r="BI67" s="4234">
        <f t="shared" si="1"/>
        <v>0</v>
      </c>
      <c r="BJ67" s="25">
        <f t="shared" si="2"/>
        <v>0</v>
      </c>
      <c r="BK67" s="25">
        <f t="shared" si="3"/>
        <v>0</v>
      </c>
      <c r="BL67" s="25">
        <f t="shared" si="4"/>
        <v>0</v>
      </c>
      <c r="BM67" s="25">
        <f t="shared" si="5"/>
        <v>0</v>
      </c>
    </row>
    <row r="68" spans="1:65" ht="16.5" thickBot="1" x14ac:dyDescent="0.3">
      <c r="A68" s="2094"/>
      <c r="B68" s="3157" t="s">
        <v>832</v>
      </c>
      <c r="C68" s="3158" t="s">
        <v>908</v>
      </c>
      <c r="D68" s="3159" t="s">
        <v>50</v>
      </c>
      <c r="E68" s="3162"/>
      <c r="F68" s="105"/>
      <c r="G68" s="3162"/>
      <c r="H68" s="105"/>
      <c r="I68" s="557"/>
      <c r="J68" s="41">
        <f t="shared" si="10"/>
        <v>0</v>
      </c>
      <c r="K68" s="3162"/>
      <c r="L68" s="105"/>
      <c r="M68" s="2088"/>
      <c r="N68" s="586">
        <f t="shared" si="11"/>
        <v>0</v>
      </c>
      <c r="O68" s="3162"/>
      <c r="P68" s="105"/>
      <c r="Q68" s="2089"/>
      <c r="R68" s="349">
        <f t="shared" si="12"/>
        <v>0</v>
      </c>
      <c r="S68" s="3162"/>
      <c r="T68" s="105"/>
      <c r="U68" s="4351"/>
      <c r="V68" s="349">
        <f t="shared" si="13"/>
        <v>0</v>
      </c>
      <c r="W68" s="3162"/>
      <c r="X68" s="105"/>
      <c r="Y68" s="2091"/>
      <c r="Z68" s="4598">
        <f t="shared" si="6"/>
        <v>0</v>
      </c>
      <c r="AA68" s="629"/>
      <c r="AB68" s="4599">
        <f t="shared" si="7"/>
        <v>0</v>
      </c>
      <c r="AC68" s="3162"/>
      <c r="AD68" s="105"/>
      <c r="AE68" s="2236"/>
      <c r="AF68" s="349">
        <f t="shared" si="14"/>
        <v>0</v>
      </c>
      <c r="AG68" s="3162"/>
      <c r="AH68" s="105"/>
      <c r="AI68" s="4635"/>
      <c r="AJ68" s="349">
        <f t="shared" si="21"/>
        <v>0</v>
      </c>
      <c r="AK68" s="3162"/>
      <c r="AL68" s="105"/>
      <c r="AM68" s="2449"/>
      <c r="AN68" s="4598">
        <f t="shared" si="8"/>
        <v>0</v>
      </c>
      <c r="AO68" s="2236"/>
      <c r="AP68" s="349">
        <f t="shared" si="16"/>
        <v>0</v>
      </c>
      <c r="AQ68" s="3162"/>
      <c r="AR68" s="105"/>
      <c r="AS68" s="2236"/>
      <c r="AT68" s="4975">
        <f t="shared" si="17"/>
        <v>0</v>
      </c>
      <c r="AU68" s="3162"/>
      <c r="AV68" s="105"/>
      <c r="AW68" s="5036"/>
      <c r="AX68" s="349">
        <f t="shared" si="18"/>
        <v>0</v>
      </c>
      <c r="AY68" s="3162"/>
      <c r="AZ68" s="105"/>
      <c r="BA68" s="2449"/>
      <c r="BB68" s="2449">
        <f t="shared" si="9"/>
        <v>0</v>
      </c>
      <c r="BC68" s="629"/>
      <c r="BD68" s="629">
        <f t="shared" si="19"/>
        <v>0</v>
      </c>
      <c r="BE68" s="2236"/>
      <c r="BF68" s="5106">
        <f t="shared" si="20"/>
        <v>0</v>
      </c>
      <c r="BG68" s="1137"/>
      <c r="BH68" s="4234">
        <f t="shared" si="0"/>
        <v>0</v>
      </c>
      <c r="BI68" s="4234">
        <f t="shared" si="1"/>
        <v>0</v>
      </c>
      <c r="BJ68" s="25">
        <f t="shared" si="2"/>
        <v>0</v>
      </c>
      <c r="BK68" s="25">
        <f t="shared" si="3"/>
        <v>0</v>
      </c>
      <c r="BL68" s="25">
        <f t="shared" si="4"/>
        <v>0</v>
      </c>
      <c r="BM68" s="25">
        <f t="shared" si="5"/>
        <v>0</v>
      </c>
    </row>
    <row r="69" spans="1:65" ht="16.5" thickBot="1" x14ac:dyDescent="0.3">
      <c r="A69" s="139"/>
      <c r="B69" s="797" t="s">
        <v>52</v>
      </c>
      <c r="C69" s="2880" t="s">
        <v>928</v>
      </c>
      <c r="D69" s="2881" t="s">
        <v>50</v>
      </c>
      <c r="E69" s="2882"/>
      <c r="F69" s="7594"/>
      <c r="G69" s="2882"/>
      <c r="H69" s="6209"/>
      <c r="I69" s="2884"/>
      <c r="J69" s="41">
        <f t="shared" si="10"/>
        <v>0</v>
      </c>
      <c r="K69" s="2882"/>
      <c r="L69" s="5722"/>
      <c r="M69" s="2885"/>
      <c r="N69" s="586">
        <f t="shared" si="11"/>
        <v>0</v>
      </c>
      <c r="O69" s="2882"/>
      <c r="P69" s="5857"/>
      <c r="Q69" s="2884"/>
      <c r="R69" s="349">
        <f t="shared" si="12"/>
        <v>0</v>
      </c>
      <c r="S69" s="2882"/>
      <c r="T69" s="5940"/>
      <c r="U69" s="4355"/>
      <c r="V69" s="349">
        <f t="shared" si="13"/>
        <v>0</v>
      </c>
      <c r="W69" s="2882"/>
      <c r="X69" s="6043"/>
      <c r="Y69" s="2886"/>
      <c r="Z69" s="4598">
        <f t="shared" si="6"/>
        <v>0</v>
      </c>
      <c r="AA69" s="3038"/>
      <c r="AB69" s="4599">
        <f t="shared" si="7"/>
        <v>0</v>
      </c>
      <c r="AC69" s="2882"/>
      <c r="AD69" s="6169"/>
      <c r="AE69" s="2884"/>
      <c r="AF69" s="349">
        <f t="shared" si="14"/>
        <v>0</v>
      </c>
      <c r="AG69" s="2882"/>
      <c r="AH69" s="6337"/>
      <c r="AI69" s="4647"/>
      <c r="AJ69" s="349">
        <f t="shared" si="21"/>
        <v>0</v>
      </c>
      <c r="AK69" s="2882"/>
      <c r="AL69" s="6600"/>
      <c r="AM69" s="2886"/>
      <c r="AN69" s="4598">
        <f t="shared" si="8"/>
        <v>0</v>
      </c>
      <c r="AO69" s="2884"/>
      <c r="AP69" s="349">
        <f t="shared" si="16"/>
        <v>0</v>
      </c>
      <c r="AQ69" s="2882"/>
      <c r="AR69" s="4979"/>
      <c r="AS69" s="2884"/>
      <c r="AT69" s="4975">
        <f t="shared" si="17"/>
        <v>0</v>
      </c>
      <c r="AU69" s="2882"/>
      <c r="AV69" s="6852"/>
      <c r="AW69" s="5040"/>
      <c r="AX69" s="349">
        <f t="shared" si="18"/>
        <v>0</v>
      </c>
      <c r="AY69" s="2882"/>
      <c r="AZ69" s="7008"/>
      <c r="BA69" s="2886"/>
      <c r="BB69" s="2449">
        <f t="shared" si="9"/>
        <v>0</v>
      </c>
      <c r="BC69" s="3038"/>
      <c r="BD69" s="629">
        <f t="shared" si="19"/>
        <v>0</v>
      </c>
      <c r="BE69" s="2884"/>
      <c r="BF69" s="5106">
        <f t="shared" si="20"/>
        <v>0</v>
      </c>
      <c r="BG69" s="1137"/>
      <c r="BH69" s="4234">
        <f t="shared" si="0"/>
        <v>0</v>
      </c>
      <c r="BI69" s="4234">
        <f t="shared" si="1"/>
        <v>0</v>
      </c>
      <c r="BJ69" s="25">
        <f t="shared" si="2"/>
        <v>0</v>
      </c>
      <c r="BK69" s="25">
        <f t="shared" si="3"/>
        <v>0</v>
      </c>
      <c r="BL69" s="25">
        <f t="shared" si="4"/>
        <v>0</v>
      </c>
      <c r="BM69" s="25">
        <f t="shared" si="5"/>
        <v>0</v>
      </c>
    </row>
    <row r="70" spans="1:65" ht="16.5" thickBot="1" x14ac:dyDescent="0.3">
      <c r="A70" s="139"/>
      <c r="B70" s="797" t="s">
        <v>52</v>
      </c>
      <c r="C70" s="2880" t="s">
        <v>930</v>
      </c>
      <c r="D70" s="2881" t="s">
        <v>50</v>
      </c>
      <c r="E70" s="2882"/>
      <c r="F70" s="7594">
        <v>26.65</v>
      </c>
      <c r="G70" s="2882"/>
      <c r="H70" s="6209"/>
      <c r="I70" s="2884"/>
      <c r="J70" s="41">
        <f t="shared" si="10"/>
        <v>26.65</v>
      </c>
      <c r="K70" s="2882"/>
      <c r="L70" s="5722"/>
      <c r="M70" s="732"/>
      <c r="N70" s="586">
        <f t="shared" si="11"/>
        <v>26.65</v>
      </c>
      <c r="O70" s="2882"/>
      <c r="P70" s="5857"/>
      <c r="Q70" s="733"/>
      <c r="R70" s="349">
        <f t="shared" si="12"/>
        <v>26.65</v>
      </c>
      <c r="S70" s="2882"/>
      <c r="T70" s="5940"/>
      <c r="U70" s="4351"/>
      <c r="V70" s="349">
        <f t="shared" si="13"/>
        <v>26.65</v>
      </c>
      <c r="W70" s="2882"/>
      <c r="X70" s="6043"/>
      <c r="Y70" s="543"/>
      <c r="Z70" s="4598">
        <f t="shared" si="6"/>
        <v>0</v>
      </c>
      <c r="AA70" s="629"/>
      <c r="AB70" s="4599">
        <f t="shared" si="7"/>
        <v>26.65</v>
      </c>
      <c r="AC70" s="2882"/>
      <c r="AD70" s="6169"/>
      <c r="AE70" s="2236"/>
      <c r="AF70" s="349">
        <f t="shared" si="14"/>
        <v>26.65</v>
      </c>
      <c r="AG70" s="2882"/>
      <c r="AH70" s="6337"/>
      <c r="AI70" s="4635"/>
      <c r="AJ70" s="349">
        <f t="shared" si="21"/>
        <v>26.65</v>
      </c>
      <c r="AK70" s="2882"/>
      <c r="AL70" s="6600"/>
      <c r="AM70" s="2449"/>
      <c r="AN70" s="4598">
        <f t="shared" si="8"/>
        <v>0</v>
      </c>
      <c r="AO70" s="2236"/>
      <c r="AP70" s="349">
        <f t="shared" si="16"/>
        <v>26.65</v>
      </c>
      <c r="AQ70" s="2882"/>
      <c r="AR70" s="4979"/>
      <c r="AS70" s="2236"/>
      <c r="AT70" s="4975">
        <f t="shared" si="17"/>
        <v>26.65</v>
      </c>
      <c r="AU70" s="2882"/>
      <c r="AV70" s="6852"/>
      <c r="AW70" s="5036"/>
      <c r="AX70" s="349">
        <f t="shared" si="18"/>
        <v>26.65</v>
      </c>
      <c r="AY70" s="2882"/>
      <c r="AZ70" s="7008"/>
      <c r="BA70" s="2449"/>
      <c r="BB70" s="2449">
        <f t="shared" si="9"/>
        <v>0</v>
      </c>
      <c r="BC70" s="629"/>
      <c r="BD70" s="629">
        <f t="shared" si="19"/>
        <v>0</v>
      </c>
      <c r="BE70" s="2236"/>
      <c r="BF70" s="5106">
        <f t="shared" si="20"/>
        <v>26.65</v>
      </c>
      <c r="BG70" s="1137"/>
      <c r="BH70" s="4234">
        <f t="shared" ref="BH70:BH134" si="22">E70+G70+K70+O70+S70+W70+AC70+AG70+AK70+AQ70+AU70+AY70-BE70</f>
        <v>0</v>
      </c>
      <c r="BI70" s="4234">
        <f t="shared" ref="BI70:BI134" si="23">F70+H70+L70+P70+T70+X70+AD70+AH70+AL70+AR70+AV70+AZ70-BF70</f>
        <v>0</v>
      </c>
      <c r="BJ70" s="25">
        <f t="shared" ref="BJ70:BJ134" si="24">AY70+AU70+AQ70+AK70+AG70+AC70-BC70</f>
        <v>0</v>
      </c>
      <c r="BK70" s="25">
        <f t="shared" ref="BK70:BK134" si="25">AZ70+AV70+AR70+AL70+AH70+AD70-BD70</f>
        <v>0</v>
      </c>
      <c r="BL70" s="25">
        <f t="shared" ref="BL70:BL134" si="26">AQ70+AU70+AY70-BA70</f>
        <v>0</v>
      </c>
      <c r="BM70" s="25">
        <f t="shared" ref="BM70:BM134" si="27">AR70+AV70+AZ70-BB70</f>
        <v>0</v>
      </c>
    </row>
    <row r="71" spans="1:65" ht="16.5" thickBot="1" x14ac:dyDescent="0.3">
      <c r="A71" s="139"/>
      <c r="B71" s="797" t="s">
        <v>52</v>
      </c>
      <c r="C71" s="2880" t="s">
        <v>1091</v>
      </c>
      <c r="D71" s="2881" t="s">
        <v>50</v>
      </c>
      <c r="E71" s="2882"/>
      <c r="F71" s="7594"/>
      <c r="G71" s="2882"/>
      <c r="H71" s="6209"/>
      <c r="I71" s="2884"/>
      <c r="J71" s="41">
        <f t="shared" si="10"/>
        <v>0</v>
      </c>
      <c r="K71" s="2882"/>
      <c r="L71" s="5722"/>
      <c r="M71" s="732"/>
      <c r="N71" s="586">
        <f t="shared" si="11"/>
        <v>0</v>
      </c>
      <c r="O71" s="2882"/>
      <c r="P71" s="5857"/>
      <c r="Q71" s="733"/>
      <c r="R71" s="349">
        <f t="shared" si="12"/>
        <v>0</v>
      </c>
      <c r="S71" s="2882"/>
      <c r="T71" s="3172">
        <f>1418.6-32.8-4.1</f>
        <v>1381.7</v>
      </c>
      <c r="U71" s="4351"/>
      <c r="V71" s="349">
        <f t="shared" si="13"/>
        <v>1381.7</v>
      </c>
      <c r="W71" s="2882"/>
      <c r="X71" s="6043"/>
      <c r="Y71" s="543"/>
      <c r="Z71" s="4598">
        <f t="shared" si="6"/>
        <v>1381.7</v>
      </c>
      <c r="AA71" s="629"/>
      <c r="AB71" s="4599">
        <f t="shared" si="7"/>
        <v>1381.7</v>
      </c>
      <c r="AC71" s="2882"/>
      <c r="AD71" s="6169"/>
      <c r="AE71" s="2236"/>
      <c r="AF71" s="349">
        <f t="shared" si="14"/>
        <v>1381.7</v>
      </c>
      <c r="AG71" s="2882"/>
      <c r="AH71" s="6337"/>
      <c r="AI71" s="4635"/>
      <c r="AJ71" s="4635">
        <f t="shared" si="21"/>
        <v>1381.7</v>
      </c>
      <c r="AK71" s="2882"/>
      <c r="AL71" s="6600"/>
      <c r="AM71" s="2449"/>
      <c r="AN71" s="4598">
        <f t="shared" si="8"/>
        <v>0</v>
      </c>
      <c r="AO71" s="2236"/>
      <c r="AP71" s="349">
        <f t="shared" si="16"/>
        <v>1381.7</v>
      </c>
      <c r="AQ71" s="2882"/>
      <c r="AR71" s="4979"/>
      <c r="AS71" s="2236"/>
      <c r="AT71" s="4975">
        <f t="shared" si="17"/>
        <v>1381.7</v>
      </c>
      <c r="AU71" s="2882"/>
      <c r="AV71" s="6852"/>
      <c r="AW71" s="5036"/>
      <c r="AX71" s="349">
        <f t="shared" si="18"/>
        <v>1381.7</v>
      </c>
      <c r="AY71" s="2882"/>
      <c r="AZ71" s="7008"/>
      <c r="BA71" s="2449"/>
      <c r="BB71" s="2449">
        <f t="shared" si="9"/>
        <v>0</v>
      </c>
      <c r="BC71" s="629"/>
      <c r="BD71" s="629">
        <f t="shared" si="19"/>
        <v>0</v>
      </c>
      <c r="BE71" s="2236"/>
      <c r="BF71" s="5106">
        <f t="shared" si="20"/>
        <v>1381.7</v>
      </c>
      <c r="BG71" s="1137"/>
      <c r="BH71" s="4234">
        <f t="shared" si="22"/>
        <v>0</v>
      </c>
      <c r="BI71" s="4234">
        <f t="shared" si="23"/>
        <v>0</v>
      </c>
      <c r="BJ71" s="25">
        <f t="shared" si="24"/>
        <v>0</v>
      </c>
      <c r="BK71" s="25">
        <f t="shared" si="25"/>
        <v>0</v>
      </c>
      <c r="BL71" s="25">
        <f t="shared" si="26"/>
        <v>0</v>
      </c>
      <c r="BM71" s="25">
        <f t="shared" si="27"/>
        <v>0</v>
      </c>
    </row>
    <row r="72" spans="1:65" ht="16.5" thickBot="1" x14ac:dyDescent="0.3">
      <c r="A72" s="139"/>
      <c r="B72" s="797" t="s">
        <v>52</v>
      </c>
      <c r="C72" s="2880" t="s">
        <v>935</v>
      </c>
      <c r="D72" s="2881" t="s">
        <v>50</v>
      </c>
      <c r="E72" s="2882"/>
      <c r="F72" s="7594"/>
      <c r="G72" s="2882"/>
      <c r="H72" s="6209"/>
      <c r="I72" s="2884"/>
      <c r="J72" s="41">
        <f t="shared" si="10"/>
        <v>0</v>
      </c>
      <c r="K72" s="2882"/>
      <c r="L72" s="5722"/>
      <c r="M72" s="732"/>
      <c r="N72" s="586">
        <f t="shared" si="11"/>
        <v>0</v>
      </c>
      <c r="O72" s="2882"/>
      <c r="P72" s="5857"/>
      <c r="Q72" s="733"/>
      <c r="R72" s="349">
        <f t="shared" si="12"/>
        <v>0</v>
      </c>
      <c r="S72" s="2882"/>
      <c r="T72" s="5940"/>
      <c r="U72" s="4351"/>
      <c r="V72" s="349">
        <f t="shared" si="13"/>
        <v>0</v>
      </c>
      <c r="W72" s="2882"/>
      <c r="X72" s="6043"/>
      <c r="Y72" s="543"/>
      <c r="Z72" s="4598">
        <f t="shared" si="6"/>
        <v>0</v>
      </c>
      <c r="AA72" s="629"/>
      <c r="AB72" s="4599">
        <f t="shared" si="7"/>
        <v>0</v>
      </c>
      <c r="AC72" s="2882"/>
      <c r="AD72" s="6169"/>
      <c r="AE72" s="2236"/>
      <c r="AF72" s="349">
        <f t="shared" si="14"/>
        <v>0</v>
      </c>
      <c r="AG72" s="2882"/>
      <c r="AH72" s="6337"/>
      <c r="AI72" s="4635"/>
      <c r="AJ72" s="4635">
        <f t="shared" si="21"/>
        <v>0</v>
      </c>
      <c r="AK72" s="2882"/>
      <c r="AL72" s="6600"/>
      <c r="AM72" s="2449"/>
      <c r="AN72" s="4598">
        <f t="shared" si="8"/>
        <v>0</v>
      </c>
      <c r="AO72" s="2236"/>
      <c r="AP72" s="349">
        <f t="shared" si="16"/>
        <v>0</v>
      </c>
      <c r="AQ72" s="2882"/>
      <c r="AR72" s="4979"/>
      <c r="AS72" s="2236"/>
      <c r="AT72" s="4975">
        <f t="shared" si="17"/>
        <v>0</v>
      </c>
      <c r="AU72" s="2882"/>
      <c r="AV72" s="6852"/>
      <c r="AW72" s="5036"/>
      <c r="AX72" s="349">
        <f t="shared" si="18"/>
        <v>0</v>
      </c>
      <c r="AY72" s="2882"/>
      <c r="AZ72" s="7008"/>
      <c r="BA72" s="2449"/>
      <c r="BB72" s="2449">
        <f t="shared" si="9"/>
        <v>0</v>
      </c>
      <c r="BC72" s="629"/>
      <c r="BD72" s="629">
        <f t="shared" si="19"/>
        <v>0</v>
      </c>
      <c r="BE72" s="2236"/>
      <c r="BF72" s="5106">
        <f t="shared" si="20"/>
        <v>0</v>
      </c>
      <c r="BG72" s="1137"/>
      <c r="BH72" s="4234">
        <f t="shared" si="22"/>
        <v>0</v>
      </c>
      <c r="BI72" s="4234">
        <f t="shared" si="23"/>
        <v>0</v>
      </c>
      <c r="BJ72" s="25">
        <f t="shared" si="24"/>
        <v>0</v>
      </c>
      <c r="BK72" s="25">
        <f t="shared" si="25"/>
        <v>0</v>
      </c>
      <c r="BL72" s="25">
        <f t="shared" si="26"/>
        <v>0</v>
      </c>
      <c r="BM72" s="25">
        <f t="shared" si="27"/>
        <v>0</v>
      </c>
    </row>
    <row r="73" spans="1:65" s="3130" customFormat="1" ht="16.5" thickBot="1" x14ac:dyDescent="0.3">
      <c r="A73" s="139"/>
      <c r="B73" s="797" t="s">
        <v>52</v>
      </c>
      <c r="C73" s="2880" t="s">
        <v>1095</v>
      </c>
      <c r="D73" s="2881" t="s">
        <v>50</v>
      </c>
      <c r="E73" s="2882"/>
      <c r="F73" s="7594">
        <v>2099.1999999999994</v>
      </c>
      <c r="G73" s="2882"/>
      <c r="H73" s="6209"/>
      <c r="I73" s="2884"/>
      <c r="J73" s="41">
        <f t="shared" si="10"/>
        <v>2099.1999999999994</v>
      </c>
      <c r="K73" s="2882"/>
      <c r="L73" s="5722"/>
      <c r="M73" s="3129"/>
      <c r="N73" s="586">
        <f t="shared" si="11"/>
        <v>2099.1999999999994</v>
      </c>
      <c r="O73" s="2882"/>
      <c r="P73" s="5857"/>
      <c r="Q73" s="2236"/>
      <c r="R73" s="349">
        <f t="shared" si="12"/>
        <v>2099.1999999999994</v>
      </c>
      <c r="S73" s="2882"/>
      <c r="T73" s="5940"/>
      <c r="U73" s="4351"/>
      <c r="V73" s="349">
        <f t="shared" si="13"/>
        <v>2099.1999999999994</v>
      </c>
      <c r="W73" s="2882"/>
      <c r="X73" s="6043"/>
      <c r="Y73" s="2449"/>
      <c r="Z73" s="4598">
        <f t="shared" si="6"/>
        <v>0</v>
      </c>
      <c r="AA73" s="629"/>
      <c r="AB73" s="4599">
        <f t="shared" si="7"/>
        <v>2099.1999999999994</v>
      </c>
      <c r="AC73" s="2882"/>
      <c r="AD73" s="6169"/>
      <c r="AE73" s="2236"/>
      <c r="AF73" s="349">
        <f t="shared" si="14"/>
        <v>2099.1999999999994</v>
      </c>
      <c r="AG73" s="2882"/>
      <c r="AH73" s="6337"/>
      <c r="AI73" s="4635"/>
      <c r="AJ73" s="349">
        <f t="shared" si="21"/>
        <v>2099.1999999999994</v>
      </c>
      <c r="AK73" s="2882"/>
      <c r="AL73" s="6600"/>
      <c r="AM73" s="2449"/>
      <c r="AN73" s="4598">
        <f t="shared" si="8"/>
        <v>0</v>
      </c>
      <c r="AO73" s="2236"/>
      <c r="AP73" s="349">
        <f t="shared" si="16"/>
        <v>2099.1999999999994</v>
      </c>
      <c r="AQ73" s="2882"/>
      <c r="AR73" s="4979"/>
      <c r="AS73" s="2236"/>
      <c r="AT73" s="4975">
        <f t="shared" si="17"/>
        <v>2099.1999999999994</v>
      </c>
      <c r="AU73" s="2882"/>
      <c r="AV73" s="6852"/>
      <c r="AW73" s="5036"/>
      <c r="AX73" s="349">
        <f t="shared" si="18"/>
        <v>2099.1999999999994</v>
      </c>
      <c r="AY73" s="2882"/>
      <c r="AZ73" s="7008"/>
      <c r="BA73" s="2449"/>
      <c r="BB73" s="2449">
        <f t="shared" si="9"/>
        <v>0</v>
      </c>
      <c r="BC73" s="629"/>
      <c r="BD73" s="629">
        <f t="shared" si="19"/>
        <v>0</v>
      </c>
      <c r="BE73" s="2236"/>
      <c r="BF73" s="5106">
        <f t="shared" si="20"/>
        <v>2099.1999999999994</v>
      </c>
      <c r="BG73" s="1137"/>
      <c r="BH73" s="4234">
        <f t="shared" si="22"/>
        <v>0</v>
      </c>
      <c r="BI73" s="4234">
        <f t="shared" si="23"/>
        <v>0</v>
      </c>
      <c r="BJ73" s="25">
        <f t="shared" si="24"/>
        <v>0</v>
      </c>
      <c r="BK73" s="25">
        <f t="shared" si="25"/>
        <v>0</v>
      </c>
      <c r="BL73" s="25">
        <f t="shared" si="26"/>
        <v>0</v>
      </c>
      <c r="BM73" s="25">
        <f t="shared" si="27"/>
        <v>0</v>
      </c>
    </row>
    <row r="74" spans="1:65" ht="16.5" thickBot="1" x14ac:dyDescent="0.3">
      <c r="A74" s="139"/>
      <c r="B74" s="3157" t="s">
        <v>52</v>
      </c>
      <c r="C74" s="3158" t="s">
        <v>1395</v>
      </c>
      <c r="D74" s="3159" t="s">
        <v>50</v>
      </c>
      <c r="E74" s="3163"/>
      <c r="F74" s="105"/>
      <c r="G74" s="3163"/>
      <c r="H74" s="105"/>
      <c r="I74" s="557"/>
      <c r="J74" s="41">
        <f t="shared" ref="J74:J125" si="28">+F74+H74</f>
        <v>0</v>
      </c>
      <c r="K74" s="3163"/>
      <c r="L74" s="105"/>
      <c r="M74" s="732"/>
      <c r="N74" s="586">
        <f t="shared" ref="N74:N143" si="29">+F74+H74+L74</f>
        <v>0</v>
      </c>
      <c r="O74" s="3163"/>
      <c r="P74" s="105"/>
      <c r="Q74" s="733"/>
      <c r="R74" s="349">
        <f t="shared" ref="R74:R140" si="30">+N74+P74</f>
        <v>0</v>
      </c>
      <c r="S74" s="3163"/>
      <c r="T74" s="105"/>
      <c r="U74" s="4351"/>
      <c r="V74" s="349">
        <f t="shared" ref="V74:V140" si="31">+R74+T74</f>
        <v>0</v>
      </c>
      <c r="W74" s="3163"/>
      <c r="X74" s="105"/>
      <c r="Y74" s="543"/>
      <c r="Z74" s="4598">
        <f t="shared" si="6"/>
        <v>0</v>
      </c>
      <c r="AA74" s="629"/>
      <c r="AB74" s="4599">
        <f t="shared" si="7"/>
        <v>0</v>
      </c>
      <c r="AC74" s="3163"/>
      <c r="AD74" s="105"/>
      <c r="AE74" s="2236"/>
      <c r="AF74" s="349">
        <f t="shared" ref="AF74:AF127" si="32">+AB74+AD74</f>
        <v>0</v>
      </c>
      <c r="AG74" s="3163"/>
      <c r="AH74" s="105"/>
      <c r="AI74" s="4635"/>
      <c r="AJ74" s="349">
        <f t="shared" si="21"/>
        <v>0</v>
      </c>
      <c r="AK74" s="3163"/>
      <c r="AL74" s="105"/>
      <c r="AM74" s="2449"/>
      <c r="AN74" s="4598">
        <f t="shared" si="8"/>
        <v>0</v>
      </c>
      <c r="AO74" s="2236"/>
      <c r="AP74" s="349">
        <f t="shared" ref="AP74:AP127" si="33">AJ74+AL74</f>
        <v>0</v>
      </c>
      <c r="AQ74" s="3163"/>
      <c r="AR74" s="105"/>
      <c r="AS74" s="2236"/>
      <c r="AT74" s="4975">
        <f t="shared" ref="AT74:AT127" si="34">+AP74+AR74</f>
        <v>0</v>
      </c>
      <c r="AU74" s="3163"/>
      <c r="AV74" s="105"/>
      <c r="AW74" s="5036"/>
      <c r="AX74" s="349">
        <f t="shared" ref="AX74:AX127" si="35">+AT74+AV74</f>
        <v>0</v>
      </c>
      <c r="AY74" s="3163"/>
      <c r="AZ74" s="105"/>
      <c r="BA74" s="2449"/>
      <c r="BB74" s="2449">
        <f t="shared" ref="BB74:BB121" si="36">AR74+AV74+AZ74</f>
        <v>0</v>
      </c>
      <c r="BC74" s="629"/>
      <c r="BD74" s="629">
        <f t="shared" si="19"/>
        <v>0</v>
      </c>
      <c r="BE74" s="2236"/>
      <c r="BF74" s="5106">
        <f t="shared" si="20"/>
        <v>0</v>
      </c>
      <c r="BG74" s="1137"/>
      <c r="BH74" s="4234">
        <f t="shared" si="22"/>
        <v>0</v>
      </c>
      <c r="BI74" s="4234">
        <f t="shared" si="23"/>
        <v>0</v>
      </c>
      <c r="BJ74" s="25">
        <f t="shared" si="24"/>
        <v>0</v>
      </c>
      <c r="BK74" s="25">
        <f t="shared" si="25"/>
        <v>0</v>
      </c>
      <c r="BL74" s="25">
        <f t="shared" si="26"/>
        <v>0</v>
      </c>
      <c r="BM74" s="25">
        <f t="shared" si="27"/>
        <v>0</v>
      </c>
    </row>
    <row r="75" spans="1:65" ht="16.5" hidden="1" thickBot="1" x14ac:dyDescent="0.3">
      <c r="B75" s="3153" t="s">
        <v>830</v>
      </c>
      <c r="C75" s="3154" t="s">
        <v>1091</v>
      </c>
      <c r="D75" s="3155" t="s">
        <v>50</v>
      </c>
      <c r="E75" s="3164"/>
      <c r="F75" s="147"/>
      <c r="G75" s="3164"/>
      <c r="H75" s="147">
        <v>516.6</v>
      </c>
      <c r="I75" s="3165"/>
      <c r="J75" s="41">
        <f t="shared" si="28"/>
        <v>516.6</v>
      </c>
      <c r="K75" s="3164"/>
      <c r="L75" s="147"/>
      <c r="M75" s="848"/>
      <c r="N75" s="586">
        <f t="shared" si="29"/>
        <v>516.6</v>
      </c>
      <c r="O75" s="3164"/>
      <c r="P75" s="147"/>
      <c r="Q75" s="799"/>
      <c r="R75" s="349">
        <f t="shared" si="30"/>
        <v>516.6</v>
      </c>
      <c r="S75" s="3164"/>
      <c r="T75" s="3175">
        <f>1004.5-6.15</f>
        <v>998.35</v>
      </c>
      <c r="U75" s="799"/>
      <c r="V75" s="349">
        <f t="shared" si="31"/>
        <v>1514.95</v>
      </c>
      <c r="W75" s="3164"/>
      <c r="X75" s="147">
        <v>1217.6999999999998</v>
      </c>
      <c r="Y75" s="543"/>
      <c r="Z75" s="4598">
        <f t="shared" si="6"/>
        <v>2216.0499999999997</v>
      </c>
      <c r="AA75" s="629"/>
      <c r="AB75" s="4599">
        <f t="shared" si="7"/>
        <v>2732.6499999999996</v>
      </c>
      <c r="AC75" s="3164"/>
      <c r="AD75" s="147"/>
      <c r="AE75" s="799"/>
      <c r="AF75" s="349">
        <f t="shared" si="32"/>
        <v>2732.6499999999996</v>
      </c>
      <c r="AG75" s="3164"/>
      <c r="AH75" s="147"/>
      <c r="AI75" s="799"/>
      <c r="AJ75" s="4635">
        <f t="shared" si="21"/>
        <v>2732.6499999999996</v>
      </c>
      <c r="AK75" s="3164"/>
      <c r="AL75" s="147"/>
      <c r="AM75" s="2449"/>
      <c r="AN75" s="4598">
        <f t="shared" ref="AN75:AN127" si="37">AD75+AH75+AL75</f>
        <v>0</v>
      </c>
      <c r="AO75" s="2236"/>
      <c r="AP75" s="349">
        <f t="shared" si="33"/>
        <v>2732.6499999999996</v>
      </c>
      <c r="AQ75" s="3164"/>
      <c r="AR75" s="147"/>
      <c r="AS75" s="799"/>
      <c r="AT75" s="4975">
        <f t="shared" si="34"/>
        <v>2732.6499999999996</v>
      </c>
      <c r="AU75" s="3164"/>
      <c r="AV75" s="147"/>
      <c r="AW75" s="799"/>
      <c r="AX75" s="349">
        <f t="shared" si="35"/>
        <v>2732.6499999999996</v>
      </c>
      <c r="AY75" s="3164"/>
      <c r="AZ75" s="147"/>
      <c r="BA75" s="2449"/>
      <c r="BB75" s="2449">
        <f t="shared" si="36"/>
        <v>0</v>
      </c>
      <c r="BC75" s="629"/>
      <c r="BD75" s="629">
        <f t="shared" ref="BD75:BD145" si="38">AN75+BB75</f>
        <v>0</v>
      </c>
      <c r="BE75" s="2236"/>
      <c r="BF75" s="5106">
        <f t="shared" ref="BF75:BF124" si="39">+AX75+AZ75</f>
        <v>2732.6499999999996</v>
      </c>
      <c r="BG75" s="1137"/>
      <c r="BH75" s="4234">
        <f t="shared" si="22"/>
        <v>0</v>
      </c>
      <c r="BI75" s="4234">
        <f t="shared" si="23"/>
        <v>0</v>
      </c>
      <c r="BJ75" s="25">
        <f t="shared" si="24"/>
        <v>0</v>
      </c>
      <c r="BK75" s="25">
        <f t="shared" si="25"/>
        <v>0</v>
      </c>
      <c r="BL75" s="25">
        <f t="shared" si="26"/>
        <v>0</v>
      </c>
      <c r="BM75" s="25">
        <f t="shared" si="27"/>
        <v>0</v>
      </c>
    </row>
    <row r="76" spans="1:65" ht="16.5" hidden="1" thickBot="1" x14ac:dyDescent="0.3">
      <c r="B76" s="797" t="s">
        <v>830</v>
      </c>
      <c r="C76" s="2880" t="s">
        <v>935</v>
      </c>
      <c r="D76" s="2881" t="s">
        <v>50</v>
      </c>
      <c r="E76" s="800"/>
      <c r="F76" s="7594"/>
      <c r="G76" s="800"/>
      <c r="H76" s="6209">
        <v>506.35</v>
      </c>
      <c r="I76" s="3166"/>
      <c r="J76" s="41">
        <f t="shared" si="28"/>
        <v>506.35</v>
      </c>
      <c r="K76" s="800"/>
      <c r="L76" s="5722"/>
      <c r="M76" s="848"/>
      <c r="N76" s="586">
        <f t="shared" si="29"/>
        <v>506.35</v>
      </c>
      <c r="O76" s="800"/>
      <c r="P76" s="5857"/>
      <c r="Q76" s="799"/>
      <c r="R76" s="349">
        <f t="shared" si="30"/>
        <v>506.35</v>
      </c>
      <c r="S76" s="800"/>
      <c r="T76" s="3172">
        <v>205</v>
      </c>
      <c r="U76" s="799"/>
      <c r="V76" s="349">
        <f t="shared" si="31"/>
        <v>711.35</v>
      </c>
      <c r="W76" s="800"/>
      <c r="X76" s="6043">
        <v>205.00000000000003</v>
      </c>
      <c r="Y76" s="543"/>
      <c r="Z76" s="4598">
        <f t="shared" si="6"/>
        <v>410</v>
      </c>
      <c r="AA76" s="629"/>
      <c r="AB76" s="4599">
        <f t="shared" si="7"/>
        <v>916.35</v>
      </c>
      <c r="AC76" s="800"/>
      <c r="AD76" s="6169"/>
      <c r="AE76" s="799"/>
      <c r="AF76" s="349">
        <f t="shared" si="32"/>
        <v>916.35</v>
      </c>
      <c r="AG76" s="800"/>
      <c r="AH76" s="6337"/>
      <c r="AI76" s="799"/>
      <c r="AJ76" s="4635">
        <f t="shared" ref="AJ76:AJ141" si="40">+AF76+AH76</f>
        <v>916.35</v>
      </c>
      <c r="AK76" s="800"/>
      <c r="AL76" s="6600"/>
      <c r="AM76" s="2449"/>
      <c r="AN76" s="4598">
        <f t="shared" si="37"/>
        <v>0</v>
      </c>
      <c r="AO76" s="2236"/>
      <c r="AP76" s="349">
        <f t="shared" si="33"/>
        <v>916.35</v>
      </c>
      <c r="AQ76" s="800"/>
      <c r="AR76" s="4979"/>
      <c r="AS76" s="799"/>
      <c r="AT76" s="4975">
        <f t="shared" si="34"/>
        <v>916.35</v>
      </c>
      <c r="AU76" s="800"/>
      <c r="AV76" s="6852"/>
      <c r="AW76" s="799"/>
      <c r="AX76" s="349">
        <f t="shared" si="35"/>
        <v>916.35</v>
      </c>
      <c r="AY76" s="800"/>
      <c r="AZ76" s="7008"/>
      <c r="BA76" s="2449"/>
      <c r="BB76" s="2449">
        <f t="shared" si="36"/>
        <v>0</v>
      </c>
      <c r="BC76" s="629"/>
      <c r="BD76" s="629">
        <f t="shared" si="38"/>
        <v>0</v>
      </c>
      <c r="BE76" s="2236"/>
      <c r="BF76" s="5106">
        <f t="shared" si="39"/>
        <v>916.35</v>
      </c>
      <c r="BG76" s="1137"/>
      <c r="BH76" s="4234">
        <f t="shared" si="22"/>
        <v>0</v>
      </c>
      <c r="BI76" s="4234">
        <f t="shared" si="23"/>
        <v>0</v>
      </c>
      <c r="BJ76" s="25">
        <f t="shared" si="24"/>
        <v>0</v>
      </c>
      <c r="BK76" s="25">
        <f t="shared" si="25"/>
        <v>0</v>
      </c>
      <c r="BL76" s="25">
        <f t="shared" si="26"/>
        <v>0</v>
      </c>
      <c r="BM76" s="25">
        <f t="shared" si="27"/>
        <v>0</v>
      </c>
    </row>
    <row r="77" spans="1:65" s="4487" customFormat="1" ht="16.5" hidden="1" thickBot="1" x14ac:dyDescent="0.3">
      <c r="B77" s="797" t="s">
        <v>830</v>
      </c>
      <c r="C77" s="2880" t="s">
        <v>995</v>
      </c>
      <c r="D77" s="2881" t="s">
        <v>50</v>
      </c>
      <c r="E77" s="4982"/>
      <c r="F77" s="4947"/>
      <c r="G77" s="4982"/>
      <c r="H77" s="4947"/>
      <c r="I77" s="4983"/>
      <c r="J77" s="41">
        <f t="shared" si="28"/>
        <v>0</v>
      </c>
      <c r="K77" s="4982"/>
      <c r="L77" s="4947"/>
      <c r="M77" s="4984"/>
      <c r="N77" s="586">
        <f t="shared" si="29"/>
        <v>0</v>
      </c>
      <c r="O77" s="4982"/>
      <c r="P77" s="4947"/>
      <c r="Q77" s="4983"/>
      <c r="R77" s="349">
        <f t="shared" si="30"/>
        <v>0</v>
      </c>
      <c r="S77" s="4982"/>
      <c r="T77" s="6940"/>
      <c r="U77" s="4983"/>
      <c r="V77" s="349">
        <f t="shared" si="31"/>
        <v>0</v>
      </c>
      <c r="W77" s="4982"/>
      <c r="X77" s="4947">
        <v>309.54999999999995</v>
      </c>
      <c r="Y77" s="4985"/>
      <c r="Z77" s="4598">
        <f t="shared" si="6"/>
        <v>309.54999999999995</v>
      </c>
      <c r="AA77" s="4986"/>
      <c r="AB77" s="4599">
        <f t="shared" si="7"/>
        <v>309.54999999999995</v>
      </c>
      <c r="AC77" s="4982"/>
      <c r="AD77" s="4947"/>
      <c r="AE77" s="4983"/>
      <c r="AF77" s="349">
        <f t="shared" si="32"/>
        <v>309.54999999999995</v>
      </c>
      <c r="AG77" s="4982"/>
      <c r="AH77" s="4947"/>
      <c r="AI77" s="4983"/>
      <c r="AJ77" s="349">
        <f t="shared" si="40"/>
        <v>309.54999999999995</v>
      </c>
      <c r="AK77" s="4982"/>
      <c r="AL77" s="4947"/>
      <c r="AM77" s="4985"/>
      <c r="AN77" s="4598">
        <f t="shared" si="37"/>
        <v>0</v>
      </c>
      <c r="AO77" s="4949"/>
      <c r="AP77" s="349">
        <f t="shared" si="33"/>
        <v>309.54999999999995</v>
      </c>
      <c r="AQ77" s="4982"/>
      <c r="AR77" s="4947"/>
      <c r="AS77" s="4983"/>
      <c r="AT77" s="4975">
        <f t="shared" si="34"/>
        <v>309.54999999999995</v>
      </c>
      <c r="AU77" s="4982"/>
      <c r="AV77" s="4947"/>
      <c r="AW77" s="4983"/>
      <c r="AX77" s="349">
        <f t="shared" si="35"/>
        <v>309.54999999999995</v>
      </c>
      <c r="AY77" s="4982"/>
      <c r="AZ77" s="4947"/>
      <c r="BA77" s="4985"/>
      <c r="BB77" s="2449">
        <f t="shared" si="36"/>
        <v>0</v>
      </c>
      <c r="BC77" s="4986"/>
      <c r="BD77" s="629">
        <f t="shared" si="38"/>
        <v>0</v>
      </c>
      <c r="BE77" s="4949"/>
      <c r="BF77" s="5106">
        <f t="shared" si="39"/>
        <v>309.54999999999995</v>
      </c>
      <c r="BG77" s="1137"/>
      <c r="BH77" s="4234">
        <f t="shared" si="22"/>
        <v>0</v>
      </c>
      <c r="BI77" s="4234">
        <f t="shared" si="23"/>
        <v>0</v>
      </c>
      <c r="BJ77" s="25">
        <f t="shared" si="24"/>
        <v>0</v>
      </c>
      <c r="BK77" s="25">
        <f t="shared" si="25"/>
        <v>0</v>
      </c>
      <c r="BL77" s="25">
        <f t="shared" si="26"/>
        <v>0</v>
      </c>
      <c r="BM77" s="25">
        <f t="shared" si="27"/>
        <v>0</v>
      </c>
    </row>
    <row r="78" spans="1:65" ht="16.5" hidden="1" thickBot="1" x14ac:dyDescent="0.3">
      <c r="B78" s="797" t="s">
        <v>830</v>
      </c>
      <c r="C78" s="2880" t="s">
        <v>933</v>
      </c>
      <c r="D78" s="2881" t="s">
        <v>50</v>
      </c>
      <c r="E78" s="800"/>
      <c r="F78" s="7594"/>
      <c r="G78" s="800"/>
      <c r="H78" s="6209"/>
      <c r="I78" s="3166"/>
      <c r="J78" s="41">
        <f t="shared" si="28"/>
        <v>0</v>
      </c>
      <c r="K78" s="800"/>
      <c r="L78" s="5722"/>
      <c r="M78" s="848"/>
      <c r="N78" s="586">
        <f t="shared" si="29"/>
        <v>0</v>
      </c>
      <c r="O78" s="800"/>
      <c r="P78" s="5857"/>
      <c r="Q78" s="799"/>
      <c r="R78" s="349">
        <f t="shared" si="30"/>
        <v>0</v>
      </c>
      <c r="S78" s="800"/>
      <c r="T78" s="3172"/>
      <c r="U78" s="799"/>
      <c r="V78" s="349">
        <f t="shared" si="31"/>
        <v>0</v>
      </c>
      <c r="W78" s="800"/>
      <c r="X78" s="6043"/>
      <c r="Y78" s="543"/>
      <c r="Z78" s="4598">
        <f t="shared" si="6"/>
        <v>0</v>
      </c>
      <c r="AA78" s="629"/>
      <c r="AB78" s="4599">
        <f t="shared" si="7"/>
        <v>0</v>
      </c>
      <c r="AC78" s="800"/>
      <c r="AD78" s="6169"/>
      <c r="AE78" s="799"/>
      <c r="AF78" s="349">
        <f t="shared" si="32"/>
        <v>0</v>
      </c>
      <c r="AG78" s="800"/>
      <c r="AH78" s="6337"/>
      <c r="AI78" s="799"/>
      <c r="AJ78" s="349">
        <f t="shared" si="40"/>
        <v>0</v>
      </c>
      <c r="AK78" s="800"/>
      <c r="AL78" s="6600"/>
      <c r="AM78" s="2449"/>
      <c r="AN78" s="4598">
        <f t="shared" si="37"/>
        <v>0</v>
      </c>
      <c r="AO78" s="2236"/>
      <c r="AP78" s="349">
        <f t="shared" si="33"/>
        <v>0</v>
      </c>
      <c r="AQ78" s="800"/>
      <c r="AR78" s="4979"/>
      <c r="AS78" s="799"/>
      <c r="AT78" s="4975">
        <f t="shared" si="34"/>
        <v>0</v>
      </c>
      <c r="AU78" s="800"/>
      <c r="AV78" s="6852"/>
      <c r="AW78" s="799"/>
      <c r="AX78" s="349">
        <f t="shared" si="35"/>
        <v>0</v>
      </c>
      <c r="AY78" s="800"/>
      <c r="AZ78" s="7008"/>
      <c r="BA78" s="2449"/>
      <c r="BB78" s="2449">
        <f t="shared" si="36"/>
        <v>0</v>
      </c>
      <c r="BC78" s="629"/>
      <c r="BD78" s="629">
        <f t="shared" si="38"/>
        <v>0</v>
      </c>
      <c r="BE78" s="2236"/>
      <c r="BF78" s="5106">
        <f t="shared" si="39"/>
        <v>0</v>
      </c>
      <c r="BG78" s="1137"/>
      <c r="BH78" s="4234">
        <f t="shared" si="22"/>
        <v>0</v>
      </c>
      <c r="BI78" s="4234">
        <f t="shared" si="23"/>
        <v>0</v>
      </c>
      <c r="BJ78" s="25">
        <f t="shared" si="24"/>
        <v>0</v>
      </c>
      <c r="BK78" s="25">
        <f t="shared" si="25"/>
        <v>0</v>
      </c>
      <c r="BL78" s="25">
        <f t="shared" si="26"/>
        <v>0</v>
      </c>
      <c r="BM78" s="25">
        <f t="shared" si="27"/>
        <v>0</v>
      </c>
    </row>
    <row r="79" spans="1:65" ht="16.5" hidden="1" thickBot="1" x14ac:dyDescent="0.3">
      <c r="B79" s="797" t="s">
        <v>830</v>
      </c>
      <c r="C79" s="2880" t="s">
        <v>1094</v>
      </c>
      <c r="D79" s="2881" t="s">
        <v>50</v>
      </c>
      <c r="E79" s="800"/>
      <c r="F79" s="7594"/>
      <c r="G79" s="800"/>
      <c r="H79" s="6209"/>
      <c r="I79" s="3166"/>
      <c r="J79" s="41">
        <f t="shared" si="28"/>
        <v>0</v>
      </c>
      <c r="K79" s="800"/>
      <c r="L79" s="5722"/>
      <c r="M79" s="848"/>
      <c r="N79" s="586">
        <f t="shared" si="29"/>
        <v>0</v>
      </c>
      <c r="O79" s="800"/>
      <c r="P79" s="5857"/>
      <c r="Q79" s="799"/>
      <c r="R79" s="349">
        <f t="shared" si="30"/>
        <v>0</v>
      </c>
      <c r="S79" s="800"/>
      <c r="T79" s="3172"/>
      <c r="U79" s="799"/>
      <c r="V79" s="349">
        <f t="shared" si="31"/>
        <v>0</v>
      </c>
      <c r="W79" s="800"/>
      <c r="X79" s="6043"/>
      <c r="Y79" s="543"/>
      <c r="Z79" s="4598">
        <f t="shared" ref="Z79:Z145" si="41">P79+T79+X79</f>
        <v>0</v>
      </c>
      <c r="AA79" s="629"/>
      <c r="AB79" s="4599">
        <f t="shared" ref="AB79:AB145" si="42">N79+Z79</f>
        <v>0</v>
      </c>
      <c r="AC79" s="800"/>
      <c r="AD79" s="6169"/>
      <c r="AE79" s="799"/>
      <c r="AF79" s="349">
        <f t="shared" si="32"/>
        <v>0</v>
      </c>
      <c r="AG79" s="800"/>
      <c r="AH79" s="6337"/>
      <c r="AI79" s="799"/>
      <c r="AJ79" s="349">
        <f t="shared" si="40"/>
        <v>0</v>
      </c>
      <c r="AK79" s="800"/>
      <c r="AL79" s="6600"/>
      <c r="AM79" s="2449"/>
      <c r="AN79" s="4598">
        <f t="shared" si="37"/>
        <v>0</v>
      </c>
      <c r="AO79" s="2236"/>
      <c r="AP79" s="349">
        <f t="shared" si="33"/>
        <v>0</v>
      </c>
      <c r="AQ79" s="800"/>
      <c r="AR79" s="4979"/>
      <c r="AS79" s="799"/>
      <c r="AT79" s="4975">
        <f t="shared" si="34"/>
        <v>0</v>
      </c>
      <c r="AU79" s="800"/>
      <c r="AV79" s="6852"/>
      <c r="AW79" s="799"/>
      <c r="AX79" s="349">
        <f t="shared" si="35"/>
        <v>0</v>
      </c>
      <c r="AY79" s="800"/>
      <c r="AZ79" s="7008"/>
      <c r="BA79" s="2449"/>
      <c r="BB79" s="2449">
        <f t="shared" si="36"/>
        <v>0</v>
      </c>
      <c r="BC79" s="629"/>
      <c r="BD79" s="629">
        <f t="shared" si="38"/>
        <v>0</v>
      </c>
      <c r="BE79" s="2236"/>
      <c r="BF79" s="5106">
        <f t="shared" si="39"/>
        <v>0</v>
      </c>
      <c r="BG79" s="1137"/>
      <c r="BH79" s="4234">
        <f t="shared" si="22"/>
        <v>0</v>
      </c>
      <c r="BI79" s="4234">
        <f t="shared" si="23"/>
        <v>0</v>
      </c>
      <c r="BJ79" s="25">
        <f t="shared" si="24"/>
        <v>0</v>
      </c>
      <c r="BK79" s="25">
        <f t="shared" si="25"/>
        <v>0</v>
      </c>
      <c r="BL79" s="25">
        <f t="shared" si="26"/>
        <v>0</v>
      </c>
      <c r="BM79" s="25">
        <f t="shared" si="27"/>
        <v>0</v>
      </c>
    </row>
    <row r="80" spans="1:65" s="4233" customFormat="1" ht="16.5" hidden="1" thickBot="1" x14ac:dyDescent="0.3">
      <c r="B80" s="797" t="s">
        <v>830</v>
      </c>
      <c r="C80" s="2880" t="s">
        <v>1395</v>
      </c>
      <c r="D80" s="2881" t="s">
        <v>50</v>
      </c>
      <c r="E80" s="800"/>
      <c r="F80" s="7594"/>
      <c r="G80" s="800"/>
      <c r="H80" s="6209"/>
      <c r="I80" s="3166"/>
      <c r="J80" s="41">
        <f t="shared" si="28"/>
        <v>0</v>
      </c>
      <c r="K80" s="800"/>
      <c r="L80" s="5722"/>
      <c r="M80" s="3123"/>
      <c r="N80" s="586">
        <f t="shared" si="29"/>
        <v>0</v>
      </c>
      <c r="O80" s="800"/>
      <c r="P80" s="5857"/>
      <c r="Q80" s="3166"/>
      <c r="R80" s="349">
        <f t="shared" si="30"/>
        <v>0</v>
      </c>
      <c r="S80" s="800"/>
      <c r="T80" s="3172"/>
      <c r="U80" s="3166"/>
      <c r="V80" s="349">
        <f t="shared" si="31"/>
        <v>0</v>
      </c>
      <c r="W80" s="800"/>
      <c r="X80" s="6043"/>
      <c r="Y80" s="2886"/>
      <c r="Z80" s="4598">
        <f t="shared" si="41"/>
        <v>0</v>
      </c>
      <c r="AA80" s="4416"/>
      <c r="AB80" s="4599">
        <f t="shared" si="42"/>
        <v>0</v>
      </c>
      <c r="AC80" s="800"/>
      <c r="AD80" s="6169"/>
      <c r="AE80" s="3166"/>
      <c r="AF80" s="349">
        <f t="shared" si="32"/>
        <v>0</v>
      </c>
      <c r="AG80" s="800"/>
      <c r="AH80" s="6337"/>
      <c r="AI80" s="3166"/>
      <c r="AJ80" s="349">
        <f t="shared" si="40"/>
        <v>0</v>
      </c>
      <c r="AK80" s="800"/>
      <c r="AL80" s="6600"/>
      <c r="AM80" s="2886"/>
      <c r="AN80" s="4598">
        <f t="shared" si="37"/>
        <v>0</v>
      </c>
      <c r="AO80" s="4414"/>
      <c r="AP80" s="349">
        <f t="shared" si="33"/>
        <v>0</v>
      </c>
      <c r="AQ80" s="800"/>
      <c r="AR80" s="4979"/>
      <c r="AS80" s="3166"/>
      <c r="AT80" s="4975">
        <f t="shared" si="34"/>
        <v>0</v>
      </c>
      <c r="AU80" s="800"/>
      <c r="AV80" s="6852"/>
      <c r="AW80" s="3166"/>
      <c r="AX80" s="349">
        <f t="shared" si="35"/>
        <v>0</v>
      </c>
      <c r="AY80" s="800"/>
      <c r="AZ80" s="7008"/>
      <c r="BA80" s="2886"/>
      <c r="BB80" s="2449">
        <f t="shared" si="36"/>
        <v>0</v>
      </c>
      <c r="BC80" s="4416"/>
      <c r="BD80" s="629">
        <f t="shared" si="38"/>
        <v>0</v>
      </c>
      <c r="BE80" s="4414"/>
      <c r="BF80" s="5106">
        <f t="shared" si="39"/>
        <v>0</v>
      </c>
      <c r="BG80" s="1137"/>
      <c r="BH80" s="4234">
        <f t="shared" si="22"/>
        <v>0</v>
      </c>
      <c r="BI80" s="4234">
        <f t="shared" si="23"/>
        <v>0</v>
      </c>
      <c r="BJ80" s="25">
        <f t="shared" si="24"/>
        <v>0</v>
      </c>
      <c r="BK80" s="25">
        <f t="shared" si="25"/>
        <v>0</v>
      </c>
      <c r="BL80" s="25">
        <f t="shared" si="26"/>
        <v>0</v>
      </c>
      <c r="BM80" s="25">
        <f t="shared" si="27"/>
        <v>0</v>
      </c>
    </row>
    <row r="81" spans="1:65" s="4233" customFormat="1" ht="16.5" hidden="1" thickBot="1" x14ac:dyDescent="0.3">
      <c r="B81" s="797" t="s">
        <v>830</v>
      </c>
      <c r="C81" s="2880" t="s">
        <v>1790</v>
      </c>
      <c r="D81" s="2881" t="s">
        <v>50</v>
      </c>
      <c r="E81" s="800"/>
      <c r="F81" s="7594"/>
      <c r="G81" s="800"/>
      <c r="H81" s="6209"/>
      <c r="I81" s="3166"/>
      <c r="J81" s="41">
        <f t="shared" si="28"/>
        <v>0</v>
      </c>
      <c r="K81" s="800"/>
      <c r="L81" s="5722"/>
      <c r="M81" s="3123"/>
      <c r="N81" s="586">
        <f t="shared" si="29"/>
        <v>0</v>
      </c>
      <c r="O81" s="800"/>
      <c r="P81" s="5857"/>
      <c r="Q81" s="3166"/>
      <c r="R81" s="349">
        <f t="shared" si="30"/>
        <v>0</v>
      </c>
      <c r="S81" s="800"/>
      <c r="T81" s="5940"/>
      <c r="U81" s="3166"/>
      <c r="V81" s="349">
        <f t="shared" si="31"/>
        <v>0</v>
      </c>
      <c r="W81" s="800"/>
      <c r="X81" s="6043"/>
      <c r="Y81" s="2886"/>
      <c r="Z81" s="4598">
        <f t="shared" si="41"/>
        <v>0</v>
      </c>
      <c r="AA81" s="4416"/>
      <c r="AB81" s="4599">
        <f t="shared" si="42"/>
        <v>0</v>
      </c>
      <c r="AC81" s="800"/>
      <c r="AD81" s="6169"/>
      <c r="AE81" s="3166"/>
      <c r="AF81" s="349">
        <f t="shared" si="32"/>
        <v>0</v>
      </c>
      <c r="AG81" s="800"/>
      <c r="AH81" s="6337"/>
      <c r="AI81" s="3166"/>
      <c r="AJ81" s="349">
        <f t="shared" si="40"/>
        <v>0</v>
      </c>
      <c r="AK81" s="800"/>
      <c r="AL81" s="6600"/>
      <c r="AM81" s="2886"/>
      <c r="AN81" s="4598">
        <f t="shared" si="37"/>
        <v>0</v>
      </c>
      <c r="AO81" s="4414"/>
      <c r="AP81" s="349">
        <f t="shared" si="33"/>
        <v>0</v>
      </c>
      <c r="AQ81" s="800"/>
      <c r="AR81" s="4979"/>
      <c r="AS81" s="3166"/>
      <c r="AT81" s="4975">
        <f t="shared" si="34"/>
        <v>0</v>
      </c>
      <c r="AU81" s="800"/>
      <c r="AV81" s="6852"/>
      <c r="AW81" s="3166"/>
      <c r="AX81" s="349">
        <f t="shared" si="35"/>
        <v>0</v>
      </c>
      <c r="AY81" s="800"/>
      <c r="AZ81" s="7008"/>
      <c r="BA81" s="2886"/>
      <c r="BB81" s="2449">
        <f t="shared" si="36"/>
        <v>0</v>
      </c>
      <c r="BC81" s="4416"/>
      <c r="BD81" s="629">
        <f t="shared" si="38"/>
        <v>0</v>
      </c>
      <c r="BE81" s="4414"/>
      <c r="BF81" s="5106">
        <f t="shared" si="39"/>
        <v>0</v>
      </c>
      <c r="BG81" s="1137"/>
      <c r="BH81" s="4234">
        <f t="shared" si="22"/>
        <v>0</v>
      </c>
      <c r="BI81" s="4234">
        <f t="shared" si="23"/>
        <v>0</v>
      </c>
      <c r="BJ81" s="25">
        <f t="shared" si="24"/>
        <v>0</v>
      </c>
      <c r="BK81" s="25">
        <f t="shared" si="25"/>
        <v>0</v>
      </c>
      <c r="BL81" s="25">
        <f t="shared" si="26"/>
        <v>0</v>
      </c>
      <c r="BM81" s="25">
        <f t="shared" si="27"/>
        <v>0</v>
      </c>
    </row>
    <row r="82" spans="1:65" ht="16.5" hidden="1" thickBot="1" x14ac:dyDescent="0.3">
      <c r="B82" s="797" t="s">
        <v>830</v>
      </c>
      <c r="C82" s="2880" t="s">
        <v>1451</v>
      </c>
      <c r="D82" s="2881" t="s">
        <v>50</v>
      </c>
      <c r="E82" s="800"/>
      <c r="F82" s="7594"/>
      <c r="G82" s="800"/>
      <c r="H82" s="6209"/>
      <c r="I82" s="3166"/>
      <c r="J82" s="41">
        <f t="shared" si="28"/>
        <v>0</v>
      </c>
      <c r="K82" s="800"/>
      <c r="L82" s="5722"/>
      <c r="M82" s="848"/>
      <c r="N82" s="586">
        <f t="shared" si="29"/>
        <v>0</v>
      </c>
      <c r="O82" s="800"/>
      <c r="P82" s="5857"/>
      <c r="Q82" s="799"/>
      <c r="R82" s="349">
        <f t="shared" si="30"/>
        <v>0</v>
      </c>
      <c r="S82" s="800"/>
      <c r="T82" s="5940"/>
      <c r="U82" s="799"/>
      <c r="V82" s="349">
        <f t="shared" si="31"/>
        <v>0</v>
      </c>
      <c r="W82" s="800"/>
      <c r="X82" s="6043"/>
      <c r="Y82" s="543"/>
      <c r="Z82" s="4598">
        <f t="shared" si="41"/>
        <v>0</v>
      </c>
      <c r="AA82" s="629"/>
      <c r="AB82" s="4599">
        <f t="shared" si="42"/>
        <v>0</v>
      </c>
      <c r="AC82" s="800"/>
      <c r="AD82" s="6169"/>
      <c r="AE82" s="799"/>
      <c r="AF82" s="349">
        <f t="shared" si="32"/>
        <v>0</v>
      </c>
      <c r="AG82" s="800"/>
      <c r="AH82" s="6337"/>
      <c r="AI82" s="799"/>
      <c r="AJ82" s="349">
        <f t="shared" si="40"/>
        <v>0</v>
      </c>
      <c r="AK82" s="800"/>
      <c r="AL82" s="6600"/>
      <c r="AM82" s="2449"/>
      <c r="AN82" s="4598">
        <f t="shared" si="37"/>
        <v>0</v>
      </c>
      <c r="AO82" s="2236"/>
      <c r="AP82" s="349">
        <f t="shared" si="33"/>
        <v>0</v>
      </c>
      <c r="AQ82" s="800"/>
      <c r="AR82" s="4979"/>
      <c r="AS82" s="799"/>
      <c r="AT82" s="4975">
        <f t="shared" si="34"/>
        <v>0</v>
      </c>
      <c r="AU82" s="800"/>
      <c r="AV82" s="6852"/>
      <c r="AW82" s="799"/>
      <c r="AX82" s="349">
        <f t="shared" si="35"/>
        <v>0</v>
      </c>
      <c r="AY82" s="800"/>
      <c r="AZ82" s="7008"/>
      <c r="BA82" s="2449"/>
      <c r="BB82" s="2449">
        <f t="shared" si="36"/>
        <v>0</v>
      </c>
      <c r="BC82" s="629"/>
      <c r="BD82" s="629">
        <f t="shared" si="38"/>
        <v>0</v>
      </c>
      <c r="BE82" s="2236"/>
      <c r="BF82" s="5106">
        <f t="shared" si="39"/>
        <v>0</v>
      </c>
      <c r="BG82" s="1137"/>
      <c r="BH82" s="4234">
        <f t="shared" si="22"/>
        <v>0</v>
      </c>
      <c r="BI82" s="4234">
        <f t="shared" si="23"/>
        <v>0</v>
      </c>
      <c r="BJ82" s="25">
        <f t="shared" si="24"/>
        <v>0</v>
      </c>
      <c r="BK82" s="25">
        <f t="shared" si="25"/>
        <v>0</v>
      </c>
      <c r="BL82" s="25">
        <f t="shared" si="26"/>
        <v>0</v>
      </c>
      <c r="BM82" s="25">
        <f t="shared" si="27"/>
        <v>0</v>
      </c>
    </row>
    <row r="83" spans="1:65" ht="16.5" hidden="1" thickBot="1" x14ac:dyDescent="0.3">
      <c r="B83" s="4286" t="s">
        <v>830</v>
      </c>
      <c r="C83" s="4287" t="s">
        <v>1397</v>
      </c>
      <c r="D83" s="3434" t="s">
        <v>50</v>
      </c>
      <c r="E83" s="4288"/>
      <c r="F83" s="7007"/>
      <c r="G83" s="4288"/>
      <c r="H83" s="6204"/>
      <c r="I83" s="4585"/>
      <c r="J83" s="41">
        <f t="shared" si="28"/>
        <v>0</v>
      </c>
      <c r="K83" s="4288"/>
      <c r="L83" s="5719"/>
      <c r="M83" s="4586"/>
      <c r="N83" s="586">
        <f t="shared" si="29"/>
        <v>0</v>
      </c>
      <c r="O83" s="4288"/>
      <c r="P83" s="5853"/>
      <c r="Q83" s="4585"/>
      <c r="R83" s="349">
        <f t="shared" si="30"/>
        <v>0</v>
      </c>
      <c r="S83" s="4288"/>
      <c r="T83" s="5935"/>
      <c r="U83" s="4585"/>
      <c r="V83" s="349">
        <f t="shared" si="31"/>
        <v>0</v>
      </c>
      <c r="W83" s="4288"/>
      <c r="X83" s="6039"/>
      <c r="Y83" s="4589"/>
      <c r="Z83" s="4598">
        <f t="shared" si="41"/>
        <v>0</v>
      </c>
      <c r="AA83" s="4590"/>
      <c r="AB83" s="4599">
        <f t="shared" si="42"/>
        <v>0</v>
      </c>
      <c r="AC83" s="4288"/>
      <c r="AD83" s="6165"/>
      <c r="AE83" s="4585"/>
      <c r="AF83" s="349">
        <f t="shared" si="32"/>
        <v>0</v>
      </c>
      <c r="AG83" s="4288"/>
      <c r="AH83" s="6329"/>
      <c r="AI83" s="4585"/>
      <c r="AJ83" s="349">
        <f t="shared" si="40"/>
        <v>0</v>
      </c>
      <c r="AK83" s="4288"/>
      <c r="AL83" s="6596"/>
      <c r="AM83" s="2449"/>
      <c r="AN83" s="4598">
        <f t="shared" si="37"/>
        <v>0</v>
      </c>
      <c r="AO83" s="2236"/>
      <c r="AP83" s="349">
        <f t="shared" si="33"/>
        <v>0</v>
      </c>
      <c r="AQ83" s="4288"/>
      <c r="AR83" s="4977"/>
      <c r="AS83" s="799"/>
      <c r="AT83" s="4975">
        <f t="shared" si="34"/>
        <v>0</v>
      </c>
      <c r="AU83" s="4288"/>
      <c r="AV83" s="6851"/>
      <c r="AW83" s="799"/>
      <c r="AX83" s="349">
        <f t="shared" si="35"/>
        <v>0</v>
      </c>
      <c r="AY83" s="4288"/>
      <c r="AZ83" s="7007"/>
      <c r="BA83" s="2449"/>
      <c r="BB83" s="2449">
        <f t="shared" si="36"/>
        <v>0</v>
      </c>
      <c r="BC83" s="629"/>
      <c r="BD83" s="629">
        <f t="shared" si="38"/>
        <v>0</v>
      </c>
      <c r="BE83" s="2236"/>
      <c r="BF83" s="5106">
        <f t="shared" si="39"/>
        <v>0</v>
      </c>
      <c r="BG83" s="1137"/>
      <c r="BH83" s="4234">
        <f t="shared" si="22"/>
        <v>0</v>
      </c>
      <c r="BI83" s="4234">
        <f t="shared" si="23"/>
        <v>0</v>
      </c>
      <c r="BJ83" s="25">
        <f t="shared" si="24"/>
        <v>0</v>
      </c>
      <c r="BK83" s="25">
        <f t="shared" si="25"/>
        <v>0</v>
      </c>
      <c r="BL83" s="25">
        <f t="shared" si="26"/>
        <v>0</v>
      </c>
      <c r="BM83" s="25">
        <f t="shared" si="27"/>
        <v>0</v>
      </c>
    </row>
    <row r="84" spans="1:65" s="4487" customFormat="1" ht="16.5" hidden="1" thickBot="1" x14ac:dyDescent="0.3">
      <c r="B84" s="3153" t="s">
        <v>1803</v>
      </c>
      <c r="C84" s="3835" t="s">
        <v>1091</v>
      </c>
      <c r="D84" s="4602" t="s">
        <v>50</v>
      </c>
      <c r="E84" s="3820"/>
      <c r="F84" s="147"/>
      <c r="G84" s="3820"/>
      <c r="H84" s="147"/>
      <c r="I84" s="3165"/>
      <c r="J84" s="41">
        <f t="shared" si="28"/>
        <v>0</v>
      </c>
      <c r="K84" s="3820"/>
      <c r="L84" s="147"/>
      <c r="M84" s="3821"/>
      <c r="N84" s="586">
        <f t="shared" si="29"/>
        <v>0</v>
      </c>
      <c r="O84" s="3820"/>
      <c r="P84" s="147"/>
      <c r="Q84" s="3165"/>
      <c r="R84" s="349">
        <f t="shared" si="30"/>
        <v>0</v>
      </c>
      <c r="S84" s="3820"/>
      <c r="T84" s="147">
        <f>1125.45-20.5-14.35</f>
        <v>1090.6000000000001</v>
      </c>
      <c r="U84" s="3165"/>
      <c r="V84" s="349">
        <f t="shared" si="31"/>
        <v>1090.6000000000001</v>
      </c>
      <c r="W84" s="3820"/>
      <c r="X84" s="147"/>
      <c r="Y84" s="4598"/>
      <c r="Z84" s="4598">
        <f t="shared" si="41"/>
        <v>1090.6000000000001</v>
      </c>
      <c r="AA84" s="4599"/>
      <c r="AB84" s="4599">
        <f t="shared" si="42"/>
        <v>1090.6000000000001</v>
      </c>
      <c r="AC84" s="3820"/>
      <c r="AD84" s="147"/>
      <c r="AE84" s="3165"/>
      <c r="AF84" s="349">
        <f t="shared" si="32"/>
        <v>1090.6000000000001</v>
      </c>
      <c r="AG84" s="3820"/>
      <c r="AH84" s="147"/>
      <c r="AI84" s="3165"/>
      <c r="AJ84" s="4637">
        <f t="shared" si="40"/>
        <v>1090.6000000000001</v>
      </c>
      <c r="AK84" s="3820"/>
      <c r="AL84" s="147"/>
      <c r="AM84" s="4579"/>
      <c r="AN84" s="4598">
        <f t="shared" si="37"/>
        <v>0</v>
      </c>
      <c r="AO84" s="4514"/>
      <c r="AP84" s="349">
        <f t="shared" si="33"/>
        <v>1090.6000000000001</v>
      </c>
      <c r="AQ84" s="3820"/>
      <c r="AR84" s="147"/>
      <c r="AS84" s="4584"/>
      <c r="AT84" s="4975">
        <f t="shared" si="34"/>
        <v>1090.6000000000001</v>
      </c>
      <c r="AU84" s="3820"/>
      <c r="AV84" s="147"/>
      <c r="AW84" s="4584"/>
      <c r="AX84" s="349">
        <f t="shared" si="35"/>
        <v>1090.6000000000001</v>
      </c>
      <c r="AY84" s="3820"/>
      <c r="AZ84" s="147"/>
      <c r="BA84" s="4579"/>
      <c r="BB84" s="2449">
        <f t="shared" si="36"/>
        <v>0</v>
      </c>
      <c r="BC84" s="4580"/>
      <c r="BD84" s="629">
        <f t="shared" si="38"/>
        <v>0</v>
      </c>
      <c r="BE84" s="4514"/>
      <c r="BF84" s="5106">
        <f t="shared" si="39"/>
        <v>1090.6000000000001</v>
      </c>
      <c r="BG84" s="1137"/>
      <c r="BH84" s="4234">
        <f t="shared" si="22"/>
        <v>0</v>
      </c>
      <c r="BI84" s="4234">
        <f t="shared" si="23"/>
        <v>0</v>
      </c>
      <c r="BJ84" s="25">
        <f t="shared" si="24"/>
        <v>0</v>
      </c>
      <c r="BK84" s="25">
        <f t="shared" si="25"/>
        <v>0</v>
      </c>
      <c r="BL84" s="25">
        <f t="shared" si="26"/>
        <v>0</v>
      </c>
      <c r="BM84" s="25">
        <f t="shared" si="27"/>
        <v>0</v>
      </c>
    </row>
    <row r="85" spans="1:65" s="4487" customFormat="1" ht="16.5" hidden="1" thickBot="1" x14ac:dyDescent="0.3">
      <c r="B85" s="3153" t="s">
        <v>1803</v>
      </c>
      <c r="C85" s="2880" t="s">
        <v>995</v>
      </c>
      <c r="D85" s="4602" t="s">
        <v>50</v>
      </c>
      <c r="E85" s="3824"/>
      <c r="F85" s="7592"/>
      <c r="G85" s="3824"/>
      <c r="H85" s="6206"/>
      <c r="I85" s="3825"/>
      <c r="J85" s="41">
        <f t="shared" si="28"/>
        <v>0</v>
      </c>
      <c r="K85" s="3824"/>
      <c r="L85" s="5720"/>
      <c r="M85" s="3826"/>
      <c r="N85" s="586">
        <f t="shared" si="29"/>
        <v>0</v>
      </c>
      <c r="O85" s="3824"/>
      <c r="P85" s="5855"/>
      <c r="Q85" s="3825"/>
      <c r="R85" s="349">
        <f t="shared" si="30"/>
        <v>0</v>
      </c>
      <c r="S85" s="3824"/>
      <c r="T85" s="5937"/>
      <c r="U85" s="3825"/>
      <c r="V85" s="349">
        <f t="shared" si="31"/>
        <v>0</v>
      </c>
      <c r="W85" s="3824"/>
      <c r="X85" s="6041"/>
      <c r="Y85" s="4594"/>
      <c r="Z85" s="4598">
        <f t="shared" si="41"/>
        <v>0</v>
      </c>
      <c r="AA85" s="4595"/>
      <c r="AB85" s="4599">
        <f t="shared" si="42"/>
        <v>0</v>
      </c>
      <c r="AC85" s="3824"/>
      <c r="AD85" s="6167"/>
      <c r="AE85" s="3825"/>
      <c r="AF85" s="349">
        <f t="shared" si="32"/>
        <v>0</v>
      </c>
      <c r="AG85" s="3824"/>
      <c r="AH85" s="6331"/>
      <c r="AI85" s="3825"/>
      <c r="AJ85" s="349">
        <f>+AF85+AH85</f>
        <v>0</v>
      </c>
      <c r="AK85" s="3824"/>
      <c r="AL85" s="6598"/>
      <c r="AM85" s="4985"/>
      <c r="AN85" s="4598">
        <f t="shared" si="37"/>
        <v>0</v>
      </c>
      <c r="AO85" s="4949"/>
      <c r="AP85" s="349">
        <f t="shared" si="33"/>
        <v>0</v>
      </c>
      <c r="AQ85" s="3824"/>
      <c r="AR85" s="4978"/>
      <c r="AS85" s="4983"/>
      <c r="AT85" s="4975">
        <f t="shared" si="34"/>
        <v>0</v>
      </c>
      <c r="AU85" s="3824"/>
      <c r="AV85" s="6849"/>
      <c r="AW85" s="4983"/>
      <c r="AX85" s="349">
        <f t="shared" si="35"/>
        <v>0</v>
      </c>
      <c r="AY85" s="3824"/>
      <c r="AZ85" s="7005"/>
      <c r="BA85" s="4985"/>
      <c r="BB85" s="2449">
        <f t="shared" si="36"/>
        <v>0</v>
      </c>
      <c r="BC85" s="4986"/>
      <c r="BD85" s="629">
        <f t="shared" si="38"/>
        <v>0</v>
      </c>
      <c r="BE85" s="4949"/>
      <c r="BF85" s="5106">
        <f t="shared" si="39"/>
        <v>0</v>
      </c>
      <c r="BG85" s="1137"/>
      <c r="BH85" s="4234">
        <f t="shared" si="22"/>
        <v>0</v>
      </c>
      <c r="BI85" s="4234">
        <f t="shared" si="23"/>
        <v>0</v>
      </c>
      <c r="BJ85" s="25">
        <f t="shared" si="24"/>
        <v>0</v>
      </c>
      <c r="BK85" s="25">
        <f t="shared" si="25"/>
        <v>0</v>
      </c>
      <c r="BL85" s="25">
        <f t="shared" si="26"/>
        <v>0</v>
      </c>
      <c r="BM85" s="25">
        <f t="shared" si="27"/>
        <v>0</v>
      </c>
    </row>
    <row r="86" spans="1:65" s="4487" customFormat="1" ht="16.5" hidden="1" thickBot="1" x14ac:dyDescent="0.3">
      <c r="B86" s="4591" t="s">
        <v>1803</v>
      </c>
      <c r="C86" s="5245" t="s">
        <v>935</v>
      </c>
      <c r="D86" s="5634" t="s">
        <v>50</v>
      </c>
      <c r="E86" s="3824"/>
      <c r="F86" s="7592"/>
      <c r="G86" s="3824"/>
      <c r="H86" s="6206">
        <f>30.75-2.05</f>
        <v>28.7</v>
      </c>
      <c r="I86" s="3825"/>
      <c r="J86" s="41">
        <f t="shared" si="28"/>
        <v>28.7</v>
      </c>
      <c r="K86" s="3824"/>
      <c r="L86" s="5720"/>
      <c r="M86" s="3826"/>
      <c r="N86" s="586">
        <f t="shared" si="29"/>
        <v>28.7</v>
      </c>
      <c r="O86" s="3824"/>
      <c r="P86" s="5855"/>
      <c r="Q86" s="3825"/>
      <c r="R86" s="349">
        <f t="shared" si="30"/>
        <v>28.7</v>
      </c>
      <c r="S86" s="3824"/>
      <c r="T86" s="5937"/>
      <c r="U86" s="3825"/>
      <c r="V86" s="349">
        <f t="shared" si="31"/>
        <v>28.7</v>
      </c>
      <c r="W86" s="3824"/>
      <c r="X86" s="6041"/>
      <c r="Y86" s="4594"/>
      <c r="Z86" s="4598">
        <f t="shared" si="41"/>
        <v>0</v>
      </c>
      <c r="AA86" s="4595"/>
      <c r="AB86" s="4599">
        <f t="shared" si="42"/>
        <v>28.7</v>
      </c>
      <c r="AC86" s="3824"/>
      <c r="AD86" s="6167"/>
      <c r="AE86" s="3825"/>
      <c r="AF86" s="349">
        <f t="shared" si="32"/>
        <v>28.7</v>
      </c>
      <c r="AG86" s="3824"/>
      <c r="AH86" s="6331"/>
      <c r="AI86" s="3825"/>
      <c r="AJ86" s="349">
        <f t="shared" ref="AJ86:AJ87" si="43">+AF86+AH86</f>
        <v>28.7</v>
      </c>
      <c r="AK86" s="3824"/>
      <c r="AL86" s="6598"/>
      <c r="AM86" s="5635"/>
      <c r="AN86" s="4598">
        <f t="shared" si="37"/>
        <v>0</v>
      </c>
      <c r="AO86" s="5636"/>
      <c r="AP86" s="349">
        <f t="shared" si="33"/>
        <v>28.7</v>
      </c>
      <c r="AQ86" s="3824"/>
      <c r="AR86" s="5613"/>
      <c r="AS86" s="5637"/>
      <c r="AT86" s="5636">
        <f t="shared" si="34"/>
        <v>28.7</v>
      </c>
      <c r="AU86" s="3824"/>
      <c r="AV86" s="6849"/>
      <c r="AW86" s="5637"/>
      <c r="AX86" s="349">
        <f t="shared" si="35"/>
        <v>28.7</v>
      </c>
      <c r="AY86" s="3824"/>
      <c r="AZ86" s="7005"/>
      <c r="BA86" s="5635"/>
      <c r="BB86" s="2449">
        <f t="shared" si="36"/>
        <v>0</v>
      </c>
      <c r="BC86" s="5638"/>
      <c r="BD86" s="5260">
        <f t="shared" si="38"/>
        <v>0</v>
      </c>
      <c r="BE86" s="5636"/>
      <c r="BF86" s="6995">
        <f t="shared" si="39"/>
        <v>28.7</v>
      </c>
      <c r="BG86" s="1137"/>
      <c r="BH86" s="4234">
        <f t="shared" si="22"/>
        <v>0</v>
      </c>
      <c r="BI86" s="4234">
        <f t="shared" si="23"/>
        <v>0</v>
      </c>
      <c r="BJ86" s="25">
        <f t="shared" si="24"/>
        <v>0</v>
      </c>
      <c r="BK86" s="25">
        <f t="shared" si="25"/>
        <v>0</v>
      </c>
      <c r="BL86" s="25">
        <f t="shared" si="26"/>
        <v>0</v>
      </c>
      <c r="BM86" s="25">
        <f t="shared" si="27"/>
        <v>0</v>
      </c>
    </row>
    <row r="87" spans="1:65" s="4487" customFormat="1" ht="16.5" hidden="1" thickBot="1" x14ac:dyDescent="0.3">
      <c r="B87" s="797" t="s">
        <v>1803</v>
      </c>
      <c r="C87" s="4596" t="s">
        <v>1804</v>
      </c>
      <c r="D87" s="3434" t="s">
        <v>50</v>
      </c>
      <c r="E87" s="4597"/>
      <c r="F87" s="4574"/>
      <c r="G87" s="4597"/>
      <c r="H87" s="4574"/>
      <c r="I87" s="4584"/>
      <c r="J87" s="41">
        <f t="shared" si="28"/>
        <v>0</v>
      </c>
      <c r="K87" s="4597"/>
      <c r="L87" s="4574">
        <v>79.95</v>
      </c>
      <c r="M87" s="4577"/>
      <c r="N87" s="586">
        <f t="shared" si="29"/>
        <v>79.95</v>
      </c>
      <c r="O87" s="4597"/>
      <c r="P87" s="4574"/>
      <c r="Q87" s="4584"/>
      <c r="R87" s="349">
        <f t="shared" si="30"/>
        <v>79.95</v>
      </c>
      <c r="S87" s="4597"/>
      <c r="T87" s="4574"/>
      <c r="U87" s="4584"/>
      <c r="V87" s="349">
        <f t="shared" si="31"/>
        <v>79.95</v>
      </c>
      <c r="W87" s="4597"/>
      <c r="X87" s="4574"/>
      <c r="Y87" s="4579"/>
      <c r="Z87" s="4598">
        <f t="shared" si="41"/>
        <v>0</v>
      </c>
      <c r="AA87" s="4580"/>
      <c r="AB87" s="4599">
        <f t="shared" si="42"/>
        <v>79.95</v>
      </c>
      <c r="AC87" s="4597"/>
      <c r="AD87" s="4574"/>
      <c r="AE87" s="4584"/>
      <c r="AF87" s="349">
        <f t="shared" si="32"/>
        <v>79.95</v>
      </c>
      <c r="AG87" s="4597"/>
      <c r="AH87" s="4574"/>
      <c r="AI87" s="4584"/>
      <c r="AJ87" s="349">
        <f t="shared" si="43"/>
        <v>79.95</v>
      </c>
      <c r="AK87" s="4597"/>
      <c r="AL87" s="4574"/>
      <c r="AM87" s="4579"/>
      <c r="AN87" s="4598">
        <f t="shared" si="37"/>
        <v>0</v>
      </c>
      <c r="AO87" s="4514"/>
      <c r="AP87" s="349">
        <f t="shared" si="33"/>
        <v>79.95</v>
      </c>
      <c r="AQ87" s="4597"/>
      <c r="AR87" s="4574"/>
      <c r="AS87" s="4584"/>
      <c r="AT87" s="4975">
        <f t="shared" si="34"/>
        <v>79.95</v>
      </c>
      <c r="AU87" s="4597"/>
      <c r="AV87" s="4574"/>
      <c r="AW87" s="4584"/>
      <c r="AX87" s="349">
        <f t="shared" si="35"/>
        <v>79.95</v>
      </c>
      <c r="AY87" s="4597"/>
      <c r="AZ87" s="4574"/>
      <c r="BA87" s="4579"/>
      <c r="BB87" s="2449">
        <f t="shared" si="36"/>
        <v>0</v>
      </c>
      <c r="BC87" s="4580"/>
      <c r="BD87" s="629">
        <f t="shared" si="38"/>
        <v>0</v>
      </c>
      <c r="BE87" s="4514"/>
      <c r="BF87" s="5106">
        <f t="shared" si="39"/>
        <v>79.95</v>
      </c>
      <c r="BG87" s="1137"/>
      <c r="BH87" s="4234">
        <f t="shared" si="22"/>
        <v>0</v>
      </c>
      <c r="BI87" s="4234">
        <f t="shared" si="23"/>
        <v>0</v>
      </c>
      <c r="BJ87" s="25">
        <f t="shared" si="24"/>
        <v>0</v>
      </c>
      <c r="BK87" s="25">
        <f t="shared" si="25"/>
        <v>0</v>
      </c>
      <c r="BL87" s="25">
        <f t="shared" si="26"/>
        <v>0</v>
      </c>
      <c r="BM87" s="25">
        <f t="shared" si="27"/>
        <v>0</v>
      </c>
    </row>
    <row r="88" spans="1:65" s="4487" customFormat="1" ht="16.5" hidden="1" thickBot="1" x14ac:dyDescent="0.3">
      <c r="B88" s="3157" t="s">
        <v>1803</v>
      </c>
      <c r="C88" s="3839" t="s">
        <v>1805</v>
      </c>
      <c r="D88" s="3159" t="s">
        <v>50</v>
      </c>
      <c r="E88" s="3818"/>
      <c r="F88" s="105"/>
      <c r="G88" s="3818"/>
      <c r="H88" s="105">
        <f>590.4-12.3</f>
        <v>578.1</v>
      </c>
      <c r="I88" s="3168"/>
      <c r="J88" s="41">
        <f t="shared" si="28"/>
        <v>578.1</v>
      </c>
      <c r="K88" s="3818"/>
      <c r="L88" s="105">
        <v>434.6</v>
      </c>
      <c r="M88" s="3819"/>
      <c r="N88" s="586">
        <f t="shared" si="29"/>
        <v>1012.7</v>
      </c>
      <c r="O88" s="3818"/>
      <c r="P88" s="105"/>
      <c r="Q88" s="3168"/>
      <c r="R88" s="349">
        <f t="shared" si="30"/>
        <v>1012.7</v>
      </c>
      <c r="S88" s="3818"/>
      <c r="T88" s="105"/>
      <c r="U88" s="3168"/>
      <c r="V88" s="349">
        <f t="shared" si="31"/>
        <v>1012.7</v>
      </c>
      <c r="W88" s="3818"/>
      <c r="X88" s="105"/>
      <c r="Y88" s="4600"/>
      <c r="Z88" s="4598">
        <f t="shared" si="41"/>
        <v>0</v>
      </c>
      <c r="AA88" s="4601"/>
      <c r="AB88" s="4599">
        <f t="shared" si="42"/>
        <v>1012.7</v>
      </c>
      <c r="AC88" s="3818"/>
      <c r="AD88" s="105"/>
      <c r="AE88" s="3168"/>
      <c r="AF88" s="349">
        <f t="shared" si="32"/>
        <v>1012.7</v>
      </c>
      <c r="AG88" s="3818"/>
      <c r="AH88" s="105"/>
      <c r="AI88" s="3168"/>
      <c r="AJ88" s="349">
        <f t="shared" ref="AJ88" si="44">+AF88+AH88</f>
        <v>1012.7</v>
      </c>
      <c r="AK88" s="3818"/>
      <c r="AL88" s="105"/>
      <c r="AM88" s="4579"/>
      <c r="AN88" s="4598">
        <f t="shared" si="37"/>
        <v>0</v>
      </c>
      <c r="AO88" s="4514"/>
      <c r="AP88" s="349">
        <f t="shared" si="33"/>
        <v>1012.7</v>
      </c>
      <c r="AQ88" s="3818"/>
      <c r="AR88" s="105"/>
      <c r="AS88" s="4584"/>
      <c r="AT88" s="4975">
        <f t="shared" si="34"/>
        <v>1012.7</v>
      </c>
      <c r="AU88" s="3818"/>
      <c r="AV88" s="105"/>
      <c r="AW88" s="4584"/>
      <c r="AX88" s="349">
        <f t="shared" si="35"/>
        <v>1012.7</v>
      </c>
      <c r="AY88" s="3818"/>
      <c r="AZ88" s="105"/>
      <c r="BA88" s="4579"/>
      <c r="BB88" s="2449">
        <f t="shared" si="36"/>
        <v>0</v>
      </c>
      <c r="BC88" s="4580"/>
      <c r="BD88" s="629">
        <f t="shared" si="38"/>
        <v>0</v>
      </c>
      <c r="BE88" s="4514"/>
      <c r="BF88" s="5106">
        <f t="shared" si="39"/>
        <v>1012.7</v>
      </c>
      <c r="BG88" s="1137"/>
      <c r="BH88" s="4234">
        <f t="shared" si="22"/>
        <v>0</v>
      </c>
      <c r="BI88" s="4234">
        <f t="shared" si="23"/>
        <v>0</v>
      </c>
      <c r="BJ88" s="25">
        <f t="shared" si="24"/>
        <v>0</v>
      </c>
      <c r="BK88" s="25">
        <f t="shared" si="25"/>
        <v>0</v>
      </c>
      <c r="BL88" s="25">
        <f t="shared" si="26"/>
        <v>0</v>
      </c>
      <c r="BM88" s="25">
        <f t="shared" si="27"/>
        <v>0</v>
      </c>
    </row>
    <row r="89" spans="1:65" ht="16.5" hidden="1" thickBot="1" x14ac:dyDescent="0.3">
      <c r="B89" s="4591" t="s">
        <v>1003</v>
      </c>
      <c r="C89" s="4592" t="s">
        <v>1091</v>
      </c>
      <c r="D89" s="47" t="s">
        <v>50</v>
      </c>
      <c r="E89" s="4593"/>
      <c r="F89" s="7592"/>
      <c r="G89" s="4593"/>
      <c r="H89" s="6206">
        <v>266.5</v>
      </c>
      <c r="I89" s="3825"/>
      <c r="J89" s="41">
        <f t="shared" si="28"/>
        <v>266.5</v>
      </c>
      <c r="K89" s="4593"/>
      <c r="L89" s="5720"/>
      <c r="M89" s="3826"/>
      <c r="N89" s="586">
        <f t="shared" si="29"/>
        <v>266.5</v>
      </c>
      <c r="O89" s="4593"/>
      <c r="P89" s="5855">
        <f>1184.9-2.05</f>
        <v>1182.8500000000001</v>
      </c>
      <c r="Q89" s="3825"/>
      <c r="R89" s="349">
        <f t="shared" si="30"/>
        <v>1449.3500000000001</v>
      </c>
      <c r="S89" s="4593"/>
      <c r="T89" s="5937"/>
      <c r="U89" s="3825"/>
      <c r="V89" s="349">
        <f t="shared" si="31"/>
        <v>1449.3500000000001</v>
      </c>
      <c r="W89" s="4593"/>
      <c r="X89" s="6041">
        <v>1215.6500000000001</v>
      </c>
      <c r="Y89" s="4594"/>
      <c r="Z89" s="4598">
        <f t="shared" si="41"/>
        <v>2398.5</v>
      </c>
      <c r="AA89" s="4595"/>
      <c r="AB89" s="4599">
        <f t="shared" si="42"/>
        <v>2665</v>
      </c>
      <c r="AC89" s="4593"/>
      <c r="AD89" s="6167">
        <v>590.40000000000009</v>
      </c>
      <c r="AE89" s="3825"/>
      <c r="AF89" s="349">
        <f t="shared" si="32"/>
        <v>3255.4</v>
      </c>
      <c r="AG89" s="4593"/>
      <c r="AH89" s="6331"/>
      <c r="AI89" s="3825"/>
      <c r="AJ89" s="4637">
        <f t="shared" si="40"/>
        <v>3255.4</v>
      </c>
      <c r="AK89" s="4593"/>
      <c r="AL89" s="6934">
        <f>1246.4-14.35</f>
        <v>1232.0500000000002</v>
      </c>
      <c r="AM89" s="2449"/>
      <c r="AN89" s="4598">
        <f t="shared" si="37"/>
        <v>1822.4500000000003</v>
      </c>
      <c r="AO89" s="2236"/>
      <c r="AP89" s="349">
        <f t="shared" si="33"/>
        <v>4487.4500000000007</v>
      </c>
      <c r="AQ89" s="4593"/>
      <c r="AR89" s="4978">
        <v>1340.6999999999994</v>
      </c>
      <c r="AS89" s="799"/>
      <c r="AT89" s="4975">
        <f t="shared" si="34"/>
        <v>5828.15</v>
      </c>
      <c r="AU89" s="4593"/>
      <c r="AV89" s="6849"/>
      <c r="AW89" s="799"/>
      <c r="AX89" s="349">
        <f t="shared" si="35"/>
        <v>5828.15</v>
      </c>
      <c r="AY89" s="4593"/>
      <c r="AZ89" s="7005"/>
      <c r="BA89" s="2449"/>
      <c r="BB89" s="2449">
        <f t="shared" si="36"/>
        <v>1340.6999999999994</v>
      </c>
      <c r="BC89" s="629"/>
      <c r="BD89" s="629">
        <f t="shared" si="38"/>
        <v>3163.1499999999996</v>
      </c>
      <c r="BE89" s="2236"/>
      <c r="BF89" s="5106">
        <f t="shared" si="39"/>
        <v>5828.15</v>
      </c>
      <c r="BG89" s="1137"/>
      <c r="BH89" s="4234">
        <f t="shared" si="22"/>
        <v>0</v>
      </c>
      <c r="BI89" s="4234">
        <f t="shared" si="23"/>
        <v>0</v>
      </c>
      <c r="BJ89" s="25">
        <f t="shared" si="24"/>
        <v>0</v>
      </c>
      <c r="BK89" s="25">
        <f t="shared" si="25"/>
        <v>0</v>
      </c>
      <c r="BL89" s="25">
        <f t="shared" si="26"/>
        <v>0</v>
      </c>
      <c r="BM89" s="25">
        <f t="shared" si="27"/>
        <v>0</v>
      </c>
    </row>
    <row r="90" spans="1:65" ht="16.5" hidden="1" thickBot="1" x14ac:dyDescent="0.3">
      <c r="B90" s="797" t="s">
        <v>829</v>
      </c>
      <c r="C90" s="2880" t="s">
        <v>935</v>
      </c>
      <c r="D90" s="2881" t="s">
        <v>50</v>
      </c>
      <c r="E90" s="800"/>
      <c r="F90" s="7594"/>
      <c r="G90" s="800"/>
      <c r="H90" s="6209">
        <f>811.8-2.05</f>
        <v>809.75</v>
      </c>
      <c r="I90" s="3166"/>
      <c r="J90" s="41">
        <f t="shared" si="28"/>
        <v>809.75</v>
      </c>
      <c r="K90" s="800"/>
      <c r="L90" s="5722"/>
      <c r="M90" s="848"/>
      <c r="N90" s="586">
        <f t="shared" si="29"/>
        <v>809.75</v>
      </c>
      <c r="O90" s="800"/>
      <c r="P90" s="5857">
        <f>1385.8-4.1</f>
        <v>1381.7</v>
      </c>
      <c r="Q90" s="799"/>
      <c r="R90" s="349">
        <f t="shared" si="30"/>
        <v>2191.4499999999998</v>
      </c>
      <c r="S90" s="800"/>
      <c r="T90" s="5940"/>
      <c r="U90" s="799"/>
      <c r="V90" s="349">
        <f t="shared" si="31"/>
        <v>2191.4499999999998</v>
      </c>
      <c r="W90" s="800"/>
      <c r="X90" s="6043">
        <v>196.79999999999998</v>
      </c>
      <c r="Y90" s="543"/>
      <c r="Z90" s="4598">
        <f t="shared" si="41"/>
        <v>1578.5</v>
      </c>
      <c r="AA90" s="629"/>
      <c r="AB90" s="4599">
        <f t="shared" si="42"/>
        <v>2388.25</v>
      </c>
      <c r="AC90" s="800"/>
      <c r="AD90" s="6169">
        <f>1281.25-18.45</f>
        <v>1262.8</v>
      </c>
      <c r="AE90" s="799"/>
      <c r="AF90" s="349">
        <f t="shared" si="32"/>
        <v>3651.05</v>
      </c>
      <c r="AG90" s="800"/>
      <c r="AH90" s="6337"/>
      <c r="AI90" s="799"/>
      <c r="AJ90" s="4635">
        <f t="shared" si="40"/>
        <v>3651.05</v>
      </c>
      <c r="AK90" s="800"/>
      <c r="AL90" s="6936">
        <f>1359.15-4.1</f>
        <v>1355.0500000000002</v>
      </c>
      <c r="AM90" s="2449"/>
      <c r="AN90" s="4598">
        <f t="shared" si="37"/>
        <v>2617.8500000000004</v>
      </c>
      <c r="AO90" s="2236"/>
      <c r="AP90" s="349">
        <f t="shared" si="33"/>
        <v>5006.1000000000004</v>
      </c>
      <c r="AQ90" s="800"/>
      <c r="AR90" s="4979">
        <v>2152.5000000000005</v>
      </c>
      <c r="AS90" s="799"/>
      <c r="AT90" s="4975">
        <f t="shared" si="34"/>
        <v>7158.6</v>
      </c>
      <c r="AU90" s="800"/>
      <c r="AV90" s="6852"/>
      <c r="AW90" s="799"/>
      <c r="AX90" s="349">
        <f t="shared" si="35"/>
        <v>7158.6</v>
      </c>
      <c r="AY90" s="800"/>
      <c r="AZ90" s="7008"/>
      <c r="BA90" s="2449"/>
      <c r="BB90" s="2449">
        <f t="shared" si="36"/>
        <v>2152.5000000000005</v>
      </c>
      <c r="BC90" s="629"/>
      <c r="BD90" s="629">
        <f t="shared" si="38"/>
        <v>4770.3500000000004</v>
      </c>
      <c r="BE90" s="2236"/>
      <c r="BF90" s="5106">
        <f t="shared" si="39"/>
        <v>7158.6</v>
      </c>
      <c r="BG90" s="1137"/>
      <c r="BH90" s="4234">
        <f t="shared" si="22"/>
        <v>0</v>
      </c>
      <c r="BI90" s="4234">
        <f t="shared" si="23"/>
        <v>0</v>
      </c>
      <c r="BJ90" s="25">
        <f t="shared" si="24"/>
        <v>0</v>
      </c>
      <c r="BK90" s="25">
        <f t="shared" si="25"/>
        <v>0</v>
      </c>
      <c r="BL90" s="25">
        <f t="shared" si="26"/>
        <v>0</v>
      </c>
      <c r="BM90" s="25">
        <f t="shared" si="27"/>
        <v>0</v>
      </c>
    </row>
    <row r="91" spans="1:65" ht="15" hidden="1" customHeight="1" thickBot="1" x14ac:dyDescent="0.3">
      <c r="B91" s="797" t="s">
        <v>1003</v>
      </c>
      <c r="C91" s="2880" t="s">
        <v>995</v>
      </c>
      <c r="D91" s="2881" t="s">
        <v>50</v>
      </c>
      <c r="E91" s="800"/>
      <c r="F91" s="7594"/>
      <c r="G91" s="800"/>
      <c r="H91" s="6209"/>
      <c r="I91" s="3166"/>
      <c r="J91" s="41">
        <f t="shared" si="28"/>
        <v>0</v>
      </c>
      <c r="K91" s="800"/>
      <c r="L91" s="5722"/>
      <c r="M91" s="848"/>
      <c r="N91" s="586">
        <f t="shared" si="29"/>
        <v>0</v>
      </c>
      <c r="O91" s="800"/>
      <c r="P91" s="5857"/>
      <c r="Q91" s="799"/>
      <c r="R91" s="349">
        <f t="shared" si="30"/>
        <v>0</v>
      </c>
      <c r="S91" s="800"/>
      <c r="T91" s="5940"/>
      <c r="U91" s="799"/>
      <c r="V91" s="349">
        <f t="shared" si="31"/>
        <v>0</v>
      </c>
      <c r="W91" s="800"/>
      <c r="X91" s="6043">
        <v>405.9</v>
      </c>
      <c r="Y91" s="543"/>
      <c r="Z91" s="4598">
        <f t="shared" si="41"/>
        <v>405.9</v>
      </c>
      <c r="AA91" s="629"/>
      <c r="AB91" s="4599">
        <f t="shared" si="42"/>
        <v>405.9</v>
      </c>
      <c r="AC91" s="800"/>
      <c r="AD91" s="6169"/>
      <c r="AE91" s="799"/>
      <c r="AF91" s="349">
        <f t="shared" si="32"/>
        <v>405.9</v>
      </c>
      <c r="AG91" s="800"/>
      <c r="AH91" s="6337"/>
      <c r="AI91" s="799"/>
      <c r="AJ91" s="349">
        <f t="shared" si="40"/>
        <v>405.9</v>
      </c>
      <c r="AK91" s="800"/>
      <c r="AL91" s="6936"/>
      <c r="AM91" s="2449"/>
      <c r="AN91" s="4598">
        <f t="shared" si="37"/>
        <v>0</v>
      </c>
      <c r="AO91" s="2236"/>
      <c r="AP91" s="349">
        <f t="shared" si="33"/>
        <v>405.9</v>
      </c>
      <c r="AQ91" s="800"/>
      <c r="AR91" s="4979"/>
      <c r="AS91" s="799"/>
      <c r="AT91" s="4975">
        <f t="shared" si="34"/>
        <v>405.9</v>
      </c>
      <c r="AU91" s="800"/>
      <c r="AV91" s="6852"/>
      <c r="AW91" s="799"/>
      <c r="AX91" s="349">
        <f t="shared" si="35"/>
        <v>405.9</v>
      </c>
      <c r="AY91" s="800"/>
      <c r="AZ91" s="7008"/>
      <c r="BA91" s="2449"/>
      <c r="BB91" s="2449">
        <f t="shared" si="36"/>
        <v>0</v>
      </c>
      <c r="BC91" s="629"/>
      <c r="BD91" s="629">
        <f t="shared" si="38"/>
        <v>0</v>
      </c>
      <c r="BE91" s="2236"/>
      <c r="BF91" s="5106">
        <f t="shared" si="39"/>
        <v>405.9</v>
      </c>
      <c r="BG91" s="1137"/>
      <c r="BH91" s="4234">
        <f t="shared" si="22"/>
        <v>0</v>
      </c>
      <c r="BI91" s="4234">
        <f t="shared" si="23"/>
        <v>0</v>
      </c>
      <c r="BJ91" s="25">
        <f t="shared" si="24"/>
        <v>0</v>
      </c>
      <c r="BK91" s="25">
        <f t="shared" si="25"/>
        <v>0</v>
      </c>
      <c r="BL91" s="25">
        <f t="shared" si="26"/>
        <v>0</v>
      </c>
      <c r="BM91" s="25">
        <f t="shared" si="27"/>
        <v>0</v>
      </c>
    </row>
    <row r="92" spans="1:65" s="4233" customFormat="1" ht="15" hidden="1" customHeight="1" thickBot="1" x14ac:dyDescent="0.3">
      <c r="B92" s="4286" t="s">
        <v>1003</v>
      </c>
      <c r="C92" s="4287" t="s">
        <v>908</v>
      </c>
      <c r="D92" s="3434" t="s">
        <v>50</v>
      </c>
      <c r="E92" s="4288"/>
      <c r="F92" s="7593"/>
      <c r="G92" s="4288"/>
      <c r="H92" s="6208">
        <v>104.55</v>
      </c>
      <c r="I92" s="4289"/>
      <c r="J92" s="41">
        <f t="shared" si="28"/>
        <v>104.55</v>
      </c>
      <c r="K92" s="4288"/>
      <c r="L92" s="5721"/>
      <c r="M92" s="3123"/>
      <c r="N92" s="586">
        <f t="shared" si="29"/>
        <v>104.55</v>
      </c>
      <c r="O92" s="4288"/>
      <c r="P92" s="5856"/>
      <c r="Q92" s="3166"/>
      <c r="R92" s="349">
        <f t="shared" si="30"/>
        <v>104.55</v>
      </c>
      <c r="S92" s="4288"/>
      <c r="T92" s="5939"/>
      <c r="U92" s="3166"/>
      <c r="V92" s="349">
        <f t="shared" si="31"/>
        <v>104.55</v>
      </c>
      <c r="W92" s="4288"/>
      <c r="X92" s="6042"/>
      <c r="Y92" s="2886"/>
      <c r="Z92" s="4598">
        <f t="shared" si="41"/>
        <v>0</v>
      </c>
      <c r="AA92" s="4282"/>
      <c r="AB92" s="4599">
        <f t="shared" si="42"/>
        <v>104.55</v>
      </c>
      <c r="AC92" s="4288"/>
      <c r="AD92" s="6168"/>
      <c r="AE92" s="3166"/>
      <c r="AF92" s="349">
        <f t="shared" si="32"/>
        <v>104.55</v>
      </c>
      <c r="AG92" s="4288"/>
      <c r="AH92" s="6336"/>
      <c r="AI92" s="3166"/>
      <c r="AJ92" s="349">
        <f t="shared" si="40"/>
        <v>104.55</v>
      </c>
      <c r="AK92" s="4288"/>
      <c r="AL92" s="6599"/>
      <c r="AM92" s="2886"/>
      <c r="AN92" s="4598">
        <f t="shared" si="37"/>
        <v>0</v>
      </c>
      <c r="AO92" s="4281"/>
      <c r="AP92" s="349">
        <f t="shared" si="33"/>
        <v>104.55</v>
      </c>
      <c r="AQ92" s="4288"/>
      <c r="AR92" s="4980"/>
      <c r="AS92" s="3166"/>
      <c r="AT92" s="4975">
        <f t="shared" si="34"/>
        <v>104.55</v>
      </c>
      <c r="AU92" s="4288"/>
      <c r="AV92" s="6850"/>
      <c r="AW92" s="3166"/>
      <c r="AX92" s="349">
        <f t="shared" si="35"/>
        <v>104.55</v>
      </c>
      <c r="AY92" s="4288"/>
      <c r="AZ92" s="7006"/>
      <c r="BA92" s="2886"/>
      <c r="BB92" s="2449">
        <f t="shared" si="36"/>
        <v>0</v>
      </c>
      <c r="BC92" s="4282"/>
      <c r="BD92" s="629">
        <f t="shared" si="38"/>
        <v>0</v>
      </c>
      <c r="BE92" s="4281"/>
      <c r="BF92" s="5106">
        <f t="shared" si="39"/>
        <v>104.55</v>
      </c>
      <c r="BG92" s="1137"/>
      <c r="BH92" s="4234">
        <f t="shared" si="22"/>
        <v>0</v>
      </c>
      <c r="BI92" s="4234">
        <f t="shared" si="23"/>
        <v>0</v>
      </c>
      <c r="BJ92" s="25">
        <f t="shared" si="24"/>
        <v>0</v>
      </c>
      <c r="BK92" s="25">
        <f t="shared" si="25"/>
        <v>0</v>
      </c>
      <c r="BL92" s="25">
        <f t="shared" si="26"/>
        <v>0</v>
      </c>
      <c r="BM92" s="25">
        <f t="shared" si="27"/>
        <v>0</v>
      </c>
    </row>
    <row r="93" spans="1:65" s="4233" customFormat="1" ht="15" hidden="1" customHeight="1" thickBot="1" x14ac:dyDescent="0.3">
      <c r="B93" s="4286" t="s">
        <v>1003</v>
      </c>
      <c r="C93" s="4287" t="s">
        <v>994</v>
      </c>
      <c r="D93" s="3434" t="s">
        <v>50</v>
      </c>
      <c r="E93" s="4288"/>
      <c r="F93" s="7593"/>
      <c r="G93" s="4288"/>
      <c r="H93" s="6208"/>
      <c r="I93" s="4289"/>
      <c r="J93" s="41">
        <f t="shared" si="28"/>
        <v>0</v>
      </c>
      <c r="K93" s="4288"/>
      <c r="L93" s="5721"/>
      <c r="M93" s="3123"/>
      <c r="N93" s="586">
        <f t="shared" si="29"/>
        <v>0</v>
      </c>
      <c r="O93" s="4288"/>
      <c r="P93" s="5856"/>
      <c r="Q93" s="3166"/>
      <c r="R93" s="349">
        <f t="shared" si="30"/>
        <v>0</v>
      </c>
      <c r="S93" s="4288"/>
      <c r="T93" s="5939"/>
      <c r="U93" s="3166"/>
      <c r="V93" s="349">
        <f t="shared" si="31"/>
        <v>0</v>
      </c>
      <c r="W93" s="4288"/>
      <c r="X93" s="6042"/>
      <c r="Y93" s="2886"/>
      <c r="Z93" s="4598">
        <f t="shared" si="41"/>
        <v>0</v>
      </c>
      <c r="AA93" s="4282"/>
      <c r="AB93" s="4599">
        <f t="shared" si="42"/>
        <v>0</v>
      </c>
      <c r="AC93" s="4288"/>
      <c r="AD93" s="6168">
        <v>243.95</v>
      </c>
      <c r="AE93" s="3166"/>
      <c r="AF93" s="349">
        <f t="shared" si="32"/>
        <v>243.95</v>
      </c>
      <c r="AG93" s="4288"/>
      <c r="AH93" s="6336"/>
      <c r="AI93" s="3166"/>
      <c r="AJ93" s="349">
        <f t="shared" si="40"/>
        <v>243.95</v>
      </c>
      <c r="AK93" s="4288"/>
      <c r="AL93" s="6599"/>
      <c r="AM93" s="2886"/>
      <c r="AN93" s="4598">
        <f t="shared" si="37"/>
        <v>243.95</v>
      </c>
      <c r="AO93" s="4281"/>
      <c r="AP93" s="349">
        <f t="shared" si="33"/>
        <v>243.95</v>
      </c>
      <c r="AQ93" s="4288"/>
      <c r="AR93" s="4980"/>
      <c r="AS93" s="3166"/>
      <c r="AT93" s="4975">
        <f t="shared" si="34"/>
        <v>243.95</v>
      </c>
      <c r="AU93" s="4288"/>
      <c r="AV93" s="6850"/>
      <c r="AW93" s="3166"/>
      <c r="AX93" s="349">
        <f t="shared" si="35"/>
        <v>243.95</v>
      </c>
      <c r="AY93" s="4288"/>
      <c r="AZ93" s="7006"/>
      <c r="BA93" s="2886"/>
      <c r="BB93" s="2449">
        <f t="shared" si="36"/>
        <v>0</v>
      </c>
      <c r="BC93" s="4282"/>
      <c r="BD93" s="629">
        <f t="shared" si="38"/>
        <v>243.95</v>
      </c>
      <c r="BE93" s="4281"/>
      <c r="BF93" s="5106">
        <f t="shared" si="39"/>
        <v>243.95</v>
      </c>
      <c r="BG93" s="1137"/>
      <c r="BH93" s="4234">
        <f t="shared" si="22"/>
        <v>0</v>
      </c>
      <c r="BI93" s="4234">
        <f t="shared" si="23"/>
        <v>0</v>
      </c>
      <c r="BJ93" s="25">
        <f t="shared" si="24"/>
        <v>0</v>
      </c>
      <c r="BK93" s="25">
        <f t="shared" si="25"/>
        <v>0</v>
      </c>
      <c r="BL93" s="25">
        <f t="shared" si="26"/>
        <v>0</v>
      </c>
      <c r="BM93" s="25">
        <f t="shared" si="27"/>
        <v>0</v>
      </c>
    </row>
    <row r="94" spans="1:65" s="4233" customFormat="1" ht="15" hidden="1" customHeight="1" thickBot="1" x14ac:dyDescent="0.3">
      <c r="B94" s="4286" t="s">
        <v>1003</v>
      </c>
      <c r="C94" s="4287" t="s">
        <v>1395</v>
      </c>
      <c r="D94" s="3434" t="s">
        <v>50</v>
      </c>
      <c r="E94" s="4288"/>
      <c r="F94" s="7593"/>
      <c r="G94" s="4288"/>
      <c r="H94" s="6208">
        <f>225.5-225.5</f>
        <v>0</v>
      </c>
      <c r="I94" s="4289"/>
      <c r="J94" s="41">
        <f t="shared" si="28"/>
        <v>0</v>
      </c>
      <c r="K94" s="4288"/>
      <c r="L94" s="5721"/>
      <c r="M94" s="3123"/>
      <c r="N94" s="586">
        <f t="shared" si="29"/>
        <v>0</v>
      </c>
      <c r="O94" s="4288"/>
      <c r="P94" s="5856"/>
      <c r="Q94" s="3166"/>
      <c r="R94" s="349">
        <f t="shared" si="30"/>
        <v>0</v>
      </c>
      <c r="S94" s="4288"/>
      <c r="T94" s="5939"/>
      <c r="U94" s="3166"/>
      <c r="V94" s="349">
        <f t="shared" si="31"/>
        <v>0</v>
      </c>
      <c r="W94" s="4288"/>
      <c r="X94" s="6042"/>
      <c r="Y94" s="2886"/>
      <c r="Z94" s="4598">
        <f t="shared" si="41"/>
        <v>0</v>
      </c>
      <c r="AA94" s="4282"/>
      <c r="AB94" s="4599">
        <f t="shared" si="42"/>
        <v>0</v>
      </c>
      <c r="AC94" s="4288"/>
      <c r="AD94" s="6168"/>
      <c r="AE94" s="3166"/>
      <c r="AF94" s="349">
        <f t="shared" si="32"/>
        <v>0</v>
      </c>
      <c r="AG94" s="4288"/>
      <c r="AH94" s="6336"/>
      <c r="AI94" s="3166"/>
      <c r="AJ94" s="349">
        <f t="shared" si="40"/>
        <v>0</v>
      </c>
      <c r="AK94" s="4288"/>
      <c r="AL94" s="6599"/>
      <c r="AM94" s="2886"/>
      <c r="AN94" s="4598">
        <f t="shared" si="37"/>
        <v>0</v>
      </c>
      <c r="AO94" s="4281"/>
      <c r="AP94" s="349">
        <f t="shared" si="33"/>
        <v>0</v>
      </c>
      <c r="AQ94" s="4288"/>
      <c r="AR94" s="4980"/>
      <c r="AS94" s="3166"/>
      <c r="AT94" s="4975">
        <f t="shared" si="34"/>
        <v>0</v>
      </c>
      <c r="AU94" s="4288"/>
      <c r="AV94" s="6850"/>
      <c r="AW94" s="3166"/>
      <c r="AX94" s="349">
        <f t="shared" si="35"/>
        <v>0</v>
      </c>
      <c r="AY94" s="4288"/>
      <c r="AZ94" s="7006"/>
      <c r="BA94" s="2886"/>
      <c r="BB94" s="2449">
        <f t="shared" si="36"/>
        <v>0</v>
      </c>
      <c r="BC94" s="4282"/>
      <c r="BD94" s="629">
        <f t="shared" si="38"/>
        <v>0</v>
      </c>
      <c r="BE94" s="4281"/>
      <c r="BF94" s="5106">
        <f t="shared" si="39"/>
        <v>0</v>
      </c>
      <c r="BG94" s="1137"/>
      <c r="BH94" s="4234">
        <f t="shared" si="22"/>
        <v>0</v>
      </c>
      <c r="BI94" s="4234">
        <f t="shared" si="23"/>
        <v>0</v>
      </c>
      <c r="BJ94" s="25">
        <f t="shared" si="24"/>
        <v>0</v>
      </c>
      <c r="BK94" s="25">
        <f t="shared" si="25"/>
        <v>0</v>
      </c>
      <c r="BL94" s="25">
        <f t="shared" si="26"/>
        <v>0</v>
      </c>
      <c r="BM94" s="25">
        <f t="shared" si="27"/>
        <v>0</v>
      </c>
    </row>
    <row r="95" spans="1:65" ht="15" hidden="1" customHeight="1" thickBot="1" x14ac:dyDescent="0.3">
      <c r="A95" s="1652"/>
      <c r="B95" s="3157" t="s">
        <v>1003</v>
      </c>
      <c r="C95" s="3158" t="s">
        <v>1397</v>
      </c>
      <c r="D95" s="3159" t="s">
        <v>50</v>
      </c>
      <c r="E95" s="3167"/>
      <c r="F95" s="105"/>
      <c r="G95" s="3167"/>
      <c r="H95" s="105">
        <f>239.85-38.95</f>
        <v>200.89999999999998</v>
      </c>
      <c r="I95" s="3168"/>
      <c r="J95" s="41">
        <f t="shared" si="28"/>
        <v>200.89999999999998</v>
      </c>
      <c r="K95" s="3167"/>
      <c r="L95" s="105"/>
      <c r="M95" s="848"/>
      <c r="N95" s="586">
        <f t="shared" si="29"/>
        <v>200.89999999999998</v>
      </c>
      <c r="O95" s="3167"/>
      <c r="P95" s="105"/>
      <c r="Q95" s="799"/>
      <c r="R95" s="349">
        <f t="shared" si="30"/>
        <v>200.89999999999998</v>
      </c>
      <c r="S95" s="3167"/>
      <c r="T95" s="105"/>
      <c r="U95" s="799"/>
      <c r="V95" s="349">
        <f t="shared" si="31"/>
        <v>200.89999999999998</v>
      </c>
      <c r="W95" s="3167"/>
      <c r="X95" s="105"/>
      <c r="Y95" s="1653"/>
      <c r="Z95" s="4598">
        <f t="shared" si="41"/>
        <v>0</v>
      </c>
      <c r="AA95" s="629"/>
      <c r="AB95" s="4599">
        <f t="shared" si="42"/>
        <v>200.89999999999998</v>
      </c>
      <c r="AC95" s="3167"/>
      <c r="AD95" s="105"/>
      <c r="AE95" s="799"/>
      <c r="AF95" s="349">
        <f t="shared" si="32"/>
        <v>200.89999999999998</v>
      </c>
      <c r="AG95" s="3167"/>
      <c r="AH95" s="105"/>
      <c r="AI95" s="799"/>
      <c r="AJ95" s="349">
        <f t="shared" si="40"/>
        <v>200.89999999999998</v>
      </c>
      <c r="AK95" s="3167"/>
      <c r="AL95" s="105"/>
      <c r="AM95" s="2449"/>
      <c r="AN95" s="4598">
        <f t="shared" si="37"/>
        <v>0</v>
      </c>
      <c r="AO95" s="2236"/>
      <c r="AP95" s="349">
        <f t="shared" si="33"/>
        <v>200.89999999999998</v>
      </c>
      <c r="AQ95" s="3167"/>
      <c r="AR95" s="105">
        <v>79.949999999999989</v>
      </c>
      <c r="AS95" s="799"/>
      <c r="AT95" s="4975">
        <f t="shared" si="34"/>
        <v>280.84999999999997</v>
      </c>
      <c r="AU95" s="3167"/>
      <c r="AV95" s="105"/>
      <c r="AW95" s="799"/>
      <c r="AX95" s="349">
        <f t="shared" si="35"/>
        <v>280.84999999999997</v>
      </c>
      <c r="AY95" s="3167"/>
      <c r="AZ95" s="105"/>
      <c r="BA95" s="2449"/>
      <c r="BB95" s="2449">
        <f t="shared" si="36"/>
        <v>79.949999999999989</v>
      </c>
      <c r="BC95" s="629"/>
      <c r="BD95" s="629">
        <f t="shared" si="38"/>
        <v>79.949999999999989</v>
      </c>
      <c r="BE95" s="2236"/>
      <c r="BF95" s="5106">
        <f t="shared" si="39"/>
        <v>280.84999999999997</v>
      </c>
      <c r="BG95" s="1137"/>
      <c r="BH95" s="4234">
        <f t="shared" si="22"/>
        <v>0</v>
      </c>
      <c r="BI95" s="4234">
        <f t="shared" si="23"/>
        <v>0</v>
      </c>
      <c r="BJ95" s="25">
        <f t="shared" si="24"/>
        <v>0</v>
      </c>
      <c r="BK95" s="25">
        <f t="shared" si="25"/>
        <v>0</v>
      </c>
      <c r="BL95" s="25">
        <f t="shared" si="26"/>
        <v>0</v>
      </c>
      <c r="BM95" s="25">
        <f t="shared" si="27"/>
        <v>0</v>
      </c>
    </row>
    <row r="96" spans="1:65" ht="15" hidden="1" customHeight="1" thickBot="1" x14ac:dyDescent="0.3">
      <c r="B96" s="797" t="s">
        <v>840</v>
      </c>
      <c r="C96" s="2880" t="s">
        <v>994</v>
      </c>
      <c r="D96" s="2881" t="s">
        <v>50</v>
      </c>
      <c r="E96" s="800"/>
      <c r="F96" s="7594"/>
      <c r="G96" s="800"/>
      <c r="H96" s="6209"/>
      <c r="I96" s="3166"/>
      <c r="J96" s="41">
        <f t="shared" si="28"/>
        <v>0</v>
      </c>
      <c r="K96" s="800"/>
      <c r="L96" s="5722"/>
      <c r="M96" s="848"/>
      <c r="N96" s="586">
        <f t="shared" si="29"/>
        <v>0</v>
      </c>
      <c r="O96" s="800"/>
      <c r="P96" s="5857"/>
      <c r="Q96" s="799"/>
      <c r="R96" s="349">
        <f t="shared" si="30"/>
        <v>0</v>
      </c>
      <c r="S96" s="800"/>
      <c r="T96" s="5940"/>
      <c r="U96" s="799"/>
      <c r="V96" s="349">
        <f t="shared" si="31"/>
        <v>0</v>
      </c>
      <c r="W96" s="800"/>
      <c r="X96" s="6043"/>
      <c r="Y96" s="543"/>
      <c r="Z96" s="4598">
        <f t="shared" si="41"/>
        <v>0</v>
      </c>
      <c r="AA96" s="629"/>
      <c r="AB96" s="4599">
        <f t="shared" si="42"/>
        <v>0</v>
      </c>
      <c r="AC96" s="800"/>
      <c r="AD96" s="6169"/>
      <c r="AE96" s="799"/>
      <c r="AF96" s="349">
        <f t="shared" si="32"/>
        <v>0</v>
      </c>
      <c r="AG96" s="800"/>
      <c r="AH96" s="6337"/>
      <c r="AI96" s="799"/>
      <c r="AJ96" s="349">
        <f t="shared" si="40"/>
        <v>0</v>
      </c>
      <c r="AK96" s="800"/>
      <c r="AL96" s="6600"/>
      <c r="AM96" s="2449"/>
      <c r="AN96" s="4598">
        <f t="shared" si="37"/>
        <v>0</v>
      </c>
      <c r="AO96" s="2236"/>
      <c r="AP96" s="349">
        <f t="shared" si="33"/>
        <v>0</v>
      </c>
      <c r="AQ96" s="800"/>
      <c r="AR96" s="4979"/>
      <c r="AS96" s="799"/>
      <c r="AT96" s="4975">
        <f t="shared" si="34"/>
        <v>0</v>
      </c>
      <c r="AU96" s="800"/>
      <c r="AV96" s="6852"/>
      <c r="AW96" s="799"/>
      <c r="AX96" s="349">
        <f t="shared" si="35"/>
        <v>0</v>
      </c>
      <c r="AY96" s="800"/>
      <c r="AZ96" s="7008"/>
      <c r="BA96" s="2449"/>
      <c r="BB96" s="2449">
        <f t="shared" si="36"/>
        <v>0</v>
      </c>
      <c r="BC96" s="629"/>
      <c r="BD96" s="629">
        <f t="shared" si="38"/>
        <v>0</v>
      </c>
      <c r="BE96" s="2236"/>
      <c r="BF96" s="5106">
        <f t="shared" si="39"/>
        <v>0</v>
      </c>
      <c r="BG96" s="1137"/>
      <c r="BH96" s="4234">
        <f t="shared" si="22"/>
        <v>0</v>
      </c>
      <c r="BI96" s="4234">
        <f t="shared" si="23"/>
        <v>0</v>
      </c>
      <c r="BJ96" s="25">
        <f t="shared" si="24"/>
        <v>0</v>
      </c>
      <c r="BK96" s="25">
        <f t="shared" si="25"/>
        <v>0</v>
      </c>
      <c r="BL96" s="25">
        <f t="shared" si="26"/>
        <v>0</v>
      </c>
      <c r="BM96" s="25">
        <f t="shared" si="27"/>
        <v>0</v>
      </c>
    </row>
    <row r="97" spans="1:65" ht="15" hidden="1" customHeight="1" thickBot="1" x14ac:dyDescent="0.3">
      <c r="A97" s="2653"/>
      <c r="B97" s="797" t="s">
        <v>840</v>
      </c>
      <c r="C97" s="2880" t="s">
        <v>935</v>
      </c>
      <c r="D97" s="2881" t="s">
        <v>50</v>
      </c>
      <c r="E97" s="800"/>
      <c r="F97" s="7594"/>
      <c r="G97" s="800"/>
      <c r="H97" s="6209"/>
      <c r="I97" s="3166"/>
      <c r="J97" s="41">
        <f t="shared" si="28"/>
        <v>0</v>
      </c>
      <c r="K97" s="800"/>
      <c r="L97" s="5722"/>
      <c r="M97" s="2659"/>
      <c r="N97" s="586">
        <f t="shared" si="29"/>
        <v>0</v>
      </c>
      <c r="O97" s="800"/>
      <c r="P97" s="5857"/>
      <c r="Q97" s="2657"/>
      <c r="R97" s="349">
        <f t="shared" si="30"/>
        <v>0</v>
      </c>
      <c r="S97" s="800"/>
      <c r="T97" s="5940"/>
      <c r="U97" s="2657"/>
      <c r="V97" s="349">
        <f t="shared" si="31"/>
        <v>0</v>
      </c>
      <c r="W97" s="800"/>
      <c r="X97" s="6043"/>
      <c r="Y97" s="2661"/>
      <c r="Z97" s="4598">
        <f t="shared" si="41"/>
        <v>0</v>
      </c>
      <c r="AA97" s="629"/>
      <c r="AB97" s="4599">
        <f t="shared" si="42"/>
        <v>0</v>
      </c>
      <c r="AC97" s="800"/>
      <c r="AD97" s="6169"/>
      <c r="AE97" s="2657"/>
      <c r="AF97" s="349">
        <f t="shared" si="32"/>
        <v>0</v>
      </c>
      <c r="AG97" s="800"/>
      <c r="AH97" s="6337"/>
      <c r="AI97" s="2657"/>
      <c r="AJ97" s="4635">
        <f t="shared" si="40"/>
        <v>0</v>
      </c>
      <c r="AK97" s="800"/>
      <c r="AL97" s="6600"/>
      <c r="AM97" s="2661"/>
      <c r="AN97" s="4598">
        <f t="shared" si="37"/>
        <v>0</v>
      </c>
      <c r="AO97" s="2236"/>
      <c r="AP97" s="349">
        <f t="shared" si="33"/>
        <v>0</v>
      </c>
      <c r="AQ97" s="800"/>
      <c r="AR97" s="4979"/>
      <c r="AS97" s="2657"/>
      <c r="AT97" s="4975">
        <f t="shared" si="34"/>
        <v>0</v>
      </c>
      <c r="AU97" s="800"/>
      <c r="AV97" s="6852"/>
      <c r="AW97" s="2657"/>
      <c r="AX97" s="349">
        <f t="shared" si="35"/>
        <v>0</v>
      </c>
      <c r="AY97" s="800"/>
      <c r="AZ97" s="7008"/>
      <c r="BA97" s="2661"/>
      <c r="BB97" s="2449">
        <f t="shared" si="36"/>
        <v>0</v>
      </c>
      <c r="BC97" s="629"/>
      <c r="BD97" s="629">
        <f t="shared" si="38"/>
        <v>0</v>
      </c>
      <c r="BE97" s="2236"/>
      <c r="BF97" s="5106">
        <f t="shared" si="39"/>
        <v>0</v>
      </c>
      <c r="BG97" s="1137"/>
      <c r="BH97" s="4234">
        <f t="shared" si="22"/>
        <v>0</v>
      </c>
      <c r="BI97" s="4234">
        <f t="shared" si="23"/>
        <v>0</v>
      </c>
      <c r="BJ97" s="25">
        <f t="shared" si="24"/>
        <v>0</v>
      </c>
      <c r="BK97" s="25">
        <f t="shared" si="25"/>
        <v>0</v>
      </c>
      <c r="BL97" s="25">
        <f t="shared" si="26"/>
        <v>0</v>
      </c>
      <c r="BM97" s="25">
        <f t="shared" si="27"/>
        <v>0</v>
      </c>
    </row>
    <row r="98" spans="1:65" s="3130" customFormat="1" ht="15" hidden="1" customHeight="1" thickBot="1" x14ac:dyDescent="0.3">
      <c r="B98" s="797" t="s">
        <v>840</v>
      </c>
      <c r="C98" s="2880" t="s">
        <v>995</v>
      </c>
      <c r="D98" s="2881" t="s">
        <v>50</v>
      </c>
      <c r="E98" s="800"/>
      <c r="F98" s="7594"/>
      <c r="G98" s="800"/>
      <c r="H98" s="6209"/>
      <c r="I98" s="3166"/>
      <c r="J98" s="41">
        <f t="shared" si="28"/>
        <v>0</v>
      </c>
      <c r="K98" s="800"/>
      <c r="L98" s="5722"/>
      <c r="M98" s="848"/>
      <c r="N98" s="586">
        <f t="shared" si="29"/>
        <v>0</v>
      </c>
      <c r="O98" s="800"/>
      <c r="P98" s="5857"/>
      <c r="Q98" s="799"/>
      <c r="R98" s="349">
        <f t="shared" si="30"/>
        <v>0</v>
      </c>
      <c r="S98" s="800"/>
      <c r="T98" s="5940"/>
      <c r="U98" s="799"/>
      <c r="V98" s="349">
        <f t="shared" si="31"/>
        <v>0</v>
      </c>
      <c r="W98" s="800"/>
      <c r="X98" s="6043"/>
      <c r="Y98" s="2449"/>
      <c r="Z98" s="4598">
        <f t="shared" si="41"/>
        <v>0</v>
      </c>
      <c r="AA98" s="629"/>
      <c r="AB98" s="4599">
        <f t="shared" si="42"/>
        <v>0</v>
      </c>
      <c r="AC98" s="800"/>
      <c r="AD98" s="6169"/>
      <c r="AE98" s="799"/>
      <c r="AF98" s="349">
        <f t="shared" si="32"/>
        <v>0</v>
      </c>
      <c r="AG98" s="800"/>
      <c r="AH98" s="6337"/>
      <c r="AI98" s="799"/>
      <c r="AJ98" s="349">
        <f t="shared" si="40"/>
        <v>0</v>
      </c>
      <c r="AK98" s="800"/>
      <c r="AL98" s="6600"/>
      <c r="AM98" s="2449"/>
      <c r="AN98" s="4598">
        <f t="shared" si="37"/>
        <v>0</v>
      </c>
      <c r="AO98" s="2236"/>
      <c r="AP98" s="349">
        <f t="shared" si="33"/>
        <v>0</v>
      </c>
      <c r="AQ98" s="800"/>
      <c r="AR98" s="4979"/>
      <c r="AS98" s="799"/>
      <c r="AT98" s="4975">
        <f t="shared" si="34"/>
        <v>0</v>
      </c>
      <c r="AU98" s="800"/>
      <c r="AV98" s="6852"/>
      <c r="AW98" s="799"/>
      <c r="AX98" s="349">
        <f t="shared" si="35"/>
        <v>0</v>
      </c>
      <c r="AY98" s="800"/>
      <c r="AZ98" s="7008"/>
      <c r="BA98" s="2449"/>
      <c r="BB98" s="2449">
        <f t="shared" si="36"/>
        <v>0</v>
      </c>
      <c r="BC98" s="629"/>
      <c r="BD98" s="629">
        <f t="shared" si="38"/>
        <v>0</v>
      </c>
      <c r="BE98" s="2236"/>
      <c r="BF98" s="5106">
        <f t="shared" si="39"/>
        <v>0</v>
      </c>
      <c r="BG98" s="1137"/>
      <c r="BH98" s="4234">
        <f t="shared" si="22"/>
        <v>0</v>
      </c>
      <c r="BI98" s="4234">
        <f t="shared" si="23"/>
        <v>0</v>
      </c>
      <c r="BJ98" s="25">
        <f t="shared" si="24"/>
        <v>0</v>
      </c>
      <c r="BK98" s="25">
        <f t="shared" si="25"/>
        <v>0</v>
      </c>
      <c r="BL98" s="25">
        <f t="shared" si="26"/>
        <v>0</v>
      </c>
      <c r="BM98" s="25">
        <f t="shared" si="27"/>
        <v>0</v>
      </c>
    </row>
    <row r="99" spans="1:65" ht="15" hidden="1" customHeight="1" thickBot="1" x14ac:dyDescent="0.3">
      <c r="B99" s="797" t="s">
        <v>840</v>
      </c>
      <c r="C99" s="2880" t="s">
        <v>908</v>
      </c>
      <c r="D99" s="2881" t="s">
        <v>50</v>
      </c>
      <c r="E99" s="800"/>
      <c r="F99" s="7594"/>
      <c r="G99" s="800"/>
      <c r="H99" s="6209"/>
      <c r="I99" s="3166"/>
      <c r="J99" s="41">
        <f t="shared" si="28"/>
        <v>0</v>
      </c>
      <c r="K99" s="800"/>
      <c r="L99" s="5722"/>
      <c r="M99" s="848"/>
      <c r="N99" s="586">
        <f t="shared" si="29"/>
        <v>0</v>
      </c>
      <c r="O99" s="800"/>
      <c r="P99" s="5857"/>
      <c r="Q99" s="799"/>
      <c r="R99" s="349">
        <f t="shared" si="30"/>
        <v>0</v>
      </c>
      <c r="S99" s="800"/>
      <c r="T99" s="5940"/>
      <c r="U99" s="799"/>
      <c r="V99" s="349">
        <f t="shared" si="31"/>
        <v>0</v>
      </c>
      <c r="W99" s="800"/>
      <c r="X99" s="6043"/>
      <c r="Y99" s="543"/>
      <c r="Z99" s="4598">
        <f t="shared" si="41"/>
        <v>0</v>
      </c>
      <c r="AA99" s="629"/>
      <c r="AB99" s="4599">
        <f t="shared" si="42"/>
        <v>0</v>
      </c>
      <c r="AC99" s="800"/>
      <c r="AD99" s="6169"/>
      <c r="AE99" s="799"/>
      <c r="AF99" s="349">
        <f t="shared" si="32"/>
        <v>0</v>
      </c>
      <c r="AG99" s="800"/>
      <c r="AH99" s="6337"/>
      <c r="AI99" s="799"/>
      <c r="AJ99" s="349">
        <f t="shared" si="40"/>
        <v>0</v>
      </c>
      <c r="AK99" s="800"/>
      <c r="AL99" s="6600"/>
      <c r="AM99" s="2449"/>
      <c r="AN99" s="4598">
        <f t="shared" si="37"/>
        <v>0</v>
      </c>
      <c r="AO99" s="2236"/>
      <c r="AP99" s="349">
        <f t="shared" si="33"/>
        <v>0</v>
      </c>
      <c r="AQ99" s="800"/>
      <c r="AR99" s="4979"/>
      <c r="AS99" s="799"/>
      <c r="AT99" s="4975">
        <f t="shared" si="34"/>
        <v>0</v>
      </c>
      <c r="AU99" s="800"/>
      <c r="AV99" s="6852"/>
      <c r="AW99" s="799"/>
      <c r="AX99" s="349">
        <f t="shared" si="35"/>
        <v>0</v>
      </c>
      <c r="AY99" s="800"/>
      <c r="AZ99" s="7008"/>
      <c r="BA99" s="2449"/>
      <c r="BB99" s="2449">
        <f t="shared" si="36"/>
        <v>0</v>
      </c>
      <c r="BC99" s="629"/>
      <c r="BD99" s="629">
        <f t="shared" si="38"/>
        <v>0</v>
      </c>
      <c r="BE99" s="2236"/>
      <c r="BF99" s="5106">
        <f t="shared" si="39"/>
        <v>0</v>
      </c>
      <c r="BG99" s="1137"/>
      <c r="BH99" s="4234">
        <f t="shared" si="22"/>
        <v>0</v>
      </c>
      <c r="BI99" s="4234">
        <f t="shared" si="23"/>
        <v>0</v>
      </c>
      <c r="BJ99" s="25">
        <f t="shared" si="24"/>
        <v>0</v>
      </c>
      <c r="BK99" s="25">
        <f t="shared" si="25"/>
        <v>0</v>
      </c>
      <c r="BL99" s="25">
        <f t="shared" si="26"/>
        <v>0</v>
      </c>
      <c r="BM99" s="25">
        <f t="shared" si="27"/>
        <v>0</v>
      </c>
    </row>
    <row r="100" spans="1:65" s="3130" customFormat="1" ht="15" hidden="1" customHeight="1" thickBot="1" x14ac:dyDescent="0.3">
      <c r="B100" s="797" t="s">
        <v>840</v>
      </c>
      <c r="C100" s="2880" t="s">
        <v>1790</v>
      </c>
      <c r="D100" s="2881" t="s">
        <v>50</v>
      </c>
      <c r="E100" s="800"/>
      <c r="F100" s="7594"/>
      <c r="G100" s="800"/>
      <c r="H100" s="6209"/>
      <c r="I100" s="3166"/>
      <c r="J100" s="41">
        <f t="shared" si="28"/>
        <v>0</v>
      </c>
      <c r="K100" s="800"/>
      <c r="L100" s="5722"/>
      <c r="M100" s="848"/>
      <c r="N100" s="586">
        <f t="shared" si="29"/>
        <v>0</v>
      </c>
      <c r="O100" s="800"/>
      <c r="P100" s="5857"/>
      <c r="Q100" s="799"/>
      <c r="R100" s="349">
        <f t="shared" si="30"/>
        <v>0</v>
      </c>
      <c r="S100" s="800"/>
      <c r="T100" s="5940"/>
      <c r="U100" s="799"/>
      <c r="V100" s="349">
        <f t="shared" si="31"/>
        <v>0</v>
      </c>
      <c r="W100" s="800"/>
      <c r="X100" s="6043"/>
      <c r="Y100" s="2449"/>
      <c r="Z100" s="4598">
        <f t="shared" si="41"/>
        <v>0</v>
      </c>
      <c r="AA100" s="629"/>
      <c r="AB100" s="4599">
        <f t="shared" si="42"/>
        <v>0</v>
      </c>
      <c r="AC100" s="800"/>
      <c r="AD100" s="6169"/>
      <c r="AE100" s="799"/>
      <c r="AF100" s="349">
        <f t="shared" si="32"/>
        <v>0</v>
      </c>
      <c r="AG100" s="800"/>
      <c r="AH100" s="6337"/>
      <c r="AI100" s="799"/>
      <c r="AJ100" s="349">
        <f t="shared" si="40"/>
        <v>0</v>
      </c>
      <c r="AK100" s="800"/>
      <c r="AL100" s="6600"/>
      <c r="AM100" s="2449"/>
      <c r="AN100" s="4598">
        <f t="shared" si="37"/>
        <v>0</v>
      </c>
      <c r="AO100" s="2236"/>
      <c r="AP100" s="349">
        <f t="shared" si="33"/>
        <v>0</v>
      </c>
      <c r="AQ100" s="800"/>
      <c r="AR100" s="4979"/>
      <c r="AS100" s="799"/>
      <c r="AT100" s="4975">
        <f t="shared" si="34"/>
        <v>0</v>
      </c>
      <c r="AU100" s="800"/>
      <c r="AV100" s="6852"/>
      <c r="AW100" s="799"/>
      <c r="AX100" s="349">
        <f t="shared" si="35"/>
        <v>0</v>
      </c>
      <c r="AY100" s="800"/>
      <c r="AZ100" s="7008"/>
      <c r="BA100" s="2449"/>
      <c r="BB100" s="2449">
        <f t="shared" si="36"/>
        <v>0</v>
      </c>
      <c r="BC100" s="629"/>
      <c r="BD100" s="629">
        <f t="shared" si="38"/>
        <v>0</v>
      </c>
      <c r="BE100" s="2236"/>
      <c r="BF100" s="5106">
        <f t="shared" si="39"/>
        <v>0</v>
      </c>
      <c r="BG100" s="1137"/>
      <c r="BH100" s="4234">
        <f t="shared" si="22"/>
        <v>0</v>
      </c>
      <c r="BI100" s="4234">
        <f t="shared" si="23"/>
        <v>0</v>
      </c>
      <c r="BJ100" s="25">
        <f t="shared" si="24"/>
        <v>0</v>
      </c>
      <c r="BK100" s="25">
        <f t="shared" si="25"/>
        <v>0</v>
      </c>
      <c r="BL100" s="25">
        <f t="shared" si="26"/>
        <v>0</v>
      </c>
      <c r="BM100" s="25">
        <f t="shared" si="27"/>
        <v>0</v>
      </c>
    </row>
    <row r="101" spans="1:65" ht="15" hidden="1" customHeight="1" thickBot="1" x14ac:dyDescent="0.3">
      <c r="B101" s="797" t="s">
        <v>840</v>
      </c>
      <c r="C101" s="2880" t="s">
        <v>1317</v>
      </c>
      <c r="D101" s="2881" t="s">
        <v>50</v>
      </c>
      <c r="E101" s="800"/>
      <c r="F101" s="7594"/>
      <c r="G101" s="800"/>
      <c r="H101" s="6209"/>
      <c r="I101" s="3166"/>
      <c r="J101" s="41">
        <f t="shared" si="28"/>
        <v>0</v>
      </c>
      <c r="K101" s="800"/>
      <c r="L101" s="5722"/>
      <c r="M101" s="848"/>
      <c r="N101" s="586">
        <f t="shared" si="29"/>
        <v>0</v>
      </c>
      <c r="O101" s="800"/>
      <c r="P101" s="5857"/>
      <c r="Q101" s="799"/>
      <c r="R101" s="349">
        <f t="shared" si="30"/>
        <v>0</v>
      </c>
      <c r="S101" s="800"/>
      <c r="T101" s="5940"/>
      <c r="U101" s="799"/>
      <c r="V101" s="349">
        <f t="shared" si="31"/>
        <v>0</v>
      </c>
      <c r="W101" s="800"/>
      <c r="X101" s="6043"/>
      <c r="Y101" s="543"/>
      <c r="Z101" s="4598">
        <f t="shared" si="41"/>
        <v>0</v>
      </c>
      <c r="AA101" s="629"/>
      <c r="AB101" s="4599">
        <f t="shared" si="42"/>
        <v>0</v>
      </c>
      <c r="AC101" s="800"/>
      <c r="AD101" s="6169"/>
      <c r="AE101" s="799"/>
      <c r="AF101" s="349">
        <f t="shared" si="32"/>
        <v>0</v>
      </c>
      <c r="AG101" s="800"/>
      <c r="AH101" s="6337"/>
      <c r="AI101" s="799"/>
      <c r="AJ101" s="349">
        <f t="shared" si="40"/>
        <v>0</v>
      </c>
      <c r="AK101" s="800"/>
      <c r="AL101" s="6600"/>
      <c r="AM101" s="2449"/>
      <c r="AN101" s="4598">
        <f t="shared" si="37"/>
        <v>0</v>
      </c>
      <c r="AO101" s="2236"/>
      <c r="AP101" s="349">
        <f t="shared" si="33"/>
        <v>0</v>
      </c>
      <c r="AQ101" s="800"/>
      <c r="AR101" s="4979"/>
      <c r="AS101" s="799"/>
      <c r="AT101" s="4975">
        <f t="shared" si="34"/>
        <v>0</v>
      </c>
      <c r="AU101" s="800"/>
      <c r="AV101" s="6852"/>
      <c r="AW101" s="799"/>
      <c r="AX101" s="349">
        <f t="shared" si="35"/>
        <v>0</v>
      </c>
      <c r="AY101" s="800"/>
      <c r="AZ101" s="7008"/>
      <c r="BA101" s="2449"/>
      <c r="BB101" s="2449">
        <f t="shared" si="36"/>
        <v>0</v>
      </c>
      <c r="BC101" s="629"/>
      <c r="BD101" s="629">
        <f t="shared" si="38"/>
        <v>0</v>
      </c>
      <c r="BE101" s="2236"/>
      <c r="BF101" s="5106">
        <f t="shared" si="39"/>
        <v>0</v>
      </c>
      <c r="BG101" s="1137"/>
      <c r="BH101" s="4234">
        <f t="shared" si="22"/>
        <v>0</v>
      </c>
      <c r="BI101" s="4234">
        <f t="shared" si="23"/>
        <v>0</v>
      </c>
      <c r="BJ101" s="25">
        <f t="shared" si="24"/>
        <v>0</v>
      </c>
      <c r="BK101" s="25">
        <f t="shared" si="25"/>
        <v>0</v>
      </c>
      <c r="BL101" s="25">
        <f t="shared" si="26"/>
        <v>0</v>
      </c>
      <c r="BM101" s="25">
        <f t="shared" si="27"/>
        <v>0</v>
      </c>
    </row>
    <row r="102" spans="1:65" ht="15" hidden="1" customHeight="1" thickBot="1" x14ac:dyDescent="0.3">
      <c r="B102" s="797" t="s">
        <v>840</v>
      </c>
      <c r="C102" s="2880" t="s">
        <v>1345</v>
      </c>
      <c r="D102" s="2881" t="s">
        <v>50</v>
      </c>
      <c r="E102" s="800"/>
      <c r="F102" s="7594"/>
      <c r="G102" s="800"/>
      <c r="H102" s="6209"/>
      <c r="I102" s="3166"/>
      <c r="J102" s="41">
        <f t="shared" si="28"/>
        <v>0</v>
      </c>
      <c r="K102" s="800"/>
      <c r="L102" s="5722"/>
      <c r="M102" s="848"/>
      <c r="N102" s="586">
        <f t="shared" si="29"/>
        <v>0</v>
      </c>
      <c r="O102" s="800"/>
      <c r="P102" s="5857"/>
      <c r="Q102" s="799"/>
      <c r="R102" s="349">
        <f t="shared" si="30"/>
        <v>0</v>
      </c>
      <c r="S102" s="800"/>
      <c r="T102" s="5940"/>
      <c r="U102" s="799"/>
      <c r="V102" s="349">
        <f t="shared" si="31"/>
        <v>0</v>
      </c>
      <c r="W102" s="800"/>
      <c r="X102" s="6043"/>
      <c r="Y102" s="543"/>
      <c r="Z102" s="4598">
        <f t="shared" si="41"/>
        <v>0</v>
      </c>
      <c r="AA102" s="629"/>
      <c r="AB102" s="4599">
        <f t="shared" si="42"/>
        <v>0</v>
      </c>
      <c r="AC102" s="800"/>
      <c r="AD102" s="6169"/>
      <c r="AE102" s="799"/>
      <c r="AF102" s="349">
        <f t="shared" si="32"/>
        <v>0</v>
      </c>
      <c r="AG102" s="800"/>
      <c r="AH102" s="6337"/>
      <c r="AI102" s="799"/>
      <c r="AJ102" s="349">
        <f t="shared" si="40"/>
        <v>0</v>
      </c>
      <c r="AK102" s="800"/>
      <c r="AL102" s="6600"/>
      <c r="AM102" s="2449"/>
      <c r="AN102" s="4598">
        <f t="shared" si="37"/>
        <v>0</v>
      </c>
      <c r="AO102" s="2236"/>
      <c r="AP102" s="349">
        <f t="shared" si="33"/>
        <v>0</v>
      </c>
      <c r="AQ102" s="800"/>
      <c r="AR102" s="4979"/>
      <c r="AS102" s="799"/>
      <c r="AT102" s="4975">
        <f t="shared" si="34"/>
        <v>0</v>
      </c>
      <c r="AU102" s="800"/>
      <c r="AV102" s="6852"/>
      <c r="AW102" s="799"/>
      <c r="AX102" s="349">
        <f t="shared" si="35"/>
        <v>0</v>
      </c>
      <c r="AY102" s="800"/>
      <c r="AZ102" s="7008"/>
      <c r="BA102" s="2449"/>
      <c r="BB102" s="2449">
        <f t="shared" si="36"/>
        <v>0</v>
      </c>
      <c r="BC102" s="629"/>
      <c r="BD102" s="629">
        <f t="shared" si="38"/>
        <v>0</v>
      </c>
      <c r="BE102" s="2236"/>
      <c r="BF102" s="5106">
        <f t="shared" si="39"/>
        <v>0</v>
      </c>
      <c r="BG102" s="1137"/>
      <c r="BH102" s="4234">
        <f t="shared" si="22"/>
        <v>0</v>
      </c>
      <c r="BI102" s="4234">
        <f t="shared" si="23"/>
        <v>0</v>
      </c>
      <c r="BJ102" s="25">
        <f t="shared" si="24"/>
        <v>0</v>
      </c>
      <c r="BK102" s="25">
        <f t="shared" si="25"/>
        <v>0</v>
      </c>
      <c r="BL102" s="25">
        <f t="shared" si="26"/>
        <v>0</v>
      </c>
      <c r="BM102" s="25">
        <f t="shared" si="27"/>
        <v>0</v>
      </c>
    </row>
    <row r="103" spans="1:65" ht="15" hidden="1" customHeight="1" thickBot="1" x14ac:dyDescent="0.3">
      <c r="A103" s="2491"/>
      <c r="B103" s="797" t="s">
        <v>840</v>
      </c>
      <c r="C103" s="2880" t="s">
        <v>1395</v>
      </c>
      <c r="D103" s="2881" t="s">
        <v>50</v>
      </c>
      <c r="E103" s="800"/>
      <c r="F103" s="7594"/>
      <c r="G103" s="800"/>
      <c r="H103" s="6209"/>
      <c r="I103" s="3166"/>
      <c r="J103" s="41">
        <f t="shared" si="28"/>
        <v>0</v>
      </c>
      <c r="K103" s="800"/>
      <c r="L103" s="5722"/>
      <c r="M103" s="848"/>
      <c r="N103" s="586">
        <f t="shared" si="29"/>
        <v>0</v>
      </c>
      <c r="O103" s="800"/>
      <c r="P103" s="5857"/>
      <c r="Q103" s="799"/>
      <c r="R103" s="349">
        <f t="shared" si="30"/>
        <v>0</v>
      </c>
      <c r="S103" s="800"/>
      <c r="T103" s="5940"/>
      <c r="U103" s="799"/>
      <c r="V103" s="349">
        <f t="shared" si="31"/>
        <v>0</v>
      </c>
      <c r="W103" s="800"/>
      <c r="X103" s="6043"/>
      <c r="Y103" s="2449"/>
      <c r="Z103" s="4598">
        <f t="shared" si="41"/>
        <v>0</v>
      </c>
      <c r="AA103" s="629"/>
      <c r="AB103" s="4599">
        <f t="shared" si="42"/>
        <v>0</v>
      </c>
      <c r="AC103" s="800"/>
      <c r="AD103" s="6169"/>
      <c r="AE103" s="799"/>
      <c r="AF103" s="349">
        <f t="shared" si="32"/>
        <v>0</v>
      </c>
      <c r="AG103" s="800"/>
      <c r="AH103" s="6337"/>
      <c r="AI103" s="799"/>
      <c r="AJ103" s="349">
        <f t="shared" si="40"/>
        <v>0</v>
      </c>
      <c r="AK103" s="800"/>
      <c r="AL103" s="6600"/>
      <c r="AM103" s="2449"/>
      <c r="AN103" s="4598">
        <f t="shared" si="37"/>
        <v>0</v>
      </c>
      <c r="AO103" s="2236"/>
      <c r="AP103" s="349">
        <f t="shared" si="33"/>
        <v>0</v>
      </c>
      <c r="AQ103" s="800"/>
      <c r="AR103" s="4979"/>
      <c r="AS103" s="799"/>
      <c r="AT103" s="4975">
        <f t="shared" si="34"/>
        <v>0</v>
      </c>
      <c r="AU103" s="800"/>
      <c r="AV103" s="6852"/>
      <c r="AW103" s="799"/>
      <c r="AX103" s="349">
        <f t="shared" si="35"/>
        <v>0</v>
      </c>
      <c r="AY103" s="800"/>
      <c r="AZ103" s="7008"/>
      <c r="BA103" s="2449"/>
      <c r="BB103" s="2449">
        <f t="shared" si="36"/>
        <v>0</v>
      </c>
      <c r="BC103" s="629"/>
      <c r="BD103" s="629">
        <f t="shared" si="38"/>
        <v>0</v>
      </c>
      <c r="BE103" s="2236"/>
      <c r="BF103" s="5106">
        <f t="shared" si="39"/>
        <v>0</v>
      </c>
      <c r="BG103" s="1137"/>
      <c r="BH103" s="4234">
        <f t="shared" si="22"/>
        <v>0</v>
      </c>
      <c r="BI103" s="4234">
        <f t="shared" si="23"/>
        <v>0</v>
      </c>
      <c r="BJ103" s="25">
        <f t="shared" si="24"/>
        <v>0</v>
      </c>
      <c r="BK103" s="25">
        <f t="shared" si="25"/>
        <v>0</v>
      </c>
      <c r="BL103" s="25">
        <f t="shared" si="26"/>
        <v>0</v>
      </c>
      <c r="BM103" s="25">
        <f t="shared" si="27"/>
        <v>0</v>
      </c>
    </row>
    <row r="104" spans="1:65" ht="16.5" hidden="1" thickBot="1" x14ac:dyDescent="0.3">
      <c r="B104" s="3153" t="s">
        <v>828</v>
      </c>
      <c r="C104" s="3154" t="s">
        <v>935</v>
      </c>
      <c r="D104" s="3155" t="s">
        <v>50</v>
      </c>
      <c r="E104" s="3164"/>
      <c r="F104" s="147"/>
      <c r="G104" s="3164"/>
      <c r="H104" s="147"/>
      <c r="I104" s="3165"/>
      <c r="J104" s="41">
        <f t="shared" si="28"/>
        <v>0</v>
      </c>
      <c r="K104" s="3164"/>
      <c r="L104" s="147"/>
      <c r="M104" s="848"/>
      <c r="N104" s="586">
        <f t="shared" si="29"/>
        <v>0</v>
      </c>
      <c r="O104" s="3164"/>
      <c r="P104" s="147"/>
      <c r="Q104" s="799"/>
      <c r="R104" s="349">
        <f t="shared" si="30"/>
        <v>0</v>
      </c>
      <c r="S104" s="3164"/>
      <c r="T104" s="147">
        <v>53.300000000000011</v>
      </c>
      <c r="U104" s="799"/>
      <c r="V104" s="349">
        <f t="shared" si="31"/>
        <v>53.300000000000011</v>
      </c>
      <c r="W104" s="3164"/>
      <c r="X104" s="147"/>
      <c r="Y104" s="543"/>
      <c r="Z104" s="4598">
        <f t="shared" si="41"/>
        <v>53.300000000000011</v>
      </c>
      <c r="AA104" s="629"/>
      <c r="AB104" s="4599">
        <f t="shared" si="42"/>
        <v>53.300000000000011</v>
      </c>
      <c r="AC104" s="3164"/>
      <c r="AD104" s="147"/>
      <c r="AE104" s="799"/>
      <c r="AF104" s="349">
        <f t="shared" si="32"/>
        <v>53.300000000000011</v>
      </c>
      <c r="AG104" s="3164"/>
      <c r="AH104" s="147">
        <v>209.1</v>
      </c>
      <c r="AI104" s="799"/>
      <c r="AJ104" s="4635">
        <f t="shared" si="40"/>
        <v>262.39999999999998</v>
      </c>
      <c r="AK104" s="3164"/>
      <c r="AL104" s="1360">
        <f>469.45-2.05</f>
        <v>467.4</v>
      </c>
      <c r="AM104" s="2449"/>
      <c r="AN104" s="4598">
        <f t="shared" si="37"/>
        <v>676.5</v>
      </c>
      <c r="AO104" s="2236"/>
      <c r="AP104" s="349">
        <f t="shared" si="33"/>
        <v>729.8</v>
      </c>
      <c r="AQ104" s="3164"/>
      <c r="AR104" s="147">
        <f>418.2-2.05</f>
        <v>416.15</v>
      </c>
      <c r="AS104" s="799"/>
      <c r="AT104" s="4975">
        <f t="shared" si="34"/>
        <v>1145.9499999999998</v>
      </c>
      <c r="AU104" s="3164"/>
      <c r="AV104" s="147">
        <v>186.54999999999995</v>
      </c>
      <c r="AW104" s="799"/>
      <c r="AX104" s="349">
        <f t="shared" si="35"/>
        <v>1332.4999999999998</v>
      </c>
      <c r="AY104" s="3164"/>
      <c r="AZ104" s="147"/>
      <c r="BA104" s="2449"/>
      <c r="BB104" s="2449">
        <f t="shared" si="36"/>
        <v>602.69999999999993</v>
      </c>
      <c r="BC104" s="629"/>
      <c r="BD104" s="629">
        <f t="shared" si="38"/>
        <v>1279.1999999999998</v>
      </c>
      <c r="BE104" s="2236"/>
      <c r="BF104" s="5106">
        <f t="shared" si="39"/>
        <v>1332.4999999999998</v>
      </c>
      <c r="BG104" s="1137"/>
      <c r="BH104" s="4234">
        <f t="shared" si="22"/>
        <v>0</v>
      </c>
      <c r="BI104" s="4234">
        <f t="shared" si="23"/>
        <v>0</v>
      </c>
      <c r="BJ104" s="25">
        <f t="shared" si="24"/>
        <v>0</v>
      </c>
      <c r="BK104" s="25">
        <f t="shared" si="25"/>
        <v>0</v>
      </c>
      <c r="BL104" s="25">
        <f t="shared" si="26"/>
        <v>0</v>
      </c>
      <c r="BM104" s="25">
        <f t="shared" si="27"/>
        <v>0</v>
      </c>
    </row>
    <row r="105" spans="1:65" s="4487" customFormat="1" ht="16.5" hidden="1" thickBot="1" x14ac:dyDescent="0.3">
      <c r="B105" s="3153" t="s">
        <v>828</v>
      </c>
      <c r="C105" s="3154" t="s">
        <v>2277</v>
      </c>
      <c r="D105" s="47"/>
      <c r="E105" s="4593"/>
      <c r="F105" s="147"/>
      <c r="G105" s="4593"/>
      <c r="H105" s="7081"/>
      <c r="I105" s="3825"/>
      <c r="J105" s="41"/>
      <c r="K105" s="4593"/>
      <c r="L105" s="7081"/>
      <c r="M105" s="7071"/>
      <c r="N105" s="586"/>
      <c r="O105" s="4593"/>
      <c r="P105" s="7081"/>
      <c r="Q105" s="7070"/>
      <c r="R105" s="349"/>
      <c r="S105" s="4593"/>
      <c r="T105" s="7081"/>
      <c r="U105" s="7070"/>
      <c r="V105" s="349"/>
      <c r="W105" s="4593"/>
      <c r="X105" s="7081"/>
      <c r="Y105" s="7091"/>
      <c r="Z105" s="4598"/>
      <c r="AA105" s="7092"/>
      <c r="AB105" s="4599"/>
      <c r="AC105" s="4593"/>
      <c r="AD105" s="7081"/>
      <c r="AE105" s="7070"/>
      <c r="AF105" s="349"/>
      <c r="AG105" s="4593"/>
      <c r="AH105" s="7081"/>
      <c r="AI105" s="7070"/>
      <c r="AJ105" s="7044"/>
      <c r="AK105" s="4593"/>
      <c r="AL105" s="99"/>
      <c r="AM105" s="7091"/>
      <c r="AN105" s="4598"/>
      <c r="AO105" s="7044"/>
      <c r="AP105" s="349"/>
      <c r="AQ105" s="4593"/>
      <c r="AR105" s="7081"/>
      <c r="AS105" s="7070"/>
      <c r="AT105" s="7044"/>
      <c r="AU105" s="4593"/>
      <c r="AV105" s="7081"/>
      <c r="AW105" s="7070"/>
      <c r="AX105" s="349"/>
      <c r="AY105" s="4593"/>
      <c r="AZ105" s="147">
        <v>278.8</v>
      </c>
      <c r="BA105" s="7091"/>
      <c r="BB105" s="2449">
        <f t="shared" si="36"/>
        <v>278.8</v>
      </c>
      <c r="BC105" s="7092"/>
      <c r="BD105" s="629">
        <f t="shared" si="38"/>
        <v>278.8</v>
      </c>
      <c r="BE105" s="7044"/>
      <c r="BF105" s="7080">
        <f t="shared" si="39"/>
        <v>278.8</v>
      </c>
      <c r="BG105" s="1137"/>
      <c r="BH105" s="4234"/>
      <c r="BI105" s="4234"/>
      <c r="BJ105" s="25"/>
      <c r="BK105" s="25"/>
      <c r="BL105" s="25"/>
      <c r="BM105" s="25"/>
    </row>
    <row r="106" spans="1:65" s="4487" customFormat="1" ht="16.5" hidden="1" thickBot="1" x14ac:dyDescent="0.3">
      <c r="B106" s="4591" t="s">
        <v>828</v>
      </c>
      <c r="C106" s="4592" t="s">
        <v>1091</v>
      </c>
      <c r="D106" s="47"/>
      <c r="E106" s="4593"/>
      <c r="F106" s="7592"/>
      <c r="G106" s="4593"/>
      <c r="H106" s="6349"/>
      <c r="I106" s="3825"/>
      <c r="J106" s="41"/>
      <c r="K106" s="4593"/>
      <c r="L106" s="6349"/>
      <c r="M106" s="6056"/>
      <c r="N106" s="586">
        <f t="shared" si="29"/>
        <v>0</v>
      </c>
      <c r="O106" s="4593"/>
      <c r="P106" s="6349"/>
      <c r="Q106" s="6357"/>
      <c r="R106" s="349"/>
      <c r="S106" s="4593"/>
      <c r="T106" s="6349"/>
      <c r="U106" s="6357"/>
      <c r="V106" s="349"/>
      <c r="W106" s="4593"/>
      <c r="X106" s="6349"/>
      <c r="Y106" s="6358"/>
      <c r="Z106" s="4598">
        <f t="shared" si="41"/>
        <v>0</v>
      </c>
      <c r="AA106" s="6055"/>
      <c r="AB106" s="4599">
        <f t="shared" si="42"/>
        <v>0</v>
      </c>
      <c r="AC106" s="4593"/>
      <c r="AD106" s="6349"/>
      <c r="AE106" s="6357"/>
      <c r="AF106" s="349">
        <f t="shared" si="32"/>
        <v>0</v>
      </c>
      <c r="AG106" s="4593"/>
      <c r="AH106" s="6349">
        <v>389.5</v>
      </c>
      <c r="AI106" s="6357"/>
      <c r="AJ106" s="6346">
        <f t="shared" si="40"/>
        <v>389.5</v>
      </c>
      <c r="AK106" s="4593"/>
      <c r="AL106" s="99">
        <v>467.39999999999992</v>
      </c>
      <c r="AM106" s="6358"/>
      <c r="AN106" s="4598">
        <f t="shared" si="37"/>
        <v>856.89999999999986</v>
      </c>
      <c r="AO106" s="5971"/>
      <c r="AP106" s="349">
        <f t="shared" si="33"/>
        <v>856.89999999999986</v>
      </c>
      <c r="AQ106" s="4593"/>
      <c r="AR106" s="6349">
        <v>461.25</v>
      </c>
      <c r="AS106" s="6357"/>
      <c r="AT106" s="5971">
        <f t="shared" si="34"/>
        <v>1318.1499999999999</v>
      </c>
      <c r="AU106" s="4593"/>
      <c r="AV106" s="6849">
        <v>235.75</v>
      </c>
      <c r="AW106" s="6357"/>
      <c r="AX106" s="349">
        <f t="shared" si="35"/>
        <v>1553.8999999999999</v>
      </c>
      <c r="AY106" s="4593"/>
      <c r="AZ106" s="7005"/>
      <c r="BA106" s="6358"/>
      <c r="BB106" s="2449">
        <f t="shared" si="36"/>
        <v>697</v>
      </c>
      <c r="BC106" s="6055"/>
      <c r="BD106" s="5260">
        <f t="shared" si="38"/>
        <v>1553.8999999999999</v>
      </c>
      <c r="BE106" s="5971"/>
      <c r="BF106" s="6995">
        <f t="shared" si="39"/>
        <v>1553.8999999999999</v>
      </c>
      <c r="BG106" s="1137"/>
      <c r="BH106" s="4234">
        <f t="shared" si="22"/>
        <v>0</v>
      </c>
      <c r="BI106" s="4234">
        <f t="shared" si="23"/>
        <v>0</v>
      </c>
      <c r="BJ106" s="25">
        <f t="shared" si="24"/>
        <v>0</v>
      </c>
      <c r="BK106" s="25">
        <f t="shared" si="25"/>
        <v>0</v>
      </c>
      <c r="BL106" s="25">
        <f t="shared" si="26"/>
        <v>0</v>
      </c>
      <c r="BM106" s="25">
        <f t="shared" si="27"/>
        <v>0</v>
      </c>
    </row>
    <row r="107" spans="1:65" ht="16.5" hidden="1" thickBot="1" x14ac:dyDescent="0.3">
      <c r="B107" s="797" t="s">
        <v>828</v>
      </c>
      <c r="C107" s="2880" t="s">
        <v>994</v>
      </c>
      <c r="D107" s="2881" t="s">
        <v>50</v>
      </c>
      <c r="E107" s="800"/>
      <c r="F107" s="7594"/>
      <c r="G107" s="800"/>
      <c r="H107" s="6209">
        <v>1022.9499999999999</v>
      </c>
      <c r="I107" s="3166"/>
      <c r="J107" s="41">
        <f t="shared" si="28"/>
        <v>1022.9499999999999</v>
      </c>
      <c r="K107" s="800"/>
      <c r="L107" s="5722">
        <f>707.25-8.2</f>
        <v>699.05</v>
      </c>
      <c r="M107" s="848"/>
      <c r="N107" s="586">
        <f t="shared" si="29"/>
        <v>1722</v>
      </c>
      <c r="O107" s="800"/>
      <c r="P107" s="5857">
        <v>820</v>
      </c>
      <c r="Q107" s="799"/>
      <c r="R107" s="349">
        <f t="shared" si="30"/>
        <v>2542</v>
      </c>
      <c r="S107" s="800"/>
      <c r="T107" s="5940">
        <v>578.1</v>
      </c>
      <c r="U107" s="799"/>
      <c r="V107" s="349">
        <f t="shared" si="31"/>
        <v>3120.1</v>
      </c>
      <c r="W107" s="800"/>
      <c r="X107" s="6043"/>
      <c r="Y107" s="543"/>
      <c r="Z107" s="4598">
        <f t="shared" si="41"/>
        <v>1398.1</v>
      </c>
      <c r="AA107" s="629"/>
      <c r="AB107" s="4599">
        <f t="shared" si="42"/>
        <v>3120.1</v>
      </c>
      <c r="AC107" s="800"/>
      <c r="AD107" s="6169">
        <v>809.74999999999989</v>
      </c>
      <c r="AE107" s="799"/>
      <c r="AF107" s="349">
        <f t="shared" si="32"/>
        <v>3929.85</v>
      </c>
      <c r="AG107" s="800"/>
      <c r="AH107" s="6337">
        <v>172.2</v>
      </c>
      <c r="AI107" s="799"/>
      <c r="AJ107" s="349">
        <f t="shared" si="40"/>
        <v>4102.05</v>
      </c>
      <c r="AK107" s="800"/>
      <c r="AL107" s="3171">
        <v>1377.6000000000004</v>
      </c>
      <c r="AM107" s="2449"/>
      <c r="AN107" s="4598">
        <f t="shared" si="37"/>
        <v>2359.5500000000002</v>
      </c>
      <c r="AO107" s="2236"/>
      <c r="AP107" s="349">
        <f t="shared" si="33"/>
        <v>5479.6500000000005</v>
      </c>
      <c r="AQ107" s="800"/>
      <c r="AR107" s="4979">
        <v>774.9</v>
      </c>
      <c r="AS107" s="799"/>
      <c r="AT107" s="4975">
        <f t="shared" si="34"/>
        <v>6254.55</v>
      </c>
      <c r="AU107" s="800"/>
      <c r="AV107" s="6852"/>
      <c r="AW107" s="799"/>
      <c r="AX107" s="349">
        <f t="shared" si="35"/>
        <v>6254.55</v>
      </c>
      <c r="AY107" s="800"/>
      <c r="AZ107" s="7008">
        <v>996.29999999999973</v>
      </c>
      <c r="BA107" s="2449"/>
      <c r="BB107" s="2449">
        <f t="shared" si="36"/>
        <v>1771.1999999999998</v>
      </c>
      <c r="BC107" s="629"/>
      <c r="BD107" s="629">
        <f t="shared" si="38"/>
        <v>4130.75</v>
      </c>
      <c r="BE107" s="2236"/>
      <c r="BF107" s="5106">
        <f t="shared" si="39"/>
        <v>7250.85</v>
      </c>
      <c r="BG107" s="1137"/>
      <c r="BH107" s="4234">
        <f t="shared" si="22"/>
        <v>0</v>
      </c>
      <c r="BI107" s="4234">
        <f t="shared" si="23"/>
        <v>0</v>
      </c>
      <c r="BJ107" s="25">
        <f t="shared" si="24"/>
        <v>0</v>
      </c>
      <c r="BK107" s="25">
        <f t="shared" si="25"/>
        <v>0</v>
      </c>
      <c r="BL107" s="25">
        <f t="shared" si="26"/>
        <v>0</v>
      </c>
      <c r="BM107" s="25">
        <f t="shared" si="27"/>
        <v>0</v>
      </c>
    </row>
    <row r="108" spans="1:65" ht="16.5" hidden="1" thickBot="1" x14ac:dyDescent="0.3">
      <c r="B108" s="797" t="s">
        <v>828</v>
      </c>
      <c r="C108" s="2880" t="s">
        <v>995</v>
      </c>
      <c r="D108" s="2881" t="s">
        <v>50</v>
      </c>
      <c r="E108" s="800"/>
      <c r="F108" s="7594"/>
      <c r="G108" s="800"/>
      <c r="H108" s="6209">
        <v>1022.9500000000002</v>
      </c>
      <c r="I108" s="3166"/>
      <c r="J108" s="41">
        <f t="shared" si="28"/>
        <v>1022.9500000000002</v>
      </c>
      <c r="K108" s="800"/>
      <c r="L108" s="5722">
        <v>824.09999999999991</v>
      </c>
      <c r="M108" s="848"/>
      <c r="N108" s="586">
        <f t="shared" si="29"/>
        <v>1847.0500000000002</v>
      </c>
      <c r="O108" s="800"/>
      <c r="P108" s="5857">
        <f>1141.85-4.1</f>
        <v>1137.75</v>
      </c>
      <c r="Q108" s="799"/>
      <c r="R108" s="349">
        <f t="shared" si="30"/>
        <v>2984.8</v>
      </c>
      <c r="S108" s="800"/>
      <c r="T108" s="5940">
        <v>2359.5500000000002</v>
      </c>
      <c r="U108" s="799"/>
      <c r="V108" s="349">
        <f t="shared" si="31"/>
        <v>5344.35</v>
      </c>
      <c r="W108" s="800"/>
      <c r="X108" s="6043">
        <v>1596.9499999999998</v>
      </c>
      <c r="Y108" s="543"/>
      <c r="Z108" s="4598">
        <f t="shared" si="41"/>
        <v>5094.25</v>
      </c>
      <c r="AA108" s="629"/>
      <c r="AB108" s="4599">
        <f t="shared" si="42"/>
        <v>6941.3</v>
      </c>
      <c r="AC108" s="800"/>
      <c r="AD108" s="6169">
        <v>1941.3499999999997</v>
      </c>
      <c r="AE108" s="799"/>
      <c r="AF108" s="349">
        <f t="shared" si="32"/>
        <v>8882.65</v>
      </c>
      <c r="AG108" s="800"/>
      <c r="AH108" s="6337">
        <v>672.39999999999986</v>
      </c>
      <c r="AI108" s="799"/>
      <c r="AJ108" s="349">
        <f t="shared" si="40"/>
        <v>9555.0499999999993</v>
      </c>
      <c r="AK108" s="800"/>
      <c r="AL108" s="3171">
        <f>4473.1-53.3</f>
        <v>4419.8</v>
      </c>
      <c r="AM108" s="2449"/>
      <c r="AN108" s="4598">
        <f t="shared" si="37"/>
        <v>7033.5499999999993</v>
      </c>
      <c r="AO108" s="2236"/>
      <c r="AP108" s="349">
        <f t="shared" si="33"/>
        <v>13974.849999999999</v>
      </c>
      <c r="AQ108" s="800"/>
      <c r="AR108" s="4979">
        <f>3868.35-6.15</f>
        <v>3862.2</v>
      </c>
      <c r="AS108" s="799"/>
      <c r="AT108" s="4975">
        <f t="shared" si="34"/>
        <v>17837.05</v>
      </c>
      <c r="AU108" s="800"/>
      <c r="AV108" s="6852"/>
      <c r="AW108" s="799"/>
      <c r="AX108" s="349">
        <f t="shared" si="35"/>
        <v>17837.05</v>
      </c>
      <c r="AY108" s="800"/>
      <c r="AZ108" s="7008">
        <f>6357.05-4.1</f>
        <v>6352.95</v>
      </c>
      <c r="BA108" s="2449"/>
      <c r="BB108" s="2449">
        <f t="shared" si="36"/>
        <v>10215.15</v>
      </c>
      <c r="BC108" s="629"/>
      <c r="BD108" s="629">
        <f t="shared" si="38"/>
        <v>17248.699999999997</v>
      </c>
      <c r="BE108" s="2236"/>
      <c r="BF108" s="5106">
        <f t="shared" si="39"/>
        <v>24190</v>
      </c>
      <c r="BG108" s="1137"/>
      <c r="BH108" s="4234">
        <f t="shared" si="22"/>
        <v>0</v>
      </c>
      <c r="BI108" s="4234">
        <f t="shared" si="23"/>
        <v>0</v>
      </c>
      <c r="BJ108" s="25">
        <f t="shared" si="24"/>
        <v>0</v>
      </c>
      <c r="BK108" s="25">
        <f t="shared" si="25"/>
        <v>0</v>
      </c>
      <c r="BL108" s="25">
        <f t="shared" si="26"/>
        <v>0</v>
      </c>
      <c r="BM108" s="25">
        <f t="shared" si="27"/>
        <v>0</v>
      </c>
    </row>
    <row r="109" spans="1:65" ht="16.5" hidden="1" thickBot="1" x14ac:dyDescent="0.3">
      <c r="B109" s="797" t="s">
        <v>828</v>
      </c>
      <c r="C109" s="2880" t="s">
        <v>1395</v>
      </c>
      <c r="D109" s="2881" t="s">
        <v>50</v>
      </c>
      <c r="E109" s="800"/>
      <c r="F109" s="4155"/>
      <c r="G109" s="800"/>
      <c r="H109" s="4155"/>
      <c r="I109" s="3166"/>
      <c r="J109" s="41">
        <f t="shared" si="28"/>
        <v>0</v>
      </c>
      <c r="K109" s="800"/>
      <c r="L109" s="4155"/>
      <c r="M109" s="848"/>
      <c r="N109" s="586">
        <f t="shared" si="29"/>
        <v>0</v>
      </c>
      <c r="O109" s="800"/>
      <c r="P109" s="4155"/>
      <c r="Q109" s="799"/>
      <c r="R109" s="349">
        <f t="shared" si="30"/>
        <v>0</v>
      </c>
      <c r="S109" s="800"/>
      <c r="T109" s="4155"/>
      <c r="U109" s="799"/>
      <c r="V109" s="349">
        <f t="shared" si="31"/>
        <v>0</v>
      </c>
      <c r="W109" s="800"/>
      <c r="X109" s="4155"/>
      <c r="Y109" s="543"/>
      <c r="Z109" s="4598">
        <f t="shared" si="41"/>
        <v>0</v>
      </c>
      <c r="AA109" s="629"/>
      <c r="AB109" s="4599">
        <f t="shared" si="42"/>
        <v>0</v>
      </c>
      <c r="AC109" s="800"/>
      <c r="AD109" s="4155"/>
      <c r="AE109" s="799"/>
      <c r="AF109" s="349">
        <f t="shared" si="32"/>
        <v>0</v>
      </c>
      <c r="AG109" s="800"/>
      <c r="AH109" s="4155"/>
      <c r="AI109" s="799"/>
      <c r="AJ109" s="349">
        <f t="shared" si="40"/>
        <v>0</v>
      </c>
      <c r="AK109" s="800"/>
      <c r="AL109" s="6938"/>
      <c r="AM109" s="2449"/>
      <c r="AN109" s="4598">
        <f t="shared" si="37"/>
        <v>0</v>
      </c>
      <c r="AO109" s="2236"/>
      <c r="AP109" s="349">
        <f t="shared" si="33"/>
        <v>0</v>
      </c>
      <c r="AQ109" s="800"/>
      <c r="AR109" s="4155"/>
      <c r="AS109" s="799"/>
      <c r="AT109" s="4975">
        <f t="shared" si="34"/>
        <v>0</v>
      </c>
      <c r="AU109" s="800"/>
      <c r="AV109" s="4155"/>
      <c r="AW109" s="799"/>
      <c r="AX109" s="349">
        <f t="shared" si="35"/>
        <v>0</v>
      </c>
      <c r="AY109" s="800"/>
      <c r="AZ109" s="4155"/>
      <c r="BA109" s="2449"/>
      <c r="BB109" s="2449">
        <f t="shared" si="36"/>
        <v>0</v>
      </c>
      <c r="BC109" s="629"/>
      <c r="BD109" s="629">
        <f t="shared" si="38"/>
        <v>0</v>
      </c>
      <c r="BE109" s="2236"/>
      <c r="BF109" s="5106">
        <f t="shared" si="39"/>
        <v>0</v>
      </c>
      <c r="BG109" s="1137"/>
      <c r="BH109" s="4234">
        <f t="shared" si="22"/>
        <v>0</v>
      </c>
      <c r="BI109" s="4234">
        <f t="shared" si="23"/>
        <v>0</v>
      </c>
      <c r="BJ109" s="25">
        <f t="shared" si="24"/>
        <v>0</v>
      </c>
      <c r="BK109" s="25">
        <f t="shared" si="25"/>
        <v>0</v>
      </c>
      <c r="BL109" s="25">
        <f t="shared" si="26"/>
        <v>0</v>
      </c>
      <c r="BM109" s="25">
        <f t="shared" si="27"/>
        <v>0</v>
      </c>
    </row>
    <row r="110" spans="1:65" ht="16.5" hidden="1" thickBot="1" x14ac:dyDescent="0.3">
      <c r="B110" s="3157" t="s">
        <v>828</v>
      </c>
      <c r="C110" s="3158" t="s">
        <v>1397</v>
      </c>
      <c r="D110" s="3159" t="s">
        <v>50</v>
      </c>
      <c r="E110" s="3167"/>
      <c r="F110" s="3169"/>
      <c r="G110" s="3167"/>
      <c r="H110" s="3169"/>
      <c r="I110" s="3168"/>
      <c r="J110" s="41">
        <f t="shared" si="28"/>
        <v>0</v>
      </c>
      <c r="K110" s="3167"/>
      <c r="L110" s="3169"/>
      <c r="M110" s="848"/>
      <c r="N110" s="586">
        <f t="shared" si="29"/>
        <v>0</v>
      </c>
      <c r="O110" s="3167"/>
      <c r="P110" s="3169"/>
      <c r="Q110" s="799"/>
      <c r="R110" s="349">
        <f t="shared" si="30"/>
        <v>0</v>
      </c>
      <c r="S110" s="3167"/>
      <c r="T110" s="3169"/>
      <c r="U110" s="799"/>
      <c r="V110" s="349">
        <f t="shared" si="31"/>
        <v>0</v>
      </c>
      <c r="W110" s="3167"/>
      <c r="X110" s="3169"/>
      <c r="Y110" s="543"/>
      <c r="Z110" s="4598">
        <f t="shared" si="41"/>
        <v>0</v>
      </c>
      <c r="AA110" s="629"/>
      <c r="AB110" s="4599">
        <f t="shared" si="42"/>
        <v>0</v>
      </c>
      <c r="AC110" s="3167"/>
      <c r="AD110" s="3169"/>
      <c r="AE110" s="799"/>
      <c r="AF110" s="349">
        <f t="shared" si="32"/>
        <v>0</v>
      </c>
      <c r="AG110" s="3167"/>
      <c r="AH110" s="3169"/>
      <c r="AI110" s="799"/>
      <c r="AJ110" s="349">
        <f t="shared" si="40"/>
        <v>0</v>
      </c>
      <c r="AK110" s="3167"/>
      <c r="AL110" s="6939">
        <v>20.5</v>
      </c>
      <c r="AM110" s="2449"/>
      <c r="AN110" s="4598">
        <f t="shared" si="37"/>
        <v>20.5</v>
      </c>
      <c r="AO110" s="2236"/>
      <c r="AP110" s="349">
        <f t="shared" si="33"/>
        <v>20.5</v>
      </c>
      <c r="AQ110" s="3167"/>
      <c r="AR110" s="3169">
        <v>102.50000000000001</v>
      </c>
      <c r="AS110" s="799"/>
      <c r="AT110" s="4975">
        <f t="shared" si="34"/>
        <v>123.00000000000001</v>
      </c>
      <c r="AU110" s="3167"/>
      <c r="AV110" s="3169">
        <v>20.5</v>
      </c>
      <c r="AW110" s="799"/>
      <c r="AX110" s="349">
        <f t="shared" si="35"/>
        <v>143.5</v>
      </c>
      <c r="AY110" s="3167"/>
      <c r="AZ110" s="3169">
        <v>137.35000000000002</v>
      </c>
      <c r="BA110" s="2449"/>
      <c r="BB110" s="2449">
        <f t="shared" si="36"/>
        <v>260.35000000000002</v>
      </c>
      <c r="BC110" s="629"/>
      <c r="BD110" s="629">
        <f t="shared" si="38"/>
        <v>280.85000000000002</v>
      </c>
      <c r="BE110" s="2236"/>
      <c r="BF110" s="5106">
        <f t="shared" si="39"/>
        <v>280.85000000000002</v>
      </c>
      <c r="BG110" s="1137"/>
      <c r="BH110" s="4234">
        <f t="shared" si="22"/>
        <v>0</v>
      </c>
      <c r="BI110" s="4234">
        <f t="shared" si="23"/>
        <v>0</v>
      </c>
      <c r="BJ110" s="25">
        <f t="shared" si="24"/>
        <v>0</v>
      </c>
      <c r="BK110" s="25">
        <f t="shared" si="25"/>
        <v>0</v>
      </c>
      <c r="BL110" s="25">
        <f t="shared" si="26"/>
        <v>0</v>
      </c>
      <c r="BM110" s="25">
        <f t="shared" si="27"/>
        <v>0</v>
      </c>
    </row>
    <row r="111" spans="1:65" ht="16.5" hidden="1" thickBot="1" x14ac:dyDescent="0.3">
      <c r="B111" s="3153" t="s">
        <v>1275</v>
      </c>
      <c r="C111" s="3154" t="s">
        <v>994</v>
      </c>
      <c r="D111" s="3155" t="s">
        <v>50</v>
      </c>
      <c r="E111" s="3164"/>
      <c r="F111" s="7075"/>
      <c r="G111" s="3164"/>
      <c r="H111" s="3164"/>
      <c r="I111" s="3165"/>
      <c r="J111" s="41">
        <f t="shared" si="28"/>
        <v>0</v>
      </c>
      <c r="K111" s="3164"/>
      <c r="L111" s="3164"/>
      <c r="M111" s="848"/>
      <c r="N111" s="586">
        <f t="shared" si="29"/>
        <v>0</v>
      </c>
      <c r="O111" s="3164"/>
      <c r="P111" s="3164"/>
      <c r="Q111" s="799"/>
      <c r="R111" s="349">
        <f t="shared" si="30"/>
        <v>0</v>
      </c>
      <c r="S111" s="3164"/>
      <c r="T111" s="3164"/>
      <c r="U111" s="799"/>
      <c r="V111" s="349">
        <f t="shared" si="31"/>
        <v>0</v>
      </c>
      <c r="W111" s="3164"/>
      <c r="X111" s="3164"/>
      <c r="Y111" s="543"/>
      <c r="Z111" s="4598">
        <f t="shared" si="41"/>
        <v>0</v>
      </c>
      <c r="AA111" s="629"/>
      <c r="AB111" s="4599">
        <f t="shared" si="42"/>
        <v>0</v>
      </c>
      <c r="AC111" s="3164"/>
      <c r="AD111" s="3164"/>
      <c r="AE111" s="799"/>
      <c r="AF111" s="349">
        <f t="shared" si="32"/>
        <v>0</v>
      </c>
      <c r="AG111" s="3164"/>
      <c r="AH111" s="3164"/>
      <c r="AI111" s="799"/>
      <c r="AJ111" s="349">
        <f t="shared" si="40"/>
        <v>0</v>
      </c>
      <c r="AK111" s="3164"/>
      <c r="AL111" s="3164"/>
      <c r="AM111" s="2449"/>
      <c r="AN111" s="4598">
        <f t="shared" si="37"/>
        <v>0</v>
      </c>
      <c r="AO111" s="2236"/>
      <c r="AP111" s="349">
        <f t="shared" si="33"/>
        <v>0</v>
      </c>
      <c r="AQ111" s="3164"/>
      <c r="AR111" s="3164"/>
      <c r="AS111" s="799"/>
      <c r="AT111" s="4975">
        <f t="shared" si="34"/>
        <v>0</v>
      </c>
      <c r="AU111" s="3164"/>
      <c r="AV111" s="3164"/>
      <c r="AW111" s="799"/>
      <c r="AX111" s="349">
        <f t="shared" si="35"/>
        <v>0</v>
      </c>
      <c r="AY111" s="3164"/>
      <c r="AZ111" s="7075">
        <v>1006.55</v>
      </c>
      <c r="BA111" s="2449"/>
      <c r="BB111" s="2449">
        <f t="shared" si="36"/>
        <v>1006.55</v>
      </c>
      <c r="BC111" s="629"/>
      <c r="BD111" s="629">
        <f t="shared" si="38"/>
        <v>1006.55</v>
      </c>
      <c r="BE111" s="2236"/>
      <c r="BF111" s="5106">
        <f t="shared" si="39"/>
        <v>1006.55</v>
      </c>
      <c r="BG111" s="1137"/>
      <c r="BH111" s="4234">
        <f t="shared" si="22"/>
        <v>0</v>
      </c>
      <c r="BI111" s="4234">
        <f t="shared" si="23"/>
        <v>0</v>
      </c>
      <c r="BJ111" s="25">
        <f t="shared" si="24"/>
        <v>0</v>
      </c>
      <c r="BK111" s="25">
        <f t="shared" si="25"/>
        <v>0</v>
      </c>
      <c r="BL111" s="25">
        <f t="shared" si="26"/>
        <v>0</v>
      </c>
      <c r="BM111" s="25">
        <f t="shared" si="27"/>
        <v>0</v>
      </c>
    </row>
    <row r="112" spans="1:65" ht="16.5" hidden="1" thickBot="1" x14ac:dyDescent="0.3">
      <c r="B112" s="3157" t="s">
        <v>1275</v>
      </c>
      <c r="C112" s="3158" t="s">
        <v>995</v>
      </c>
      <c r="D112" s="3159" t="s">
        <v>50</v>
      </c>
      <c r="E112" s="3167"/>
      <c r="F112" s="3169"/>
      <c r="G112" s="3167"/>
      <c r="H112" s="3167"/>
      <c r="I112" s="3168"/>
      <c r="J112" s="41">
        <f t="shared" si="28"/>
        <v>0</v>
      </c>
      <c r="K112" s="3167"/>
      <c r="L112" s="3167"/>
      <c r="M112" s="848"/>
      <c r="N112" s="586">
        <f t="shared" si="29"/>
        <v>0</v>
      </c>
      <c r="O112" s="3167"/>
      <c r="P112" s="3167"/>
      <c r="Q112" s="799"/>
      <c r="R112" s="349">
        <f t="shared" si="30"/>
        <v>0</v>
      </c>
      <c r="S112" s="3167"/>
      <c r="T112" s="3167"/>
      <c r="U112" s="799"/>
      <c r="V112" s="349">
        <f t="shared" si="31"/>
        <v>0</v>
      </c>
      <c r="W112" s="3167"/>
      <c r="X112" s="3167"/>
      <c r="Y112" s="543"/>
      <c r="Z112" s="4598">
        <f t="shared" si="41"/>
        <v>0</v>
      </c>
      <c r="AA112" s="629"/>
      <c r="AB112" s="4599">
        <f t="shared" si="42"/>
        <v>0</v>
      </c>
      <c r="AC112" s="3167"/>
      <c r="AD112" s="3167"/>
      <c r="AE112" s="799"/>
      <c r="AF112" s="349">
        <f t="shared" si="32"/>
        <v>0</v>
      </c>
      <c r="AG112" s="3167"/>
      <c r="AH112" s="3167"/>
      <c r="AI112" s="799"/>
      <c r="AJ112" s="349">
        <f t="shared" si="40"/>
        <v>0</v>
      </c>
      <c r="AK112" s="3167"/>
      <c r="AL112" s="3167"/>
      <c r="AM112" s="2449"/>
      <c r="AN112" s="4598">
        <f t="shared" si="37"/>
        <v>0</v>
      </c>
      <c r="AO112" s="2236"/>
      <c r="AP112" s="349">
        <f t="shared" si="33"/>
        <v>0</v>
      </c>
      <c r="AQ112" s="3167"/>
      <c r="AR112" s="3167"/>
      <c r="AS112" s="799"/>
      <c r="AT112" s="4975">
        <f t="shared" si="34"/>
        <v>0</v>
      </c>
      <c r="AU112" s="3167"/>
      <c r="AV112" s="3167"/>
      <c r="AW112" s="799"/>
      <c r="AX112" s="349">
        <f t="shared" si="35"/>
        <v>0</v>
      </c>
      <c r="AY112" s="3167"/>
      <c r="AZ112" s="3169">
        <v>2392.3500000000004</v>
      </c>
      <c r="BA112" s="2449"/>
      <c r="BB112" s="2449">
        <f t="shared" si="36"/>
        <v>2392.3500000000004</v>
      </c>
      <c r="BC112" s="629"/>
      <c r="BD112" s="629">
        <f t="shared" si="38"/>
        <v>2392.3500000000004</v>
      </c>
      <c r="BE112" s="2236"/>
      <c r="BF112" s="5106">
        <f t="shared" si="39"/>
        <v>2392.3500000000004</v>
      </c>
      <c r="BG112" s="1137"/>
      <c r="BH112" s="4234">
        <f t="shared" si="22"/>
        <v>0</v>
      </c>
      <c r="BI112" s="4234">
        <f t="shared" si="23"/>
        <v>0</v>
      </c>
      <c r="BJ112" s="25">
        <f t="shared" si="24"/>
        <v>0</v>
      </c>
      <c r="BK112" s="25">
        <f t="shared" si="25"/>
        <v>0</v>
      </c>
      <c r="BL112" s="25">
        <f t="shared" si="26"/>
        <v>0</v>
      </c>
      <c r="BM112" s="25">
        <f t="shared" si="27"/>
        <v>0</v>
      </c>
    </row>
    <row r="113" spans="1:65" ht="15" hidden="1" customHeight="1" thickBot="1" x14ac:dyDescent="0.3">
      <c r="B113" s="3153" t="s">
        <v>844</v>
      </c>
      <c r="C113" s="3154" t="s">
        <v>994</v>
      </c>
      <c r="D113" s="3155" t="s">
        <v>50</v>
      </c>
      <c r="E113" s="3164"/>
      <c r="F113" s="147"/>
      <c r="G113" s="3164"/>
      <c r="H113" s="147">
        <v>1002.45</v>
      </c>
      <c r="I113" s="3165"/>
      <c r="J113" s="41">
        <f t="shared" si="28"/>
        <v>1002.45</v>
      </c>
      <c r="K113" s="3164"/>
      <c r="L113" s="147"/>
      <c r="M113" s="848"/>
      <c r="N113" s="586">
        <f t="shared" si="29"/>
        <v>1002.45</v>
      </c>
      <c r="O113" s="3164"/>
      <c r="P113" s="147"/>
      <c r="Q113" s="799"/>
      <c r="R113" s="349">
        <f t="shared" si="30"/>
        <v>1002.45</v>
      </c>
      <c r="S113" s="3164"/>
      <c r="T113" s="147"/>
      <c r="U113" s="799"/>
      <c r="V113" s="349">
        <f t="shared" si="31"/>
        <v>1002.45</v>
      </c>
      <c r="W113" s="3164"/>
      <c r="X113" s="147"/>
      <c r="Y113" s="543"/>
      <c r="Z113" s="4598">
        <f t="shared" si="41"/>
        <v>0</v>
      </c>
      <c r="AA113" s="629"/>
      <c r="AB113" s="4599">
        <f t="shared" si="42"/>
        <v>1002.45</v>
      </c>
      <c r="AC113" s="3164"/>
      <c r="AD113" s="147"/>
      <c r="AE113" s="799"/>
      <c r="AF113" s="349">
        <f t="shared" si="32"/>
        <v>1002.45</v>
      </c>
      <c r="AG113" s="3164"/>
      <c r="AH113" s="147"/>
      <c r="AI113" s="799"/>
      <c r="AJ113" s="349">
        <f t="shared" si="40"/>
        <v>1002.45</v>
      </c>
      <c r="AK113" s="3164"/>
      <c r="AL113" s="3175">
        <f>1133.65-2.05</f>
        <v>1131.6000000000001</v>
      </c>
      <c r="AM113" s="2449"/>
      <c r="AN113" s="4598">
        <f t="shared" si="37"/>
        <v>1131.6000000000001</v>
      </c>
      <c r="AO113" s="2236"/>
      <c r="AP113" s="349">
        <f t="shared" si="33"/>
        <v>2134.0500000000002</v>
      </c>
      <c r="AQ113" s="3164"/>
      <c r="AR113" s="147"/>
      <c r="AS113" s="799"/>
      <c r="AT113" s="4975">
        <f t="shared" si="34"/>
        <v>2134.0500000000002</v>
      </c>
      <c r="AU113" s="3164"/>
      <c r="AV113" s="147"/>
      <c r="AW113" s="799"/>
      <c r="AX113" s="349">
        <f t="shared" si="35"/>
        <v>2134.0500000000002</v>
      </c>
      <c r="AY113" s="3164"/>
      <c r="AZ113" s="147">
        <f>1371.45-2.05</f>
        <v>1369.4</v>
      </c>
      <c r="BA113" s="2449"/>
      <c r="BB113" s="2449">
        <f t="shared" si="36"/>
        <v>1369.4</v>
      </c>
      <c r="BC113" s="629"/>
      <c r="BD113" s="629">
        <f t="shared" si="38"/>
        <v>2501</v>
      </c>
      <c r="BE113" s="2236"/>
      <c r="BF113" s="5106">
        <f t="shared" si="39"/>
        <v>3503.4500000000003</v>
      </c>
      <c r="BG113" s="1137"/>
      <c r="BH113" s="4234">
        <f t="shared" si="22"/>
        <v>0</v>
      </c>
      <c r="BI113" s="4234">
        <f t="shared" si="23"/>
        <v>0</v>
      </c>
      <c r="BJ113" s="25">
        <f t="shared" si="24"/>
        <v>0</v>
      </c>
      <c r="BK113" s="25">
        <f t="shared" si="25"/>
        <v>0</v>
      </c>
      <c r="BL113" s="25">
        <f t="shared" si="26"/>
        <v>0</v>
      </c>
      <c r="BM113" s="25">
        <f t="shared" si="27"/>
        <v>0</v>
      </c>
    </row>
    <row r="114" spans="1:65" s="4487" customFormat="1" ht="15" hidden="1" customHeight="1" thickBot="1" x14ac:dyDescent="0.3">
      <c r="B114" s="4591" t="s">
        <v>844</v>
      </c>
      <c r="C114" s="4592" t="s">
        <v>935</v>
      </c>
      <c r="D114" s="47"/>
      <c r="E114" s="3164"/>
      <c r="F114" s="147"/>
      <c r="G114" s="4593"/>
      <c r="H114" s="6598"/>
      <c r="I114" s="3825"/>
      <c r="J114" s="41"/>
      <c r="K114" s="4593"/>
      <c r="L114" s="6598"/>
      <c r="M114" s="5136"/>
      <c r="N114" s="586"/>
      <c r="O114" s="4593"/>
      <c r="P114" s="6598"/>
      <c r="Q114" s="6617"/>
      <c r="R114" s="349"/>
      <c r="S114" s="4593"/>
      <c r="T114" s="6598"/>
      <c r="U114" s="6617"/>
      <c r="V114" s="349"/>
      <c r="W114" s="4593"/>
      <c r="X114" s="6598"/>
      <c r="Y114" s="5122"/>
      <c r="Z114" s="4598"/>
      <c r="AA114" s="5123"/>
      <c r="AB114" s="4599"/>
      <c r="AC114" s="4593"/>
      <c r="AD114" s="6598"/>
      <c r="AE114" s="6617"/>
      <c r="AF114" s="349"/>
      <c r="AG114" s="4593"/>
      <c r="AH114" s="6598"/>
      <c r="AI114" s="6617"/>
      <c r="AJ114" s="349">
        <f t="shared" si="40"/>
        <v>0</v>
      </c>
      <c r="AK114" s="4593"/>
      <c r="AL114" s="6937">
        <v>395.65</v>
      </c>
      <c r="AM114" s="5122"/>
      <c r="AN114" s="4598">
        <f t="shared" si="37"/>
        <v>395.65</v>
      </c>
      <c r="AO114" s="6593"/>
      <c r="AP114" s="349">
        <f t="shared" si="33"/>
        <v>395.65</v>
      </c>
      <c r="AQ114" s="3164"/>
      <c r="AR114" s="147"/>
      <c r="AS114" s="799"/>
      <c r="AT114" s="6593">
        <f t="shared" si="34"/>
        <v>395.65</v>
      </c>
      <c r="AU114" s="3164"/>
      <c r="AV114" s="147"/>
      <c r="AW114" s="799"/>
      <c r="AX114" s="349">
        <f t="shared" si="35"/>
        <v>395.65</v>
      </c>
      <c r="AY114" s="3164"/>
      <c r="AZ114" s="147"/>
      <c r="BA114" s="2449"/>
      <c r="BB114" s="2449">
        <f t="shared" ref="BB114" si="45">AR114+AV114+AZ114</f>
        <v>0</v>
      </c>
      <c r="BC114" s="629"/>
      <c r="BD114" s="629">
        <f t="shared" ref="BD114" si="46">AN114+BB114</f>
        <v>395.65</v>
      </c>
      <c r="BE114" s="6593"/>
      <c r="BF114" s="6593">
        <f t="shared" ref="BF114" si="47">+AX114+AZ114</f>
        <v>395.65</v>
      </c>
      <c r="BG114" s="1137"/>
      <c r="BH114" s="4234">
        <f t="shared" si="22"/>
        <v>0</v>
      </c>
      <c r="BI114" s="4234">
        <f t="shared" si="23"/>
        <v>0</v>
      </c>
      <c r="BJ114" s="25">
        <f t="shared" si="24"/>
        <v>0</v>
      </c>
      <c r="BK114" s="25">
        <f t="shared" si="25"/>
        <v>0</v>
      </c>
      <c r="BL114" s="25">
        <f t="shared" si="26"/>
        <v>0</v>
      </c>
      <c r="BM114" s="25">
        <f t="shared" si="27"/>
        <v>0</v>
      </c>
    </row>
    <row r="115" spans="1:65" ht="16.5" hidden="1" thickBot="1" x14ac:dyDescent="0.3">
      <c r="B115" s="797" t="s">
        <v>844</v>
      </c>
      <c r="C115" s="2880" t="s">
        <v>995</v>
      </c>
      <c r="D115" s="2881" t="s">
        <v>50</v>
      </c>
      <c r="E115" s="800"/>
      <c r="F115" s="7594"/>
      <c r="G115" s="800"/>
      <c r="H115" s="6209">
        <f>516.6-4.1</f>
        <v>512.5</v>
      </c>
      <c r="I115" s="3166"/>
      <c r="J115" s="41">
        <f t="shared" si="28"/>
        <v>512.5</v>
      </c>
      <c r="K115" s="800"/>
      <c r="L115" s="5722"/>
      <c r="M115" s="848"/>
      <c r="N115" s="586">
        <f t="shared" si="29"/>
        <v>512.5</v>
      </c>
      <c r="O115" s="800"/>
      <c r="P115" s="5857"/>
      <c r="Q115" s="799"/>
      <c r="R115" s="349">
        <f t="shared" si="30"/>
        <v>512.5</v>
      </c>
      <c r="S115" s="800"/>
      <c r="T115" s="5940"/>
      <c r="U115" s="799"/>
      <c r="V115" s="349">
        <f t="shared" si="31"/>
        <v>512.5</v>
      </c>
      <c r="W115" s="800"/>
      <c r="X115" s="6043"/>
      <c r="Y115" s="543"/>
      <c r="Z115" s="4598">
        <f t="shared" si="41"/>
        <v>0</v>
      </c>
      <c r="AA115" s="629"/>
      <c r="AB115" s="4599">
        <f t="shared" si="42"/>
        <v>512.5</v>
      </c>
      <c r="AC115" s="800"/>
      <c r="AD115" s="6169"/>
      <c r="AE115" s="799"/>
      <c r="AF115" s="349">
        <f t="shared" si="32"/>
        <v>512.5</v>
      </c>
      <c r="AG115" s="800"/>
      <c r="AH115" s="6337"/>
      <c r="AI115" s="799"/>
      <c r="AJ115" s="349">
        <f t="shared" si="40"/>
        <v>512.5</v>
      </c>
      <c r="AK115" s="800"/>
      <c r="AL115" s="3172">
        <f>227.55-10.25</f>
        <v>217.3</v>
      </c>
      <c r="AM115" s="2449"/>
      <c r="AN115" s="4598">
        <f t="shared" si="37"/>
        <v>217.3</v>
      </c>
      <c r="AO115" s="2236"/>
      <c r="AP115" s="349">
        <f t="shared" si="33"/>
        <v>729.8</v>
      </c>
      <c r="AQ115" s="800"/>
      <c r="AR115" s="4979"/>
      <c r="AS115" s="799"/>
      <c r="AT115" s="4975">
        <f t="shared" si="34"/>
        <v>729.8</v>
      </c>
      <c r="AU115" s="800"/>
      <c r="AV115" s="6852"/>
      <c r="AW115" s="799"/>
      <c r="AX115" s="349">
        <f t="shared" si="35"/>
        <v>729.8</v>
      </c>
      <c r="AY115" s="800"/>
      <c r="AZ115" s="7008">
        <f>526.85-2.05-6.15</f>
        <v>518.65000000000009</v>
      </c>
      <c r="BA115" s="2449"/>
      <c r="BB115" s="2449">
        <f t="shared" si="36"/>
        <v>518.65000000000009</v>
      </c>
      <c r="BC115" s="629"/>
      <c r="BD115" s="629">
        <f t="shared" si="38"/>
        <v>735.95</v>
      </c>
      <c r="BE115" s="2236"/>
      <c r="BF115" s="5106">
        <f t="shared" si="39"/>
        <v>1248.45</v>
      </c>
      <c r="BG115" s="1137"/>
      <c r="BH115" s="4234">
        <f t="shared" si="22"/>
        <v>0</v>
      </c>
      <c r="BI115" s="4234">
        <f t="shared" si="23"/>
        <v>0</v>
      </c>
      <c r="BJ115" s="25">
        <f t="shared" si="24"/>
        <v>0</v>
      </c>
      <c r="BK115" s="25">
        <f t="shared" si="25"/>
        <v>0</v>
      </c>
      <c r="BL115" s="25">
        <f t="shared" si="26"/>
        <v>0</v>
      </c>
      <c r="BM115" s="25">
        <f t="shared" si="27"/>
        <v>0</v>
      </c>
    </row>
    <row r="116" spans="1:65" s="4233" customFormat="1" ht="16.5" hidden="1" thickBot="1" x14ac:dyDescent="0.3">
      <c r="B116" s="4286" t="s">
        <v>844</v>
      </c>
      <c r="C116" s="4287" t="s">
        <v>1395</v>
      </c>
      <c r="D116" s="3434" t="s">
        <v>50</v>
      </c>
      <c r="E116" s="4417"/>
      <c r="F116" s="1134"/>
      <c r="G116" s="4288"/>
      <c r="H116" s="6208"/>
      <c r="I116" s="4289"/>
      <c r="J116" s="41">
        <f t="shared" si="28"/>
        <v>0</v>
      </c>
      <c r="K116" s="4288"/>
      <c r="L116" s="5721"/>
      <c r="M116" s="3123"/>
      <c r="N116" s="586">
        <f t="shared" si="29"/>
        <v>0</v>
      </c>
      <c r="O116" s="4288"/>
      <c r="P116" s="5856"/>
      <c r="Q116" s="3166"/>
      <c r="R116" s="349">
        <f t="shared" si="30"/>
        <v>0</v>
      </c>
      <c r="S116" s="4288"/>
      <c r="T116" s="5939"/>
      <c r="U116" s="3166"/>
      <c r="V116" s="349">
        <f t="shared" si="31"/>
        <v>0</v>
      </c>
      <c r="W116" s="4288"/>
      <c r="X116" s="6042"/>
      <c r="Y116" s="2886"/>
      <c r="Z116" s="4598">
        <f t="shared" si="41"/>
        <v>0</v>
      </c>
      <c r="AA116" s="629"/>
      <c r="AB116" s="4599">
        <f t="shared" si="42"/>
        <v>0</v>
      </c>
      <c r="AC116" s="4288"/>
      <c r="AD116" s="6168"/>
      <c r="AE116" s="3166"/>
      <c r="AF116" s="349">
        <f t="shared" si="32"/>
        <v>0</v>
      </c>
      <c r="AG116" s="4288"/>
      <c r="AH116" s="6336"/>
      <c r="AI116" s="3166"/>
      <c r="AJ116" s="349">
        <f t="shared" si="40"/>
        <v>0</v>
      </c>
      <c r="AK116" s="4288"/>
      <c r="AL116" s="6599"/>
      <c r="AM116" s="2886"/>
      <c r="AN116" s="4598">
        <f t="shared" si="37"/>
        <v>0</v>
      </c>
      <c r="AO116" s="4414"/>
      <c r="AP116" s="349">
        <f t="shared" si="33"/>
        <v>0</v>
      </c>
      <c r="AQ116" s="4417"/>
      <c r="AR116" s="1134"/>
      <c r="AS116" s="3166"/>
      <c r="AT116" s="4975">
        <f t="shared" si="34"/>
        <v>0</v>
      </c>
      <c r="AU116" s="4417"/>
      <c r="AV116" s="1134"/>
      <c r="AW116" s="3166"/>
      <c r="AX116" s="349">
        <f t="shared" si="35"/>
        <v>0</v>
      </c>
      <c r="AY116" s="4417"/>
      <c r="AZ116" s="1134"/>
      <c r="BA116" s="2886"/>
      <c r="BB116" s="2449">
        <f t="shared" si="36"/>
        <v>0</v>
      </c>
      <c r="BC116" s="4416"/>
      <c r="BD116" s="629">
        <f t="shared" si="38"/>
        <v>0</v>
      </c>
      <c r="BE116" s="4414"/>
      <c r="BF116" s="5106">
        <f t="shared" si="39"/>
        <v>0</v>
      </c>
      <c r="BG116" s="1137"/>
      <c r="BH116" s="4234">
        <f t="shared" si="22"/>
        <v>0</v>
      </c>
      <c r="BI116" s="4234">
        <f t="shared" si="23"/>
        <v>0</v>
      </c>
      <c r="BJ116" s="25">
        <f t="shared" si="24"/>
        <v>0</v>
      </c>
      <c r="BK116" s="25">
        <f t="shared" si="25"/>
        <v>0</v>
      </c>
      <c r="BL116" s="25">
        <f t="shared" si="26"/>
        <v>0</v>
      </c>
      <c r="BM116" s="25">
        <f t="shared" si="27"/>
        <v>0</v>
      </c>
    </row>
    <row r="117" spans="1:65" ht="16.5" hidden="1" thickBot="1" x14ac:dyDescent="0.3">
      <c r="B117" s="3157" t="s">
        <v>844</v>
      </c>
      <c r="C117" s="3158" t="s">
        <v>1397</v>
      </c>
      <c r="D117" s="3159" t="s">
        <v>50</v>
      </c>
      <c r="E117" s="3167"/>
      <c r="F117" s="105"/>
      <c r="G117" s="3167"/>
      <c r="H117" s="105"/>
      <c r="I117" s="3168"/>
      <c r="J117" s="41">
        <f t="shared" si="28"/>
        <v>0</v>
      </c>
      <c r="K117" s="3167"/>
      <c r="L117" s="105"/>
      <c r="M117" s="848"/>
      <c r="N117" s="586">
        <f t="shared" si="29"/>
        <v>0</v>
      </c>
      <c r="O117" s="3167"/>
      <c r="P117" s="105"/>
      <c r="Q117" s="799"/>
      <c r="R117" s="349">
        <f t="shared" si="30"/>
        <v>0</v>
      </c>
      <c r="S117" s="3167"/>
      <c r="T117" s="105"/>
      <c r="U117" s="799"/>
      <c r="V117" s="349">
        <f t="shared" si="31"/>
        <v>0</v>
      </c>
      <c r="W117" s="3167"/>
      <c r="X117" s="105"/>
      <c r="Y117" s="543"/>
      <c r="Z117" s="4598">
        <f t="shared" si="41"/>
        <v>0</v>
      </c>
      <c r="AA117" s="629"/>
      <c r="AB117" s="4599">
        <f t="shared" si="42"/>
        <v>0</v>
      </c>
      <c r="AC117" s="3167"/>
      <c r="AD117" s="105"/>
      <c r="AE117" s="799"/>
      <c r="AF117" s="349">
        <f t="shared" si="32"/>
        <v>0</v>
      </c>
      <c r="AG117" s="3167"/>
      <c r="AH117" s="105"/>
      <c r="AI117" s="799"/>
      <c r="AJ117" s="349">
        <f t="shared" si="40"/>
        <v>0</v>
      </c>
      <c r="AK117" s="3167"/>
      <c r="AL117" s="105"/>
      <c r="AM117" s="2449"/>
      <c r="AN117" s="4598">
        <f t="shared" si="37"/>
        <v>0</v>
      </c>
      <c r="AO117" s="2236"/>
      <c r="AP117" s="349">
        <f t="shared" si="33"/>
        <v>0</v>
      </c>
      <c r="AQ117" s="3167"/>
      <c r="AR117" s="105"/>
      <c r="AS117" s="799"/>
      <c r="AT117" s="4975">
        <f t="shared" si="34"/>
        <v>0</v>
      </c>
      <c r="AU117" s="3167"/>
      <c r="AV117" s="105"/>
      <c r="AW117" s="799"/>
      <c r="AX117" s="349">
        <f t="shared" si="35"/>
        <v>0</v>
      </c>
      <c r="AY117" s="3167"/>
      <c r="AZ117" s="105"/>
      <c r="BA117" s="2449"/>
      <c r="BB117" s="2449">
        <f t="shared" si="36"/>
        <v>0</v>
      </c>
      <c r="BC117" s="629"/>
      <c r="BD117" s="629">
        <f t="shared" si="38"/>
        <v>0</v>
      </c>
      <c r="BE117" s="2236"/>
      <c r="BF117" s="5106">
        <f t="shared" si="39"/>
        <v>0</v>
      </c>
      <c r="BG117" s="1137"/>
      <c r="BH117" s="4234">
        <f t="shared" si="22"/>
        <v>0</v>
      </c>
      <c r="BI117" s="4234">
        <f t="shared" si="23"/>
        <v>0</v>
      </c>
      <c r="BJ117" s="25">
        <f t="shared" si="24"/>
        <v>0</v>
      </c>
      <c r="BK117" s="25">
        <f t="shared" si="25"/>
        <v>0</v>
      </c>
      <c r="BL117" s="25">
        <f t="shared" si="26"/>
        <v>0</v>
      </c>
      <c r="BM117" s="25">
        <f t="shared" si="27"/>
        <v>0</v>
      </c>
    </row>
    <row r="118" spans="1:65" ht="16.5" hidden="1" thickBot="1" x14ac:dyDescent="0.3">
      <c r="B118" s="3153" t="s">
        <v>827</v>
      </c>
      <c r="C118" s="3154" t="s">
        <v>994</v>
      </c>
      <c r="D118" s="3155" t="s">
        <v>50</v>
      </c>
      <c r="E118" s="3155"/>
      <c r="F118" s="147"/>
      <c r="G118" s="3155"/>
      <c r="H118" s="147">
        <v>559.65</v>
      </c>
      <c r="I118" s="3165"/>
      <c r="J118" s="41">
        <f t="shared" si="28"/>
        <v>559.65</v>
      </c>
      <c r="K118" s="3155"/>
      <c r="L118" s="147">
        <v>1086.5</v>
      </c>
      <c r="M118" s="848"/>
      <c r="N118" s="586">
        <f t="shared" si="29"/>
        <v>1646.15</v>
      </c>
      <c r="O118" s="3155"/>
      <c r="P118" s="147"/>
      <c r="Q118" s="799"/>
      <c r="R118" s="349">
        <f t="shared" si="30"/>
        <v>1646.15</v>
      </c>
      <c r="S118" s="3155"/>
      <c r="T118" s="147"/>
      <c r="U118" s="799"/>
      <c r="V118" s="349">
        <f t="shared" si="31"/>
        <v>1646.15</v>
      </c>
      <c r="W118" s="3155"/>
      <c r="X118" s="147"/>
      <c r="Y118" s="543"/>
      <c r="Z118" s="4598">
        <f t="shared" si="41"/>
        <v>0</v>
      </c>
      <c r="AA118" s="629"/>
      <c r="AB118" s="4599">
        <f t="shared" si="42"/>
        <v>1646.15</v>
      </c>
      <c r="AC118" s="3155"/>
      <c r="AD118" s="147"/>
      <c r="AE118" s="799"/>
      <c r="AF118" s="349">
        <f t="shared" si="32"/>
        <v>1646.15</v>
      </c>
      <c r="AG118" s="3155"/>
      <c r="AH118" s="147"/>
      <c r="AI118" s="799"/>
      <c r="AJ118" s="349">
        <f t="shared" si="40"/>
        <v>1646.15</v>
      </c>
      <c r="AK118" s="3155"/>
      <c r="AL118" s="147"/>
      <c r="AM118" s="2449"/>
      <c r="AN118" s="4598">
        <f t="shared" si="37"/>
        <v>0</v>
      </c>
      <c r="AO118" s="2236"/>
      <c r="AP118" s="349">
        <f t="shared" si="33"/>
        <v>1646.15</v>
      </c>
      <c r="AQ118" s="3155"/>
      <c r="AR118" s="147"/>
      <c r="AS118" s="799"/>
      <c r="AT118" s="4975">
        <f t="shared" si="34"/>
        <v>1646.15</v>
      </c>
      <c r="AU118" s="3155"/>
      <c r="AV118" s="147"/>
      <c r="AW118" s="799"/>
      <c r="AX118" s="349">
        <f t="shared" si="35"/>
        <v>1646.15</v>
      </c>
      <c r="AY118" s="3155"/>
      <c r="AZ118" s="147"/>
      <c r="BA118" s="2449"/>
      <c r="BB118" s="2449">
        <f t="shared" si="36"/>
        <v>0</v>
      </c>
      <c r="BC118" s="629"/>
      <c r="BD118" s="629">
        <f t="shared" si="38"/>
        <v>0</v>
      </c>
      <c r="BE118" s="2236"/>
      <c r="BF118" s="5106">
        <f t="shared" si="39"/>
        <v>1646.15</v>
      </c>
      <c r="BG118" s="1137"/>
      <c r="BH118" s="4234">
        <f t="shared" si="22"/>
        <v>0</v>
      </c>
      <c r="BI118" s="4234">
        <f t="shared" si="23"/>
        <v>0</v>
      </c>
      <c r="BJ118" s="25">
        <f t="shared" si="24"/>
        <v>0</v>
      </c>
      <c r="BK118" s="25">
        <f t="shared" si="25"/>
        <v>0</v>
      </c>
      <c r="BL118" s="25">
        <f t="shared" si="26"/>
        <v>0</v>
      </c>
      <c r="BM118" s="25">
        <f t="shared" si="27"/>
        <v>0</v>
      </c>
    </row>
    <row r="119" spans="1:65" ht="16.5" hidden="1" thickBot="1" x14ac:dyDescent="0.3">
      <c r="A119" s="2444"/>
      <c r="B119" s="797" t="s">
        <v>827</v>
      </c>
      <c r="C119" s="2880" t="s">
        <v>935</v>
      </c>
      <c r="D119" s="2881" t="s">
        <v>50</v>
      </c>
      <c r="E119" s="1605"/>
      <c r="F119" s="7594"/>
      <c r="G119" s="1605"/>
      <c r="H119" s="6209"/>
      <c r="I119" s="3166"/>
      <c r="J119" s="41">
        <f t="shared" si="28"/>
        <v>0</v>
      </c>
      <c r="K119" s="1605"/>
      <c r="L119" s="5722"/>
      <c r="M119" s="848"/>
      <c r="N119" s="586">
        <f t="shared" si="29"/>
        <v>0</v>
      </c>
      <c r="O119" s="1605"/>
      <c r="P119" s="5857"/>
      <c r="Q119" s="799"/>
      <c r="R119" s="349">
        <f t="shared" si="30"/>
        <v>0</v>
      </c>
      <c r="S119" s="1605"/>
      <c r="T119" s="5940"/>
      <c r="U119" s="799"/>
      <c r="V119" s="349">
        <f t="shared" si="31"/>
        <v>0</v>
      </c>
      <c r="W119" s="1605"/>
      <c r="X119" s="6043"/>
      <c r="Y119" s="2445"/>
      <c r="Z119" s="4598">
        <f t="shared" si="41"/>
        <v>0</v>
      </c>
      <c r="AA119" s="629"/>
      <c r="AB119" s="4599">
        <f t="shared" si="42"/>
        <v>0</v>
      </c>
      <c r="AC119" s="1605"/>
      <c r="AD119" s="6169"/>
      <c r="AE119" s="799"/>
      <c r="AF119" s="349">
        <f t="shared" si="32"/>
        <v>0</v>
      </c>
      <c r="AG119" s="1605"/>
      <c r="AH119" s="6337"/>
      <c r="AI119" s="799"/>
      <c r="AJ119" s="4635">
        <f t="shared" si="40"/>
        <v>0</v>
      </c>
      <c r="AK119" s="1605"/>
      <c r="AL119" s="6600"/>
      <c r="AM119" s="2449"/>
      <c r="AN119" s="4598">
        <f t="shared" si="37"/>
        <v>0</v>
      </c>
      <c r="AO119" s="2236"/>
      <c r="AP119" s="349">
        <f t="shared" si="33"/>
        <v>0</v>
      </c>
      <c r="AQ119" s="1605"/>
      <c r="AR119" s="4979"/>
      <c r="AS119" s="799"/>
      <c r="AT119" s="4975">
        <f t="shared" si="34"/>
        <v>0</v>
      </c>
      <c r="AU119" s="1605"/>
      <c r="AV119" s="6852"/>
      <c r="AW119" s="799"/>
      <c r="AX119" s="349">
        <f t="shared" si="35"/>
        <v>0</v>
      </c>
      <c r="AY119" s="1605"/>
      <c r="AZ119" s="7008"/>
      <c r="BA119" s="2449"/>
      <c r="BB119" s="2449">
        <f t="shared" si="36"/>
        <v>0</v>
      </c>
      <c r="BC119" s="629"/>
      <c r="BD119" s="629">
        <f t="shared" si="38"/>
        <v>0</v>
      </c>
      <c r="BE119" s="2236"/>
      <c r="BF119" s="5106">
        <f t="shared" si="39"/>
        <v>0</v>
      </c>
      <c r="BG119" s="1137"/>
      <c r="BH119" s="4234">
        <f t="shared" si="22"/>
        <v>0</v>
      </c>
      <c r="BI119" s="4234">
        <f t="shared" si="23"/>
        <v>0</v>
      </c>
      <c r="BJ119" s="25">
        <f t="shared" si="24"/>
        <v>0</v>
      </c>
      <c r="BK119" s="25">
        <f t="shared" si="25"/>
        <v>0</v>
      </c>
      <c r="BL119" s="25">
        <f t="shared" si="26"/>
        <v>0</v>
      </c>
      <c r="BM119" s="25">
        <f t="shared" si="27"/>
        <v>0</v>
      </c>
    </row>
    <row r="120" spans="1:65" ht="16.5" hidden="1" thickBot="1" x14ac:dyDescent="0.3">
      <c r="B120" s="797" t="s">
        <v>827</v>
      </c>
      <c r="C120" s="2880" t="s">
        <v>995</v>
      </c>
      <c r="D120" s="2881" t="s">
        <v>50</v>
      </c>
      <c r="E120" s="800"/>
      <c r="F120" s="7594"/>
      <c r="G120" s="800"/>
      <c r="H120" s="6209">
        <v>922.49999999999989</v>
      </c>
      <c r="I120" s="3166"/>
      <c r="J120" s="41">
        <f t="shared" si="28"/>
        <v>922.49999999999989</v>
      </c>
      <c r="K120" s="800"/>
      <c r="L120" s="5722">
        <v>990.15</v>
      </c>
      <c r="M120" s="848"/>
      <c r="N120" s="586">
        <f t="shared" si="29"/>
        <v>1912.6499999999999</v>
      </c>
      <c r="O120" s="800"/>
      <c r="P120" s="5857"/>
      <c r="Q120" s="799"/>
      <c r="R120" s="349">
        <f t="shared" si="30"/>
        <v>1912.6499999999999</v>
      </c>
      <c r="S120" s="800"/>
      <c r="T120" s="5940"/>
      <c r="U120" s="799"/>
      <c r="V120" s="349">
        <f t="shared" si="31"/>
        <v>1912.6499999999999</v>
      </c>
      <c r="W120" s="800"/>
      <c r="X120" s="6043"/>
      <c r="Y120" s="543"/>
      <c r="Z120" s="4598">
        <f t="shared" si="41"/>
        <v>0</v>
      </c>
      <c r="AA120" s="629"/>
      <c r="AB120" s="4599">
        <f t="shared" si="42"/>
        <v>1912.6499999999999</v>
      </c>
      <c r="AC120" s="800"/>
      <c r="AD120" s="6169"/>
      <c r="AE120" s="799"/>
      <c r="AF120" s="349">
        <f t="shared" si="32"/>
        <v>1912.6499999999999</v>
      </c>
      <c r="AG120" s="800"/>
      <c r="AH120" s="6337"/>
      <c r="AI120" s="799"/>
      <c r="AJ120" s="349">
        <f t="shared" si="40"/>
        <v>1912.6499999999999</v>
      </c>
      <c r="AK120" s="800"/>
      <c r="AL120" s="6600"/>
      <c r="AM120" s="2449"/>
      <c r="AN120" s="4598">
        <f t="shared" si="37"/>
        <v>0</v>
      </c>
      <c r="AO120" s="2236"/>
      <c r="AP120" s="349">
        <f t="shared" si="33"/>
        <v>1912.6499999999999</v>
      </c>
      <c r="AQ120" s="800"/>
      <c r="AR120" s="4979"/>
      <c r="AS120" s="799"/>
      <c r="AT120" s="4975">
        <f t="shared" si="34"/>
        <v>1912.6499999999999</v>
      </c>
      <c r="AU120" s="800"/>
      <c r="AV120" s="6852"/>
      <c r="AW120" s="799"/>
      <c r="AX120" s="349">
        <f t="shared" si="35"/>
        <v>1912.6499999999999</v>
      </c>
      <c r="AY120" s="800"/>
      <c r="AZ120" s="7008"/>
      <c r="BA120" s="2449"/>
      <c r="BB120" s="2449">
        <f t="shared" si="36"/>
        <v>0</v>
      </c>
      <c r="BC120" s="629"/>
      <c r="BD120" s="629">
        <f t="shared" si="38"/>
        <v>0</v>
      </c>
      <c r="BE120" s="2236"/>
      <c r="BF120" s="5106">
        <f t="shared" si="39"/>
        <v>1912.6499999999999</v>
      </c>
      <c r="BG120" s="1137"/>
      <c r="BH120" s="4234">
        <f t="shared" si="22"/>
        <v>0</v>
      </c>
      <c r="BI120" s="4234">
        <f t="shared" si="23"/>
        <v>0</v>
      </c>
      <c r="BJ120" s="25">
        <f t="shared" si="24"/>
        <v>0</v>
      </c>
      <c r="BK120" s="25">
        <f t="shared" si="25"/>
        <v>0</v>
      </c>
      <c r="BL120" s="25">
        <f t="shared" si="26"/>
        <v>0</v>
      </c>
      <c r="BM120" s="25">
        <f t="shared" si="27"/>
        <v>0</v>
      </c>
    </row>
    <row r="121" spans="1:65" s="4233" customFormat="1" ht="16.5" hidden="1" thickBot="1" x14ac:dyDescent="0.3">
      <c r="B121" s="4286" t="s">
        <v>827</v>
      </c>
      <c r="C121" s="4418" t="s">
        <v>1395</v>
      </c>
      <c r="D121" s="4419" t="s">
        <v>50</v>
      </c>
      <c r="E121" s="4420"/>
      <c r="F121" s="1134"/>
      <c r="G121" s="4420"/>
      <c r="H121" s="1134"/>
      <c r="I121" s="4308"/>
      <c r="J121" s="41">
        <f t="shared" si="28"/>
        <v>0</v>
      </c>
      <c r="K121" s="4420"/>
      <c r="L121" s="1134"/>
      <c r="M121" s="3123"/>
      <c r="N121" s="586">
        <f t="shared" si="29"/>
        <v>0</v>
      </c>
      <c r="O121" s="4420"/>
      <c r="P121" s="1134"/>
      <c r="Q121" s="3166"/>
      <c r="R121" s="349">
        <f t="shared" si="30"/>
        <v>0</v>
      </c>
      <c r="S121" s="4420"/>
      <c r="T121" s="1134"/>
      <c r="U121" s="3166"/>
      <c r="V121" s="349">
        <f t="shared" si="31"/>
        <v>0</v>
      </c>
      <c r="W121" s="4420"/>
      <c r="X121" s="1134"/>
      <c r="Y121" s="2886"/>
      <c r="Z121" s="4598">
        <f t="shared" si="41"/>
        <v>0</v>
      </c>
      <c r="AA121" s="629"/>
      <c r="AB121" s="4599">
        <f t="shared" si="42"/>
        <v>0</v>
      </c>
      <c r="AC121" s="4420"/>
      <c r="AD121" s="1134"/>
      <c r="AE121" s="3166"/>
      <c r="AF121" s="349">
        <f t="shared" si="32"/>
        <v>0</v>
      </c>
      <c r="AG121" s="4420"/>
      <c r="AH121" s="1134"/>
      <c r="AI121" s="3166"/>
      <c r="AJ121" s="349">
        <f t="shared" si="40"/>
        <v>0</v>
      </c>
      <c r="AK121" s="4420"/>
      <c r="AL121" s="1134"/>
      <c r="AM121" s="2886"/>
      <c r="AN121" s="4598">
        <f t="shared" si="37"/>
        <v>0</v>
      </c>
      <c r="AO121" s="4414"/>
      <c r="AP121" s="349">
        <f t="shared" si="33"/>
        <v>0</v>
      </c>
      <c r="AQ121" s="4420"/>
      <c r="AR121" s="1134"/>
      <c r="AS121" s="3166"/>
      <c r="AT121" s="4975">
        <f t="shared" si="34"/>
        <v>0</v>
      </c>
      <c r="AU121" s="4420"/>
      <c r="AV121" s="1134"/>
      <c r="AW121" s="3166"/>
      <c r="AX121" s="349">
        <f t="shared" si="35"/>
        <v>0</v>
      </c>
      <c r="AY121" s="4420"/>
      <c r="AZ121" s="1134"/>
      <c r="BA121" s="2886"/>
      <c r="BB121" s="2449">
        <f t="shared" si="36"/>
        <v>0</v>
      </c>
      <c r="BC121" s="4416"/>
      <c r="BD121" s="629">
        <f t="shared" si="38"/>
        <v>0</v>
      </c>
      <c r="BE121" s="4414"/>
      <c r="BF121" s="5106">
        <f t="shared" si="39"/>
        <v>0</v>
      </c>
      <c r="BG121" s="1137"/>
      <c r="BH121" s="4234">
        <f t="shared" si="22"/>
        <v>0</v>
      </c>
      <c r="BI121" s="4234">
        <f t="shared" si="23"/>
        <v>0</v>
      </c>
      <c r="BJ121" s="25">
        <f t="shared" si="24"/>
        <v>0</v>
      </c>
      <c r="BK121" s="25">
        <f t="shared" si="25"/>
        <v>0</v>
      </c>
      <c r="BL121" s="25">
        <f t="shared" si="26"/>
        <v>0</v>
      </c>
      <c r="BM121" s="25">
        <f t="shared" si="27"/>
        <v>0</v>
      </c>
    </row>
    <row r="122" spans="1:65" ht="16.5" hidden="1" thickBot="1" x14ac:dyDescent="0.3">
      <c r="B122" s="3157" t="s">
        <v>827</v>
      </c>
      <c r="C122" s="3158" t="s">
        <v>1397</v>
      </c>
      <c r="D122" s="3159" t="s">
        <v>50</v>
      </c>
      <c r="E122" s="3170"/>
      <c r="F122" s="105"/>
      <c r="G122" s="3170"/>
      <c r="H122" s="105"/>
      <c r="I122" s="3168"/>
      <c r="J122" s="41">
        <f t="shared" si="28"/>
        <v>0</v>
      </c>
      <c r="K122" s="3170"/>
      <c r="L122" s="105"/>
      <c r="M122" s="848"/>
      <c r="N122" s="586">
        <f t="shared" si="29"/>
        <v>0</v>
      </c>
      <c r="O122" s="3170"/>
      <c r="P122" s="105"/>
      <c r="Q122" s="799"/>
      <c r="R122" s="349">
        <f t="shared" si="30"/>
        <v>0</v>
      </c>
      <c r="S122" s="3170"/>
      <c r="T122" s="105"/>
      <c r="U122" s="799"/>
      <c r="V122" s="349">
        <f t="shared" si="31"/>
        <v>0</v>
      </c>
      <c r="W122" s="3170"/>
      <c r="X122" s="105"/>
      <c r="Y122" s="543"/>
      <c r="Z122" s="4598">
        <f t="shared" si="41"/>
        <v>0</v>
      </c>
      <c r="AA122" s="629"/>
      <c r="AB122" s="4599">
        <f t="shared" si="42"/>
        <v>0</v>
      </c>
      <c r="AC122" s="3170"/>
      <c r="AD122" s="105"/>
      <c r="AE122" s="799"/>
      <c r="AF122" s="349">
        <f t="shared" si="32"/>
        <v>0</v>
      </c>
      <c r="AG122" s="3170"/>
      <c r="AH122" s="105"/>
      <c r="AI122" s="799"/>
      <c r="AJ122" s="349">
        <f t="shared" si="40"/>
        <v>0</v>
      </c>
      <c r="AK122" s="3170"/>
      <c r="AL122" s="105"/>
      <c r="AM122" s="2449"/>
      <c r="AN122" s="4598">
        <f t="shared" si="37"/>
        <v>0</v>
      </c>
      <c r="AO122" s="2236"/>
      <c r="AP122" s="349">
        <f t="shared" si="33"/>
        <v>0</v>
      </c>
      <c r="AQ122" s="3170"/>
      <c r="AR122" s="105"/>
      <c r="AS122" s="799"/>
      <c r="AT122" s="4975">
        <f t="shared" si="34"/>
        <v>0</v>
      </c>
      <c r="AU122" s="3170"/>
      <c r="AV122" s="105"/>
      <c r="AW122" s="799"/>
      <c r="AX122" s="349">
        <f t="shared" si="35"/>
        <v>0</v>
      </c>
      <c r="AY122" s="3170"/>
      <c r="AZ122" s="105"/>
      <c r="BA122" s="2449"/>
      <c r="BB122" s="2449">
        <f t="shared" ref="BB122:BB157" si="48">AR122+AV122+AZ122</f>
        <v>0</v>
      </c>
      <c r="BC122" s="629"/>
      <c r="BD122" s="629">
        <f t="shared" si="38"/>
        <v>0</v>
      </c>
      <c r="BE122" s="2236"/>
      <c r="BF122" s="5106">
        <f t="shared" si="39"/>
        <v>0</v>
      </c>
      <c r="BG122" s="1137"/>
      <c r="BH122" s="4234">
        <f t="shared" si="22"/>
        <v>0</v>
      </c>
      <c r="BI122" s="4234">
        <f t="shared" si="23"/>
        <v>0</v>
      </c>
      <c r="BJ122" s="25">
        <f t="shared" si="24"/>
        <v>0</v>
      </c>
      <c r="BK122" s="25">
        <f t="shared" si="25"/>
        <v>0</v>
      </c>
      <c r="BL122" s="25">
        <f t="shared" si="26"/>
        <v>0</v>
      </c>
      <c r="BM122" s="25">
        <f t="shared" si="27"/>
        <v>0</v>
      </c>
    </row>
    <row r="123" spans="1:65" s="4487" customFormat="1" ht="16.5" hidden="1" thickBot="1" x14ac:dyDescent="0.3">
      <c r="B123" s="5734" t="s">
        <v>1989</v>
      </c>
      <c r="C123" s="5735" t="s">
        <v>1221</v>
      </c>
      <c r="D123" s="5634" t="s">
        <v>50</v>
      </c>
      <c r="E123" s="5740"/>
      <c r="F123" s="7591"/>
      <c r="G123" s="5740"/>
      <c r="H123" s="6205"/>
      <c r="I123" s="3831"/>
      <c r="J123" s="41">
        <f t="shared" si="28"/>
        <v>0</v>
      </c>
      <c r="K123" s="5740"/>
      <c r="L123" s="5723">
        <v>2436.8500000000004</v>
      </c>
      <c r="M123" s="5737"/>
      <c r="N123" s="586">
        <f t="shared" si="29"/>
        <v>2436.8500000000004</v>
      </c>
      <c r="O123" s="5740"/>
      <c r="P123" s="5854">
        <v>1510.85</v>
      </c>
      <c r="Q123" s="5738"/>
      <c r="R123" s="349">
        <f t="shared" si="30"/>
        <v>3947.7000000000003</v>
      </c>
      <c r="S123" s="5740"/>
      <c r="T123" s="5936"/>
      <c r="U123" s="5738"/>
      <c r="V123" s="349">
        <f t="shared" si="31"/>
        <v>3947.7000000000003</v>
      </c>
      <c r="W123" s="5740"/>
      <c r="X123" s="6040"/>
      <c r="Y123" s="5660"/>
      <c r="Z123" s="4598">
        <f t="shared" si="41"/>
        <v>1510.85</v>
      </c>
      <c r="AA123" s="5661"/>
      <c r="AB123" s="4599">
        <f t="shared" si="42"/>
        <v>3947.7000000000003</v>
      </c>
      <c r="AC123" s="5740"/>
      <c r="AD123" s="6166"/>
      <c r="AE123" s="5738"/>
      <c r="AF123" s="349">
        <f t="shared" si="32"/>
        <v>3947.7000000000003</v>
      </c>
      <c r="AG123" s="5740"/>
      <c r="AH123" s="6330"/>
      <c r="AI123" s="5738"/>
      <c r="AJ123" s="349">
        <f t="shared" si="40"/>
        <v>3947.7000000000003</v>
      </c>
      <c r="AK123" s="5740"/>
      <c r="AL123" s="6597"/>
      <c r="AM123" s="5660"/>
      <c r="AN123" s="4598">
        <f t="shared" si="37"/>
        <v>0</v>
      </c>
      <c r="AO123" s="5739"/>
      <c r="AP123" s="349">
        <f t="shared" si="33"/>
        <v>3947.7000000000003</v>
      </c>
      <c r="AQ123" s="5740"/>
      <c r="AR123" s="5723"/>
      <c r="AS123" s="5738"/>
      <c r="AT123" s="5739">
        <f t="shared" si="34"/>
        <v>3947.7000000000003</v>
      </c>
      <c r="AU123" s="5740"/>
      <c r="AV123" s="6848"/>
      <c r="AW123" s="5738"/>
      <c r="AX123" s="349">
        <f t="shared" si="35"/>
        <v>3947.7000000000003</v>
      </c>
      <c r="AY123" s="5740"/>
      <c r="AZ123" s="7004"/>
      <c r="BA123" s="5660"/>
      <c r="BB123" s="2449">
        <f t="shared" si="48"/>
        <v>0</v>
      </c>
      <c r="BC123" s="5661"/>
      <c r="BD123" s="5260">
        <f t="shared" si="38"/>
        <v>0</v>
      </c>
      <c r="BE123" s="5739"/>
      <c r="BF123" s="6995">
        <f t="shared" si="39"/>
        <v>3947.7000000000003</v>
      </c>
      <c r="BG123" s="1137"/>
      <c r="BH123" s="4234">
        <f t="shared" si="22"/>
        <v>0</v>
      </c>
      <c r="BI123" s="4234">
        <f t="shared" si="23"/>
        <v>0</v>
      </c>
      <c r="BJ123" s="25">
        <f t="shared" si="24"/>
        <v>0</v>
      </c>
      <c r="BK123" s="25">
        <f t="shared" si="25"/>
        <v>0</v>
      </c>
      <c r="BL123" s="25">
        <f t="shared" si="26"/>
        <v>0</v>
      </c>
      <c r="BM123" s="25">
        <f t="shared" si="27"/>
        <v>0</v>
      </c>
    </row>
    <row r="124" spans="1:65" s="4487" customFormat="1" ht="16.5" hidden="1" thickBot="1" x14ac:dyDescent="0.3">
      <c r="B124" s="5734" t="s">
        <v>1989</v>
      </c>
      <c r="C124" s="5735" t="s">
        <v>1988</v>
      </c>
      <c r="D124" s="5634" t="s">
        <v>50</v>
      </c>
      <c r="E124" s="5740"/>
      <c r="F124" s="7591"/>
      <c r="G124" s="5740"/>
      <c r="H124" s="6205"/>
      <c r="I124" s="3831"/>
      <c r="J124" s="41">
        <f t="shared" si="28"/>
        <v>0</v>
      </c>
      <c r="K124" s="5740"/>
      <c r="L124" s="5723">
        <v>2882.2999999999997</v>
      </c>
      <c r="M124" s="5737"/>
      <c r="N124" s="586">
        <f t="shared" si="29"/>
        <v>2882.2999999999997</v>
      </c>
      <c r="O124" s="5740"/>
      <c r="P124" s="5854">
        <v>9542.7500000000018</v>
      </c>
      <c r="Q124" s="5738"/>
      <c r="R124" s="349">
        <f t="shared" si="30"/>
        <v>12425.050000000001</v>
      </c>
      <c r="S124" s="5740"/>
      <c r="T124" s="5936"/>
      <c r="U124" s="5738"/>
      <c r="V124" s="349">
        <f t="shared" si="31"/>
        <v>12425.050000000001</v>
      </c>
      <c r="W124" s="5740"/>
      <c r="X124" s="6040"/>
      <c r="Y124" s="5660"/>
      <c r="Z124" s="4598">
        <f t="shared" si="41"/>
        <v>9542.7500000000018</v>
      </c>
      <c r="AA124" s="5661"/>
      <c r="AB124" s="4599">
        <f t="shared" si="42"/>
        <v>12425.050000000001</v>
      </c>
      <c r="AC124" s="5740"/>
      <c r="AD124" s="6166"/>
      <c r="AE124" s="5738"/>
      <c r="AF124" s="349">
        <f t="shared" si="32"/>
        <v>12425.050000000001</v>
      </c>
      <c r="AG124" s="5740"/>
      <c r="AH124" s="6330"/>
      <c r="AI124" s="5738"/>
      <c r="AJ124" s="349">
        <f t="shared" si="40"/>
        <v>12425.050000000001</v>
      </c>
      <c r="AK124" s="5740"/>
      <c r="AL124" s="6597"/>
      <c r="AM124" s="5660"/>
      <c r="AN124" s="4598">
        <f t="shared" si="37"/>
        <v>0</v>
      </c>
      <c r="AO124" s="5739"/>
      <c r="AP124" s="349">
        <f t="shared" si="33"/>
        <v>12425.050000000001</v>
      </c>
      <c r="AQ124" s="5740"/>
      <c r="AR124" s="5723"/>
      <c r="AS124" s="5738"/>
      <c r="AT124" s="5739">
        <f t="shared" si="34"/>
        <v>12425.050000000001</v>
      </c>
      <c r="AU124" s="5740"/>
      <c r="AV124" s="6848"/>
      <c r="AW124" s="5738"/>
      <c r="AX124" s="349">
        <f t="shared" si="35"/>
        <v>12425.050000000001</v>
      </c>
      <c r="AY124" s="5740"/>
      <c r="AZ124" s="7004"/>
      <c r="BA124" s="5660"/>
      <c r="BB124" s="2449">
        <f t="shared" si="48"/>
        <v>0</v>
      </c>
      <c r="BC124" s="5661"/>
      <c r="BD124" s="5260">
        <f t="shared" si="38"/>
        <v>0</v>
      </c>
      <c r="BE124" s="5739"/>
      <c r="BF124" s="6995">
        <f t="shared" si="39"/>
        <v>12425.050000000001</v>
      </c>
      <c r="BG124" s="1137"/>
      <c r="BH124" s="4234">
        <f t="shared" si="22"/>
        <v>0</v>
      </c>
      <c r="BI124" s="4234">
        <f t="shared" si="23"/>
        <v>0</v>
      </c>
      <c r="BJ124" s="25">
        <f t="shared" si="24"/>
        <v>0</v>
      </c>
      <c r="BK124" s="25">
        <f t="shared" si="25"/>
        <v>0</v>
      </c>
      <c r="BL124" s="25">
        <f t="shared" si="26"/>
        <v>0</v>
      </c>
      <c r="BM124" s="25">
        <f t="shared" si="27"/>
        <v>0</v>
      </c>
    </row>
    <row r="125" spans="1:65" ht="16.5" hidden="1" thickBot="1" x14ac:dyDescent="0.3">
      <c r="B125" s="3153" t="s">
        <v>835</v>
      </c>
      <c r="C125" s="3154" t="s">
        <v>1221</v>
      </c>
      <c r="D125" s="3155" t="s">
        <v>50</v>
      </c>
      <c r="E125" s="3164"/>
      <c r="F125" s="147"/>
      <c r="G125" s="3164"/>
      <c r="H125" s="147"/>
      <c r="I125" s="3165"/>
      <c r="J125" s="41">
        <f t="shared" si="28"/>
        <v>0</v>
      </c>
      <c r="K125" s="3164"/>
      <c r="L125" s="147">
        <f>3165.2-2.05</f>
        <v>3163.1499999999996</v>
      </c>
      <c r="M125" s="848"/>
      <c r="N125" s="586">
        <f t="shared" si="29"/>
        <v>3163.1499999999996</v>
      </c>
      <c r="O125" s="3164"/>
      <c r="P125" s="3175">
        <f>196.8-2.05</f>
        <v>194.75</v>
      </c>
      <c r="Q125" s="799"/>
      <c r="R125" s="349">
        <f t="shared" si="30"/>
        <v>3357.8999999999996</v>
      </c>
      <c r="S125" s="3164"/>
      <c r="T125" s="147"/>
      <c r="U125" s="799"/>
      <c r="V125" s="349">
        <f t="shared" si="31"/>
        <v>3357.8999999999996</v>
      </c>
      <c r="W125" s="3164"/>
      <c r="X125" s="147"/>
      <c r="Y125" s="543"/>
      <c r="Z125" s="4598">
        <f t="shared" si="41"/>
        <v>194.75</v>
      </c>
      <c r="AA125" s="629"/>
      <c r="AB125" s="4599">
        <f t="shared" si="42"/>
        <v>3357.8999999999996</v>
      </c>
      <c r="AC125" s="3164"/>
      <c r="AD125" s="147"/>
      <c r="AE125" s="799"/>
      <c r="AF125" s="349">
        <f t="shared" si="32"/>
        <v>3357.8999999999996</v>
      </c>
      <c r="AG125" s="3164"/>
      <c r="AH125" s="147"/>
      <c r="AI125" s="799"/>
      <c r="AJ125" s="349">
        <f t="shared" si="40"/>
        <v>3357.8999999999996</v>
      </c>
      <c r="AK125" s="3164"/>
      <c r="AL125" s="147"/>
      <c r="AM125" s="2449"/>
      <c r="AN125" s="4598">
        <f t="shared" si="37"/>
        <v>0</v>
      </c>
      <c r="AO125" s="2236"/>
      <c r="AP125" s="349">
        <f t="shared" si="33"/>
        <v>3357.8999999999996</v>
      </c>
      <c r="AQ125" s="3164"/>
      <c r="AR125" s="147"/>
      <c r="AS125" s="799"/>
      <c r="AT125" s="4975">
        <f t="shared" si="34"/>
        <v>3357.8999999999996</v>
      </c>
      <c r="AU125" s="3164"/>
      <c r="AV125" s="147"/>
      <c r="AW125" s="799"/>
      <c r="AX125" s="349">
        <f t="shared" si="35"/>
        <v>3357.8999999999996</v>
      </c>
      <c r="AY125" s="3164"/>
      <c r="AZ125" s="147"/>
      <c r="BA125" s="2449"/>
      <c r="BB125" s="2449">
        <f t="shared" si="48"/>
        <v>0</v>
      </c>
      <c r="BC125" s="629"/>
      <c r="BD125" s="629">
        <f t="shared" si="38"/>
        <v>0</v>
      </c>
      <c r="BE125" s="2236"/>
      <c r="BF125" s="2236">
        <f t="shared" ref="BF125:BF157" si="49">+AX125+AZ125</f>
        <v>3357.8999999999996</v>
      </c>
      <c r="BG125" s="1137"/>
      <c r="BH125" s="4234">
        <f t="shared" si="22"/>
        <v>0</v>
      </c>
      <c r="BI125" s="4234">
        <f t="shared" si="23"/>
        <v>0</v>
      </c>
      <c r="BJ125" s="25">
        <f t="shared" si="24"/>
        <v>0</v>
      </c>
      <c r="BK125" s="25">
        <f t="shared" si="25"/>
        <v>0</v>
      </c>
      <c r="BL125" s="25">
        <f t="shared" si="26"/>
        <v>0</v>
      </c>
      <c r="BM125" s="25">
        <f t="shared" si="27"/>
        <v>0</v>
      </c>
    </row>
    <row r="126" spans="1:65" s="4487" customFormat="1" ht="16.5" hidden="1" thickBot="1" x14ac:dyDescent="0.3">
      <c r="B126" s="5734" t="s">
        <v>835</v>
      </c>
      <c r="C126" s="5735" t="s">
        <v>1988</v>
      </c>
      <c r="D126" s="5634" t="s">
        <v>50</v>
      </c>
      <c r="E126" s="5736"/>
      <c r="F126" s="7591"/>
      <c r="G126" s="5736"/>
      <c r="H126" s="6205"/>
      <c r="I126" s="3831"/>
      <c r="J126" s="41">
        <f t="shared" ref="J126:J127" si="50">+F126+H126</f>
        <v>0</v>
      </c>
      <c r="K126" s="5736"/>
      <c r="L126" s="5723">
        <v>879.45000000000016</v>
      </c>
      <c r="M126" s="5737"/>
      <c r="N126" s="586">
        <f t="shared" si="29"/>
        <v>879.45000000000016</v>
      </c>
      <c r="O126" s="5736"/>
      <c r="P126" s="5854"/>
      <c r="Q126" s="5738"/>
      <c r="R126" s="349">
        <f t="shared" si="30"/>
        <v>879.45000000000016</v>
      </c>
      <c r="S126" s="5736"/>
      <c r="T126" s="5936"/>
      <c r="U126" s="5738"/>
      <c r="V126" s="349">
        <f t="shared" si="31"/>
        <v>879.45000000000016</v>
      </c>
      <c r="W126" s="5736"/>
      <c r="X126" s="6040"/>
      <c r="Y126" s="5660"/>
      <c r="Z126" s="4598">
        <f t="shared" si="41"/>
        <v>0</v>
      </c>
      <c r="AA126" s="5661"/>
      <c r="AB126" s="4599">
        <f t="shared" si="42"/>
        <v>879.45000000000016</v>
      </c>
      <c r="AC126" s="5736"/>
      <c r="AD126" s="6166"/>
      <c r="AE126" s="5738"/>
      <c r="AF126" s="349">
        <f t="shared" si="32"/>
        <v>879.45000000000016</v>
      </c>
      <c r="AG126" s="5736"/>
      <c r="AH126" s="6330"/>
      <c r="AI126" s="5738"/>
      <c r="AJ126" s="349">
        <f t="shared" si="40"/>
        <v>879.45000000000016</v>
      </c>
      <c r="AK126" s="5736"/>
      <c r="AL126" s="6597"/>
      <c r="AM126" s="5660"/>
      <c r="AN126" s="4598">
        <f t="shared" si="37"/>
        <v>0</v>
      </c>
      <c r="AO126" s="5739"/>
      <c r="AP126" s="349">
        <f t="shared" si="33"/>
        <v>879.45000000000016</v>
      </c>
      <c r="AQ126" s="5736"/>
      <c r="AR126" s="5723"/>
      <c r="AS126" s="5738"/>
      <c r="AT126" s="5739">
        <f t="shared" si="34"/>
        <v>879.45000000000016</v>
      </c>
      <c r="AU126" s="5736"/>
      <c r="AV126" s="6848"/>
      <c r="AW126" s="5738"/>
      <c r="AX126" s="349">
        <f t="shared" si="35"/>
        <v>879.45000000000016</v>
      </c>
      <c r="AY126" s="5736"/>
      <c r="AZ126" s="7004"/>
      <c r="BA126" s="5660"/>
      <c r="BB126" s="2449">
        <f t="shared" si="48"/>
        <v>0</v>
      </c>
      <c r="BC126" s="5661"/>
      <c r="BD126" s="5260">
        <f t="shared" si="38"/>
        <v>0</v>
      </c>
      <c r="BE126" s="5739"/>
      <c r="BF126" s="6995">
        <f t="shared" si="49"/>
        <v>879.45000000000016</v>
      </c>
      <c r="BG126" s="1137"/>
      <c r="BH126" s="4234">
        <f t="shared" si="22"/>
        <v>0</v>
      </c>
      <c r="BI126" s="4234">
        <f t="shared" si="23"/>
        <v>0</v>
      </c>
      <c r="BJ126" s="25">
        <f t="shared" si="24"/>
        <v>0</v>
      </c>
      <c r="BK126" s="25">
        <f t="shared" si="25"/>
        <v>0</v>
      </c>
      <c r="BL126" s="25">
        <f t="shared" si="26"/>
        <v>0</v>
      </c>
      <c r="BM126" s="25">
        <f t="shared" si="27"/>
        <v>0</v>
      </c>
    </row>
    <row r="127" spans="1:65" ht="16.5" hidden="1" thickBot="1" x14ac:dyDescent="0.3">
      <c r="B127" s="3157" t="s">
        <v>835</v>
      </c>
      <c r="C127" s="3158" t="s">
        <v>839</v>
      </c>
      <c r="D127" s="3159" t="s">
        <v>50</v>
      </c>
      <c r="E127" s="3167"/>
      <c r="F127" s="105"/>
      <c r="G127" s="3167"/>
      <c r="H127" s="105"/>
      <c r="I127" s="3168"/>
      <c r="J127" s="42">
        <f t="shared" si="50"/>
        <v>0</v>
      </c>
      <c r="K127" s="3167"/>
      <c r="L127" s="105"/>
      <c r="M127" s="848"/>
      <c r="N127" s="586">
        <f t="shared" si="29"/>
        <v>0</v>
      </c>
      <c r="O127" s="3167"/>
      <c r="P127" s="105"/>
      <c r="Q127" s="799"/>
      <c r="R127" s="349">
        <f t="shared" si="30"/>
        <v>0</v>
      </c>
      <c r="S127" s="3167"/>
      <c r="T127" s="105"/>
      <c r="U127" s="799"/>
      <c r="V127" s="349">
        <f t="shared" si="31"/>
        <v>0</v>
      </c>
      <c r="W127" s="3167"/>
      <c r="X127" s="105"/>
      <c r="Y127" s="543"/>
      <c r="Z127" s="4598">
        <f t="shared" si="41"/>
        <v>0</v>
      </c>
      <c r="AA127" s="629"/>
      <c r="AB127" s="4599">
        <f t="shared" si="42"/>
        <v>0</v>
      </c>
      <c r="AC127" s="3167"/>
      <c r="AD127" s="105"/>
      <c r="AE127" s="799"/>
      <c r="AF127" s="349">
        <f t="shared" si="32"/>
        <v>0</v>
      </c>
      <c r="AG127" s="3167"/>
      <c r="AH127" s="105"/>
      <c r="AI127" s="799"/>
      <c r="AJ127" s="349">
        <f t="shared" si="40"/>
        <v>0</v>
      </c>
      <c r="AK127" s="3167"/>
      <c r="AL127" s="105"/>
      <c r="AM127" s="2449"/>
      <c r="AN127" s="4598">
        <f t="shared" si="37"/>
        <v>0</v>
      </c>
      <c r="AO127" s="2236"/>
      <c r="AP127" s="349">
        <f t="shared" si="33"/>
        <v>0</v>
      </c>
      <c r="AQ127" s="3167"/>
      <c r="AR127" s="105"/>
      <c r="AS127" s="799"/>
      <c r="AT127" s="4975">
        <f t="shared" si="34"/>
        <v>0</v>
      </c>
      <c r="AU127" s="3167"/>
      <c r="AV127" s="105"/>
      <c r="AW127" s="799"/>
      <c r="AX127" s="349">
        <f t="shared" si="35"/>
        <v>0</v>
      </c>
      <c r="AY127" s="3167"/>
      <c r="AZ127" s="105"/>
      <c r="BA127" s="2449"/>
      <c r="BB127" s="2449">
        <f t="shared" si="48"/>
        <v>0</v>
      </c>
      <c r="BC127" s="629"/>
      <c r="BD127" s="629">
        <f t="shared" si="38"/>
        <v>0</v>
      </c>
      <c r="BE127" s="2236"/>
      <c r="BF127" s="2236">
        <f t="shared" si="49"/>
        <v>0</v>
      </c>
      <c r="BG127" s="1137"/>
      <c r="BH127" s="4234">
        <f t="shared" si="22"/>
        <v>0</v>
      </c>
      <c r="BI127" s="4234">
        <f t="shared" si="23"/>
        <v>0</v>
      </c>
      <c r="BJ127" s="25">
        <f t="shared" si="24"/>
        <v>0</v>
      </c>
      <c r="BK127" s="25">
        <f t="shared" si="25"/>
        <v>0</v>
      </c>
      <c r="BL127" s="25">
        <f t="shared" si="26"/>
        <v>0</v>
      </c>
      <c r="BM127" s="25">
        <f t="shared" si="27"/>
        <v>0</v>
      </c>
    </row>
    <row r="128" spans="1:65" ht="16.5" thickBot="1" x14ac:dyDescent="0.3">
      <c r="A128" s="2030"/>
      <c r="B128" s="3203" t="s">
        <v>1027</v>
      </c>
      <c r="C128" s="2030"/>
      <c r="D128" s="2030"/>
      <c r="E128" s="4487"/>
      <c r="F128" s="4487"/>
      <c r="G128" s="4487"/>
      <c r="I128" s="2030"/>
      <c r="J128" s="3130"/>
      <c r="K128" s="4487"/>
      <c r="L128" s="4487"/>
      <c r="M128" s="2030"/>
      <c r="N128" s="586">
        <f t="shared" si="29"/>
        <v>0</v>
      </c>
      <c r="O128" s="4487"/>
      <c r="P128" s="4487"/>
      <c r="Q128" s="2030"/>
      <c r="R128" s="349">
        <f t="shared" si="30"/>
        <v>0</v>
      </c>
      <c r="S128" s="4487"/>
      <c r="T128" s="4487"/>
      <c r="U128" s="4233"/>
      <c r="V128" s="349">
        <f t="shared" si="31"/>
        <v>0</v>
      </c>
      <c r="W128" s="4487"/>
      <c r="X128" s="4487"/>
      <c r="Y128" s="2203"/>
      <c r="Z128" s="4487"/>
      <c r="AA128" s="4487"/>
      <c r="AB128" s="4487"/>
      <c r="AC128" s="4487"/>
      <c r="AD128" s="4487"/>
      <c r="AE128" s="4487"/>
      <c r="AF128" s="4487"/>
      <c r="AG128" s="4487"/>
      <c r="AH128" s="4487"/>
      <c r="AI128" s="4487"/>
      <c r="AJ128" s="349"/>
      <c r="AK128" s="4487"/>
      <c r="AL128" s="4487"/>
      <c r="AM128" s="4487"/>
      <c r="AN128" s="4487"/>
      <c r="AO128" s="4487"/>
      <c r="AP128" s="4487"/>
      <c r="AQ128" s="4487"/>
      <c r="AR128" s="4487"/>
      <c r="AS128" s="4487"/>
      <c r="AT128" s="4487"/>
      <c r="AU128" s="4487"/>
      <c r="AV128" s="4487"/>
      <c r="AW128" s="4487"/>
      <c r="AX128" s="4487"/>
      <c r="AY128" s="4487"/>
      <c r="AZ128" s="4487"/>
      <c r="BA128" s="4487"/>
      <c r="BB128" s="4487"/>
      <c r="BC128" s="4487"/>
      <c r="BD128" s="4487"/>
      <c r="BE128" s="4487"/>
      <c r="BF128" s="4487"/>
      <c r="BG128" s="1137"/>
      <c r="BH128" s="4234">
        <f t="shared" si="22"/>
        <v>0</v>
      </c>
      <c r="BI128" s="4234">
        <f t="shared" si="23"/>
        <v>0</v>
      </c>
      <c r="BJ128" s="25">
        <f t="shared" si="24"/>
        <v>0</v>
      </c>
      <c r="BK128" s="25">
        <f t="shared" si="25"/>
        <v>0</v>
      </c>
      <c r="BL128" s="25">
        <f t="shared" si="26"/>
        <v>0</v>
      </c>
      <c r="BM128" s="25">
        <f t="shared" si="27"/>
        <v>0</v>
      </c>
    </row>
    <row r="129" spans="1:65" ht="16.5" thickBot="1" x14ac:dyDescent="0.3">
      <c r="B129" s="3204" t="s">
        <v>993</v>
      </c>
      <c r="C129" s="3205" t="s">
        <v>1028</v>
      </c>
      <c r="D129" s="3206" t="s">
        <v>50</v>
      </c>
      <c r="E129" s="3164"/>
      <c r="F129" s="3175"/>
      <c r="G129" s="3164"/>
      <c r="H129" s="147">
        <v>4.0999999999999996</v>
      </c>
      <c r="I129" s="3207"/>
      <c r="J129" s="41">
        <f t="shared" ref="J129:J157" si="51">+F129+H129</f>
        <v>4.0999999999999996</v>
      </c>
      <c r="K129" s="3164"/>
      <c r="L129" s="147"/>
      <c r="M129" s="848"/>
      <c r="N129" s="586">
        <f t="shared" si="29"/>
        <v>4.0999999999999996</v>
      </c>
      <c r="O129" s="3164"/>
      <c r="P129" s="147"/>
      <c r="Q129" s="245"/>
      <c r="R129" s="349">
        <f t="shared" si="30"/>
        <v>4.0999999999999996</v>
      </c>
      <c r="S129" s="3164"/>
      <c r="T129" s="147">
        <v>6.15</v>
      </c>
      <c r="U129" s="245"/>
      <c r="V129" s="349">
        <f t="shared" si="31"/>
        <v>10.25</v>
      </c>
      <c r="W129" s="3164"/>
      <c r="X129" s="147">
        <v>6.15</v>
      </c>
      <c r="Y129" s="543"/>
      <c r="Z129" s="4598">
        <f t="shared" si="41"/>
        <v>12.3</v>
      </c>
      <c r="AA129" s="629"/>
      <c r="AB129" s="4599">
        <f t="shared" si="42"/>
        <v>16.399999999999999</v>
      </c>
      <c r="AC129" s="3164"/>
      <c r="AD129" s="147"/>
      <c r="AE129" s="245"/>
      <c r="AF129" s="4565">
        <f t="shared" ref="AF129:AF154" si="52">+AB129+AD129</f>
        <v>16.399999999999999</v>
      </c>
      <c r="AG129" s="3164"/>
      <c r="AH129" s="147">
        <v>2.0499999999999998</v>
      </c>
      <c r="AI129" s="245"/>
      <c r="AJ129" s="349">
        <f t="shared" si="40"/>
        <v>18.45</v>
      </c>
      <c r="AK129" s="3164"/>
      <c r="AL129" s="147">
        <v>8.1999999999999993</v>
      </c>
      <c r="AM129" s="2449"/>
      <c r="AN129" s="2449">
        <f t="shared" ref="AN129:AN147" si="53">AD129+AH129+AL129</f>
        <v>10.25</v>
      </c>
      <c r="AO129" s="2236"/>
      <c r="AP129" s="4925">
        <f t="shared" ref="AP129:AP148" si="54">AJ129+AL129</f>
        <v>26.65</v>
      </c>
      <c r="AQ129" s="3164"/>
      <c r="AR129" s="3175"/>
      <c r="AS129" s="245"/>
      <c r="AT129" s="4975">
        <f t="shared" ref="AT129:AT157" si="55">+AP129+AR129</f>
        <v>26.65</v>
      </c>
      <c r="AU129" s="3164"/>
      <c r="AV129" s="3175">
        <v>14.35</v>
      </c>
      <c r="AW129" s="245"/>
      <c r="AX129" s="5036">
        <f t="shared" ref="AX129:AX146" si="56">+AT129+AV129</f>
        <v>41</v>
      </c>
      <c r="AY129" s="3164"/>
      <c r="AZ129" s="3175"/>
      <c r="BA129" s="2449"/>
      <c r="BB129" s="2449">
        <f t="shared" si="48"/>
        <v>14.35</v>
      </c>
      <c r="BC129" s="629"/>
      <c r="BD129" s="629">
        <f t="shared" si="38"/>
        <v>24.6</v>
      </c>
      <c r="BE129" s="2236"/>
      <c r="BF129" s="2236">
        <f t="shared" si="49"/>
        <v>41</v>
      </c>
      <c r="BG129" s="1137"/>
      <c r="BH129" s="4234">
        <f t="shared" si="22"/>
        <v>0</v>
      </c>
      <c r="BI129" s="4234">
        <f t="shared" si="23"/>
        <v>0</v>
      </c>
      <c r="BJ129" s="25">
        <f t="shared" si="24"/>
        <v>0</v>
      </c>
      <c r="BK129" s="25">
        <f t="shared" si="25"/>
        <v>0</v>
      </c>
      <c r="BL129" s="25">
        <f t="shared" si="26"/>
        <v>0</v>
      </c>
      <c r="BM129" s="25">
        <f t="shared" si="27"/>
        <v>0</v>
      </c>
    </row>
    <row r="130" spans="1:65" ht="16.5" thickBot="1" x14ac:dyDescent="0.3">
      <c r="B130" s="1527" t="s">
        <v>992</v>
      </c>
      <c r="C130" s="3208" t="s">
        <v>1028</v>
      </c>
      <c r="D130" s="3209" t="s">
        <v>50</v>
      </c>
      <c r="E130" s="800"/>
      <c r="F130" s="3172">
        <v>45.1</v>
      </c>
      <c r="G130" s="800"/>
      <c r="H130" s="6209">
        <v>36.9</v>
      </c>
      <c r="I130" s="3210"/>
      <c r="J130" s="37">
        <f t="shared" si="51"/>
        <v>82</v>
      </c>
      <c r="K130" s="800"/>
      <c r="L130" s="5722">
        <v>22.55</v>
      </c>
      <c r="M130" s="848"/>
      <c r="N130" s="586">
        <f t="shared" si="29"/>
        <v>104.55</v>
      </c>
      <c r="O130" s="800"/>
      <c r="P130" s="5857">
        <v>32.799999999999997</v>
      </c>
      <c r="Q130" s="245"/>
      <c r="R130" s="349">
        <f t="shared" si="30"/>
        <v>137.35</v>
      </c>
      <c r="S130" s="800"/>
      <c r="T130" s="5940">
        <v>92.25</v>
      </c>
      <c r="U130" s="245"/>
      <c r="V130" s="349">
        <f t="shared" si="31"/>
        <v>229.6</v>
      </c>
      <c r="W130" s="800"/>
      <c r="X130" s="6043">
        <v>14.35</v>
      </c>
      <c r="Y130" s="543"/>
      <c r="Z130" s="4598">
        <f t="shared" si="41"/>
        <v>139.4</v>
      </c>
      <c r="AA130" s="629"/>
      <c r="AB130" s="4599">
        <f t="shared" si="42"/>
        <v>243.95</v>
      </c>
      <c r="AC130" s="800"/>
      <c r="AD130" s="6169">
        <v>18.45</v>
      </c>
      <c r="AE130" s="245"/>
      <c r="AF130" s="4565">
        <f t="shared" si="52"/>
        <v>262.39999999999998</v>
      </c>
      <c r="AG130" s="800"/>
      <c r="AH130" s="6374">
        <v>16.399999999999999</v>
      </c>
      <c r="AI130" s="245"/>
      <c r="AJ130" s="349">
        <f t="shared" si="40"/>
        <v>278.79999999999995</v>
      </c>
      <c r="AK130" s="800"/>
      <c r="AL130" s="6936">
        <v>10.25</v>
      </c>
      <c r="AM130" s="2449"/>
      <c r="AN130" s="2449">
        <f t="shared" si="53"/>
        <v>45.099999999999994</v>
      </c>
      <c r="AO130" s="2236"/>
      <c r="AP130" s="4925">
        <f t="shared" si="54"/>
        <v>289.04999999999995</v>
      </c>
      <c r="AQ130" s="800"/>
      <c r="AR130" s="3172">
        <f>14.35+4.1+2.05</f>
        <v>20.5</v>
      </c>
      <c r="AS130" s="245"/>
      <c r="AT130" s="4975">
        <f t="shared" si="55"/>
        <v>309.54999999999995</v>
      </c>
      <c r="AU130" s="800"/>
      <c r="AV130" s="3172">
        <v>43.05</v>
      </c>
      <c r="AW130" s="245"/>
      <c r="AX130" s="5036">
        <f t="shared" si="56"/>
        <v>352.59999999999997</v>
      </c>
      <c r="AY130" s="800"/>
      <c r="AZ130" s="3172">
        <v>24.6</v>
      </c>
      <c r="BA130" s="2449"/>
      <c r="BB130" s="2449">
        <f t="shared" si="48"/>
        <v>88.15</v>
      </c>
      <c r="BC130" s="629"/>
      <c r="BD130" s="629">
        <f t="shared" si="38"/>
        <v>133.25</v>
      </c>
      <c r="BE130" s="2236"/>
      <c r="BF130" s="5139">
        <f t="shared" si="49"/>
        <v>377.2</v>
      </c>
      <c r="BG130" s="1137"/>
      <c r="BH130" s="4234">
        <f t="shared" si="22"/>
        <v>0</v>
      </c>
      <c r="BI130" s="4234">
        <f t="shared" si="23"/>
        <v>0</v>
      </c>
      <c r="BJ130" s="25">
        <f t="shared" si="24"/>
        <v>0</v>
      </c>
      <c r="BK130" s="25">
        <f t="shared" si="25"/>
        <v>0</v>
      </c>
      <c r="BL130" s="25">
        <f t="shared" si="26"/>
        <v>0</v>
      </c>
      <c r="BM130" s="25">
        <f t="shared" si="27"/>
        <v>0</v>
      </c>
    </row>
    <row r="131" spans="1:65" ht="16.5" thickBot="1" x14ac:dyDescent="0.3">
      <c r="B131" s="1527" t="s">
        <v>991</v>
      </c>
      <c r="C131" s="3208" t="s">
        <v>1028</v>
      </c>
      <c r="D131" s="3209" t="s">
        <v>50</v>
      </c>
      <c r="E131" s="800"/>
      <c r="F131" s="3172"/>
      <c r="G131" s="800"/>
      <c r="H131" s="6209"/>
      <c r="I131" s="3210"/>
      <c r="J131" s="37">
        <f t="shared" si="51"/>
        <v>0</v>
      </c>
      <c r="K131" s="800"/>
      <c r="L131" s="5722"/>
      <c r="M131" s="848"/>
      <c r="N131" s="586">
        <f t="shared" si="29"/>
        <v>0</v>
      </c>
      <c r="O131" s="800"/>
      <c r="P131" s="5857"/>
      <c r="Q131" s="245"/>
      <c r="R131" s="349">
        <f t="shared" si="30"/>
        <v>0</v>
      </c>
      <c r="S131" s="800"/>
      <c r="T131" s="5940"/>
      <c r="U131" s="245"/>
      <c r="V131" s="349">
        <f t="shared" si="31"/>
        <v>0</v>
      </c>
      <c r="W131" s="800"/>
      <c r="X131" s="6043"/>
      <c r="Y131" s="543"/>
      <c r="Z131" s="4598">
        <f t="shared" si="41"/>
        <v>0</v>
      </c>
      <c r="AA131" s="629"/>
      <c r="AB131" s="4599">
        <f t="shared" si="42"/>
        <v>0</v>
      </c>
      <c r="AC131" s="800"/>
      <c r="AD131" s="6169"/>
      <c r="AE131" s="245"/>
      <c r="AF131" s="4565">
        <f t="shared" si="52"/>
        <v>0</v>
      </c>
      <c r="AG131" s="800"/>
      <c r="AH131" s="6374">
        <v>2.0499999999999998</v>
      </c>
      <c r="AI131" s="245"/>
      <c r="AJ131" s="349">
        <f t="shared" si="40"/>
        <v>2.0499999999999998</v>
      </c>
      <c r="AK131" s="800"/>
      <c r="AL131" s="6600"/>
      <c r="AM131" s="2449"/>
      <c r="AN131" s="2449">
        <f t="shared" si="53"/>
        <v>2.0499999999999998</v>
      </c>
      <c r="AO131" s="2236"/>
      <c r="AP131" s="4925">
        <f t="shared" si="54"/>
        <v>2.0499999999999998</v>
      </c>
      <c r="AQ131" s="800"/>
      <c r="AR131" s="3172">
        <v>2.0499999999999998</v>
      </c>
      <c r="AS131" s="245"/>
      <c r="AT131" s="4975">
        <f t="shared" si="55"/>
        <v>4.0999999999999996</v>
      </c>
      <c r="AU131" s="800"/>
      <c r="AV131" s="3172"/>
      <c r="AW131" s="245"/>
      <c r="AX131" s="5036">
        <f t="shared" si="56"/>
        <v>4.0999999999999996</v>
      </c>
      <c r="AY131" s="800"/>
      <c r="AZ131" s="3172"/>
      <c r="BA131" s="2449"/>
      <c r="BB131" s="2449">
        <f t="shared" si="48"/>
        <v>2.0499999999999998</v>
      </c>
      <c r="BC131" s="629"/>
      <c r="BD131" s="629">
        <f t="shared" si="38"/>
        <v>4.0999999999999996</v>
      </c>
      <c r="BE131" s="2236"/>
      <c r="BF131" s="5139">
        <f t="shared" si="49"/>
        <v>4.0999999999999996</v>
      </c>
      <c r="BG131" s="1137"/>
      <c r="BH131" s="4234">
        <f t="shared" si="22"/>
        <v>0</v>
      </c>
      <c r="BI131" s="4234">
        <f t="shared" si="23"/>
        <v>0</v>
      </c>
      <c r="BJ131" s="25">
        <f t="shared" si="24"/>
        <v>0</v>
      </c>
      <c r="BK131" s="25">
        <f t="shared" si="25"/>
        <v>0</v>
      </c>
      <c r="BL131" s="25">
        <f t="shared" si="26"/>
        <v>0</v>
      </c>
      <c r="BM131" s="25">
        <f t="shared" si="27"/>
        <v>0</v>
      </c>
    </row>
    <row r="132" spans="1:65" ht="16.5" thickBot="1" x14ac:dyDescent="0.3">
      <c r="B132" s="1527" t="s">
        <v>989</v>
      </c>
      <c r="C132" s="3208" t="s">
        <v>1028</v>
      </c>
      <c r="D132" s="3209" t="s">
        <v>50</v>
      </c>
      <c r="E132" s="800"/>
      <c r="F132" s="3172"/>
      <c r="G132" s="800"/>
      <c r="H132" s="6209">
        <v>12.3</v>
      </c>
      <c r="I132" s="3210"/>
      <c r="J132" s="37">
        <f t="shared" si="51"/>
        <v>12.3</v>
      </c>
      <c r="K132" s="800"/>
      <c r="L132" s="5722"/>
      <c r="M132" s="848"/>
      <c r="N132" s="586">
        <f t="shared" si="29"/>
        <v>12.3</v>
      </c>
      <c r="O132" s="800"/>
      <c r="P132" s="5857"/>
      <c r="Q132" s="245"/>
      <c r="R132" s="349">
        <f t="shared" si="30"/>
        <v>12.3</v>
      </c>
      <c r="S132" s="800"/>
      <c r="T132" s="5940">
        <v>4.0999999999999996</v>
      </c>
      <c r="U132" s="245"/>
      <c r="V132" s="349">
        <f t="shared" si="31"/>
        <v>16.399999999999999</v>
      </c>
      <c r="W132" s="800"/>
      <c r="X132" s="6043"/>
      <c r="Y132" s="543"/>
      <c r="Z132" s="4598">
        <f t="shared" si="41"/>
        <v>4.0999999999999996</v>
      </c>
      <c r="AA132" s="629"/>
      <c r="AB132" s="4599">
        <f t="shared" si="42"/>
        <v>16.399999999999999</v>
      </c>
      <c r="AC132" s="800"/>
      <c r="AD132" s="6169">
        <f>24.6+2.05</f>
        <v>26.650000000000002</v>
      </c>
      <c r="AE132" s="245"/>
      <c r="AF132" s="4565">
        <f t="shared" si="52"/>
        <v>43.05</v>
      </c>
      <c r="AG132" s="800"/>
      <c r="AH132" s="6374">
        <v>4.0999999999999996</v>
      </c>
      <c r="AI132" s="245"/>
      <c r="AJ132" s="349">
        <f t="shared" si="40"/>
        <v>47.15</v>
      </c>
      <c r="AK132" s="800"/>
      <c r="AL132" s="6600"/>
      <c r="AM132" s="2449"/>
      <c r="AN132" s="2449">
        <f t="shared" si="53"/>
        <v>30.75</v>
      </c>
      <c r="AO132" s="2236"/>
      <c r="AP132" s="4925">
        <f t="shared" si="54"/>
        <v>47.15</v>
      </c>
      <c r="AQ132" s="800"/>
      <c r="AR132" s="3172">
        <v>2.0499999999999998</v>
      </c>
      <c r="AS132" s="245"/>
      <c r="AT132" s="4975">
        <f t="shared" si="55"/>
        <v>49.199999999999996</v>
      </c>
      <c r="AU132" s="800"/>
      <c r="AV132" s="3172"/>
      <c r="AW132" s="245"/>
      <c r="AX132" s="5036">
        <f t="shared" si="56"/>
        <v>49.199999999999996</v>
      </c>
      <c r="AY132" s="800"/>
      <c r="AZ132" s="3172"/>
      <c r="BA132" s="2449"/>
      <c r="BB132" s="2449">
        <f t="shared" si="48"/>
        <v>2.0499999999999998</v>
      </c>
      <c r="BC132" s="629"/>
      <c r="BD132" s="629">
        <f t="shared" si="38"/>
        <v>32.799999999999997</v>
      </c>
      <c r="BE132" s="2236"/>
      <c r="BF132" s="5139">
        <f t="shared" si="49"/>
        <v>49.199999999999996</v>
      </c>
      <c r="BG132" s="1137"/>
      <c r="BH132" s="4234">
        <f t="shared" si="22"/>
        <v>0</v>
      </c>
      <c r="BI132" s="4234">
        <f t="shared" si="23"/>
        <v>0</v>
      </c>
      <c r="BJ132" s="25">
        <f t="shared" si="24"/>
        <v>0</v>
      </c>
      <c r="BK132" s="25">
        <f t="shared" si="25"/>
        <v>0</v>
      </c>
      <c r="BL132" s="25">
        <f t="shared" si="26"/>
        <v>0</v>
      </c>
      <c r="BM132" s="25">
        <f t="shared" si="27"/>
        <v>0</v>
      </c>
    </row>
    <row r="133" spans="1:65" ht="16.5" thickBot="1" x14ac:dyDescent="0.3">
      <c r="A133" s="1607"/>
      <c r="B133" s="1527" t="s">
        <v>990</v>
      </c>
      <c r="C133" s="3208" t="s">
        <v>1028</v>
      </c>
      <c r="D133" s="3209" t="s">
        <v>50</v>
      </c>
      <c r="E133" s="800"/>
      <c r="F133" s="3172"/>
      <c r="G133" s="800"/>
      <c r="H133" s="6209"/>
      <c r="I133" s="3210"/>
      <c r="J133" s="37">
        <f t="shared" si="51"/>
        <v>0</v>
      </c>
      <c r="K133" s="800"/>
      <c r="L133" s="5722"/>
      <c r="M133" s="848"/>
      <c r="N133" s="586">
        <f t="shared" si="29"/>
        <v>0</v>
      </c>
      <c r="O133" s="800"/>
      <c r="P133" s="5857"/>
      <c r="Q133" s="245"/>
      <c r="R133" s="349">
        <f t="shared" si="30"/>
        <v>0</v>
      </c>
      <c r="S133" s="800"/>
      <c r="T133" s="3172">
        <v>32.799999999999997</v>
      </c>
      <c r="U133" s="245"/>
      <c r="V133" s="349">
        <f t="shared" si="31"/>
        <v>32.799999999999997</v>
      </c>
      <c r="W133" s="800"/>
      <c r="X133" s="6043"/>
      <c r="Y133" s="543"/>
      <c r="Z133" s="4598">
        <f t="shared" si="41"/>
        <v>32.799999999999997</v>
      </c>
      <c r="AA133" s="629"/>
      <c r="AB133" s="4599">
        <f t="shared" si="42"/>
        <v>32.799999999999997</v>
      </c>
      <c r="AC133" s="800"/>
      <c r="AD133" s="6169"/>
      <c r="AE133" s="245"/>
      <c r="AF133" s="4565">
        <f t="shared" si="52"/>
        <v>32.799999999999997</v>
      </c>
      <c r="AG133" s="800"/>
      <c r="AH133" s="6337"/>
      <c r="AI133" s="245"/>
      <c r="AJ133" s="349">
        <f t="shared" si="40"/>
        <v>32.799999999999997</v>
      </c>
      <c r="AK133" s="800"/>
      <c r="AL133" s="6600"/>
      <c r="AM133" s="2449"/>
      <c r="AN133" s="2449">
        <f t="shared" si="53"/>
        <v>0</v>
      </c>
      <c r="AO133" s="2236"/>
      <c r="AP133" s="4925">
        <f t="shared" si="54"/>
        <v>32.799999999999997</v>
      </c>
      <c r="AQ133" s="800"/>
      <c r="AR133" s="3172"/>
      <c r="AS133" s="245"/>
      <c r="AT133" s="4975">
        <f t="shared" si="55"/>
        <v>32.799999999999997</v>
      </c>
      <c r="AU133" s="800"/>
      <c r="AV133" s="3172"/>
      <c r="AW133" s="245"/>
      <c r="AX133" s="5036">
        <f t="shared" si="56"/>
        <v>32.799999999999997</v>
      </c>
      <c r="AY133" s="800"/>
      <c r="AZ133" s="3172"/>
      <c r="BA133" s="2449"/>
      <c r="BB133" s="2449">
        <f t="shared" si="48"/>
        <v>0</v>
      </c>
      <c r="BC133" s="629"/>
      <c r="BD133" s="629">
        <f t="shared" si="38"/>
        <v>0</v>
      </c>
      <c r="BE133" s="2236"/>
      <c r="BF133" s="5139">
        <f t="shared" si="49"/>
        <v>32.799999999999997</v>
      </c>
      <c r="BG133" s="1137"/>
      <c r="BH133" s="4234">
        <f t="shared" si="22"/>
        <v>0</v>
      </c>
      <c r="BI133" s="4234">
        <f t="shared" si="23"/>
        <v>0</v>
      </c>
      <c r="BJ133" s="25">
        <f t="shared" si="24"/>
        <v>0</v>
      </c>
      <c r="BK133" s="25">
        <f t="shared" si="25"/>
        <v>0</v>
      </c>
      <c r="BL133" s="25">
        <f t="shared" si="26"/>
        <v>0</v>
      </c>
      <c r="BM133" s="25">
        <f t="shared" si="27"/>
        <v>0</v>
      </c>
    </row>
    <row r="134" spans="1:65" ht="16.5" thickBot="1" x14ac:dyDescent="0.3">
      <c r="B134" s="1527" t="s">
        <v>988</v>
      </c>
      <c r="C134" s="3208" t="s">
        <v>1028</v>
      </c>
      <c r="D134" s="3209" t="s">
        <v>50</v>
      </c>
      <c r="E134" s="800"/>
      <c r="F134" s="3172"/>
      <c r="G134" s="800"/>
      <c r="H134" s="6209"/>
      <c r="I134" s="3210"/>
      <c r="J134" s="37">
        <f t="shared" si="51"/>
        <v>0</v>
      </c>
      <c r="K134" s="800"/>
      <c r="L134" s="5722"/>
      <c r="M134" s="848"/>
      <c r="N134" s="586">
        <f t="shared" si="29"/>
        <v>0</v>
      </c>
      <c r="O134" s="800"/>
      <c r="P134" s="5857"/>
      <c r="Q134" s="245"/>
      <c r="R134" s="349">
        <f t="shared" si="30"/>
        <v>0</v>
      </c>
      <c r="S134" s="800"/>
      <c r="T134" s="5940"/>
      <c r="U134" s="245"/>
      <c r="V134" s="349">
        <f t="shared" si="31"/>
        <v>0</v>
      </c>
      <c r="W134" s="800"/>
      <c r="X134" s="6043"/>
      <c r="Y134" s="543"/>
      <c r="Z134" s="4598">
        <f t="shared" si="41"/>
        <v>0</v>
      </c>
      <c r="AA134" s="629"/>
      <c r="AB134" s="4599">
        <f t="shared" si="42"/>
        <v>0</v>
      </c>
      <c r="AC134" s="800"/>
      <c r="AD134" s="6169"/>
      <c r="AE134" s="245"/>
      <c r="AF134" s="4565">
        <f t="shared" si="52"/>
        <v>0</v>
      </c>
      <c r="AG134" s="800"/>
      <c r="AH134" s="6337"/>
      <c r="AI134" s="245"/>
      <c r="AJ134" s="349">
        <f t="shared" si="40"/>
        <v>0</v>
      </c>
      <c r="AK134" s="800"/>
      <c r="AL134" s="6600"/>
      <c r="AM134" s="2449"/>
      <c r="AN134" s="2449">
        <f t="shared" si="53"/>
        <v>0</v>
      </c>
      <c r="AO134" s="2236"/>
      <c r="AP134" s="4925">
        <f t="shared" si="54"/>
        <v>0</v>
      </c>
      <c r="AQ134" s="800"/>
      <c r="AR134" s="3172"/>
      <c r="AS134" s="245"/>
      <c r="AT134" s="4975">
        <f t="shared" si="55"/>
        <v>0</v>
      </c>
      <c r="AU134" s="800"/>
      <c r="AV134" s="3172"/>
      <c r="AW134" s="245"/>
      <c r="AX134" s="5036">
        <f t="shared" si="56"/>
        <v>0</v>
      </c>
      <c r="AY134" s="800"/>
      <c r="AZ134" s="3172"/>
      <c r="BA134" s="2449"/>
      <c r="BB134" s="2449">
        <f t="shared" si="48"/>
        <v>0</v>
      </c>
      <c r="BC134" s="629"/>
      <c r="BD134" s="629">
        <f t="shared" si="38"/>
        <v>0</v>
      </c>
      <c r="BE134" s="2236"/>
      <c r="BF134" s="5139">
        <f t="shared" si="49"/>
        <v>0</v>
      </c>
      <c r="BG134" s="1137"/>
      <c r="BH134" s="4234">
        <f t="shared" si="22"/>
        <v>0</v>
      </c>
      <c r="BI134" s="4234">
        <f t="shared" si="23"/>
        <v>0</v>
      </c>
      <c r="BJ134" s="25">
        <f t="shared" si="24"/>
        <v>0</v>
      </c>
      <c r="BK134" s="25">
        <f t="shared" si="25"/>
        <v>0</v>
      </c>
      <c r="BL134" s="25">
        <f t="shared" si="26"/>
        <v>0</v>
      </c>
      <c r="BM134" s="25">
        <f t="shared" si="27"/>
        <v>0</v>
      </c>
    </row>
    <row r="135" spans="1:65" s="4487" customFormat="1" ht="16.5" thickBot="1" x14ac:dyDescent="0.3">
      <c r="B135" s="1527" t="s">
        <v>1801</v>
      </c>
      <c r="C135" s="3208" t="s">
        <v>1028</v>
      </c>
      <c r="D135" s="3209" t="s">
        <v>50</v>
      </c>
      <c r="E135" s="800"/>
      <c r="F135" s="4575"/>
      <c r="G135" s="800"/>
      <c r="H135" s="4574">
        <v>2.0499999999999998</v>
      </c>
      <c r="I135" s="4576"/>
      <c r="J135" s="37">
        <f t="shared" si="51"/>
        <v>2.0499999999999998</v>
      </c>
      <c r="K135" s="800"/>
      <c r="L135" s="4574">
        <v>20.5</v>
      </c>
      <c r="M135" s="4577"/>
      <c r="N135" s="586">
        <f t="shared" si="29"/>
        <v>22.55</v>
      </c>
      <c r="O135" s="800"/>
      <c r="P135" s="4574"/>
      <c r="Q135" s="4578"/>
      <c r="R135" s="349">
        <f t="shared" si="30"/>
        <v>22.55</v>
      </c>
      <c r="S135" s="800"/>
      <c r="T135" s="4574">
        <f>20.5+14.35</f>
        <v>34.85</v>
      </c>
      <c r="U135" s="4578"/>
      <c r="V135" s="349">
        <f t="shared" si="31"/>
        <v>57.400000000000006</v>
      </c>
      <c r="W135" s="800"/>
      <c r="X135" s="4574"/>
      <c r="Y135" s="4579"/>
      <c r="Z135" s="4598">
        <f t="shared" si="41"/>
        <v>34.85</v>
      </c>
      <c r="AA135" s="4580"/>
      <c r="AB135" s="4599">
        <f t="shared" si="42"/>
        <v>57.400000000000006</v>
      </c>
      <c r="AC135" s="800"/>
      <c r="AD135" s="4574"/>
      <c r="AE135" s="4578"/>
      <c r="AF135" s="4621">
        <f t="shared" si="52"/>
        <v>57.400000000000006</v>
      </c>
      <c r="AG135" s="800"/>
      <c r="AH135" s="4574"/>
      <c r="AI135" s="4578"/>
      <c r="AJ135" s="349">
        <f t="shared" si="40"/>
        <v>57.400000000000006</v>
      </c>
      <c r="AK135" s="800"/>
      <c r="AL135" s="4574"/>
      <c r="AM135" s="4579"/>
      <c r="AN135" s="2449">
        <f t="shared" si="53"/>
        <v>0</v>
      </c>
      <c r="AO135" s="4514"/>
      <c r="AP135" s="4925">
        <f t="shared" si="54"/>
        <v>57.400000000000006</v>
      </c>
      <c r="AQ135" s="800"/>
      <c r="AR135" s="4575"/>
      <c r="AS135" s="4578"/>
      <c r="AT135" s="4975">
        <f t="shared" si="55"/>
        <v>57.400000000000006</v>
      </c>
      <c r="AU135" s="800"/>
      <c r="AV135" s="4575"/>
      <c r="AW135" s="4578"/>
      <c r="AX135" s="5036">
        <f t="shared" si="56"/>
        <v>57.400000000000006</v>
      </c>
      <c r="AY135" s="800"/>
      <c r="AZ135" s="4575"/>
      <c r="BA135" s="4579"/>
      <c r="BB135" s="4579">
        <f t="shared" si="48"/>
        <v>0</v>
      </c>
      <c r="BC135" s="4580"/>
      <c r="BD135" s="629">
        <f t="shared" si="38"/>
        <v>0</v>
      </c>
      <c r="BE135" s="4514"/>
      <c r="BF135" s="5139">
        <f t="shared" si="49"/>
        <v>57.400000000000006</v>
      </c>
      <c r="BG135" s="1137"/>
      <c r="BH135" s="4234">
        <f t="shared" ref="BH135:BH197" si="57">E135+G135+K135+O135+S135+W135+AC135+AG135+AK135+AQ135+AU135+AY135-BE135</f>
        <v>0</v>
      </c>
      <c r="BI135" s="4234">
        <f t="shared" ref="BI135:BI197" si="58">F135+H135+L135+P135+T135+X135+AD135+AH135+AL135+AR135+AV135+AZ135-BF135</f>
        <v>0</v>
      </c>
      <c r="BJ135" s="25">
        <f t="shared" ref="BJ135:BJ197" si="59">AY135+AU135+AQ135+AK135+AG135+AC135-BC135</f>
        <v>0</v>
      </c>
      <c r="BK135" s="25">
        <f t="shared" ref="BK135:BK197" si="60">AZ135+AV135+AR135+AL135+AH135+AD135-BD135</f>
        <v>0</v>
      </c>
      <c r="BL135" s="25">
        <f t="shared" ref="BL135:BL197" si="61">AQ135+AU135+AY135-BA135</f>
        <v>0</v>
      </c>
      <c r="BM135" s="25">
        <f t="shared" ref="BM135:BM197" si="62">AR135+AV135+AZ135-BB135</f>
        <v>0</v>
      </c>
    </row>
    <row r="136" spans="1:65" ht="16.5" thickBot="1" x14ac:dyDescent="0.3">
      <c r="B136" s="1527" t="s">
        <v>987</v>
      </c>
      <c r="C136" s="3208" t="s">
        <v>1028</v>
      </c>
      <c r="D136" s="3209" t="s">
        <v>50</v>
      </c>
      <c r="E136" s="800"/>
      <c r="F136" s="3172"/>
      <c r="G136" s="800"/>
      <c r="H136" s="6209">
        <v>266.5</v>
      </c>
      <c r="I136" s="3210"/>
      <c r="J136" s="37">
        <f t="shared" si="51"/>
        <v>266.5</v>
      </c>
      <c r="K136" s="800"/>
      <c r="L136" s="5722"/>
      <c r="M136" s="848"/>
      <c r="N136" s="586">
        <f t="shared" si="29"/>
        <v>266.5</v>
      </c>
      <c r="O136" s="800"/>
      <c r="P136" s="5857">
        <v>2.0499999999999998</v>
      </c>
      <c r="Q136" s="245"/>
      <c r="R136" s="349">
        <f t="shared" si="30"/>
        <v>268.55</v>
      </c>
      <c r="S136" s="800"/>
      <c r="T136" s="5940"/>
      <c r="U136" s="245"/>
      <c r="V136" s="349">
        <f t="shared" si="31"/>
        <v>268.55</v>
      </c>
      <c r="W136" s="800"/>
      <c r="X136" s="6043"/>
      <c r="Y136" s="543"/>
      <c r="Z136" s="4598">
        <f t="shared" si="41"/>
        <v>2.0499999999999998</v>
      </c>
      <c r="AA136" s="629"/>
      <c r="AB136" s="4599">
        <f t="shared" si="42"/>
        <v>268.55</v>
      </c>
      <c r="AC136" s="800"/>
      <c r="AD136" s="6169">
        <v>18.45</v>
      </c>
      <c r="AE136" s="245"/>
      <c r="AF136" s="4565">
        <f t="shared" si="52"/>
        <v>287</v>
      </c>
      <c r="AG136" s="800"/>
      <c r="AH136" s="6337"/>
      <c r="AI136" s="245"/>
      <c r="AJ136" s="349">
        <f t="shared" si="40"/>
        <v>287</v>
      </c>
      <c r="AK136" s="800"/>
      <c r="AL136" s="6936">
        <v>14.35</v>
      </c>
      <c r="AM136" s="2449"/>
      <c r="AN136" s="2449">
        <f t="shared" si="53"/>
        <v>32.799999999999997</v>
      </c>
      <c r="AO136" s="2236"/>
      <c r="AP136" s="4925">
        <f t="shared" si="54"/>
        <v>301.35000000000002</v>
      </c>
      <c r="AQ136" s="800"/>
      <c r="AR136" s="3172"/>
      <c r="AS136" s="245"/>
      <c r="AT136" s="4975">
        <f t="shared" si="55"/>
        <v>301.35000000000002</v>
      </c>
      <c r="AU136" s="800"/>
      <c r="AV136" s="3172"/>
      <c r="AW136" s="245"/>
      <c r="AX136" s="5036">
        <f t="shared" si="56"/>
        <v>301.35000000000002</v>
      </c>
      <c r="AY136" s="800"/>
      <c r="AZ136" s="3172"/>
      <c r="BA136" s="2449"/>
      <c r="BB136" s="2449">
        <f t="shared" si="48"/>
        <v>0</v>
      </c>
      <c r="BC136" s="629"/>
      <c r="BD136" s="629">
        <f t="shared" si="38"/>
        <v>32.799999999999997</v>
      </c>
      <c r="BE136" s="2236"/>
      <c r="BF136" s="5139">
        <f t="shared" si="49"/>
        <v>301.35000000000002</v>
      </c>
      <c r="BG136" s="1137"/>
      <c r="BH136" s="4234">
        <f t="shared" si="57"/>
        <v>0</v>
      </c>
      <c r="BI136" s="4234">
        <f t="shared" si="58"/>
        <v>0</v>
      </c>
      <c r="BJ136" s="25">
        <f t="shared" si="59"/>
        <v>0</v>
      </c>
      <c r="BK136" s="25">
        <f t="shared" si="60"/>
        <v>0</v>
      </c>
      <c r="BL136" s="25">
        <f t="shared" si="61"/>
        <v>0</v>
      </c>
      <c r="BM136" s="25">
        <f t="shared" si="62"/>
        <v>0</v>
      </c>
    </row>
    <row r="137" spans="1:65" ht="16.5" thickBot="1" x14ac:dyDescent="0.3">
      <c r="B137" s="1527" t="s">
        <v>1297</v>
      </c>
      <c r="C137" s="3208" t="s">
        <v>1028</v>
      </c>
      <c r="D137" s="3209" t="s">
        <v>50</v>
      </c>
      <c r="E137" s="800"/>
      <c r="F137" s="3172"/>
      <c r="G137" s="800"/>
      <c r="H137" s="6209"/>
      <c r="I137" s="3210"/>
      <c r="J137" s="37">
        <f t="shared" si="51"/>
        <v>0</v>
      </c>
      <c r="K137" s="800"/>
      <c r="L137" s="5722"/>
      <c r="M137" s="848"/>
      <c r="N137" s="586">
        <f t="shared" si="29"/>
        <v>0</v>
      </c>
      <c r="O137" s="800"/>
      <c r="P137" s="5857"/>
      <c r="Q137" s="245"/>
      <c r="R137" s="349">
        <f t="shared" si="30"/>
        <v>0</v>
      </c>
      <c r="S137" s="800"/>
      <c r="T137" s="5940"/>
      <c r="U137" s="245"/>
      <c r="V137" s="349">
        <f t="shared" si="31"/>
        <v>0</v>
      </c>
      <c r="W137" s="800"/>
      <c r="X137" s="6043"/>
      <c r="Y137" s="543"/>
      <c r="Z137" s="4598">
        <f t="shared" si="41"/>
        <v>0</v>
      </c>
      <c r="AA137" s="629"/>
      <c r="AB137" s="4599">
        <f t="shared" si="42"/>
        <v>0</v>
      </c>
      <c r="AC137" s="800"/>
      <c r="AD137" s="6169"/>
      <c r="AE137" s="245"/>
      <c r="AF137" s="4565">
        <f t="shared" si="52"/>
        <v>0</v>
      </c>
      <c r="AG137" s="800"/>
      <c r="AH137" s="6337"/>
      <c r="AI137" s="245"/>
      <c r="AJ137" s="349">
        <f t="shared" si="40"/>
        <v>0</v>
      </c>
      <c r="AK137" s="800"/>
      <c r="AL137" s="6600"/>
      <c r="AM137" s="2449"/>
      <c r="AN137" s="2449">
        <f t="shared" si="53"/>
        <v>0</v>
      </c>
      <c r="AO137" s="2236"/>
      <c r="AP137" s="4925">
        <f t="shared" si="54"/>
        <v>0</v>
      </c>
      <c r="AQ137" s="800"/>
      <c r="AR137" s="3172"/>
      <c r="AS137" s="245"/>
      <c r="AT137" s="4975">
        <f t="shared" si="55"/>
        <v>0</v>
      </c>
      <c r="AU137" s="800"/>
      <c r="AV137" s="3172"/>
      <c r="AW137" s="245"/>
      <c r="AX137" s="5036">
        <f t="shared" si="56"/>
        <v>0</v>
      </c>
      <c r="AY137" s="800"/>
      <c r="AZ137" s="3172"/>
      <c r="BA137" s="2449"/>
      <c r="BB137" s="2449">
        <f t="shared" si="48"/>
        <v>0</v>
      </c>
      <c r="BC137" s="629"/>
      <c r="BD137" s="629">
        <f t="shared" si="38"/>
        <v>0</v>
      </c>
      <c r="BE137" s="2236"/>
      <c r="BF137" s="5139">
        <f t="shared" si="49"/>
        <v>0</v>
      </c>
      <c r="BG137" s="1137"/>
      <c r="BH137" s="4234">
        <f t="shared" si="57"/>
        <v>0</v>
      </c>
      <c r="BI137" s="4234">
        <f t="shared" si="58"/>
        <v>0</v>
      </c>
      <c r="BJ137" s="25">
        <f t="shared" si="59"/>
        <v>0</v>
      </c>
      <c r="BK137" s="25">
        <f t="shared" si="60"/>
        <v>0</v>
      </c>
      <c r="BL137" s="25">
        <f t="shared" si="61"/>
        <v>0</v>
      </c>
      <c r="BM137" s="25">
        <f t="shared" si="62"/>
        <v>0</v>
      </c>
    </row>
    <row r="138" spans="1:65" ht="16.5" thickBot="1" x14ac:dyDescent="0.3">
      <c r="B138" s="1527" t="s">
        <v>986</v>
      </c>
      <c r="C138" s="3211" t="s">
        <v>1028</v>
      </c>
      <c r="D138" s="3209" t="s">
        <v>50</v>
      </c>
      <c r="E138" s="800"/>
      <c r="F138" s="3172"/>
      <c r="G138" s="800"/>
      <c r="H138" s="6209"/>
      <c r="I138" s="3210"/>
      <c r="J138" s="37">
        <f t="shared" si="51"/>
        <v>0</v>
      </c>
      <c r="K138" s="800"/>
      <c r="L138" s="5722">
        <v>8.1999999999999993</v>
      </c>
      <c r="M138" s="848"/>
      <c r="N138" s="586">
        <f t="shared" si="29"/>
        <v>8.1999999999999993</v>
      </c>
      <c r="O138" s="800"/>
      <c r="P138" s="5857">
        <v>4.0999999999999996</v>
      </c>
      <c r="Q138" s="245"/>
      <c r="R138" s="349">
        <f t="shared" si="30"/>
        <v>12.299999999999999</v>
      </c>
      <c r="S138" s="800"/>
      <c r="T138" s="5940"/>
      <c r="U138" s="245"/>
      <c r="V138" s="349">
        <f t="shared" si="31"/>
        <v>12.299999999999999</v>
      </c>
      <c r="W138" s="800"/>
      <c r="X138" s="6043"/>
      <c r="Y138" s="543"/>
      <c r="Z138" s="4598">
        <f t="shared" si="41"/>
        <v>4.0999999999999996</v>
      </c>
      <c r="AA138" s="629"/>
      <c r="AB138" s="4599">
        <f t="shared" si="42"/>
        <v>12.299999999999999</v>
      </c>
      <c r="AC138" s="800"/>
      <c r="AD138" s="6169"/>
      <c r="AE138" s="245"/>
      <c r="AF138" s="4565">
        <f t="shared" si="52"/>
        <v>12.299999999999999</v>
      </c>
      <c r="AG138" s="800"/>
      <c r="AH138" s="6337"/>
      <c r="AI138" s="245"/>
      <c r="AJ138" s="349">
        <f t="shared" si="40"/>
        <v>12.299999999999999</v>
      </c>
      <c r="AK138" s="800"/>
      <c r="AL138" s="3171">
        <v>53.3</v>
      </c>
      <c r="AM138" s="2449"/>
      <c r="AN138" s="2449">
        <f t="shared" si="53"/>
        <v>53.3</v>
      </c>
      <c r="AO138" s="2236"/>
      <c r="AP138" s="4925">
        <f t="shared" si="54"/>
        <v>65.599999999999994</v>
      </c>
      <c r="AQ138" s="800"/>
      <c r="AR138" s="3172">
        <v>6.15</v>
      </c>
      <c r="AS138" s="245"/>
      <c r="AT138" s="4975">
        <f t="shared" si="55"/>
        <v>71.75</v>
      </c>
      <c r="AU138" s="800"/>
      <c r="AV138" s="3172"/>
      <c r="AW138" s="245"/>
      <c r="AX138" s="5036">
        <f t="shared" si="56"/>
        <v>71.75</v>
      </c>
      <c r="AY138" s="800"/>
      <c r="AZ138" s="3172">
        <v>4.0999999999999996</v>
      </c>
      <c r="BA138" s="2449"/>
      <c r="BB138" s="2449">
        <f t="shared" si="48"/>
        <v>10.25</v>
      </c>
      <c r="BC138" s="629"/>
      <c r="BD138" s="629">
        <f t="shared" si="38"/>
        <v>63.55</v>
      </c>
      <c r="BE138" s="2236"/>
      <c r="BF138" s="5139">
        <f t="shared" si="49"/>
        <v>75.849999999999994</v>
      </c>
      <c r="BG138" s="1137"/>
      <c r="BH138" s="4234">
        <f t="shared" si="57"/>
        <v>0</v>
      </c>
      <c r="BI138" s="4234">
        <f t="shared" si="58"/>
        <v>0</v>
      </c>
      <c r="BJ138" s="25">
        <f t="shared" si="59"/>
        <v>0</v>
      </c>
      <c r="BK138" s="25">
        <f t="shared" si="60"/>
        <v>0</v>
      </c>
      <c r="BL138" s="25">
        <f t="shared" si="61"/>
        <v>0</v>
      </c>
      <c r="BM138" s="25">
        <f t="shared" si="62"/>
        <v>0</v>
      </c>
    </row>
    <row r="139" spans="1:65" ht="16.5" thickBot="1" x14ac:dyDescent="0.3">
      <c r="B139" s="1527" t="s">
        <v>1281</v>
      </c>
      <c r="C139" s="3211" t="s">
        <v>1028</v>
      </c>
      <c r="D139" s="3209" t="s">
        <v>50</v>
      </c>
      <c r="E139" s="800"/>
      <c r="F139" s="3172"/>
      <c r="G139" s="800"/>
      <c r="H139" s="6209"/>
      <c r="I139" s="3210"/>
      <c r="J139" s="37">
        <f t="shared" si="51"/>
        <v>0</v>
      </c>
      <c r="K139" s="800"/>
      <c r="L139" s="5722"/>
      <c r="M139" s="848"/>
      <c r="N139" s="586">
        <f t="shared" si="29"/>
        <v>0</v>
      </c>
      <c r="O139" s="800"/>
      <c r="P139" s="5857"/>
      <c r="Q139" s="245"/>
      <c r="R139" s="349">
        <f t="shared" si="30"/>
        <v>0</v>
      </c>
      <c r="S139" s="800"/>
      <c r="T139" s="5940"/>
      <c r="U139" s="245"/>
      <c r="V139" s="349">
        <f t="shared" si="31"/>
        <v>0</v>
      </c>
      <c r="W139" s="800"/>
      <c r="X139" s="6043"/>
      <c r="Y139" s="543"/>
      <c r="Z139" s="4598">
        <f t="shared" si="41"/>
        <v>0</v>
      </c>
      <c r="AA139" s="629"/>
      <c r="AB139" s="4599">
        <f t="shared" si="42"/>
        <v>0</v>
      </c>
      <c r="AC139" s="800"/>
      <c r="AD139" s="6169"/>
      <c r="AE139" s="245"/>
      <c r="AF139" s="4565">
        <f t="shared" si="52"/>
        <v>0</v>
      </c>
      <c r="AG139" s="800"/>
      <c r="AH139" s="6337"/>
      <c r="AI139" s="245"/>
      <c r="AJ139" s="349">
        <f t="shared" si="40"/>
        <v>0</v>
      </c>
      <c r="AK139" s="800"/>
      <c r="AL139" s="6600"/>
      <c r="AM139" s="2449"/>
      <c r="AN139" s="2449">
        <f t="shared" si="53"/>
        <v>0</v>
      </c>
      <c r="AO139" s="2236"/>
      <c r="AP139" s="4925">
        <f t="shared" si="54"/>
        <v>0</v>
      </c>
      <c r="AQ139" s="800"/>
      <c r="AR139" s="3172"/>
      <c r="AS139" s="245"/>
      <c r="AT139" s="4975">
        <f t="shared" si="55"/>
        <v>0</v>
      </c>
      <c r="AU139" s="800"/>
      <c r="AV139" s="3172"/>
      <c r="AW139" s="245"/>
      <c r="AX139" s="5036">
        <f t="shared" si="56"/>
        <v>0</v>
      </c>
      <c r="AY139" s="800"/>
      <c r="AZ139" s="3172"/>
      <c r="BA139" s="2449"/>
      <c r="BB139" s="2449">
        <f t="shared" si="48"/>
        <v>0</v>
      </c>
      <c r="BC139" s="629"/>
      <c r="BD139" s="629">
        <f t="shared" si="38"/>
        <v>0</v>
      </c>
      <c r="BE139" s="2236"/>
      <c r="BF139" s="2236">
        <f t="shared" si="49"/>
        <v>0</v>
      </c>
      <c r="BG139" s="1137"/>
      <c r="BH139" s="4234">
        <f t="shared" si="57"/>
        <v>0</v>
      </c>
      <c r="BI139" s="4234">
        <f t="shared" si="58"/>
        <v>0</v>
      </c>
      <c r="BJ139" s="25">
        <f t="shared" si="59"/>
        <v>0</v>
      </c>
      <c r="BK139" s="25">
        <f t="shared" si="60"/>
        <v>0</v>
      </c>
      <c r="BL139" s="25">
        <f t="shared" si="61"/>
        <v>0</v>
      </c>
      <c r="BM139" s="25">
        <f t="shared" si="62"/>
        <v>0</v>
      </c>
    </row>
    <row r="140" spans="1:65" ht="16.5" thickBot="1" x14ac:dyDescent="0.3">
      <c r="B140" s="1527" t="s">
        <v>1276</v>
      </c>
      <c r="C140" s="3211" t="s">
        <v>1028</v>
      </c>
      <c r="D140" s="3209" t="s">
        <v>50</v>
      </c>
      <c r="E140" s="800"/>
      <c r="F140" s="3172"/>
      <c r="G140" s="800"/>
      <c r="H140" s="6209"/>
      <c r="I140" s="3210"/>
      <c r="J140" s="37">
        <f t="shared" si="51"/>
        <v>0</v>
      </c>
      <c r="K140" s="800"/>
      <c r="L140" s="5722"/>
      <c r="M140" s="848"/>
      <c r="N140" s="586">
        <f t="shared" si="29"/>
        <v>0</v>
      </c>
      <c r="O140" s="800"/>
      <c r="P140" s="5857"/>
      <c r="Q140" s="245"/>
      <c r="R140" s="349">
        <f t="shared" si="30"/>
        <v>0</v>
      </c>
      <c r="S140" s="800"/>
      <c r="T140" s="5940"/>
      <c r="U140" s="245"/>
      <c r="V140" s="349">
        <f t="shared" si="31"/>
        <v>0</v>
      </c>
      <c r="W140" s="800"/>
      <c r="X140" s="6043"/>
      <c r="Y140" s="543"/>
      <c r="Z140" s="4598">
        <f t="shared" si="41"/>
        <v>0</v>
      </c>
      <c r="AA140" s="629"/>
      <c r="AB140" s="4599">
        <f t="shared" si="42"/>
        <v>0</v>
      </c>
      <c r="AC140" s="800"/>
      <c r="AD140" s="6169"/>
      <c r="AE140" s="245"/>
      <c r="AF140" s="4565">
        <f t="shared" si="52"/>
        <v>0</v>
      </c>
      <c r="AG140" s="800"/>
      <c r="AH140" s="6337"/>
      <c r="AI140" s="245"/>
      <c r="AJ140" s="349">
        <f t="shared" si="40"/>
        <v>0</v>
      </c>
      <c r="AK140" s="800"/>
      <c r="AL140" s="6600">
        <v>10.25</v>
      </c>
      <c r="AM140" s="2449"/>
      <c r="AN140" s="2449">
        <f t="shared" si="53"/>
        <v>10.25</v>
      </c>
      <c r="AO140" s="2236"/>
      <c r="AP140" s="4925">
        <f t="shared" si="54"/>
        <v>10.25</v>
      </c>
      <c r="AQ140" s="800"/>
      <c r="AR140" s="3172"/>
      <c r="AS140" s="245"/>
      <c r="AT140" s="4975">
        <f t="shared" si="55"/>
        <v>10.25</v>
      </c>
      <c r="AU140" s="800"/>
      <c r="AV140" s="3172"/>
      <c r="AW140" s="245"/>
      <c r="AX140" s="5036">
        <f t="shared" si="56"/>
        <v>10.25</v>
      </c>
      <c r="AY140" s="800"/>
      <c r="AZ140" s="3172">
        <v>10.25</v>
      </c>
      <c r="BA140" s="2449"/>
      <c r="BB140" s="2449">
        <f t="shared" si="48"/>
        <v>10.25</v>
      </c>
      <c r="BC140" s="629"/>
      <c r="BD140" s="629">
        <f t="shared" si="38"/>
        <v>20.5</v>
      </c>
      <c r="BE140" s="2236"/>
      <c r="BF140" s="2236">
        <f t="shared" si="49"/>
        <v>20.5</v>
      </c>
      <c r="BG140" s="1137"/>
      <c r="BH140" s="4234">
        <f t="shared" si="57"/>
        <v>0</v>
      </c>
      <c r="BI140" s="4234">
        <f t="shared" si="58"/>
        <v>0</v>
      </c>
      <c r="BJ140" s="25">
        <f t="shared" si="59"/>
        <v>0</v>
      </c>
      <c r="BK140" s="25">
        <f t="shared" si="60"/>
        <v>0</v>
      </c>
      <c r="BL140" s="25">
        <f t="shared" si="61"/>
        <v>0</v>
      </c>
      <c r="BM140" s="25">
        <f t="shared" si="62"/>
        <v>0</v>
      </c>
    </row>
    <row r="141" spans="1:65" ht="16.5" thickBot="1" x14ac:dyDescent="0.3">
      <c r="B141" s="3212" t="s">
        <v>1057</v>
      </c>
      <c r="C141" s="3213" t="s">
        <v>1028</v>
      </c>
      <c r="D141" s="3214" t="s">
        <v>50</v>
      </c>
      <c r="E141" s="3167"/>
      <c r="F141" s="3173"/>
      <c r="G141" s="3167"/>
      <c r="H141" s="105"/>
      <c r="I141" s="3215"/>
      <c r="J141" s="42">
        <f t="shared" si="51"/>
        <v>0</v>
      </c>
      <c r="K141" s="3167"/>
      <c r="L141" s="105"/>
      <c r="M141" s="848"/>
      <c r="N141" s="586">
        <f t="shared" si="29"/>
        <v>0</v>
      </c>
      <c r="O141" s="3167"/>
      <c r="P141" s="105"/>
      <c r="Q141" s="245"/>
      <c r="R141" s="349">
        <f t="shared" ref="R141:R157" si="63">+N141+P141</f>
        <v>0</v>
      </c>
      <c r="S141" s="3167"/>
      <c r="T141" s="105"/>
      <c r="U141" s="245"/>
      <c r="V141" s="349">
        <f t="shared" ref="V141:V155" si="64">+R141+T141</f>
        <v>0</v>
      </c>
      <c r="W141" s="3167"/>
      <c r="X141" s="105"/>
      <c r="Y141" s="543"/>
      <c r="Z141" s="4598">
        <f t="shared" si="41"/>
        <v>0</v>
      </c>
      <c r="AA141" s="629"/>
      <c r="AB141" s="4599">
        <f t="shared" si="42"/>
        <v>0</v>
      </c>
      <c r="AC141" s="3167"/>
      <c r="AD141" s="105"/>
      <c r="AE141" s="245"/>
      <c r="AF141" s="4565">
        <f t="shared" si="52"/>
        <v>0</v>
      </c>
      <c r="AG141" s="3167"/>
      <c r="AH141" s="105"/>
      <c r="AI141" s="245"/>
      <c r="AJ141" s="349">
        <f t="shared" si="40"/>
        <v>0</v>
      </c>
      <c r="AK141" s="3167"/>
      <c r="AL141" s="105"/>
      <c r="AM141" s="2449"/>
      <c r="AN141" s="2449">
        <f t="shared" si="53"/>
        <v>0</v>
      </c>
      <c r="AO141" s="2236"/>
      <c r="AP141" s="4925">
        <f t="shared" si="54"/>
        <v>0</v>
      </c>
      <c r="AQ141" s="3167"/>
      <c r="AR141" s="3173"/>
      <c r="AS141" s="245"/>
      <c r="AT141" s="4975">
        <f t="shared" si="55"/>
        <v>0</v>
      </c>
      <c r="AU141" s="3167"/>
      <c r="AV141" s="3173"/>
      <c r="AW141" s="245"/>
      <c r="AX141" s="5036">
        <f t="shared" si="56"/>
        <v>0</v>
      </c>
      <c r="AY141" s="3167"/>
      <c r="AZ141" s="3173"/>
      <c r="BA141" s="2449"/>
      <c r="BB141" s="2449">
        <f t="shared" si="48"/>
        <v>0</v>
      </c>
      <c r="BC141" s="629"/>
      <c r="BD141" s="629">
        <f t="shared" si="38"/>
        <v>0</v>
      </c>
      <c r="BE141" s="2236"/>
      <c r="BF141" s="2236">
        <f t="shared" si="49"/>
        <v>0</v>
      </c>
      <c r="BG141" s="1137"/>
      <c r="BH141" s="4234">
        <f t="shared" si="57"/>
        <v>0</v>
      </c>
      <c r="BI141" s="4234">
        <f t="shared" si="58"/>
        <v>0</v>
      </c>
      <c r="BJ141" s="25">
        <f t="shared" si="59"/>
        <v>0</v>
      </c>
      <c r="BK141" s="25">
        <f t="shared" si="60"/>
        <v>0</v>
      </c>
      <c r="BL141" s="25">
        <f t="shared" si="61"/>
        <v>0</v>
      </c>
      <c r="BM141" s="25">
        <f t="shared" si="62"/>
        <v>0</v>
      </c>
    </row>
    <row r="142" spans="1:65" ht="16.5" thickBot="1" x14ac:dyDescent="0.3">
      <c r="A142" s="2030"/>
      <c r="B142" s="3203" t="s">
        <v>792</v>
      </c>
      <c r="C142" s="1538"/>
      <c r="D142" s="2030"/>
      <c r="E142" s="4487"/>
      <c r="F142" s="4487"/>
      <c r="G142" s="4487"/>
      <c r="I142" s="2030"/>
      <c r="J142" s="3130"/>
      <c r="K142" s="4487"/>
      <c r="L142" s="4487"/>
      <c r="M142" s="502"/>
      <c r="N142" s="586">
        <f t="shared" si="29"/>
        <v>0</v>
      </c>
      <c r="O142" s="4487"/>
      <c r="P142" s="4487"/>
      <c r="Q142" s="2030"/>
      <c r="R142" s="349">
        <f t="shared" si="63"/>
        <v>0</v>
      </c>
      <c r="S142" s="4487"/>
      <c r="T142" s="4487"/>
      <c r="U142" s="4233"/>
      <c r="V142" s="349">
        <f t="shared" si="64"/>
        <v>0</v>
      </c>
      <c r="W142" s="4487"/>
      <c r="X142" s="4487"/>
      <c r="Y142" s="2030"/>
      <c r="Z142" s="4598"/>
      <c r="AA142" s="629"/>
      <c r="AB142" s="4599"/>
      <c r="AC142" s="4487"/>
      <c r="AD142" s="4487"/>
      <c r="AE142" s="2444"/>
      <c r="AF142" s="4565"/>
      <c r="AG142" s="4487"/>
      <c r="AH142" s="4487"/>
      <c r="AI142" s="4487"/>
      <c r="AJ142" s="349"/>
      <c r="AK142" s="4487"/>
      <c r="AL142" s="4487"/>
      <c r="AM142" s="2551"/>
      <c r="AN142" s="2449">
        <f t="shared" si="53"/>
        <v>0</v>
      </c>
      <c r="AO142" s="2236"/>
      <c r="AP142" s="4925">
        <f t="shared" si="54"/>
        <v>0</v>
      </c>
      <c r="AQ142" s="4487"/>
      <c r="AR142" s="4487"/>
      <c r="AS142" s="2608"/>
      <c r="AT142" s="4975">
        <f t="shared" si="55"/>
        <v>0</v>
      </c>
      <c r="AU142" s="4487"/>
      <c r="AV142" s="4487"/>
      <c r="AW142" s="4487"/>
      <c r="AX142" s="5036">
        <f t="shared" si="56"/>
        <v>0</v>
      </c>
      <c r="AY142" s="4487"/>
      <c r="AZ142" s="4487"/>
      <c r="BB142" s="2449">
        <f t="shared" si="48"/>
        <v>0</v>
      </c>
      <c r="BC142" s="629"/>
      <c r="BD142" s="629">
        <f t="shared" si="38"/>
        <v>0</v>
      </c>
      <c r="BE142" s="2236"/>
      <c r="BF142" s="2236">
        <f t="shared" si="49"/>
        <v>0</v>
      </c>
      <c r="BG142" s="1137"/>
      <c r="BH142" s="4234">
        <f t="shared" si="57"/>
        <v>0</v>
      </c>
      <c r="BI142" s="4234">
        <f t="shared" si="58"/>
        <v>0</v>
      </c>
      <c r="BJ142" s="25">
        <f t="shared" si="59"/>
        <v>0</v>
      </c>
      <c r="BK142" s="25">
        <f t="shared" si="60"/>
        <v>0</v>
      </c>
      <c r="BL142" s="25">
        <f t="shared" si="61"/>
        <v>0</v>
      </c>
      <c r="BM142" s="25">
        <f t="shared" si="62"/>
        <v>0</v>
      </c>
    </row>
    <row r="143" spans="1:65" ht="16.5" thickBot="1" x14ac:dyDescent="0.3">
      <c r="B143" s="3187" t="s">
        <v>993</v>
      </c>
      <c r="C143" s="3188"/>
      <c r="D143" s="3189" t="s">
        <v>50</v>
      </c>
      <c r="E143" s="3190"/>
      <c r="F143" s="3175"/>
      <c r="G143" s="3190"/>
      <c r="H143" s="147">
        <f>6.15+2.05</f>
        <v>8.1999999999999993</v>
      </c>
      <c r="I143" s="3191"/>
      <c r="J143" s="41">
        <f t="shared" si="51"/>
        <v>8.1999999999999993</v>
      </c>
      <c r="K143" s="3190"/>
      <c r="L143" s="147">
        <f>20.5+2.05</f>
        <v>22.55</v>
      </c>
      <c r="M143" s="1404"/>
      <c r="N143" s="586">
        <f t="shared" si="29"/>
        <v>30.75</v>
      </c>
      <c r="O143" s="3190"/>
      <c r="P143" s="147">
        <v>55.35</v>
      </c>
      <c r="Q143" s="245"/>
      <c r="R143" s="349">
        <f t="shared" si="63"/>
        <v>86.1</v>
      </c>
      <c r="S143" s="3190"/>
      <c r="T143" s="2055">
        <f>4.1+2.05+4.1</f>
        <v>10.25</v>
      </c>
      <c r="U143" s="245"/>
      <c r="V143" s="349">
        <f t="shared" si="64"/>
        <v>96.35</v>
      </c>
      <c r="W143" s="3190"/>
      <c r="X143" s="147">
        <v>2.0499999999999998</v>
      </c>
      <c r="Y143" s="2449"/>
      <c r="Z143" s="4598">
        <f t="shared" si="41"/>
        <v>67.649999999999991</v>
      </c>
      <c r="AA143" s="629"/>
      <c r="AB143" s="4599">
        <f t="shared" si="42"/>
        <v>98.399999999999991</v>
      </c>
      <c r="AC143" s="3190"/>
      <c r="AD143" s="147"/>
      <c r="AE143" s="245"/>
      <c r="AF143" s="5261">
        <f t="shared" si="52"/>
        <v>98.399999999999991</v>
      </c>
      <c r="AG143" s="3190"/>
      <c r="AH143" s="147">
        <f>47.15+4.1</f>
        <v>51.25</v>
      </c>
      <c r="AI143" s="245"/>
      <c r="AJ143" s="349">
        <f t="shared" ref="AJ143:AJ157" si="65">+AF143+AH143</f>
        <v>149.64999999999998</v>
      </c>
      <c r="AK143" s="3190"/>
      <c r="AL143" s="147">
        <v>6.1499999999999995</v>
      </c>
      <c r="AM143" s="2449"/>
      <c r="AN143" s="2449">
        <f t="shared" si="53"/>
        <v>57.4</v>
      </c>
      <c r="AO143" s="5261"/>
      <c r="AP143" s="5261">
        <f t="shared" si="54"/>
        <v>155.79999999999998</v>
      </c>
      <c r="AQ143" s="3190"/>
      <c r="AR143" s="3175">
        <v>2.0499999999999998</v>
      </c>
      <c r="AS143" s="245"/>
      <c r="AT143" s="5261">
        <f t="shared" si="55"/>
        <v>157.85</v>
      </c>
      <c r="AU143" s="3190"/>
      <c r="AV143" s="3175">
        <v>6.15</v>
      </c>
      <c r="AW143" s="245"/>
      <c r="AX143" s="5261">
        <f t="shared" si="56"/>
        <v>164</v>
      </c>
      <c r="AY143" s="3190"/>
      <c r="AZ143" s="3175">
        <v>2.0499999999999998</v>
      </c>
      <c r="BA143" s="2449"/>
      <c r="BB143" s="2449">
        <f t="shared" si="48"/>
        <v>10.25</v>
      </c>
      <c r="BC143" s="629"/>
      <c r="BD143" s="629">
        <f t="shared" si="38"/>
        <v>67.650000000000006</v>
      </c>
      <c r="BE143" s="5261"/>
      <c r="BF143" s="2045">
        <f t="shared" si="49"/>
        <v>166.05</v>
      </c>
      <c r="BG143" s="1137"/>
      <c r="BH143" s="4234">
        <f t="shared" si="57"/>
        <v>0</v>
      </c>
      <c r="BI143" s="4234">
        <f t="shared" si="58"/>
        <v>0</v>
      </c>
      <c r="BJ143" s="25">
        <f t="shared" si="59"/>
        <v>0</v>
      </c>
      <c r="BK143" s="25">
        <f t="shared" si="60"/>
        <v>0</v>
      </c>
      <c r="BL143" s="25">
        <f t="shared" si="61"/>
        <v>0</v>
      </c>
      <c r="BM143" s="25">
        <f t="shared" si="62"/>
        <v>0</v>
      </c>
    </row>
    <row r="144" spans="1:65" ht="16.5" thickBot="1" x14ac:dyDescent="0.3">
      <c r="B144" s="1528" t="s">
        <v>992</v>
      </c>
      <c r="C144" s="3192"/>
      <c r="D144" s="3193" t="s">
        <v>50</v>
      </c>
      <c r="E144" s="802"/>
      <c r="F144" s="3172">
        <v>18.45</v>
      </c>
      <c r="G144" s="802"/>
      <c r="H144" s="6209">
        <v>79.95</v>
      </c>
      <c r="I144" s="3194"/>
      <c r="J144" s="37">
        <f t="shared" si="51"/>
        <v>98.4</v>
      </c>
      <c r="K144" s="802"/>
      <c r="L144" s="5722">
        <f>63.55+2.05</f>
        <v>65.599999999999994</v>
      </c>
      <c r="M144" s="1404"/>
      <c r="N144" s="586">
        <f t="shared" ref="N144:N157" si="66">+F144+H144+L144</f>
        <v>164</v>
      </c>
      <c r="O144" s="802"/>
      <c r="P144" s="5857">
        <v>49.2</v>
      </c>
      <c r="Q144" s="245"/>
      <c r="R144" s="349">
        <f t="shared" si="63"/>
        <v>213.2</v>
      </c>
      <c r="S144" s="802"/>
      <c r="T144" s="7112">
        <v>53.3</v>
      </c>
      <c r="U144" s="245"/>
      <c r="V144" s="349">
        <f t="shared" si="64"/>
        <v>266.5</v>
      </c>
      <c r="W144" s="802"/>
      <c r="X144" s="6043">
        <v>129.15</v>
      </c>
      <c r="Y144" s="2449"/>
      <c r="Z144" s="4598">
        <f t="shared" si="41"/>
        <v>231.65</v>
      </c>
      <c r="AA144" s="629"/>
      <c r="AB144" s="4599">
        <f t="shared" si="42"/>
        <v>395.65</v>
      </c>
      <c r="AC144" s="802"/>
      <c r="AD144" s="3171">
        <v>12.3</v>
      </c>
      <c r="AE144" s="245"/>
      <c r="AF144" s="5261">
        <f t="shared" si="52"/>
        <v>407.95</v>
      </c>
      <c r="AG144" s="802"/>
      <c r="AH144" s="3171">
        <f>4.1+2.05+2.05</f>
        <v>8.1999999999999993</v>
      </c>
      <c r="AI144" s="245"/>
      <c r="AJ144" s="349">
        <f t="shared" si="65"/>
        <v>416.15</v>
      </c>
      <c r="AK144" s="802"/>
      <c r="AL144" s="3171">
        <f>28.7+4.1</f>
        <v>32.799999999999997</v>
      </c>
      <c r="AM144" s="2449"/>
      <c r="AN144" s="2449">
        <f t="shared" si="53"/>
        <v>53.3</v>
      </c>
      <c r="AO144" s="5261"/>
      <c r="AP144" s="5261">
        <f t="shared" si="54"/>
        <v>448.95</v>
      </c>
      <c r="AQ144" s="802"/>
      <c r="AR144" s="3172">
        <f>12.3+6.15+2.05</f>
        <v>20.500000000000004</v>
      </c>
      <c r="AS144" s="245"/>
      <c r="AT144" s="5261">
        <f t="shared" si="55"/>
        <v>469.45</v>
      </c>
      <c r="AU144" s="802"/>
      <c r="AV144" s="3172">
        <v>2.0499999999999998</v>
      </c>
      <c r="AW144" s="245"/>
      <c r="AX144" s="5261">
        <f t="shared" si="56"/>
        <v>471.5</v>
      </c>
      <c r="AY144" s="802"/>
      <c r="AZ144" s="3172">
        <v>12.3</v>
      </c>
      <c r="BA144" s="2449"/>
      <c r="BB144" s="2449">
        <f t="shared" si="48"/>
        <v>34.850000000000009</v>
      </c>
      <c r="BC144" s="629"/>
      <c r="BD144" s="629">
        <f t="shared" si="38"/>
        <v>88.15</v>
      </c>
      <c r="BE144" s="5261"/>
      <c r="BF144" s="5261">
        <f t="shared" si="49"/>
        <v>483.8</v>
      </c>
      <c r="BG144" s="1137"/>
      <c r="BH144" s="4234">
        <f t="shared" si="57"/>
        <v>0</v>
      </c>
      <c r="BI144" s="4234">
        <f t="shared" si="58"/>
        <v>0</v>
      </c>
      <c r="BJ144" s="25">
        <f t="shared" si="59"/>
        <v>0</v>
      </c>
      <c r="BK144" s="25">
        <f t="shared" si="60"/>
        <v>0</v>
      </c>
      <c r="BL144" s="25">
        <f t="shared" si="61"/>
        <v>0</v>
      </c>
      <c r="BM144" s="25">
        <f t="shared" si="62"/>
        <v>0</v>
      </c>
    </row>
    <row r="145" spans="1:68" ht="16.5" thickBot="1" x14ac:dyDescent="0.3">
      <c r="B145" s="1528" t="s">
        <v>991</v>
      </c>
      <c r="C145" s="3192"/>
      <c r="D145" s="3193" t="s">
        <v>50</v>
      </c>
      <c r="E145" s="802"/>
      <c r="F145" s="3172"/>
      <c r="G145" s="802"/>
      <c r="H145" s="6209"/>
      <c r="I145" s="3194"/>
      <c r="J145" s="37">
        <f t="shared" si="51"/>
        <v>0</v>
      </c>
      <c r="K145" s="802"/>
      <c r="L145" s="5722"/>
      <c r="M145" s="1404"/>
      <c r="N145" s="586">
        <f t="shared" si="66"/>
        <v>0</v>
      </c>
      <c r="O145" s="802"/>
      <c r="P145" s="5857"/>
      <c r="Q145" s="245"/>
      <c r="R145" s="349">
        <f t="shared" si="63"/>
        <v>0</v>
      </c>
      <c r="S145" s="802"/>
      <c r="T145" s="7112"/>
      <c r="U145" s="245"/>
      <c r="V145" s="349">
        <f t="shared" si="64"/>
        <v>0</v>
      </c>
      <c r="W145" s="802"/>
      <c r="X145" s="6043"/>
      <c r="Y145" s="2449"/>
      <c r="Z145" s="4598">
        <f t="shared" si="41"/>
        <v>0</v>
      </c>
      <c r="AA145" s="629"/>
      <c r="AB145" s="4599">
        <f t="shared" si="42"/>
        <v>0</v>
      </c>
      <c r="AC145" s="802"/>
      <c r="AD145" s="3171"/>
      <c r="AE145" s="245"/>
      <c r="AF145" s="5261">
        <f t="shared" si="52"/>
        <v>0</v>
      </c>
      <c r="AG145" s="802"/>
      <c r="AH145" s="3171">
        <v>6.1499999999999995</v>
      </c>
      <c r="AI145" s="245"/>
      <c r="AJ145" s="349">
        <f t="shared" si="65"/>
        <v>6.1499999999999995</v>
      </c>
      <c r="AK145" s="802"/>
      <c r="AL145" s="3171">
        <f>8.2+4.1+2.05+4.1</f>
        <v>18.449999999999996</v>
      </c>
      <c r="AM145" s="2449"/>
      <c r="AN145" s="2449">
        <f t="shared" si="53"/>
        <v>24.599999999999994</v>
      </c>
      <c r="AO145" s="5261"/>
      <c r="AP145" s="5261">
        <f t="shared" si="54"/>
        <v>24.599999999999994</v>
      </c>
      <c r="AQ145" s="802"/>
      <c r="AR145" s="3172"/>
      <c r="AS145" s="245"/>
      <c r="AT145" s="5261">
        <f t="shared" si="55"/>
        <v>24.599999999999994</v>
      </c>
      <c r="AU145" s="802"/>
      <c r="AV145" s="3172"/>
      <c r="AW145" s="245"/>
      <c r="AX145" s="5261">
        <f t="shared" si="56"/>
        <v>24.599999999999994</v>
      </c>
      <c r="AY145" s="802"/>
      <c r="AZ145" s="3172"/>
      <c r="BA145" s="2449"/>
      <c r="BB145" s="2449">
        <f t="shared" si="48"/>
        <v>0</v>
      </c>
      <c r="BC145" s="629"/>
      <c r="BD145" s="629">
        <f t="shared" si="38"/>
        <v>24.599999999999994</v>
      </c>
      <c r="BE145" s="5261"/>
      <c r="BF145" s="5261">
        <f t="shared" si="49"/>
        <v>24.599999999999994</v>
      </c>
      <c r="BG145" s="1137"/>
      <c r="BH145" s="4234">
        <f t="shared" si="57"/>
        <v>0</v>
      </c>
      <c r="BI145" s="4234">
        <f t="shared" si="58"/>
        <v>0</v>
      </c>
      <c r="BJ145" s="25">
        <f t="shared" si="59"/>
        <v>0</v>
      </c>
      <c r="BK145" s="25">
        <f t="shared" si="60"/>
        <v>0</v>
      </c>
      <c r="BL145" s="25">
        <f t="shared" si="61"/>
        <v>0</v>
      </c>
      <c r="BM145" s="25">
        <f t="shared" si="62"/>
        <v>0</v>
      </c>
    </row>
    <row r="146" spans="1:68" ht="16.5" thickBot="1" x14ac:dyDescent="0.3">
      <c r="B146" s="1528" t="s">
        <v>989</v>
      </c>
      <c r="C146" s="3192"/>
      <c r="D146" s="3193" t="s">
        <v>50</v>
      </c>
      <c r="E146" s="802"/>
      <c r="F146" s="3172">
        <v>16.399999999999999</v>
      </c>
      <c r="G146" s="802"/>
      <c r="H146" s="6209">
        <f>16.4+4.1</f>
        <v>20.5</v>
      </c>
      <c r="I146" s="3194"/>
      <c r="J146" s="37">
        <f t="shared" si="51"/>
        <v>36.9</v>
      </c>
      <c r="K146" s="802"/>
      <c r="L146" s="5722">
        <v>6.1499999999999995</v>
      </c>
      <c r="M146" s="1404"/>
      <c r="N146" s="586">
        <f t="shared" si="66"/>
        <v>43.05</v>
      </c>
      <c r="O146" s="802"/>
      <c r="P146" s="5857">
        <v>86.1</v>
      </c>
      <c r="Q146" s="245"/>
      <c r="R146" s="349">
        <f t="shared" si="63"/>
        <v>129.14999999999998</v>
      </c>
      <c r="S146" s="802"/>
      <c r="T146" s="7112">
        <v>8.1999999999999993</v>
      </c>
      <c r="U146" s="245"/>
      <c r="V146" s="349">
        <f t="shared" si="64"/>
        <v>137.34999999999997</v>
      </c>
      <c r="W146" s="802"/>
      <c r="X146" s="6043">
        <v>6.15</v>
      </c>
      <c r="Y146" s="2449"/>
      <c r="Z146" s="4598">
        <f t="shared" ref="Z146:Z151" si="67">P146+T146+X146</f>
        <v>100.45</v>
      </c>
      <c r="AA146" s="629"/>
      <c r="AB146" s="4599">
        <f t="shared" ref="AB146:AB155" si="68">N146+Z146</f>
        <v>143.5</v>
      </c>
      <c r="AC146" s="802"/>
      <c r="AD146" s="3171">
        <f>14.35+2.05</f>
        <v>16.399999999999999</v>
      </c>
      <c r="AE146" s="245"/>
      <c r="AF146" s="5261">
        <f t="shared" si="52"/>
        <v>159.9</v>
      </c>
      <c r="AG146" s="802"/>
      <c r="AH146" s="3171">
        <v>26.65</v>
      </c>
      <c r="AI146" s="245"/>
      <c r="AJ146" s="349">
        <f t="shared" si="65"/>
        <v>186.55</v>
      </c>
      <c r="AK146" s="802"/>
      <c r="AL146" s="3171">
        <f>34.85+4.1+10.25</f>
        <v>49.2</v>
      </c>
      <c r="AM146" s="2449"/>
      <c r="AN146" s="2449">
        <f t="shared" si="53"/>
        <v>92.25</v>
      </c>
      <c r="AO146" s="5261"/>
      <c r="AP146" s="5261">
        <f t="shared" si="54"/>
        <v>235.75</v>
      </c>
      <c r="AQ146" s="802"/>
      <c r="AR146" s="3172">
        <v>14.35</v>
      </c>
      <c r="AS146" s="245"/>
      <c r="AT146" s="5261">
        <f t="shared" si="55"/>
        <v>250.1</v>
      </c>
      <c r="AU146" s="802"/>
      <c r="AV146" s="3172">
        <v>40.999999999999986</v>
      </c>
      <c r="AW146" s="245"/>
      <c r="AX146" s="5261">
        <f t="shared" si="56"/>
        <v>291.09999999999997</v>
      </c>
      <c r="AY146" s="802"/>
      <c r="AZ146" s="3172">
        <v>55.35</v>
      </c>
      <c r="BA146" s="2449"/>
      <c r="BB146" s="2449">
        <f t="shared" si="48"/>
        <v>110.69999999999999</v>
      </c>
      <c r="BC146" s="629"/>
      <c r="BD146" s="629">
        <f t="shared" ref="BD146:BD156" si="69">AN146+BB146</f>
        <v>202.95</v>
      </c>
      <c r="BE146" s="5261"/>
      <c r="BF146" s="5261">
        <f t="shared" si="49"/>
        <v>346.45</v>
      </c>
      <c r="BG146" s="1137"/>
      <c r="BH146" s="4234">
        <f t="shared" si="57"/>
        <v>0</v>
      </c>
      <c r="BI146" s="4234">
        <f t="shared" si="58"/>
        <v>0</v>
      </c>
      <c r="BJ146" s="25">
        <f t="shared" si="59"/>
        <v>0</v>
      </c>
      <c r="BK146" s="25">
        <f t="shared" si="60"/>
        <v>0</v>
      </c>
      <c r="BL146" s="25">
        <f t="shared" si="61"/>
        <v>0</v>
      </c>
      <c r="BM146" s="25">
        <f t="shared" si="62"/>
        <v>0</v>
      </c>
    </row>
    <row r="147" spans="1:68" ht="16.5" thickBot="1" x14ac:dyDescent="0.3">
      <c r="B147" s="1528" t="s">
        <v>1078</v>
      </c>
      <c r="C147" s="3192"/>
      <c r="D147" s="3193" t="s">
        <v>50</v>
      </c>
      <c r="E147" s="802"/>
      <c r="F147" s="3171"/>
      <c r="G147" s="802"/>
      <c r="H147" s="6209"/>
      <c r="I147" s="3194"/>
      <c r="J147" s="37">
        <f t="shared" si="51"/>
        <v>0</v>
      </c>
      <c r="K147" s="802"/>
      <c r="L147" s="5722"/>
      <c r="M147" s="1404"/>
      <c r="N147" s="586">
        <f t="shared" si="66"/>
        <v>0</v>
      </c>
      <c r="O147" s="802"/>
      <c r="P147" s="5857"/>
      <c r="Q147" s="245"/>
      <c r="R147" s="349">
        <f t="shared" si="63"/>
        <v>0</v>
      </c>
      <c r="S147" s="802"/>
      <c r="T147" s="7112">
        <v>4.0999999999999996</v>
      </c>
      <c r="U147" s="245"/>
      <c r="V147" s="349">
        <f t="shared" si="64"/>
        <v>4.0999999999999996</v>
      </c>
      <c r="W147" s="802"/>
      <c r="X147" s="6043"/>
      <c r="Y147" s="2449"/>
      <c r="Z147" s="4598">
        <f t="shared" si="67"/>
        <v>4.0999999999999996</v>
      </c>
      <c r="AA147" s="629"/>
      <c r="AB147" s="4599">
        <f t="shared" si="68"/>
        <v>4.0999999999999996</v>
      </c>
      <c r="AC147" s="802"/>
      <c r="AD147" s="6169"/>
      <c r="AE147" s="245"/>
      <c r="AF147" s="5261">
        <f t="shared" si="52"/>
        <v>4.0999999999999996</v>
      </c>
      <c r="AG147" s="802"/>
      <c r="AH147" s="6337"/>
      <c r="AI147" s="245"/>
      <c r="AJ147" s="349">
        <f t="shared" si="65"/>
        <v>4.0999999999999996</v>
      </c>
      <c r="AK147" s="802"/>
      <c r="AL147" s="6600"/>
      <c r="AM147" s="2449"/>
      <c r="AN147" s="2449">
        <f t="shared" si="53"/>
        <v>0</v>
      </c>
      <c r="AO147" s="5261"/>
      <c r="AP147" s="5261">
        <f t="shared" si="54"/>
        <v>4.0999999999999996</v>
      </c>
      <c r="AQ147" s="802"/>
      <c r="AR147" s="3171"/>
      <c r="AS147" s="245"/>
      <c r="AT147" s="5261">
        <f t="shared" si="55"/>
        <v>4.0999999999999996</v>
      </c>
      <c r="AU147" s="802"/>
      <c r="AV147" s="3171"/>
      <c r="AW147" s="245"/>
      <c r="AX147" s="5261">
        <f t="shared" ref="AX147:AX157" si="70">+AT147+AV147</f>
        <v>4.0999999999999996</v>
      </c>
      <c r="AY147" s="802"/>
      <c r="AZ147" s="3171"/>
      <c r="BA147" s="2449"/>
      <c r="BB147" s="2449">
        <f t="shared" si="48"/>
        <v>0</v>
      </c>
      <c r="BC147" s="629"/>
      <c r="BD147" s="629">
        <f t="shared" si="69"/>
        <v>0</v>
      </c>
      <c r="BE147" s="5261"/>
      <c r="BF147" s="5261">
        <f t="shared" si="49"/>
        <v>4.0999999999999996</v>
      </c>
      <c r="BG147" s="1137"/>
      <c r="BH147" s="4234">
        <f t="shared" si="57"/>
        <v>0</v>
      </c>
      <c r="BI147" s="4234">
        <f t="shared" si="58"/>
        <v>0</v>
      </c>
      <c r="BJ147" s="25">
        <f t="shared" si="59"/>
        <v>0</v>
      </c>
      <c r="BK147" s="25">
        <f t="shared" si="60"/>
        <v>0</v>
      </c>
      <c r="BL147" s="25">
        <f t="shared" si="61"/>
        <v>0</v>
      </c>
      <c r="BM147" s="25">
        <f t="shared" si="62"/>
        <v>0</v>
      </c>
    </row>
    <row r="148" spans="1:68" ht="16.5" thickBot="1" x14ac:dyDescent="0.3">
      <c r="B148" s="1528" t="s">
        <v>1079</v>
      </c>
      <c r="C148" s="3192"/>
      <c r="D148" s="3193" t="s">
        <v>50</v>
      </c>
      <c r="E148" s="802"/>
      <c r="F148" s="3171"/>
      <c r="G148" s="802"/>
      <c r="H148" s="6209"/>
      <c r="I148" s="3194"/>
      <c r="J148" s="37">
        <f t="shared" si="51"/>
        <v>0</v>
      </c>
      <c r="K148" s="802"/>
      <c r="L148" s="5722">
        <f>6.15+2.05</f>
        <v>8.1999999999999993</v>
      </c>
      <c r="M148" s="1404"/>
      <c r="N148" s="586">
        <f t="shared" si="66"/>
        <v>8.1999999999999993</v>
      </c>
      <c r="O148" s="802"/>
      <c r="P148" s="5857">
        <v>2.0499999999999998</v>
      </c>
      <c r="Q148" s="245"/>
      <c r="R148" s="349">
        <f t="shared" si="63"/>
        <v>10.25</v>
      </c>
      <c r="S148" s="802"/>
      <c r="T148" s="7112"/>
      <c r="U148" s="245"/>
      <c r="V148" s="349">
        <f t="shared" si="64"/>
        <v>10.25</v>
      </c>
      <c r="W148" s="802"/>
      <c r="X148" s="6043"/>
      <c r="Y148" s="2449"/>
      <c r="Z148" s="4598">
        <f t="shared" si="67"/>
        <v>2.0499999999999998</v>
      </c>
      <c r="AA148" s="629"/>
      <c r="AB148" s="4599">
        <f t="shared" si="68"/>
        <v>10.25</v>
      </c>
      <c r="AC148" s="802"/>
      <c r="AD148" s="6169"/>
      <c r="AE148" s="245"/>
      <c r="AF148" s="5261">
        <f t="shared" si="52"/>
        <v>10.25</v>
      </c>
      <c r="AG148" s="802"/>
      <c r="AH148" s="6337"/>
      <c r="AI148" s="245"/>
      <c r="AJ148" s="349">
        <f t="shared" si="65"/>
        <v>10.25</v>
      </c>
      <c r="AK148" s="802"/>
      <c r="AL148" s="6600"/>
      <c r="AM148" s="2449"/>
      <c r="AN148" s="2449">
        <f t="shared" ref="AN148:AN157" si="71">AD148+AH148+AL148</f>
        <v>0</v>
      </c>
      <c r="AO148" s="5261"/>
      <c r="AP148" s="5261">
        <f t="shared" si="54"/>
        <v>10.25</v>
      </c>
      <c r="AQ148" s="802"/>
      <c r="AR148" s="3171"/>
      <c r="AS148" s="245"/>
      <c r="AT148" s="5261">
        <f t="shared" si="55"/>
        <v>10.25</v>
      </c>
      <c r="AU148" s="802"/>
      <c r="AV148" s="3171"/>
      <c r="AW148" s="245"/>
      <c r="AX148" s="5261">
        <f t="shared" si="70"/>
        <v>10.25</v>
      </c>
      <c r="AY148" s="802"/>
      <c r="AZ148" s="3171"/>
      <c r="BA148" s="2449"/>
      <c r="BB148" s="2449">
        <f t="shared" si="48"/>
        <v>0</v>
      </c>
      <c r="BC148" s="629"/>
      <c r="BD148" s="629">
        <f t="shared" si="69"/>
        <v>0</v>
      </c>
      <c r="BE148" s="5261"/>
      <c r="BF148" s="5261">
        <f t="shared" si="49"/>
        <v>10.25</v>
      </c>
      <c r="BG148" s="1137"/>
      <c r="BH148" s="4234">
        <f t="shared" si="57"/>
        <v>0</v>
      </c>
      <c r="BI148" s="4234">
        <f t="shared" si="58"/>
        <v>0</v>
      </c>
      <c r="BJ148" s="25">
        <f t="shared" si="59"/>
        <v>0</v>
      </c>
      <c r="BK148" s="25">
        <f t="shared" si="60"/>
        <v>0</v>
      </c>
      <c r="BL148" s="25">
        <f t="shared" si="61"/>
        <v>0</v>
      </c>
      <c r="BM148" s="25">
        <f t="shared" si="62"/>
        <v>0</v>
      </c>
    </row>
    <row r="149" spans="1:68" ht="16.5" thickBot="1" x14ac:dyDescent="0.3">
      <c r="B149" s="1528" t="s">
        <v>1222</v>
      </c>
      <c r="C149" s="3192"/>
      <c r="D149" s="3193" t="s">
        <v>50</v>
      </c>
      <c r="E149" s="802"/>
      <c r="F149" s="7594"/>
      <c r="G149" s="802"/>
      <c r="H149" s="6209"/>
      <c r="I149" s="3194"/>
      <c r="J149" s="37">
        <f t="shared" si="51"/>
        <v>0</v>
      </c>
      <c r="K149" s="802"/>
      <c r="L149" s="5722">
        <v>10.1</v>
      </c>
      <c r="M149" s="1404"/>
      <c r="N149" s="586">
        <f t="shared" si="66"/>
        <v>10.1</v>
      </c>
      <c r="O149" s="802"/>
      <c r="P149" s="5857">
        <v>16.399999999999999</v>
      </c>
      <c r="Q149" s="245"/>
      <c r="R149" s="349">
        <f t="shared" si="63"/>
        <v>26.5</v>
      </c>
      <c r="S149" s="802"/>
      <c r="T149" s="7112"/>
      <c r="U149" s="245"/>
      <c r="V149" s="349">
        <f t="shared" si="64"/>
        <v>26.5</v>
      </c>
      <c r="W149" s="802"/>
      <c r="X149" s="6043"/>
      <c r="Y149" s="2449"/>
      <c r="Z149" s="4598">
        <f t="shared" si="67"/>
        <v>16.399999999999999</v>
      </c>
      <c r="AA149" s="629"/>
      <c r="AB149" s="4599">
        <f t="shared" si="68"/>
        <v>26.5</v>
      </c>
      <c r="AC149" s="802"/>
      <c r="AD149" s="6169"/>
      <c r="AE149" s="245"/>
      <c r="AF149" s="5261">
        <f t="shared" si="52"/>
        <v>26.5</v>
      </c>
      <c r="AG149" s="802"/>
      <c r="AH149" s="6337"/>
      <c r="AI149" s="245"/>
      <c r="AJ149" s="349">
        <f t="shared" si="65"/>
        <v>26.5</v>
      </c>
      <c r="AK149" s="802"/>
      <c r="AL149" s="6600"/>
      <c r="AM149" s="2449"/>
      <c r="AN149" s="2449">
        <f t="shared" si="71"/>
        <v>0</v>
      </c>
      <c r="AO149" s="5261"/>
      <c r="AP149" s="5261">
        <f t="shared" ref="AP149:AP157" si="72">AJ149+AL149</f>
        <v>26.5</v>
      </c>
      <c r="AQ149" s="802"/>
      <c r="AR149" s="5262"/>
      <c r="AS149" s="245"/>
      <c r="AT149" s="5261">
        <f t="shared" si="55"/>
        <v>26.5</v>
      </c>
      <c r="AU149" s="802"/>
      <c r="AV149" s="6852"/>
      <c r="AW149" s="245"/>
      <c r="AX149" s="5261">
        <f t="shared" si="70"/>
        <v>26.5</v>
      </c>
      <c r="AY149" s="802"/>
      <c r="AZ149" s="7008"/>
      <c r="BA149" s="2449"/>
      <c r="BB149" s="2449">
        <f t="shared" si="48"/>
        <v>0</v>
      </c>
      <c r="BC149" s="629"/>
      <c r="BD149" s="629">
        <f t="shared" si="69"/>
        <v>0</v>
      </c>
      <c r="BE149" s="5261"/>
      <c r="BF149" s="5261">
        <f t="shared" si="49"/>
        <v>26.5</v>
      </c>
      <c r="BG149" s="1137"/>
      <c r="BH149" s="4234">
        <f t="shared" si="57"/>
        <v>0</v>
      </c>
      <c r="BI149" s="4234">
        <f t="shared" si="58"/>
        <v>0</v>
      </c>
      <c r="BJ149" s="25">
        <f t="shared" si="59"/>
        <v>0</v>
      </c>
      <c r="BK149" s="25">
        <f t="shared" si="60"/>
        <v>0</v>
      </c>
      <c r="BL149" s="25">
        <f t="shared" si="61"/>
        <v>0</v>
      </c>
      <c r="BM149" s="25">
        <f t="shared" si="62"/>
        <v>0</v>
      </c>
    </row>
    <row r="150" spans="1:68" ht="16.5" thickBot="1" x14ac:dyDescent="0.3">
      <c r="B150" s="1528" t="s">
        <v>988</v>
      </c>
      <c r="C150" s="3192"/>
      <c r="D150" s="3193" t="s">
        <v>50</v>
      </c>
      <c r="E150" s="802"/>
      <c r="F150" s="7594"/>
      <c r="G150" s="802"/>
      <c r="H150" s="6209">
        <v>2.0499999999999998</v>
      </c>
      <c r="I150" s="3194"/>
      <c r="J150" s="37">
        <f t="shared" si="51"/>
        <v>2.0499999999999998</v>
      </c>
      <c r="K150" s="802"/>
      <c r="L150" s="5722"/>
      <c r="M150" s="1404"/>
      <c r="N150" s="586">
        <f t="shared" si="66"/>
        <v>2.0499999999999998</v>
      </c>
      <c r="O150" s="802"/>
      <c r="P150" s="5857"/>
      <c r="Q150" s="245"/>
      <c r="R150" s="349">
        <f t="shared" si="63"/>
        <v>2.0499999999999998</v>
      </c>
      <c r="S150" s="802"/>
      <c r="T150" s="7112">
        <v>6.15</v>
      </c>
      <c r="U150" s="245"/>
      <c r="V150" s="349">
        <f t="shared" si="64"/>
        <v>8.1999999999999993</v>
      </c>
      <c r="W150" s="802"/>
      <c r="X150" s="6043"/>
      <c r="Y150" s="2449"/>
      <c r="Z150" s="4598">
        <f t="shared" si="67"/>
        <v>6.15</v>
      </c>
      <c r="AA150" s="629"/>
      <c r="AB150" s="4599">
        <f t="shared" si="68"/>
        <v>8.1999999999999993</v>
      </c>
      <c r="AC150" s="802"/>
      <c r="AD150" s="6169"/>
      <c r="AE150" s="245"/>
      <c r="AF150" s="5261">
        <f t="shared" si="52"/>
        <v>8.1999999999999993</v>
      </c>
      <c r="AG150" s="802"/>
      <c r="AH150" s="6337"/>
      <c r="AI150" s="245"/>
      <c r="AJ150" s="349">
        <f t="shared" si="65"/>
        <v>8.1999999999999993</v>
      </c>
      <c r="AK150" s="802"/>
      <c r="AL150" s="6600"/>
      <c r="AM150" s="2449"/>
      <c r="AN150" s="2449">
        <f t="shared" si="71"/>
        <v>0</v>
      </c>
      <c r="AO150" s="5261"/>
      <c r="AP150" s="5261">
        <f t="shared" si="72"/>
        <v>8.1999999999999993</v>
      </c>
      <c r="AQ150" s="802"/>
      <c r="AR150" s="5262"/>
      <c r="AS150" s="245"/>
      <c r="AT150" s="5261">
        <f t="shared" si="55"/>
        <v>8.1999999999999993</v>
      </c>
      <c r="AU150" s="802"/>
      <c r="AV150" s="6852"/>
      <c r="AW150" s="245"/>
      <c r="AX150" s="5261">
        <f t="shared" si="70"/>
        <v>8.1999999999999993</v>
      </c>
      <c r="AY150" s="802"/>
      <c r="AZ150" s="7008"/>
      <c r="BA150" s="2449"/>
      <c r="BB150" s="2449">
        <f t="shared" si="48"/>
        <v>0</v>
      </c>
      <c r="BC150" s="629"/>
      <c r="BD150" s="629">
        <f t="shared" si="69"/>
        <v>0</v>
      </c>
      <c r="BE150" s="5261"/>
      <c r="BF150" s="5261">
        <f t="shared" si="49"/>
        <v>8.1999999999999993</v>
      </c>
      <c r="BG150" s="1137"/>
      <c r="BH150" s="4234">
        <f t="shared" si="57"/>
        <v>0</v>
      </c>
      <c r="BI150" s="4234">
        <f t="shared" si="58"/>
        <v>0</v>
      </c>
      <c r="BJ150" s="25">
        <f t="shared" si="59"/>
        <v>0</v>
      </c>
      <c r="BK150" s="25">
        <f t="shared" si="60"/>
        <v>0</v>
      </c>
      <c r="BL150" s="25">
        <f t="shared" si="61"/>
        <v>0</v>
      </c>
      <c r="BM150" s="25">
        <f t="shared" si="62"/>
        <v>0</v>
      </c>
    </row>
    <row r="151" spans="1:68" s="4487" customFormat="1" ht="16.5" thickBot="1" x14ac:dyDescent="0.3">
      <c r="B151" s="1528" t="s">
        <v>1801</v>
      </c>
      <c r="C151" s="3192"/>
      <c r="D151" s="3193" t="s">
        <v>50</v>
      </c>
      <c r="E151" s="802"/>
      <c r="F151" s="4575"/>
      <c r="G151" s="802"/>
      <c r="H151" s="7111">
        <f>4.1+12.3</f>
        <v>16.399999999999999</v>
      </c>
      <c r="I151" s="4581"/>
      <c r="J151" s="37">
        <f t="shared" si="51"/>
        <v>16.399999999999999</v>
      </c>
      <c r="K151" s="802"/>
      <c r="L151" s="4574"/>
      <c r="M151" s="4582"/>
      <c r="N151" s="586">
        <f t="shared" si="66"/>
        <v>16.399999999999999</v>
      </c>
      <c r="O151" s="802"/>
      <c r="P151" s="4574"/>
      <c r="Q151" s="4578"/>
      <c r="R151" s="349">
        <f t="shared" si="63"/>
        <v>16.399999999999999</v>
      </c>
      <c r="S151" s="802"/>
      <c r="T151" s="4518"/>
      <c r="U151" s="4578"/>
      <c r="V151" s="349">
        <f t="shared" si="64"/>
        <v>16.399999999999999</v>
      </c>
      <c r="W151" s="802"/>
      <c r="X151" s="4574"/>
      <c r="Y151" s="4579"/>
      <c r="Z151" s="4598">
        <f t="shared" si="67"/>
        <v>0</v>
      </c>
      <c r="AA151" s="4580"/>
      <c r="AB151" s="4599">
        <f t="shared" si="68"/>
        <v>16.399999999999999</v>
      </c>
      <c r="AC151" s="802"/>
      <c r="AD151" s="4574"/>
      <c r="AE151" s="4578"/>
      <c r="AF151" s="5261">
        <f t="shared" si="52"/>
        <v>16.399999999999999</v>
      </c>
      <c r="AG151" s="802"/>
      <c r="AH151" s="4574"/>
      <c r="AI151" s="4578"/>
      <c r="AJ151" s="349">
        <f t="shared" si="65"/>
        <v>16.399999999999999</v>
      </c>
      <c r="AK151" s="802"/>
      <c r="AL151" s="4574"/>
      <c r="AM151" s="4579"/>
      <c r="AN151" s="2449">
        <f t="shared" si="71"/>
        <v>0</v>
      </c>
      <c r="AO151" s="4514"/>
      <c r="AP151" s="5261">
        <f t="shared" si="72"/>
        <v>16.399999999999999</v>
      </c>
      <c r="AQ151" s="802"/>
      <c r="AR151" s="4575"/>
      <c r="AS151" s="4578"/>
      <c r="AT151" s="5261">
        <f t="shared" si="55"/>
        <v>16.399999999999999</v>
      </c>
      <c r="AU151" s="802"/>
      <c r="AV151" s="4575"/>
      <c r="AW151" s="4578"/>
      <c r="AX151" s="5261">
        <f t="shared" si="70"/>
        <v>16.399999999999999</v>
      </c>
      <c r="AY151" s="802"/>
      <c r="AZ151" s="4575"/>
      <c r="BA151" s="4579"/>
      <c r="BB151" s="2449">
        <f t="shared" si="48"/>
        <v>0</v>
      </c>
      <c r="BC151" s="4580"/>
      <c r="BD151" s="629">
        <f t="shared" si="69"/>
        <v>0</v>
      </c>
      <c r="BE151" s="4514"/>
      <c r="BF151" s="5261">
        <f t="shared" si="49"/>
        <v>16.399999999999999</v>
      </c>
      <c r="BG151" s="1137"/>
      <c r="BH151" s="4234">
        <f t="shared" si="57"/>
        <v>0</v>
      </c>
      <c r="BI151" s="4234">
        <f t="shared" si="58"/>
        <v>0</v>
      </c>
      <c r="BJ151" s="25">
        <f t="shared" si="59"/>
        <v>0</v>
      </c>
      <c r="BK151" s="25">
        <f t="shared" si="60"/>
        <v>0</v>
      </c>
      <c r="BL151" s="25">
        <f t="shared" si="61"/>
        <v>0</v>
      </c>
      <c r="BM151" s="25">
        <f t="shared" si="62"/>
        <v>0</v>
      </c>
    </row>
    <row r="152" spans="1:68" ht="16.5" thickBot="1" x14ac:dyDescent="0.3">
      <c r="B152" s="1528" t="s">
        <v>987</v>
      </c>
      <c r="C152" s="3192"/>
      <c r="D152" s="3193" t="s">
        <v>50</v>
      </c>
      <c r="E152" s="802"/>
      <c r="F152" s="7594"/>
      <c r="G152" s="802"/>
      <c r="H152" s="6209">
        <v>2.0499999999999998</v>
      </c>
      <c r="I152" s="3194"/>
      <c r="J152" s="37">
        <f t="shared" si="51"/>
        <v>2.0499999999999998</v>
      </c>
      <c r="K152" s="802"/>
      <c r="L152" s="5722"/>
      <c r="M152" s="1404"/>
      <c r="N152" s="586">
        <f t="shared" si="66"/>
        <v>2.0499999999999998</v>
      </c>
      <c r="O152" s="802"/>
      <c r="P152" s="5857">
        <v>4.0999999999999996</v>
      </c>
      <c r="Q152" s="245"/>
      <c r="R152" s="349">
        <f t="shared" si="63"/>
        <v>6.1499999999999995</v>
      </c>
      <c r="S152" s="802"/>
      <c r="T152" s="7112"/>
      <c r="U152" s="245"/>
      <c r="V152" s="349">
        <f t="shared" si="64"/>
        <v>6.1499999999999995</v>
      </c>
      <c r="W152" s="802"/>
      <c r="X152" s="6043">
        <v>6.15</v>
      </c>
      <c r="Y152" s="2449"/>
      <c r="Z152" s="2449">
        <f t="shared" ref="Z152:Z157" si="73">P152+T152+X152</f>
        <v>10.25</v>
      </c>
      <c r="AA152" s="629"/>
      <c r="AB152" s="4599">
        <f t="shared" si="68"/>
        <v>12.3</v>
      </c>
      <c r="AC152" s="802"/>
      <c r="AD152" s="6169"/>
      <c r="AE152" s="245"/>
      <c r="AF152" s="5261">
        <f t="shared" si="52"/>
        <v>12.3</v>
      </c>
      <c r="AG152" s="802"/>
      <c r="AH152" s="6337"/>
      <c r="AI152" s="245"/>
      <c r="AJ152" s="349">
        <f t="shared" si="65"/>
        <v>12.3</v>
      </c>
      <c r="AK152" s="802"/>
      <c r="AL152" s="6600">
        <f>36.9+4.1</f>
        <v>41</v>
      </c>
      <c r="AM152" s="2449"/>
      <c r="AN152" s="2449">
        <f t="shared" si="71"/>
        <v>41</v>
      </c>
      <c r="AO152" s="5261"/>
      <c r="AP152" s="5261">
        <f t="shared" si="72"/>
        <v>53.3</v>
      </c>
      <c r="AQ152" s="802"/>
      <c r="AR152" s="5262"/>
      <c r="AS152" s="245"/>
      <c r="AT152" s="5261">
        <f t="shared" si="55"/>
        <v>53.3</v>
      </c>
      <c r="AU152" s="802"/>
      <c r="AV152" s="6852"/>
      <c r="AW152" s="245"/>
      <c r="AX152" s="5261">
        <f t="shared" si="70"/>
        <v>53.3</v>
      </c>
      <c r="AY152" s="802"/>
      <c r="AZ152" s="7008"/>
      <c r="BA152" s="2449"/>
      <c r="BB152" s="2449">
        <f t="shared" si="48"/>
        <v>0</v>
      </c>
      <c r="BC152" s="629"/>
      <c r="BD152" s="629">
        <f t="shared" si="69"/>
        <v>41</v>
      </c>
      <c r="BE152" s="5261"/>
      <c r="BF152" s="5261">
        <f t="shared" si="49"/>
        <v>53.3</v>
      </c>
      <c r="BG152" s="1137"/>
      <c r="BH152" s="4234">
        <f t="shared" si="57"/>
        <v>0</v>
      </c>
      <c r="BI152" s="4234">
        <f t="shared" si="58"/>
        <v>0</v>
      </c>
      <c r="BJ152" s="25">
        <f t="shared" si="59"/>
        <v>0</v>
      </c>
      <c r="BK152" s="25">
        <f t="shared" si="60"/>
        <v>0</v>
      </c>
      <c r="BL152" s="25">
        <f t="shared" si="61"/>
        <v>0</v>
      </c>
      <c r="BM152" s="25">
        <f t="shared" si="62"/>
        <v>0</v>
      </c>
    </row>
    <row r="153" spans="1:68" ht="16.5" thickBot="1" x14ac:dyDescent="0.3">
      <c r="B153" s="1528" t="s">
        <v>1297</v>
      </c>
      <c r="C153" s="3192"/>
      <c r="D153" s="3193" t="s">
        <v>50</v>
      </c>
      <c r="E153" s="802"/>
      <c r="F153" s="7594"/>
      <c r="G153" s="802"/>
      <c r="H153" s="6209"/>
      <c r="I153" s="3194"/>
      <c r="J153" s="37">
        <f t="shared" si="51"/>
        <v>0</v>
      </c>
      <c r="K153" s="802"/>
      <c r="L153" s="5722"/>
      <c r="M153" s="1404"/>
      <c r="N153" s="586">
        <f t="shared" si="66"/>
        <v>0</v>
      </c>
      <c r="O153" s="802"/>
      <c r="P153" s="5857"/>
      <c r="Q153" s="245"/>
      <c r="R153" s="349">
        <f t="shared" si="63"/>
        <v>0</v>
      </c>
      <c r="S153" s="802"/>
      <c r="T153" s="7112"/>
      <c r="U153" s="245"/>
      <c r="V153" s="349">
        <f t="shared" si="64"/>
        <v>0</v>
      </c>
      <c r="W153" s="802"/>
      <c r="X153" s="6043"/>
      <c r="Y153" s="2449"/>
      <c r="Z153" s="2449">
        <f t="shared" si="73"/>
        <v>0</v>
      </c>
      <c r="AA153" s="629"/>
      <c r="AB153" s="4599">
        <f t="shared" si="68"/>
        <v>0</v>
      </c>
      <c r="AC153" s="802"/>
      <c r="AD153" s="6169"/>
      <c r="AE153" s="245"/>
      <c r="AF153" s="5261">
        <f t="shared" si="52"/>
        <v>0</v>
      </c>
      <c r="AG153" s="802"/>
      <c r="AH153" s="6337"/>
      <c r="AI153" s="245"/>
      <c r="AJ153" s="349">
        <f t="shared" si="65"/>
        <v>0</v>
      </c>
      <c r="AK153" s="802"/>
      <c r="AL153" s="6600"/>
      <c r="AM153" s="2449"/>
      <c r="AN153" s="2449">
        <f t="shared" si="71"/>
        <v>0</v>
      </c>
      <c r="AO153" s="5261"/>
      <c r="AP153" s="5261">
        <f t="shared" si="72"/>
        <v>0</v>
      </c>
      <c r="AQ153" s="802"/>
      <c r="AR153" s="5262"/>
      <c r="AS153" s="245"/>
      <c r="AT153" s="5261">
        <f t="shared" si="55"/>
        <v>0</v>
      </c>
      <c r="AU153" s="802"/>
      <c r="AV153" s="6852"/>
      <c r="AW153" s="245"/>
      <c r="AX153" s="5261">
        <f t="shared" si="70"/>
        <v>0</v>
      </c>
      <c r="AY153" s="802"/>
      <c r="AZ153" s="7008"/>
      <c r="BA153" s="2449"/>
      <c r="BB153" s="2449">
        <f t="shared" si="48"/>
        <v>0</v>
      </c>
      <c r="BC153" s="629"/>
      <c r="BD153" s="629">
        <f t="shared" si="69"/>
        <v>0</v>
      </c>
      <c r="BE153" s="5261"/>
      <c r="BF153" s="5261">
        <f t="shared" si="49"/>
        <v>0</v>
      </c>
      <c r="BG153" s="1137"/>
      <c r="BH153" s="4234">
        <f t="shared" si="57"/>
        <v>0</v>
      </c>
      <c r="BI153" s="4234">
        <f t="shared" si="58"/>
        <v>0</v>
      </c>
      <c r="BJ153" s="25">
        <f t="shared" si="59"/>
        <v>0</v>
      </c>
      <c r="BK153" s="25">
        <f t="shared" si="60"/>
        <v>0</v>
      </c>
      <c r="BL153" s="25">
        <f t="shared" si="61"/>
        <v>0</v>
      </c>
      <c r="BM153" s="25">
        <f t="shared" si="62"/>
        <v>0</v>
      </c>
    </row>
    <row r="154" spans="1:68" ht="15.75" customHeight="1" thickBot="1" x14ac:dyDescent="0.3">
      <c r="B154" s="1528" t="s">
        <v>986</v>
      </c>
      <c r="C154" s="3192"/>
      <c r="D154" s="3193" t="s">
        <v>50</v>
      </c>
      <c r="E154" s="802"/>
      <c r="F154" s="7594"/>
      <c r="G154" s="802"/>
      <c r="H154" s="6209"/>
      <c r="I154" s="3194"/>
      <c r="J154" s="37">
        <f t="shared" si="51"/>
        <v>0</v>
      </c>
      <c r="K154" s="802"/>
      <c r="L154" s="5722">
        <v>2.0499999999999998</v>
      </c>
      <c r="M154" s="1404"/>
      <c r="N154" s="586">
        <f t="shared" si="66"/>
        <v>2.0499999999999998</v>
      </c>
      <c r="O154" s="802"/>
      <c r="P154" s="5857"/>
      <c r="Q154" s="245"/>
      <c r="R154" s="349">
        <f t="shared" si="63"/>
        <v>2.0499999999999998</v>
      </c>
      <c r="S154" s="802"/>
      <c r="T154" s="7112"/>
      <c r="U154" s="245"/>
      <c r="V154" s="349">
        <f t="shared" si="64"/>
        <v>2.0499999999999998</v>
      </c>
      <c r="W154" s="802"/>
      <c r="X154" s="6043"/>
      <c r="Y154" s="2449"/>
      <c r="Z154" s="2449">
        <f t="shared" si="73"/>
        <v>0</v>
      </c>
      <c r="AA154" s="629"/>
      <c r="AB154" s="4599">
        <f t="shared" si="68"/>
        <v>2.0499999999999998</v>
      </c>
      <c r="AC154" s="802"/>
      <c r="AD154" s="6169"/>
      <c r="AE154" s="245"/>
      <c r="AF154" s="5261">
        <f t="shared" si="52"/>
        <v>2.0499999999999998</v>
      </c>
      <c r="AG154" s="802"/>
      <c r="AH154" s="6337"/>
      <c r="AI154" s="245"/>
      <c r="AJ154" s="349">
        <f t="shared" si="65"/>
        <v>2.0499999999999998</v>
      </c>
      <c r="AK154" s="802"/>
      <c r="AL154" s="6600">
        <v>2.0499999999999998</v>
      </c>
      <c r="AM154" s="2449"/>
      <c r="AN154" s="2449">
        <f t="shared" si="71"/>
        <v>2.0499999999999998</v>
      </c>
      <c r="AO154" s="5261"/>
      <c r="AP154" s="5261">
        <f t="shared" si="72"/>
        <v>4.0999999999999996</v>
      </c>
      <c r="AQ154" s="802"/>
      <c r="AR154" s="5262">
        <f>4.1+2.05</f>
        <v>6.1499999999999995</v>
      </c>
      <c r="AS154" s="245"/>
      <c r="AT154" s="5261">
        <f t="shared" si="55"/>
        <v>10.25</v>
      </c>
      <c r="AU154" s="802"/>
      <c r="AV154" s="6852"/>
      <c r="AW154" s="245"/>
      <c r="AX154" s="5261">
        <f t="shared" si="70"/>
        <v>10.25</v>
      </c>
      <c r="AY154" s="802"/>
      <c r="AZ154" s="7008">
        <v>4.0999999999999996</v>
      </c>
      <c r="BA154" s="2449"/>
      <c r="BB154" s="2449">
        <f t="shared" si="48"/>
        <v>10.25</v>
      </c>
      <c r="BC154" s="629"/>
      <c r="BD154" s="629">
        <f t="shared" si="69"/>
        <v>12.3</v>
      </c>
      <c r="BE154" s="5261"/>
      <c r="BF154" s="5261">
        <f t="shared" si="49"/>
        <v>14.35</v>
      </c>
      <c r="BG154" s="1137"/>
      <c r="BH154" s="4234">
        <f t="shared" si="57"/>
        <v>0</v>
      </c>
      <c r="BI154" s="4234">
        <f t="shared" si="58"/>
        <v>0</v>
      </c>
      <c r="BJ154" s="25">
        <f t="shared" si="59"/>
        <v>0</v>
      </c>
      <c r="BK154" s="25">
        <f t="shared" si="60"/>
        <v>0</v>
      </c>
      <c r="BL154" s="25">
        <f t="shared" si="61"/>
        <v>0</v>
      </c>
      <c r="BM154" s="25">
        <f t="shared" si="62"/>
        <v>0</v>
      </c>
    </row>
    <row r="155" spans="1:68" ht="15.75" customHeight="1" thickBot="1" x14ac:dyDescent="0.3">
      <c r="B155" s="1528" t="s">
        <v>1243</v>
      </c>
      <c r="C155" s="3192"/>
      <c r="D155" s="3193" t="s">
        <v>50</v>
      </c>
      <c r="E155" s="3195"/>
      <c r="F155" s="7594"/>
      <c r="G155" s="3195"/>
      <c r="H155" s="6209"/>
      <c r="I155" s="3196"/>
      <c r="J155" s="37">
        <f t="shared" si="51"/>
        <v>0</v>
      </c>
      <c r="K155" s="3195"/>
      <c r="L155" s="5722"/>
      <c r="M155" s="1405"/>
      <c r="N155" s="586">
        <f t="shared" si="66"/>
        <v>0</v>
      </c>
      <c r="O155" s="3195"/>
      <c r="P155" s="5857"/>
      <c r="Q155" s="1603"/>
      <c r="R155" s="349">
        <f t="shared" si="63"/>
        <v>0</v>
      </c>
      <c r="S155" s="3195"/>
      <c r="T155" s="7112"/>
      <c r="U155" s="1603"/>
      <c r="V155" s="349">
        <f t="shared" si="64"/>
        <v>0</v>
      </c>
      <c r="W155" s="3195"/>
      <c r="X155" s="6043"/>
      <c r="Y155" s="803"/>
      <c r="Z155" s="2449">
        <f t="shared" si="73"/>
        <v>0</v>
      </c>
      <c r="AA155" s="629"/>
      <c r="AB155" s="4599">
        <f t="shared" si="68"/>
        <v>0</v>
      </c>
      <c r="AC155" s="3195"/>
      <c r="AD155" s="6169"/>
      <c r="AE155" s="245"/>
      <c r="AF155" s="5261">
        <f t="shared" ref="AF155:AF157" si="74">+AB155+AD155</f>
        <v>0</v>
      </c>
      <c r="AG155" s="3195"/>
      <c r="AH155" s="6337"/>
      <c r="AI155" s="245"/>
      <c r="AJ155" s="349">
        <f t="shared" si="65"/>
        <v>0</v>
      </c>
      <c r="AK155" s="3195"/>
      <c r="AL155" s="6600"/>
      <c r="AM155" s="803"/>
      <c r="AN155" s="2449">
        <f t="shared" si="71"/>
        <v>0</v>
      </c>
      <c r="AO155" s="5261"/>
      <c r="AP155" s="5261">
        <f t="shared" si="72"/>
        <v>0</v>
      </c>
      <c r="AQ155" s="3195"/>
      <c r="AR155" s="5262"/>
      <c r="AS155" s="245"/>
      <c r="AT155" s="5261">
        <f t="shared" si="55"/>
        <v>0</v>
      </c>
      <c r="AU155" s="3195"/>
      <c r="AV155" s="6852"/>
      <c r="AW155" s="245"/>
      <c r="AX155" s="5261">
        <f t="shared" si="70"/>
        <v>0</v>
      </c>
      <c r="AY155" s="3195"/>
      <c r="AZ155" s="7008"/>
      <c r="BA155" s="803"/>
      <c r="BB155" s="2449">
        <f t="shared" si="48"/>
        <v>0</v>
      </c>
      <c r="BC155" s="629"/>
      <c r="BD155" s="629">
        <f t="shared" si="69"/>
        <v>0</v>
      </c>
      <c r="BE155" s="5261"/>
      <c r="BF155" s="5261">
        <f t="shared" si="49"/>
        <v>0</v>
      </c>
      <c r="BG155" s="1137"/>
      <c r="BH155" s="4234">
        <f t="shared" si="57"/>
        <v>0</v>
      </c>
      <c r="BI155" s="4234">
        <f t="shared" si="58"/>
        <v>0</v>
      </c>
      <c r="BJ155" s="25">
        <f t="shared" si="59"/>
        <v>0</v>
      </c>
      <c r="BK155" s="25">
        <f t="shared" si="60"/>
        <v>0</v>
      </c>
      <c r="BL155" s="25">
        <f t="shared" si="61"/>
        <v>0</v>
      </c>
      <c r="BM155" s="25">
        <f t="shared" si="62"/>
        <v>0</v>
      </c>
    </row>
    <row r="156" spans="1:68" ht="15.75" customHeight="1" thickBot="1" x14ac:dyDescent="0.3">
      <c r="B156" s="1528" t="s">
        <v>1276</v>
      </c>
      <c r="C156" s="3192"/>
      <c r="D156" s="3197" t="s">
        <v>50</v>
      </c>
      <c r="E156" s="3195"/>
      <c r="F156" s="7594"/>
      <c r="G156" s="3195"/>
      <c r="H156" s="6209">
        <f>4.1+4.1</f>
        <v>8.1999999999999993</v>
      </c>
      <c r="I156" s="3196"/>
      <c r="J156" s="37">
        <f t="shared" si="51"/>
        <v>8.1999999999999993</v>
      </c>
      <c r="K156" s="3195"/>
      <c r="L156" s="5722"/>
      <c r="M156" s="1405"/>
      <c r="N156" s="586">
        <f t="shared" si="66"/>
        <v>8.1999999999999993</v>
      </c>
      <c r="O156" s="3195"/>
      <c r="P156" s="5857"/>
      <c r="Q156" s="1604"/>
      <c r="R156" s="349">
        <f t="shared" si="63"/>
        <v>8.1999999999999993</v>
      </c>
      <c r="S156" s="3195"/>
      <c r="T156" s="7112"/>
      <c r="U156" s="1604"/>
      <c r="V156" s="5261">
        <f t="shared" ref="V156:V157" si="75">+R156+T156</f>
        <v>8.1999999999999993</v>
      </c>
      <c r="W156" s="3195"/>
      <c r="X156" s="6043"/>
      <c r="Y156" s="803"/>
      <c r="Z156" s="2449">
        <f t="shared" si="73"/>
        <v>0</v>
      </c>
      <c r="AA156" s="629"/>
      <c r="AB156" s="629">
        <f t="shared" ref="AB156:AB157" si="76">N156+Z156</f>
        <v>8.1999999999999993</v>
      </c>
      <c r="AC156" s="3195"/>
      <c r="AD156" s="6169"/>
      <c r="AE156" s="571"/>
      <c r="AF156" s="5261">
        <f t="shared" si="74"/>
        <v>8.1999999999999993</v>
      </c>
      <c r="AG156" s="3195"/>
      <c r="AH156" s="6337"/>
      <c r="AI156" s="571"/>
      <c r="AJ156" s="349">
        <f t="shared" si="65"/>
        <v>8.1999999999999993</v>
      </c>
      <c r="AK156" s="3195"/>
      <c r="AL156" s="6600">
        <v>2.0499999999999998</v>
      </c>
      <c r="AM156" s="803"/>
      <c r="AN156" s="2449">
        <f t="shared" si="71"/>
        <v>2.0499999999999998</v>
      </c>
      <c r="AO156" s="5261"/>
      <c r="AP156" s="5261">
        <f t="shared" si="72"/>
        <v>10.25</v>
      </c>
      <c r="AQ156" s="3195"/>
      <c r="AR156" s="5262"/>
      <c r="AS156" s="571"/>
      <c r="AT156" s="5261">
        <f t="shared" si="55"/>
        <v>10.25</v>
      </c>
      <c r="AU156" s="3195"/>
      <c r="AV156" s="6852"/>
      <c r="AW156" s="571"/>
      <c r="AX156" s="5261">
        <f t="shared" si="70"/>
        <v>10.25</v>
      </c>
      <c r="AY156" s="3195"/>
      <c r="AZ156" s="7008">
        <v>22.55</v>
      </c>
      <c r="BA156" s="803"/>
      <c r="BB156" s="2449">
        <f t="shared" si="48"/>
        <v>22.55</v>
      </c>
      <c r="BC156" s="629"/>
      <c r="BD156" s="629">
        <f t="shared" si="69"/>
        <v>24.6</v>
      </c>
      <c r="BE156" s="5261"/>
      <c r="BF156" s="5261">
        <f t="shared" si="49"/>
        <v>32.799999999999997</v>
      </c>
      <c r="BG156" s="1137"/>
      <c r="BH156" s="4234">
        <f t="shared" si="57"/>
        <v>0</v>
      </c>
      <c r="BI156" s="4234">
        <f t="shared" si="58"/>
        <v>0</v>
      </c>
      <c r="BJ156" s="25">
        <f t="shared" si="59"/>
        <v>0</v>
      </c>
      <c r="BK156" s="25">
        <f t="shared" si="60"/>
        <v>0</v>
      </c>
      <c r="BL156" s="25">
        <f t="shared" si="61"/>
        <v>0</v>
      </c>
      <c r="BM156" s="25">
        <f t="shared" si="62"/>
        <v>0</v>
      </c>
    </row>
    <row r="157" spans="1:68" ht="15.75" customHeight="1" thickBot="1" x14ac:dyDescent="0.3">
      <c r="B157" s="3198" t="s">
        <v>1057</v>
      </c>
      <c r="C157" s="3199"/>
      <c r="D157" s="3200" t="s">
        <v>50</v>
      </c>
      <c r="E157" s="3201"/>
      <c r="F157" s="105"/>
      <c r="G157" s="3201"/>
      <c r="H157" s="105"/>
      <c r="I157" s="3202"/>
      <c r="J157" s="42">
        <f t="shared" si="51"/>
        <v>0</v>
      </c>
      <c r="K157" s="3201"/>
      <c r="L157" s="105">
        <v>2.0499999999999998</v>
      </c>
      <c r="M157" s="1405"/>
      <c r="N157" s="586">
        <f t="shared" si="66"/>
        <v>2.0499999999999998</v>
      </c>
      <c r="O157" s="3201"/>
      <c r="P157" s="105"/>
      <c r="Q157" s="1526"/>
      <c r="R157" s="349">
        <f t="shared" si="63"/>
        <v>2.0499999999999998</v>
      </c>
      <c r="S157" s="3201"/>
      <c r="T157" s="105"/>
      <c r="U157" s="1526"/>
      <c r="V157" s="4351">
        <f t="shared" si="75"/>
        <v>2.0499999999999998</v>
      </c>
      <c r="W157" s="3201"/>
      <c r="X157" s="105"/>
      <c r="Y157" s="803"/>
      <c r="Z157" s="2449">
        <f t="shared" si="73"/>
        <v>0</v>
      </c>
      <c r="AA157" s="629"/>
      <c r="AB157" s="629">
        <f t="shared" si="76"/>
        <v>2.0499999999999998</v>
      </c>
      <c r="AC157" s="3201"/>
      <c r="AD157" s="105"/>
      <c r="AE157" s="1526"/>
      <c r="AF157" s="4565">
        <f t="shared" si="74"/>
        <v>2.0499999999999998</v>
      </c>
      <c r="AG157" s="3201"/>
      <c r="AH157" s="105"/>
      <c r="AI157" s="1526"/>
      <c r="AJ157" s="349">
        <f t="shared" si="65"/>
        <v>2.0499999999999998</v>
      </c>
      <c r="AK157" s="3201"/>
      <c r="AL157" s="105"/>
      <c r="AM157" s="803"/>
      <c r="AN157" s="2449">
        <f t="shared" si="71"/>
        <v>0</v>
      </c>
      <c r="AO157" s="2236"/>
      <c r="AP157" s="4925">
        <f t="shared" si="72"/>
        <v>2.0499999999999998</v>
      </c>
      <c r="AQ157" s="3201"/>
      <c r="AR157" s="105"/>
      <c r="AS157" s="1526"/>
      <c r="AT157" s="4975">
        <f t="shared" si="55"/>
        <v>2.0499999999999998</v>
      </c>
      <c r="AU157" s="3201"/>
      <c r="AV157" s="105"/>
      <c r="AW157" s="1526"/>
      <c r="AX157" s="5036">
        <f t="shared" si="70"/>
        <v>2.0499999999999998</v>
      </c>
      <c r="AY157" s="3201"/>
      <c r="AZ157" s="105"/>
      <c r="BA157" s="803"/>
      <c r="BB157" s="2449">
        <f t="shared" si="48"/>
        <v>0</v>
      </c>
      <c r="BC157" s="629"/>
      <c r="BD157" s="629">
        <f t="shared" ref="BD157" si="77">AN157+BB157</f>
        <v>0</v>
      </c>
      <c r="BE157" s="2236"/>
      <c r="BF157" s="2236">
        <f t="shared" si="49"/>
        <v>2.0499999999999998</v>
      </c>
      <c r="BG157" s="1137"/>
      <c r="BH157" s="4234">
        <f t="shared" si="57"/>
        <v>0</v>
      </c>
      <c r="BI157" s="4234">
        <f t="shared" si="58"/>
        <v>0</v>
      </c>
      <c r="BJ157" s="25">
        <f t="shared" si="59"/>
        <v>0</v>
      </c>
      <c r="BK157" s="25">
        <f t="shared" si="60"/>
        <v>0</v>
      </c>
      <c r="BL157" s="25">
        <f t="shared" si="61"/>
        <v>0</v>
      </c>
      <c r="BM157" s="25">
        <f t="shared" si="62"/>
        <v>0</v>
      </c>
    </row>
    <row r="158" spans="1:68" ht="15.75" x14ac:dyDescent="0.25">
      <c r="A158" s="84"/>
      <c r="B158" s="3185" t="s">
        <v>298</v>
      </c>
      <c r="C158" s="3185"/>
      <c r="D158" s="111" t="s">
        <v>50</v>
      </c>
      <c r="E158" s="3186">
        <f>+E159</f>
        <v>36500</v>
      </c>
      <c r="F158" s="3186">
        <f>SUM(F7:F157)</f>
        <v>41567.849999999984</v>
      </c>
      <c r="G158" s="3186">
        <f>+G159</f>
        <v>44000</v>
      </c>
      <c r="H158" s="3186">
        <f>SUM(H7:H157)</f>
        <v>39489.149999999994</v>
      </c>
      <c r="I158" s="3186">
        <f>+I159</f>
        <v>80500</v>
      </c>
      <c r="J158" s="3186">
        <f>SUM(J7:J157)</f>
        <v>81056.999999999971</v>
      </c>
      <c r="K158" s="3186">
        <f>+K159</f>
        <v>42500</v>
      </c>
      <c r="L158" s="3186">
        <f>SUM(L7:L157)</f>
        <v>38408.049999999996</v>
      </c>
      <c r="M158" s="1057">
        <f>+M159</f>
        <v>123000</v>
      </c>
      <c r="N158" s="1057">
        <f>SUM(N7:N157)</f>
        <v>119465.04999999999</v>
      </c>
      <c r="O158" s="3186">
        <f>+O159</f>
        <v>44000</v>
      </c>
      <c r="P158" s="3186">
        <f>SUM(P7:P157)</f>
        <v>47277.099999999991</v>
      </c>
      <c r="Q158" s="1057">
        <f>+Q159</f>
        <v>167000</v>
      </c>
      <c r="R158" s="1057">
        <f>SUM(R7:R157)</f>
        <v>166742.14999999991</v>
      </c>
      <c r="S158" s="3186">
        <f>+S159</f>
        <v>44000</v>
      </c>
      <c r="T158" s="3186">
        <f>SUM(T7:T157)</f>
        <v>38800.350000000006</v>
      </c>
      <c r="U158" s="1057">
        <f>+U159</f>
        <v>211000</v>
      </c>
      <c r="V158" s="1057">
        <f>SUM(V7:V157)</f>
        <v>205542.50000000006</v>
      </c>
      <c r="W158" s="3186">
        <f>+W159</f>
        <v>25000</v>
      </c>
      <c r="X158" s="3186">
        <f>SUM(X7:X157)</f>
        <v>41149.650000000016</v>
      </c>
      <c r="Y158" s="1057">
        <f>+Y159</f>
        <v>113000</v>
      </c>
      <c r="Z158" s="1057">
        <f>SUM(Z7:Z157)</f>
        <v>127227.10000000003</v>
      </c>
      <c r="AA158" s="1057">
        <f>+AA159</f>
        <v>236000</v>
      </c>
      <c r="AB158" s="1057">
        <f>SUM(AB7:AB157)</f>
        <v>246692.14999999994</v>
      </c>
      <c r="AC158" s="3186">
        <f>+AC159</f>
        <v>42500</v>
      </c>
      <c r="AD158" s="3186">
        <f>SUM(AD7:AD157)</f>
        <v>30063.250000000004</v>
      </c>
      <c r="AE158" s="1057">
        <f>+AE159</f>
        <v>278500</v>
      </c>
      <c r="AF158" s="1057">
        <f>SUM(AF7:AF157)</f>
        <v>276755.40000000008</v>
      </c>
      <c r="AG158" s="3186">
        <f>+AG159</f>
        <v>42500</v>
      </c>
      <c r="AH158" s="3186">
        <f>SUM(AH7:AH157)</f>
        <v>34706.500000000007</v>
      </c>
      <c r="AI158" s="1057">
        <f>+AI159</f>
        <v>321000</v>
      </c>
      <c r="AJ158" s="3186">
        <f>SUM(AJ7:AJ157)</f>
        <v>311461.9000000002</v>
      </c>
      <c r="AK158" s="3186">
        <f>+AK159</f>
        <v>44000</v>
      </c>
      <c r="AL158" s="3186">
        <f>SUM(AL7:AL157)</f>
        <v>44159.050000000017</v>
      </c>
      <c r="AM158" s="1057">
        <f>+AM159</f>
        <v>129000</v>
      </c>
      <c r="AN158" s="1057">
        <f>SUM(AN7:AN157)</f>
        <v>108928.80000000005</v>
      </c>
      <c r="AO158" s="1057">
        <f>+AO159</f>
        <v>365000</v>
      </c>
      <c r="AP158" s="1057">
        <f>SUM(AP7:AP157)</f>
        <v>355620.95000000013</v>
      </c>
      <c r="AQ158" s="3186">
        <f>+AQ159</f>
        <v>44500</v>
      </c>
      <c r="AR158" s="6924">
        <f>SUM(AR7:AR157)</f>
        <v>44632.60000000002</v>
      </c>
      <c r="AS158" s="1057">
        <f>+AS159</f>
        <v>409500</v>
      </c>
      <c r="AT158" s="1057">
        <f>SUM(AT7:AT157)</f>
        <v>400253.55</v>
      </c>
      <c r="AU158" s="3186">
        <f>+AU159</f>
        <v>40000</v>
      </c>
      <c r="AV158" s="3186">
        <f>SUM(AV7:AV157)</f>
        <v>37469.900000000023</v>
      </c>
      <c r="AW158" s="1057">
        <f>+AW159</f>
        <v>449500</v>
      </c>
      <c r="AX158" s="1057">
        <f>SUM(AX7:AX157)</f>
        <v>437723.45</v>
      </c>
      <c r="AY158" s="3186">
        <f>+AY159</f>
        <v>44500</v>
      </c>
      <c r="AZ158" s="3186">
        <f>SUM(AZ7:AZ157)</f>
        <v>46789.200000000004</v>
      </c>
      <c r="BA158" s="1057">
        <f>+BA159</f>
        <v>129000</v>
      </c>
      <c r="BB158" s="1057">
        <f>SUM(BB7:BB157)</f>
        <v>128891.70000000003</v>
      </c>
      <c r="BC158" s="1057">
        <f>+BC159</f>
        <v>258000</v>
      </c>
      <c r="BD158" s="1057">
        <f>SUM(BD7:BD157)</f>
        <v>237820.50000000003</v>
      </c>
      <c r="BE158" s="1057">
        <f>+BE159</f>
        <v>494000</v>
      </c>
      <c r="BF158" s="1057">
        <f>SUM(BF7:BF157)</f>
        <v>484512.64999999997</v>
      </c>
      <c r="BG158" s="1137"/>
      <c r="BH158" s="4234">
        <f t="shared" si="57"/>
        <v>0</v>
      </c>
      <c r="BI158" s="4234">
        <f t="shared" si="58"/>
        <v>0</v>
      </c>
      <c r="BJ158" s="25">
        <f t="shared" si="59"/>
        <v>0</v>
      </c>
      <c r="BK158" s="25">
        <f t="shared" si="60"/>
        <v>0</v>
      </c>
      <c r="BL158" s="25">
        <f t="shared" si="61"/>
        <v>0</v>
      </c>
      <c r="BM158" s="25">
        <f t="shared" si="62"/>
        <v>0</v>
      </c>
      <c r="BP158" s="25"/>
    </row>
    <row r="159" spans="1:68" ht="15.75" x14ac:dyDescent="0.25">
      <c r="B159" s="804" t="s">
        <v>787</v>
      </c>
      <c r="C159" s="804"/>
      <c r="D159" s="805" t="s">
        <v>50</v>
      </c>
      <c r="E159" s="1057">
        <f>+'Maj Production Summ'!E30</f>
        <v>36500</v>
      </c>
      <c r="F159" s="1057">
        <f>+SUM(F7:F141)</f>
        <v>41532.999999999985</v>
      </c>
      <c r="G159" s="1057">
        <f>+'Maj Production Summ'!G30</f>
        <v>44000</v>
      </c>
      <c r="H159" s="1057">
        <f>+SUM(H7:H141)</f>
        <v>39351.799999999996</v>
      </c>
      <c r="I159" s="1057">
        <f>+'Maj Production Summ'!I30</f>
        <v>80500</v>
      </c>
      <c r="J159" s="1057">
        <f>+SUM(J7:J141)</f>
        <v>80884.799999999988</v>
      </c>
      <c r="K159" s="1057">
        <f>+'Maj Production Summ'!K30</f>
        <v>42500</v>
      </c>
      <c r="L159" s="1057">
        <f>+SUM(L7:L141)</f>
        <v>38291.349999999991</v>
      </c>
      <c r="M159" s="1057">
        <f>+'Maj Production Summ'!M30</f>
        <v>123000</v>
      </c>
      <c r="N159" s="1057">
        <f>+SUM(N7:N141)</f>
        <v>119176.14999999998</v>
      </c>
      <c r="O159" s="1057">
        <f>+'Maj Production Summ'!O30</f>
        <v>44000</v>
      </c>
      <c r="P159" s="1057">
        <f>+SUM(P7:P141)</f>
        <v>47063.899999999994</v>
      </c>
      <c r="Q159" s="1057">
        <f>+'Maj Production Summ'!Q30</f>
        <v>167000</v>
      </c>
      <c r="R159" s="1057">
        <f>+SUM(R7:R141)</f>
        <v>166240.04999999993</v>
      </c>
      <c r="S159" s="1057">
        <f>+'Maj Production Summ'!S30</f>
        <v>44000</v>
      </c>
      <c r="T159" s="1057">
        <f>+SUM(T7:T141)</f>
        <v>38718.350000000006</v>
      </c>
      <c r="U159" s="1057">
        <f>+'Maj Production Summ'!U30</f>
        <v>211000</v>
      </c>
      <c r="V159" s="1057">
        <f>+SUM(V7:V141)</f>
        <v>204958.40000000005</v>
      </c>
      <c r="W159" s="1057">
        <f>+'Maj Production Summ'!W30</f>
        <v>25000</v>
      </c>
      <c r="X159" s="1057">
        <f>+SUM(X7:X141)</f>
        <v>41006.150000000009</v>
      </c>
      <c r="Y159" s="1057">
        <f>+'Maj Production Summ'!Y30</f>
        <v>113000</v>
      </c>
      <c r="Z159" s="1057">
        <f>+SUM(Z7:Z141)</f>
        <v>126788.40000000005</v>
      </c>
      <c r="AA159" s="1057">
        <f>+'Maj Production Summ'!AA30</f>
        <v>236000</v>
      </c>
      <c r="AB159" s="1057">
        <f>+SUM(AB7:AB141)</f>
        <v>245964.54999999996</v>
      </c>
      <c r="AC159" s="1057">
        <f>+'Maj Production Summ'!AC30</f>
        <v>42500</v>
      </c>
      <c r="AD159" s="1057">
        <f>+SUM(AD7:AD141)</f>
        <v>30034.550000000003</v>
      </c>
      <c r="AE159" s="1057">
        <f>+'Maj Production Summ'!AE30</f>
        <v>278500</v>
      </c>
      <c r="AF159" s="1057">
        <f>+SUM(AF7:AF141)</f>
        <v>275999.10000000003</v>
      </c>
      <c r="AG159" s="1057">
        <f>+'Maj Production Summ'!AG30</f>
        <v>42500</v>
      </c>
      <c r="AH159" s="1057">
        <f>+SUM(AH7:AH141)</f>
        <v>34614.250000000007</v>
      </c>
      <c r="AI159" s="1057">
        <f>+'Maj Production Summ'!AI30</f>
        <v>321000</v>
      </c>
      <c r="AJ159" s="1057">
        <f>+SUM(AJ7:AJ141)</f>
        <v>310613.35000000015</v>
      </c>
      <c r="AK159" s="1057">
        <f>+'Maj Production Summ'!AK30</f>
        <v>44000</v>
      </c>
      <c r="AL159" s="1057">
        <f>+SUM(AL7:AL141)</f>
        <v>44007.350000000013</v>
      </c>
      <c r="AM159" s="1057">
        <f>+'Maj Production Summ'!AM30</f>
        <v>129000</v>
      </c>
      <c r="AN159" s="1057">
        <f>+SUM(AN7:AN141)</f>
        <v>108656.15000000004</v>
      </c>
      <c r="AO159" s="1057">
        <f>+'Maj Production Summ'!AO30</f>
        <v>365000</v>
      </c>
      <c r="AP159" s="1057">
        <f>+SUM(AP7:AP141)</f>
        <v>354620.70000000019</v>
      </c>
      <c r="AQ159" s="1057">
        <f>+'Maj Production Summ'!AQ30</f>
        <v>44500</v>
      </c>
      <c r="AR159" s="1057">
        <f>+SUM(AR7:AR141)</f>
        <v>44589.550000000017</v>
      </c>
      <c r="AS159" s="1057">
        <f>+'Maj Production Summ'!AS30</f>
        <v>409500</v>
      </c>
      <c r="AT159" s="1057">
        <f>+SUM(AT7:AT141)</f>
        <v>399210.25000000006</v>
      </c>
      <c r="AU159" s="1057">
        <f>+'Maj Production Summ'!AU30</f>
        <v>40000</v>
      </c>
      <c r="AV159" s="1057">
        <f>+SUM(AV7:AV141)</f>
        <v>37420.700000000019</v>
      </c>
      <c r="AW159" s="1057">
        <f>+'Maj Production Summ'!AW30</f>
        <v>449500</v>
      </c>
      <c r="AX159" s="1057">
        <f>+SUM(AX7:AX141)</f>
        <v>436630.95000000007</v>
      </c>
      <c r="AY159" s="1057">
        <f>+'Maj Production Summ'!AY30</f>
        <v>44500</v>
      </c>
      <c r="AZ159" s="1057">
        <f>+SUM(AZ7:AZ141)</f>
        <v>46692.85</v>
      </c>
      <c r="BA159" s="1057">
        <f>+'Maj Production Summ'!BA30</f>
        <v>129000</v>
      </c>
      <c r="BB159" s="1057">
        <f>+SUM(BB7:BB141)</f>
        <v>128703.10000000002</v>
      </c>
      <c r="BC159" s="1057">
        <f>+'Maj Production Summ'!BC30</f>
        <v>258000</v>
      </c>
      <c r="BD159" s="1057">
        <f>+SUM(BD7:BD141)</f>
        <v>237359.25000000003</v>
      </c>
      <c r="BE159" s="1057">
        <f>+'Maj Production Summ'!BE30</f>
        <v>494000</v>
      </c>
      <c r="BF159" s="1057">
        <f>+SUM(BF7:BF141)</f>
        <v>483323.80000000005</v>
      </c>
      <c r="BG159" s="1137"/>
      <c r="BH159" s="4234">
        <f t="shared" si="57"/>
        <v>0</v>
      </c>
      <c r="BI159" s="4234">
        <f t="shared" si="58"/>
        <v>0</v>
      </c>
      <c r="BJ159" s="25">
        <f t="shared" si="59"/>
        <v>0</v>
      </c>
      <c r="BK159" s="25">
        <f t="shared" si="60"/>
        <v>0</v>
      </c>
      <c r="BL159" s="25">
        <f t="shared" si="61"/>
        <v>0</v>
      </c>
      <c r="BM159" s="25">
        <f t="shared" si="62"/>
        <v>0</v>
      </c>
      <c r="BP159" s="25"/>
    </row>
    <row r="160" spans="1:68" ht="15.75" x14ac:dyDescent="0.25">
      <c r="A160" s="139"/>
      <c r="B160" s="806" t="s">
        <v>786</v>
      </c>
      <c r="C160" s="806"/>
      <c r="D160" s="807" t="s">
        <v>50</v>
      </c>
      <c r="E160" s="1057"/>
      <c r="F160" s="2991">
        <f>+SUM(F143:F157)</f>
        <v>34.849999999999994</v>
      </c>
      <c r="G160" s="1057"/>
      <c r="H160" s="762">
        <f>+SUM(H143:H157)</f>
        <v>137.35</v>
      </c>
      <c r="I160" s="1057"/>
      <c r="J160" s="762">
        <f>+SUM(J143:J157)</f>
        <v>172.20000000000002</v>
      </c>
      <c r="K160" s="1057"/>
      <c r="L160" s="762">
        <f>+SUM(L143:L157)</f>
        <v>116.69999999999999</v>
      </c>
      <c r="M160" s="1057"/>
      <c r="N160" s="762">
        <f>+SUM(N143:N157)</f>
        <v>288.90000000000003</v>
      </c>
      <c r="O160" s="1057"/>
      <c r="P160" s="762">
        <f>+SUM(P143:P157)</f>
        <v>213.20000000000002</v>
      </c>
      <c r="Q160" s="1057"/>
      <c r="R160" s="762">
        <f>+SUM(R143:R157)</f>
        <v>502.09999999999991</v>
      </c>
      <c r="S160" s="1057"/>
      <c r="T160" s="762">
        <f>+SUM(T143:T157)</f>
        <v>82</v>
      </c>
      <c r="U160" s="1057"/>
      <c r="V160" s="762">
        <f>+SUM(V143:V157)</f>
        <v>584.09999999999991</v>
      </c>
      <c r="W160" s="1057"/>
      <c r="X160" s="762">
        <f>+SUM(X143:X157)</f>
        <v>143.50000000000003</v>
      </c>
      <c r="Y160" s="1057"/>
      <c r="Z160" s="762">
        <f>+SUM(Z143:Z157)</f>
        <v>438.7</v>
      </c>
      <c r="AA160" s="1057"/>
      <c r="AB160" s="762">
        <f>+SUM(AB143:AB157)</f>
        <v>727.59999999999991</v>
      </c>
      <c r="AC160" s="1057"/>
      <c r="AD160" s="762">
        <f>+SUM(AD143:AD157)</f>
        <v>28.7</v>
      </c>
      <c r="AE160" s="1057"/>
      <c r="AF160" s="762">
        <f>+SUM(AF143:AF157)</f>
        <v>756.3</v>
      </c>
      <c r="AG160" s="1057"/>
      <c r="AH160" s="762">
        <f>+SUM(AH143:AH157)</f>
        <v>92.25</v>
      </c>
      <c r="AI160" s="1057"/>
      <c r="AJ160" s="762">
        <f>+SUM(AJ143:AJ157)</f>
        <v>848.55</v>
      </c>
      <c r="AK160" s="1057"/>
      <c r="AL160" s="762">
        <f>+SUM(AL143:AL157)</f>
        <v>151.70000000000002</v>
      </c>
      <c r="AM160" s="1057"/>
      <c r="AN160" s="762">
        <f>+SUM(AN143:AN157)</f>
        <v>272.64999999999998</v>
      </c>
      <c r="AO160" s="1057"/>
      <c r="AP160" s="762">
        <f>+SUM(AP143:AP157)</f>
        <v>1000.25</v>
      </c>
      <c r="AQ160" s="1057"/>
      <c r="AR160" s="762">
        <f>+SUM(AR143:AR157)</f>
        <v>43.050000000000004</v>
      </c>
      <c r="AS160" s="1057"/>
      <c r="AT160" s="762">
        <f>+SUM(AT143:AT157)</f>
        <v>1043.3</v>
      </c>
      <c r="AU160" s="1057"/>
      <c r="AV160" s="762">
        <f>+SUM(AV143:AV157)</f>
        <v>49.199999999999989</v>
      </c>
      <c r="AW160" s="1057"/>
      <c r="AX160" s="762">
        <f>+SUM(AX143:AX157)</f>
        <v>1092.5</v>
      </c>
      <c r="AY160" s="1057"/>
      <c r="AZ160" s="2991">
        <f>+SUM(AZ143:AZ157)</f>
        <v>96.35</v>
      </c>
      <c r="BA160" s="1057"/>
      <c r="BB160" s="762">
        <f>+SUM(BB143:BB157)</f>
        <v>188.60000000000002</v>
      </c>
      <c r="BC160" s="1057"/>
      <c r="BD160" s="762">
        <f>+SUM(BD143:BD157)</f>
        <v>461.25000000000006</v>
      </c>
      <c r="BE160" s="1057"/>
      <c r="BF160" s="762">
        <f>+SUM(BF143:BF157)</f>
        <v>1188.8499999999999</v>
      </c>
      <c r="BG160" s="1137"/>
      <c r="BH160" s="4234">
        <f t="shared" si="57"/>
        <v>0</v>
      </c>
      <c r="BI160" s="4234">
        <f t="shared" si="58"/>
        <v>0</v>
      </c>
      <c r="BJ160" s="25">
        <f t="shared" si="59"/>
        <v>0</v>
      </c>
      <c r="BK160" s="25">
        <f t="shared" si="60"/>
        <v>0</v>
      </c>
      <c r="BL160" s="25">
        <f t="shared" si="61"/>
        <v>0</v>
      </c>
      <c r="BM160" s="25">
        <f t="shared" si="62"/>
        <v>0</v>
      </c>
      <c r="BP160" s="25"/>
    </row>
    <row r="161" spans="1:65" ht="15.75" x14ac:dyDescent="0.25">
      <c r="B161" s="759" t="s">
        <v>312</v>
      </c>
      <c r="C161" s="759"/>
      <c r="D161" s="753" t="s">
        <v>49</v>
      </c>
      <c r="E161" s="762">
        <f t="shared" ref="E161:F161" si="78">+E159*100/E5</f>
        <v>96</v>
      </c>
      <c r="F161" s="762">
        <f t="shared" si="78"/>
        <v>95.641659787281753</v>
      </c>
      <c r="G161" s="762">
        <f t="shared" ref="G161:AJ161" si="79">+G159*100/G5</f>
        <v>96</v>
      </c>
      <c r="H161" s="762">
        <f t="shared" si="79"/>
        <v>95.612744452503435</v>
      </c>
      <c r="I161" s="762">
        <f t="shared" si="79"/>
        <v>96</v>
      </c>
      <c r="J161" s="762">
        <f t="shared" si="79"/>
        <v>95.627589811919975</v>
      </c>
      <c r="K161" s="762">
        <f t="shared" si="79"/>
        <v>96</v>
      </c>
      <c r="L161" s="762">
        <f t="shared" si="79"/>
        <v>95.257540790258943</v>
      </c>
      <c r="M161" s="762">
        <f t="shared" si="79"/>
        <v>96</v>
      </c>
      <c r="N161" s="762">
        <f t="shared" si="79"/>
        <v>95.508379808754398</v>
      </c>
      <c r="O161" s="762">
        <f t="shared" si="79"/>
        <v>96</v>
      </c>
      <c r="P161" s="762">
        <f t="shared" si="79"/>
        <v>95.75055357177952</v>
      </c>
      <c r="Q161" s="762">
        <f t="shared" si="79"/>
        <v>96</v>
      </c>
      <c r="R161" s="762">
        <f t="shared" si="79"/>
        <v>95.576816753097674</v>
      </c>
      <c r="S161" s="762">
        <f t="shared" si="79"/>
        <v>96</v>
      </c>
      <c r="T161" s="762">
        <f t="shared" si="79"/>
        <v>95.876083003897975</v>
      </c>
      <c r="U161" s="762">
        <f t="shared" si="79"/>
        <v>95.999999999999986</v>
      </c>
      <c r="V161" s="762">
        <f t="shared" si="79"/>
        <v>95.633207429136348</v>
      </c>
      <c r="W161" s="762">
        <f t="shared" si="79"/>
        <v>96</v>
      </c>
      <c r="X161" s="762">
        <f t="shared" si="79"/>
        <v>95.610321120425965</v>
      </c>
      <c r="Y161" s="762">
        <f t="shared" si="79"/>
        <v>95.999999999999986</v>
      </c>
      <c r="Z161" s="762">
        <f t="shared" si="79"/>
        <v>95.743417030300961</v>
      </c>
      <c r="AA161" s="762">
        <f t="shared" si="79"/>
        <v>96</v>
      </c>
      <c r="AB161" s="762">
        <f t="shared" si="79"/>
        <v>95.629391161332009</v>
      </c>
      <c r="AC161" s="762">
        <f t="shared" si="79"/>
        <v>96</v>
      </c>
      <c r="AD161" s="762">
        <f t="shared" si="79"/>
        <v>95.954340193087916</v>
      </c>
      <c r="AE161" s="762">
        <f t="shared" si="79"/>
        <v>96</v>
      </c>
      <c r="AF161" s="762">
        <f t="shared" si="79"/>
        <v>95.664645742124662</v>
      </c>
      <c r="AG161" s="762">
        <f t="shared" si="79"/>
        <v>96</v>
      </c>
      <c r="AH161" s="762">
        <f t="shared" si="79"/>
        <v>95.766381296125843</v>
      </c>
      <c r="AI161" s="762">
        <f t="shared" si="79"/>
        <v>96</v>
      </c>
      <c r="AJ161" s="762">
        <f t="shared" si="79"/>
        <v>95.675972284915588</v>
      </c>
      <c r="AK161" s="762">
        <f t="shared" ref="AK161:BF161" si="80">+AK159*100/AK5</f>
        <v>96</v>
      </c>
      <c r="AL161" s="762">
        <f t="shared" si="80"/>
        <v>95.336201881591947</v>
      </c>
      <c r="AM161" s="762">
        <f t="shared" si="80"/>
        <v>96</v>
      </c>
      <c r="AN161" s="762">
        <f t="shared" si="80"/>
        <v>95.643377799808036</v>
      </c>
      <c r="AO161" s="762">
        <f t="shared" si="80"/>
        <v>96</v>
      </c>
      <c r="AP161" s="762">
        <f t="shared" si="80"/>
        <v>95.633676247156231</v>
      </c>
      <c r="AQ161" s="762">
        <f t="shared" si="80"/>
        <v>95.999999999999986</v>
      </c>
      <c r="AR161" s="2991">
        <f t="shared" si="80"/>
        <v>95.804245221551284</v>
      </c>
      <c r="AS161" s="762">
        <f t="shared" si="80"/>
        <v>96</v>
      </c>
      <c r="AT161" s="762">
        <f t="shared" si="80"/>
        <v>95.652697710002158</v>
      </c>
      <c r="AU161" s="762">
        <f t="shared" si="80"/>
        <v>95.999999999999986</v>
      </c>
      <c r="AV161" s="2991">
        <f t="shared" si="80"/>
        <v>95.614821440744819</v>
      </c>
      <c r="AW161" s="762">
        <f t="shared" si="80"/>
        <v>96</v>
      </c>
      <c r="AX161" s="762">
        <f t="shared" si="80"/>
        <v>95.649450414236071</v>
      </c>
      <c r="AY161" s="762">
        <f t="shared" ref="AY161:AZ161" si="81">+AY159*100/AY5</f>
        <v>95.999999999999986</v>
      </c>
      <c r="AZ161" s="762">
        <f t="shared" si="81"/>
        <v>95.474822787338823</v>
      </c>
      <c r="BA161" s="762">
        <f t="shared" si="80"/>
        <v>96</v>
      </c>
      <c r="BB161" s="762">
        <f t="shared" si="80"/>
        <v>95.629455026212497</v>
      </c>
      <c r="BC161" s="762">
        <f t="shared" si="80"/>
        <v>96</v>
      </c>
      <c r="BD161" s="762">
        <f t="shared" si="80"/>
        <v>95.635827963269534</v>
      </c>
      <c r="BE161" s="762">
        <f t="shared" si="80"/>
        <v>95.999999999999986</v>
      </c>
      <c r="BF161" s="762">
        <f t="shared" si="80"/>
        <v>95.632552152260729</v>
      </c>
      <c r="BG161" s="1137"/>
      <c r="BH161" s="4234"/>
      <c r="BI161" s="4234"/>
      <c r="BJ161" s="25"/>
      <c r="BK161" s="25"/>
      <c r="BL161" s="25"/>
      <c r="BM161" s="25"/>
    </row>
    <row r="162" spans="1:65" x14ac:dyDescent="0.25">
      <c r="A162" s="139"/>
      <c r="B162" s="808" t="s">
        <v>780</v>
      </c>
      <c r="C162" s="808"/>
      <c r="D162" s="761" t="s">
        <v>50</v>
      </c>
      <c r="E162" s="1820"/>
      <c r="F162" s="1820">
        <f>+'Value added steel '!G38</f>
        <v>41289.049999999996</v>
      </c>
      <c r="G162" s="1820"/>
      <c r="H162" s="1820">
        <f>+'Value added steel '!I38</f>
        <v>36334.199999999997</v>
      </c>
      <c r="I162" s="1820"/>
      <c r="J162" s="1820">
        <f>+'Value added steel '!K38</f>
        <v>77623.249999999985</v>
      </c>
      <c r="K162" s="1820"/>
      <c r="L162" s="1820">
        <f>+'Value added steel '!M38</f>
        <v>37452.9</v>
      </c>
      <c r="M162" s="1820"/>
      <c r="N162" s="1820">
        <f>+'Value added steel '!O38</f>
        <v>115076.14999999998</v>
      </c>
      <c r="O162" s="1820"/>
      <c r="P162" s="1820">
        <f>+'Value added steel '!Q38</f>
        <v>44200.05</v>
      </c>
      <c r="Q162" s="1820"/>
      <c r="R162" s="1820">
        <f>+'Value added steel '!S38</f>
        <v>159276.19999999998</v>
      </c>
      <c r="S162" s="1820"/>
      <c r="T162" s="1820">
        <f>+'Value added steel '!U38</f>
        <v>33658.950000000004</v>
      </c>
      <c r="U162" s="1820"/>
      <c r="V162" s="1820">
        <f>+'Value added steel '!W38</f>
        <v>192935.15</v>
      </c>
      <c r="W162" s="1820"/>
      <c r="X162" s="1820">
        <f>+'Value added steel '!Y38</f>
        <v>37412.5</v>
      </c>
      <c r="Y162" s="1820"/>
      <c r="Z162" s="1820">
        <f>+'Value added steel '!AA38</f>
        <v>115271.50000000001</v>
      </c>
      <c r="AA162" s="1820"/>
      <c r="AB162" s="1820">
        <f>+'Value added steel '!AC38</f>
        <v>230347.65000000002</v>
      </c>
      <c r="AC162" s="1820"/>
      <c r="AD162" s="1820">
        <f>+'Value added steel '!AE38</f>
        <v>28117.8</v>
      </c>
      <c r="AE162" s="1820"/>
      <c r="AF162" s="1820">
        <f>+'Value added steel '!AG38</f>
        <v>258465.44999999998</v>
      </c>
      <c r="AG162" s="1820"/>
      <c r="AH162" s="1820">
        <f>+'Value added steel '!AI38</f>
        <v>33991.050000000003</v>
      </c>
      <c r="AI162" s="1820"/>
      <c r="AJ162" s="1820">
        <f>+'Value added steel '!AK38</f>
        <v>292456.5</v>
      </c>
      <c r="AK162" s="1820"/>
      <c r="AL162" s="1820">
        <f>+'Value added steel '!AM38</f>
        <v>39526.050000000003</v>
      </c>
      <c r="AM162" s="1820"/>
      <c r="AN162" s="1820">
        <f>+'Value added steel '!AO38</f>
        <v>101634.90000000001</v>
      </c>
      <c r="AO162" s="1820"/>
      <c r="AP162" s="1820">
        <f>+'Value added steel '!AQ38</f>
        <v>331982.54999999993</v>
      </c>
      <c r="AQ162" s="1820"/>
      <c r="AR162" s="1820">
        <f>+'Value added steel '!AS38</f>
        <v>39585.500000000007</v>
      </c>
      <c r="AS162" s="1820"/>
      <c r="AT162" s="1820">
        <f>+'Value added steel '!AU38</f>
        <v>371568.05</v>
      </c>
      <c r="AU162" s="1820"/>
      <c r="AV162" s="1820">
        <f>+'Value added steel '!AW38</f>
        <v>36941.000000000022</v>
      </c>
      <c r="AW162" s="1820"/>
      <c r="AX162" s="1820">
        <f>+'Value added steel '!AY38</f>
        <v>408509.05</v>
      </c>
      <c r="AY162" s="1820"/>
      <c r="AZ162" s="1820">
        <f>+'Value added steel '!BA38</f>
        <v>46047.099999999991</v>
      </c>
      <c r="BA162" s="1820"/>
      <c r="BB162" s="1820">
        <f>+'Value added steel '!BC38</f>
        <v>122573.6</v>
      </c>
      <c r="BC162" s="1820"/>
      <c r="BD162" s="1820">
        <f>+'Value added steel '!BE38</f>
        <v>224208.5</v>
      </c>
      <c r="BE162" s="1820"/>
      <c r="BF162" s="1820">
        <f>+'Value added steel '!BG38</f>
        <v>454556.15</v>
      </c>
      <c r="BG162" s="1137"/>
      <c r="BH162" s="4234">
        <f t="shared" si="57"/>
        <v>0</v>
      </c>
      <c r="BI162" s="4234">
        <f t="shared" si="58"/>
        <v>0</v>
      </c>
      <c r="BJ162" s="25">
        <f t="shared" si="59"/>
        <v>0</v>
      </c>
      <c r="BK162" s="25">
        <f t="shared" si="60"/>
        <v>0</v>
      </c>
      <c r="BL162" s="25">
        <f t="shared" si="61"/>
        <v>0</v>
      </c>
      <c r="BM162" s="25">
        <f t="shared" si="62"/>
        <v>0</v>
      </c>
    </row>
    <row r="163" spans="1:65" x14ac:dyDescent="0.25">
      <c r="A163" s="139"/>
      <c r="B163" s="808" t="s">
        <v>781</v>
      </c>
      <c r="C163" s="808"/>
      <c r="D163" s="761" t="s">
        <v>49</v>
      </c>
      <c r="E163" s="591"/>
      <c r="F163" s="591">
        <f>+F162/F159</f>
        <v>0.99412635735439314</v>
      </c>
      <c r="G163" s="591"/>
      <c r="H163" s="591">
        <f>+H162/H159</f>
        <v>0.9233173577828715</v>
      </c>
      <c r="I163" s="591"/>
      <c r="J163" s="591">
        <f>+J162/J159</f>
        <v>0.95967660178426595</v>
      </c>
      <c r="K163" s="591"/>
      <c r="L163" s="591">
        <f>+L162/L159</f>
        <v>0.97810340977792665</v>
      </c>
      <c r="M163" s="591"/>
      <c r="N163" s="591">
        <f>+N162/N159</f>
        <v>0.96559714338816949</v>
      </c>
      <c r="O163" s="591"/>
      <c r="P163" s="591">
        <f>+P162/P159</f>
        <v>0.93914975172053328</v>
      </c>
      <c r="Q163" s="591"/>
      <c r="R163" s="4304">
        <f>+R162/R159</f>
        <v>0.9581096733308252</v>
      </c>
      <c r="S163" s="591"/>
      <c r="T163" s="591">
        <f>+T162/T159</f>
        <v>0.86932810928151638</v>
      </c>
      <c r="U163" s="591"/>
      <c r="V163" s="4304">
        <f>+V162/V159</f>
        <v>0.94133809592580708</v>
      </c>
      <c r="W163" s="591"/>
      <c r="X163" s="591">
        <f>+X162/X159</f>
        <v>0.91236314552817055</v>
      </c>
      <c r="Y163" s="591"/>
      <c r="Z163" s="591">
        <f>+Z162/Z159</f>
        <v>0.9091644030526449</v>
      </c>
      <c r="AA163" s="591"/>
      <c r="AB163" s="591">
        <f>+AB162/AB159</f>
        <v>0.93650751703853286</v>
      </c>
      <c r="AC163" s="591"/>
      <c r="AD163" s="591">
        <f>+AD162/AD159</f>
        <v>0.9361818305917684</v>
      </c>
      <c r="AE163" s="591"/>
      <c r="AF163" s="591">
        <f>+AF162/AF159</f>
        <v>0.93647207545241973</v>
      </c>
      <c r="AG163" s="591"/>
      <c r="AH163" s="591">
        <f>+AH162/AH159</f>
        <v>0.98199585430855774</v>
      </c>
      <c r="AI163" s="591"/>
      <c r="AJ163" s="591">
        <f>+AJ162/AJ159</f>
        <v>0.94154517183501563</v>
      </c>
      <c r="AK163" s="591"/>
      <c r="AL163" s="591">
        <f>+AL162/AL159</f>
        <v>0.89816928308566613</v>
      </c>
      <c r="AM163" s="591"/>
      <c r="AN163" s="591">
        <f>+AN162/AN159</f>
        <v>0.93538101616889591</v>
      </c>
      <c r="AO163" s="591"/>
      <c r="AP163" s="591">
        <f>+AP162/AP159</f>
        <v>0.93616235600459807</v>
      </c>
      <c r="AQ163" s="591"/>
      <c r="AR163" s="591">
        <f>+AR162/AR159</f>
        <v>0.88777527470001361</v>
      </c>
      <c r="AS163" s="591"/>
      <c r="AT163" s="591">
        <f>+AT162/AT159</f>
        <v>0.9307577899114563</v>
      </c>
      <c r="AU163" s="591"/>
      <c r="AV163" s="591">
        <f>+AV162/AV159</f>
        <v>0.98718089185931857</v>
      </c>
      <c r="AW163" s="591"/>
      <c r="AX163" s="591">
        <v>0.94862403987995336</v>
      </c>
      <c r="AY163" s="591"/>
      <c r="AZ163" s="591">
        <f>+AZ162/AZ159</f>
        <v>0.98617025947227455</v>
      </c>
      <c r="BA163" s="591"/>
      <c r="BB163" s="591">
        <f>+BB162/BB159</f>
        <v>0.95237488452104091</v>
      </c>
      <c r="BC163" s="591"/>
      <c r="BD163" s="591">
        <f>+BD162/BD159</f>
        <v>0.94459558664766585</v>
      </c>
      <c r="BE163" s="591"/>
      <c r="BF163" s="591">
        <f>+BF162/BF159</f>
        <v>0.94047955014836837</v>
      </c>
      <c r="BG163" s="1137"/>
      <c r="BH163" s="4234"/>
      <c r="BI163" s="4234"/>
      <c r="BJ163" s="25"/>
      <c r="BK163" s="25"/>
      <c r="BL163" s="25"/>
      <c r="BM163" s="25"/>
    </row>
    <row r="164" spans="1:65" ht="19.5" thickBot="1" x14ac:dyDescent="0.3">
      <c r="A164" s="139"/>
      <c r="B164" s="809" t="s">
        <v>53</v>
      </c>
      <c r="C164" s="252"/>
      <c r="D164" s="251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1"/>
      <c r="Z164" s="251"/>
      <c r="AA164" s="251"/>
      <c r="AB164" s="251"/>
      <c r="AC164" s="252"/>
      <c r="AD164" s="252"/>
      <c r="AE164" s="252"/>
      <c r="AF164" s="252"/>
      <c r="AG164" s="252"/>
      <c r="AH164" s="252"/>
      <c r="AI164" s="252"/>
      <c r="AJ164" s="252"/>
      <c r="AK164" s="252"/>
      <c r="AL164" s="252"/>
      <c r="AM164" s="251"/>
      <c r="AN164" s="251"/>
      <c r="AO164" s="252"/>
      <c r="AP164" s="252"/>
      <c r="AQ164" s="252"/>
      <c r="AR164" s="252"/>
      <c r="AS164" s="252"/>
      <c r="AT164" s="252"/>
      <c r="AU164" s="252"/>
      <c r="AV164" s="252"/>
      <c r="AW164" s="252"/>
      <c r="AX164" s="252"/>
      <c r="AY164" s="252"/>
      <c r="AZ164" s="252"/>
      <c r="BA164" s="251"/>
      <c r="BB164" s="251"/>
      <c r="BC164" s="251"/>
      <c r="BD164" s="251"/>
      <c r="BE164" s="252"/>
      <c r="BF164" s="252"/>
      <c r="BG164" s="1137"/>
      <c r="BH164" s="4234"/>
      <c r="BI164" s="4234"/>
      <c r="BJ164" s="25">
        <f t="shared" si="59"/>
        <v>0</v>
      </c>
      <c r="BK164" s="25">
        <f t="shared" si="60"/>
        <v>0</v>
      </c>
      <c r="BL164" s="25">
        <f t="shared" si="61"/>
        <v>0</v>
      </c>
      <c r="BM164" s="25">
        <f t="shared" si="62"/>
        <v>0</v>
      </c>
    </row>
    <row r="165" spans="1:65" x14ac:dyDescent="0.25">
      <c r="B165" s="810" t="s">
        <v>93</v>
      </c>
      <c r="C165" s="811"/>
      <c r="D165" s="710" t="s">
        <v>220</v>
      </c>
      <c r="E165" s="767">
        <f>+E2*24</f>
        <v>720</v>
      </c>
      <c r="F165" s="767">
        <f>+F2*24</f>
        <v>720</v>
      </c>
      <c r="G165" s="767">
        <f>+G2*24</f>
        <v>744</v>
      </c>
      <c r="H165" s="767">
        <f>+H2*24</f>
        <v>744</v>
      </c>
      <c r="I165" s="812">
        <f>+E165+G165</f>
        <v>1464</v>
      </c>
      <c r="J165" s="41">
        <f>+F165+H165</f>
        <v>1464</v>
      </c>
      <c r="K165" s="767">
        <f>+K2*24</f>
        <v>720</v>
      </c>
      <c r="L165" s="767">
        <f>+L2*24</f>
        <v>720</v>
      </c>
      <c r="M165" s="732">
        <f>+E165+G165+K165</f>
        <v>2184</v>
      </c>
      <c r="N165" s="2211">
        <f>+F165+H165+L165</f>
        <v>2184</v>
      </c>
      <c r="O165" s="767">
        <f>+O2*24</f>
        <v>744</v>
      </c>
      <c r="P165" s="767">
        <f>+P2*24</f>
        <v>744</v>
      </c>
      <c r="Q165" s="733">
        <f>+M165+O165</f>
        <v>2928</v>
      </c>
      <c r="R165" s="733">
        <f>+N165+P165</f>
        <v>2928</v>
      </c>
      <c r="S165" s="767">
        <f>+S2*24</f>
        <v>744</v>
      </c>
      <c r="T165" s="767">
        <f>+T2*24</f>
        <v>744</v>
      </c>
      <c r="U165" s="4351">
        <f>+Q165+S165</f>
        <v>3672</v>
      </c>
      <c r="V165" s="4351">
        <f>+R165+T165</f>
        <v>3672</v>
      </c>
      <c r="W165" s="767">
        <f>+W2*24</f>
        <v>720</v>
      </c>
      <c r="X165" s="767">
        <f>+X2*24</f>
        <v>720</v>
      </c>
      <c r="Y165" s="2417">
        <f>O165+S165+W165</f>
        <v>2208</v>
      </c>
      <c r="Z165" s="498">
        <f>P165+T165+X165</f>
        <v>2208</v>
      </c>
      <c r="AA165" s="2505">
        <f>M165+Y165</f>
        <v>4392</v>
      </c>
      <c r="AB165" s="2502">
        <f>N165+Z165</f>
        <v>4392</v>
      </c>
      <c r="AC165" s="767">
        <f>+AC2*24</f>
        <v>744</v>
      </c>
      <c r="AD165" s="767">
        <f>+AD2*24</f>
        <v>744</v>
      </c>
      <c r="AE165" s="2236">
        <f>+AA165+AC165</f>
        <v>5136</v>
      </c>
      <c r="AF165" s="2236">
        <f>+AB165+AD165</f>
        <v>5136</v>
      </c>
      <c r="AG165" s="767">
        <f>+AG2*24</f>
        <v>720</v>
      </c>
      <c r="AH165" s="767">
        <f>+AH2*24</f>
        <v>720</v>
      </c>
      <c r="AI165" s="4635">
        <f>+AE165+AG165</f>
        <v>5856</v>
      </c>
      <c r="AJ165" s="4635">
        <f>+AF165+AH165</f>
        <v>5856</v>
      </c>
      <c r="AK165" s="767">
        <f>+AK2*24</f>
        <v>744</v>
      </c>
      <c r="AL165" s="767">
        <f>+AL2*24</f>
        <v>744</v>
      </c>
      <c r="AM165" s="2544">
        <f>AC165+AG165+AK165</f>
        <v>2208</v>
      </c>
      <c r="AN165" s="498">
        <f>AD165+AH165+AL165</f>
        <v>2208</v>
      </c>
      <c r="AO165" s="2236">
        <f t="shared" ref="AO165" si="82">AI165+AK165</f>
        <v>6600</v>
      </c>
      <c r="AP165" s="2236">
        <f t="shared" ref="AP165" si="83">AJ165+AL165</f>
        <v>6600</v>
      </c>
      <c r="AQ165" s="767">
        <f>+AQ2*24</f>
        <v>744</v>
      </c>
      <c r="AR165" s="767">
        <f>+AR2*24</f>
        <v>744</v>
      </c>
      <c r="AS165" s="2236">
        <f>+AO165+AQ165</f>
        <v>7344</v>
      </c>
      <c r="AT165" s="2236">
        <f>+AP165+AR165</f>
        <v>7344</v>
      </c>
      <c r="AU165" s="767">
        <f>+AU2*24</f>
        <v>672</v>
      </c>
      <c r="AV165" s="767">
        <f>+AV2*24</f>
        <v>672</v>
      </c>
      <c r="AW165" s="5036">
        <f>+AS165+AU165</f>
        <v>8016</v>
      </c>
      <c r="AX165" s="5036">
        <f>+AT165+AV165</f>
        <v>8016</v>
      </c>
      <c r="AY165" s="767">
        <f>+AY2*24</f>
        <v>744</v>
      </c>
      <c r="AZ165" s="767">
        <f>+AZ2*24</f>
        <v>744</v>
      </c>
      <c r="BA165" s="2812">
        <f>AQ165+AU165+AY165</f>
        <v>2160</v>
      </c>
      <c r="BB165" s="498">
        <f>AR165+AV165+AZ165</f>
        <v>2160</v>
      </c>
      <c r="BC165" s="2811">
        <f>AM165+BA165</f>
        <v>4368</v>
      </c>
      <c r="BD165" s="2811">
        <f>AN165+BB165</f>
        <v>4368</v>
      </c>
      <c r="BE165" s="2236">
        <f>+AW165+AY165</f>
        <v>8760</v>
      </c>
      <c r="BF165" s="2236">
        <f>+AX165+AZ165</f>
        <v>8760</v>
      </c>
      <c r="BG165" s="1137"/>
      <c r="BH165" s="4234"/>
      <c r="BI165" s="4234"/>
      <c r="BJ165" s="25">
        <f t="shared" si="59"/>
        <v>0</v>
      </c>
      <c r="BK165" s="25">
        <f t="shared" si="60"/>
        <v>0</v>
      </c>
      <c r="BL165" s="25">
        <f t="shared" si="61"/>
        <v>0</v>
      </c>
      <c r="BM165" s="25">
        <f t="shared" si="62"/>
        <v>0</v>
      </c>
    </row>
    <row r="166" spans="1:65" x14ac:dyDescent="0.25">
      <c r="B166" s="9" t="s">
        <v>301</v>
      </c>
      <c r="C166" s="813"/>
      <c r="D166" s="3180" t="s">
        <v>49</v>
      </c>
      <c r="E166" s="3171">
        <f t="shared" ref="E166:F166" si="84">+E167/E165*100</f>
        <v>73.333333333333329</v>
      </c>
      <c r="F166" s="3171">
        <f t="shared" si="84"/>
        <v>84.532407407407419</v>
      </c>
      <c r="G166" s="3171">
        <f t="shared" ref="G166:H166" si="85">+G167/G165*100</f>
        <v>85.000000000000014</v>
      </c>
      <c r="H166" s="3171">
        <f t="shared" si="85"/>
        <v>80.533154121863788</v>
      </c>
      <c r="I166" s="814">
        <f t="shared" ref="I166:Z166" si="86">+I167/I165*100</f>
        <v>79.26229508196721</v>
      </c>
      <c r="J166" s="103">
        <f t="shared" si="86"/>
        <v>82.5</v>
      </c>
      <c r="K166" s="3171">
        <f t="shared" si="86"/>
        <v>85</v>
      </c>
      <c r="L166" s="3171">
        <f t="shared" si="86"/>
        <v>84.173611111111128</v>
      </c>
      <c r="M166" s="815">
        <f t="shared" si="86"/>
        <v>81.15384615384616</v>
      </c>
      <c r="N166" s="330">
        <f t="shared" si="86"/>
        <v>83.051739926739927</v>
      </c>
      <c r="O166" s="3171">
        <f t="shared" ref="O166:P166" si="87">+O167/O165*100</f>
        <v>85.000000000000014</v>
      </c>
      <c r="P166" s="3171">
        <f t="shared" si="87"/>
        <v>85.398745519713245</v>
      </c>
      <c r="Q166" s="814">
        <f t="shared" si="86"/>
        <v>82.131147540983619</v>
      </c>
      <c r="R166" s="245">
        <f t="shared" si="86"/>
        <v>83.648110200364286</v>
      </c>
      <c r="S166" s="3171">
        <f t="shared" si="86"/>
        <v>85.000000000000014</v>
      </c>
      <c r="T166" s="3171">
        <f t="shared" si="86"/>
        <v>82.645609318996421</v>
      </c>
      <c r="U166" s="814">
        <f t="shared" ref="U166:X166" si="88">+U167/U165*100</f>
        <v>82.712418300653596</v>
      </c>
      <c r="V166" s="245">
        <f t="shared" si="88"/>
        <v>83.444989106753795</v>
      </c>
      <c r="W166" s="3171">
        <f t="shared" si="88"/>
        <v>55.000000000000007</v>
      </c>
      <c r="X166" s="3171">
        <f t="shared" si="88"/>
        <v>85.497685185185148</v>
      </c>
      <c r="Y166" s="815">
        <f t="shared" si="86"/>
        <v>75.217391304347842</v>
      </c>
      <c r="Z166" s="333">
        <f t="shared" si="86"/>
        <v>84.503321256038632</v>
      </c>
      <c r="AA166" s="440">
        <f t="shared" ref="AA166:AF166" si="89">+AA167/AA165*100</f>
        <v>78.169398907103826</v>
      </c>
      <c r="AB166" s="440">
        <f t="shared" si="89"/>
        <v>83.78149666059501</v>
      </c>
      <c r="AC166" s="3171">
        <f t="shared" si="89"/>
        <v>85.000000000000014</v>
      </c>
      <c r="AD166" s="3171">
        <f t="shared" si="89"/>
        <v>59.699820788530467</v>
      </c>
      <c r="AE166" s="814">
        <f t="shared" si="89"/>
        <v>79.158878504672899</v>
      </c>
      <c r="AF166" s="245">
        <f t="shared" si="89"/>
        <v>80.293029595015568</v>
      </c>
      <c r="AG166" s="3171">
        <f t="shared" ref="AG166:AH166" si="90">+AG167/AG165*100</f>
        <v>85</v>
      </c>
      <c r="AH166" s="3171">
        <f t="shared" si="90"/>
        <v>82.340277777777786</v>
      </c>
      <c r="AI166" s="814">
        <f t="shared" ref="AI166:AL166" si="91">+AI167/AI165*100</f>
        <v>79.877049180327873</v>
      </c>
      <c r="AJ166" s="245">
        <f t="shared" si="91"/>
        <v>80.544740437158467</v>
      </c>
      <c r="AK166" s="3171">
        <f t="shared" si="91"/>
        <v>85.000000000000014</v>
      </c>
      <c r="AL166" s="3171">
        <f t="shared" si="91"/>
        <v>81.359767025089596</v>
      </c>
      <c r="AM166" s="815">
        <f t="shared" ref="AM166:AT166" si="92">+AM167/AM165*100</f>
        <v>85.000000000000014</v>
      </c>
      <c r="AN166" s="333">
        <f t="shared" si="92"/>
        <v>74.38103864734299</v>
      </c>
      <c r="AO166" s="814">
        <f t="shared" si="92"/>
        <v>80.454545454545453</v>
      </c>
      <c r="AP166" s="245">
        <f t="shared" si="92"/>
        <v>80.636616161616161</v>
      </c>
      <c r="AQ166" s="3171">
        <f t="shared" si="92"/>
        <v>85.000000000000014</v>
      </c>
      <c r="AR166" s="3171">
        <f t="shared" si="92"/>
        <v>83.068996415770641</v>
      </c>
      <c r="AS166" s="814">
        <f t="shared" si="92"/>
        <v>80.915032679738559</v>
      </c>
      <c r="AT166" s="245">
        <f t="shared" si="92"/>
        <v>80.883033769063189</v>
      </c>
      <c r="AU166" s="3171">
        <f t="shared" ref="AU166:AV166" si="93">+AU167/AU165*100</f>
        <v>85.000000000000014</v>
      </c>
      <c r="AV166" s="3171">
        <f t="shared" si="93"/>
        <v>85.7465277777778</v>
      </c>
      <c r="AW166" s="814">
        <f t="shared" ref="AW166:AZ166" si="94">+AW167/AW165*100</f>
        <v>81.257485029940113</v>
      </c>
      <c r="AX166" s="245">
        <f t="shared" si="94"/>
        <v>81.290751829673994</v>
      </c>
      <c r="AY166" s="3171">
        <f t="shared" si="94"/>
        <v>85.000000000000014</v>
      </c>
      <c r="AZ166" s="3171">
        <f t="shared" si="94"/>
        <v>81.666666666666671</v>
      </c>
      <c r="BA166" s="815">
        <f t="shared" ref="BA166:BD166" si="95">+BA167/BA165*100</f>
        <v>85.000000000000014</v>
      </c>
      <c r="BB166" s="333">
        <f t="shared" si="95"/>
        <v>83.418981481481495</v>
      </c>
      <c r="BC166" s="440">
        <f t="shared" si="95"/>
        <v>85.000000000000014</v>
      </c>
      <c r="BD166" s="440">
        <f t="shared" si="95"/>
        <v>78.850351037851041</v>
      </c>
      <c r="BE166" s="814">
        <f t="shared" ref="BE166:BF166" si="96">+BE167/BE165*100</f>
        <v>81.575342465753423</v>
      </c>
      <c r="BF166" s="245">
        <f t="shared" si="96"/>
        <v>81.322678843226797</v>
      </c>
      <c r="BG166" s="1137"/>
      <c r="BH166" s="4234"/>
      <c r="BI166" s="4234"/>
      <c r="BJ166" s="25"/>
      <c r="BK166" s="25"/>
      <c r="BL166" s="25"/>
      <c r="BM166" s="25"/>
    </row>
    <row r="167" spans="1:65" x14ac:dyDescent="0.25">
      <c r="B167" s="9" t="s">
        <v>300</v>
      </c>
      <c r="C167" s="813"/>
      <c r="D167" s="3180" t="s">
        <v>220</v>
      </c>
      <c r="E167" s="7588">
        <v>528</v>
      </c>
      <c r="F167" s="7588">
        <v>608.63333333333344</v>
      </c>
      <c r="G167" s="5607">
        <v>632.40000000000009</v>
      </c>
      <c r="H167" s="6207">
        <v>599.16666666666652</v>
      </c>
      <c r="I167" s="636">
        <f>+E167+G167</f>
        <v>1160.4000000000001</v>
      </c>
      <c r="J167" s="37">
        <f>+F167+H167</f>
        <v>1207.8</v>
      </c>
      <c r="K167" s="5718">
        <v>612</v>
      </c>
      <c r="L167" s="5718">
        <v>606.05000000000007</v>
      </c>
      <c r="M167" s="2211">
        <f>+E167+G167+K167</f>
        <v>1772.4</v>
      </c>
      <c r="N167" s="2211">
        <f>+F167+H167+L167</f>
        <v>1813.85</v>
      </c>
      <c r="O167" s="5849">
        <v>632.40000000000009</v>
      </c>
      <c r="P167" s="5849">
        <v>635.36666666666656</v>
      </c>
      <c r="Q167" s="733">
        <f>+M167+O167</f>
        <v>2404.8000000000002</v>
      </c>
      <c r="R167" s="733">
        <f>+N167+P167</f>
        <v>2449.2166666666662</v>
      </c>
      <c r="S167" s="5938">
        <v>632.40000000000009</v>
      </c>
      <c r="T167" s="5938">
        <v>614.88333333333344</v>
      </c>
      <c r="U167" s="4351">
        <f>+Q167+S167</f>
        <v>3037.2000000000003</v>
      </c>
      <c r="V167" s="4351">
        <f>+R167+T167</f>
        <v>3064.0999999999995</v>
      </c>
      <c r="W167" s="6038">
        <v>396</v>
      </c>
      <c r="X167" s="6038">
        <v>615.58333333333303</v>
      </c>
      <c r="Y167" s="2417">
        <f>O167+S167+W167</f>
        <v>1660.8000000000002</v>
      </c>
      <c r="Z167" s="498">
        <f>P167+T167+X167</f>
        <v>1865.833333333333</v>
      </c>
      <c r="AA167" s="6058">
        <f>M167+Y167</f>
        <v>3433.2000000000003</v>
      </c>
      <c r="AB167" s="2502">
        <f>N167+Z167</f>
        <v>3679.6833333333329</v>
      </c>
      <c r="AC167" s="6164">
        <v>632.40000000000009</v>
      </c>
      <c r="AD167" s="6164">
        <v>444.16666666666669</v>
      </c>
      <c r="AE167" s="2236">
        <f>+AA167+AC167</f>
        <v>4065.6000000000004</v>
      </c>
      <c r="AF167" s="2236">
        <f>+AB167+AD167</f>
        <v>4123.8499999999995</v>
      </c>
      <c r="AG167" s="6333">
        <v>612</v>
      </c>
      <c r="AH167" s="6333">
        <v>592.85</v>
      </c>
      <c r="AI167" s="4635">
        <f>+AE167+AG167</f>
        <v>4677.6000000000004</v>
      </c>
      <c r="AJ167" s="4635">
        <f>+AF167+AH167</f>
        <v>4716.7</v>
      </c>
      <c r="AK167" s="6595">
        <v>632.40000000000009</v>
      </c>
      <c r="AL167" s="6595">
        <v>605.31666666666661</v>
      </c>
      <c r="AM167" s="2544">
        <f>AC167+AG167+AK167</f>
        <v>1876.8000000000002</v>
      </c>
      <c r="AN167" s="498">
        <f>AD167+AH167+AL167</f>
        <v>1642.3333333333333</v>
      </c>
      <c r="AO167" s="2236">
        <f t="shared" ref="AO167:AP167" si="97">AI167+AK167</f>
        <v>5310</v>
      </c>
      <c r="AP167" s="2236">
        <f t="shared" si="97"/>
        <v>5322.0166666666664</v>
      </c>
      <c r="AQ167" s="4976">
        <v>632.40000000000009</v>
      </c>
      <c r="AR167" s="4976">
        <v>618.03333333333353</v>
      </c>
      <c r="AS167" s="2236">
        <f>+AO167+AQ167</f>
        <v>5942.4</v>
      </c>
      <c r="AT167" s="2236">
        <f>+AP167+AR167</f>
        <v>5940.05</v>
      </c>
      <c r="AU167" s="6845">
        <v>571.20000000000005</v>
      </c>
      <c r="AV167" s="6845">
        <v>576.21666666666681</v>
      </c>
      <c r="AW167" s="5036">
        <f>+AS167+AU167</f>
        <v>6513.5999999999995</v>
      </c>
      <c r="AX167" s="5036">
        <f>+AT167+AV167</f>
        <v>6516.2666666666673</v>
      </c>
      <c r="AY167" s="6998">
        <v>632.40000000000009</v>
      </c>
      <c r="AZ167" s="6998">
        <v>607.6</v>
      </c>
      <c r="BA167" s="2812">
        <f>AQ167+AU167+AY167</f>
        <v>1836.0000000000002</v>
      </c>
      <c r="BB167" s="498">
        <f>AR167+AV167+AZ167</f>
        <v>1801.8500000000004</v>
      </c>
      <c r="BC167" s="2811">
        <f>AM167+BA167</f>
        <v>3712.8</v>
      </c>
      <c r="BD167" s="2811">
        <f>AN167+BB167</f>
        <v>3444.1833333333334</v>
      </c>
      <c r="BE167" s="2236">
        <f>+AW167+AY167</f>
        <v>7146</v>
      </c>
      <c r="BF167" s="2236">
        <f>+AX167+AZ167</f>
        <v>7123.8666666666677</v>
      </c>
      <c r="BG167" s="1137"/>
      <c r="BH167" s="4234">
        <f t="shared" si="57"/>
        <v>0</v>
      </c>
      <c r="BI167" s="4234">
        <f t="shared" si="58"/>
        <v>0</v>
      </c>
      <c r="BJ167" s="25">
        <f t="shared" si="59"/>
        <v>0</v>
      </c>
      <c r="BK167" s="25">
        <f t="shared" si="60"/>
        <v>0</v>
      </c>
      <c r="BL167" s="25">
        <f t="shared" si="61"/>
        <v>0</v>
      </c>
      <c r="BM167" s="25">
        <f t="shared" si="62"/>
        <v>0</v>
      </c>
    </row>
    <row r="168" spans="1:65" x14ac:dyDescent="0.25">
      <c r="B168" s="9" t="s">
        <v>302</v>
      </c>
      <c r="C168" s="813"/>
      <c r="D168" s="3180" t="s">
        <v>49</v>
      </c>
      <c r="E168" s="3174">
        <f t="shared" ref="E168:F168" si="98">+E169/E167*100</f>
        <v>88.333333333333329</v>
      </c>
      <c r="F168" s="3174">
        <f t="shared" si="98"/>
        <v>89.711922887343206</v>
      </c>
      <c r="G168" s="3174">
        <f t="shared" ref="G168:H168" si="99">+G169/G167*100</f>
        <v>87.499999999999986</v>
      </c>
      <c r="H168" s="3174">
        <f t="shared" si="99"/>
        <v>88.984700973574448</v>
      </c>
      <c r="I168" s="814">
        <f t="shared" ref="I168:AD168" si="100">+I169/I167*100</f>
        <v>87.879179593243705</v>
      </c>
      <c r="J168" s="103">
        <f t="shared" si="100"/>
        <v>89.351161892145498</v>
      </c>
      <c r="K168" s="3174">
        <f t="shared" si="100"/>
        <v>87.5</v>
      </c>
      <c r="L168" s="3174">
        <f t="shared" si="100"/>
        <v>86.854769958474236</v>
      </c>
      <c r="M168" s="815">
        <f t="shared" si="100"/>
        <v>87.748250959151434</v>
      </c>
      <c r="N168" s="330">
        <f t="shared" si="100"/>
        <v>88.51705855868272</v>
      </c>
      <c r="O168" s="3174">
        <f t="shared" ref="O168:P168" si="101">+O169/O167*100</f>
        <v>87.499999999999986</v>
      </c>
      <c r="P168" s="3174">
        <f t="shared" si="101"/>
        <v>90.630082367137078</v>
      </c>
      <c r="Q168" s="814">
        <f t="shared" si="100"/>
        <v>87.682967398536249</v>
      </c>
      <c r="R168" s="245">
        <f t="shared" si="100"/>
        <v>89.065211326070241</v>
      </c>
      <c r="S168" s="3174">
        <f t="shared" si="100"/>
        <v>87.499999999999986</v>
      </c>
      <c r="T168" s="3174">
        <f t="shared" si="100"/>
        <v>84.869758490770593</v>
      </c>
      <c r="U168" s="814">
        <f t="shared" ref="U168:X168" si="102">+U169/U167*100</f>
        <v>87.64487027525351</v>
      </c>
      <c r="V168" s="245">
        <f t="shared" si="102"/>
        <v>88.223295584347767</v>
      </c>
      <c r="W168" s="3174">
        <f t="shared" si="102"/>
        <v>87.5</v>
      </c>
      <c r="X168" s="3174">
        <f t="shared" si="102"/>
        <v>89.801001759848418</v>
      </c>
      <c r="Y168" s="815">
        <f t="shared" si="100"/>
        <v>87.499999999999986</v>
      </c>
      <c r="Z168" s="333">
        <f t="shared" si="100"/>
        <v>88.458240285841896</v>
      </c>
      <c r="AA168" s="440">
        <f t="shared" si="100"/>
        <v>87.628160316905507</v>
      </c>
      <c r="AB168" s="440">
        <f t="shared" si="100"/>
        <v>88.487233955820471</v>
      </c>
      <c r="AC168" s="3174">
        <f t="shared" si="100"/>
        <v>87.499999999999986</v>
      </c>
      <c r="AD168" s="3174">
        <f t="shared" si="100"/>
        <v>87.28705440900562</v>
      </c>
      <c r="AE168" s="814">
        <f t="shared" ref="AE168:AH168" si="103">+AE169/AE167*100</f>
        <v>87.608225108225085</v>
      </c>
      <c r="AF168" s="245">
        <f t="shared" si="103"/>
        <v>88.357966463377664</v>
      </c>
      <c r="AG168" s="3174">
        <f t="shared" si="103"/>
        <v>87.5</v>
      </c>
      <c r="AH168" s="3174">
        <f t="shared" si="103"/>
        <v>79.323044052739604</v>
      </c>
      <c r="AI168" s="814">
        <f t="shared" ref="AI168:AL168" si="104">+AI169/AI167*100</f>
        <v>87.594065332649194</v>
      </c>
      <c r="AJ168" s="245">
        <f t="shared" si="104"/>
        <v>87.222351785499754</v>
      </c>
      <c r="AK168" s="3174">
        <f t="shared" si="104"/>
        <v>87.499999999999986</v>
      </c>
      <c r="AL168" s="3174">
        <f t="shared" si="104"/>
        <v>89.793221178997243</v>
      </c>
      <c r="AM168" s="815">
        <f t="shared" ref="AM168:AT168" si="105">+AM169/AM167*100</f>
        <v>87.499999999999972</v>
      </c>
      <c r="AN168" s="333">
        <f t="shared" si="105"/>
        <v>85.335904201339559</v>
      </c>
      <c r="AO168" s="814">
        <f t="shared" si="105"/>
        <v>87.582862523540484</v>
      </c>
      <c r="AP168" s="245">
        <f t="shared" si="105"/>
        <v>87.514757876869993</v>
      </c>
      <c r="AQ168" s="3174">
        <f t="shared" si="105"/>
        <v>87.499999999999986</v>
      </c>
      <c r="AR168" s="3174">
        <f t="shared" si="105"/>
        <v>90.734048864678257</v>
      </c>
      <c r="AS168" s="814">
        <f t="shared" si="105"/>
        <v>87.574044157242867</v>
      </c>
      <c r="AT168" s="245">
        <f t="shared" si="105"/>
        <v>87.849709458113423</v>
      </c>
      <c r="AU168" s="3174">
        <f t="shared" ref="AU168:AV168" si="106">+AU169/AU167*100</f>
        <v>87.5</v>
      </c>
      <c r="AV168" s="3174">
        <f t="shared" si="106"/>
        <v>88.716628582998283</v>
      </c>
      <c r="AW168" s="814">
        <f t="shared" ref="AW168:AZ168" si="107">+AW169/AW167*100</f>
        <v>87.56755097027758</v>
      </c>
      <c r="AX168" s="245">
        <f t="shared" si="107"/>
        <v>87.926368881977396</v>
      </c>
      <c r="AY168" s="3174">
        <f t="shared" si="107"/>
        <v>87.499999999999986</v>
      </c>
      <c r="AZ168" s="3174">
        <f t="shared" si="107"/>
        <v>90.31983761246434</v>
      </c>
      <c r="BA168" s="815">
        <f t="shared" ref="BA168:BD168" si="108">+BA169/BA167*100</f>
        <v>87.499999999999986</v>
      </c>
      <c r="BB168" s="333">
        <f t="shared" si="108"/>
        <v>89.949218858395525</v>
      </c>
      <c r="BC168" s="440">
        <f t="shared" si="108"/>
        <v>87.499999999999986</v>
      </c>
      <c r="BD168" s="440">
        <f t="shared" si="108"/>
        <v>87.749393905667034</v>
      </c>
      <c r="BE168" s="814">
        <f t="shared" ref="BE168:BF168" si="109">+BE169/BE167*100</f>
        <v>87.561572907920521</v>
      </c>
      <c r="BF168" s="245">
        <f t="shared" si="109"/>
        <v>88.130509648318309</v>
      </c>
      <c r="BG168" s="1137"/>
      <c r="BH168" s="4234"/>
      <c r="BI168" s="4234"/>
      <c r="BJ168" s="25"/>
      <c r="BK168" s="25"/>
      <c r="BL168" s="25"/>
      <c r="BM168" s="25"/>
    </row>
    <row r="169" spans="1:65" x14ac:dyDescent="0.25">
      <c r="B169" s="9" t="s">
        <v>303</v>
      </c>
      <c r="C169" s="813"/>
      <c r="D169" s="3180" t="s">
        <v>220</v>
      </c>
      <c r="E169" s="7588">
        <v>466.4</v>
      </c>
      <c r="F169" s="7588">
        <v>546.01666666666665</v>
      </c>
      <c r="G169" s="5607">
        <v>553.35</v>
      </c>
      <c r="H169" s="6207">
        <v>533.16666666666674</v>
      </c>
      <c r="I169" s="636">
        <f>+E169+G169</f>
        <v>1019.75</v>
      </c>
      <c r="J169" s="37">
        <f>+F169+H169</f>
        <v>1079.1833333333334</v>
      </c>
      <c r="K169" s="5718">
        <v>535.5</v>
      </c>
      <c r="L169" s="5718">
        <v>526.38333333333321</v>
      </c>
      <c r="M169" s="2211">
        <f>+E169+G169+K169</f>
        <v>1555.25</v>
      </c>
      <c r="N169" s="2211">
        <f>+F169+H169+L169</f>
        <v>1605.5666666666666</v>
      </c>
      <c r="O169" s="5849">
        <v>553.35</v>
      </c>
      <c r="P169" s="5849">
        <v>575.83333333333314</v>
      </c>
      <c r="Q169" s="733">
        <f>+M169+O169</f>
        <v>2108.6</v>
      </c>
      <c r="R169" s="733">
        <f>+N169+P169</f>
        <v>2181.3999999999996</v>
      </c>
      <c r="S169" s="5938">
        <v>553.35</v>
      </c>
      <c r="T169" s="5938">
        <v>521.85</v>
      </c>
      <c r="U169" s="4351">
        <f>+Q169+S169</f>
        <v>2661.95</v>
      </c>
      <c r="V169" s="4351">
        <f>+R169+T169</f>
        <v>2703.2499999999995</v>
      </c>
      <c r="W169" s="6038">
        <v>346.5</v>
      </c>
      <c r="X169" s="6038">
        <v>552.79999999999995</v>
      </c>
      <c r="Y169" s="2417">
        <f>O169+S169+W169</f>
        <v>1453.2</v>
      </c>
      <c r="Z169" s="498">
        <f>P169+T169+X169</f>
        <v>1650.4833333333331</v>
      </c>
      <c r="AA169" s="6058">
        <f>M169+Y169</f>
        <v>3008.45</v>
      </c>
      <c r="AB169" s="2502">
        <f>N169+Z169</f>
        <v>3256.0499999999997</v>
      </c>
      <c r="AC169" s="6164">
        <v>553.35</v>
      </c>
      <c r="AD169" s="6164">
        <v>387.7</v>
      </c>
      <c r="AE169" s="2236">
        <f>+AA169+AC169</f>
        <v>3561.7999999999997</v>
      </c>
      <c r="AF169" s="2236">
        <f>+AB169+AD169</f>
        <v>3643.7499999999995</v>
      </c>
      <c r="AG169" s="6333">
        <v>535.5</v>
      </c>
      <c r="AH169" s="6333">
        <v>470.26666666666677</v>
      </c>
      <c r="AI169" s="4635">
        <f>+AE169+AG169</f>
        <v>4097.2999999999993</v>
      </c>
      <c r="AJ169" s="4635">
        <f>+AF169+AH169</f>
        <v>4114.0166666666664</v>
      </c>
      <c r="AK169" s="6595">
        <v>553.35</v>
      </c>
      <c r="AL169" s="6595">
        <v>543.53333333333342</v>
      </c>
      <c r="AM169" s="2544">
        <f>AC169+AG169+AK169</f>
        <v>1642.1999999999998</v>
      </c>
      <c r="AN169" s="498">
        <f>AD169+AH169+AL169</f>
        <v>1401.5</v>
      </c>
      <c r="AO169" s="2236">
        <f t="shared" ref="AO169:AP169" si="110">AI169+AK169</f>
        <v>4650.6499999999996</v>
      </c>
      <c r="AP169" s="2236">
        <f t="shared" si="110"/>
        <v>4657.55</v>
      </c>
      <c r="AQ169" s="4976">
        <v>553.35</v>
      </c>
      <c r="AR169" s="4976">
        <v>560.76666666666665</v>
      </c>
      <c r="AS169" s="2236">
        <f>+AO169+AQ169</f>
        <v>5204</v>
      </c>
      <c r="AT169" s="2236">
        <f>+AP169+AR169</f>
        <v>5218.3166666666666</v>
      </c>
      <c r="AU169" s="6845">
        <v>499.8</v>
      </c>
      <c r="AV169" s="6845">
        <v>511.20000000000005</v>
      </c>
      <c r="AW169" s="5036">
        <f>+AS169+AU169</f>
        <v>5703.8</v>
      </c>
      <c r="AX169" s="5036">
        <f>+AT169+AV169</f>
        <v>5729.5166666666664</v>
      </c>
      <c r="AY169" s="6998">
        <v>553.35</v>
      </c>
      <c r="AZ169" s="6998">
        <v>548.7833333333333</v>
      </c>
      <c r="BA169" s="2812">
        <f>AQ169+AU169+AY169</f>
        <v>1606.5</v>
      </c>
      <c r="BB169" s="498">
        <f>AR169+AV169+AZ169</f>
        <v>1620.75</v>
      </c>
      <c r="BC169" s="2811">
        <f>AM169+BA169</f>
        <v>3248.7</v>
      </c>
      <c r="BD169" s="2811">
        <f>AN169+BB169</f>
        <v>3022.25</v>
      </c>
      <c r="BE169" s="2236">
        <f>+AW169+AY169</f>
        <v>6257.1500000000005</v>
      </c>
      <c r="BF169" s="2236">
        <f>+AX169+AZ169</f>
        <v>6278.2999999999993</v>
      </c>
      <c r="BG169" s="1137"/>
      <c r="BH169" s="4234">
        <f t="shared" si="57"/>
        <v>0</v>
      </c>
      <c r="BI169" s="4234">
        <f t="shared" si="58"/>
        <v>0</v>
      </c>
      <c r="BJ169" s="25">
        <f t="shared" si="59"/>
        <v>0</v>
      </c>
      <c r="BK169" s="25">
        <f t="shared" si="60"/>
        <v>0</v>
      </c>
      <c r="BL169" s="25">
        <f t="shared" si="61"/>
        <v>0</v>
      </c>
      <c r="BM169" s="25">
        <f t="shared" si="62"/>
        <v>0</v>
      </c>
    </row>
    <row r="170" spans="1:65" x14ac:dyDescent="0.25">
      <c r="B170" s="9" t="s">
        <v>486</v>
      </c>
      <c r="C170" s="813"/>
      <c r="D170" s="3180" t="s">
        <v>485</v>
      </c>
      <c r="E170" s="3174">
        <f t="shared" ref="E170:F170" si="111">+E169/(E167/24)</f>
        <v>21.2</v>
      </c>
      <c r="F170" s="2961">
        <f t="shared" si="111"/>
        <v>21.530861492962369</v>
      </c>
      <c r="G170" s="3174">
        <f t="shared" ref="G170:H170" si="112">+G169/(G167/24)</f>
        <v>20.999999999999996</v>
      </c>
      <c r="H170" s="2961">
        <f t="shared" si="112"/>
        <v>21.356328233657866</v>
      </c>
      <c r="I170" s="814">
        <f t="shared" ref="I170:AD170" si="113">+I169/(I167/24)</f>
        <v>21.09100310237849</v>
      </c>
      <c r="J170" s="103">
        <f t="shared" si="113"/>
        <v>21.444278854114923</v>
      </c>
      <c r="K170" s="3174">
        <f t="shared" si="113"/>
        <v>21</v>
      </c>
      <c r="L170" s="2961">
        <f t="shared" si="113"/>
        <v>20.845144790033821</v>
      </c>
      <c r="M170" s="815">
        <f t="shared" si="113"/>
        <v>21.059580230196342</v>
      </c>
      <c r="N170" s="330">
        <f t="shared" si="113"/>
        <v>21.244094054083853</v>
      </c>
      <c r="O170" s="3174">
        <f t="shared" ref="O170:P170" si="114">+O169/(O167/24)</f>
        <v>20.999999999999996</v>
      </c>
      <c r="P170" s="2961">
        <f t="shared" si="114"/>
        <v>21.751219768112897</v>
      </c>
      <c r="Q170" s="814">
        <f t="shared" si="113"/>
        <v>21.0439121756487</v>
      </c>
      <c r="R170" s="245">
        <f t="shared" si="113"/>
        <v>21.375650718256857</v>
      </c>
      <c r="S170" s="3174">
        <f t="shared" si="113"/>
        <v>20.999999999999996</v>
      </c>
      <c r="T170" s="2961">
        <f t="shared" si="113"/>
        <v>20.368742037784944</v>
      </c>
      <c r="U170" s="814">
        <f t="shared" ref="U170:X170" si="115">+U169/(U167/24)</f>
        <v>21.034768866060841</v>
      </c>
      <c r="V170" s="245">
        <f t="shared" si="115"/>
        <v>21.173590940243464</v>
      </c>
      <c r="W170" s="3174">
        <f t="shared" si="115"/>
        <v>21</v>
      </c>
      <c r="X170" s="2961">
        <f t="shared" si="115"/>
        <v>21.552240422363621</v>
      </c>
      <c r="Y170" s="815">
        <f t="shared" si="113"/>
        <v>21</v>
      </c>
      <c r="Z170" s="333">
        <f t="shared" si="113"/>
        <v>21.229977668602054</v>
      </c>
      <c r="AA170" s="440">
        <f t="shared" si="113"/>
        <v>21.030758476057319</v>
      </c>
      <c r="AB170" s="440">
        <f t="shared" si="113"/>
        <v>21.236936149396914</v>
      </c>
      <c r="AC170" s="3174">
        <f t="shared" si="113"/>
        <v>20.999999999999996</v>
      </c>
      <c r="AD170" s="2961">
        <f t="shared" si="113"/>
        <v>20.94889305816135</v>
      </c>
      <c r="AE170" s="814">
        <f t="shared" ref="AE170:AH170" si="116">+AE169/(AE167/24)</f>
        <v>21.025974025974023</v>
      </c>
      <c r="AF170" s="245">
        <f t="shared" si="116"/>
        <v>21.205911951210638</v>
      </c>
      <c r="AG170" s="3174">
        <f t="shared" si="116"/>
        <v>21</v>
      </c>
      <c r="AH170" s="2961">
        <f t="shared" si="116"/>
        <v>19.037530572657506</v>
      </c>
      <c r="AI170" s="814">
        <f t="shared" ref="AI170:AL170" si="117">+AI169/(AI167/24)</f>
        <v>21.022575679835811</v>
      </c>
      <c r="AJ170" s="245">
        <f t="shared" si="117"/>
        <v>20.933364428519937</v>
      </c>
      <c r="AK170" s="3174">
        <f t="shared" si="117"/>
        <v>20.999999999999996</v>
      </c>
      <c r="AL170" s="2961">
        <f t="shared" si="117"/>
        <v>21.550373082959336</v>
      </c>
      <c r="AM170" s="815">
        <f t="shared" ref="AM170:AT170" si="118">+AM169/(AM167/24)</f>
        <v>20.999999999999996</v>
      </c>
      <c r="AN170" s="333">
        <f t="shared" si="118"/>
        <v>20.480617008321492</v>
      </c>
      <c r="AO170" s="814">
        <f t="shared" si="118"/>
        <v>21.019887005649714</v>
      </c>
      <c r="AP170" s="245">
        <f t="shared" si="118"/>
        <v>21.003541890448798</v>
      </c>
      <c r="AQ170" s="3174">
        <f t="shared" si="118"/>
        <v>20.999999999999996</v>
      </c>
      <c r="AR170" s="2961">
        <f t="shared" si="118"/>
        <v>21.77617172752278</v>
      </c>
      <c r="AS170" s="814">
        <f t="shared" si="118"/>
        <v>21.017770597738288</v>
      </c>
      <c r="AT170" s="245">
        <f t="shared" si="118"/>
        <v>21.083930269947224</v>
      </c>
      <c r="AU170" s="3174">
        <f t="shared" ref="AU170:AV170" si="119">+AU169/(AU167/24)</f>
        <v>21</v>
      </c>
      <c r="AV170" s="2961">
        <f t="shared" si="119"/>
        <v>21.291990859919586</v>
      </c>
      <c r="AW170" s="814">
        <f t="shared" ref="AW170:AZ170" si="120">+AW169/(AW167/24)</f>
        <v>21.016212232866621</v>
      </c>
      <c r="AX170" s="245">
        <f t="shared" si="120"/>
        <v>21.102328531674576</v>
      </c>
      <c r="AY170" s="3174">
        <f t="shared" si="120"/>
        <v>20.999999999999996</v>
      </c>
      <c r="AZ170" s="2961">
        <f t="shared" si="120"/>
        <v>21.676761026991439</v>
      </c>
      <c r="BA170" s="815">
        <f t="shared" ref="BA170:BD170" si="121">+BA169/(BA167/24)</f>
        <v>20.999999999999996</v>
      </c>
      <c r="BB170" s="333">
        <f t="shared" si="121"/>
        <v>21.587812526014925</v>
      </c>
      <c r="BC170" s="440">
        <f t="shared" si="121"/>
        <v>20.999999999999996</v>
      </c>
      <c r="BD170" s="440">
        <f t="shared" si="121"/>
        <v>21.059854537360089</v>
      </c>
      <c r="BE170" s="814">
        <f t="shared" ref="BE170:BF170" si="122">+BE169/(BE167/24)</f>
        <v>21.014777497900926</v>
      </c>
      <c r="BF170" s="245">
        <f t="shared" si="122"/>
        <v>21.151322315596392</v>
      </c>
      <c r="BG170" s="1137"/>
      <c r="BH170" s="4234"/>
      <c r="BI170" s="4234"/>
      <c r="BJ170" s="25"/>
      <c r="BK170" s="25"/>
      <c r="BL170" s="25"/>
      <c r="BM170" s="25"/>
    </row>
    <row r="171" spans="1:65" x14ac:dyDescent="0.25">
      <c r="A171" s="1441">
        <v>0.28799999999999998</v>
      </c>
      <c r="B171" s="9" t="s">
        <v>304</v>
      </c>
      <c r="C171" s="813"/>
      <c r="D171" s="3180" t="s">
        <v>1051</v>
      </c>
      <c r="E171" s="2965">
        <v>0.28799999999999998</v>
      </c>
      <c r="F171" s="2965">
        <v>0.32100000000000001</v>
      </c>
      <c r="G171" s="3181">
        <v>0.28800000000000003</v>
      </c>
      <c r="H171" s="2965">
        <v>0.35299999999999998</v>
      </c>
      <c r="I171" s="816">
        <f>+((E171*E5)+(G171*G5))/I5</f>
        <v>0.28799999999999998</v>
      </c>
      <c r="J171" s="3182">
        <f>+((F171*F5)+(H171*H5))/J5</f>
        <v>0.33657094929140768</v>
      </c>
      <c r="K171" s="3181">
        <v>0.28799999999999998</v>
      </c>
      <c r="L171" s="2965">
        <v>0.3417</v>
      </c>
      <c r="M171" s="817">
        <f>+((E171*E5)+(G171*G5)+(K171*K5))/M5</f>
        <v>0.28799999999999998</v>
      </c>
      <c r="N171" s="817">
        <f>+((F171*F5)+(H171*H5)+(L171*L5))/N5</f>
        <v>0.33822325510879153</v>
      </c>
      <c r="O171" s="3181">
        <v>0.28799999999999998</v>
      </c>
      <c r="P171" s="2965">
        <v>0.30199999999999999</v>
      </c>
      <c r="Q171" s="816">
        <f>+((M171*M5)+(O171*O5))/Q5</f>
        <v>0.28799999999999998</v>
      </c>
      <c r="R171" s="816">
        <f>+((N171*N5)+(P171*P5))/R5</f>
        <v>0.32798676680037014</v>
      </c>
      <c r="S171" s="3181">
        <v>0.28799999999999998</v>
      </c>
      <c r="T171" s="2965">
        <v>0.33800000000000002</v>
      </c>
      <c r="U171" s="816">
        <f>+((Q171*Q5)+(S171*S5))/U5</f>
        <v>0.28799999999999998</v>
      </c>
      <c r="V171" s="816">
        <f>+((R171*R5)+(T171*T5))/V5</f>
        <v>0.32987355820417708</v>
      </c>
      <c r="W171" s="3181">
        <v>0.28799999999999998</v>
      </c>
      <c r="X171" s="2965">
        <v>0.32700000000000001</v>
      </c>
      <c r="Y171" s="817">
        <f>+((O171*O5)+(S171*S5)+(W171*W5))/Y5</f>
        <v>0.28799999999999998</v>
      </c>
      <c r="Z171" s="817">
        <f>+((P171*P5)+(T171*T5)+(X171*X5))/Z5</f>
        <v>0.32107518917020528</v>
      </c>
      <c r="AA171" s="630">
        <f>+((M171*M5)+(Y171*Y5))/AA5</f>
        <v>0.28799999999999998</v>
      </c>
      <c r="AB171" s="630">
        <f>+((N171*N5)+(Z171*Z5))/AB5</f>
        <v>0.3293943954087637</v>
      </c>
      <c r="AC171" s="3181">
        <v>0.28799999999999998</v>
      </c>
      <c r="AD171" s="2965">
        <v>0.38900000000000001</v>
      </c>
      <c r="AE171" s="816">
        <f>+((AA171*AA5)+(AC171*AC5))/AE5</f>
        <v>0.28799999999999998</v>
      </c>
      <c r="AF171" s="816">
        <f>+((AB171*AB5)+(AD171*AD5))/AF5</f>
        <v>0.3358611652631</v>
      </c>
      <c r="AG171" s="3181">
        <v>0.28799999999999998</v>
      </c>
      <c r="AH171" s="2965">
        <v>0.4</v>
      </c>
      <c r="AI171" s="816">
        <f>+((AE171*AE5)+(AG171*AG5))/AI5</f>
        <v>0.28799999999999998</v>
      </c>
      <c r="AJ171" s="816">
        <f>+((AF171*AF5)+(AH171*AH5))/AJ5</f>
        <v>0.34300194572414633</v>
      </c>
      <c r="AK171" s="3181">
        <v>0.28799999999999998</v>
      </c>
      <c r="AL171" s="2965">
        <v>0.40300000000000002</v>
      </c>
      <c r="AM171" s="817">
        <f>+((AC171*AC5)+(AG171*AG5)+(AK171*AK5))/AM5</f>
        <v>0.28799999999999998</v>
      </c>
      <c r="AN171" s="817">
        <f>+((AD171*AD5)+(AH171*AH5)+(AL171*AL5))/AN5</f>
        <v>0.39818821164075024</v>
      </c>
      <c r="AO171" s="816">
        <f>+((AK171*AK5)+(AI171*AI5))/AO5</f>
        <v>0.28800000000000003</v>
      </c>
      <c r="AP171" s="816">
        <f>+((AL171*AL5)+(AJ171*AJ5))/AP5</f>
        <v>0.3504707539084842</v>
      </c>
      <c r="AQ171" s="3181">
        <v>0.28799999999999998</v>
      </c>
      <c r="AR171" s="2965">
        <v>0.375</v>
      </c>
      <c r="AS171" s="816">
        <f>+((AO171*AO5)+(AQ171*AQ5))/AS5</f>
        <v>0.28799999999999998</v>
      </c>
      <c r="AT171" s="816">
        <f>+((AP171*AP5)+(AR171*AR5))/AT5</f>
        <v>0.35320619946547283</v>
      </c>
      <c r="AU171" s="3181">
        <v>0.28799999999999998</v>
      </c>
      <c r="AV171" s="2965">
        <v>0.33700000000000002</v>
      </c>
      <c r="AW171" s="816">
        <f>+((AS171*AS5)+(AU171*AU5))/AW5</f>
        <v>0.28799999999999998</v>
      </c>
      <c r="AX171" s="816">
        <f>+((AT171*AT5)+(AV171*AV5))/AX5</f>
        <v>0.351816772155428</v>
      </c>
      <c r="AY171" s="3181">
        <v>0.28799999999999998</v>
      </c>
      <c r="AZ171" s="2965">
        <v>0.30599999999999999</v>
      </c>
      <c r="BA171" s="817">
        <f>+((AQ171*AQ5)+(AU171*AU5)+(AY171*AY5))/BA5</f>
        <v>0.28799999999999998</v>
      </c>
      <c r="BB171" s="817">
        <f>+((AR171*AR5)+(AV171*AV5)+(AZ171*AZ5))/BB5</f>
        <v>0.33887632496638354</v>
      </c>
      <c r="BC171" s="630">
        <f>+((AM171*AM5)+(BA171*BA5))/BC5</f>
        <v>0.28799999999999998</v>
      </c>
      <c r="BD171" s="630">
        <f>+((AN171*AN5)+(BB171*BB5))/BD5</f>
        <v>0.36602543558840556</v>
      </c>
      <c r="BE171" s="816">
        <f>+((AW171*AW5)+(AY171*AY5))/BE5</f>
        <v>0.28799999999999998</v>
      </c>
      <c r="BF171" s="816">
        <f>+((AX171*AX5)+(AZ171*AZ5))/BF5</f>
        <v>0.34738320209264345</v>
      </c>
      <c r="BG171" s="1137"/>
      <c r="BH171" s="4234"/>
      <c r="BI171" s="4234"/>
      <c r="BJ171" s="25"/>
      <c r="BK171" s="25"/>
      <c r="BL171" s="25"/>
      <c r="BM171" s="25"/>
    </row>
    <row r="172" spans="1:65" x14ac:dyDescent="0.25">
      <c r="B172" s="9" t="s">
        <v>305</v>
      </c>
      <c r="C172" s="813"/>
      <c r="D172" s="3180" t="s">
        <v>213</v>
      </c>
      <c r="E172" s="7588">
        <f>+'POWER DISTRIBUTION'!I25</f>
        <v>6314500</v>
      </c>
      <c r="F172" s="7588">
        <f>+'POWER DISTRIBUTION'!J25</f>
        <v>7402183.0000000112</v>
      </c>
      <c r="G172" s="5607">
        <f>+'POWER DISTRIBUTION'!K25</f>
        <v>7621971.8838303965</v>
      </c>
      <c r="H172" s="6207">
        <f>+'POWER DISTRIBUTION'!L25</f>
        <v>6901113.0000000075</v>
      </c>
      <c r="I172" s="636">
        <f>+E172+G172</f>
        <v>13936471.883830396</v>
      </c>
      <c r="J172" s="37">
        <f>+F172+H172</f>
        <v>14303296.000000019</v>
      </c>
      <c r="K172" s="5718">
        <f>+'POWER DISTRIBUTION'!O25</f>
        <v>7362131.9332452696</v>
      </c>
      <c r="L172" s="5718">
        <f>+'POWER DISTRIBUTION'!P25</f>
        <v>6922432.3333333284</v>
      </c>
      <c r="M172" s="2211">
        <f>+E172+G172+K172</f>
        <v>21298603.817075666</v>
      </c>
      <c r="N172" s="2211">
        <f>+F172+H172+L172</f>
        <v>21225728.333333347</v>
      </c>
      <c r="O172" s="5849">
        <f>+'POWER DISTRIBUTION'!S25</f>
        <v>7621971.8838303965</v>
      </c>
      <c r="P172" s="5849">
        <f>+'POWER DISTRIBUTION'!T25</f>
        <v>7841078.3333333544</v>
      </c>
      <c r="Q172" s="733">
        <f>+M172+O172</f>
        <v>28920575.700906061</v>
      </c>
      <c r="R172" s="733">
        <f>+N172+P172</f>
        <v>29066806.666666701</v>
      </c>
      <c r="S172" s="5938">
        <f>+'POWER DISTRIBUTION'!W25</f>
        <v>7621971.8838303965</v>
      </c>
      <c r="T172" s="5938">
        <f>+'POWER DISTRIBUTION'!X25</f>
        <v>6963410.9999999758</v>
      </c>
      <c r="U172" s="4351">
        <f>+Q172+S172</f>
        <v>36542547.584736459</v>
      </c>
      <c r="V172" s="4351">
        <f>+R172+T172</f>
        <v>36030217.666666679</v>
      </c>
      <c r="W172" s="6038">
        <f>+'POWER DISTRIBUTION'!AA25</f>
        <v>4568265.843085452</v>
      </c>
      <c r="X172" s="6038">
        <f>+'POWER DISTRIBUTION'!AB25</f>
        <v>7182929.0000000158</v>
      </c>
      <c r="Y172" s="2417">
        <f>O172+S172+W172</f>
        <v>19812209.610746246</v>
      </c>
      <c r="Z172" s="498">
        <f>P172+T172+X172</f>
        <v>21987418.333333347</v>
      </c>
      <c r="AA172" s="2505">
        <f>M172+Y172</f>
        <v>41110813.427821912</v>
      </c>
      <c r="AB172" s="2502">
        <f>N172+Z172</f>
        <v>43213146.666666694</v>
      </c>
      <c r="AC172" s="6164">
        <f>+'POWER DISTRIBUTION'!AG25</f>
        <v>7362131.9332452696</v>
      </c>
      <c r="AD172" s="6164">
        <f>+'POWER DISTRIBUTION'!AH25</f>
        <v>5547879.3333333228</v>
      </c>
      <c r="AE172" s="2236">
        <f>+AA172+AC172</f>
        <v>48472945.361067183</v>
      </c>
      <c r="AF172" s="2236">
        <f>+AB172+AD172</f>
        <v>48761026.000000015</v>
      </c>
      <c r="AG172" s="6333">
        <f>+'POWER DISTRIBUTION'!AK25</f>
        <v>7362131.9332452696</v>
      </c>
      <c r="AH172" s="6333">
        <f>+'POWER DISTRIBUTION'!AL25</f>
        <v>6512563.6666666623</v>
      </c>
      <c r="AI172" s="4635">
        <f>+AE172+AG172</f>
        <v>55835077.294312455</v>
      </c>
      <c r="AJ172" s="4635">
        <f>+AF172+AH172</f>
        <v>55273589.666666679</v>
      </c>
      <c r="AK172" s="6595">
        <f>+'POWER DISTRIBUTION'!AO25</f>
        <v>7621971.8838303965</v>
      </c>
      <c r="AL172" s="6595">
        <f>+'POWER DISTRIBUTION'!AP25</f>
        <v>7109740.333333334</v>
      </c>
      <c r="AM172" s="2544">
        <f>AC172+AG172+AK172</f>
        <v>22346235.750320934</v>
      </c>
      <c r="AN172" s="498">
        <f>AD172+AH172+AL172</f>
        <v>19170183.333333321</v>
      </c>
      <c r="AO172" s="2236">
        <f t="shared" ref="AO172:AP172" si="123">AI172+AK172</f>
        <v>63457049.178142853</v>
      </c>
      <c r="AP172" s="2236">
        <f t="shared" si="123"/>
        <v>62383330.000000015</v>
      </c>
      <c r="AQ172" s="4976">
        <f>+'POWER DISTRIBUTION'!AU25</f>
        <v>7708585.2006921051</v>
      </c>
      <c r="AR172" s="4976">
        <f>+'POWER DISTRIBUTION'!AV25</f>
        <v>7408421.3333333433</v>
      </c>
      <c r="AS172" s="2236">
        <f>+AO172+AQ172</f>
        <v>71165634.378834963</v>
      </c>
      <c r="AT172" s="2236">
        <f>+AP172+AR172</f>
        <v>69791751.333333358</v>
      </c>
      <c r="AU172" s="6845">
        <f>+'POWER DISTRIBUTION'!AY25</f>
        <v>6929065.3489367226</v>
      </c>
      <c r="AV172" s="6845">
        <f>+'POWER DISTRIBUTION'!AZ25</f>
        <v>6514605.0000000028</v>
      </c>
      <c r="AW172" s="5036">
        <f>+AS172+AU172</f>
        <v>78094699.727771685</v>
      </c>
      <c r="AX172" s="5036">
        <f>+AT172+AV172</f>
        <v>76306356.333333358</v>
      </c>
      <c r="AY172" s="6998">
        <f>+'POWER DISTRIBUTION'!BC25</f>
        <v>7708585.2006921051</v>
      </c>
      <c r="AZ172" s="6998">
        <f>+'POWER DISTRIBUTION'!BD25</f>
        <v>7028978.3333333144</v>
      </c>
      <c r="BA172" s="2812">
        <f>AQ172+AU172+AY172</f>
        <v>22346235.750320934</v>
      </c>
      <c r="BB172" s="498">
        <f>AR172+AV172+AZ172</f>
        <v>20952004.66666666</v>
      </c>
      <c r="BC172" s="2811">
        <f>AM172+BA172</f>
        <v>44692471.500641868</v>
      </c>
      <c r="BD172" s="2811">
        <f>AN172+BB172</f>
        <v>40122187.999999985</v>
      </c>
      <c r="BE172" s="2236">
        <f>+AW172+AY172</f>
        <v>85803284.928463787</v>
      </c>
      <c r="BF172" s="2236">
        <f>+AX172+AZ172</f>
        <v>83335334.666666672</v>
      </c>
      <c r="BG172" s="1137"/>
      <c r="BH172" s="4234">
        <f t="shared" si="57"/>
        <v>0</v>
      </c>
      <c r="BI172" s="4234">
        <f t="shared" si="58"/>
        <v>0</v>
      </c>
      <c r="BJ172" s="25">
        <f t="shared" si="59"/>
        <v>0</v>
      </c>
      <c r="BK172" s="25">
        <f t="shared" si="60"/>
        <v>0</v>
      </c>
      <c r="BL172" s="25">
        <f t="shared" si="61"/>
        <v>0</v>
      </c>
      <c r="BM172" s="25">
        <f t="shared" si="62"/>
        <v>0</v>
      </c>
    </row>
    <row r="173" spans="1:65" x14ac:dyDescent="0.25">
      <c r="B173" s="9" t="s">
        <v>306</v>
      </c>
      <c r="C173" s="813"/>
      <c r="D173" s="3180" t="s">
        <v>1958</v>
      </c>
      <c r="E173" s="3171">
        <f t="shared" ref="E173:F173" si="124">+E172/E159</f>
        <v>173</v>
      </c>
      <c r="F173" s="3171">
        <f t="shared" si="124"/>
        <v>178.22413502516105</v>
      </c>
      <c r="G173" s="3174">
        <f t="shared" ref="G173:BF173" si="125">+G172/G159</f>
        <v>173.2266337234181</v>
      </c>
      <c r="H173" s="3174">
        <f t="shared" si="125"/>
        <v>175.36969084006344</v>
      </c>
      <c r="I173" s="3432">
        <f>+I172/I159</f>
        <v>173.12387433329684</v>
      </c>
      <c r="J173" s="3432">
        <f>+J172/J159</f>
        <v>176.83540047079327</v>
      </c>
      <c r="K173" s="3174">
        <f t="shared" ref="K173:L173" si="126">+K172/K159</f>
        <v>173.2266337234181</v>
      </c>
      <c r="L173" s="3174">
        <f t="shared" si="126"/>
        <v>180.78318819611556</v>
      </c>
      <c r="M173" s="3174">
        <f t="shared" si="125"/>
        <v>173.15938062663142</v>
      </c>
      <c r="N173" s="3174">
        <f t="shared" si="125"/>
        <v>178.10382642276454</v>
      </c>
      <c r="O173" s="3174">
        <f t="shared" si="125"/>
        <v>173.2266337234181</v>
      </c>
      <c r="P173" s="3174">
        <f t="shared" si="125"/>
        <v>166.60494207520745</v>
      </c>
      <c r="Q173" s="3174">
        <f t="shared" si="125"/>
        <v>173.1771000054255</v>
      </c>
      <c r="R173" s="3174">
        <f t="shared" si="125"/>
        <v>174.84839944806751</v>
      </c>
      <c r="S173" s="3174">
        <f t="shared" ref="S173:T173" si="127">+S172/S159</f>
        <v>173.2266337234181</v>
      </c>
      <c r="T173" s="3174">
        <f t="shared" si="127"/>
        <v>179.84782409374301</v>
      </c>
      <c r="U173" s="3174">
        <f t="shared" si="125"/>
        <v>173.18742931154719</v>
      </c>
      <c r="V173" s="3174">
        <f t="shared" si="125"/>
        <v>175.79283243168697</v>
      </c>
      <c r="W173" s="3174">
        <f t="shared" si="125"/>
        <v>182.73063372341807</v>
      </c>
      <c r="X173" s="3174">
        <f t="shared" si="125"/>
        <v>175.16711517662628</v>
      </c>
      <c r="Y173" s="3174">
        <f t="shared" si="125"/>
        <v>175.32928859067474</v>
      </c>
      <c r="Z173" s="3174">
        <f t="shared" si="125"/>
        <v>173.41821754461242</v>
      </c>
      <c r="AA173" s="3174">
        <f t="shared" si="125"/>
        <v>174.19836198229623</v>
      </c>
      <c r="AB173" s="3174">
        <f t="shared" si="125"/>
        <v>175.6885155469221</v>
      </c>
      <c r="AC173" s="3174">
        <f t="shared" ref="AC173:AD173" si="128">+AC172/AC159</f>
        <v>173.2266337234181</v>
      </c>
      <c r="AD173" s="3174">
        <f t="shared" si="128"/>
        <v>184.71657918408374</v>
      </c>
      <c r="AE173" s="3174">
        <f t="shared" si="125"/>
        <v>174.05007310975648</v>
      </c>
      <c r="AF173" s="3174">
        <f t="shared" si="125"/>
        <v>176.6709601589281</v>
      </c>
      <c r="AG173" s="3174">
        <f t="shared" si="125"/>
        <v>173.2266337234181</v>
      </c>
      <c r="AH173" s="3174">
        <f t="shared" si="125"/>
        <v>188.14689518526794</v>
      </c>
      <c r="AI173" s="3174">
        <f t="shared" si="125"/>
        <v>173.94105076109798</v>
      </c>
      <c r="AJ173" s="3174">
        <f t="shared" si="125"/>
        <v>177.9498198215455</v>
      </c>
      <c r="AK173" s="3174">
        <f t="shared" ref="AK173:AL173" si="129">+AK172/AK159</f>
        <v>173.2266337234181</v>
      </c>
      <c r="AL173" s="3174">
        <f t="shared" si="129"/>
        <v>161.55802004286403</v>
      </c>
      <c r="AM173" s="815">
        <f t="shared" si="125"/>
        <v>173.2266337234181</v>
      </c>
      <c r="AN173" s="815">
        <f t="shared" si="125"/>
        <v>176.42980478632194</v>
      </c>
      <c r="AO173" s="814">
        <f t="shared" si="125"/>
        <v>173.85492925518591</v>
      </c>
      <c r="AP173" s="814">
        <f t="shared" si="125"/>
        <v>175.91564733812771</v>
      </c>
      <c r="AQ173" s="3171">
        <f t="shared" si="125"/>
        <v>173.2266337234181</v>
      </c>
      <c r="AR173" s="3171">
        <f t="shared" si="125"/>
        <v>166.14703071310072</v>
      </c>
      <c r="AS173" s="814">
        <f t="shared" si="125"/>
        <v>173.78665293976792</v>
      </c>
      <c r="AT173" s="814">
        <f t="shared" si="125"/>
        <v>174.82454754940122</v>
      </c>
      <c r="AU173" s="3171">
        <f t="shared" ref="AU173:AV173" si="130">+AU172/AU159</f>
        <v>173.22663372341808</v>
      </c>
      <c r="AV173" s="3171">
        <f t="shared" si="130"/>
        <v>174.09094431691548</v>
      </c>
      <c r="AW173" s="814">
        <f t="shared" si="125"/>
        <v>173.73681808180575</v>
      </c>
      <c r="AX173" s="814">
        <f t="shared" si="125"/>
        <v>174.76167535382763</v>
      </c>
      <c r="AY173" s="3171">
        <f t="shared" si="125"/>
        <v>173.2266337234181</v>
      </c>
      <c r="AZ173" s="3171">
        <f t="shared" si="125"/>
        <v>150.53650255517312</v>
      </c>
      <c r="BA173" s="815">
        <f t="shared" si="125"/>
        <v>173.2266337234181</v>
      </c>
      <c r="BB173" s="815">
        <f t="shared" si="125"/>
        <v>162.79331785067072</v>
      </c>
      <c r="BC173" s="2096">
        <f t="shared" si="125"/>
        <v>173.2266337234181</v>
      </c>
      <c r="BD173" s="2096">
        <f t="shared" si="125"/>
        <v>169.03570431740064</v>
      </c>
      <c r="BE173" s="814">
        <f t="shared" si="125"/>
        <v>173.69086017907648</v>
      </c>
      <c r="BF173" s="814">
        <f t="shared" si="125"/>
        <v>172.42133465529042</v>
      </c>
      <c r="BG173" s="1137"/>
      <c r="BH173" s="4234"/>
      <c r="BI173" s="4234"/>
      <c r="BJ173" s="25"/>
      <c r="BK173" s="25"/>
      <c r="BL173" s="25"/>
      <c r="BM173" s="25"/>
    </row>
    <row r="174" spans="1:65" ht="15" customHeight="1" x14ac:dyDescent="0.25">
      <c r="B174" s="9" t="s">
        <v>307</v>
      </c>
      <c r="C174" s="813"/>
      <c r="D174" s="3180" t="s">
        <v>299</v>
      </c>
      <c r="E174" s="3171">
        <f>EMD!D33/(EMD!D3*24)</f>
        <v>1.5005944365199282</v>
      </c>
      <c r="F174" s="3171">
        <f>EMD!E33/(EMD!E3*24)</f>
        <v>1.7099166666666668</v>
      </c>
      <c r="G174" s="3171">
        <f>EMD!F33/(EMD!F3*24)</f>
        <v>1.9192660357190869</v>
      </c>
      <c r="H174" s="3171">
        <f>EMD!G33/(EMD!G3*24)</f>
        <v>1.4005629876394965</v>
      </c>
      <c r="I174" s="814">
        <f t="shared" ref="I174:J177" si="131">+((E174*E$2)+(G174*G$2))/I$2</f>
        <v>1.7133619705391727</v>
      </c>
      <c r="J174" s="103">
        <f t="shared" si="131"/>
        <v>1.5527041412594162</v>
      </c>
      <c r="K174" s="3171">
        <f>EMD!J33/(EMD!J3*24)</f>
        <v>1.9335513199793837</v>
      </c>
      <c r="L174" s="3171">
        <f>EMD!K33/(EMD!K3*24)</f>
        <v>1.3309293574714225</v>
      </c>
      <c r="M174" s="815">
        <f t="shared" ref="M174:N177" si="132">+((E174*E$2)+(G174*G$2)+(K174*K$2))/M$2</f>
        <v>1.7859518659590226</v>
      </c>
      <c r="N174" s="815">
        <f t="shared" si="132"/>
        <v>1.4795915751754622</v>
      </c>
      <c r="O174" s="3171">
        <f>EMD!N33/(EMD!N3*24)</f>
        <v>1.9207397746704657</v>
      </c>
      <c r="P174" s="3171">
        <f>EMD!O33/(EMD!O3*24)</f>
        <v>1.2567683539183148</v>
      </c>
      <c r="Q174" s="814">
        <f t="shared" ref="Q174:R177" si="133">+((M174*M$2)+(O174*O$2))/Q$2</f>
        <v>1.8202012525988156</v>
      </c>
      <c r="R174" s="814">
        <f t="shared" si="133"/>
        <v>1.4229725599379903</v>
      </c>
      <c r="S174" s="3171">
        <f>EMD!R33/(EMD!R3*24)</f>
        <v>1.9207397746704657</v>
      </c>
      <c r="T174" s="3171">
        <f>EMD!S33/(EMD!S3*24)</f>
        <v>1.405185454312772</v>
      </c>
      <c r="U174" s="814">
        <f t="shared" ref="U174:U177" si="134">+((Q174*Q$2)+(S174*S$2))/U$2</f>
        <v>1.8405718028224833</v>
      </c>
      <c r="V174" s="814">
        <f t="shared" ref="V174:V177" si="135">+((R174*R$2)+(T174*T$2))/V$2</f>
        <v>1.4193686365760181</v>
      </c>
      <c r="W174" s="3171">
        <f>EMD!V33/(EMD!V3*24)</f>
        <v>1.4547986462537776</v>
      </c>
      <c r="X174" s="3171">
        <f>EMD!W33/(EMD!W3*24)</f>
        <v>1.1269722222222223</v>
      </c>
      <c r="Y174" s="815">
        <f t="shared" ref="Y174:Z177" si="136">+((O174*O$2)+(S174*S$2)+(W174*W$2))/Y$2</f>
        <v>1.7688024501867632</v>
      </c>
      <c r="Z174" s="815">
        <f t="shared" si="136"/>
        <v>1.2644536382807647</v>
      </c>
      <c r="AA174" s="2096">
        <f t="shared" ref="AA174:AB177" si="137">+((M174*M$2)+(Y174*Y$2))/AA$2</f>
        <v>1.7773303017456463</v>
      </c>
      <c r="AB174" s="2096">
        <f t="shared" si="137"/>
        <v>1.3714347981573629</v>
      </c>
      <c r="AC174" s="3171">
        <f>EMD!AB33/(EMD!AB3*24)</f>
        <v>1.8450190830861386</v>
      </c>
      <c r="AD174" s="3171">
        <f>EMD!AC33/(EMD!AC3*24)</f>
        <v>0.92581989247311824</v>
      </c>
      <c r="AE174" s="814">
        <f t="shared" ref="AE174:AE177" si="138">+((AA174*AA$2)+(AC174*AC$2))/AE$2</f>
        <v>1.7871356859585212</v>
      </c>
      <c r="AF174" s="744">
        <f t="shared" ref="AF174:AF177" si="139">+((AB174*AB$2)+(AD174*AD$2))/AF$2</f>
        <v>1.3068831062124489</v>
      </c>
      <c r="AG174" s="3171">
        <f>EMD!AF33/(EMD!AF3*24)</f>
        <v>1.8882187984805543</v>
      </c>
      <c r="AH174" s="3171">
        <f>EMD!AG33/(EMD!AG3*24)</f>
        <v>1.1040555555555556</v>
      </c>
      <c r="AI174" s="814">
        <f t="shared" ref="AI174:AI177" si="140">+((AE174*AE$2)+(AG174*AG$2))/AI$2</f>
        <v>1.7995639374981156</v>
      </c>
      <c r="AJ174" s="814">
        <f t="shared" ref="AJ174:AJ177" si="141">+((AF174*AF$2)+(AH174*AH$2))/AJ$2</f>
        <v>1.2819452926070931</v>
      </c>
      <c r="AK174" s="3171">
        <f>EMD!AJ33/(EMD!AJ3*24)</f>
        <v>1.8916885124402647</v>
      </c>
      <c r="AL174" s="3171">
        <f>EMD!AK33/(EMD!AK3*24)</f>
        <v>1.0872888841477035</v>
      </c>
      <c r="AM174" s="815">
        <f t="shared" ref="AM174:AM177" si="142">+((AC174*AC$2)+(AG174*AG$2)+(AK174*AK$2))/AM$2</f>
        <v>1.8748315153884252</v>
      </c>
      <c r="AN174" s="815">
        <f t="shared" ref="AN174:AN177" si="143">+((AD174*AD$2)+(AH174*AH$2)+(AL174*AL$2))/AN$2</f>
        <v>1.0383482471946974</v>
      </c>
      <c r="AO174" s="814">
        <f t="shared" ref="AO174:AP177" si="144">+((AK174*AK$2)+(AI174*AI$2))/AO$2</f>
        <v>1.8099488895825033</v>
      </c>
      <c r="AP174" s="814">
        <f t="shared" si="144"/>
        <v>1.2600022065625802</v>
      </c>
      <c r="AQ174" s="3171">
        <f>EMD!AP33/(EMD!AP3*24)</f>
        <v>1.9089544816377637</v>
      </c>
      <c r="AR174" s="3171">
        <f>EMD!AQ33/(EMD!AQ3*24)</f>
        <v>0.85815860215053763</v>
      </c>
      <c r="AS174" s="814">
        <f t="shared" ref="AS174:AS177" si="145">+((AO174*AO$2)+(AQ174*AQ$2))/AS$2</f>
        <v>1.8199788678626112</v>
      </c>
      <c r="AT174" s="814">
        <f t="shared" ref="AT174:AT177" si="146">+((AP174*AP$2)+(AR174*AR$2))/AT$2</f>
        <v>1.2192925603639746</v>
      </c>
      <c r="AU174" s="3171">
        <f>EMD!AT33/(EMD!AT3*24)</f>
        <v>1.8600982761927081</v>
      </c>
      <c r="AV174" s="3171">
        <f>EMD!AU33/(EMD!AU3*24)</f>
        <v>1.0811160714285715</v>
      </c>
      <c r="AW174" s="814">
        <f t="shared" ref="AW174:AW177" si="147">+((AS174*AS$2)+(AU174*AU$2))/AW$2</f>
        <v>1.8233421715549547</v>
      </c>
      <c r="AX174" s="814">
        <f t="shared" ref="AX174:AX177" si="148">+((AT174*AT$2)+(AV174*AV$2))/AX$2</f>
        <v>1.2077089026089107</v>
      </c>
      <c r="AY174" s="3171">
        <f>EMD!AX33/(EMD!AX3*24)</f>
        <v>1.9003789755225988</v>
      </c>
      <c r="AZ174" s="3171">
        <f>EMD!AY33/(EMD!AY3*24)</f>
        <v>1.4538575268817204</v>
      </c>
      <c r="BA174" s="815">
        <f t="shared" ref="BA174:BA177" si="149">+((AQ174*AQ$2)+(AU174*AU$2)+(AY174*AY$2))/BA$2</f>
        <v>1.8908009878374119</v>
      </c>
      <c r="BB174" s="815">
        <f t="shared" ref="BB174:BB177" si="150">+((AR174*AR$2)+(AV174*AV$2)+(AZ174*AZ$2))/BB$2</f>
        <v>1.1327083333333332</v>
      </c>
      <c r="BC174" s="2096">
        <f t="shared" ref="BC174:BD177" si="151">+((AM174*AM$2)+(BA174*BA$2))/BC$2</f>
        <v>0.9387851734824717</v>
      </c>
      <c r="BD174" s="2096">
        <f t="shared" si="151"/>
        <v>0.54101859929291007</v>
      </c>
      <c r="BE174" s="814">
        <f t="shared" ref="BE174:BE177" si="152">+((AW174*AW$2)+(AY174*AY$2))/BE$2</f>
        <v>1.8298850233987822</v>
      </c>
      <c r="BF174" s="814">
        <f t="shared" ref="BF174:BF177" si="153">+((AX174*AX$2)+(AZ174*AZ$2))/BF$2</f>
        <v>1.2286146761772863</v>
      </c>
      <c r="BG174" s="1137"/>
      <c r="BH174" s="4234"/>
      <c r="BI174" s="4234"/>
      <c r="BJ174" s="25"/>
      <c r="BK174" s="25"/>
      <c r="BL174" s="25"/>
      <c r="BM174" s="25"/>
    </row>
    <row r="175" spans="1:65" x14ac:dyDescent="0.25">
      <c r="B175" s="9" t="s">
        <v>308</v>
      </c>
      <c r="C175" s="813"/>
      <c r="D175" s="3180" t="s">
        <v>299</v>
      </c>
      <c r="E175" s="3172">
        <f>+EMD!D63/(EMD!D3*24)</f>
        <v>3.5166955553846275</v>
      </c>
      <c r="F175" s="3172">
        <f>+EMD!E63/(EMD!E3*24)</f>
        <v>2.6935277777777777</v>
      </c>
      <c r="G175" s="3172">
        <f>+EMD!F63/(EMD!F3*24)</f>
        <v>3.5003978181423614</v>
      </c>
      <c r="H175" s="3172">
        <f>+EMD!G63/(EMD!G3*24)</f>
        <v>2.7043918087332703</v>
      </c>
      <c r="I175" s="744">
        <f t="shared" si="131"/>
        <v>3.5084130987533122</v>
      </c>
      <c r="J175" s="3183">
        <f t="shared" si="131"/>
        <v>2.6990488426895856</v>
      </c>
      <c r="K175" s="3172">
        <f>+EMD!J63/(EMD!J3*24)</f>
        <v>3.479479735798662</v>
      </c>
      <c r="L175" s="3172">
        <f>+EMD!K63/(EMD!K3*24)</f>
        <v>2.6376570524887413</v>
      </c>
      <c r="M175" s="815">
        <f t="shared" si="132"/>
        <v>3.4988746274495814</v>
      </c>
      <c r="N175" s="815">
        <f t="shared" si="132"/>
        <v>2.6788097909750213</v>
      </c>
      <c r="O175" s="3172">
        <f>+EMD!N63/(EMD!N3*24)</f>
        <v>3.4992227469083605</v>
      </c>
      <c r="P175" s="3172">
        <f>+EMD!O63/(EMD!O3*24)</f>
        <v>3.1067939169250067</v>
      </c>
      <c r="Q175" s="814">
        <f t="shared" si="133"/>
        <v>3.4989630840333699</v>
      </c>
      <c r="R175" s="814">
        <f t="shared" si="133"/>
        <v>2.7875598557655912</v>
      </c>
      <c r="S175" s="3172">
        <f>+EMD!R63/(EMD!R3*24)</f>
        <v>3.4992227469083605</v>
      </c>
      <c r="T175" s="3172">
        <f>+EMD!S63/(EMD!S3*24)</f>
        <v>2.6059588568210632</v>
      </c>
      <c r="U175" s="814">
        <f t="shared" si="134"/>
        <v>3.4990156954655576</v>
      </c>
      <c r="V175" s="814">
        <f t="shared" si="135"/>
        <v>2.750764882123236</v>
      </c>
      <c r="W175" s="3172">
        <f>+EMD!V63/(EMD!V3*24)</f>
        <v>2.182304680369167</v>
      </c>
      <c r="X175" s="3172">
        <f>+EMD!W63/(EMD!W3*24)</f>
        <v>2.6039861111111109</v>
      </c>
      <c r="Y175" s="815">
        <f t="shared" si="136"/>
        <v>3.0697929426021018</v>
      </c>
      <c r="Z175" s="815">
        <f t="shared" si="136"/>
        <v>2.7740752099941468</v>
      </c>
      <c r="AA175" s="2096">
        <f t="shared" si="137"/>
        <v>3.2831614306956571</v>
      </c>
      <c r="AB175" s="2096">
        <f t="shared" si="137"/>
        <v>2.7267027885146908</v>
      </c>
      <c r="AC175" s="3172">
        <f>+EMD!AB63/(EMD!AB3*24)</f>
        <v>3.3880965642394716</v>
      </c>
      <c r="AD175" s="3172">
        <f>+EMD!AC63/(EMD!AC3*24)</f>
        <v>2.5493010752688172</v>
      </c>
      <c r="AE175" s="814">
        <f t="shared" si="138"/>
        <v>3.2983623145267704</v>
      </c>
      <c r="AF175" s="744">
        <f t="shared" si="139"/>
        <v>2.7010044094930925</v>
      </c>
      <c r="AG175" s="3172">
        <f>+EMD!AF63/(EMD!AF3*24)</f>
        <v>4.0200505897834153</v>
      </c>
      <c r="AH175" s="3172">
        <f>+EMD!AG63/(EMD!AG3*24)</f>
        <v>1.7605138888888887</v>
      </c>
      <c r="AI175" s="814">
        <f t="shared" si="140"/>
        <v>3.3870944795173417</v>
      </c>
      <c r="AJ175" s="814">
        <f t="shared" si="141"/>
        <v>2.5853703290909364</v>
      </c>
      <c r="AK175" s="3172">
        <f>+EMD!AJ63/(EMD!AJ3*24)</f>
        <v>4.027738810811182</v>
      </c>
      <c r="AL175" s="3172">
        <f>+EMD!AK63/(EMD!AK3*24)</f>
        <v>2.4913152399890297</v>
      </c>
      <c r="AM175" s="815">
        <f t="shared" si="142"/>
        <v>3.8097001556529646</v>
      </c>
      <c r="AN175" s="815">
        <f t="shared" si="143"/>
        <v>2.2725491569528251</v>
      </c>
      <c r="AO175" s="814">
        <f t="shared" si="144"/>
        <v>3.4593125677722836</v>
      </c>
      <c r="AP175" s="814">
        <f t="shared" si="144"/>
        <v>2.5747677554103574</v>
      </c>
      <c r="AQ175" s="3172">
        <f>+EMD!AP63/(EMD!AP3*24)</f>
        <v>4.0757515621838003</v>
      </c>
      <c r="AR175" s="3172">
        <f>+EMD!AQ63/(EMD!AQ3*24)</f>
        <v>2.8580376344086025</v>
      </c>
      <c r="AS175" s="814">
        <f t="shared" si="145"/>
        <v>3.5217622698205093</v>
      </c>
      <c r="AT175" s="814">
        <f t="shared" si="146"/>
        <v>2.6034650307337088</v>
      </c>
      <c r="AU175" s="3172">
        <f>+EMD!AT63/(EMD!AT3*24)</f>
        <v>4.0771547676092581</v>
      </c>
      <c r="AV175" s="3172">
        <f>+EMD!AU63/(EMD!AU3*24)</f>
        <v>2.2833630952380952</v>
      </c>
      <c r="AW175" s="814">
        <f t="shared" si="147"/>
        <v>3.5683221199345359</v>
      </c>
      <c r="AX175" s="814">
        <f t="shared" si="148"/>
        <v>2.5766301379376695</v>
      </c>
      <c r="AY175" s="3172">
        <f>+EMD!AX63/(EMD!AX3*24)</f>
        <v>3.5726243395610178</v>
      </c>
      <c r="AZ175" s="3172">
        <f>+EMD!AY63/(EMD!AY3*24)</f>
        <v>2.2599865591397852</v>
      </c>
      <c r="BA175" s="815">
        <f t="shared" si="149"/>
        <v>3.9028887383016513</v>
      </c>
      <c r="BB175" s="815">
        <f t="shared" si="150"/>
        <v>2.4732546296296301</v>
      </c>
      <c r="BC175" s="2096">
        <f t="shared" si="151"/>
        <v>1.9226093171704695</v>
      </c>
      <c r="BD175" s="2096">
        <f t="shared" si="151"/>
        <v>1.1826505180995248</v>
      </c>
      <c r="BE175" s="814">
        <f t="shared" si="152"/>
        <v>3.5686875139302101</v>
      </c>
      <c r="BF175" s="814">
        <f t="shared" si="153"/>
        <v>2.5497371216562055</v>
      </c>
      <c r="BG175" s="1137"/>
      <c r="BH175" s="4234"/>
      <c r="BI175" s="4234"/>
      <c r="BJ175" s="25"/>
      <c r="BK175" s="25"/>
      <c r="BL175" s="25"/>
      <c r="BM175" s="25"/>
    </row>
    <row r="176" spans="1:65" s="4487" customFormat="1" x14ac:dyDescent="0.25">
      <c r="B176" s="9" t="s">
        <v>1849</v>
      </c>
      <c r="C176" s="813"/>
      <c r="D176" s="3180" t="s">
        <v>299</v>
      </c>
      <c r="E176" s="3172">
        <f>+EMD!D89/(EMD!D3*24)</f>
        <v>0</v>
      </c>
      <c r="F176" s="3172">
        <f>+EMD!E89/(EMD!E3*24)</f>
        <v>2.3725000000000001</v>
      </c>
      <c r="G176" s="3172">
        <f>+EMD!F89/(EMD!F3*24)</f>
        <v>0.59358743372755263</v>
      </c>
      <c r="H176" s="3172">
        <f>+EMD!G89/(EMD!G3*24)</f>
        <v>2.6168685584345672</v>
      </c>
      <c r="I176" s="744">
        <f t="shared" ref="I176" si="154">+((E176*E$2)+(G176*G$2))/I$2</f>
        <v>0.30165918763203492</v>
      </c>
      <c r="J176" s="3183">
        <f t="shared" ref="J176" si="155">+((F176*F$2)+(H176*H$2))/J$2</f>
        <v>2.496687300188059</v>
      </c>
      <c r="K176" s="3172">
        <f>+EMD!J89/(EMD!J3*24)</f>
        <v>0.59800556288022189</v>
      </c>
      <c r="L176" s="3172">
        <f>+EMD!K89/(EMD!K3*24)</f>
        <v>2.4254374067712718</v>
      </c>
      <c r="M176" s="815">
        <f t="shared" ref="M176" si="156">+((E176*E$2)+(G176*G$2)+(K176*K$2))/M$2</f>
        <v>0.39935579485671191</v>
      </c>
      <c r="N176" s="815">
        <f t="shared" ref="N176" si="157">+((F176*F$2)+(H176*H$2)+(L176*L$2))/N$2</f>
        <v>2.4731983243363711</v>
      </c>
      <c r="O176" s="3172">
        <f>+EMD!N89/(EMD!N3*24)</f>
        <v>0.59404322927952558</v>
      </c>
      <c r="P176" s="3172">
        <f>+EMD!O89/(EMD!O3*24)</f>
        <v>2.323436725450891</v>
      </c>
      <c r="Q176" s="814">
        <f t="shared" ref="Q176" si="158">+((M176*M$2)+(O176*O$2))/Q$2</f>
        <v>0.4488255527838203</v>
      </c>
      <c r="R176" s="814">
        <f t="shared" ref="R176" si="159">+((N176*N$2)+(P176*P$2))/R$2</f>
        <v>2.4351441475703881</v>
      </c>
      <c r="S176" s="3172">
        <f>+EMD!R89/(EMD!R3*24)</f>
        <v>0.59404322927952558</v>
      </c>
      <c r="T176" s="3172">
        <f>+EMD!S89/(EMD!S3*24)</f>
        <v>2.1189367707552327</v>
      </c>
      <c r="U176" s="814">
        <f t="shared" ref="U176" si="160">+((Q176*Q$2)+(S176*S$2))/U$2</f>
        <v>0.4782487421391593</v>
      </c>
      <c r="V176" s="814">
        <f t="shared" ref="V176" si="161">+((R176*R$2)+(T176*T$2))/V$2</f>
        <v>2.3710759862548993</v>
      </c>
      <c r="W176" s="3172">
        <f>+EMD!V89/(EMD!V3*24)</f>
        <v>0</v>
      </c>
      <c r="X176" s="3172">
        <f>+EMD!W89/(EMD!W3*24)</f>
        <v>2.8788888888888891</v>
      </c>
      <c r="Y176" s="815">
        <f t="shared" ref="Y176" si="162">+((O176*O$2)+(S176*S$2)+(W176*W$2))/Y$2</f>
        <v>0.40033348060141943</v>
      </c>
      <c r="Z176" s="815">
        <f t="shared" ref="Z176" si="163">+((P176*P$2)+(T176*T$2)+(X176*X$2))/Z$2</f>
        <v>2.4356548374897447</v>
      </c>
      <c r="AA176" s="2096">
        <f t="shared" ref="AA176" si="164">+((M176*M$2)+(Y176*Y$2))/AA$2</f>
        <v>0.39984730900159221</v>
      </c>
      <c r="AB176" s="2096">
        <f t="shared" ref="AB176" si="165">+((N176*N$2)+(Z176*Z$2))/AB$2</f>
        <v>2.4543240030801439</v>
      </c>
      <c r="AC176" s="3172">
        <f>+EMD!AB89/(EMD!AB3*24)</f>
        <v>0.57062445868643474</v>
      </c>
      <c r="AD176" s="3172">
        <f>+EMD!AC89/(EMD!AC3*24)</f>
        <v>1.9443548387096774</v>
      </c>
      <c r="AE176" s="814">
        <f t="shared" ref="AE176" si="166">+((AA176*AA$2)+(AC176*AC$2))/AE$2</f>
        <v>0.42458605498397589</v>
      </c>
      <c r="AF176" s="744">
        <f t="shared" ref="AF176" si="167">+((AB176*AB$2)+(AD176*AD$2))/AF$2</f>
        <v>2.3804499652507771</v>
      </c>
      <c r="AG176" s="3172">
        <f>+EMD!AF89/(EMD!AF3*24)</f>
        <v>0</v>
      </c>
      <c r="AH176" s="3172">
        <f>+EMD!AG89/(EMD!AG3*24)</f>
        <v>3.6506944444444445</v>
      </c>
      <c r="AI176" s="814">
        <f t="shared" ref="AI176" si="168">+((AE176*AE$2)+(AG176*AG$2))/AI$2</f>
        <v>0.37238285150233952</v>
      </c>
      <c r="AJ176" s="814">
        <f t="shared" ref="AJ176" si="169">+((AF176*AF$2)+(AH176*AH$2))/AJ$2</f>
        <v>2.5366275651516377</v>
      </c>
      <c r="AK176" s="3172">
        <f>+EMD!AJ89/(EMD!AJ3*24)</f>
        <v>0</v>
      </c>
      <c r="AL176" s="3172">
        <f>+EMD!AK89/(EMD!AK3*24)</f>
        <v>4.2466146598951884</v>
      </c>
      <c r="AM176" s="815">
        <f t="shared" ref="AM176" si="170">+((AC176*AC$2)+(AG176*AG$2)+(AK176*AK$2))/AM$2</f>
        <v>0.19227563281825519</v>
      </c>
      <c r="AN176" s="815">
        <f t="shared" ref="AN176" si="171">+((AD176*AD$2)+(AH176*AH$2)+(AL176*AL$2))/AN$2</f>
        <v>3.276531389022654</v>
      </c>
      <c r="AO176" s="814">
        <f t="shared" ref="AO176" si="172">+((AK176*AK$2)+(AI176*AI$2))/AO$2</f>
        <v>0.33040514824207579</v>
      </c>
      <c r="AP176" s="814">
        <f t="shared" ref="AP176" si="173">+((AL176*AL$2)+(AJ176*AJ$2))/AP$2</f>
        <v>2.7293897467409107</v>
      </c>
      <c r="AQ176" s="3172">
        <f>+EMD!AP89/(EMD!AP3*24)</f>
        <v>0</v>
      </c>
      <c r="AR176" s="3172">
        <f>+EMD!AQ89/(EMD!AQ3*24)</f>
        <v>3.9899193548387095</v>
      </c>
      <c r="AS176" s="814">
        <f t="shared" ref="AS176" si="174">+((AO176*AO$2)+(AQ176*AQ$2))/AS$2</f>
        <v>0.29693273126330338</v>
      </c>
      <c r="AT176" s="814">
        <f t="shared" ref="AT176" si="175">+((AP176*AP$2)+(AR176*AR$2))/AT$2</f>
        <v>2.8570904586723871</v>
      </c>
      <c r="AU176" s="3172">
        <f>+EMD!AT89/(EMD!AT3*24)</f>
        <v>0</v>
      </c>
      <c r="AV176" s="3172">
        <f>+EMD!AU89/(EMD!AU3*24)</f>
        <v>3.3541666666666665</v>
      </c>
      <c r="AW176" s="814">
        <f t="shared" si="147"/>
        <v>0.27204016696578093</v>
      </c>
      <c r="AX176" s="814">
        <f t="shared" si="148"/>
        <v>2.8987615180252009</v>
      </c>
      <c r="AY176" s="3172">
        <f>+EMD!AX89/(EMD!AX3*24)</f>
        <v>0.58774607490389652</v>
      </c>
      <c r="AZ176" s="3172">
        <f>+EMD!AY89/(EMD!AY3*24)</f>
        <v>3.3706989247311832</v>
      </c>
      <c r="BA176" s="815">
        <f>+EMD!AZ89/(EMD!AZ3*24)</f>
        <v>0.20244587024467545</v>
      </c>
      <c r="BB176" s="815">
        <f>+EMD!BA89/(EMD!BA3*24)</f>
        <v>3.5788425925925926</v>
      </c>
      <c r="BC176" s="2096">
        <f>+EMD!BB89/(EMD!BB3*24)</f>
        <v>0.19730487110604542</v>
      </c>
      <c r="BD176" s="2096">
        <f>+EMD!BC89/(EMD!BC3*24)</f>
        <v>3.4260259402385573</v>
      </c>
      <c r="BE176" s="814">
        <f>+EMD!BD89/(EMD!BD3*24)</f>
        <v>0.29885354544819631</v>
      </c>
      <c r="BF176" s="814">
        <f>+EMD!BE89/(EMD!BE3*24)</f>
        <v>2.9388438731152977</v>
      </c>
      <c r="BG176" s="1137"/>
      <c r="BH176" s="4234"/>
      <c r="BI176" s="4234"/>
      <c r="BJ176" s="25"/>
      <c r="BK176" s="25"/>
      <c r="BL176" s="25"/>
      <c r="BM176" s="25"/>
    </row>
    <row r="177" spans="2:65" x14ac:dyDescent="0.25">
      <c r="B177" s="9" t="s">
        <v>593</v>
      </c>
      <c r="C177" s="813"/>
      <c r="D177" s="3180" t="s">
        <v>299</v>
      </c>
      <c r="E177" s="3172">
        <f>+EMD!D102/(EMD!D3*24)</f>
        <v>0.72170371878727135</v>
      </c>
      <c r="F177" s="3172">
        <f>+EMD!E102/(EMD!E3*24)</f>
        <v>0.70295972222222214</v>
      </c>
      <c r="G177" s="3172">
        <f>+EMD!F102/(EMD!F3*24)</f>
        <v>0.68181870632457209</v>
      </c>
      <c r="H177" s="3172">
        <f>+EMD!G102/(EMD!G3*24)</f>
        <v>0.82305615540625088</v>
      </c>
      <c r="I177" s="744">
        <f t="shared" si="131"/>
        <v>0.70143428622426018</v>
      </c>
      <c r="J177" s="3183">
        <f t="shared" si="131"/>
        <v>0.76399233580754822</v>
      </c>
      <c r="K177" s="3172">
        <f>+EMD!J102/(EMD!J3*24)</f>
        <v>0.67135331844865054</v>
      </c>
      <c r="L177" s="3172">
        <f>+EMD!K102/(EMD!K3*24)</f>
        <v>0.85493005304187475</v>
      </c>
      <c r="M177" s="815">
        <f t="shared" si="132"/>
        <v>0.6915174836608724</v>
      </c>
      <c r="N177" s="815">
        <f t="shared" si="132"/>
        <v>0.79397180302765591</v>
      </c>
      <c r="O177" s="3172">
        <f>+EMD!N102/(EMD!N3*24)</f>
        <v>0.68106424305522151</v>
      </c>
      <c r="P177" s="3172">
        <f>+EMD!O102/(EMD!O3*24)</f>
        <v>0.97368846012228227</v>
      </c>
      <c r="Q177" s="814">
        <f t="shared" si="133"/>
        <v>0.68886133235943658</v>
      </c>
      <c r="R177" s="814">
        <f t="shared" si="133"/>
        <v>0.83963751097792982</v>
      </c>
      <c r="S177" s="3172">
        <f>+EMD!R102/(EMD!R3*24)</f>
        <v>0.68106424305522151</v>
      </c>
      <c r="T177" s="3172">
        <f>+EMD!S102/(EMD!S3*24)</f>
        <v>0.80047997584738484</v>
      </c>
      <c r="U177" s="814">
        <f t="shared" si="134"/>
        <v>0.68728152995139302</v>
      </c>
      <c r="V177" s="814">
        <f t="shared" si="135"/>
        <v>0.8317036313109567</v>
      </c>
      <c r="W177" s="3172">
        <f>+EMD!V102/(EMD!V3*24)</f>
        <v>0.29371428343994865</v>
      </c>
      <c r="X177" s="3172">
        <f>+EMD!W102/(EMD!W3*24)</f>
        <v>0.91180277777777785</v>
      </c>
      <c r="Y177" s="815">
        <f t="shared" si="136"/>
        <v>0.5547544736154586</v>
      </c>
      <c r="Z177" s="815">
        <f t="shared" si="136"/>
        <v>0.89514461791731537</v>
      </c>
      <c r="AA177" s="2096">
        <f t="shared" si="137"/>
        <v>0.62276230921181197</v>
      </c>
      <c r="AB177" s="2096">
        <f t="shared" si="137"/>
        <v>0.84483463892846822</v>
      </c>
      <c r="AC177" s="3172">
        <f>+EMD!AB102/(EMD!AB3*24)</f>
        <v>0.66308886538174683</v>
      </c>
      <c r="AD177" s="3172">
        <f>+EMD!AC102/(EMD!AC3*24)</f>
        <v>0.84421774193548382</v>
      </c>
      <c r="AE177" s="744">
        <f t="shared" si="138"/>
        <v>0.62860400660091464</v>
      </c>
      <c r="AF177" s="814">
        <f t="shared" si="139"/>
        <v>0.84474527534537236</v>
      </c>
      <c r="AG177" s="3172">
        <f>+EMD!AF102/(EMD!AF3*24)</f>
        <v>0.77412054884294812</v>
      </c>
      <c r="AH177" s="3172">
        <f>+EMD!AG102/(EMD!AG3*24)</f>
        <v>0.91503055555555557</v>
      </c>
      <c r="AI177" s="744">
        <f t="shared" si="140"/>
        <v>0.64649538474542689</v>
      </c>
      <c r="AJ177" s="814">
        <f t="shared" si="141"/>
        <v>0.85338690815809981</v>
      </c>
      <c r="AK177" s="3172">
        <f>+EMD!AJ102/(EMD!AJ3*24)</f>
        <v>0.77564267066212633</v>
      </c>
      <c r="AL177" s="3172">
        <f>+EMD!AK102/(EMD!AK3*24)</f>
        <v>1.3112298805856688</v>
      </c>
      <c r="AM177" s="815">
        <f t="shared" si="142"/>
        <v>0.73722058785487521</v>
      </c>
      <c r="AN177" s="815">
        <f t="shared" si="143"/>
        <v>1.024671662661113</v>
      </c>
      <c r="AO177" s="814">
        <f t="shared" si="144"/>
        <v>0.66105380606694575</v>
      </c>
      <c r="AP177" s="814">
        <f t="shared" si="144"/>
        <v>0.90499829777720753</v>
      </c>
      <c r="AQ177" s="3172">
        <f>+EMD!AP102/(EMD!AP3*24)</f>
        <v>0.77564267066212633</v>
      </c>
      <c r="AR177" s="3172">
        <f>+EMD!AQ102/(EMD!AQ3*24)</f>
        <v>1.2594811827956989</v>
      </c>
      <c r="AS177" s="814">
        <f t="shared" si="145"/>
        <v>0.67266248189194766</v>
      </c>
      <c r="AT177" s="814">
        <f t="shared" si="146"/>
        <v>0.94090996259934234</v>
      </c>
      <c r="AU177" s="3172">
        <f>+EMD!AT102/(EMD!AT3*24)</f>
        <v>0.80129143059156505</v>
      </c>
      <c r="AV177" s="3172">
        <f>+EMD!AU102/(EMD!AU3*24)</f>
        <v>0.87912053571428572</v>
      </c>
      <c r="AW177" s="814">
        <f t="shared" si="147"/>
        <v>0.68344574705239469</v>
      </c>
      <c r="AX177" s="814">
        <f t="shared" si="148"/>
        <v>0.93573001064490635</v>
      </c>
      <c r="AY177" s="3172">
        <f>+EMD!AX102/(EMD!AX3*24)</f>
        <v>0.71040094476598603</v>
      </c>
      <c r="AZ177" s="3172">
        <f>+EMD!AY102/(EMD!AY3*24)</f>
        <v>0.75112634408602141</v>
      </c>
      <c r="BA177" s="815">
        <f t="shared" si="149"/>
        <v>0.7611501348315034</v>
      </c>
      <c r="BB177" s="815">
        <f t="shared" si="150"/>
        <v>0.96604675925925931</v>
      </c>
      <c r="BC177" s="2096">
        <f t="shared" si="151"/>
        <v>0.37350083895201053</v>
      </c>
      <c r="BD177" s="2096">
        <f t="shared" si="151"/>
        <v>0.49647671588535813</v>
      </c>
      <c r="BE177" s="814">
        <f t="shared" si="152"/>
        <v>0.68573509261163124</v>
      </c>
      <c r="BF177" s="814">
        <f t="shared" si="153"/>
        <v>0.92005134307415182</v>
      </c>
      <c r="BG177" s="1137"/>
      <c r="BH177" s="4234"/>
      <c r="BI177" s="4234"/>
      <c r="BJ177" s="25"/>
      <c r="BK177" s="25"/>
      <c r="BL177" s="25"/>
      <c r="BM177" s="25"/>
    </row>
    <row r="178" spans="2:65" ht="15.75" thickBot="1" x14ac:dyDescent="0.3">
      <c r="B178" s="11" t="s">
        <v>310</v>
      </c>
      <c r="C178" s="819"/>
      <c r="D178" s="702" t="s">
        <v>526</v>
      </c>
      <c r="E178" s="3173">
        <f>+E159/E169</f>
        <v>78.259005145797602</v>
      </c>
      <c r="F178" s="3173">
        <f t="shared" ref="F178" si="176">+F159/F169</f>
        <v>76.065443667775682</v>
      </c>
      <c r="G178" s="3173">
        <f>+G159/G169</f>
        <v>79.51567723863738</v>
      </c>
      <c r="H178" s="3173">
        <f t="shared" ref="H178" si="177">+H159/H169</f>
        <v>73.807689903094698</v>
      </c>
      <c r="I178" s="3184">
        <f t="shared" ref="I178:AB178" si="178">+I159/I169</f>
        <v>78.940916891394949</v>
      </c>
      <c r="J178" s="153">
        <f t="shared" si="178"/>
        <v>74.950008494077295</v>
      </c>
      <c r="K178" s="3173">
        <f>+K159/K169</f>
        <v>79.365079365079367</v>
      </c>
      <c r="L178" s="3173">
        <f t="shared" ref="L178" si="179">+L159/L169</f>
        <v>72.744229490548719</v>
      </c>
      <c r="M178" s="818">
        <f>+M159/M169</f>
        <v>79.0869635106896</v>
      </c>
      <c r="N178" s="353">
        <f>+N159/N169</f>
        <v>74.226846180995281</v>
      </c>
      <c r="O178" s="3173">
        <f>+O159/O169</f>
        <v>79.51567723863738</v>
      </c>
      <c r="P178" s="3173">
        <f t="shared" ref="P178" si="180">+P159/P169</f>
        <v>81.731808972503629</v>
      </c>
      <c r="Q178" s="744">
        <f t="shared" si="178"/>
        <v>79.199468841885619</v>
      </c>
      <c r="R178" s="351">
        <f t="shared" si="178"/>
        <v>76.207962776198755</v>
      </c>
      <c r="S178" s="3173">
        <f>+S159/S169</f>
        <v>79.51567723863738</v>
      </c>
      <c r="T178" s="3173">
        <f t="shared" ref="T178" si="181">+T159/T169</f>
        <v>74.194404522372338</v>
      </c>
      <c r="U178" s="744">
        <f t="shared" ref="U178:V178" si="182">+U159/U169</f>
        <v>79.26520032307144</v>
      </c>
      <c r="V178" s="2045">
        <f t="shared" si="182"/>
        <v>75.819254600943339</v>
      </c>
      <c r="W178" s="3173">
        <f>+W159/W169</f>
        <v>72.150072150072148</v>
      </c>
      <c r="X178" s="3173">
        <f t="shared" ref="X178" si="183">+X159/X169</f>
        <v>74.178997829233012</v>
      </c>
      <c r="Y178" s="818">
        <f t="shared" si="178"/>
        <v>77.759427470410131</v>
      </c>
      <c r="Z178" s="2097">
        <f t="shared" si="178"/>
        <v>76.818952024154584</v>
      </c>
      <c r="AA178" s="745">
        <f t="shared" si="178"/>
        <v>78.445711246655264</v>
      </c>
      <c r="AB178" s="467">
        <f t="shared" si="178"/>
        <v>75.540777936456749</v>
      </c>
      <c r="AC178" s="3173">
        <f>+AC159/AC169</f>
        <v>76.804915514592935</v>
      </c>
      <c r="AD178" s="3173">
        <f t="shared" ref="AD178" si="184">+AD159/AD169</f>
        <v>77.468532370389482</v>
      </c>
      <c r="AE178" s="744">
        <f t="shared" ref="AE178:AF178" si="185">+AE159/AE169</f>
        <v>78.19080240327925</v>
      </c>
      <c r="AF178" s="2045">
        <f t="shared" si="185"/>
        <v>75.745893653516319</v>
      </c>
      <c r="AG178" s="3173">
        <f>+AG159/AG169</f>
        <v>79.365079365079367</v>
      </c>
      <c r="AH178" s="3173">
        <f t="shared" ref="AH178" si="186">+AH159/AH169</f>
        <v>73.605578395236748</v>
      </c>
      <c r="AI178" s="744">
        <f t="shared" ref="AI178:AJ178" si="187">+AI159/AI169</f>
        <v>78.34427549849903</v>
      </c>
      <c r="AJ178" s="2045">
        <f t="shared" si="187"/>
        <v>75.501237638803971</v>
      </c>
      <c r="AK178" s="3173">
        <f>+AK159/AK169</f>
        <v>79.51567723863738</v>
      </c>
      <c r="AL178" s="3173">
        <f t="shared" ref="AL178" si="188">+AL159/AL169</f>
        <v>80.965319514289234</v>
      </c>
      <c r="AM178" s="818">
        <f t="shared" ref="AM178:AP178" si="189">+AM159/AM169</f>
        <v>78.553160394592624</v>
      </c>
      <c r="AN178" s="2097">
        <f t="shared" si="189"/>
        <v>77.52846949696756</v>
      </c>
      <c r="AO178" s="744">
        <f t="shared" si="189"/>
        <v>78.483652822723712</v>
      </c>
      <c r="AP178" s="2045">
        <f t="shared" si="189"/>
        <v>76.138892765509794</v>
      </c>
      <c r="AQ178" s="3173">
        <f>+AQ159/AQ169</f>
        <v>80.419264479985543</v>
      </c>
      <c r="AR178" s="3173">
        <f t="shared" ref="AR178" si="190">+AR159/AR169</f>
        <v>79.515336146941721</v>
      </c>
      <c r="AS178" s="744">
        <f t="shared" ref="AS178:AT178" si="191">+AS159/AS169</f>
        <v>78.689469638739425</v>
      </c>
      <c r="AT178" s="2045">
        <f t="shared" si="191"/>
        <v>76.501729484923317</v>
      </c>
      <c r="AU178" s="3173">
        <f>+AU159/AU169</f>
        <v>80.032012805122051</v>
      </c>
      <c r="AV178" s="3173">
        <f t="shared" ref="AV178" si="192">+AV159/AV169</f>
        <v>73.201682316118962</v>
      </c>
      <c r="AW178" s="744">
        <f t="shared" ref="AW178:AX178" si="193">+AW159/AW169</f>
        <v>78.807111048774502</v>
      </c>
      <c r="AX178" s="2045">
        <f t="shared" si="193"/>
        <v>76.20729206361213</v>
      </c>
      <c r="AY178" s="3173">
        <f>+AY159/AY169</f>
        <v>80.419264479985543</v>
      </c>
      <c r="AZ178" s="3173">
        <f t="shared" ref="AZ178" si="194">+AZ159/AZ169</f>
        <v>85.084307710997052</v>
      </c>
      <c r="BA178" s="818">
        <f t="shared" ref="BA178:BF178" si="195">+BA159/BA169</f>
        <v>80.298786181139121</v>
      </c>
      <c r="BB178" s="2097">
        <f t="shared" si="195"/>
        <v>79.409594323615622</v>
      </c>
      <c r="BC178" s="745">
        <f t="shared" si="195"/>
        <v>79.416381937390341</v>
      </c>
      <c r="BD178" s="2096">
        <f t="shared" si="195"/>
        <v>78.537265282488221</v>
      </c>
      <c r="BE178" s="744">
        <f t="shared" si="195"/>
        <v>78.949681564290444</v>
      </c>
      <c r="BF178" s="2045">
        <f t="shared" si="195"/>
        <v>76.983227943870176</v>
      </c>
      <c r="BG178" s="1137"/>
      <c r="BH178" s="4234"/>
      <c r="BI178" s="4234"/>
      <c r="BJ178" s="25"/>
      <c r="BK178" s="25"/>
      <c r="BL178" s="25"/>
      <c r="BM178" s="25"/>
    </row>
    <row r="179" spans="2:65" ht="15.75" thickBot="1" x14ac:dyDescent="0.3">
      <c r="B179" s="976"/>
      <c r="C179" s="977"/>
      <c r="D179" s="977"/>
      <c r="E179" s="977"/>
      <c r="F179" s="977"/>
      <c r="G179" s="977"/>
      <c r="H179" s="977"/>
      <c r="I179" s="977"/>
      <c r="J179" s="977"/>
      <c r="K179" s="977"/>
      <c r="L179" s="977"/>
      <c r="M179" s="977"/>
      <c r="N179" s="977"/>
      <c r="O179" s="977"/>
      <c r="P179" s="977"/>
      <c r="Q179" s="977"/>
      <c r="R179" s="977"/>
      <c r="S179" s="977"/>
      <c r="T179" s="977"/>
      <c r="U179" s="977"/>
      <c r="V179" s="977"/>
      <c r="W179" s="977"/>
      <c r="X179" s="977"/>
      <c r="Y179" s="978"/>
      <c r="Z179" s="978"/>
      <c r="AA179" s="978"/>
      <c r="AB179" s="978"/>
      <c r="AC179" s="977"/>
      <c r="AD179" s="977"/>
      <c r="AE179" s="977"/>
      <c r="AF179" s="977"/>
      <c r="AG179" s="977"/>
      <c r="AH179" s="977"/>
      <c r="AI179" s="977"/>
      <c r="AJ179" s="977"/>
      <c r="AK179" s="977"/>
      <c r="AL179" s="977"/>
      <c r="AM179" s="978"/>
      <c r="AN179" s="978"/>
      <c r="AO179" s="977"/>
      <c r="AP179" s="977"/>
      <c r="AQ179" s="977"/>
      <c r="AR179" s="977"/>
      <c r="AS179" s="977"/>
      <c r="AT179" s="977"/>
      <c r="AU179" s="977"/>
      <c r="AV179" s="977"/>
      <c r="AW179" s="977"/>
      <c r="AX179" s="977"/>
      <c r="AY179" s="977"/>
      <c r="AZ179" s="977"/>
      <c r="BA179" s="978"/>
      <c r="BB179" s="978"/>
      <c r="BC179" s="978"/>
      <c r="BD179" s="978"/>
      <c r="BE179" s="977"/>
      <c r="BF179" s="977"/>
      <c r="BG179" s="1137"/>
      <c r="BH179" s="4234"/>
      <c r="BI179" s="4234"/>
      <c r="BJ179" s="25"/>
      <c r="BK179" s="25"/>
      <c r="BL179" s="25"/>
      <c r="BM179" s="25"/>
    </row>
    <row r="180" spans="2:65" ht="15.75" thickBot="1" x14ac:dyDescent="0.3">
      <c r="B180" s="979" t="s">
        <v>766</v>
      </c>
      <c r="C180" s="980"/>
      <c r="D180" s="767" t="s">
        <v>50</v>
      </c>
      <c r="E180" s="980"/>
      <c r="F180" s="981">
        <v>311.59999999999991</v>
      </c>
      <c r="G180" s="980"/>
      <c r="H180" s="981">
        <v>426.4199999999999</v>
      </c>
      <c r="I180" s="982"/>
      <c r="J180" s="983">
        <f>+F180+H180</f>
        <v>738.01999999999975</v>
      </c>
      <c r="K180" s="980"/>
      <c r="L180" s="981">
        <v>542.33999999999992</v>
      </c>
      <c r="M180" s="984"/>
      <c r="N180" s="586">
        <f>+F180+H180+L180</f>
        <v>1280.3599999999997</v>
      </c>
      <c r="O180" s="980"/>
      <c r="P180" s="981">
        <v>391.22999999999985</v>
      </c>
      <c r="Q180" s="982"/>
      <c r="R180" s="349">
        <f>+N180+P180</f>
        <v>1671.5899999999995</v>
      </c>
      <c r="S180" s="980"/>
      <c r="T180" s="981">
        <v>364.31999999999994</v>
      </c>
      <c r="U180" s="982"/>
      <c r="V180" s="349">
        <f>+R180+T180</f>
        <v>2035.9099999999994</v>
      </c>
      <c r="W180" s="980"/>
      <c r="X180" s="981">
        <v>440.74999999999983</v>
      </c>
      <c r="Y180" s="985"/>
      <c r="Z180" s="71">
        <f>P180+T180+X180</f>
        <v>1196.2999999999995</v>
      </c>
      <c r="AA180" s="986"/>
      <c r="AB180" s="432">
        <f>N180+Z180</f>
        <v>2476.6599999999989</v>
      </c>
      <c r="AC180" s="980"/>
      <c r="AD180" s="981">
        <v>291.09999999999991</v>
      </c>
      <c r="AE180" s="982"/>
      <c r="AF180" s="349">
        <f>+AB180+AD180</f>
        <v>2767.7599999999989</v>
      </c>
      <c r="AG180" s="980"/>
      <c r="AH180" s="981">
        <v>274.7</v>
      </c>
      <c r="AI180" s="982"/>
      <c r="AJ180" s="349">
        <f>+AF180+AH180</f>
        <v>3042.4599999999987</v>
      </c>
      <c r="AK180" s="980"/>
      <c r="AL180" s="981">
        <v>377.2</v>
      </c>
      <c r="AM180" s="985"/>
      <c r="AN180" s="71">
        <f>AD180+AH180+AL180</f>
        <v>943</v>
      </c>
      <c r="AO180" s="982"/>
      <c r="AP180" s="349">
        <f>+AL180+AJ180</f>
        <v>3419.6599999999985</v>
      </c>
      <c r="AQ180" s="980"/>
      <c r="AR180" s="981">
        <v>254.19999999999996</v>
      </c>
      <c r="AS180" s="982"/>
      <c r="AT180" s="349">
        <f t="shared" ref="AT180:AT182" si="196">+AP180+AR180</f>
        <v>3673.8599999999983</v>
      </c>
      <c r="AU180" s="980"/>
      <c r="AV180" s="981">
        <v>278.7999999999999</v>
      </c>
      <c r="AW180" s="982"/>
      <c r="AX180" s="349">
        <f>+AT180+AV180</f>
        <v>3952.659999999998</v>
      </c>
      <c r="AY180" s="980"/>
      <c r="AZ180" s="981">
        <v>371.04999999999995</v>
      </c>
      <c r="BA180" s="985"/>
      <c r="BB180" s="71">
        <f>AR180+AV180+AZ180</f>
        <v>904.04999999999984</v>
      </c>
      <c r="BC180" s="986"/>
      <c r="BD180" s="432">
        <f>AN180+BB180</f>
        <v>1847.0499999999997</v>
      </c>
      <c r="BE180" s="982"/>
      <c r="BF180" s="349">
        <f>+AX180+AZ180</f>
        <v>4323.7099999999982</v>
      </c>
      <c r="BG180" s="1137"/>
      <c r="BH180" s="4234">
        <f t="shared" si="57"/>
        <v>0</v>
      </c>
      <c r="BI180" s="4234">
        <f t="shared" si="58"/>
        <v>0</v>
      </c>
      <c r="BJ180" s="25">
        <f t="shared" si="59"/>
        <v>0</v>
      </c>
      <c r="BK180" s="25">
        <f t="shared" si="60"/>
        <v>0</v>
      </c>
      <c r="BL180" s="25">
        <f t="shared" si="61"/>
        <v>0</v>
      </c>
      <c r="BM180" s="25">
        <f t="shared" si="62"/>
        <v>0</v>
      </c>
    </row>
    <row r="181" spans="2:65" x14ac:dyDescent="0.25">
      <c r="B181" s="987" t="s">
        <v>767</v>
      </c>
      <c r="C181" s="250"/>
      <c r="D181" s="148" t="s">
        <v>50</v>
      </c>
      <c r="E181" s="250"/>
      <c r="F181" s="343">
        <v>379.32000000004354</v>
      </c>
      <c r="G181" s="250"/>
      <c r="H181" s="343">
        <v>542.17499999999973</v>
      </c>
      <c r="I181" s="820"/>
      <c r="J181" s="344">
        <f>+F181+H181</f>
        <v>921.49500000004332</v>
      </c>
      <c r="K181" s="250"/>
      <c r="L181" s="343">
        <v>563.9019999999997</v>
      </c>
      <c r="M181" s="821"/>
      <c r="N181" s="2211">
        <f>+F181+H181+L181</f>
        <v>1485.3970000000431</v>
      </c>
      <c r="O181" s="250"/>
      <c r="P181" s="343">
        <v>648.58899999999915</v>
      </c>
      <c r="Q181" s="820"/>
      <c r="R181" s="2210">
        <f>+N181+P181</f>
        <v>2133.9860000000422</v>
      </c>
      <c r="S181" s="250"/>
      <c r="T181" s="343">
        <v>532.47499999999968</v>
      </c>
      <c r="U181" s="820"/>
      <c r="V181" s="4351">
        <f>+R181+T181</f>
        <v>2666.4610000000421</v>
      </c>
      <c r="W181" s="250"/>
      <c r="X181" s="343">
        <v>226.25699999999944</v>
      </c>
      <c r="Y181" s="822"/>
      <c r="Z181" s="67">
        <f>P181+T181+X181</f>
        <v>1407.3209999999983</v>
      </c>
      <c r="AA181" s="823"/>
      <c r="AB181" s="428">
        <f>N181+Z181</f>
        <v>2892.7180000000417</v>
      </c>
      <c r="AC181" s="250"/>
      <c r="AD181" s="343">
        <v>116.91799999999944</v>
      </c>
      <c r="AE181" s="820"/>
      <c r="AF181" s="2236">
        <f>+AB181+AD181</f>
        <v>3009.6360000000413</v>
      </c>
      <c r="AG181" s="250"/>
      <c r="AH181" s="343">
        <v>242.51500000000078</v>
      </c>
      <c r="AI181" s="820"/>
      <c r="AJ181" s="4635">
        <f>+AF181+AH181</f>
        <v>3252.1510000000421</v>
      </c>
      <c r="AK181" s="250"/>
      <c r="AL181" s="343">
        <v>496.09200000000095</v>
      </c>
      <c r="AM181" s="822"/>
      <c r="AN181" s="67">
        <f>AD181+AH181+AL181</f>
        <v>855.52500000000123</v>
      </c>
      <c r="AO181" s="820"/>
      <c r="AP181" s="349">
        <f>+AL181+AJ181</f>
        <v>3748.2430000000431</v>
      </c>
      <c r="AQ181" s="250"/>
      <c r="AR181" s="343">
        <v>467.91200000000157</v>
      </c>
      <c r="AS181" s="820"/>
      <c r="AT181" s="2236">
        <f t="shared" si="196"/>
        <v>4216.1550000000443</v>
      </c>
      <c r="AU181" s="250"/>
      <c r="AV181" s="343">
        <v>378.48300000000125</v>
      </c>
      <c r="AW181" s="820"/>
      <c r="AX181" s="5036">
        <f>+AT181+AV181</f>
        <v>4594.6380000000454</v>
      </c>
      <c r="AY181" s="250"/>
      <c r="AZ181" s="343">
        <v>539.3850000000416</v>
      </c>
      <c r="BA181" s="822"/>
      <c r="BB181" s="67">
        <f>AR181+AV181+AZ181</f>
        <v>1385.7800000000443</v>
      </c>
      <c r="BC181" s="823"/>
      <c r="BD181" s="428">
        <f>AN181+BB181</f>
        <v>2241.3050000000458</v>
      </c>
      <c r="BE181" s="820"/>
      <c r="BF181" s="2236">
        <f>+AX181+AZ181</f>
        <v>5134.0230000000865</v>
      </c>
      <c r="BG181" s="1137"/>
      <c r="BH181" s="4234">
        <f t="shared" si="57"/>
        <v>0</v>
      </c>
      <c r="BI181" s="4234">
        <f t="shared" si="58"/>
        <v>0</v>
      </c>
      <c r="BJ181" s="25">
        <f t="shared" si="59"/>
        <v>0</v>
      </c>
      <c r="BK181" s="25">
        <f t="shared" si="60"/>
        <v>0</v>
      </c>
      <c r="BL181" s="25">
        <f t="shared" si="61"/>
        <v>0</v>
      </c>
      <c r="BM181" s="25">
        <f t="shared" si="62"/>
        <v>0</v>
      </c>
    </row>
    <row r="182" spans="2:65" x14ac:dyDescent="0.25">
      <c r="B182" s="988" t="s">
        <v>789</v>
      </c>
      <c r="C182" s="610"/>
      <c r="D182" s="194" t="s">
        <v>50</v>
      </c>
      <c r="E182" s="610"/>
      <c r="F182" s="373">
        <f>SUM(F180:F181)</f>
        <v>690.9200000000435</v>
      </c>
      <c r="G182" s="610"/>
      <c r="H182" s="373">
        <f>SUM(H180:H181)</f>
        <v>968.59499999999957</v>
      </c>
      <c r="I182" s="820"/>
      <c r="J182" s="344">
        <f>SUM(J180:J181)</f>
        <v>1659.5150000000431</v>
      </c>
      <c r="K182" s="610"/>
      <c r="L182" s="373">
        <f>SUM(L180:L181)</f>
        <v>1106.2419999999997</v>
      </c>
      <c r="M182" s="821"/>
      <c r="N182" s="420">
        <f>SUM(N180:N181)</f>
        <v>2765.7570000000428</v>
      </c>
      <c r="O182" s="610"/>
      <c r="P182" s="373">
        <f>SUM(P180:P181)</f>
        <v>1039.8189999999991</v>
      </c>
      <c r="Q182" s="820"/>
      <c r="R182" s="344">
        <f>SUM(R180:R181)</f>
        <v>3805.5760000000419</v>
      </c>
      <c r="S182" s="610"/>
      <c r="T182" s="373">
        <f>SUM(T180:T181)</f>
        <v>896.79499999999962</v>
      </c>
      <c r="U182" s="820"/>
      <c r="V182" s="344">
        <f>SUM(V180:V181)</f>
        <v>4702.371000000041</v>
      </c>
      <c r="W182" s="610"/>
      <c r="X182" s="373">
        <f>SUM(X180:X181)</f>
        <v>667.00699999999927</v>
      </c>
      <c r="Y182" s="822"/>
      <c r="Z182" s="67">
        <f>SUM(Z180:Z181)</f>
        <v>2603.6209999999978</v>
      </c>
      <c r="AA182" s="823"/>
      <c r="AB182" s="428">
        <f>SUM(AB180:AB181)</f>
        <v>5369.3780000000406</v>
      </c>
      <c r="AC182" s="610"/>
      <c r="AD182" s="373">
        <f>SUM(AD180:AD181)</f>
        <v>408.01799999999935</v>
      </c>
      <c r="AE182" s="820"/>
      <c r="AF182" s="344">
        <f>SUM(AF180:AF181)</f>
        <v>5777.3960000000407</v>
      </c>
      <c r="AG182" s="610"/>
      <c r="AH182" s="373">
        <f>SUM(AH180:AH181)</f>
        <v>517.21500000000083</v>
      </c>
      <c r="AI182" s="820"/>
      <c r="AJ182" s="344">
        <f>SUM(AJ180:AJ181)</f>
        <v>6294.6110000000408</v>
      </c>
      <c r="AK182" s="610"/>
      <c r="AL182" s="373">
        <f>SUM(AL180:AL181)</f>
        <v>873.29200000000094</v>
      </c>
      <c r="AM182" s="822"/>
      <c r="AN182" s="67">
        <f>SUM(AN180:AN181)</f>
        <v>1798.5250000000012</v>
      </c>
      <c r="AO182" s="820"/>
      <c r="AP182" s="344">
        <f>SUM(AP180:AP181)</f>
        <v>7167.9030000000421</v>
      </c>
      <c r="AQ182" s="610"/>
      <c r="AR182" s="373">
        <f>SUM(AR180:AR181)</f>
        <v>722.11200000000156</v>
      </c>
      <c r="AS182" s="820"/>
      <c r="AT182" s="344">
        <f t="shared" si="196"/>
        <v>7890.015000000044</v>
      </c>
      <c r="AU182" s="610"/>
      <c r="AV182" s="373">
        <f>SUM(AV180:AV181)</f>
        <v>657.28300000000115</v>
      </c>
      <c r="AW182" s="820"/>
      <c r="AX182" s="344">
        <f>SUM(AX180:AX181)</f>
        <v>8547.2980000000425</v>
      </c>
      <c r="AY182" s="610"/>
      <c r="AZ182" s="373">
        <f>SUM(AZ180:AZ181)</f>
        <v>910.43500000004155</v>
      </c>
      <c r="BA182" s="822"/>
      <c r="BB182" s="67">
        <f>SUM(BB180:BB181)</f>
        <v>2289.830000000044</v>
      </c>
      <c r="BC182" s="823"/>
      <c r="BD182" s="428">
        <f>SUM(BD180:BD181)</f>
        <v>4088.3550000000455</v>
      </c>
      <c r="BE182" s="820"/>
      <c r="BF182" s="344">
        <f>SUM(BF180:BF181)</f>
        <v>9457.7330000000838</v>
      </c>
      <c r="BG182" s="1137"/>
      <c r="BH182" s="4234">
        <f t="shared" si="57"/>
        <v>0</v>
      </c>
      <c r="BI182" s="4234">
        <f t="shared" si="58"/>
        <v>0</v>
      </c>
      <c r="BJ182" s="25">
        <f t="shared" si="59"/>
        <v>0</v>
      </c>
      <c r="BK182" s="25">
        <f t="shared" si="60"/>
        <v>0</v>
      </c>
      <c r="BL182" s="25">
        <f t="shared" si="61"/>
        <v>0</v>
      </c>
      <c r="BM182" s="25">
        <f t="shared" si="62"/>
        <v>0</v>
      </c>
    </row>
    <row r="183" spans="2:65" x14ac:dyDescent="0.25">
      <c r="B183" s="988" t="s">
        <v>785</v>
      </c>
      <c r="C183" s="610"/>
      <c r="D183" s="194" t="s">
        <v>49</v>
      </c>
      <c r="E183" s="610"/>
      <c r="F183" s="416">
        <f>+F182/F5</f>
        <v>1.5910417157497147E-2</v>
      </c>
      <c r="G183" s="610"/>
      <c r="H183" s="416">
        <f>+H182/H5</f>
        <v>2.3533872964635046E-2</v>
      </c>
      <c r="I183" s="820"/>
      <c r="J183" s="413">
        <f>+J182/J5</f>
        <v>1.9619931026191882E-2</v>
      </c>
      <c r="K183" s="610"/>
      <c r="L183" s="416">
        <f>+L182/L5</f>
        <v>2.7520025394481427E-2</v>
      </c>
      <c r="M183" s="821"/>
      <c r="N183" s="414">
        <f>+N182/N5</f>
        <v>2.2164918904892066E-2</v>
      </c>
      <c r="O183" s="610"/>
      <c r="P183" s="416">
        <f>+P182/P5</f>
        <v>2.1154907448055548E-2</v>
      </c>
      <c r="Q183" s="820"/>
      <c r="R183" s="413">
        <f>+R182/R5</f>
        <v>2.1879495343750832E-2</v>
      </c>
      <c r="S183" s="610"/>
      <c r="T183" s="416">
        <f>+T182/T5</f>
        <v>2.2206832640719616E-2</v>
      </c>
      <c r="U183" s="820"/>
      <c r="V183" s="413">
        <f>+V182/V5</f>
        <v>2.1941175441053361E-2</v>
      </c>
      <c r="W183" s="610"/>
      <c r="X183" s="416">
        <f>+X182/X5</f>
        <v>1.5551997312493827E-2</v>
      </c>
      <c r="Y183" s="822"/>
      <c r="Z183" s="414">
        <f>+Z182/Z5</f>
        <v>1.9661070822870934E-2</v>
      </c>
      <c r="AA183" s="823"/>
      <c r="AB183" s="2251">
        <f>+AB182/AB5</f>
        <v>2.0875786736546161E-2</v>
      </c>
      <c r="AC183" s="610"/>
      <c r="AD183" s="416">
        <f>+AD182/AD5</f>
        <v>1.3035353610060174E-2</v>
      </c>
      <c r="AE183" s="820"/>
      <c r="AF183" s="413">
        <f>+AF182/AF5</f>
        <v>2.0025157388265828E-2</v>
      </c>
      <c r="AG183" s="610"/>
      <c r="AH183" s="416">
        <f>+AH182/AH5</f>
        <v>1.4309658277176538E-2</v>
      </c>
      <c r="AI183" s="820"/>
      <c r="AJ183" s="413">
        <f>+AJ182/AJ5</f>
        <v>1.9388832694419877E-2</v>
      </c>
      <c r="AK183" s="610"/>
      <c r="AL183" s="416">
        <f>+AL182/AL5</f>
        <v>1.8918735714279381E-2</v>
      </c>
      <c r="AM183" s="822"/>
      <c r="AN183" s="414">
        <f>+AN182/AN5</f>
        <v>1.5831317974859205E-2</v>
      </c>
      <c r="AO183" s="820"/>
      <c r="AP183" s="413">
        <f>+AP182/AP5</f>
        <v>1.9330313060490368E-2</v>
      </c>
      <c r="AQ183" s="610"/>
      <c r="AR183" s="416">
        <f>+AR182/AR5</f>
        <v>1.5515158848973573E-2</v>
      </c>
      <c r="AS183" s="820"/>
      <c r="AT183" s="413">
        <f>+AT182/AT5</f>
        <v>1.8904855767665957E-2</v>
      </c>
      <c r="AU183" s="610"/>
      <c r="AV183" s="416">
        <f>+AV182/AV5</f>
        <v>1.6794447105756213E-2</v>
      </c>
      <c r="AW183" s="820"/>
      <c r="AX183" s="413">
        <f>+AX182/AX5</f>
        <v>1.8723921339673769E-2</v>
      </c>
      <c r="AY183" s="610"/>
      <c r="AZ183" s="416">
        <f>+AZ182/AZ5</f>
        <v>1.8616045129906354E-2</v>
      </c>
      <c r="BA183" s="822"/>
      <c r="BB183" s="414">
        <f>+BB182/BB5</f>
        <v>1.7013979849955157E-2</v>
      </c>
      <c r="BC183" s="823"/>
      <c r="BD183" s="2251">
        <f>+BD182/BD5</f>
        <v>1.6472634432101431E-2</v>
      </c>
      <c r="BE183" s="820"/>
      <c r="BF183" s="413">
        <f>+BF182/BF5</f>
        <v>1.8713482438991524E-2</v>
      </c>
      <c r="BG183" s="1137"/>
      <c r="BH183" s="4234">
        <f t="shared" si="57"/>
        <v>0</v>
      </c>
      <c r="BI183" s="4234">
        <f t="shared" si="58"/>
        <v>0.20435396916504336</v>
      </c>
      <c r="BJ183" s="25">
        <f t="shared" si="59"/>
        <v>0</v>
      </c>
      <c r="BK183" s="25">
        <f t="shared" si="60"/>
        <v>8.0716764254050805E-2</v>
      </c>
      <c r="BL183" s="25">
        <f t="shared" si="61"/>
        <v>0</v>
      </c>
      <c r="BM183" s="25">
        <f t="shared" si="62"/>
        <v>3.3911671234680987E-2</v>
      </c>
    </row>
    <row r="184" spans="2:65" ht="15.75" thickBot="1" x14ac:dyDescent="0.3">
      <c r="B184" s="988" t="s">
        <v>788</v>
      </c>
      <c r="C184" s="610"/>
      <c r="D184" s="194" t="s">
        <v>50</v>
      </c>
      <c r="E184" s="610"/>
      <c r="F184" s="417">
        <f>+F160</f>
        <v>34.849999999999994</v>
      </c>
      <c r="G184" s="610"/>
      <c r="H184" s="417">
        <f>+H160</f>
        <v>137.35</v>
      </c>
      <c r="I184" s="820"/>
      <c r="J184" s="418">
        <f>+J160</f>
        <v>172.20000000000002</v>
      </c>
      <c r="K184" s="610"/>
      <c r="L184" s="417">
        <f>+L160</f>
        <v>116.69999999999999</v>
      </c>
      <c r="M184" s="821"/>
      <c r="N184" s="419">
        <f>+N160</f>
        <v>288.90000000000003</v>
      </c>
      <c r="O184" s="610"/>
      <c r="P184" s="417">
        <f>+P160</f>
        <v>213.20000000000002</v>
      </c>
      <c r="Q184" s="820"/>
      <c r="R184" s="418">
        <f>+R160</f>
        <v>502.09999999999991</v>
      </c>
      <c r="S184" s="610"/>
      <c r="T184" s="417">
        <f>+T160</f>
        <v>82</v>
      </c>
      <c r="U184" s="820"/>
      <c r="V184" s="418">
        <f>+V160</f>
        <v>584.09999999999991</v>
      </c>
      <c r="W184" s="610"/>
      <c r="X184" s="417">
        <f>+X160</f>
        <v>143.50000000000003</v>
      </c>
      <c r="Y184" s="822"/>
      <c r="Z184" s="419">
        <f>+Z160</f>
        <v>438.7</v>
      </c>
      <c r="AA184" s="823"/>
      <c r="AB184" s="2252">
        <f>+AB160</f>
        <v>727.59999999999991</v>
      </c>
      <c r="AC184" s="610"/>
      <c r="AD184" s="417">
        <f>+AD160</f>
        <v>28.7</v>
      </c>
      <c r="AE184" s="820"/>
      <c r="AF184" s="418">
        <f>+AF160</f>
        <v>756.3</v>
      </c>
      <c r="AG184" s="610"/>
      <c r="AH184" s="417">
        <f>+AH160</f>
        <v>92.25</v>
      </c>
      <c r="AI184" s="820"/>
      <c r="AJ184" s="418">
        <f>+AJ160</f>
        <v>848.55</v>
      </c>
      <c r="AK184" s="610"/>
      <c r="AL184" s="417">
        <f>+AL160</f>
        <v>151.70000000000002</v>
      </c>
      <c r="AM184" s="822"/>
      <c r="AN184" s="419">
        <f>+AN160</f>
        <v>272.64999999999998</v>
      </c>
      <c r="AO184" s="820"/>
      <c r="AP184" s="418">
        <f>+AP160</f>
        <v>1000.25</v>
      </c>
      <c r="AQ184" s="610"/>
      <c r="AR184" s="417">
        <f>+AR160</f>
        <v>43.050000000000004</v>
      </c>
      <c r="AS184" s="820"/>
      <c r="AT184" s="418">
        <f t="shared" ref="AT184:AT186" si="197">+AP184+AR184</f>
        <v>1043.3</v>
      </c>
      <c r="AU184" s="610"/>
      <c r="AV184" s="417">
        <f>+AV160</f>
        <v>49.199999999999989</v>
      </c>
      <c r="AW184" s="820"/>
      <c r="AX184" s="418">
        <f t="shared" ref="AX184:AX186" si="198">+AT184+AV184</f>
        <v>1092.5</v>
      </c>
      <c r="AY184" s="610"/>
      <c r="AZ184" s="417">
        <f>+AZ160</f>
        <v>96.35</v>
      </c>
      <c r="BA184" s="822"/>
      <c r="BB184" s="419">
        <f>+BB160</f>
        <v>188.60000000000002</v>
      </c>
      <c r="BC184" s="823"/>
      <c r="BD184" s="2252">
        <f>+BD160</f>
        <v>461.25000000000006</v>
      </c>
      <c r="BE184" s="820"/>
      <c r="BF184" s="418">
        <f>+BF160</f>
        <v>1188.8499999999999</v>
      </c>
      <c r="BG184" s="1137"/>
      <c r="BH184" s="4234">
        <f t="shared" si="57"/>
        <v>0</v>
      </c>
      <c r="BI184" s="4234">
        <f t="shared" si="58"/>
        <v>0</v>
      </c>
      <c r="BJ184" s="25">
        <f t="shared" si="59"/>
        <v>0</v>
      </c>
      <c r="BK184" s="25">
        <f t="shared" si="60"/>
        <v>0</v>
      </c>
      <c r="BL184" s="25">
        <f t="shared" si="61"/>
        <v>0</v>
      </c>
      <c r="BM184" s="25">
        <f t="shared" si="62"/>
        <v>0</v>
      </c>
    </row>
    <row r="185" spans="2:65" ht="15.75" thickBot="1" x14ac:dyDescent="0.3">
      <c r="B185" s="989" t="s">
        <v>768</v>
      </c>
      <c r="C185" s="872"/>
      <c r="D185" s="839" t="s">
        <v>50</v>
      </c>
      <c r="E185" s="990"/>
      <c r="F185" s="991">
        <v>738.23300000000017</v>
      </c>
      <c r="G185" s="990"/>
      <c r="H185" s="991">
        <v>699.73900000000003</v>
      </c>
      <c r="I185" s="992"/>
      <c r="J185" s="993">
        <f>+F185+H185</f>
        <v>1437.9720000000002</v>
      </c>
      <c r="K185" s="990"/>
      <c r="L185" s="991">
        <v>683.41800000000012</v>
      </c>
      <c r="M185" s="994"/>
      <c r="N185" s="462">
        <f>+F185+H185+L185</f>
        <v>2121.3900000000003</v>
      </c>
      <c r="O185" s="990"/>
      <c r="P185" s="991">
        <v>835.69500000000016</v>
      </c>
      <c r="Q185" s="992"/>
      <c r="R185" s="557">
        <f>+N185+P185</f>
        <v>2957.0850000000005</v>
      </c>
      <c r="S185" s="990"/>
      <c r="T185" s="991">
        <v>686.59700000000021</v>
      </c>
      <c r="U185" s="992"/>
      <c r="V185" s="557">
        <f>+R185+T185</f>
        <v>3643.6820000000007</v>
      </c>
      <c r="W185" s="990"/>
      <c r="X185" s="991">
        <v>729.2010000000007</v>
      </c>
      <c r="Y185" s="995"/>
      <c r="Z185" s="72">
        <f>P185+T185+X185</f>
        <v>2251.4930000000013</v>
      </c>
      <c r="AA185" s="996"/>
      <c r="AB185" s="433">
        <f>N185+Z185</f>
        <v>4372.8830000000016</v>
      </c>
      <c r="AC185" s="990"/>
      <c r="AD185" s="991">
        <v>532.15500000000009</v>
      </c>
      <c r="AE185" s="992"/>
      <c r="AF185" s="557">
        <f>+AB185+AD185</f>
        <v>4905.0380000000014</v>
      </c>
      <c r="AG185" s="990"/>
      <c r="AH185" s="991">
        <v>613.58000000000038</v>
      </c>
      <c r="AI185" s="992"/>
      <c r="AJ185" s="557">
        <f>+AF185+AH185</f>
        <v>5518.6180000000022</v>
      </c>
      <c r="AK185" s="990"/>
      <c r="AL185" s="991">
        <v>781.54400000000044</v>
      </c>
      <c r="AM185" s="995"/>
      <c r="AN185" s="72">
        <f>AD185+AH185+AL185</f>
        <v>1927.2790000000009</v>
      </c>
      <c r="AO185" s="992"/>
      <c r="AP185" s="349">
        <f>+AL185+AJ185</f>
        <v>6300.162000000003</v>
      </c>
      <c r="AQ185" s="990"/>
      <c r="AR185" s="991">
        <v>790.72200000000032</v>
      </c>
      <c r="AS185" s="992"/>
      <c r="AT185" s="557">
        <f t="shared" si="197"/>
        <v>7090.8840000000037</v>
      </c>
      <c r="AU185" s="990"/>
      <c r="AV185" s="991">
        <v>665.33200000000033</v>
      </c>
      <c r="AW185" s="992"/>
      <c r="AX185" s="557">
        <f t="shared" si="198"/>
        <v>7756.216000000004</v>
      </c>
      <c r="AY185" s="990"/>
      <c r="AZ185" s="991">
        <v>831.40200000000027</v>
      </c>
      <c r="BA185" s="995"/>
      <c r="BB185" s="72">
        <f>AR185+AV185+AZ185</f>
        <v>2287.456000000001</v>
      </c>
      <c r="BC185" s="996"/>
      <c r="BD185" s="433">
        <f>AN185+BB185</f>
        <v>4214.7350000000024</v>
      </c>
      <c r="BE185" s="992"/>
      <c r="BF185" s="557">
        <f>+AX185+AZ185</f>
        <v>8587.618000000004</v>
      </c>
      <c r="BG185" s="1137"/>
      <c r="BH185" s="4234">
        <f t="shared" si="57"/>
        <v>0</v>
      </c>
      <c r="BI185" s="4234">
        <f t="shared" si="58"/>
        <v>0</v>
      </c>
      <c r="BJ185" s="25">
        <f t="shared" si="59"/>
        <v>0</v>
      </c>
      <c r="BK185" s="25">
        <f t="shared" si="60"/>
        <v>0</v>
      </c>
      <c r="BL185" s="25">
        <f t="shared" si="61"/>
        <v>0</v>
      </c>
      <c r="BM185" s="25">
        <f t="shared" si="62"/>
        <v>0</v>
      </c>
    </row>
    <row r="186" spans="2:65" ht="15.75" thickBot="1" x14ac:dyDescent="0.3">
      <c r="B186" s="989" t="s">
        <v>2065</v>
      </c>
      <c r="C186" s="872"/>
      <c r="D186" s="839"/>
      <c r="E186" s="990"/>
      <c r="F186" s="991">
        <v>428.6339999999999</v>
      </c>
      <c r="G186" s="990"/>
      <c r="H186" s="991"/>
      <c r="I186" s="992"/>
      <c r="J186" s="993"/>
      <c r="K186" s="990"/>
      <c r="L186" s="991"/>
      <c r="M186" s="994"/>
      <c r="N186" s="462"/>
      <c r="O186" s="990"/>
      <c r="P186" s="991"/>
      <c r="Q186" s="992"/>
      <c r="R186" s="557"/>
      <c r="S186" s="990"/>
      <c r="T186" s="991"/>
      <c r="U186" s="992"/>
      <c r="V186" s="557"/>
      <c r="W186" s="990"/>
      <c r="X186" s="991">
        <v>342.97399999999999</v>
      </c>
      <c r="Y186" s="995"/>
      <c r="Z186" s="72">
        <f>P186+T186+X186</f>
        <v>342.97399999999999</v>
      </c>
      <c r="AA186" s="996"/>
      <c r="AB186" s="433">
        <f>N186+Z186</f>
        <v>342.97399999999999</v>
      </c>
      <c r="AC186" s="990"/>
      <c r="AD186" s="991">
        <v>297.45400000000001</v>
      </c>
      <c r="AE186" s="992"/>
      <c r="AF186" s="557">
        <f>+AB186+AD186</f>
        <v>640.428</v>
      </c>
      <c r="AG186" s="990"/>
      <c r="AH186" s="991">
        <v>307.17400000000004</v>
      </c>
      <c r="AI186" s="992"/>
      <c r="AJ186" s="557">
        <f>+AF186+AH186</f>
        <v>947.60200000000009</v>
      </c>
      <c r="AK186" s="990"/>
      <c r="AL186" s="991">
        <v>346.28099999999995</v>
      </c>
      <c r="AM186" s="995"/>
      <c r="AN186" s="72">
        <f>AD186+AH186+AL186</f>
        <v>950.90899999999999</v>
      </c>
      <c r="AO186" s="992"/>
      <c r="AP186" s="349">
        <f>+AL186+AJ186</f>
        <v>1293.883</v>
      </c>
      <c r="AQ186" s="990"/>
      <c r="AR186" s="991">
        <v>396.9190000000001</v>
      </c>
      <c r="AS186" s="992"/>
      <c r="AT186" s="557">
        <f t="shared" si="197"/>
        <v>1690.8020000000001</v>
      </c>
      <c r="AU186" s="990"/>
      <c r="AV186" s="991">
        <v>344.40900000000011</v>
      </c>
      <c r="AW186" s="992"/>
      <c r="AX186" s="557">
        <f t="shared" si="198"/>
        <v>2035.2110000000002</v>
      </c>
      <c r="AY186" s="990"/>
      <c r="AZ186" s="991">
        <v>374.89300000000003</v>
      </c>
      <c r="BA186" s="995"/>
      <c r="BB186" s="72">
        <f>AR186+AV186+AZ186</f>
        <v>1116.2210000000002</v>
      </c>
      <c r="BC186" s="996"/>
      <c r="BD186" s="433">
        <f>AN186+BB186</f>
        <v>2067.13</v>
      </c>
      <c r="BE186" s="992"/>
      <c r="BF186" s="557">
        <f>+AX186+AZ186</f>
        <v>2410.1040000000003</v>
      </c>
      <c r="BG186" s="1137"/>
      <c r="BH186" s="4234">
        <f t="shared" si="57"/>
        <v>0</v>
      </c>
      <c r="BI186" s="4234">
        <f t="shared" si="58"/>
        <v>428.63399999999956</v>
      </c>
      <c r="BJ186" s="25">
        <f t="shared" si="59"/>
        <v>0</v>
      </c>
      <c r="BK186" s="25">
        <f t="shared" si="60"/>
        <v>0</v>
      </c>
      <c r="BL186" s="25">
        <f t="shared" si="61"/>
        <v>0</v>
      </c>
      <c r="BM186" s="25">
        <f t="shared" si="62"/>
        <v>0</v>
      </c>
    </row>
    <row r="187" spans="2:65" ht="19.5" thickBot="1" x14ac:dyDescent="0.35">
      <c r="B187" s="829" t="s">
        <v>790</v>
      </c>
      <c r="C187" s="829"/>
      <c r="D187" s="144"/>
      <c r="E187" s="144"/>
      <c r="F187" s="1659"/>
      <c r="G187" s="144"/>
      <c r="H187" s="144"/>
      <c r="I187" s="144"/>
      <c r="J187" s="144"/>
      <c r="K187" s="144"/>
      <c r="L187" s="144"/>
      <c r="M187" s="144"/>
      <c r="N187" s="144"/>
      <c r="O187" s="144"/>
      <c r="Q187" s="144"/>
      <c r="R187" s="144"/>
      <c r="S187" s="144"/>
      <c r="T187" s="144"/>
      <c r="U187" s="144"/>
      <c r="V187" s="144"/>
      <c r="W187" s="144"/>
      <c r="X187" s="144"/>
      <c r="Y187" s="590"/>
      <c r="Z187" s="590"/>
      <c r="AA187" s="590"/>
      <c r="AB187" s="590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590"/>
      <c r="AN187" s="590"/>
      <c r="AO187" s="144"/>
      <c r="AP187" s="144"/>
      <c r="AQ187" s="144"/>
      <c r="AR187" s="1659"/>
      <c r="AS187" s="144"/>
      <c r="AT187" s="144"/>
      <c r="AU187" s="144"/>
      <c r="AV187" s="1659"/>
      <c r="AW187" s="144"/>
      <c r="AX187" s="144"/>
      <c r="AY187" s="144"/>
      <c r="AZ187" s="1659"/>
      <c r="BA187" s="590"/>
      <c r="BB187" s="590"/>
      <c r="BC187" s="590"/>
      <c r="BD187" s="590"/>
      <c r="BE187" s="144"/>
      <c r="BF187" s="144"/>
      <c r="BG187" s="1137"/>
      <c r="BH187" s="4234">
        <f t="shared" si="57"/>
        <v>0</v>
      </c>
      <c r="BI187" s="4234">
        <f t="shared" si="58"/>
        <v>0</v>
      </c>
      <c r="BJ187" s="25">
        <f t="shared" si="59"/>
        <v>0</v>
      </c>
      <c r="BK187" s="25">
        <f t="shared" si="60"/>
        <v>0</v>
      </c>
      <c r="BL187" s="25">
        <f t="shared" si="61"/>
        <v>0</v>
      </c>
      <c r="BM187" s="25">
        <f t="shared" si="62"/>
        <v>0</v>
      </c>
    </row>
    <row r="188" spans="2:65" x14ac:dyDescent="0.25">
      <c r="B188" s="979" t="s">
        <v>791</v>
      </c>
      <c r="C188" s="980"/>
      <c r="D188" s="767" t="s">
        <v>50</v>
      </c>
      <c r="E188" s="1454"/>
      <c r="F188" s="1663">
        <f>+F5</f>
        <v>43425.637000000039</v>
      </c>
      <c r="G188" s="997"/>
      <c r="H188" s="981">
        <f>+H5</f>
        <v>41157.484000000004</v>
      </c>
      <c r="I188" s="998"/>
      <c r="J188" s="983">
        <f>+J5</f>
        <v>84583.121000000043</v>
      </c>
      <c r="K188" s="997"/>
      <c r="L188" s="981">
        <f>+L5</f>
        <v>40197.709999999992</v>
      </c>
      <c r="M188" s="999"/>
      <c r="N188" s="1000">
        <f>+N5</f>
        <v>124780.83100000003</v>
      </c>
      <c r="O188" s="997"/>
      <c r="P188" s="981">
        <f>+P5</f>
        <v>49152.613999999987</v>
      </c>
      <c r="Q188" s="998"/>
      <c r="R188" s="983">
        <f>+R5</f>
        <v>173933.44500000001</v>
      </c>
      <c r="S188" s="997"/>
      <c r="T188" s="981">
        <f>+T5</f>
        <v>40383.741999999998</v>
      </c>
      <c r="U188" s="998"/>
      <c r="V188" s="983">
        <f>+V5</f>
        <v>214317.18700000001</v>
      </c>
      <c r="W188" s="997"/>
      <c r="X188" s="981">
        <f>+X5</f>
        <v>42888.832000000002</v>
      </c>
      <c r="Y188" s="1001"/>
      <c r="Z188" s="1000">
        <f>+Z5</f>
        <v>132425.18799999999</v>
      </c>
      <c r="AA188" s="1002"/>
      <c r="AB188" s="1003">
        <f>+AB5</f>
        <v>257206.01900000003</v>
      </c>
      <c r="AC188" s="997"/>
      <c r="AD188" s="981">
        <f>+AD5</f>
        <v>31300.876999999993</v>
      </c>
      <c r="AE188" s="998"/>
      <c r="AF188" s="983">
        <f>+AF5</f>
        <v>288506.89600000001</v>
      </c>
      <c r="AG188" s="997"/>
      <c r="AH188" s="981">
        <f>+AH5</f>
        <v>36144.469000000005</v>
      </c>
      <c r="AI188" s="998"/>
      <c r="AJ188" s="983">
        <f>+AJ5</f>
        <v>324651.36499999999</v>
      </c>
      <c r="AK188" s="997"/>
      <c r="AL188" s="981">
        <f>+AL5</f>
        <v>46160.167000000023</v>
      </c>
      <c r="AM188" s="1001"/>
      <c r="AN188" s="1000">
        <f>+AN5</f>
        <v>113605.51300000001</v>
      </c>
      <c r="AO188" s="998"/>
      <c r="AP188" s="983">
        <f>+AP5</f>
        <v>370811.53200000001</v>
      </c>
      <c r="AQ188" s="1454"/>
      <c r="AR188" s="1663">
        <f>+AR5</f>
        <v>46542.352999999988</v>
      </c>
      <c r="AS188" s="998"/>
      <c r="AT188" s="983">
        <f>+AT5</f>
        <v>417353.88500000001</v>
      </c>
      <c r="AU188" s="1454"/>
      <c r="AV188" s="1663">
        <f>+AV5</f>
        <v>39136.924000000014</v>
      </c>
      <c r="AW188" s="998"/>
      <c r="AX188" s="983">
        <f>+AX5</f>
        <v>456490.80900000001</v>
      </c>
      <c r="AY188" s="1454"/>
      <c r="AZ188" s="1663">
        <f>+AZ5</f>
        <v>48905.930000000029</v>
      </c>
      <c r="BA188" s="1001"/>
      <c r="BB188" s="1000">
        <f>+BB5</f>
        <v>134585.20700000002</v>
      </c>
      <c r="BC188" s="1002"/>
      <c r="BD188" s="1003">
        <f>+BD5</f>
        <v>248190.72000000003</v>
      </c>
      <c r="BE188" s="998"/>
      <c r="BF188" s="983">
        <f>+BF5</f>
        <v>505396.73900000006</v>
      </c>
      <c r="BG188" s="1137"/>
      <c r="BH188" s="4234">
        <f t="shared" si="57"/>
        <v>0</v>
      </c>
      <c r="BI188" s="4234">
        <f t="shared" si="58"/>
        <v>0</v>
      </c>
      <c r="BJ188" s="25">
        <f t="shared" si="59"/>
        <v>0</v>
      </c>
      <c r="BK188" s="25">
        <f t="shared" si="60"/>
        <v>0</v>
      </c>
      <c r="BL188" s="25">
        <f t="shared" si="61"/>
        <v>0</v>
      </c>
      <c r="BM188" s="25">
        <f t="shared" si="62"/>
        <v>0</v>
      </c>
    </row>
    <row r="189" spans="2:65" ht="30" x14ac:dyDescent="0.25">
      <c r="B189" s="1005" t="s">
        <v>797</v>
      </c>
      <c r="C189" s="830"/>
      <c r="D189" s="148" t="s">
        <v>50</v>
      </c>
      <c r="E189" s="1455"/>
      <c r="F189" s="1664">
        <f>+F182</f>
        <v>690.9200000000435</v>
      </c>
      <c r="G189" s="824"/>
      <c r="H189" s="343">
        <f>+H182</f>
        <v>968.59499999999957</v>
      </c>
      <c r="I189" s="825"/>
      <c r="J189" s="344">
        <f>+J182</f>
        <v>1659.5150000000431</v>
      </c>
      <c r="K189" s="824"/>
      <c r="L189" s="343">
        <f>+L182</f>
        <v>1106.2419999999997</v>
      </c>
      <c r="M189" s="826"/>
      <c r="N189" s="420">
        <f>+N182</f>
        <v>2765.7570000000428</v>
      </c>
      <c r="O189" s="824"/>
      <c r="P189" s="343">
        <f>+P182</f>
        <v>1039.8189999999991</v>
      </c>
      <c r="Q189" s="825"/>
      <c r="R189" s="344">
        <f>+R182</f>
        <v>3805.5760000000419</v>
      </c>
      <c r="S189" s="824"/>
      <c r="T189" s="343">
        <f>+T182</f>
        <v>896.79499999999962</v>
      </c>
      <c r="U189" s="825"/>
      <c r="V189" s="344">
        <f>+V182</f>
        <v>4702.371000000041</v>
      </c>
      <c r="W189" s="824"/>
      <c r="X189" s="343">
        <f>+X182</f>
        <v>667.00699999999927</v>
      </c>
      <c r="Y189" s="827"/>
      <c r="Z189" s="420">
        <f>+Z182</f>
        <v>2603.6209999999978</v>
      </c>
      <c r="AA189" s="828"/>
      <c r="AB189" s="444">
        <f>+AB182</f>
        <v>5369.3780000000406</v>
      </c>
      <c r="AC189" s="824"/>
      <c r="AD189" s="343">
        <f>+AD182</f>
        <v>408.01799999999935</v>
      </c>
      <c r="AE189" s="825"/>
      <c r="AF189" s="344">
        <f>+AF182</f>
        <v>5777.3960000000407</v>
      </c>
      <c r="AG189" s="824"/>
      <c r="AH189" s="343">
        <f>+AH182</f>
        <v>517.21500000000083</v>
      </c>
      <c r="AI189" s="825"/>
      <c r="AJ189" s="344">
        <f>+AJ182</f>
        <v>6294.6110000000408</v>
      </c>
      <c r="AK189" s="824"/>
      <c r="AL189" s="343">
        <f>+AL182</f>
        <v>873.29200000000094</v>
      </c>
      <c r="AM189" s="827"/>
      <c r="AN189" s="420">
        <f>+AN182</f>
        <v>1798.5250000000012</v>
      </c>
      <c r="AO189" s="825"/>
      <c r="AP189" s="344">
        <f>+AP182</f>
        <v>7167.9030000000421</v>
      </c>
      <c r="AQ189" s="1455"/>
      <c r="AR189" s="1664">
        <f>+AR182</f>
        <v>722.11200000000156</v>
      </c>
      <c r="AS189" s="825"/>
      <c r="AT189" s="344">
        <f>+AT182</f>
        <v>7890.015000000044</v>
      </c>
      <c r="AU189" s="1455"/>
      <c r="AV189" s="1664">
        <f>+AV182</f>
        <v>657.28300000000115</v>
      </c>
      <c r="AW189" s="825"/>
      <c r="AX189" s="344">
        <f>+AX182</f>
        <v>8547.2980000000425</v>
      </c>
      <c r="AY189" s="1455"/>
      <c r="AZ189" s="1664">
        <f>+AZ182</f>
        <v>910.43500000004155</v>
      </c>
      <c r="BA189" s="827"/>
      <c r="BB189" s="420">
        <f>+BB182</f>
        <v>2289.830000000044</v>
      </c>
      <c r="BC189" s="828"/>
      <c r="BD189" s="444">
        <f>+BD182</f>
        <v>4088.3550000000455</v>
      </c>
      <c r="BE189" s="825"/>
      <c r="BF189" s="344">
        <f>+BF182</f>
        <v>9457.7330000000838</v>
      </c>
      <c r="BG189" s="1137"/>
      <c r="BH189" s="4234">
        <f t="shared" si="57"/>
        <v>0</v>
      </c>
      <c r="BI189" s="4234">
        <f t="shared" si="58"/>
        <v>0</v>
      </c>
      <c r="BJ189" s="25">
        <f t="shared" si="59"/>
        <v>0</v>
      </c>
      <c r="BK189" s="25">
        <f t="shared" si="60"/>
        <v>0</v>
      </c>
      <c r="BL189" s="25">
        <f t="shared" si="61"/>
        <v>0</v>
      </c>
      <c r="BM189" s="25">
        <f t="shared" si="62"/>
        <v>0</v>
      </c>
    </row>
    <row r="190" spans="2:65" x14ac:dyDescent="0.25">
      <c r="B190" s="987" t="s">
        <v>768</v>
      </c>
      <c r="C190" s="250"/>
      <c r="D190" s="148" t="s">
        <v>50</v>
      </c>
      <c r="E190" s="1455"/>
      <c r="F190" s="1664">
        <f>+F185</f>
        <v>738.23300000000017</v>
      </c>
      <c r="G190" s="824"/>
      <c r="H190" s="343">
        <f>+H185</f>
        <v>699.73900000000003</v>
      </c>
      <c r="I190" s="825"/>
      <c r="J190" s="344">
        <f>+J185</f>
        <v>1437.9720000000002</v>
      </c>
      <c r="K190" s="824"/>
      <c r="L190" s="343">
        <f>+L185</f>
        <v>683.41800000000012</v>
      </c>
      <c r="M190" s="826"/>
      <c r="N190" s="420">
        <f>+N185</f>
        <v>2121.3900000000003</v>
      </c>
      <c r="O190" s="824"/>
      <c r="P190" s="343">
        <f>+P185</f>
        <v>835.69500000000016</v>
      </c>
      <c r="Q190" s="825"/>
      <c r="R190" s="344">
        <f>+R185</f>
        <v>2957.0850000000005</v>
      </c>
      <c r="S190" s="824"/>
      <c r="T190" s="343">
        <f>+T185</f>
        <v>686.59700000000021</v>
      </c>
      <c r="U190" s="825"/>
      <c r="V190" s="344">
        <f>+V185</f>
        <v>3643.6820000000007</v>
      </c>
      <c r="W190" s="824"/>
      <c r="X190" s="343">
        <f>+X185</f>
        <v>729.2010000000007</v>
      </c>
      <c r="Y190" s="827"/>
      <c r="Z190" s="420">
        <f>+Z185</f>
        <v>2251.4930000000013</v>
      </c>
      <c r="AA190" s="828"/>
      <c r="AB190" s="444">
        <f>+AB185</f>
        <v>4372.8830000000016</v>
      </c>
      <c r="AC190" s="824"/>
      <c r="AD190" s="343">
        <f>+AD185</f>
        <v>532.15500000000009</v>
      </c>
      <c r="AE190" s="825"/>
      <c r="AF190" s="344">
        <f>+AF185</f>
        <v>4905.0380000000014</v>
      </c>
      <c r="AG190" s="824"/>
      <c r="AH190" s="343">
        <f>+AH185</f>
        <v>613.58000000000038</v>
      </c>
      <c r="AI190" s="825"/>
      <c r="AJ190" s="344">
        <f>+AJ185</f>
        <v>5518.6180000000022</v>
      </c>
      <c r="AK190" s="824"/>
      <c r="AL190" s="343">
        <f>+AL185</f>
        <v>781.54400000000044</v>
      </c>
      <c r="AM190" s="827"/>
      <c r="AN190" s="420">
        <f>+AN185</f>
        <v>1927.2790000000009</v>
      </c>
      <c r="AO190" s="825"/>
      <c r="AP190" s="344">
        <f>+AP185</f>
        <v>6300.162000000003</v>
      </c>
      <c r="AQ190" s="1455"/>
      <c r="AR190" s="1664">
        <f>+AR185</f>
        <v>790.72200000000032</v>
      </c>
      <c r="AS190" s="825"/>
      <c r="AT190" s="344">
        <f>+AT185</f>
        <v>7090.8840000000037</v>
      </c>
      <c r="AU190" s="1455"/>
      <c r="AV190" s="1664">
        <f>+AV185</f>
        <v>665.33200000000033</v>
      </c>
      <c r="AW190" s="825"/>
      <c r="AX190" s="344">
        <f>+AX185</f>
        <v>7756.216000000004</v>
      </c>
      <c r="AY190" s="1455"/>
      <c r="AZ190" s="1664">
        <f>+AZ185</f>
        <v>831.40200000000027</v>
      </c>
      <c r="BA190" s="827"/>
      <c r="BB190" s="420">
        <f>+BB185</f>
        <v>2287.456000000001</v>
      </c>
      <c r="BC190" s="828"/>
      <c r="BD190" s="444">
        <f>+BD185</f>
        <v>4214.7350000000024</v>
      </c>
      <c r="BE190" s="825"/>
      <c r="BF190" s="344">
        <f>+BF185</f>
        <v>8587.618000000004</v>
      </c>
      <c r="BG190" s="1137"/>
      <c r="BH190" s="4234">
        <f t="shared" si="57"/>
        <v>0</v>
      </c>
      <c r="BI190" s="4234">
        <f t="shared" si="58"/>
        <v>0</v>
      </c>
      <c r="BJ190" s="25">
        <f t="shared" si="59"/>
        <v>0</v>
      </c>
      <c r="BK190" s="25">
        <f t="shared" si="60"/>
        <v>0</v>
      </c>
      <c r="BL190" s="25">
        <f t="shared" si="61"/>
        <v>0</v>
      </c>
      <c r="BM190" s="25">
        <f t="shared" si="62"/>
        <v>0</v>
      </c>
    </row>
    <row r="191" spans="2:65" x14ac:dyDescent="0.25">
      <c r="B191" s="987" t="s">
        <v>795</v>
      </c>
      <c r="C191" s="250"/>
      <c r="D191" s="148" t="s">
        <v>50</v>
      </c>
      <c r="E191" s="1455"/>
      <c r="F191" s="1664">
        <f>+F158</f>
        <v>41567.849999999984</v>
      </c>
      <c r="G191" s="824"/>
      <c r="H191" s="343">
        <f>+H158</f>
        <v>39489.149999999994</v>
      </c>
      <c r="I191" s="825"/>
      <c r="J191" s="344">
        <f>+J158</f>
        <v>81056.999999999971</v>
      </c>
      <c r="K191" s="824"/>
      <c r="L191" s="343">
        <f>+L158</f>
        <v>38408.049999999996</v>
      </c>
      <c r="M191" s="826"/>
      <c r="N191" s="420">
        <f>+N158</f>
        <v>119465.04999999999</v>
      </c>
      <c r="O191" s="824"/>
      <c r="P191" s="343">
        <f>+P158</f>
        <v>47277.099999999991</v>
      </c>
      <c r="Q191" s="825"/>
      <c r="R191" s="344">
        <f>+R158</f>
        <v>166742.14999999991</v>
      </c>
      <c r="S191" s="824"/>
      <c r="T191" s="343">
        <f>+T158</f>
        <v>38800.350000000006</v>
      </c>
      <c r="U191" s="825"/>
      <c r="V191" s="344">
        <f>+V158</f>
        <v>205542.50000000006</v>
      </c>
      <c r="W191" s="824"/>
      <c r="X191" s="343">
        <f>+X158</f>
        <v>41149.650000000016</v>
      </c>
      <c r="Y191" s="827"/>
      <c r="Z191" s="420">
        <f>+Z158</f>
        <v>127227.10000000003</v>
      </c>
      <c r="AA191" s="828"/>
      <c r="AB191" s="444">
        <f>+AB158</f>
        <v>246692.14999999994</v>
      </c>
      <c r="AC191" s="824"/>
      <c r="AD191" s="343">
        <f>+AD158</f>
        <v>30063.250000000004</v>
      </c>
      <c r="AE191" s="825"/>
      <c r="AF191" s="344">
        <f>+AF158</f>
        <v>276755.40000000008</v>
      </c>
      <c r="AG191" s="824"/>
      <c r="AH191" s="343">
        <f>+AH158</f>
        <v>34706.500000000007</v>
      </c>
      <c r="AI191" s="825"/>
      <c r="AJ191" s="344">
        <f>+AJ158</f>
        <v>311461.9000000002</v>
      </c>
      <c r="AK191" s="824"/>
      <c r="AL191" s="343">
        <f>+AL158</f>
        <v>44159.050000000017</v>
      </c>
      <c r="AM191" s="827"/>
      <c r="AN191" s="420">
        <f>+AN158</f>
        <v>108928.80000000005</v>
      </c>
      <c r="AO191" s="825"/>
      <c r="AP191" s="344">
        <f>+AP158</f>
        <v>355620.95000000013</v>
      </c>
      <c r="AQ191" s="1455"/>
      <c r="AR191" s="1664">
        <f>+AR158</f>
        <v>44632.60000000002</v>
      </c>
      <c r="AS191" s="825"/>
      <c r="AT191" s="344">
        <f>+AT158</f>
        <v>400253.55</v>
      </c>
      <c r="AU191" s="1455"/>
      <c r="AV191" s="1664">
        <f>+AV158</f>
        <v>37469.900000000023</v>
      </c>
      <c r="AW191" s="825"/>
      <c r="AX191" s="344">
        <f>+AX158</f>
        <v>437723.45</v>
      </c>
      <c r="AY191" s="1455"/>
      <c r="AZ191" s="1664">
        <f>+AZ158</f>
        <v>46789.200000000004</v>
      </c>
      <c r="BA191" s="827"/>
      <c r="BB191" s="420">
        <f>+BB158</f>
        <v>128891.70000000003</v>
      </c>
      <c r="BC191" s="828"/>
      <c r="BD191" s="444">
        <f>+BD158</f>
        <v>237820.50000000003</v>
      </c>
      <c r="BE191" s="825"/>
      <c r="BF191" s="344">
        <f>+BF158</f>
        <v>484512.64999999997</v>
      </c>
      <c r="BG191" s="1137"/>
      <c r="BH191" s="4234">
        <f t="shared" si="57"/>
        <v>0</v>
      </c>
      <c r="BI191" s="4234">
        <f t="shared" si="58"/>
        <v>0</v>
      </c>
      <c r="BJ191" s="25">
        <f t="shared" si="59"/>
        <v>0</v>
      </c>
      <c r="BK191" s="25">
        <f t="shared" si="60"/>
        <v>0</v>
      </c>
      <c r="BL191" s="25">
        <f t="shared" si="61"/>
        <v>0</v>
      </c>
      <c r="BM191" s="25">
        <f t="shared" si="62"/>
        <v>0</v>
      </c>
    </row>
    <row r="192" spans="2:65" x14ac:dyDescent="0.25">
      <c r="B192" s="987" t="s">
        <v>792</v>
      </c>
      <c r="C192" s="250"/>
      <c r="D192" s="148" t="s">
        <v>50</v>
      </c>
      <c r="E192" s="1455"/>
      <c r="F192" s="1664">
        <f>+F160</f>
        <v>34.849999999999994</v>
      </c>
      <c r="G192" s="824"/>
      <c r="H192" s="343">
        <f>+H160</f>
        <v>137.35</v>
      </c>
      <c r="I192" s="825"/>
      <c r="J192" s="344">
        <f>+J160</f>
        <v>172.20000000000002</v>
      </c>
      <c r="K192" s="824"/>
      <c r="L192" s="343">
        <f>+L160</f>
        <v>116.69999999999999</v>
      </c>
      <c r="M192" s="826"/>
      <c r="N192" s="420">
        <f>+N160</f>
        <v>288.90000000000003</v>
      </c>
      <c r="O192" s="824"/>
      <c r="P192" s="343">
        <f>+P160</f>
        <v>213.20000000000002</v>
      </c>
      <c r="Q192" s="825"/>
      <c r="R192" s="344">
        <f>+R160</f>
        <v>502.09999999999991</v>
      </c>
      <c r="S192" s="824"/>
      <c r="T192" s="343">
        <f>+T160</f>
        <v>82</v>
      </c>
      <c r="U192" s="825"/>
      <c r="V192" s="344">
        <f>+V160</f>
        <v>584.09999999999991</v>
      </c>
      <c r="W192" s="824"/>
      <c r="X192" s="343">
        <f>+X160</f>
        <v>143.50000000000003</v>
      </c>
      <c r="Y192" s="827"/>
      <c r="Z192" s="420">
        <f>+Z160</f>
        <v>438.7</v>
      </c>
      <c r="AA192" s="828"/>
      <c r="AB192" s="444">
        <f>+AB160</f>
        <v>727.59999999999991</v>
      </c>
      <c r="AC192" s="824"/>
      <c r="AD192" s="343">
        <f>+AD160</f>
        <v>28.7</v>
      </c>
      <c r="AE192" s="825"/>
      <c r="AF192" s="344">
        <f>+AF160</f>
        <v>756.3</v>
      </c>
      <c r="AG192" s="824"/>
      <c r="AH192" s="343">
        <f>+AH160</f>
        <v>92.25</v>
      </c>
      <c r="AI192" s="825"/>
      <c r="AJ192" s="344">
        <f>+AJ160</f>
        <v>848.55</v>
      </c>
      <c r="AK192" s="824"/>
      <c r="AL192" s="343">
        <f>+AL160</f>
        <v>151.70000000000002</v>
      </c>
      <c r="AM192" s="827"/>
      <c r="AN192" s="420">
        <f>+AN160</f>
        <v>272.64999999999998</v>
      </c>
      <c r="AO192" s="825"/>
      <c r="AP192" s="344">
        <f>+AP160</f>
        <v>1000.25</v>
      </c>
      <c r="AQ192" s="1455"/>
      <c r="AR192" s="1664">
        <f>+AR160</f>
        <v>43.050000000000004</v>
      </c>
      <c r="AS192" s="825"/>
      <c r="AT192" s="344">
        <f>+AT160</f>
        <v>1043.3</v>
      </c>
      <c r="AU192" s="1455"/>
      <c r="AV192" s="1664">
        <f>+AV160</f>
        <v>49.199999999999989</v>
      </c>
      <c r="AW192" s="825"/>
      <c r="AX192" s="344">
        <f>+AX160</f>
        <v>1092.5</v>
      </c>
      <c r="AY192" s="1455"/>
      <c r="AZ192" s="1664">
        <f>+AZ160</f>
        <v>96.35</v>
      </c>
      <c r="BA192" s="827"/>
      <c r="BB192" s="420">
        <f>+BB160</f>
        <v>188.60000000000002</v>
      </c>
      <c r="BC192" s="828"/>
      <c r="BD192" s="444">
        <f>+BD160</f>
        <v>461.25000000000006</v>
      </c>
      <c r="BE192" s="825"/>
      <c r="BF192" s="344">
        <f>+BF160</f>
        <v>1188.8499999999999</v>
      </c>
      <c r="BG192" s="1137"/>
      <c r="BH192" s="4234">
        <f t="shared" si="57"/>
        <v>0</v>
      </c>
      <c r="BI192" s="4234">
        <f t="shared" si="58"/>
        <v>0</v>
      </c>
      <c r="BJ192" s="25">
        <f t="shared" si="59"/>
        <v>0</v>
      </c>
      <c r="BK192" s="25">
        <f t="shared" si="60"/>
        <v>0</v>
      </c>
      <c r="BL192" s="25">
        <f t="shared" si="61"/>
        <v>0</v>
      </c>
      <c r="BM192" s="25">
        <f t="shared" si="62"/>
        <v>0</v>
      </c>
    </row>
    <row r="193" spans="2:65" ht="15.75" thickBot="1" x14ac:dyDescent="0.3">
      <c r="B193" s="989" t="s">
        <v>793</v>
      </c>
      <c r="C193" s="872"/>
      <c r="D193" s="839" t="s">
        <v>50</v>
      </c>
      <c r="E193" s="1453"/>
      <c r="F193" s="1665">
        <f>+F191-F192</f>
        <v>41532.999999999985</v>
      </c>
      <c r="G193" s="990"/>
      <c r="H193" s="991">
        <f>+H191-H192</f>
        <v>39351.799999999996</v>
      </c>
      <c r="I193" s="992"/>
      <c r="J193" s="993">
        <f>+J191-J192</f>
        <v>80884.799999999974</v>
      </c>
      <c r="K193" s="990"/>
      <c r="L193" s="991">
        <f>+L191-L192</f>
        <v>38291.35</v>
      </c>
      <c r="M193" s="994"/>
      <c r="N193" s="1006">
        <f>+N191-N192</f>
        <v>119176.15</v>
      </c>
      <c r="O193" s="990"/>
      <c r="P193" s="991">
        <f>+P191-P192</f>
        <v>47063.899999999994</v>
      </c>
      <c r="Q193" s="992"/>
      <c r="R193" s="993">
        <f>+R191-R192</f>
        <v>166240.0499999999</v>
      </c>
      <c r="S193" s="990"/>
      <c r="T193" s="991">
        <f>+T191-T192</f>
        <v>38718.350000000006</v>
      </c>
      <c r="U193" s="992"/>
      <c r="V193" s="993">
        <f>+V191-V192</f>
        <v>204958.40000000005</v>
      </c>
      <c r="W193" s="990"/>
      <c r="X193" s="991">
        <f>+X191-X192</f>
        <v>41006.150000000016</v>
      </c>
      <c r="Y193" s="995"/>
      <c r="Z193" s="1006">
        <f>+Z191-Z192</f>
        <v>126788.40000000004</v>
      </c>
      <c r="AA193" s="996"/>
      <c r="AB193" s="1007">
        <f>+AB191-AB192</f>
        <v>245964.54999999993</v>
      </c>
      <c r="AC193" s="990"/>
      <c r="AD193" s="991">
        <f>+AD191-AD192</f>
        <v>30034.550000000003</v>
      </c>
      <c r="AE193" s="992"/>
      <c r="AF193" s="993">
        <f>+AF191-AF192</f>
        <v>275999.10000000009</v>
      </c>
      <c r="AG193" s="990"/>
      <c r="AH193" s="991">
        <f>+AH191-AH192</f>
        <v>34614.250000000007</v>
      </c>
      <c r="AI193" s="992"/>
      <c r="AJ193" s="993">
        <f>+AJ191-AJ192</f>
        <v>310613.35000000021</v>
      </c>
      <c r="AK193" s="990"/>
      <c r="AL193" s="991">
        <f>+AL191-AL192</f>
        <v>44007.35000000002</v>
      </c>
      <c r="AM193" s="995"/>
      <c r="AN193" s="1006">
        <f>+AN191-AN192</f>
        <v>108656.15000000005</v>
      </c>
      <c r="AO193" s="992"/>
      <c r="AP193" s="993">
        <f>+AP191-AP192</f>
        <v>354620.70000000013</v>
      </c>
      <c r="AQ193" s="1453"/>
      <c r="AR193" s="1665">
        <f>+AR191-AR192</f>
        <v>44589.550000000017</v>
      </c>
      <c r="AS193" s="992"/>
      <c r="AT193" s="993">
        <f>+AT191-AT192</f>
        <v>399210.25</v>
      </c>
      <c r="AU193" s="1453"/>
      <c r="AV193" s="1665">
        <f>+AV191-AV192</f>
        <v>37420.700000000026</v>
      </c>
      <c r="AW193" s="992"/>
      <c r="AX193" s="993">
        <f>+AX191-AX192</f>
        <v>436630.95</v>
      </c>
      <c r="AY193" s="1453"/>
      <c r="AZ193" s="1665">
        <f>+AZ191-AZ192</f>
        <v>46692.850000000006</v>
      </c>
      <c r="BA193" s="995"/>
      <c r="BB193" s="1006">
        <f>+BB191-BB192</f>
        <v>128703.10000000002</v>
      </c>
      <c r="BC193" s="996"/>
      <c r="BD193" s="1007">
        <f>+BD191-BD192</f>
        <v>237359.25000000003</v>
      </c>
      <c r="BE193" s="992"/>
      <c r="BF193" s="993">
        <f>+BF191-BF192</f>
        <v>483323.8</v>
      </c>
      <c r="BG193" s="1137"/>
      <c r="BH193" s="4234">
        <f t="shared" si="57"/>
        <v>0</v>
      </c>
      <c r="BI193" s="4234">
        <f t="shared" si="58"/>
        <v>0</v>
      </c>
      <c r="BJ193" s="25">
        <f t="shared" si="59"/>
        <v>0</v>
      </c>
      <c r="BK193" s="25">
        <f t="shared" si="60"/>
        <v>0</v>
      </c>
      <c r="BL193" s="25">
        <f t="shared" si="61"/>
        <v>0</v>
      </c>
      <c r="BM193" s="25">
        <f t="shared" si="62"/>
        <v>0</v>
      </c>
    </row>
    <row r="194" spans="2:65" x14ac:dyDescent="0.25"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Q194" s="144"/>
      <c r="R194" s="144"/>
      <c r="S194" s="144"/>
      <c r="T194" s="144"/>
      <c r="U194" s="144"/>
      <c r="V194" s="144"/>
      <c r="W194" s="144"/>
      <c r="X194" s="144"/>
      <c r="Y194" s="590"/>
      <c r="Z194" s="590"/>
      <c r="AA194" s="590"/>
      <c r="AB194" s="590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590"/>
      <c r="AN194" s="590"/>
      <c r="AO194" s="144"/>
      <c r="AP194" s="144"/>
      <c r="AQ194" s="144"/>
      <c r="AR194" s="1659"/>
      <c r="AS194" s="144"/>
      <c r="AT194" s="144"/>
      <c r="AU194" s="144"/>
      <c r="AV194" s="1659"/>
      <c r="AW194" s="144"/>
      <c r="AX194" s="144"/>
      <c r="AY194" s="144"/>
      <c r="AZ194" s="1659"/>
      <c r="BA194" s="590"/>
      <c r="BB194" s="590"/>
      <c r="BC194" s="590"/>
      <c r="BD194" s="590"/>
      <c r="BE194" s="144"/>
      <c r="BF194" s="144"/>
      <c r="BG194" s="1137"/>
      <c r="BH194" s="4234">
        <f t="shared" si="57"/>
        <v>0</v>
      </c>
      <c r="BI194" s="4234">
        <f t="shared" si="58"/>
        <v>0</v>
      </c>
      <c r="BJ194" s="25">
        <f t="shared" si="59"/>
        <v>0</v>
      </c>
      <c r="BK194" s="25">
        <f t="shared" si="60"/>
        <v>0</v>
      </c>
      <c r="BL194" s="25">
        <f t="shared" si="61"/>
        <v>0</v>
      </c>
      <c r="BM194" s="25">
        <f t="shared" si="62"/>
        <v>0</v>
      </c>
    </row>
    <row r="195" spans="2:65" ht="15.75" thickBot="1" x14ac:dyDescent="0.3">
      <c r="B195" s="139"/>
      <c r="C195" s="139"/>
      <c r="D195" s="139"/>
      <c r="E195" s="139"/>
      <c r="F195" s="139"/>
      <c r="G195" s="139"/>
      <c r="H195" s="144"/>
      <c r="I195" s="192"/>
      <c r="J195" s="144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25"/>
      <c r="AP195" s="25"/>
      <c r="AQ195" s="192"/>
      <c r="AR195" s="1659"/>
      <c r="AS195" s="25"/>
      <c r="AT195" s="25"/>
      <c r="AU195" s="192"/>
      <c r="AV195" s="1659"/>
      <c r="AW195" s="25"/>
      <c r="AX195" s="25"/>
      <c r="AY195" s="192"/>
      <c r="AZ195" s="1659"/>
      <c r="BA195" s="139"/>
      <c r="BB195" s="139"/>
      <c r="BC195" s="139"/>
      <c r="BD195" s="139"/>
      <c r="BE195" s="25"/>
      <c r="BF195" s="25"/>
      <c r="BG195" s="1137"/>
      <c r="BH195" s="4234">
        <f t="shared" si="57"/>
        <v>0</v>
      </c>
      <c r="BI195" s="4234">
        <f t="shared" si="58"/>
        <v>0</v>
      </c>
      <c r="BJ195" s="25">
        <f t="shared" si="59"/>
        <v>0</v>
      </c>
      <c r="BK195" s="25">
        <f t="shared" si="60"/>
        <v>0</v>
      </c>
      <c r="BL195" s="25">
        <f t="shared" si="61"/>
        <v>0</v>
      </c>
      <c r="BM195" s="25">
        <f t="shared" si="62"/>
        <v>0</v>
      </c>
    </row>
    <row r="196" spans="2:65" ht="15.75" thickBot="1" x14ac:dyDescent="0.3">
      <c r="B196" s="610" t="s">
        <v>1119</v>
      </c>
      <c r="C196" s="415"/>
      <c r="D196" s="415"/>
      <c r="E196" s="415"/>
      <c r="F196" s="3116">
        <f>+F158</f>
        <v>41567.849999999984</v>
      </c>
      <c r="G196" s="415"/>
      <c r="H196" s="3116">
        <f>+H158</f>
        <v>39489.149999999994</v>
      </c>
      <c r="I196" s="1132"/>
      <c r="J196" s="373">
        <f>+J158</f>
        <v>81056.999999999971</v>
      </c>
      <c r="K196" s="415"/>
      <c r="L196" s="3116">
        <f>+L158</f>
        <v>38408.049999999996</v>
      </c>
      <c r="M196" s="585"/>
      <c r="N196" s="420">
        <f>+N158</f>
        <v>119465.04999999999</v>
      </c>
      <c r="O196" s="415"/>
      <c r="P196" s="3116">
        <f>+P158</f>
        <v>47277.099999999991</v>
      </c>
      <c r="Q196" s="584"/>
      <c r="R196" s="344">
        <f>+R158</f>
        <v>166742.14999999991</v>
      </c>
      <c r="S196" s="415"/>
      <c r="T196" s="3116">
        <f>+T158</f>
        <v>38800.350000000006</v>
      </c>
      <c r="U196" s="584"/>
      <c r="V196" s="344">
        <f>+V158</f>
        <v>205542.50000000006</v>
      </c>
      <c r="W196" s="415"/>
      <c r="X196" s="3116">
        <f>+X158</f>
        <v>41149.650000000016</v>
      </c>
      <c r="Y196" s="1008"/>
      <c r="Z196" s="420">
        <f>+Z158</f>
        <v>127227.10000000003</v>
      </c>
      <c r="AA196" s="1009"/>
      <c r="AB196" s="444">
        <f>+AB158</f>
        <v>246692.14999999994</v>
      </c>
      <c r="AC196" s="415"/>
      <c r="AD196" s="3116">
        <f>+AD158</f>
        <v>30063.250000000004</v>
      </c>
      <c r="AE196" s="344"/>
      <c r="AF196" s="344">
        <f>+AF158</f>
        <v>276755.40000000008</v>
      </c>
      <c r="AG196" s="415"/>
      <c r="AH196" s="3116">
        <f>+AH158</f>
        <v>34706.500000000007</v>
      </c>
      <c r="AI196" s="344"/>
      <c r="AJ196" s="344">
        <f>+AJ158</f>
        <v>311461.9000000002</v>
      </c>
      <c r="AK196" s="415"/>
      <c r="AL196" s="3116">
        <f>+AL158</f>
        <v>44159.050000000017</v>
      </c>
      <c r="AM196" s="1008"/>
      <c r="AN196" s="420">
        <f>+AN158</f>
        <v>108928.80000000005</v>
      </c>
      <c r="AO196" s="344"/>
      <c r="AP196" s="344">
        <f>+AP158</f>
        <v>355620.95000000013</v>
      </c>
      <c r="AQ196" s="1132"/>
      <c r="AR196" s="1664">
        <f>+AR158</f>
        <v>44632.60000000002</v>
      </c>
      <c r="AS196" s="344"/>
      <c r="AT196" s="344">
        <f>+AT158</f>
        <v>400253.55</v>
      </c>
      <c r="AU196" s="1132"/>
      <c r="AV196" s="1664">
        <f>+AV158</f>
        <v>37469.900000000023</v>
      </c>
      <c r="AW196" s="344"/>
      <c r="AX196" s="344">
        <f>+AX158</f>
        <v>437723.45</v>
      </c>
      <c r="AY196" s="1132"/>
      <c r="AZ196" s="1664">
        <f>+AZ158</f>
        <v>46789.200000000004</v>
      </c>
      <c r="BA196" s="1008"/>
      <c r="BB196" s="420">
        <f>+BB158</f>
        <v>128891.70000000003</v>
      </c>
      <c r="BC196" s="1009"/>
      <c r="BD196" s="444">
        <f>+BD158</f>
        <v>237820.50000000003</v>
      </c>
      <c r="BE196" s="344"/>
      <c r="BF196" s="344">
        <f>+BF158</f>
        <v>484512.64999999997</v>
      </c>
      <c r="BG196" s="1137"/>
      <c r="BH196" s="4234">
        <f t="shared" si="57"/>
        <v>0</v>
      </c>
      <c r="BI196" s="4234">
        <f t="shared" si="58"/>
        <v>0</v>
      </c>
      <c r="BJ196" s="25">
        <f t="shared" si="59"/>
        <v>0</v>
      </c>
      <c r="BK196" s="25">
        <f t="shared" si="60"/>
        <v>0</v>
      </c>
      <c r="BL196" s="25">
        <f t="shared" si="61"/>
        <v>0</v>
      </c>
      <c r="BM196" s="25">
        <f t="shared" si="62"/>
        <v>0</v>
      </c>
    </row>
    <row r="197" spans="2:65" x14ac:dyDescent="0.25">
      <c r="E197"/>
      <c r="F197" s="4487"/>
      <c r="G197" s="4487"/>
      <c r="H197" s="4487"/>
      <c r="I197" s="2692"/>
      <c r="J197" s="2692"/>
      <c r="K197" s="4487"/>
      <c r="L197" s="4487"/>
      <c r="M197" s="2692"/>
      <c r="N197" s="2692"/>
      <c r="O197" s="4487"/>
      <c r="P197" s="4487"/>
      <c r="Q197" s="2692"/>
      <c r="R197" s="2692"/>
      <c r="S197" s="4487"/>
      <c r="T197" s="4487"/>
      <c r="U197" s="4233"/>
      <c r="V197" s="4233"/>
      <c r="W197" s="4487"/>
      <c r="X197" s="4487"/>
      <c r="Y197" s="2692"/>
      <c r="Z197" s="2692"/>
      <c r="AA197" s="2692"/>
      <c r="AB197" s="2692"/>
      <c r="AC197" s="4487"/>
      <c r="AD197" s="4487"/>
      <c r="AG197" s="4487"/>
      <c r="AH197" s="4487"/>
      <c r="AI197" s="4487"/>
      <c r="AJ197" s="4487"/>
      <c r="AK197" s="4487"/>
      <c r="AL197" s="4487"/>
      <c r="AM197" s="2551"/>
      <c r="AN197" s="2551"/>
      <c r="AO197" s="2551"/>
      <c r="AP197" s="2551"/>
      <c r="AQ197" s="4487"/>
      <c r="AR197" s="4487"/>
      <c r="AU197" s="4487"/>
      <c r="AV197" s="4487"/>
      <c r="AW197" s="4487"/>
      <c r="AX197" s="4487"/>
      <c r="AY197" s="4487"/>
      <c r="AZ197" s="4487"/>
      <c r="BE197" s="25"/>
      <c r="BF197" s="25"/>
      <c r="BG197" s="1137"/>
      <c r="BH197" s="4234">
        <f t="shared" si="57"/>
        <v>0</v>
      </c>
      <c r="BI197" s="4234">
        <f t="shared" si="58"/>
        <v>0</v>
      </c>
      <c r="BJ197" s="25">
        <f t="shared" si="59"/>
        <v>0</v>
      </c>
      <c r="BK197" s="25">
        <f t="shared" si="60"/>
        <v>0</v>
      </c>
      <c r="BL197" s="25">
        <f t="shared" si="61"/>
        <v>0</v>
      </c>
      <c r="BM197" s="25">
        <f t="shared" si="62"/>
        <v>0</v>
      </c>
    </row>
    <row r="198" spans="2:65" x14ac:dyDescent="0.25">
      <c r="E198"/>
      <c r="F198" s="4487"/>
      <c r="G198" s="4487"/>
      <c r="H198" s="4487"/>
      <c r="K198" s="4487"/>
      <c r="L198" s="4487"/>
      <c r="O198" s="4487"/>
      <c r="P198" s="4487"/>
      <c r="S198" s="4487"/>
      <c r="T198" s="4487"/>
      <c r="U198" s="84"/>
      <c r="V198" s="90"/>
      <c r="W198" s="4487"/>
      <c r="X198" s="4487"/>
      <c r="AC198" s="4487"/>
      <c r="AD198" s="4487"/>
      <c r="AG198" s="4487"/>
      <c r="AH198" s="4487"/>
      <c r="AI198" s="4487"/>
      <c r="AJ198" s="4487"/>
      <c r="AK198" s="4487"/>
      <c r="AL198" s="4487"/>
      <c r="AM198" s="2551"/>
      <c r="AN198" s="2551"/>
      <c r="AO198" s="2551"/>
      <c r="AP198" s="2551"/>
      <c r="AQ198" s="4487"/>
      <c r="AR198" s="4487"/>
      <c r="AU198" s="4487"/>
      <c r="AV198" s="4487"/>
      <c r="AW198" s="4487"/>
      <c r="AX198" s="4487"/>
      <c r="AY198" s="4487"/>
      <c r="AZ198" s="4487"/>
      <c r="BE198" s="25"/>
      <c r="BF198" s="25"/>
      <c r="BG198" s="1137"/>
      <c r="BH198" s="4234">
        <f t="shared" ref="BH198:BH203" si="199">E198+G198+K198+O198+S198+W198+AC198+AG198+AK198+AQ198+AU198+AY198-BE198</f>
        <v>0</v>
      </c>
      <c r="BI198" s="4234">
        <f t="shared" ref="BI198:BI203" si="200">F198+H198+L198+P198+T198+X198+AD198+AH198+AL198+AR198+AV198+AZ198-BF198</f>
        <v>0</v>
      </c>
      <c r="BJ198" s="25">
        <f t="shared" ref="BJ198:BJ203" si="201">AY198+AU198+AQ198+AK198+AG198+AC198-BC198</f>
        <v>0</v>
      </c>
      <c r="BK198" s="25">
        <f t="shared" ref="BK198:BK203" si="202">AZ198+AV198+AR198+AL198+AH198+AD198-BD198</f>
        <v>0</v>
      </c>
      <c r="BL198" s="25">
        <f t="shared" ref="BL198:BL203" si="203">AQ198+AU198+AY198-BA198</f>
        <v>0</v>
      </c>
      <c r="BM198" s="25">
        <f t="shared" ref="BM198:BM203" si="204">AR198+AV198+AZ198-BB198</f>
        <v>0</v>
      </c>
    </row>
    <row r="199" spans="2:65" x14ac:dyDescent="0.25">
      <c r="B199" s="1540" t="s">
        <v>1249</v>
      </c>
      <c r="C199" s="1540"/>
      <c r="D199" s="1540"/>
      <c r="E199" s="1540"/>
      <c r="F199" s="1541">
        <f>+SUM(F7:F122)+SUM(F129:F141)</f>
        <v>41532.999999999985</v>
      </c>
      <c r="G199" s="1540"/>
      <c r="H199" s="1541">
        <f>+SUM(H7:H122)+SUM(H129:H141)</f>
        <v>39351.799999999988</v>
      </c>
      <c r="I199" s="1542"/>
      <c r="J199" s="1541">
        <f>+SUM(J7:J127)+SUM(J129:J141)</f>
        <v>80884.799999999974</v>
      </c>
      <c r="K199" s="1540"/>
      <c r="L199" s="1541">
        <f>+SUM(L7:L122)+SUM(L129:L141)</f>
        <v>28929.599999999991</v>
      </c>
      <c r="M199" s="1542"/>
      <c r="N199" s="1541">
        <f>+SUM(N7:N122)+SUM(N129:N141)</f>
        <v>109814.39999999997</v>
      </c>
      <c r="O199" s="1540"/>
      <c r="P199" s="1541">
        <f>+SUM(P7:P122)+SUM(P129:P141)</f>
        <v>35815.549999999988</v>
      </c>
      <c r="Q199" s="1542"/>
      <c r="R199" s="1541">
        <f>+SUM(R7:R127)+SUM(R129:R141)</f>
        <v>166240.04999999996</v>
      </c>
      <c r="S199" s="1540"/>
      <c r="T199" s="1541">
        <f>+SUM(T7:T122)+SUM(T129:T141)</f>
        <v>38718.350000000006</v>
      </c>
      <c r="U199" s="1542"/>
      <c r="V199" s="1541">
        <f>+SUM(V7:V122)+SUM(V129:V141)</f>
        <v>184348.30000000008</v>
      </c>
      <c r="W199" s="1540"/>
      <c r="X199" s="1541">
        <f>+SUM(X7:X122)+SUM(X129:X141)</f>
        <v>41006.150000000009</v>
      </c>
      <c r="Y199" s="1540"/>
      <c r="Z199" s="1541">
        <f>+SUM(Z7:Z122)+SUM(Z129:Z141)</f>
        <v>115540.05000000003</v>
      </c>
      <c r="AA199" s="1541"/>
      <c r="AB199" s="1541">
        <f>+SUM(AB7:AB122)+SUM(AB129:AB141)</f>
        <v>225354.44999999998</v>
      </c>
      <c r="AC199" s="1540"/>
      <c r="AD199" s="1541">
        <f>+SUM(AD7:AD122)+SUM(AD129:AD141)</f>
        <v>30034.55</v>
      </c>
      <c r="AF199" s="1541">
        <f>+SUM(AF8:AF122)+SUM(AF129:AF141)</f>
        <v>255388.99999999997</v>
      </c>
      <c r="AG199" s="1540"/>
      <c r="AH199" s="1541">
        <f>+SUM(AH7:AH122)+SUM(AH129:AH141)</f>
        <v>34614.25</v>
      </c>
      <c r="AI199" s="4487"/>
      <c r="AJ199" s="1541">
        <f>+SUM(AJ8:AJ122)+SUM(AJ129:AJ141)</f>
        <v>290003.25000000012</v>
      </c>
      <c r="AK199" s="1540"/>
      <c r="AL199" s="1541">
        <f>+SUM(AL7:AL122)+SUM(AL129:AL141)</f>
        <v>44007.350000000013</v>
      </c>
      <c r="AM199" s="1540"/>
      <c r="AN199" s="1541">
        <f>+SUM(AN7:AN122)+SUM(AN129:AN141)</f>
        <v>108656.15000000002</v>
      </c>
      <c r="AO199" s="2551"/>
      <c r="AP199" s="1541">
        <f>+SUM(AP8:AP122)+SUM(AP129:AP141)</f>
        <v>334010.60000000015</v>
      </c>
      <c r="AQ199" s="1540"/>
      <c r="AR199" s="1541">
        <f>+SUM(AR7:AR122)+SUM(AR129:AR141)</f>
        <v>44589.55000000001</v>
      </c>
      <c r="AT199" s="1541">
        <f>+SUM(AT7:AT122)+SUM(AT129:AT141)</f>
        <v>378600.15</v>
      </c>
      <c r="AU199" s="1540"/>
      <c r="AV199" s="1541">
        <f>+SUM(AV7:AV122)+SUM(AV129:AV141)</f>
        <v>37420.700000000019</v>
      </c>
      <c r="AW199" s="4487"/>
      <c r="AX199" s="1541">
        <f>+SUM(AX7:AX122)+SUM(AX129:AX141)</f>
        <v>416020.85000000009</v>
      </c>
      <c r="AY199" s="1540"/>
      <c r="AZ199" s="1541">
        <f>+SUM(AZ7:AZ122)+SUM(AZ129:AZ141)</f>
        <v>46692.85</v>
      </c>
      <c r="BA199" s="1540"/>
      <c r="BB199" s="1541">
        <f>+SUM(BB7:BB122)+SUM(BB129:BB141)</f>
        <v>128703.10000000002</v>
      </c>
      <c r="BC199" s="1541"/>
      <c r="BD199" s="1541">
        <f>+SUM(BD7:BD122)+SUM(BD129:BD141)</f>
        <v>237359.25000000006</v>
      </c>
      <c r="BE199" s="1541"/>
      <c r="BF199" s="1541">
        <f>+SUM(BF7:BF122)+SUM(BF129:BF141)</f>
        <v>462713.70000000007</v>
      </c>
      <c r="BG199" s="1137"/>
      <c r="BH199" s="4234">
        <f t="shared" si="199"/>
        <v>0</v>
      </c>
      <c r="BI199" s="4234">
        <f t="shared" si="200"/>
        <v>0</v>
      </c>
      <c r="BJ199" s="25">
        <f t="shared" si="201"/>
        <v>0</v>
      </c>
      <c r="BK199" s="25">
        <f t="shared" si="202"/>
        <v>0</v>
      </c>
      <c r="BL199" s="25">
        <f t="shared" si="203"/>
        <v>0</v>
      </c>
      <c r="BM199" s="25">
        <f t="shared" si="204"/>
        <v>0</v>
      </c>
    </row>
    <row r="200" spans="2:65" x14ac:dyDescent="0.25">
      <c r="B200" s="1540" t="s">
        <v>600</v>
      </c>
      <c r="C200" s="1540"/>
      <c r="D200" s="1540"/>
      <c r="E200" s="1542"/>
      <c r="F200" s="1543">
        <f>+F159-F199</f>
        <v>0</v>
      </c>
      <c r="G200" s="1542"/>
      <c r="H200" s="1543">
        <f>+H159-H199</f>
        <v>0</v>
      </c>
      <c r="I200" s="1542"/>
      <c r="J200" s="1543">
        <f>+J159-J199</f>
        <v>0</v>
      </c>
      <c r="K200" s="1542"/>
      <c r="L200" s="1543">
        <f>+L159-L199</f>
        <v>9361.75</v>
      </c>
      <c r="M200" s="1542"/>
      <c r="N200" s="1543">
        <f>+N159-N199</f>
        <v>9361.7500000000146</v>
      </c>
      <c r="O200" s="1542"/>
      <c r="P200" s="1543">
        <f>+P159-P199</f>
        <v>11248.350000000006</v>
      </c>
      <c r="Q200" s="1542"/>
      <c r="R200" s="1543">
        <f>+R159-R199</f>
        <v>0</v>
      </c>
      <c r="S200" s="1542"/>
      <c r="T200" s="1543">
        <f>+T159-T199</f>
        <v>0</v>
      </c>
      <c r="U200" s="1542"/>
      <c r="V200" s="1543">
        <f>+V159-V199</f>
        <v>20610.099999999977</v>
      </c>
      <c r="W200" s="1542"/>
      <c r="X200" s="1543">
        <f>+X159-X199</f>
        <v>0</v>
      </c>
      <c r="Y200" s="1540"/>
      <c r="Z200" s="1543">
        <f>+Z159-Z199</f>
        <v>11248.35000000002</v>
      </c>
      <c r="AA200" s="1543"/>
      <c r="AB200" s="1543">
        <f>+AB159-AB199</f>
        <v>20610.099999999977</v>
      </c>
      <c r="AC200" s="1542"/>
      <c r="AD200" s="1543">
        <f>+AD159-AD199</f>
        <v>0</v>
      </c>
      <c r="AF200" s="1543">
        <f>+AF159-AF199</f>
        <v>20610.100000000064</v>
      </c>
      <c r="AG200" s="1542"/>
      <c r="AH200" s="1543">
        <f>+AH159-AH199</f>
        <v>0</v>
      </c>
      <c r="AI200" s="4487"/>
      <c r="AJ200" s="1543">
        <f>+AJ159-AJ199</f>
        <v>20610.100000000035</v>
      </c>
      <c r="AK200" s="1542"/>
      <c r="AL200" s="1543">
        <f>+AL159-AL199</f>
        <v>0</v>
      </c>
      <c r="AM200" s="1540"/>
      <c r="AN200" s="1543">
        <f>+AN159-AN199</f>
        <v>0</v>
      </c>
      <c r="AO200" s="2551"/>
      <c r="AP200" s="1543">
        <f>+AP159-AP199</f>
        <v>20610.100000000035</v>
      </c>
      <c r="AQ200" s="1540"/>
      <c r="AR200" s="1543">
        <f>+AR159-AR199</f>
        <v>0</v>
      </c>
      <c r="AT200" s="1543">
        <f>+AT159-AT199</f>
        <v>20610.100000000035</v>
      </c>
      <c r="AU200" s="1540"/>
      <c r="AV200" s="1543">
        <f>+AV159-AV199</f>
        <v>0</v>
      </c>
      <c r="AW200" s="4487"/>
      <c r="AX200" s="1543">
        <f>+AX159-AX199</f>
        <v>20610.099999999977</v>
      </c>
      <c r="AY200" s="1540"/>
      <c r="AZ200" s="1543">
        <f>+AZ159-AZ199</f>
        <v>0</v>
      </c>
      <c r="BA200" s="1540"/>
      <c r="BB200" s="1543">
        <f>+BB159-BB199</f>
        <v>0</v>
      </c>
      <c r="BC200" s="1543"/>
      <c r="BD200" s="1543">
        <f>+BD159-BD199</f>
        <v>0</v>
      </c>
      <c r="BE200" s="1543"/>
      <c r="BF200" s="1543">
        <f>+BF159-BF199</f>
        <v>20610.099999999977</v>
      </c>
      <c r="BG200" s="1137"/>
      <c r="BH200" s="4234">
        <f t="shared" si="199"/>
        <v>0</v>
      </c>
      <c r="BI200" s="4234">
        <f t="shared" si="200"/>
        <v>2.9103830456733704E-11</v>
      </c>
      <c r="BJ200" s="25">
        <f t="shared" si="201"/>
        <v>0</v>
      </c>
      <c r="BK200" s="25">
        <f t="shared" si="202"/>
        <v>0</v>
      </c>
      <c r="BL200" s="25">
        <f t="shared" si="203"/>
        <v>0</v>
      </c>
      <c r="BM200" s="25">
        <f t="shared" si="204"/>
        <v>0</v>
      </c>
    </row>
    <row r="201" spans="2:65" x14ac:dyDescent="0.25">
      <c r="AK201" s="4487"/>
      <c r="AL201" s="4487"/>
      <c r="AM201" s="2551"/>
      <c r="AN201" s="2551"/>
      <c r="AO201" s="2551"/>
      <c r="AP201" s="2551"/>
      <c r="AU201" s="4487"/>
      <c r="AV201" s="4487"/>
      <c r="BG201" s="1137"/>
      <c r="BH201" s="4234">
        <f t="shared" si="199"/>
        <v>0</v>
      </c>
      <c r="BI201" s="4234">
        <f t="shared" si="200"/>
        <v>0</v>
      </c>
      <c r="BJ201" s="25">
        <f t="shared" si="201"/>
        <v>0</v>
      </c>
      <c r="BK201" s="25">
        <f t="shared" si="202"/>
        <v>0</v>
      </c>
      <c r="BL201" s="25">
        <f t="shared" si="203"/>
        <v>0</v>
      </c>
      <c r="BM201" s="25">
        <f t="shared" si="204"/>
        <v>0</v>
      </c>
    </row>
    <row r="202" spans="2:65" x14ac:dyDescent="0.25">
      <c r="C202" s="258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666"/>
      <c r="U202" s="112"/>
      <c r="V202" s="112"/>
      <c r="W202" s="112"/>
      <c r="X202" s="112"/>
      <c r="Y202" s="112"/>
      <c r="Z202" s="112"/>
      <c r="AA202" s="112"/>
      <c r="AB202" s="112"/>
      <c r="AK202" s="4487"/>
      <c r="AL202" s="4487"/>
      <c r="AM202" s="112"/>
      <c r="AN202" s="112"/>
      <c r="AO202" s="2551"/>
      <c r="AP202" s="2551"/>
      <c r="AU202" s="4487"/>
      <c r="AV202" s="4487"/>
      <c r="BG202" s="1137"/>
      <c r="BH202" s="4234">
        <f t="shared" si="199"/>
        <v>0</v>
      </c>
      <c r="BI202" s="4234">
        <f t="shared" si="200"/>
        <v>0</v>
      </c>
      <c r="BJ202" s="25">
        <f t="shared" si="201"/>
        <v>0</v>
      </c>
      <c r="BK202" s="25">
        <f t="shared" si="202"/>
        <v>0</v>
      </c>
      <c r="BL202" s="25">
        <f t="shared" si="203"/>
        <v>0</v>
      </c>
      <c r="BM202" s="25">
        <f t="shared" si="204"/>
        <v>0</v>
      </c>
    </row>
    <row r="203" spans="2:65" x14ac:dyDescent="0.25">
      <c r="F203" s="112"/>
      <c r="G203" s="112">
        <f>G159-'Maj Production Summ'!G30</f>
        <v>0</v>
      </c>
      <c r="H203" s="112">
        <f>H159-'Maj Production Summ'!H30</f>
        <v>0</v>
      </c>
      <c r="I203" s="112"/>
      <c r="J203" s="112"/>
      <c r="K203" s="112">
        <f>K159-'Maj Production Summ'!K30</f>
        <v>0</v>
      </c>
      <c r="L203" s="112">
        <f>L159-'Maj Production Summ'!L30</f>
        <v>0</v>
      </c>
      <c r="M203" s="112">
        <f>M159-'Maj Production Summ'!M30</f>
        <v>0</v>
      </c>
      <c r="N203" s="112">
        <f>N159-'Maj Production Summ'!N30</f>
        <v>0</v>
      </c>
      <c r="O203" s="112">
        <f>O159-'Maj Production Summ'!O30</f>
        <v>0</v>
      </c>
      <c r="P203" s="112">
        <f>P159-'Maj Production Summ'!P30</f>
        <v>0</v>
      </c>
      <c r="Q203" s="112"/>
      <c r="R203" s="112"/>
      <c r="S203" s="112">
        <f>S159-'Maj Production Summ'!S30</f>
        <v>0</v>
      </c>
      <c r="T203" s="112">
        <f>T159-'Maj Production Summ'!T30</f>
        <v>0</v>
      </c>
      <c r="U203" s="112"/>
      <c r="V203" s="112"/>
      <c r="W203" s="112">
        <f>W159-'Maj Production Summ'!W30</f>
        <v>0</v>
      </c>
      <c r="X203" s="112">
        <f>X159-'Maj Production Summ'!X30</f>
        <v>0</v>
      </c>
      <c r="Y203" s="112">
        <f>Y159-'Maj Production Summ'!Y30</f>
        <v>0</v>
      </c>
      <c r="Z203" s="112">
        <f>Z159-'Maj Production Summ'!Z30</f>
        <v>0</v>
      </c>
      <c r="AA203" s="112">
        <f>AA159-'Maj Production Summ'!AA30</f>
        <v>0</v>
      </c>
      <c r="AB203" s="112">
        <f>AB159-'Maj Production Summ'!AB30</f>
        <v>0</v>
      </c>
      <c r="AC203" s="112">
        <f>AC159-'Maj Production Summ'!AC30</f>
        <v>0</v>
      </c>
      <c r="AD203" s="112">
        <f>AD159-'Maj Production Summ'!AD30</f>
        <v>0</v>
      </c>
      <c r="AE203" s="112">
        <f>AE159-'Maj Production Summ'!AE30</f>
        <v>0</v>
      </c>
      <c r="AF203" s="112">
        <f>AF159-'Maj Production Summ'!AF30</f>
        <v>0</v>
      </c>
      <c r="AG203" s="112">
        <f>AG159-'Maj Production Summ'!AG30</f>
        <v>0</v>
      </c>
      <c r="AH203" s="112">
        <f>AH159-'Maj Production Summ'!AH30</f>
        <v>0</v>
      </c>
      <c r="AI203" s="112">
        <f>AI159-'Maj Production Summ'!AI30</f>
        <v>0</v>
      </c>
      <c r="AJ203" s="112">
        <f>AJ159-'Maj Production Summ'!AJ30</f>
        <v>0</v>
      </c>
      <c r="AK203" s="112">
        <f>AK159-'Maj Production Summ'!AK30</f>
        <v>0</v>
      </c>
      <c r="AL203" s="112">
        <f>AL159-'Maj Production Summ'!AL30</f>
        <v>0</v>
      </c>
      <c r="AN203" s="112">
        <f>AN159-'Maj Production Summ'!AN30</f>
        <v>0</v>
      </c>
      <c r="AP203" s="112">
        <f>AP159-'Maj Production Summ'!AP30</f>
        <v>0</v>
      </c>
      <c r="AQ203" s="112">
        <f>AQ159-'Maj Production Summ'!AQ30</f>
        <v>0</v>
      </c>
      <c r="AR203" s="112">
        <f>AR159-'Maj Production Summ'!AR30</f>
        <v>0</v>
      </c>
      <c r="AS203" s="4487"/>
      <c r="AT203" s="112">
        <f>AT159-'Maj Production Summ'!AT30</f>
        <v>0</v>
      </c>
      <c r="AU203" s="112">
        <f>AU159-'Maj Production Summ'!AU30</f>
        <v>0</v>
      </c>
      <c r="AV203" s="112">
        <f>AV159-'Maj Production Summ'!AV30</f>
        <v>0</v>
      </c>
      <c r="AW203" s="112">
        <f>AW159-'Maj Production Summ'!AW30</f>
        <v>0</v>
      </c>
      <c r="AX203" s="112">
        <f>AX159-'Maj Production Summ'!AX30</f>
        <v>0</v>
      </c>
      <c r="AY203" s="112">
        <f>AY159-'Maj Production Summ'!AY30</f>
        <v>0</v>
      </c>
      <c r="AZ203" s="112">
        <f>AZ159-'Maj Production Summ'!AZ30</f>
        <v>0</v>
      </c>
      <c r="BA203" s="112">
        <f>BA159-'Maj Production Summ'!BA30</f>
        <v>0</v>
      </c>
      <c r="BB203" s="112">
        <f>BB159-'Maj Production Summ'!BB30</f>
        <v>0</v>
      </c>
      <c r="BC203" s="112">
        <f>BC159-'Maj Production Summ'!BC30</f>
        <v>0</v>
      </c>
      <c r="BD203" s="112">
        <f>BD159-'Maj Production Summ'!BD30</f>
        <v>0</v>
      </c>
      <c r="BE203" s="112">
        <f>BE159-'Maj Production Summ'!BE30</f>
        <v>0</v>
      </c>
      <c r="BF203" s="112">
        <f>BF159-'Maj Production Summ'!BF30</f>
        <v>0</v>
      </c>
      <c r="BG203" s="1137"/>
      <c r="BH203" s="4234">
        <f t="shared" si="199"/>
        <v>0</v>
      </c>
      <c r="BI203" s="4234">
        <f t="shared" si="200"/>
        <v>0</v>
      </c>
      <c r="BJ203" s="25">
        <f t="shared" si="201"/>
        <v>0</v>
      </c>
      <c r="BK203" s="25">
        <f t="shared" si="202"/>
        <v>0</v>
      </c>
      <c r="BL203" s="25">
        <f t="shared" si="203"/>
        <v>0</v>
      </c>
      <c r="BM203" s="25">
        <f t="shared" si="204"/>
        <v>0</v>
      </c>
    </row>
    <row r="204" spans="2:65" x14ac:dyDescent="0.25">
      <c r="E204" s="25"/>
      <c r="F204" s="25"/>
      <c r="G204" s="25"/>
      <c r="H204" s="112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2:65" ht="15.75" customHeight="1" x14ac:dyDescent="0.25">
      <c r="E205" s="7114"/>
      <c r="F205" s="7115"/>
      <c r="G205" s="7114">
        <v>44000</v>
      </c>
      <c r="H205" s="7115">
        <v>39489.149999999994</v>
      </c>
      <c r="I205" s="7114">
        <v>86500</v>
      </c>
      <c r="J205" s="7115">
        <v>76376.849999999991</v>
      </c>
      <c r="K205" s="7116">
        <v>42500</v>
      </c>
      <c r="L205" s="7115">
        <v>38408.049999999996</v>
      </c>
      <c r="M205" s="7114">
        <v>129000</v>
      </c>
      <c r="N205" s="7115">
        <v>114784.89999999997</v>
      </c>
      <c r="O205" s="7116">
        <v>44000</v>
      </c>
      <c r="P205" s="7117">
        <v>47277.1</v>
      </c>
      <c r="Q205" s="7114">
        <v>173000</v>
      </c>
      <c r="R205" s="7115">
        <v>162061.99999999997</v>
      </c>
      <c r="S205" s="2985">
        <v>44000</v>
      </c>
      <c r="T205" s="7118">
        <v>38800.350000000013</v>
      </c>
      <c r="U205" s="2985">
        <v>217000</v>
      </c>
      <c r="V205" s="2985">
        <v>200862.34999999989</v>
      </c>
      <c r="W205" s="2985">
        <v>25000</v>
      </c>
      <c r="X205" s="2985">
        <v>41149.650000000016</v>
      </c>
      <c r="Y205" s="2985">
        <v>113000</v>
      </c>
      <c r="Z205" s="2985">
        <v>127227.10000000005</v>
      </c>
      <c r="AA205" s="2985">
        <v>242000</v>
      </c>
      <c r="AB205" s="2985">
        <v>242012</v>
      </c>
      <c r="AC205" s="2985">
        <v>42500</v>
      </c>
      <c r="AD205" s="2985">
        <v>30063.250000000004</v>
      </c>
      <c r="AE205" s="2985">
        <v>284500</v>
      </c>
      <c r="AF205" s="2985">
        <v>272075.25</v>
      </c>
      <c r="AG205" s="2985">
        <v>42500</v>
      </c>
      <c r="AH205" s="2985">
        <v>34706.500000000007</v>
      </c>
      <c r="AI205" s="2985">
        <v>327000</v>
      </c>
      <c r="AJ205" s="2985">
        <v>306781.75000000006</v>
      </c>
      <c r="AK205" s="2985">
        <v>44000</v>
      </c>
      <c r="AL205" s="2985">
        <v>44159.05000000001</v>
      </c>
      <c r="AM205" s="2985">
        <v>129000</v>
      </c>
      <c r="AN205" s="2985">
        <v>108928.79999999999</v>
      </c>
      <c r="AO205" s="2985">
        <v>371000</v>
      </c>
      <c r="AP205" s="2985">
        <v>350940.8000000001</v>
      </c>
      <c r="AQ205">
        <v>44500</v>
      </c>
      <c r="AR205">
        <v>44632.600000000013</v>
      </c>
      <c r="AS205">
        <v>415500</v>
      </c>
      <c r="AT205">
        <v>395573.4000000002</v>
      </c>
      <c r="AV205">
        <v>37469.900000000016</v>
      </c>
    </row>
    <row r="206" spans="2:65" x14ac:dyDescent="0.25">
      <c r="B206" s="2959"/>
      <c r="C206" s="2984"/>
      <c r="E206" s="7114"/>
      <c r="F206" s="7115"/>
      <c r="G206" s="7114">
        <v>44000</v>
      </c>
      <c r="H206" s="7115">
        <v>39362.049999999996</v>
      </c>
      <c r="I206" s="7114">
        <v>86500</v>
      </c>
      <c r="J206" s="7115">
        <v>76106.229999999981</v>
      </c>
      <c r="K206" s="7116">
        <v>42500</v>
      </c>
      <c r="L206" s="7115">
        <v>38295.44999999999</v>
      </c>
      <c r="M206" s="7114">
        <v>129000</v>
      </c>
      <c r="N206" s="7115">
        <v>114401.67999999993</v>
      </c>
      <c r="O206" s="7116">
        <v>44000</v>
      </c>
      <c r="P206" s="7117">
        <v>47070.05</v>
      </c>
      <c r="Q206" s="7114">
        <v>173000</v>
      </c>
      <c r="R206" s="7115">
        <v>161471.73000000001</v>
      </c>
      <c r="S206" s="2985">
        <v>44000</v>
      </c>
      <c r="T206" s="7118">
        <v>38732.700000000012</v>
      </c>
      <c r="U206" s="2985">
        <v>217000</v>
      </c>
      <c r="V206" s="2985">
        <v>200204.42999999993</v>
      </c>
      <c r="W206" s="2985">
        <v>25000</v>
      </c>
      <c r="X206" s="2985">
        <v>41006.150000000009</v>
      </c>
      <c r="Y206" s="2985">
        <v>113000</v>
      </c>
      <c r="Z206" s="2985">
        <v>126808.90000000007</v>
      </c>
      <c r="AA206" s="2985">
        <v>242000</v>
      </c>
      <c r="AB206" s="2985">
        <v>241210.58</v>
      </c>
      <c r="AC206" s="2985">
        <v>42500</v>
      </c>
      <c r="AD206" s="2985">
        <v>30036.600000000006</v>
      </c>
      <c r="AE206" s="2985">
        <v>284500</v>
      </c>
      <c r="AF206" s="2985">
        <v>271247.18000000011</v>
      </c>
      <c r="AG206" s="2985">
        <v>42500</v>
      </c>
      <c r="AH206" s="2985">
        <v>34618.350000000006</v>
      </c>
      <c r="AI206" s="2985">
        <v>327000</v>
      </c>
      <c r="AJ206" s="2985">
        <v>305865.53000000009</v>
      </c>
      <c r="AK206" s="2985">
        <v>44000</v>
      </c>
      <c r="AL206" s="2985">
        <v>44036.05000000001</v>
      </c>
      <c r="AM206" s="2985">
        <v>129000</v>
      </c>
      <c r="AN206" s="2985">
        <v>108691</v>
      </c>
      <c r="AO206" s="2985">
        <v>371000</v>
      </c>
      <c r="AP206" s="2985">
        <v>349901.58000000013</v>
      </c>
      <c r="AQ206">
        <v>44500</v>
      </c>
      <c r="AR206">
        <v>44599.80000000001</v>
      </c>
      <c r="AS206">
        <v>415500</v>
      </c>
      <c r="AT206">
        <v>394501.38000000024</v>
      </c>
      <c r="AV206">
        <v>37420.700000000012</v>
      </c>
      <c r="AZ206" s="25"/>
    </row>
    <row r="207" spans="2:65" x14ac:dyDescent="0.25">
      <c r="C207" s="258"/>
      <c r="E207" s="7114"/>
      <c r="F207" s="7115"/>
      <c r="G207" s="7114"/>
      <c r="H207" s="7115">
        <v>127.1</v>
      </c>
      <c r="I207" s="7114"/>
      <c r="J207" s="7115">
        <v>270.62000000000006</v>
      </c>
      <c r="K207" s="7116"/>
      <c r="L207" s="7115">
        <v>112.6</v>
      </c>
      <c r="M207" s="7114"/>
      <c r="N207" s="7115">
        <v>383.22000000000008</v>
      </c>
      <c r="O207" s="7116"/>
      <c r="P207" s="7117">
        <v>207.05</v>
      </c>
      <c r="Q207" s="7114"/>
      <c r="R207" s="7115">
        <v>590.26999999999987</v>
      </c>
      <c r="S207" s="2985"/>
      <c r="T207" s="7118">
        <v>67.649999999999991</v>
      </c>
      <c r="U207" s="2985"/>
      <c r="V207" s="2985">
        <v>657.92</v>
      </c>
      <c r="W207" s="2985"/>
      <c r="X207" s="2985">
        <v>143.50000000000003</v>
      </c>
      <c r="Y207" s="2985"/>
      <c r="Z207" s="2985">
        <v>418.19999999999993</v>
      </c>
      <c r="AA207" s="2985"/>
      <c r="AB207" s="2985">
        <v>801.42</v>
      </c>
      <c r="AC207" s="2985"/>
      <c r="AD207" s="2985">
        <v>26.65</v>
      </c>
      <c r="AE207" s="2985"/>
      <c r="AF207" s="2985">
        <v>828.07</v>
      </c>
      <c r="AG207" s="2985"/>
      <c r="AH207" s="2985">
        <v>88.149999999999991</v>
      </c>
      <c r="AI207" s="2985"/>
      <c r="AJ207" s="2985">
        <v>916.22</v>
      </c>
      <c r="AK207" s="2985"/>
      <c r="AL207" s="2985">
        <v>123</v>
      </c>
      <c r="AM207" s="2985"/>
      <c r="AN207" s="2985">
        <v>237.8</v>
      </c>
      <c r="AO207" s="2985"/>
      <c r="AP207" s="2985">
        <v>1039.22</v>
      </c>
      <c r="AR207">
        <v>32.800000000000004</v>
      </c>
      <c r="AT207">
        <v>1072.02</v>
      </c>
      <c r="AV207" s="4487">
        <v>49.199999999999989</v>
      </c>
    </row>
    <row r="208" spans="2:65" x14ac:dyDescent="0.25">
      <c r="E208" s="5263"/>
      <c r="F208" s="5263"/>
      <c r="G208" s="5263"/>
      <c r="H208" s="112"/>
      <c r="I208" s="5263"/>
      <c r="J208" s="5263"/>
      <c r="K208" s="5263"/>
      <c r="L208" s="5263"/>
      <c r="M208" s="5263"/>
      <c r="N208" s="5263"/>
      <c r="O208" s="5263"/>
      <c r="P208" s="5263"/>
      <c r="Q208" s="5263"/>
      <c r="R208" s="5263"/>
      <c r="S208" s="5263"/>
      <c r="T208" s="5263"/>
      <c r="U208" s="5263"/>
      <c r="V208" s="5263"/>
      <c r="W208" s="5263"/>
      <c r="X208" s="5263"/>
      <c r="Y208" s="5263"/>
      <c r="Z208" s="5263"/>
      <c r="AA208" s="5263"/>
      <c r="AB208" s="5263"/>
      <c r="AC208" s="5263"/>
      <c r="AD208" s="5263"/>
      <c r="AE208" s="5263"/>
      <c r="AF208" s="5263"/>
      <c r="AG208" s="5263"/>
      <c r="AH208" s="5263"/>
      <c r="AI208" s="5263"/>
      <c r="AJ208" s="5263"/>
      <c r="AK208" s="5263"/>
      <c r="AL208" s="5263"/>
      <c r="AM208" s="5263"/>
      <c r="AN208" s="5263"/>
      <c r="AO208" s="5263"/>
      <c r="AP208" s="5263"/>
      <c r="AQ208" s="5263"/>
      <c r="AR208" s="5263"/>
      <c r="AS208" s="5263"/>
      <c r="AT208" s="5263"/>
      <c r="AU208" s="5263"/>
      <c r="AV208" s="5263"/>
      <c r="AW208" s="5263"/>
      <c r="AX208" s="5263"/>
      <c r="AY208" s="5263"/>
      <c r="AZ208" s="5263"/>
      <c r="BA208" s="5263"/>
      <c r="BB208" s="5263"/>
      <c r="BC208" s="5263"/>
      <c r="BD208" s="5263"/>
      <c r="BE208" s="5263"/>
      <c r="BF208" s="5263"/>
    </row>
    <row r="209" spans="3:58" x14ac:dyDescent="0.25">
      <c r="C209" s="1539"/>
    </row>
    <row r="210" spans="3:58" x14ac:dyDescent="0.25">
      <c r="C210" s="2985"/>
      <c r="E210" s="5263"/>
      <c r="F210" s="5263"/>
      <c r="G210" s="5263">
        <f t="shared" ref="G210:AT210" si="205">G205-G158</f>
        <v>0</v>
      </c>
      <c r="H210" s="5263">
        <f t="shared" si="205"/>
        <v>0</v>
      </c>
      <c r="I210" s="5263">
        <f t="shared" si="205"/>
        <v>6000</v>
      </c>
      <c r="J210" s="5263">
        <f t="shared" si="205"/>
        <v>-4680.1499999999796</v>
      </c>
      <c r="K210" s="5263">
        <f t="shared" si="205"/>
        <v>0</v>
      </c>
      <c r="L210" s="5263">
        <f t="shared" si="205"/>
        <v>0</v>
      </c>
      <c r="M210" s="5263">
        <f t="shared" si="205"/>
        <v>6000</v>
      </c>
      <c r="N210" s="5263">
        <f t="shared" si="205"/>
        <v>-4680.1500000000233</v>
      </c>
      <c r="O210" s="5263">
        <f t="shared" si="205"/>
        <v>0</v>
      </c>
      <c r="P210" s="5263">
        <f t="shared" si="205"/>
        <v>0</v>
      </c>
      <c r="Q210" s="5263">
        <f t="shared" si="205"/>
        <v>6000</v>
      </c>
      <c r="R210" s="5263">
        <f t="shared" si="205"/>
        <v>-4680.149999999936</v>
      </c>
      <c r="S210" s="5263">
        <f t="shared" si="205"/>
        <v>0</v>
      </c>
      <c r="T210" s="5263">
        <f t="shared" si="205"/>
        <v>0</v>
      </c>
      <c r="U210" s="5263">
        <f t="shared" si="205"/>
        <v>6000</v>
      </c>
      <c r="V210" s="5263">
        <f t="shared" si="205"/>
        <v>-4680.1500000001688</v>
      </c>
      <c r="W210" s="5263">
        <f t="shared" si="205"/>
        <v>0</v>
      </c>
      <c r="X210" s="5263">
        <f t="shared" si="205"/>
        <v>0</v>
      </c>
      <c r="Y210" s="5263">
        <f t="shared" si="205"/>
        <v>0</v>
      </c>
      <c r="Z210" s="5263">
        <f t="shared" si="205"/>
        <v>0</v>
      </c>
      <c r="AA210" s="5263">
        <f t="shared" si="205"/>
        <v>6000</v>
      </c>
      <c r="AB210" s="5263">
        <f t="shared" si="205"/>
        <v>-4680.149999999936</v>
      </c>
      <c r="AC210" s="5263">
        <f t="shared" si="205"/>
        <v>0</v>
      </c>
      <c r="AD210" s="5263">
        <f t="shared" si="205"/>
        <v>0</v>
      </c>
      <c r="AE210" s="5263">
        <f t="shared" si="205"/>
        <v>6000</v>
      </c>
      <c r="AF210" s="5263">
        <f t="shared" si="205"/>
        <v>-4680.1500000000815</v>
      </c>
      <c r="AG210" s="5263">
        <f t="shared" si="205"/>
        <v>0</v>
      </c>
      <c r="AH210" s="5263">
        <f t="shared" si="205"/>
        <v>0</v>
      </c>
      <c r="AI210" s="5263">
        <f t="shared" si="205"/>
        <v>6000</v>
      </c>
      <c r="AJ210" s="5263">
        <f t="shared" si="205"/>
        <v>-4680.1500000001397</v>
      </c>
      <c r="AK210" s="5263">
        <f t="shared" si="205"/>
        <v>0</v>
      </c>
      <c r="AL210" s="5263">
        <f t="shared" si="205"/>
        <v>0</v>
      </c>
      <c r="AM210" s="5263">
        <f t="shared" si="205"/>
        <v>0</v>
      </c>
      <c r="AN210" s="5263">
        <f t="shared" si="205"/>
        <v>0</v>
      </c>
      <c r="AO210" s="5263">
        <f t="shared" si="205"/>
        <v>6000</v>
      </c>
      <c r="AP210" s="5263">
        <f t="shared" si="205"/>
        <v>-4680.1500000000233</v>
      </c>
      <c r="AQ210" s="5263">
        <f t="shared" si="205"/>
        <v>0</v>
      </c>
      <c r="AR210" s="5263">
        <f t="shared" si="205"/>
        <v>0</v>
      </c>
      <c r="AS210" s="5263">
        <f t="shared" si="205"/>
        <v>6000</v>
      </c>
      <c r="AT210" s="5263">
        <f t="shared" si="205"/>
        <v>-4680.1499999997905</v>
      </c>
      <c r="AU210" s="5263"/>
      <c r="AV210" s="5263">
        <f>AV205-AV158</f>
        <v>0</v>
      </c>
      <c r="AW210" s="5263"/>
      <c r="AX210" s="5263"/>
      <c r="AY210" s="5263"/>
      <c r="AZ210" s="5263"/>
      <c r="BA210" s="5263"/>
      <c r="BB210" s="5263"/>
      <c r="BC210" s="5263"/>
      <c r="BD210" s="5263"/>
      <c r="BE210" s="5263"/>
      <c r="BF210" s="5263"/>
    </row>
    <row r="211" spans="3:58" x14ac:dyDescent="0.25">
      <c r="C211" s="2985"/>
      <c r="E211" s="5263"/>
      <c r="F211" s="5263"/>
      <c r="G211" s="5263"/>
      <c r="H211" s="5263"/>
      <c r="I211" s="5263"/>
      <c r="J211" s="5263"/>
      <c r="K211" s="5263"/>
      <c r="L211" s="5263"/>
      <c r="M211" s="5263"/>
      <c r="N211" s="5263"/>
      <c r="O211" s="5263"/>
      <c r="P211" s="5263"/>
      <c r="Q211" s="5263"/>
      <c r="R211" s="5263"/>
      <c r="S211" s="5263"/>
      <c r="T211" s="7113"/>
      <c r="U211" s="5263"/>
      <c r="V211" s="5263"/>
      <c r="W211" s="5263"/>
      <c r="X211" s="5263"/>
      <c r="Y211" s="5263"/>
      <c r="Z211" s="5263"/>
      <c r="AA211" s="5263"/>
      <c r="AB211" s="5263"/>
      <c r="AC211" s="5263"/>
      <c r="AD211" s="5263"/>
      <c r="AE211" s="5263"/>
      <c r="AF211" s="5263"/>
      <c r="AG211" s="5263"/>
      <c r="AH211" s="5263"/>
      <c r="AI211" s="5263"/>
      <c r="AJ211" s="5263"/>
      <c r="AK211" s="5263"/>
      <c r="AL211" s="5263"/>
      <c r="AM211" s="5263"/>
      <c r="AN211" s="5263"/>
      <c r="AO211" s="5263"/>
      <c r="AP211" s="5263"/>
      <c r="AQ211" s="5263"/>
      <c r="AR211" s="5263"/>
      <c r="AS211" s="5263"/>
      <c r="AT211" s="5263"/>
      <c r="AU211" s="5263"/>
      <c r="AV211" s="5263"/>
      <c r="AW211" s="5263"/>
      <c r="AX211" s="5263"/>
      <c r="AY211" s="5263"/>
      <c r="AZ211" s="5263"/>
      <c r="BA211" s="5263"/>
      <c r="BB211" s="5263"/>
      <c r="BC211" s="5263"/>
      <c r="BD211" s="5263"/>
      <c r="BE211" s="5263"/>
      <c r="BF211" s="5263"/>
    </row>
    <row r="212" spans="3:58" x14ac:dyDescent="0.25">
      <c r="E212" s="5263"/>
      <c r="F212" s="5263"/>
      <c r="G212" s="5263"/>
      <c r="H212" s="5263"/>
      <c r="I212" s="5263"/>
      <c r="J212" s="5263"/>
      <c r="K212" s="5263"/>
      <c r="L212" s="5263"/>
      <c r="M212" s="5263"/>
      <c r="N212" s="5263"/>
      <c r="O212" s="5263"/>
      <c r="P212" s="5263"/>
      <c r="Q212" s="5263"/>
      <c r="R212" s="5263"/>
      <c r="S212" s="5263"/>
      <c r="T212" s="5263"/>
      <c r="U212" s="5263"/>
      <c r="V212" s="5263"/>
      <c r="W212" s="5263"/>
      <c r="X212" s="5263"/>
      <c r="Y212" s="5263"/>
      <c r="Z212" s="5263"/>
      <c r="AA212" s="5263"/>
      <c r="AB212" s="5263"/>
      <c r="AC212" s="5263"/>
      <c r="AD212" s="5263"/>
      <c r="AE212" s="5263"/>
      <c r="AF212" s="5263"/>
      <c r="AG212" s="5263"/>
      <c r="AH212" s="5263"/>
      <c r="AI212" s="5263"/>
      <c r="AJ212" s="5263"/>
      <c r="AK212" s="5263"/>
      <c r="AL212" s="5263"/>
      <c r="AM212" s="5263"/>
      <c r="AN212" s="5263"/>
      <c r="AO212" s="5263"/>
      <c r="AP212" s="5263"/>
      <c r="AQ212" s="5263"/>
      <c r="AR212" s="5263"/>
      <c r="AS212" s="5263"/>
      <c r="AT212" s="5263"/>
      <c r="AU212" s="5263"/>
      <c r="AV212" s="5263"/>
      <c r="AW212" s="5263"/>
      <c r="AX212" s="5263"/>
      <c r="AY212" s="5263"/>
      <c r="AZ212" s="5263"/>
      <c r="BA212" s="5263"/>
      <c r="BB212" s="5263"/>
      <c r="BC212" s="5263"/>
      <c r="BD212" s="5263"/>
      <c r="BE212" s="5263"/>
      <c r="BF212" s="5263"/>
    </row>
    <row r="213" spans="3:58" x14ac:dyDescent="0.25">
      <c r="E213" s="5263"/>
      <c r="F213" s="5263"/>
      <c r="G213" s="5263"/>
      <c r="H213" s="6801"/>
      <c r="I213" s="6801"/>
      <c r="J213" s="6801"/>
      <c r="K213" s="6801"/>
      <c r="L213" s="6801"/>
      <c r="M213" s="6801"/>
      <c r="N213" s="6801"/>
      <c r="O213" s="6801"/>
      <c r="P213" s="6801"/>
      <c r="Q213" s="6801"/>
      <c r="R213" s="6801"/>
      <c r="S213" s="6801"/>
      <c r="T213" s="6801"/>
      <c r="U213" s="6801"/>
      <c r="V213" s="6801"/>
      <c r="W213" s="6801"/>
      <c r="X213" s="6801"/>
      <c r="Y213" s="6801"/>
      <c r="Z213" s="6801"/>
      <c r="AA213" s="6801"/>
      <c r="AB213" s="6801"/>
      <c r="AC213" s="6801"/>
      <c r="AD213" s="6801"/>
      <c r="AE213" s="6801"/>
      <c r="AF213" s="6801"/>
      <c r="AG213" s="6801"/>
      <c r="AH213" s="6801"/>
      <c r="AI213" s="6801"/>
      <c r="AJ213" s="6801"/>
      <c r="AK213" s="6801"/>
      <c r="AL213" s="6801"/>
      <c r="AM213" s="6801"/>
      <c r="AN213" s="6801"/>
      <c r="AO213" s="6801"/>
      <c r="AP213" s="6801"/>
      <c r="AQ213" s="5263"/>
      <c r="AR213" s="5263"/>
      <c r="AS213" s="5263"/>
      <c r="AT213" s="5263"/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101"/>
  <sheetViews>
    <sheetView topLeftCell="A49" zoomScaleNormal="100" workbookViewId="0">
      <pane xSplit="4" topLeftCell="E1" activePane="topRight" state="frozen"/>
      <selection pane="topRight" activeCell="F57" sqref="F57"/>
    </sheetView>
  </sheetViews>
  <sheetFormatPr defaultColWidth="8.85546875" defaultRowHeight="15" x14ac:dyDescent="0.25"/>
  <cols>
    <col min="2" max="2" width="46.7109375" bestFit="1" customWidth="1"/>
    <col min="3" max="3" width="17.28515625" bestFit="1" customWidth="1"/>
    <col min="4" max="4" width="24.28515625" bestFit="1" customWidth="1"/>
    <col min="5" max="5" width="10.42578125" customWidth="1"/>
    <col min="6" max="6" width="15.85546875" bestFit="1" customWidth="1"/>
    <col min="7" max="7" width="10.7109375" hidden="1" customWidth="1"/>
    <col min="8" max="8" width="8.7109375" hidden="1" customWidth="1"/>
    <col min="9" max="9" width="9" hidden="1" customWidth="1"/>
    <col min="10" max="10" width="9.42578125" hidden="1" customWidth="1"/>
    <col min="11" max="12" width="8.7109375" hidden="1" customWidth="1"/>
    <col min="13" max="13" width="13.42578125" hidden="1" customWidth="1"/>
    <col min="14" max="14" width="9" hidden="1" customWidth="1"/>
    <col min="15" max="15" width="9.140625" hidden="1" customWidth="1"/>
    <col min="16" max="16" width="8.7109375" hidden="1" customWidth="1"/>
    <col min="17" max="17" width="12.140625" hidden="1" customWidth="1"/>
    <col min="18" max="18" width="9.42578125" hidden="1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8" hidden="1" customWidth="1"/>
    <col min="31" max="31" width="8.85546875" hidden="1" customWidth="1"/>
    <col min="32" max="32" width="9" hidden="1" customWidth="1"/>
    <col min="33" max="48" width="8.85546875" hidden="1" customWidth="1"/>
    <col min="49" max="49" width="9" hidden="1" customWidth="1"/>
    <col min="50" max="51" width="8.85546875" hidden="1" customWidth="1"/>
    <col min="52" max="52" width="8.85546875" style="7445" hidden="1" customWidth="1"/>
    <col min="53" max="56" width="8.85546875" style="2819" hidden="1" customWidth="1"/>
    <col min="57" max="58" width="8.85546875" hidden="1" customWidth="1"/>
    <col min="59" max="60" width="9.5703125" bestFit="1" customWidth="1"/>
  </cols>
  <sheetData>
    <row r="1" spans="1:66" ht="22.5" x14ac:dyDescent="0.3">
      <c r="B1" s="365" t="s">
        <v>95</v>
      </c>
      <c r="C1" s="365"/>
      <c r="D1" s="43"/>
      <c r="E1" s="43"/>
      <c r="F1" s="4624"/>
      <c r="G1" s="43"/>
      <c r="H1" s="567"/>
      <c r="I1" s="43"/>
      <c r="J1" s="43"/>
      <c r="K1" s="144"/>
      <c r="L1" s="567"/>
      <c r="M1" s="90"/>
      <c r="N1" s="90"/>
      <c r="O1" s="144"/>
      <c r="P1" s="1492"/>
      <c r="Q1" s="90"/>
      <c r="R1" s="112"/>
      <c r="S1" s="90"/>
      <c r="T1" s="1659"/>
      <c r="U1" s="90"/>
      <c r="V1" s="90"/>
      <c r="W1" s="90"/>
      <c r="X1" s="90"/>
      <c r="Y1" s="90"/>
      <c r="Z1" s="90"/>
      <c r="AA1" s="90"/>
      <c r="AB1" s="90"/>
    </row>
    <row r="2" spans="1:66" s="258" customFormat="1" ht="15.75" thickBot="1" x14ac:dyDescent="0.3">
      <c r="B2" s="191"/>
      <c r="C2" s="191"/>
      <c r="D2" s="191"/>
      <c r="E2" s="93">
        <v>30</v>
      </c>
      <c r="F2" s="93">
        <v>30</v>
      </c>
      <c r="G2" s="93">
        <v>31</v>
      </c>
      <c r="H2" s="93">
        <v>31</v>
      </c>
      <c r="I2" s="93">
        <f>+E2+G2</f>
        <v>61</v>
      </c>
      <c r="J2" s="93">
        <f>+F2+H2</f>
        <v>61</v>
      </c>
      <c r="K2" s="375">
        <v>30</v>
      </c>
      <c r="L2" s="93">
        <v>30</v>
      </c>
      <c r="M2" s="375">
        <f>+I2+K2</f>
        <v>91</v>
      </c>
      <c r="N2" s="375">
        <f>+J2+L2</f>
        <v>91</v>
      </c>
      <c r="O2" s="375">
        <v>31</v>
      </c>
      <c r="P2" s="375">
        <v>31</v>
      </c>
      <c r="Q2" s="93">
        <f>+M2+O2</f>
        <v>122</v>
      </c>
      <c r="R2" s="93">
        <f>+N2+P2</f>
        <v>122</v>
      </c>
      <c r="S2" s="324">
        <v>31</v>
      </c>
      <c r="T2" s="1667">
        <v>31</v>
      </c>
      <c r="U2" s="324">
        <f>+Q2+S2</f>
        <v>153</v>
      </c>
      <c r="V2" s="324">
        <f>+R2+T2</f>
        <v>153</v>
      </c>
      <c r="W2" s="324">
        <v>30</v>
      </c>
      <c r="X2" s="324">
        <v>30</v>
      </c>
      <c r="Y2" s="324">
        <f>+O2+S2+W2</f>
        <v>92</v>
      </c>
      <c r="Z2" s="324">
        <f>+P2+T2+X2</f>
        <v>92</v>
      </c>
      <c r="AA2" s="324">
        <f>+Y2+M2</f>
        <v>183</v>
      </c>
      <c r="AB2" s="324">
        <f>+Z2+N2</f>
        <v>183</v>
      </c>
      <c r="AC2" s="324">
        <v>31</v>
      </c>
      <c r="AD2" s="1667">
        <v>31</v>
      </c>
      <c r="AE2" s="324">
        <f>+AA2+AC2</f>
        <v>214</v>
      </c>
      <c r="AF2" s="324">
        <f>+AB2+AD2</f>
        <v>214</v>
      </c>
      <c r="AG2" s="324">
        <v>30</v>
      </c>
      <c r="AH2" s="1667">
        <v>30</v>
      </c>
      <c r="AI2" s="324">
        <f>+AE2+AG2</f>
        <v>244</v>
      </c>
      <c r="AJ2" s="324">
        <f>+AF2+AH2</f>
        <v>244</v>
      </c>
      <c r="AK2" s="324">
        <v>31</v>
      </c>
      <c r="AL2" s="1667">
        <v>31</v>
      </c>
      <c r="AM2" s="324">
        <f>+AC2+AG2+AK2</f>
        <v>92</v>
      </c>
      <c r="AN2" s="324">
        <f>+AD2+AH2+AL2</f>
        <v>92</v>
      </c>
      <c r="AO2" s="324">
        <f>AI2+AK2</f>
        <v>275</v>
      </c>
      <c r="AP2" s="324">
        <f>AJ2+AL2</f>
        <v>275</v>
      </c>
      <c r="AQ2" s="324">
        <v>31</v>
      </c>
      <c r="AR2" s="1667">
        <v>31</v>
      </c>
      <c r="AS2" s="324">
        <f>+AO2+AQ2</f>
        <v>306</v>
      </c>
      <c r="AT2" s="324">
        <f>+AP2+AR2</f>
        <v>306</v>
      </c>
      <c r="AU2" s="324">
        <v>28</v>
      </c>
      <c r="AV2" s="1667">
        <v>28</v>
      </c>
      <c r="AW2" s="324">
        <f>+AS2+AU2</f>
        <v>334</v>
      </c>
      <c r="AX2" s="324">
        <f>+AT2+AV2</f>
        <v>334</v>
      </c>
      <c r="AY2" s="324">
        <v>31</v>
      </c>
      <c r="AZ2" s="7477">
        <v>31</v>
      </c>
      <c r="BA2" s="324">
        <f>+AQ2+AU2+AY2</f>
        <v>90</v>
      </c>
      <c r="BB2" s="324">
        <f>+AR2+AV2+AZ2</f>
        <v>90</v>
      </c>
      <c r="BC2" s="324">
        <f>+AM2+BA2</f>
        <v>182</v>
      </c>
      <c r="BD2" s="324">
        <f>+AN2+BB2</f>
        <v>182</v>
      </c>
      <c r="BE2" s="324">
        <f>+AW2+AY2</f>
        <v>365</v>
      </c>
      <c r="BF2" s="324">
        <f>+AX2+AZ2</f>
        <v>365</v>
      </c>
    </row>
    <row r="3" spans="1:66" ht="15.75" thickBot="1" x14ac:dyDescent="0.3">
      <c r="B3" s="7835" t="s">
        <v>171</v>
      </c>
      <c r="C3" s="8108" t="s">
        <v>812</v>
      </c>
      <c r="D3" s="7775" t="s">
        <v>172</v>
      </c>
      <c r="E3" s="7768" t="s">
        <v>2319</v>
      </c>
      <c r="F3" s="7838"/>
      <c r="G3" s="7768" t="s">
        <v>1956</v>
      </c>
      <c r="H3" s="7768"/>
      <c r="I3" s="7766" t="s">
        <v>14</v>
      </c>
      <c r="J3" s="7767"/>
      <c r="K3" s="7780" t="s">
        <v>1986</v>
      </c>
      <c r="L3" s="7777"/>
      <c r="M3" s="7781" t="s">
        <v>607</v>
      </c>
      <c r="N3" s="7770"/>
      <c r="O3" s="7768" t="s">
        <v>2008</v>
      </c>
      <c r="P3" s="7768"/>
      <c r="Q3" s="7766" t="s">
        <v>17</v>
      </c>
      <c r="R3" s="7767"/>
      <c r="S3" s="7768" t="s">
        <v>2011</v>
      </c>
      <c r="T3" s="7768"/>
      <c r="U3" s="7766" t="s">
        <v>18</v>
      </c>
      <c r="V3" s="7767"/>
      <c r="W3" s="7768" t="s">
        <v>2042</v>
      </c>
      <c r="X3" s="7768"/>
      <c r="Y3" s="7781" t="s">
        <v>629</v>
      </c>
      <c r="Z3" s="7770"/>
      <c r="AA3" s="7771" t="s">
        <v>626</v>
      </c>
      <c r="AB3" s="7772"/>
      <c r="AC3" s="7768" t="s">
        <v>2067</v>
      </c>
      <c r="AD3" s="7768"/>
      <c r="AE3" s="7766" t="s">
        <v>24</v>
      </c>
      <c r="AF3" s="7767"/>
      <c r="AG3" s="7768" t="s">
        <v>2170</v>
      </c>
      <c r="AH3" s="7768"/>
      <c r="AI3" s="7766" t="s">
        <v>27</v>
      </c>
      <c r="AJ3" s="7767"/>
      <c r="AK3" s="7768" t="s">
        <v>2194</v>
      </c>
      <c r="AL3" s="7768"/>
      <c r="AM3" s="7781" t="s">
        <v>631</v>
      </c>
      <c r="AN3" s="7770"/>
      <c r="AO3" s="7766" t="s">
        <v>1575</v>
      </c>
      <c r="AP3" s="7767"/>
      <c r="AQ3" s="7768" t="s">
        <v>2206</v>
      </c>
      <c r="AR3" s="7768"/>
      <c r="AS3" s="7766" t="s">
        <v>28</v>
      </c>
      <c r="AT3" s="7767"/>
      <c r="AU3" s="7768" t="s">
        <v>2243</v>
      </c>
      <c r="AV3" s="7768"/>
      <c r="AW3" s="7766" t="s">
        <v>30</v>
      </c>
      <c r="AX3" s="7767"/>
      <c r="AY3" s="7768" t="s">
        <v>2261</v>
      </c>
      <c r="AZ3" s="7768"/>
      <c r="BA3" s="7781" t="s">
        <v>632</v>
      </c>
      <c r="BB3" s="7770"/>
      <c r="BC3" s="7771" t="s">
        <v>638</v>
      </c>
      <c r="BD3" s="7772"/>
      <c r="BE3" s="7766" t="s">
        <v>1984</v>
      </c>
      <c r="BF3" s="7767"/>
    </row>
    <row r="4" spans="1:66" ht="15.75" thickBot="1" x14ac:dyDescent="0.3">
      <c r="B4" s="8094"/>
      <c r="C4" s="8109"/>
      <c r="D4" s="7776"/>
      <c r="E4" s="515" t="s">
        <v>173</v>
      </c>
      <c r="F4" s="146" t="s">
        <v>174</v>
      </c>
      <c r="G4" s="515" t="s">
        <v>173</v>
      </c>
      <c r="H4" s="167" t="s">
        <v>174</v>
      </c>
      <c r="I4" s="136" t="s">
        <v>173</v>
      </c>
      <c r="J4" s="152" t="s">
        <v>174</v>
      </c>
      <c r="K4" s="211" t="s">
        <v>173</v>
      </c>
      <c r="L4" s="167" t="s">
        <v>174</v>
      </c>
      <c r="M4" s="661" t="s">
        <v>173</v>
      </c>
      <c r="N4" s="159" t="s">
        <v>174</v>
      </c>
      <c r="O4" s="211" t="s">
        <v>173</v>
      </c>
      <c r="P4" s="376" t="s">
        <v>174</v>
      </c>
      <c r="Q4" s="136" t="s">
        <v>173</v>
      </c>
      <c r="R4" s="152" t="s">
        <v>174</v>
      </c>
      <c r="S4" s="211" t="s">
        <v>173</v>
      </c>
      <c r="T4" s="1661" t="s">
        <v>174</v>
      </c>
      <c r="U4" s="136" t="s">
        <v>173</v>
      </c>
      <c r="V4" s="152" t="s">
        <v>174</v>
      </c>
      <c r="W4" s="211" t="s">
        <v>173</v>
      </c>
      <c r="X4" s="376" t="s">
        <v>174</v>
      </c>
      <c r="Y4" s="661" t="s">
        <v>173</v>
      </c>
      <c r="Z4" s="159" t="s">
        <v>174</v>
      </c>
      <c r="AA4" s="662" t="s">
        <v>173</v>
      </c>
      <c r="AB4" s="441" t="s">
        <v>174</v>
      </c>
      <c r="AC4" s="211" t="s">
        <v>173</v>
      </c>
      <c r="AD4" s="1661" t="s">
        <v>174</v>
      </c>
      <c r="AE4" s="2443" t="s">
        <v>173</v>
      </c>
      <c r="AF4" s="152" t="s">
        <v>174</v>
      </c>
      <c r="AG4" s="211" t="s">
        <v>173</v>
      </c>
      <c r="AH4" s="1661" t="s">
        <v>174</v>
      </c>
      <c r="AI4" s="2480" t="s">
        <v>173</v>
      </c>
      <c r="AJ4" s="152" t="s">
        <v>174</v>
      </c>
      <c r="AK4" s="211" t="s">
        <v>173</v>
      </c>
      <c r="AL4" s="1661" t="s">
        <v>174</v>
      </c>
      <c r="AM4" s="2546" t="s">
        <v>173</v>
      </c>
      <c r="AN4" s="159" t="s">
        <v>174</v>
      </c>
      <c r="AO4" s="2548" t="s">
        <v>173</v>
      </c>
      <c r="AP4" s="152" t="s">
        <v>174</v>
      </c>
      <c r="AQ4" s="211" t="s">
        <v>173</v>
      </c>
      <c r="AR4" s="1661" t="s">
        <v>174</v>
      </c>
      <c r="AS4" s="2607" t="s">
        <v>173</v>
      </c>
      <c r="AT4" s="152" t="s">
        <v>174</v>
      </c>
      <c r="AU4" s="211" t="s">
        <v>173</v>
      </c>
      <c r="AV4" s="1661" t="s">
        <v>174</v>
      </c>
      <c r="AW4" s="2641" t="s">
        <v>173</v>
      </c>
      <c r="AX4" s="152" t="s">
        <v>174</v>
      </c>
      <c r="AY4" s="211" t="s">
        <v>173</v>
      </c>
      <c r="AZ4" s="7237" t="s">
        <v>174</v>
      </c>
      <c r="BA4" s="2814" t="s">
        <v>173</v>
      </c>
      <c r="BB4" s="159" t="s">
        <v>174</v>
      </c>
      <c r="BC4" s="2817" t="s">
        <v>173</v>
      </c>
      <c r="BD4" s="441" t="s">
        <v>174</v>
      </c>
      <c r="BE4" s="2818" t="s">
        <v>2262</v>
      </c>
      <c r="BF4" s="152" t="s">
        <v>174</v>
      </c>
    </row>
    <row r="5" spans="1:66" ht="17.100000000000001" customHeight="1" x14ac:dyDescent="0.25">
      <c r="B5" s="10" t="s">
        <v>809</v>
      </c>
      <c r="C5" s="1"/>
      <c r="D5" s="686" t="s">
        <v>50</v>
      </c>
      <c r="E5" s="831">
        <v>70984.455958549224</v>
      </c>
      <c r="F5" s="545">
        <v>77837.90800000001</v>
      </c>
      <c r="G5" s="831">
        <v>81865.284974093272</v>
      </c>
      <c r="H5" s="545">
        <v>78924.165999999954</v>
      </c>
      <c r="I5" s="832">
        <f>+E5+G5</f>
        <v>152849.74093264248</v>
      </c>
      <c r="J5" s="544">
        <f>+F5+H5</f>
        <v>156762.07399999996</v>
      </c>
      <c r="K5" s="831">
        <v>78756.476683937828</v>
      </c>
      <c r="L5" s="545">
        <v>76378.819999999949</v>
      </c>
      <c r="M5" s="632">
        <f>+E5+G5+K5</f>
        <v>231606.21761658031</v>
      </c>
      <c r="N5" s="632">
        <f>+F5+H5+L5</f>
        <v>233140.89399999991</v>
      </c>
      <c r="O5" s="831">
        <v>81865.284974093272</v>
      </c>
      <c r="P5" s="545">
        <v>91293.134999999951</v>
      </c>
      <c r="Q5" s="832">
        <f>+M5+O5</f>
        <v>313471.50259067357</v>
      </c>
      <c r="R5" s="832">
        <f>+N5+P5</f>
        <v>324434.02899999986</v>
      </c>
      <c r="S5" s="831">
        <v>81865.284974093272</v>
      </c>
      <c r="T5" s="545">
        <v>78744.385999999984</v>
      </c>
      <c r="U5" s="832">
        <f>+Q5+S5</f>
        <v>395336.78756476683</v>
      </c>
      <c r="V5" s="832">
        <f>+R5+T5</f>
        <v>403178.41499999986</v>
      </c>
      <c r="W5" s="831">
        <v>49222.797927461143</v>
      </c>
      <c r="X5" s="545">
        <v>79173.527999999977</v>
      </c>
      <c r="Y5" s="632">
        <f>+O5+S5+W5</f>
        <v>212953.36787564767</v>
      </c>
      <c r="Z5" s="632">
        <f>+P5+T5+X5</f>
        <v>249211.04899999994</v>
      </c>
      <c r="AA5" s="633">
        <f>+M5+Y5</f>
        <v>444559.58549222798</v>
      </c>
      <c r="AB5" s="633">
        <f>+N5+Z5</f>
        <v>482351.94299999985</v>
      </c>
      <c r="AC5" s="831">
        <v>80829.015544041453</v>
      </c>
      <c r="AD5" s="545">
        <v>52847.516999999993</v>
      </c>
      <c r="AE5" s="832">
        <f>+AA5+AC5</f>
        <v>525388.60103626945</v>
      </c>
      <c r="AF5" s="832">
        <f>+AB5+AD5</f>
        <v>535199.45999999985</v>
      </c>
      <c r="AG5" s="831">
        <v>78756.476683937828</v>
      </c>
      <c r="AH5" s="545">
        <v>72562.518000000025</v>
      </c>
      <c r="AI5" s="832">
        <f>+AE5+AG5</f>
        <v>604145.07772020728</v>
      </c>
      <c r="AJ5" s="832">
        <f>+AF5+AH5</f>
        <v>607761.97799999989</v>
      </c>
      <c r="AK5" s="831">
        <v>81865.284974093272</v>
      </c>
      <c r="AL5" s="545">
        <v>85136.461000000039</v>
      </c>
      <c r="AM5" s="632">
        <f>+AC5+AG5+AK5</f>
        <v>241450.77720207255</v>
      </c>
      <c r="AN5" s="632">
        <f>+AD5+AH5+AL5</f>
        <v>210546.49600000004</v>
      </c>
      <c r="AO5" s="832">
        <f>AI5+AK5</f>
        <v>686010.36269430059</v>
      </c>
      <c r="AP5" s="832">
        <f>AJ5+AL5</f>
        <v>692898.4389999999</v>
      </c>
      <c r="AQ5" s="831">
        <v>81865.284974093272</v>
      </c>
      <c r="AR5" s="545">
        <v>89388.381000000038</v>
      </c>
      <c r="AS5" s="832">
        <f>+AO5+AQ5</f>
        <v>767875.64766839391</v>
      </c>
      <c r="AT5" s="832">
        <f>+AP5+AR5</f>
        <v>782286.82</v>
      </c>
      <c r="AU5" s="831">
        <v>74093.264248704669</v>
      </c>
      <c r="AV5" s="545">
        <v>77175.722000000038</v>
      </c>
      <c r="AW5" s="832">
        <f>+AS5+AU5</f>
        <v>841968.91191709857</v>
      </c>
      <c r="AX5" s="832">
        <f>+AT5+AV5</f>
        <v>859462.54200000002</v>
      </c>
      <c r="AY5" s="831">
        <v>82901.554404145078</v>
      </c>
      <c r="AZ5" s="7238">
        <v>86982.177000000069</v>
      </c>
      <c r="BA5" s="632">
        <f>+AQ5+AU5+AY5</f>
        <v>238860.10362694302</v>
      </c>
      <c r="BB5" s="632">
        <f>+AR5+AV5+AZ5</f>
        <v>253546.28000000014</v>
      </c>
      <c r="BC5" s="633">
        <f>+AM5+BA5</f>
        <v>480310.88082901557</v>
      </c>
      <c r="BD5" s="633">
        <f>+AN5+BB5</f>
        <v>464092.77600000019</v>
      </c>
      <c r="BE5" s="832">
        <f>+AW5+AY5</f>
        <v>924870.46632124367</v>
      </c>
      <c r="BF5" s="832">
        <f>+AX5+AZ5</f>
        <v>946444.71900000004</v>
      </c>
      <c r="BG5" s="4234"/>
      <c r="BH5" s="4234"/>
      <c r="BI5" s="25"/>
      <c r="BJ5" s="25"/>
      <c r="BK5" s="25"/>
      <c r="BL5" s="25"/>
      <c r="BM5" s="25"/>
      <c r="BN5" s="25"/>
    </row>
    <row r="6" spans="1:66" ht="24.75" customHeight="1" thickBot="1" x14ac:dyDescent="0.3">
      <c r="A6" s="139"/>
      <c r="B6" s="3269" t="s">
        <v>311</v>
      </c>
      <c r="C6" s="3270"/>
      <c r="D6" s="3270"/>
      <c r="E6" s="3271"/>
      <c r="F6" s="3272"/>
      <c r="G6" s="3271"/>
      <c r="H6" s="3272"/>
      <c r="I6" s="3271"/>
      <c r="J6" s="3271"/>
      <c r="K6" s="3271"/>
      <c r="L6" s="3272"/>
      <c r="M6" s="546"/>
      <c r="N6" s="546"/>
      <c r="O6" s="3271"/>
      <c r="P6" s="3272"/>
      <c r="Q6" s="546"/>
      <c r="R6" s="546"/>
      <c r="S6" s="3271"/>
      <c r="T6" s="3272"/>
      <c r="U6" s="546"/>
      <c r="V6" s="546"/>
      <c r="W6" s="3271"/>
      <c r="X6" s="3272"/>
      <c r="Y6" s="546"/>
      <c r="Z6" s="546"/>
      <c r="AA6" s="546"/>
      <c r="AB6" s="556"/>
      <c r="AC6" s="3271"/>
      <c r="AD6" s="3272"/>
      <c r="AE6" s="546"/>
      <c r="AF6" s="546"/>
      <c r="AG6" s="3271"/>
      <c r="AH6" s="3272"/>
      <c r="AI6" s="546"/>
      <c r="AJ6" s="546"/>
      <c r="AK6" s="3271"/>
      <c r="AL6" s="3272"/>
      <c r="AM6" s="546"/>
      <c r="AN6" s="546"/>
      <c r="AO6" s="546"/>
      <c r="AP6" s="546"/>
      <c r="AQ6" s="3271"/>
      <c r="AR6" s="3272"/>
      <c r="AS6" s="546"/>
      <c r="AT6" s="546"/>
      <c r="AU6" s="3271"/>
      <c r="AV6" s="3272"/>
      <c r="AW6" s="546"/>
      <c r="AX6" s="546"/>
      <c r="AY6" s="3271"/>
      <c r="AZ6" s="7239"/>
      <c r="BA6" s="546"/>
      <c r="BB6" s="546"/>
      <c r="BC6" s="546"/>
      <c r="BD6" s="556"/>
      <c r="BE6" s="546"/>
      <c r="BF6" s="546"/>
      <c r="BG6" s="4234"/>
      <c r="BH6" s="4234"/>
      <c r="BI6" s="25"/>
      <c r="BJ6" s="25"/>
      <c r="BK6" s="25"/>
      <c r="BL6" s="25"/>
      <c r="BM6" s="25"/>
      <c r="BN6" s="25"/>
    </row>
    <row r="7" spans="1:66" ht="15.75" x14ac:dyDescent="0.25">
      <c r="A7" s="139"/>
      <c r="B7" s="3275" t="s">
        <v>820</v>
      </c>
      <c r="C7" s="3276" t="s">
        <v>999</v>
      </c>
      <c r="D7" s="710" t="s">
        <v>50</v>
      </c>
      <c r="E7" s="3277"/>
      <c r="F7" s="254"/>
      <c r="G7" s="3277"/>
      <c r="H7" s="254"/>
      <c r="I7" s="349"/>
      <c r="J7" s="5241">
        <f t="shared" ref="J7:J42" si="0">+F7+H7</f>
        <v>0</v>
      </c>
      <c r="K7" s="3277"/>
      <c r="L7" s="254"/>
      <c r="M7" s="732"/>
      <c r="N7" s="732">
        <f t="shared" ref="N7:N42" si="1">+F7+H7+L7</f>
        <v>0</v>
      </c>
      <c r="O7" s="3277"/>
      <c r="P7" s="254"/>
      <c r="Q7" s="733"/>
      <c r="R7" s="733">
        <f t="shared" ref="R7:R54" si="2">+N7+P7</f>
        <v>0</v>
      </c>
      <c r="S7" s="3277"/>
      <c r="T7" s="254"/>
      <c r="U7" s="4351"/>
      <c r="V7" s="4351">
        <f t="shared" ref="V7:V42" si="3">+R7+T7</f>
        <v>0</v>
      </c>
      <c r="W7" s="3277"/>
      <c r="X7" s="254"/>
      <c r="Y7" s="749"/>
      <c r="Z7" s="732">
        <f t="shared" ref="Z7:Z42" si="4">+P7+T7+X7</f>
        <v>0</v>
      </c>
      <c r="AA7" s="492"/>
      <c r="AB7" s="629">
        <f t="shared" ref="AB7:AB42" si="5">+N7+Z7</f>
        <v>0</v>
      </c>
      <c r="AC7" s="3277"/>
      <c r="AD7" s="254"/>
      <c r="AE7" s="2236"/>
      <c r="AF7" s="2236">
        <f t="shared" ref="AF7:AF42" si="6">+AB7+AD7</f>
        <v>0</v>
      </c>
      <c r="AG7" s="3277"/>
      <c r="AH7" s="254"/>
      <c r="AI7" s="4635"/>
      <c r="AJ7" s="4635">
        <f t="shared" ref="AJ7:AJ42" si="7">+AF7+AH7</f>
        <v>0</v>
      </c>
      <c r="AK7" s="3277"/>
      <c r="AL7" s="254"/>
      <c r="AM7" s="749"/>
      <c r="AN7" s="2544">
        <f t="shared" ref="AN7:AN42" si="8">+AD7+AH7+AL7</f>
        <v>0</v>
      </c>
      <c r="AO7" s="2236"/>
      <c r="AP7" s="2236">
        <f t="shared" ref="AP7:AP42" si="9">AJ7+AL7</f>
        <v>0</v>
      </c>
      <c r="AQ7" s="3277"/>
      <c r="AR7" s="254"/>
      <c r="AS7" s="2236"/>
      <c r="AT7" s="2236">
        <f t="shared" ref="AT7:AT42" si="10">+AP7+AR7</f>
        <v>0</v>
      </c>
      <c r="AU7" s="3277"/>
      <c r="AV7" s="254"/>
      <c r="AW7" s="5047"/>
      <c r="AX7" s="5047">
        <f t="shared" ref="AX7:AX42" si="11">+AT7+AV7</f>
        <v>0</v>
      </c>
      <c r="AY7" s="3277"/>
      <c r="AZ7" s="7240"/>
      <c r="BA7" s="749"/>
      <c r="BB7" s="2812">
        <f t="shared" ref="BB7:BB42" si="12">+AR7+AV7+AZ7</f>
        <v>0</v>
      </c>
      <c r="BC7" s="492"/>
      <c r="BD7" s="629">
        <f t="shared" ref="BD7:BD42" si="13">+AN7+BB7</f>
        <v>0</v>
      </c>
      <c r="BE7" s="2236"/>
      <c r="BF7" s="2236">
        <f>+AX7+AZ7</f>
        <v>0</v>
      </c>
      <c r="BG7" s="4234"/>
      <c r="BH7" s="4234"/>
      <c r="BI7" s="25"/>
      <c r="BJ7" s="25"/>
      <c r="BK7" s="25"/>
      <c r="BL7" s="25"/>
      <c r="BM7" s="25"/>
      <c r="BN7" s="25"/>
    </row>
    <row r="8" spans="1:66" ht="15.75" x14ac:dyDescent="0.25">
      <c r="A8" s="139"/>
      <c r="B8" s="833" t="s">
        <v>820</v>
      </c>
      <c r="C8" s="3278" t="s">
        <v>1000</v>
      </c>
      <c r="D8" s="3180" t="s">
        <v>50</v>
      </c>
      <c r="E8" s="3279"/>
      <c r="F8" s="2945"/>
      <c r="G8" s="3279"/>
      <c r="H8" s="5607"/>
      <c r="I8" s="2884"/>
      <c r="J8" s="5241">
        <f t="shared" si="0"/>
        <v>0</v>
      </c>
      <c r="K8" s="3279"/>
      <c r="L8" s="5718"/>
      <c r="M8" s="732"/>
      <c r="N8" s="4153">
        <f t="shared" si="1"/>
        <v>0</v>
      </c>
      <c r="O8" s="3279"/>
      <c r="P8" s="5849"/>
      <c r="Q8" s="733"/>
      <c r="R8" s="5838">
        <f t="shared" si="2"/>
        <v>0</v>
      </c>
      <c r="S8" s="3279"/>
      <c r="T8" s="5938"/>
      <c r="U8" s="4351"/>
      <c r="V8" s="5959">
        <f t="shared" si="3"/>
        <v>0</v>
      </c>
      <c r="W8" s="3279"/>
      <c r="X8" s="6038"/>
      <c r="Y8" s="749"/>
      <c r="Z8" s="6033">
        <f t="shared" si="4"/>
        <v>0</v>
      </c>
      <c r="AA8" s="492"/>
      <c r="AB8" s="629">
        <f t="shared" si="5"/>
        <v>0</v>
      </c>
      <c r="AC8" s="3279"/>
      <c r="AD8" s="6164"/>
      <c r="AE8" s="2236"/>
      <c r="AF8" s="6175">
        <f t="shared" si="6"/>
        <v>0</v>
      </c>
      <c r="AG8" s="3279"/>
      <c r="AH8" s="6333"/>
      <c r="AI8" s="4635"/>
      <c r="AJ8" s="6368">
        <f t="shared" si="7"/>
        <v>0</v>
      </c>
      <c r="AK8" s="3279"/>
      <c r="AL8" s="6595"/>
      <c r="AM8" s="749"/>
      <c r="AN8" s="6589">
        <f t="shared" si="8"/>
        <v>0</v>
      </c>
      <c r="AO8" s="2236"/>
      <c r="AP8" s="6593">
        <f t="shared" si="9"/>
        <v>0</v>
      </c>
      <c r="AQ8" s="3279"/>
      <c r="AR8" s="6675"/>
      <c r="AS8" s="2236"/>
      <c r="AT8" s="2236">
        <f t="shared" si="10"/>
        <v>0</v>
      </c>
      <c r="AU8" s="3279"/>
      <c r="AV8" s="6845"/>
      <c r="AW8" s="5047"/>
      <c r="AX8" s="6842">
        <f t="shared" si="11"/>
        <v>0</v>
      </c>
      <c r="AY8" s="3279"/>
      <c r="AZ8" s="2996"/>
      <c r="BA8" s="749"/>
      <c r="BB8" s="7079">
        <f t="shared" si="12"/>
        <v>0</v>
      </c>
      <c r="BC8" s="492"/>
      <c r="BD8" s="629">
        <f t="shared" si="13"/>
        <v>0</v>
      </c>
      <c r="BE8" s="2236"/>
      <c r="BF8" s="2236">
        <f t="shared" ref="BF8:BF42" si="14">+AX8+AZ8</f>
        <v>0</v>
      </c>
      <c r="BG8" s="4234"/>
      <c r="BH8" s="4234"/>
      <c r="BI8" s="25"/>
      <c r="BJ8" s="25"/>
      <c r="BK8" s="25"/>
      <c r="BL8" s="25"/>
      <c r="BM8" s="25"/>
      <c r="BN8" s="25"/>
    </row>
    <row r="9" spans="1:66" ht="15.75" x14ac:dyDescent="0.25">
      <c r="A9" s="139"/>
      <c r="B9" s="5949" t="s">
        <v>820</v>
      </c>
      <c r="C9" s="7463" t="s">
        <v>969</v>
      </c>
      <c r="D9" s="7464" t="s">
        <v>50</v>
      </c>
      <c r="E9" s="7465"/>
      <c r="F9" s="7466"/>
      <c r="G9" s="7465"/>
      <c r="H9" s="7466"/>
      <c r="I9" s="7467"/>
      <c r="J9" s="7467">
        <f t="shared" si="0"/>
        <v>0</v>
      </c>
      <c r="K9" s="7465"/>
      <c r="L9" s="7466"/>
      <c r="M9" s="7468"/>
      <c r="N9" s="7468">
        <f t="shared" si="1"/>
        <v>0</v>
      </c>
      <c r="O9" s="7465"/>
      <c r="P9" s="7466"/>
      <c r="Q9" s="7467"/>
      <c r="R9" s="7467">
        <f t="shared" si="2"/>
        <v>0</v>
      </c>
      <c r="S9" s="7465"/>
      <c r="T9" s="7466"/>
      <c r="U9" s="7467"/>
      <c r="V9" s="7467">
        <f t="shared" si="3"/>
        <v>0</v>
      </c>
      <c r="W9" s="7465"/>
      <c r="X9" s="7466"/>
      <c r="Y9" s="7469"/>
      <c r="Z9" s="7468">
        <f t="shared" si="4"/>
        <v>0</v>
      </c>
      <c r="AA9" s="7470"/>
      <c r="AB9" s="7471">
        <f t="shared" si="5"/>
        <v>0</v>
      </c>
      <c r="AC9" s="7465"/>
      <c r="AD9" s="7466"/>
      <c r="AE9" s="7467"/>
      <c r="AF9" s="7467">
        <f t="shared" si="6"/>
        <v>0</v>
      </c>
      <c r="AG9" s="7465"/>
      <c r="AH9" s="7466"/>
      <c r="AI9" s="7467"/>
      <c r="AJ9" s="7467">
        <f t="shared" si="7"/>
        <v>0</v>
      </c>
      <c r="AK9" s="7465"/>
      <c r="AL9" s="7466"/>
      <c r="AM9" s="7469"/>
      <c r="AN9" s="7468">
        <f t="shared" si="8"/>
        <v>0</v>
      </c>
      <c r="AO9" s="7467"/>
      <c r="AP9" s="7467">
        <f t="shared" si="9"/>
        <v>0</v>
      </c>
      <c r="AQ9" s="7465"/>
      <c r="AR9" s="7466"/>
      <c r="AS9" s="7467"/>
      <c r="AT9" s="7467">
        <f t="shared" si="10"/>
        <v>0</v>
      </c>
      <c r="AU9" s="7465"/>
      <c r="AV9" s="7466"/>
      <c r="AW9" s="7467"/>
      <c r="AX9" s="7467">
        <f t="shared" si="11"/>
        <v>0</v>
      </c>
      <c r="AY9" s="7465"/>
      <c r="AZ9" s="7472"/>
      <c r="BA9" s="7469"/>
      <c r="BB9" s="7468">
        <f t="shared" si="12"/>
        <v>0</v>
      </c>
      <c r="BC9" s="7470"/>
      <c r="BD9" s="7471">
        <f t="shared" si="13"/>
        <v>0</v>
      </c>
      <c r="BE9" s="7467"/>
      <c r="BF9" s="7467">
        <f t="shared" si="14"/>
        <v>0</v>
      </c>
      <c r="BG9" s="4234"/>
      <c r="BH9" s="4234"/>
      <c r="BI9" s="25"/>
      <c r="BJ9" s="25"/>
      <c r="BK9" s="25"/>
      <c r="BL9" s="25"/>
      <c r="BM9" s="25"/>
      <c r="BN9" s="25"/>
    </row>
    <row r="10" spans="1:66" s="4487" customFormat="1" ht="15.75" x14ac:dyDescent="0.25">
      <c r="A10" s="139"/>
      <c r="B10" s="7473" t="s">
        <v>1859</v>
      </c>
      <c r="C10" s="7473" t="s">
        <v>999</v>
      </c>
      <c r="D10" s="7046" t="s">
        <v>50</v>
      </c>
      <c r="E10" s="7474"/>
      <c r="F10" s="7040"/>
      <c r="G10" s="7474"/>
      <c r="H10" s="7040"/>
      <c r="I10" s="7044"/>
      <c r="J10" s="7044">
        <f t="shared" si="0"/>
        <v>0</v>
      </c>
      <c r="K10" s="7474"/>
      <c r="L10" s="7040">
        <v>2343.0900000000006</v>
      </c>
      <c r="M10" s="7045"/>
      <c r="N10" s="7045">
        <f t="shared" si="1"/>
        <v>2343.0900000000006</v>
      </c>
      <c r="O10" s="7474"/>
      <c r="P10" s="7040"/>
      <c r="Q10" s="7044"/>
      <c r="R10" s="7044">
        <f t="shared" si="2"/>
        <v>2343.0900000000006</v>
      </c>
      <c r="S10" s="7474"/>
      <c r="T10" s="7040"/>
      <c r="U10" s="7044"/>
      <c r="V10" s="7044">
        <f t="shared" si="3"/>
        <v>2343.0900000000006</v>
      </c>
      <c r="W10" s="7474"/>
      <c r="X10" s="7040"/>
      <c r="Y10" s="7107"/>
      <c r="Z10" s="7045">
        <f t="shared" si="4"/>
        <v>0</v>
      </c>
      <c r="AA10" s="7475"/>
      <c r="AB10" s="7092">
        <f t="shared" si="5"/>
        <v>2343.0900000000006</v>
      </c>
      <c r="AC10" s="7474"/>
      <c r="AD10" s="7040"/>
      <c r="AE10" s="7044"/>
      <c r="AF10" s="7044">
        <f t="shared" si="6"/>
        <v>2343.0900000000006</v>
      </c>
      <c r="AG10" s="7474"/>
      <c r="AH10" s="7040"/>
      <c r="AI10" s="7044"/>
      <c r="AJ10" s="7044">
        <f t="shared" si="7"/>
        <v>2343.0900000000006</v>
      </c>
      <c r="AK10" s="7474"/>
      <c r="AL10" s="7040"/>
      <c r="AM10" s="7107"/>
      <c r="AN10" s="7045">
        <f t="shared" si="8"/>
        <v>0</v>
      </c>
      <c r="AO10" s="7044"/>
      <c r="AP10" s="7044">
        <f t="shared" si="9"/>
        <v>2343.0900000000006</v>
      </c>
      <c r="AQ10" s="7474"/>
      <c r="AR10" s="7040"/>
      <c r="AS10" s="7044"/>
      <c r="AT10" s="7044">
        <f t="shared" si="10"/>
        <v>2343.0900000000006</v>
      </c>
      <c r="AU10" s="7474"/>
      <c r="AV10" s="7040"/>
      <c r="AW10" s="7044"/>
      <c r="AX10" s="7044">
        <f t="shared" si="11"/>
        <v>2343.0900000000006</v>
      </c>
      <c r="AY10" s="7474"/>
      <c r="AZ10" s="7476">
        <v>5071.9002814321702</v>
      </c>
      <c r="BA10" s="7107"/>
      <c r="BB10" s="7045">
        <f t="shared" si="12"/>
        <v>5071.9002814321702</v>
      </c>
      <c r="BC10" s="7475"/>
      <c r="BD10" s="7092">
        <f t="shared" si="13"/>
        <v>5071.9002814321702</v>
      </c>
      <c r="BE10" s="7044"/>
      <c r="BF10" s="7044">
        <f t="shared" si="14"/>
        <v>7414.9902814321704</v>
      </c>
      <c r="BG10" s="4234"/>
      <c r="BH10" s="4234"/>
      <c r="BI10" s="25"/>
      <c r="BJ10" s="25"/>
      <c r="BK10" s="25"/>
      <c r="BL10" s="25"/>
      <c r="BM10" s="25"/>
      <c r="BN10" s="25"/>
    </row>
    <row r="11" spans="1:66" ht="15.75" x14ac:dyDescent="0.25">
      <c r="A11" s="25"/>
      <c r="B11" s="7473" t="s">
        <v>819</v>
      </c>
      <c r="C11" s="7473" t="s">
        <v>999</v>
      </c>
      <c r="D11" s="7046" t="s">
        <v>50</v>
      </c>
      <c r="E11" s="7034"/>
      <c r="F11" s="7040"/>
      <c r="G11" s="7034"/>
      <c r="H11" s="7040">
        <v>7484.0600000000068</v>
      </c>
      <c r="I11" s="7044"/>
      <c r="J11" s="7044">
        <f t="shared" si="0"/>
        <v>7484.0600000000068</v>
      </c>
      <c r="K11" s="7034"/>
      <c r="L11" s="7040">
        <v>2680.9949999999994</v>
      </c>
      <c r="M11" s="7045"/>
      <c r="N11" s="7045">
        <f t="shared" si="1"/>
        <v>10165.055000000006</v>
      </c>
      <c r="O11" s="7034"/>
      <c r="P11" s="7040">
        <v>8612.9100000000144</v>
      </c>
      <c r="Q11" s="7044"/>
      <c r="R11" s="7044">
        <f t="shared" si="2"/>
        <v>18777.965000000018</v>
      </c>
      <c r="S11" s="7034"/>
      <c r="T11" s="7040">
        <v>2746.4349999999995</v>
      </c>
      <c r="U11" s="7044"/>
      <c r="V11" s="7044">
        <f t="shared" si="3"/>
        <v>21524.400000000016</v>
      </c>
      <c r="W11" s="7034"/>
      <c r="X11" s="7040">
        <v>2824.1449999999995</v>
      </c>
      <c r="Y11" s="7107"/>
      <c r="Z11" s="7045">
        <f t="shared" si="4"/>
        <v>14183.490000000013</v>
      </c>
      <c r="AA11" s="7475"/>
      <c r="AB11" s="7092">
        <f t="shared" si="5"/>
        <v>24348.54500000002</v>
      </c>
      <c r="AC11" s="7034"/>
      <c r="AD11" s="7040">
        <v>1136.0549999999998</v>
      </c>
      <c r="AE11" s="7044"/>
      <c r="AF11" s="7044">
        <f t="shared" si="6"/>
        <v>25484.60000000002</v>
      </c>
      <c r="AG11" s="7034"/>
      <c r="AH11" s="7040"/>
      <c r="AI11" s="7044"/>
      <c r="AJ11" s="7044">
        <f t="shared" si="7"/>
        <v>25484.60000000002</v>
      </c>
      <c r="AK11" s="7034"/>
      <c r="AL11" s="7040">
        <v>2696.335</v>
      </c>
      <c r="AM11" s="7107"/>
      <c r="AN11" s="7045">
        <f t="shared" si="8"/>
        <v>3832.39</v>
      </c>
      <c r="AO11" s="7044"/>
      <c r="AP11" s="7044">
        <f t="shared" si="9"/>
        <v>28180.935000000019</v>
      </c>
      <c r="AQ11" s="7034"/>
      <c r="AR11" s="7040"/>
      <c r="AS11" s="7044"/>
      <c r="AT11" s="7044">
        <f t="shared" si="10"/>
        <v>28180.935000000019</v>
      </c>
      <c r="AU11" s="7034"/>
      <c r="AV11" s="7040"/>
      <c r="AW11" s="7044"/>
      <c r="AX11" s="7044">
        <f t="shared" si="11"/>
        <v>28180.935000000019</v>
      </c>
      <c r="AY11" s="7034"/>
      <c r="AZ11" s="7476">
        <v>2132.5966376472757</v>
      </c>
      <c r="BA11" s="7107"/>
      <c r="BB11" s="7045">
        <f t="shared" si="12"/>
        <v>2132.5966376472757</v>
      </c>
      <c r="BC11" s="7475"/>
      <c r="BD11" s="7092">
        <f t="shared" si="13"/>
        <v>5964.9866376472755</v>
      </c>
      <c r="BE11" s="7044"/>
      <c r="BF11" s="7044">
        <f t="shared" si="14"/>
        <v>30313.531637647295</v>
      </c>
      <c r="BG11" s="4234"/>
      <c r="BH11" s="4234"/>
      <c r="BI11" s="25"/>
      <c r="BJ11" s="25"/>
      <c r="BK11" s="25"/>
      <c r="BL11" s="25"/>
      <c r="BM11" s="25"/>
      <c r="BN11" s="25"/>
    </row>
    <row r="12" spans="1:66" ht="15" customHeight="1" x14ac:dyDescent="0.25">
      <c r="B12" s="833" t="s">
        <v>819</v>
      </c>
      <c r="C12" s="3278" t="s">
        <v>1000</v>
      </c>
      <c r="D12" s="3180" t="s">
        <v>50</v>
      </c>
      <c r="E12" s="2883"/>
      <c r="F12" s="2945">
        <v>11032.775000000016</v>
      </c>
      <c r="G12" s="5610"/>
      <c r="H12" s="5607">
        <v>10903.48000000002</v>
      </c>
      <c r="I12" s="2884"/>
      <c r="J12" s="5241">
        <f t="shared" si="0"/>
        <v>21936.255000000034</v>
      </c>
      <c r="K12" s="5722"/>
      <c r="L12" s="5718">
        <v>7717.4150000000072</v>
      </c>
      <c r="M12" s="732"/>
      <c r="N12" s="4153">
        <f t="shared" si="1"/>
        <v>29653.670000000042</v>
      </c>
      <c r="O12" s="5857"/>
      <c r="P12" s="5849">
        <v>4122.7200000000021</v>
      </c>
      <c r="Q12" s="733"/>
      <c r="R12" s="5838">
        <f t="shared" si="2"/>
        <v>33776.390000000043</v>
      </c>
      <c r="S12" s="5940"/>
      <c r="T12" s="5938">
        <v>3936.6249999999991</v>
      </c>
      <c r="U12" s="4351"/>
      <c r="V12" s="5959">
        <f t="shared" si="3"/>
        <v>37713.015000000043</v>
      </c>
      <c r="W12" s="6043"/>
      <c r="X12" s="6038">
        <v>12586.515000000023</v>
      </c>
      <c r="Y12" s="749"/>
      <c r="Z12" s="6033">
        <f t="shared" si="4"/>
        <v>20645.860000000022</v>
      </c>
      <c r="AA12" s="492"/>
      <c r="AB12" s="629">
        <f t="shared" si="5"/>
        <v>50299.530000000064</v>
      </c>
      <c r="AC12" s="6169"/>
      <c r="AD12" s="6164">
        <v>8655.4350000000068</v>
      </c>
      <c r="AE12" s="2236"/>
      <c r="AF12" s="6175">
        <f t="shared" si="6"/>
        <v>58954.965000000069</v>
      </c>
      <c r="AG12" s="6337"/>
      <c r="AH12" s="6333">
        <v>9239.3100000000104</v>
      </c>
      <c r="AI12" s="4635"/>
      <c r="AJ12" s="6368">
        <f t="shared" si="7"/>
        <v>68194.275000000081</v>
      </c>
      <c r="AK12" s="6600"/>
      <c r="AL12" s="6595">
        <v>11997.670000000024</v>
      </c>
      <c r="AM12" s="749"/>
      <c r="AN12" s="6589">
        <f t="shared" si="8"/>
        <v>29892.415000000041</v>
      </c>
      <c r="AO12" s="2236"/>
      <c r="AP12" s="6593">
        <f t="shared" si="9"/>
        <v>80191.945000000109</v>
      </c>
      <c r="AQ12" s="6679"/>
      <c r="AR12" s="6675">
        <v>12537.895000000024</v>
      </c>
      <c r="AS12" s="2236"/>
      <c r="AT12" s="2236">
        <f t="shared" si="10"/>
        <v>92729.840000000127</v>
      </c>
      <c r="AU12" s="6852"/>
      <c r="AV12" s="6845">
        <v>4488.7749999999996</v>
      </c>
      <c r="AW12" s="5047"/>
      <c r="AX12" s="6842">
        <f t="shared" si="11"/>
        <v>97218.615000000122</v>
      </c>
      <c r="AY12" s="7008"/>
      <c r="AZ12" s="2996">
        <v>8693.7493565864224</v>
      </c>
      <c r="BA12" s="749"/>
      <c r="BB12" s="7079">
        <f t="shared" si="12"/>
        <v>25720.419356586448</v>
      </c>
      <c r="BC12" s="492"/>
      <c r="BD12" s="629">
        <f t="shared" si="13"/>
        <v>55612.834356586493</v>
      </c>
      <c r="BE12" s="2236"/>
      <c r="BF12" s="2236">
        <f t="shared" si="14"/>
        <v>105912.36435658655</v>
      </c>
      <c r="BG12" s="4234"/>
      <c r="BH12" s="4234"/>
      <c r="BI12" s="25"/>
      <c r="BJ12" s="25"/>
      <c r="BK12" s="25"/>
      <c r="BL12" s="25"/>
      <c r="BM12" s="25"/>
      <c r="BN12" s="25"/>
    </row>
    <row r="13" spans="1:66" ht="15.75" x14ac:dyDescent="0.25">
      <c r="A13" s="25"/>
      <c r="B13" s="833" t="s">
        <v>819</v>
      </c>
      <c r="C13" s="3278" t="s">
        <v>969</v>
      </c>
      <c r="D13" s="3180" t="s">
        <v>50</v>
      </c>
      <c r="E13" s="2883"/>
      <c r="F13" s="2945"/>
      <c r="G13" s="5610"/>
      <c r="H13" s="5607"/>
      <c r="I13" s="2884"/>
      <c r="J13" s="5241">
        <f t="shared" si="0"/>
        <v>0</v>
      </c>
      <c r="K13" s="5722"/>
      <c r="L13" s="5718"/>
      <c r="M13" s="732"/>
      <c r="N13" s="4153">
        <f t="shared" si="1"/>
        <v>0</v>
      </c>
      <c r="O13" s="5857"/>
      <c r="P13" s="5849"/>
      <c r="Q13" s="733"/>
      <c r="R13" s="5838">
        <f t="shared" si="2"/>
        <v>0</v>
      </c>
      <c r="S13" s="5940"/>
      <c r="T13" s="5938"/>
      <c r="U13" s="4351"/>
      <c r="V13" s="5959">
        <f t="shared" si="3"/>
        <v>0</v>
      </c>
      <c r="W13" s="6043"/>
      <c r="X13" s="6038"/>
      <c r="Y13" s="749"/>
      <c r="Z13" s="6033">
        <f t="shared" si="4"/>
        <v>0</v>
      </c>
      <c r="AA13" s="492"/>
      <c r="AB13" s="629">
        <f t="shared" si="5"/>
        <v>0</v>
      </c>
      <c r="AC13" s="6169"/>
      <c r="AD13" s="6164"/>
      <c r="AE13" s="2236"/>
      <c r="AF13" s="6175">
        <f t="shared" si="6"/>
        <v>0</v>
      </c>
      <c r="AG13" s="6337"/>
      <c r="AH13" s="6333"/>
      <c r="AI13" s="4635"/>
      <c r="AJ13" s="6368">
        <f t="shared" si="7"/>
        <v>0</v>
      </c>
      <c r="AK13" s="6600"/>
      <c r="AL13" s="6595"/>
      <c r="AM13" s="749"/>
      <c r="AN13" s="6589">
        <f t="shared" si="8"/>
        <v>0</v>
      </c>
      <c r="AO13" s="2236"/>
      <c r="AP13" s="6593">
        <f t="shared" si="9"/>
        <v>0</v>
      </c>
      <c r="AQ13" s="6679"/>
      <c r="AR13" s="6675"/>
      <c r="AS13" s="2236"/>
      <c r="AT13" s="2236">
        <f t="shared" si="10"/>
        <v>0</v>
      </c>
      <c r="AU13" s="6852"/>
      <c r="AV13" s="6845"/>
      <c r="AW13" s="5047"/>
      <c r="AX13" s="6842">
        <f t="shared" si="11"/>
        <v>0</v>
      </c>
      <c r="AY13" s="7008"/>
      <c r="AZ13" s="2996"/>
      <c r="BA13" s="749"/>
      <c r="BB13" s="7079">
        <f t="shared" si="12"/>
        <v>0</v>
      </c>
      <c r="BC13" s="492"/>
      <c r="BD13" s="629">
        <f t="shared" si="13"/>
        <v>0</v>
      </c>
      <c r="BE13" s="2236"/>
      <c r="BF13" s="2236">
        <f t="shared" si="14"/>
        <v>0</v>
      </c>
      <c r="BG13" s="4234"/>
      <c r="BH13" s="4234"/>
      <c r="BI13" s="25"/>
      <c r="BJ13" s="25"/>
      <c r="BK13" s="25"/>
      <c r="BL13" s="25"/>
      <c r="BM13" s="25"/>
      <c r="BN13" s="25"/>
    </row>
    <row r="14" spans="1:66" ht="15.75" x14ac:dyDescent="0.25">
      <c r="A14" s="25"/>
      <c r="B14" s="833" t="s">
        <v>819</v>
      </c>
      <c r="C14" s="3278" t="s">
        <v>1001</v>
      </c>
      <c r="D14" s="3180" t="s">
        <v>50</v>
      </c>
      <c r="E14" s="2883"/>
      <c r="F14" s="2945">
        <v>994.42500000000007</v>
      </c>
      <c r="G14" s="5610"/>
      <c r="H14" s="5607"/>
      <c r="I14" s="2884"/>
      <c r="J14" s="5241">
        <f t="shared" si="0"/>
        <v>994.42500000000007</v>
      </c>
      <c r="K14" s="5722"/>
      <c r="L14" s="5718">
        <v>1914.7949999999998</v>
      </c>
      <c r="M14" s="732"/>
      <c r="N14" s="4153">
        <f t="shared" si="1"/>
        <v>2909.22</v>
      </c>
      <c r="O14" s="5857"/>
      <c r="P14" s="5849"/>
      <c r="Q14" s="733"/>
      <c r="R14" s="5838">
        <f t="shared" si="2"/>
        <v>2909.22</v>
      </c>
      <c r="S14" s="5940"/>
      <c r="T14" s="5938">
        <v>1443.7700000000002</v>
      </c>
      <c r="U14" s="4351"/>
      <c r="V14" s="5959">
        <f t="shared" si="3"/>
        <v>4352.99</v>
      </c>
      <c r="W14" s="6043"/>
      <c r="X14" s="6038"/>
      <c r="Y14" s="749"/>
      <c r="Z14" s="6033">
        <f t="shared" si="4"/>
        <v>1443.7700000000002</v>
      </c>
      <c r="AA14" s="492"/>
      <c r="AB14" s="629">
        <f t="shared" si="5"/>
        <v>4352.99</v>
      </c>
      <c r="AC14" s="6169"/>
      <c r="AD14" s="6164"/>
      <c r="AE14" s="2236"/>
      <c r="AF14" s="6175">
        <f t="shared" si="6"/>
        <v>4352.99</v>
      </c>
      <c r="AG14" s="6337"/>
      <c r="AH14" s="6333">
        <v>3083.8599999999992</v>
      </c>
      <c r="AI14" s="4635"/>
      <c r="AJ14" s="6368">
        <f t="shared" si="7"/>
        <v>7436.8499999999985</v>
      </c>
      <c r="AK14" s="6600"/>
      <c r="AL14" s="6595"/>
      <c r="AM14" s="749"/>
      <c r="AN14" s="6589">
        <f t="shared" si="8"/>
        <v>3083.8599999999992</v>
      </c>
      <c r="AO14" s="2236"/>
      <c r="AP14" s="6593">
        <f t="shared" si="9"/>
        <v>7436.8499999999985</v>
      </c>
      <c r="AQ14" s="6679"/>
      <c r="AR14" s="6675"/>
      <c r="AS14" s="2236"/>
      <c r="AT14" s="2236">
        <f t="shared" si="10"/>
        <v>7436.8499999999985</v>
      </c>
      <c r="AU14" s="6852"/>
      <c r="AV14" s="6845"/>
      <c r="AW14" s="5047"/>
      <c r="AX14" s="6842">
        <f t="shared" si="11"/>
        <v>7436.8499999999985</v>
      </c>
      <c r="AY14" s="7008"/>
      <c r="AZ14" s="2996"/>
      <c r="BA14" s="749"/>
      <c r="BB14" s="7079">
        <f t="shared" si="12"/>
        <v>0</v>
      </c>
      <c r="BC14" s="492"/>
      <c r="BD14" s="629">
        <f t="shared" si="13"/>
        <v>3083.8599999999992</v>
      </c>
      <c r="BE14" s="2236"/>
      <c r="BF14" s="2236">
        <f t="shared" si="14"/>
        <v>7436.8499999999985</v>
      </c>
      <c r="BG14" s="4234"/>
      <c r="BH14" s="4234"/>
      <c r="BI14" s="25"/>
      <c r="BJ14" s="25"/>
      <c r="BK14" s="25"/>
      <c r="BL14" s="25"/>
      <c r="BM14" s="25"/>
      <c r="BN14" s="25"/>
    </row>
    <row r="15" spans="1:66" ht="16.5" thickBot="1" x14ac:dyDescent="0.3">
      <c r="A15" s="25"/>
      <c r="B15" s="3280" t="s">
        <v>819</v>
      </c>
      <c r="C15" s="3281" t="s">
        <v>1100</v>
      </c>
      <c r="D15" s="702" t="s">
        <v>50</v>
      </c>
      <c r="E15" s="105"/>
      <c r="F15" s="213">
        <v>5108.4100000000035</v>
      </c>
      <c r="G15" s="105"/>
      <c r="H15" s="213">
        <v>2936.62</v>
      </c>
      <c r="I15" s="557"/>
      <c r="J15" s="5241">
        <f t="shared" si="0"/>
        <v>8045.0300000000034</v>
      </c>
      <c r="K15" s="105"/>
      <c r="L15" s="213">
        <v>1650.3149999999996</v>
      </c>
      <c r="M15" s="732"/>
      <c r="N15" s="4153">
        <f t="shared" si="1"/>
        <v>9695.345000000003</v>
      </c>
      <c r="O15" s="105"/>
      <c r="P15" s="213">
        <v>3276.0899999999988</v>
      </c>
      <c r="Q15" s="733"/>
      <c r="R15" s="5838">
        <f t="shared" si="2"/>
        <v>12971.435000000001</v>
      </c>
      <c r="S15" s="105"/>
      <c r="T15" s="213"/>
      <c r="U15" s="4351"/>
      <c r="V15" s="5959">
        <f t="shared" si="3"/>
        <v>12971.435000000001</v>
      </c>
      <c r="W15" s="105"/>
      <c r="X15" s="213">
        <v>2259.7249999999995</v>
      </c>
      <c r="Y15" s="749"/>
      <c r="Z15" s="6033">
        <f t="shared" si="4"/>
        <v>5535.8149999999987</v>
      </c>
      <c r="AA15" s="492"/>
      <c r="AB15" s="629">
        <f t="shared" si="5"/>
        <v>15231.160000000002</v>
      </c>
      <c r="AC15" s="105"/>
      <c r="AD15" s="213"/>
      <c r="AE15" s="2236"/>
      <c r="AF15" s="6175">
        <f t="shared" si="6"/>
        <v>15231.160000000002</v>
      </c>
      <c r="AG15" s="105"/>
      <c r="AH15" s="213">
        <v>1229.5600000000004</v>
      </c>
      <c r="AI15" s="4635"/>
      <c r="AJ15" s="6368">
        <f t="shared" si="7"/>
        <v>16460.72</v>
      </c>
      <c r="AK15" s="105"/>
      <c r="AL15" s="213">
        <v>3130.8950000000009</v>
      </c>
      <c r="AM15" s="749"/>
      <c r="AN15" s="6589">
        <f t="shared" si="8"/>
        <v>4360.4550000000017</v>
      </c>
      <c r="AO15" s="2236"/>
      <c r="AP15" s="6593">
        <f t="shared" si="9"/>
        <v>19591.615000000002</v>
      </c>
      <c r="AQ15" s="105"/>
      <c r="AR15" s="213">
        <v>5002.0700000000024</v>
      </c>
      <c r="AS15" s="2236"/>
      <c r="AT15" s="2236">
        <f t="shared" si="10"/>
        <v>24593.685000000005</v>
      </c>
      <c r="AU15" s="105"/>
      <c r="AV15" s="213">
        <v>5167.715000000002</v>
      </c>
      <c r="AW15" s="5047"/>
      <c r="AX15" s="6842">
        <f t="shared" si="11"/>
        <v>29761.400000000009</v>
      </c>
      <c r="AY15" s="105"/>
      <c r="AZ15" s="7241">
        <v>6194.2521739959393</v>
      </c>
      <c r="BA15" s="749"/>
      <c r="BB15" s="7079">
        <f t="shared" si="12"/>
        <v>16364.037173995943</v>
      </c>
      <c r="BC15" s="492"/>
      <c r="BD15" s="629">
        <f t="shared" si="13"/>
        <v>20724.492173995946</v>
      </c>
      <c r="BE15" s="2236"/>
      <c r="BF15" s="2236">
        <f t="shared" si="14"/>
        <v>35955.65217399595</v>
      </c>
      <c r="BG15" s="4234"/>
      <c r="BH15" s="4234"/>
      <c r="BI15" s="25"/>
      <c r="BJ15" s="25"/>
      <c r="BK15" s="25"/>
      <c r="BL15" s="25"/>
      <c r="BM15" s="25"/>
      <c r="BN15" s="25"/>
    </row>
    <row r="16" spans="1:66" ht="15" customHeight="1" x14ac:dyDescent="0.25">
      <c r="B16" s="3273" t="s">
        <v>907</v>
      </c>
      <c r="C16" s="3274" t="s">
        <v>1000</v>
      </c>
      <c r="D16" s="58" t="s">
        <v>50</v>
      </c>
      <c r="E16" s="1121"/>
      <c r="F16" s="1223"/>
      <c r="G16" s="5608"/>
      <c r="H16" s="5103"/>
      <c r="I16" s="2239"/>
      <c r="J16" s="5241">
        <f t="shared" si="0"/>
        <v>0</v>
      </c>
      <c r="K16" s="5720"/>
      <c r="L16" s="5103"/>
      <c r="M16" s="732"/>
      <c r="N16" s="4153">
        <f t="shared" si="1"/>
        <v>0</v>
      </c>
      <c r="O16" s="5855"/>
      <c r="P16" s="5103">
        <v>3445.0850000000009</v>
      </c>
      <c r="Q16" s="733"/>
      <c r="R16" s="5838">
        <f t="shared" si="2"/>
        <v>3445.0850000000009</v>
      </c>
      <c r="S16" s="5937"/>
      <c r="T16" s="5103"/>
      <c r="U16" s="4351"/>
      <c r="V16" s="5959">
        <f t="shared" si="3"/>
        <v>3445.0850000000009</v>
      </c>
      <c r="W16" s="6041"/>
      <c r="X16" s="5103">
        <v>1057.6499999999996</v>
      </c>
      <c r="Y16" s="749"/>
      <c r="Z16" s="6033">
        <f t="shared" si="4"/>
        <v>4502.7350000000006</v>
      </c>
      <c r="AA16" s="492"/>
      <c r="AB16" s="629">
        <f t="shared" si="5"/>
        <v>4502.7350000000006</v>
      </c>
      <c r="AC16" s="6167"/>
      <c r="AD16" s="5103"/>
      <c r="AE16" s="2236"/>
      <c r="AF16" s="6175">
        <f t="shared" si="6"/>
        <v>4502.7350000000006</v>
      </c>
      <c r="AG16" s="6331"/>
      <c r="AH16" s="5103"/>
      <c r="AI16" s="4635"/>
      <c r="AJ16" s="6368">
        <f t="shared" si="7"/>
        <v>4502.7350000000006</v>
      </c>
      <c r="AK16" s="6598"/>
      <c r="AL16" s="5103"/>
      <c r="AM16" s="749"/>
      <c r="AN16" s="6589">
        <f t="shared" si="8"/>
        <v>0</v>
      </c>
      <c r="AO16" s="2236"/>
      <c r="AP16" s="6593">
        <f t="shared" si="9"/>
        <v>4502.7350000000006</v>
      </c>
      <c r="AQ16" s="6677"/>
      <c r="AR16" s="5103">
        <v>2243.3649999999998</v>
      </c>
      <c r="AS16" s="2236"/>
      <c r="AT16" s="2236">
        <f t="shared" si="10"/>
        <v>6746.1</v>
      </c>
      <c r="AU16" s="6849"/>
      <c r="AV16" s="5103"/>
      <c r="AW16" s="5047"/>
      <c r="AX16" s="6842">
        <f t="shared" si="11"/>
        <v>6746.1</v>
      </c>
      <c r="AY16" s="7005"/>
      <c r="AZ16" s="7242"/>
      <c r="BA16" s="749"/>
      <c r="BB16" s="7079">
        <f t="shared" si="12"/>
        <v>2243.3649999999998</v>
      </c>
      <c r="BC16" s="492"/>
      <c r="BD16" s="629">
        <f t="shared" si="13"/>
        <v>2243.3649999999998</v>
      </c>
      <c r="BE16" s="2236"/>
      <c r="BF16" s="2236">
        <f t="shared" si="14"/>
        <v>6746.1</v>
      </c>
      <c r="BG16" s="4234"/>
      <c r="BH16" s="4234"/>
      <c r="BI16" s="25"/>
      <c r="BJ16" s="25"/>
      <c r="BK16" s="25"/>
      <c r="BL16" s="25"/>
      <c r="BM16" s="25"/>
      <c r="BN16" s="25"/>
    </row>
    <row r="17" spans="1:66" s="4487" customFormat="1" ht="15" customHeight="1" x14ac:dyDescent="0.25">
      <c r="B17" s="3273" t="s">
        <v>907</v>
      </c>
      <c r="C17" s="3274" t="s">
        <v>999</v>
      </c>
      <c r="D17" s="58" t="s">
        <v>50</v>
      </c>
      <c r="E17" s="6041"/>
      <c r="F17" s="5103"/>
      <c r="G17" s="6041"/>
      <c r="H17" s="5103"/>
      <c r="I17" s="6037"/>
      <c r="J17" s="5971"/>
      <c r="K17" s="6041"/>
      <c r="L17" s="5103"/>
      <c r="M17" s="5972"/>
      <c r="N17" s="5972"/>
      <c r="O17" s="6041"/>
      <c r="P17" s="5103"/>
      <c r="Q17" s="5971"/>
      <c r="R17" s="5971"/>
      <c r="S17" s="6041"/>
      <c r="T17" s="5103"/>
      <c r="U17" s="5971"/>
      <c r="V17" s="5971"/>
      <c r="W17" s="6041"/>
      <c r="X17" s="5103">
        <v>1104.3</v>
      </c>
      <c r="Y17" s="6053"/>
      <c r="Z17" s="6033">
        <f t="shared" ref="Z17" si="15">+P17+T17+X17</f>
        <v>1104.3</v>
      </c>
      <c r="AA17" s="492"/>
      <c r="AB17" s="629">
        <f t="shared" ref="AB17" si="16">+N17+Z17</f>
        <v>1104.3</v>
      </c>
      <c r="AC17" s="6167"/>
      <c r="AD17" s="5103"/>
      <c r="AE17" s="5971"/>
      <c r="AF17" s="6175">
        <f t="shared" si="6"/>
        <v>1104.3</v>
      </c>
      <c r="AG17" s="6331"/>
      <c r="AH17" s="5103"/>
      <c r="AI17" s="5971"/>
      <c r="AJ17" s="6368">
        <f t="shared" si="7"/>
        <v>1104.3</v>
      </c>
      <c r="AK17" s="6598"/>
      <c r="AL17" s="5103"/>
      <c r="AM17" s="6053"/>
      <c r="AN17" s="6589">
        <f t="shared" si="8"/>
        <v>0</v>
      </c>
      <c r="AO17" s="5971"/>
      <c r="AP17" s="6593">
        <f t="shared" si="9"/>
        <v>1104.3</v>
      </c>
      <c r="AQ17" s="6677"/>
      <c r="AR17" s="5103">
        <v>1636.9950000000001</v>
      </c>
      <c r="AS17" s="5971"/>
      <c r="AT17" s="5971">
        <f t="shared" si="10"/>
        <v>2741.2950000000001</v>
      </c>
      <c r="AU17" s="6849"/>
      <c r="AV17" s="5103"/>
      <c r="AW17" s="5971"/>
      <c r="AX17" s="6842">
        <f t="shared" si="11"/>
        <v>2741.2950000000001</v>
      </c>
      <c r="AY17" s="7005"/>
      <c r="AZ17" s="7242"/>
      <c r="BA17" s="6053"/>
      <c r="BB17" s="7079">
        <f t="shared" si="12"/>
        <v>1636.9950000000001</v>
      </c>
      <c r="BC17" s="6054"/>
      <c r="BD17" s="629">
        <f t="shared" si="13"/>
        <v>1636.9950000000001</v>
      </c>
      <c r="BE17" s="5971"/>
      <c r="BF17" s="6995">
        <f t="shared" si="14"/>
        <v>2741.2950000000001</v>
      </c>
      <c r="BG17" s="4234"/>
      <c r="BH17" s="4234"/>
      <c r="BI17" s="25"/>
      <c r="BJ17" s="25"/>
      <c r="BK17" s="25"/>
      <c r="BL17" s="25"/>
      <c r="BM17" s="25"/>
      <c r="BN17" s="25"/>
    </row>
    <row r="18" spans="1:66" ht="15" customHeight="1" x14ac:dyDescent="0.25">
      <c r="A18" s="1652"/>
      <c r="B18" s="833" t="s">
        <v>1480</v>
      </c>
      <c r="C18" s="3278" t="s">
        <v>999</v>
      </c>
      <c r="D18" s="3180" t="s">
        <v>50</v>
      </c>
      <c r="E18" s="2883"/>
      <c r="F18" s="2945"/>
      <c r="G18" s="5610"/>
      <c r="H18" s="5607"/>
      <c r="I18" s="2884"/>
      <c r="J18" s="5241">
        <f t="shared" si="0"/>
        <v>0</v>
      </c>
      <c r="K18" s="5722"/>
      <c r="L18" s="5718"/>
      <c r="M18" s="1651"/>
      <c r="N18" s="4153">
        <f t="shared" si="1"/>
        <v>0</v>
      </c>
      <c r="O18" s="5857"/>
      <c r="P18" s="5849">
        <v>2233.145</v>
      </c>
      <c r="Q18" s="1650"/>
      <c r="R18" s="5838">
        <f t="shared" si="2"/>
        <v>2233.145</v>
      </c>
      <c r="S18" s="5940"/>
      <c r="T18" s="5938"/>
      <c r="U18" s="4351"/>
      <c r="V18" s="5959">
        <f t="shared" si="3"/>
        <v>2233.145</v>
      </c>
      <c r="W18" s="6043"/>
      <c r="X18" s="6038"/>
      <c r="Y18" s="749"/>
      <c r="Z18" s="6033">
        <f t="shared" si="4"/>
        <v>2233.145</v>
      </c>
      <c r="AA18" s="492"/>
      <c r="AB18" s="629">
        <f t="shared" si="5"/>
        <v>2233.145</v>
      </c>
      <c r="AC18" s="6169"/>
      <c r="AD18" s="6164"/>
      <c r="AE18" s="2236"/>
      <c r="AF18" s="6175">
        <f t="shared" si="6"/>
        <v>2233.145</v>
      </c>
      <c r="AG18" s="6337"/>
      <c r="AH18" s="6333"/>
      <c r="AI18" s="4635"/>
      <c r="AJ18" s="6368">
        <f t="shared" si="7"/>
        <v>2233.145</v>
      </c>
      <c r="AK18" s="6600"/>
      <c r="AL18" s="6595"/>
      <c r="AM18" s="749"/>
      <c r="AN18" s="6589">
        <f t="shared" si="8"/>
        <v>0</v>
      </c>
      <c r="AO18" s="2236"/>
      <c r="AP18" s="6593">
        <f t="shared" si="9"/>
        <v>2233.145</v>
      </c>
      <c r="AQ18" s="6679"/>
      <c r="AR18" s="6675"/>
      <c r="AS18" s="2236"/>
      <c r="AT18" s="2236">
        <f t="shared" si="10"/>
        <v>2233.145</v>
      </c>
      <c r="AU18" s="6852"/>
      <c r="AV18" s="6845"/>
      <c r="AW18" s="5047"/>
      <c r="AX18" s="6842">
        <f t="shared" si="11"/>
        <v>2233.145</v>
      </c>
      <c r="AY18" s="7008"/>
      <c r="AZ18" s="2996"/>
      <c r="BA18" s="749"/>
      <c r="BB18" s="7079">
        <f t="shared" si="12"/>
        <v>0</v>
      </c>
      <c r="BC18" s="492"/>
      <c r="BD18" s="629">
        <f t="shared" si="13"/>
        <v>0</v>
      </c>
      <c r="BE18" s="2236"/>
      <c r="BF18" s="2236">
        <f t="shared" si="14"/>
        <v>2233.145</v>
      </c>
      <c r="BG18" s="4234"/>
      <c r="BH18" s="4234"/>
      <c r="BI18" s="25"/>
      <c r="BJ18" s="25"/>
      <c r="BK18" s="25"/>
      <c r="BL18" s="25"/>
      <c r="BM18" s="25"/>
      <c r="BN18" s="25"/>
    </row>
    <row r="19" spans="1:66" s="4487" customFormat="1" ht="15" customHeight="1" x14ac:dyDescent="0.25">
      <c r="B19" s="5949" t="s">
        <v>1480</v>
      </c>
      <c r="C19" s="5950" t="s">
        <v>1001</v>
      </c>
      <c r="D19" s="5951" t="s">
        <v>50</v>
      </c>
      <c r="E19" s="5952"/>
      <c r="F19" s="5953"/>
      <c r="G19" s="5952"/>
      <c r="H19" s="5953"/>
      <c r="I19" s="5954"/>
      <c r="J19" s="5739"/>
      <c r="K19" s="5952"/>
      <c r="L19" s="5953"/>
      <c r="M19" s="5745"/>
      <c r="N19" s="5942">
        <f t="shared" si="1"/>
        <v>0</v>
      </c>
      <c r="O19" s="5952"/>
      <c r="P19" s="5953"/>
      <c r="Q19" s="5739"/>
      <c r="R19" s="5944">
        <f t="shared" si="2"/>
        <v>0</v>
      </c>
      <c r="S19" s="5952"/>
      <c r="T19" s="5953">
        <v>1092.5949999999998</v>
      </c>
      <c r="U19" s="5739"/>
      <c r="V19" s="5959">
        <f t="shared" si="3"/>
        <v>1092.5949999999998</v>
      </c>
      <c r="W19" s="5952"/>
      <c r="X19" s="5953"/>
      <c r="Y19" s="5746"/>
      <c r="Z19" s="6033">
        <f t="shared" si="4"/>
        <v>1092.5949999999998</v>
      </c>
      <c r="AA19" s="5651"/>
      <c r="AB19" s="629">
        <f t="shared" si="5"/>
        <v>1092.5949999999998</v>
      </c>
      <c r="AC19" s="5952"/>
      <c r="AD19" s="5953"/>
      <c r="AE19" s="5739"/>
      <c r="AF19" s="6175">
        <f t="shared" si="6"/>
        <v>1092.5949999999998</v>
      </c>
      <c r="AG19" s="5952"/>
      <c r="AH19" s="5953"/>
      <c r="AI19" s="5739"/>
      <c r="AJ19" s="6368">
        <f t="shared" si="7"/>
        <v>1092.5949999999998</v>
      </c>
      <c r="AK19" s="5952"/>
      <c r="AL19" s="5953"/>
      <c r="AM19" s="5746"/>
      <c r="AN19" s="6589">
        <f t="shared" si="8"/>
        <v>0</v>
      </c>
      <c r="AO19" s="5739"/>
      <c r="AP19" s="6593">
        <f t="shared" si="9"/>
        <v>1092.5949999999998</v>
      </c>
      <c r="AQ19" s="5952"/>
      <c r="AR19" s="5953"/>
      <c r="AS19" s="5739"/>
      <c r="AT19" s="5739">
        <f t="shared" si="10"/>
        <v>1092.5949999999998</v>
      </c>
      <c r="AU19" s="5952"/>
      <c r="AV19" s="5953"/>
      <c r="AW19" s="5739"/>
      <c r="AX19" s="6842">
        <f t="shared" si="11"/>
        <v>1092.5949999999998</v>
      </c>
      <c r="AY19" s="5952"/>
      <c r="AZ19" s="7243"/>
      <c r="BA19" s="5746"/>
      <c r="BB19" s="7079">
        <f t="shared" si="12"/>
        <v>0</v>
      </c>
      <c r="BC19" s="5651"/>
      <c r="BD19" s="629">
        <f t="shared" si="13"/>
        <v>0</v>
      </c>
      <c r="BE19" s="5739"/>
      <c r="BF19" s="6995">
        <f t="shared" si="14"/>
        <v>1092.5949999999998</v>
      </c>
      <c r="BG19" s="4234"/>
      <c r="BH19" s="4234"/>
      <c r="BI19" s="25"/>
      <c r="BJ19" s="25"/>
      <c r="BK19" s="25"/>
      <c r="BL19" s="25"/>
      <c r="BM19" s="25"/>
      <c r="BN19" s="25"/>
    </row>
    <row r="20" spans="1:66" ht="15" customHeight="1" thickBot="1" x14ac:dyDescent="0.3">
      <c r="A20" s="1652"/>
      <c r="B20" s="3282" t="s">
        <v>1480</v>
      </c>
      <c r="C20" s="3283" t="s">
        <v>1000</v>
      </c>
      <c r="D20" s="3284" t="s">
        <v>50</v>
      </c>
      <c r="E20" s="3178"/>
      <c r="F20" s="3217"/>
      <c r="G20" s="5609"/>
      <c r="H20" s="3217"/>
      <c r="I20" s="3179"/>
      <c r="J20" s="5241">
        <f t="shared" si="0"/>
        <v>0</v>
      </c>
      <c r="K20" s="5721"/>
      <c r="L20" s="3217"/>
      <c r="M20" s="1651"/>
      <c r="N20" s="4153">
        <f t="shared" si="1"/>
        <v>0</v>
      </c>
      <c r="O20" s="5856"/>
      <c r="P20" s="3217">
        <v>4350.0300000000016</v>
      </c>
      <c r="Q20" s="1650"/>
      <c r="R20" s="5944">
        <f t="shared" si="2"/>
        <v>4350.0300000000016</v>
      </c>
      <c r="S20" s="5939"/>
      <c r="T20" s="3217">
        <v>8407.0550000000094</v>
      </c>
      <c r="U20" s="4351"/>
      <c r="V20" s="5959">
        <f t="shared" si="3"/>
        <v>12757.08500000001</v>
      </c>
      <c r="W20" s="6042"/>
      <c r="X20" s="3217"/>
      <c r="Y20" s="749"/>
      <c r="Z20" s="6033">
        <f t="shared" si="4"/>
        <v>12757.08500000001</v>
      </c>
      <c r="AA20" s="492"/>
      <c r="AB20" s="629">
        <f t="shared" si="5"/>
        <v>12757.08500000001</v>
      </c>
      <c r="AC20" s="6168"/>
      <c r="AD20" s="3217"/>
      <c r="AE20" s="2236"/>
      <c r="AF20" s="6175">
        <f t="shared" si="6"/>
        <v>12757.08500000001</v>
      </c>
      <c r="AG20" s="6336"/>
      <c r="AH20" s="3217"/>
      <c r="AI20" s="4635"/>
      <c r="AJ20" s="6368">
        <f t="shared" si="7"/>
        <v>12757.08500000001</v>
      </c>
      <c r="AK20" s="6599"/>
      <c r="AL20" s="3217"/>
      <c r="AM20" s="749"/>
      <c r="AN20" s="6589">
        <f t="shared" si="8"/>
        <v>0</v>
      </c>
      <c r="AO20" s="2236"/>
      <c r="AP20" s="6593">
        <f t="shared" si="9"/>
        <v>12757.08500000001</v>
      </c>
      <c r="AQ20" s="6678"/>
      <c r="AR20" s="3217"/>
      <c r="AS20" s="2236"/>
      <c r="AT20" s="2236">
        <f t="shared" si="10"/>
        <v>12757.08500000001</v>
      </c>
      <c r="AU20" s="6850"/>
      <c r="AV20" s="3217"/>
      <c r="AW20" s="5047"/>
      <c r="AX20" s="6842">
        <f t="shared" si="11"/>
        <v>12757.08500000001</v>
      </c>
      <c r="AY20" s="7006"/>
      <c r="AZ20" s="7244"/>
      <c r="BA20" s="749"/>
      <c r="BB20" s="7079">
        <f t="shared" si="12"/>
        <v>0</v>
      </c>
      <c r="BC20" s="492"/>
      <c r="BD20" s="629">
        <f t="shared" si="13"/>
        <v>0</v>
      </c>
      <c r="BE20" s="2236"/>
      <c r="BF20" s="2236">
        <f t="shared" si="14"/>
        <v>12757.08500000001</v>
      </c>
      <c r="BG20" s="4234"/>
      <c r="BH20" s="4234"/>
      <c r="BI20" s="25"/>
      <c r="BJ20" s="25"/>
      <c r="BK20" s="25"/>
      <c r="BL20" s="25"/>
      <c r="BM20" s="25"/>
      <c r="BN20" s="25"/>
    </row>
    <row r="21" spans="1:66" s="2556" customFormat="1" ht="15" customHeight="1" thickBot="1" x14ac:dyDescent="0.3">
      <c r="B21" s="3285" t="s">
        <v>1487</v>
      </c>
      <c r="C21" s="3286" t="s">
        <v>1080</v>
      </c>
      <c r="D21" s="3287" t="s">
        <v>50</v>
      </c>
      <c r="E21" s="3288"/>
      <c r="F21" s="3289"/>
      <c r="G21" s="3288"/>
      <c r="H21" s="3289"/>
      <c r="I21" s="3290"/>
      <c r="J21" s="5241">
        <f t="shared" si="0"/>
        <v>0</v>
      </c>
      <c r="K21" s="3288"/>
      <c r="L21" s="3289"/>
      <c r="M21" s="2553"/>
      <c r="N21" s="4153">
        <f t="shared" si="1"/>
        <v>0</v>
      </c>
      <c r="O21" s="3288"/>
      <c r="P21" s="3289"/>
      <c r="Q21" s="2236"/>
      <c r="R21" s="5838">
        <f t="shared" si="2"/>
        <v>0</v>
      </c>
      <c r="S21" s="3288"/>
      <c r="T21" s="3289"/>
      <c r="U21" s="4351"/>
      <c r="V21" s="5959">
        <f t="shared" si="3"/>
        <v>0</v>
      </c>
      <c r="W21" s="3288"/>
      <c r="X21" s="3289"/>
      <c r="Y21" s="749"/>
      <c r="Z21" s="6033">
        <f t="shared" si="4"/>
        <v>0</v>
      </c>
      <c r="AA21" s="492"/>
      <c r="AB21" s="629">
        <f t="shared" si="5"/>
        <v>0</v>
      </c>
      <c r="AC21" s="3288"/>
      <c r="AD21" s="3289"/>
      <c r="AE21" s="2236"/>
      <c r="AF21" s="6175">
        <f t="shared" si="6"/>
        <v>0</v>
      </c>
      <c r="AG21" s="3288"/>
      <c r="AH21" s="3289"/>
      <c r="AI21" s="4635"/>
      <c r="AJ21" s="6368">
        <f t="shared" si="7"/>
        <v>0</v>
      </c>
      <c r="AK21" s="3288"/>
      <c r="AL21" s="3289"/>
      <c r="AM21" s="749"/>
      <c r="AN21" s="6589">
        <f t="shared" si="8"/>
        <v>0</v>
      </c>
      <c r="AO21" s="2236"/>
      <c r="AP21" s="6593">
        <f t="shared" si="9"/>
        <v>0</v>
      </c>
      <c r="AQ21" s="3288"/>
      <c r="AR21" s="3289"/>
      <c r="AS21" s="2236"/>
      <c r="AT21" s="2236">
        <f t="shared" si="10"/>
        <v>0</v>
      </c>
      <c r="AU21" s="3288"/>
      <c r="AV21" s="3289"/>
      <c r="AW21" s="5047"/>
      <c r="AX21" s="6842">
        <f t="shared" si="11"/>
        <v>0</v>
      </c>
      <c r="AY21" s="3288"/>
      <c r="AZ21" s="7245"/>
      <c r="BA21" s="749"/>
      <c r="BB21" s="7079">
        <f t="shared" si="12"/>
        <v>0</v>
      </c>
      <c r="BC21" s="492"/>
      <c r="BD21" s="629">
        <f t="shared" si="13"/>
        <v>0</v>
      </c>
      <c r="BE21" s="2236"/>
      <c r="BF21" s="2236">
        <f t="shared" si="14"/>
        <v>0</v>
      </c>
      <c r="BG21" s="4234"/>
      <c r="BH21" s="4234"/>
      <c r="BI21" s="25"/>
      <c r="BJ21" s="25"/>
      <c r="BK21" s="25"/>
      <c r="BL21" s="25"/>
      <c r="BM21" s="25"/>
      <c r="BN21" s="25"/>
    </row>
    <row r="22" spans="1:66" ht="15" customHeight="1" x14ac:dyDescent="0.25">
      <c r="B22" s="3273" t="s">
        <v>821</v>
      </c>
      <c r="C22" s="3274" t="s">
        <v>999</v>
      </c>
      <c r="D22" s="58" t="s">
        <v>50</v>
      </c>
      <c r="E22" s="1121"/>
      <c r="F22" s="1223"/>
      <c r="G22" s="5608"/>
      <c r="H22" s="5103">
        <v>2016.3700000000003</v>
      </c>
      <c r="I22" s="2239"/>
      <c r="J22" s="5241">
        <f t="shared" si="0"/>
        <v>2016.3700000000003</v>
      </c>
      <c r="K22" s="5720"/>
      <c r="L22" s="5103">
        <v>2018.4149999999995</v>
      </c>
      <c r="M22" s="732"/>
      <c r="N22" s="4153">
        <f t="shared" si="1"/>
        <v>4034.7849999999999</v>
      </c>
      <c r="O22" s="5855"/>
      <c r="P22" s="5103">
        <v>2157.4749999999995</v>
      </c>
      <c r="Q22" s="733"/>
      <c r="R22" s="5838">
        <f t="shared" si="2"/>
        <v>6192.2599999999993</v>
      </c>
      <c r="S22" s="5937"/>
      <c r="T22" s="5103"/>
      <c r="U22" s="4351"/>
      <c r="V22" s="5959">
        <f t="shared" si="3"/>
        <v>6192.2599999999993</v>
      </c>
      <c r="W22" s="6041"/>
      <c r="X22" s="5103"/>
      <c r="Y22" s="749"/>
      <c r="Z22" s="6033">
        <f t="shared" si="4"/>
        <v>2157.4749999999995</v>
      </c>
      <c r="AA22" s="492"/>
      <c r="AB22" s="629">
        <f t="shared" si="5"/>
        <v>6192.2599999999993</v>
      </c>
      <c r="AC22" s="6167"/>
      <c r="AD22" s="5103"/>
      <c r="AE22" s="2236"/>
      <c r="AF22" s="6175">
        <f t="shared" si="6"/>
        <v>6192.2599999999993</v>
      </c>
      <c r="AG22" s="6331"/>
      <c r="AH22" s="5103"/>
      <c r="AI22" s="4635"/>
      <c r="AJ22" s="6368">
        <f t="shared" si="7"/>
        <v>6192.2599999999993</v>
      </c>
      <c r="AK22" s="6598"/>
      <c r="AL22" s="5103"/>
      <c r="AM22" s="749"/>
      <c r="AN22" s="6589">
        <f t="shared" si="8"/>
        <v>0</v>
      </c>
      <c r="AO22" s="2236"/>
      <c r="AP22" s="6593">
        <f t="shared" si="9"/>
        <v>6192.2599999999993</v>
      </c>
      <c r="AQ22" s="6677"/>
      <c r="AR22" s="5103"/>
      <c r="AS22" s="2236"/>
      <c r="AT22" s="2236">
        <f t="shared" si="10"/>
        <v>6192.2599999999993</v>
      </c>
      <c r="AU22" s="6849"/>
      <c r="AV22" s="5103">
        <v>2241.3199999999997</v>
      </c>
      <c r="AW22" s="5047"/>
      <c r="AX22" s="6842">
        <f t="shared" si="11"/>
        <v>8433.5799999999981</v>
      </c>
      <c r="AY22" s="7005"/>
      <c r="AZ22" s="7242">
        <v>985.65390815630406</v>
      </c>
      <c r="BA22" s="749"/>
      <c r="BB22" s="7079">
        <f t="shared" si="12"/>
        <v>3226.9739081563039</v>
      </c>
      <c r="BC22" s="492"/>
      <c r="BD22" s="629">
        <f t="shared" si="13"/>
        <v>3226.9739081563039</v>
      </c>
      <c r="BE22" s="2236"/>
      <c r="BF22" s="2236">
        <f t="shared" si="14"/>
        <v>9419.2339081563023</v>
      </c>
      <c r="BG22" s="4234"/>
      <c r="BH22" s="4234"/>
      <c r="BI22" s="25"/>
      <c r="BJ22" s="25"/>
      <c r="BK22" s="25"/>
      <c r="BL22" s="25"/>
      <c r="BM22" s="25"/>
      <c r="BN22" s="25"/>
    </row>
    <row r="23" spans="1:66" ht="15" customHeight="1" x14ac:dyDescent="0.25">
      <c r="B23" s="833" t="s">
        <v>821</v>
      </c>
      <c r="C23" s="3278" t="s">
        <v>1000</v>
      </c>
      <c r="D23" s="3180" t="s">
        <v>50</v>
      </c>
      <c r="E23" s="2883"/>
      <c r="F23" s="2945">
        <v>10082.880000000006</v>
      </c>
      <c r="G23" s="5610"/>
      <c r="H23" s="5607">
        <v>5116.5899999999983</v>
      </c>
      <c r="I23" s="2884"/>
      <c r="J23" s="5241">
        <f t="shared" si="0"/>
        <v>15199.470000000005</v>
      </c>
      <c r="K23" s="5722"/>
      <c r="L23" s="5718"/>
      <c r="M23" s="732"/>
      <c r="N23" s="4153">
        <f t="shared" si="1"/>
        <v>15199.470000000005</v>
      </c>
      <c r="O23" s="5857"/>
      <c r="P23" s="5849">
        <v>5458.1050000000059</v>
      </c>
      <c r="Q23" s="733"/>
      <c r="R23" s="5838">
        <f t="shared" si="2"/>
        <v>20657.575000000012</v>
      </c>
      <c r="S23" s="5940"/>
      <c r="T23" s="5938">
        <v>3828.2400000000007</v>
      </c>
      <c r="U23" s="4351"/>
      <c r="V23" s="5959">
        <f t="shared" si="3"/>
        <v>24485.815000000013</v>
      </c>
      <c r="W23" s="6043"/>
      <c r="X23" s="6038"/>
      <c r="Y23" s="749"/>
      <c r="Z23" s="6033">
        <f t="shared" si="4"/>
        <v>9286.3450000000066</v>
      </c>
      <c r="AA23" s="492"/>
      <c r="AB23" s="629">
        <f t="shared" si="5"/>
        <v>24485.81500000001</v>
      </c>
      <c r="AC23" s="6169"/>
      <c r="AD23" s="6164">
        <v>1832.3199999999997</v>
      </c>
      <c r="AE23" s="2236"/>
      <c r="AF23" s="6175">
        <f t="shared" si="6"/>
        <v>26318.135000000009</v>
      </c>
      <c r="AG23" s="6337"/>
      <c r="AH23" s="6333">
        <v>6705.5550000000067</v>
      </c>
      <c r="AI23" s="4635"/>
      <c r="AJ23" s="6368">
        <f t="shared" si="7"/>
        <v>33023.690000000017</v>
      </c>
      <c r="AK23" s="6600"/>
      <c r="AL23" s="6595">
        <v>2030.6849999999995</v>
      </c>
      <c r="AM23" s="749"/>
      <c r="AN23" s="6589">
        <f t="shared" si="8"/>
        <v>10568.560000000007</v>
      </c>
      <c r="AO23" s="2236"/>
      <c r="AP23" s="6593">
        <f t="shared" si="9"/>
        <v>35054.375000000015</v>
      </c>
      <c r="AQ23" s="6679"/>
      <c r="AR23" s="6675">
        <v>9261.8050000000112</v>
      </c>
      <c r="AS23" s="2236"/>
      <c r="AT23" s="2236">
        <f t="shared" si="10"/>
        <v>44316.180000000022</v>
      </c>
      <c r="AU23" s="6852"/>
      <c r="AV23" s="6845">
        <v>7314.9650000000011</v>
      </c>
      <c r="AW23" s="5047"/>
      <c r="AX23" s="6842">
        <f t="shared" si="11"/>
        <v>51631.145000000026</v>
      </c>
      <c r="AY23" s="7008"/>
      <c r="AZ23" s="2996">
        <v>8303.3874687106891</v>
      </c>
      <c r="BA23" s="749"/>
      <c r="BB23" s="7079">
        <f t="shared" si="12"/>
        <v>24880.157468710699</v>
      </c>
      <c r="BC23" s="492"/>
      <c r="BD23" s="629">
        <f t="shared" si="13"/>
        <v>35448.717468710704</v>
      </c>
      <c r="BE23" s="2236"/>
      <c r="BF23" s="2236">
        <f t="shared" si="14"/>
        <v>59934.532468710713</v>
      </c>
      <c r="BG23" s="4234"/>
      <c r="BH23" s="4234"/>
      <c r="BI23" s="25"/>
      <c r="BJ23" s="25"/>
      <c r="BK23" s="25"/>
      <c r="BL23" s="25"/>
      <c r="BM23" s="25"/>
      <c r="BN23" s="25"/>
    </row>
    <row r="24" spans="1:66" ht="15" customHeight="1" x14ac:dyDescent="0.25">
      <c r="B24" s="833" t="s">
        <v>821</v>
      </c>
      <c r="C24" s="3278" t="s">
        <v>1100</v>
      </c>
      <c r="D24" s="3180" t="s">
        <v>50</v>
      </c>
      <c r="E24" s="2883"/>
      <c r="F24" s="2945"/>
      <c r="G24" s="5610"/>
      <c r="H24" s="5607"/>
      <c r="I24" s="2884"/>
      <c r="J24" s="5241">
        <f t="shared" si="0"/>
        <v>0</v>
      </c>
      <c r="K24" s="5722"/>
      <c r="L24" s="5718"/>
      <c r="M24" s="732"/>
      <c r="N24" s="4153">
        <f t="shared" si="1"/>
        <v>0</v>
      </c>
      <c r="O24" s="5857"/>
      <c r="P24" s="5849"/>
      <c r="Q24" s="733"/>
      <c r="R24" s="5838">
        <f t="shared" si="2"/>
        <v>0</v>
      </c>
      <c r="S24" s="5940"/>
      <c r="T24" s="5938"/>
      <c r="U24" s="4351"/>
      <c r="V24" s="5959">
        <f t="shared" si="3"/>
        <v>0</v>
      </c>
      <c r="W24" s="6043"/>
      <c r="X24" s="6038"/>
      <c r="Y24" s="749"/>
      <c r="Z24" s="6033">
        <f t="shared" si="4"/>
        <v>0</v>
      </c>
      <c r="AA24" s="492"/>
      <c r="AB24" s="629">
        <f t="shared" si="5"/>
        <v>0</v>
      </c>
      <c r="AC24" s="6169"/>
      <c r="AD24" s="6164"/>
      <c r="AE24" s="2236"/>
      <c r="AF24" s="6175">
        <f t="shared" si="6"/>
        <v>0</v>
      </c>
      <c r="AG24" s="6337"/>
      <c r="AH24" s="6333"/>
      <c r="AI24" s="4635"/>
      <c r="AJ24" s="6368">
        <f t="shared" si="7"/>
        <v>0</v>
      </c>
      <c r="AK24" s="6600"/>
      <c r="AL24" s="6595"/>
      <c r="AM24" s="749"/>
      <c r="AN24" s="6589">
        <f t="shared" si="8"/>
        <v>0</v>
      </c>
      <c r="AO24" s="2236"/>
      <c r="AP24" s="6593">
        <f t="shared" si="9"/>
        <v>0</v>
      </c>
      <c r="AQ24" s="6679"/>
      <c r="AR24" s="6675"/>
      <c r="AS24" s="2236"/>
      <c r="AT24" s="2236">
        <f t="shared" si="10"/>
        <v>0</v>
      </c>
      <c r="AU24" s="6852"/>
      <c r="AV24" s="6845"/>
      <c r="AW24" s="5047"/>
      <c r="AX24" s="6842">
        <f t="shared" si="11"/>
        <v>0</v>
      </c>
      <c r="AY24" s="7008"/>
      <c r="AZ24" s="2996"/>
      <c r="BA24" s="749"/>
      <c r="BB24" s="7079">
        <f t="shared" si="12"/>
        <v>0</v>
      </c>
      <c r="BC24" s="492"/>
      <c r="BD24" s="629">
        <f t="shared" si="13"/>
        <v>0</v>
      </c>
      <c r="BE24" s="2236"/>
      <c r="BF24" s="2236">
        <f t="shared" si="14"/>
        <v>0</v>
      </c>
      <c r="BG24" s="4234"/>
      <c r="BH24" s="4234"/>
      <c r="BI24" s="25"/>
      <c r="BJ24" s="25"/>
      <c r="BK24" s="25"/>
      <c r="BL24" s="25"/>
      <c r="BM24" s="25"/>
      <c r="BN24" s="25"/>
    </row>
    <row r="25" spans="1:66" ht="15" customHeight="1" x14ac:dyDescent="0.25">
      <c r="B25" s="833" t="s">
        <v>821</v>
      </c>
      <c r="C25" s="3278" t="s">
        <v>1001</v>
      </c>
      <c r="D25" s="3180" t="s">
        <v>50</v>
      </c>
      <c r="E25" s="2883"/>
      <c r="F25" s="2945"/>
      <c r="G25" s="5610"/>
      <c r="H25" s="5607"/>
      <c r="I25" s="2884"/>
      <c r="J25" s="5241">
        <f t="shared" si="0"/>
        <v>0</v>
      </c>
      <c r="K25" s="5722"/>
      <c r="L25" s="5718"/>
      <c r="M25" s="732"/>
      <c r="N25" s="4153">
        <f t="shared" si="1"/>
        <v>0</v>
      </c>
      <c r="O25" s="5857"/>
      <c r="P25" s="5849"/>
      <c r="Q25" s="733"/>
      <c r="R25" s="5838">
        <f t="shared" si="2"/>
        <v>0</v>
      </c>
      <c r="S25" s="5940"/>
      <c r="T25" s="5938">
        <v>513.29500000000007</v>
      </c>
      <c r="U25" s="4351"/>
      <c r="V25" s="5959">
        <f t="shared" si="3"/>
        <v>513.29500000000007</v>
      </c>
      <c r="W25" s="6043"/>
      <c r="X25" s="6038"/>
      <c r="Y25" s="749"/>
      <c r="Z25" s="6033">
        <f t="shared" si="4"/>
        <v>513.29500000000007</v>
      </c>
      <c r="AA25" s="492"/>
      <c r="AB25" s="629">
        <f t="shared" si="5"/>
        <v>513.29500000000007</v>
      </c>
      <c r="AC25" s="6169"/>
      <c r="AD25" s="6164"/>
      <c r="AE25" s="2236"/>
      <c r="AF25" s="6175">
        <f t="shared" si="6"/>
        <v>513.29500000000007</v>
      </c>
      <c r="AG25" s="6337"/>
      <c r="AH25" s="6333">
        <v>1030.6800000000003</v>
      </c>
      <c r="AI25" s="4635"/>
      <c r="AJ25" s="6368">
        <f t="shared" si="7"/>
        <v>1543.9750000000004</v>
      </c>
      <c r="AK25" s="6600"/>
      <c r="AL25" s="6595">
        <v>3012.2849999999989</v>
      </c>
      <c r="AM25" s="749"/>
      <c r="AN25" s="6589">
        <f t="shared" si="8"/>
        <v>4042.9649999999992</v>
      </c>
      <c r="AO25" s="2236"/>
      <c r="AP25" s="6593">
        <f t="shared" si="9"/>
        <v>4556.2599999999993</v>
      </c>
      <c r="AQ25" s="6679"/>
      <c r="AR25" s="6675"/>
      <c r="AS25" s="2236"/>
      <c r="AT25" s="2236">
        <f t="shared" si="10"/>
        <v>4556.2599999999993</v>
      </c>
      <c r="AU25" s="6852"/>
      <c r="AV25" s="6845"/>
      <c r="AW25" s="5047"/>
      <c r="AX25" s="6842">
        <f t="shared" si="11"/>
        <v>4556.2599999999993</v>
      </c>
      <c r="AY25" s="7008"/>
      <c r="AZ25" s="2996"/>
      <c r="BA25" s="749"/>
      <c r="BB25" s="7079">
        <f t="shared" si="12"/>
        <v>0</v>
      </c>
      <c r="BC25" s="492"/>
      <c r="BD25" s="629">
        <f t="shared" si="13"/>
        <v>4042.9649999999992</v>
      </c>
      <c r="BE25" s="2236"/>
      <c r="BF25" s="2236">
        <f t="shared" si="14"/>
        <v>4556.2599999999993</v>
      </c>
      <c r="BG25" s="4234"/>
      <c r="BH25" s="4234"/>
      <c r="BI25" s="25"/>
      <c r="BJ25" s="25"/>
      <c r="BK25" s="25"/>
      <c r="BL25" s="25"/>
      <c r="BM25" s="25"/>
      <c r="BN25" s="25"/>
    </row>
    <row r="26" spans="1:66" ht="15" customHeight="1" thickBot="1" x14ac:dyDescent="0.3">
      <c r="B26" s="3282" t="s">
        <v>821</v>
      </c>
      <c r="C26" s="3283" t="s">
        <v>1080</v>
      </c>
      <c r="D26" s="3284" t="s">
        <v>50</v>
      </c>
      <c r="E26" s="3178"/>
      <c r="F26" s="3217"/>
      <c r="G26" s="5609"/>
      <c r="H26" s="3217">
        <v>137.01500000000001</v>
      </c>
      <c r="I26" s="3179"/>
      <c r="J26" s="5241">
        <f t="shared" si="0"/>
        <v>137.01500000000001</v>
      </c>
      <c r="K26" s="5721"/>
      <c r="L26" s="3217"/>
      <c r="M26" s="732"/>
      <c r="N26" s="4153">
        <f t="shared" si="1"/>
        <v>137.01500000000001</v>
      </c>
      <c r="O26" s="5856"/>
      <c r="P26" s="3217"/>
      <c r="Q26" s="733"/>
      <c r="R26" s="5838">
        <f t="shared" si="2"/>
        <v>137.01500000000001</v>
      </c>
      <c r="S26" s="5939"/>
      <c r="T26" s="3217"/>
      <c r="U26" s="4351"/>
      <c r="V26" s="5959">
        <f t="shared" si="3"/>
        <v>137.01500000000001</v>
      </c>
      <c r="W26" s="6042"/>
      <c r="X26" s="3217"/>
      <c r="Y26" s="749"/>
      <c r="Z26" s="6033">
        <f t="shared" si="4"/>
        <v>0</v>
      </c>
      <c r="AA26" s="492"/>
      <c r="AB26" s="629">
        <f t="shared" si="5"/>
        <v>137.01500000000001</v>
      </c>
      <c r="AC26" s="6168"/>
      <c r="AD26" s="3217"/>
      <c r="AE26" s="2236"/>
      <c r="AF26" s="6175">
        <f t="shared" si="6"/>
        <v>137.01500000000001</v>
      </c>
      <c r="AG26" s="6336"/>
      <c r="AH26" s="3217"/>
      <c r="AI26" s="4635"/>
      <c r="AJ26" s="6368">
        <f t="shared" si="7"/>
        <v>137.01500000000001</v>
      </c>
      <c r="AK26" s="6599"/>
      <c r="AL26" s="3217"/>
      <c r="AM26" s="749"/>
      <c r="AN26" s="6589">
        <f t="shared" si="8"/>
        <v>0</v>
      </c>
      <c r="AO26" s="2236"/>
      <c r="AP26" s="6593">
        <f t="shared" si="9"/>
        <v>137.01500000000001</v>
      </c>
      <c r="AQ26" s="6678"/>
      <c r="AR26" s="3217"/>
      <c r="AS26" s="2236"/>
      <c r="AT26" s="2236">
        <f t="shared" si="10"/>
        <v>137.01500000000001</v>
      </c>
      <c r="AU26" s="6850"/>
      <c r="AV26" s="3217"/>
      <c r="AW26" s="5047"/>
      <c r="AX26" s="6842">
        <f t="shared" si="11"/>
        <v>137.01500000000001</v>
      </c>
      <c r="AY26" s="7006"/>
      <c r="AZ26" s="7244"/>
      <c r="BA26" s="749"/>
      <c r="BB26" s="7079">
        <f t="shared" si="12"/>
        <v>0</v>
      </c>
      <c r="BC26" s="492"/>
      <c r="BD26" s="629">
        <f t="shared" si="13"/>
        <v>0</v>
      </c>
      <c r="BE26" s="2236"/>
      <c r="BF26" s="2236">
        <f t="shared" si="14"/>
        <v>137.01500000000001</v>
      </c>
      <c r="BG26" s="4234"/>
      <c r="BH26" s="4234"/>
      <c r="BI26" s="25"/>
      <c r="BJ26" s="25"/>
      <c r="BK26" s="25"/>
      <c r="BL26" s="25"/>
      <c r="BM26" s="25"/>
      <c r="BN26" s="25"/>
    </row>
    <row r="27" spans="1:66" ht="15.75" x14ac:dyDescent="0.25">
      <c r="B27" s="3275" t="s">
        <v>822</v>
      </c>
      <c r="C27" s="3276" t="s">
        <v>999</v>
      </c>
      <c r="D27" s="710" t="s">
        <v>50</v>
      </c>
      <c r="E27" s="254"/>
      <c r="F27" s="254"/>
      <c r="G27" s="254"/>
      <c r="H27" s="254">
        <v>3124.4149999999986</v>
      </c>
      <c r="I27" s="349"/>
      <c r="J27" s="5241">
        <f t="shared" si="0"/>
        <v>3124.4149999999986</v>
      </c>
      <c r="K27" s="254"/>
      <c r="L27" s="254">
        <v>2251.5450000000001</v>
      </c>
      <c r="M27" s="732"/>
      <c r="N27" s="4153">
        <f t="shared" si="1"/>
        <v>5375.9599999999991</v>
      </c>
      <c r="O27" s="254"/>
      <c r="P27" s="254">
        <v>5681.0200000000013</v>
      </c>
      <c r="Q27" s="733"/>
      <c r="R27" s="5838">
        <f t="shared" si="2"/>
        <v>11056.98</v>
      </c>
      <c r="S27" s="254"/>
      <c r="T27" s="254"/>
      <c r="U27" s="4351"/>
      <c r="V27" s="5959">
        <f t="shared" si="3"/>
        <v>11056.98</v>
      </c>
      <c r="W27" s="254"/>
      <c r="X27" s="254">
        <v>2472.8049999999994</v>
      </c>
      <c r="Y27" s="749"/>
      <c r="Z27" s="6033">
        <f t="shared" si="4"/>
        <v>8153.8250000000007</v>
      </c>
      <c r="AA27" s="492"/>
      <c r="AB27" s="629">
        <f t="shared" si="5"/>
        <v>13529.785</v>
      </c>
      <c r="AC27" s="254"/>
      <c r="AD27" s="254"/>
      <c r="AE27" s="2236"/>
      <c r="AF27" s="6175">
        <f t="shared" si="6"/>
        <v>13529.785</v>
      </c>
      <c r="AG27" s="254"/>
      <c r="AH27" s="254"/>
      <c r="AI27" s="4635"/>
      <c r="AJ27" s="6368">
        <f t="shared" si="7"/>
        <v>13529.785</v>
      </c>
      <c r="AK27" s="254"/>
      <c r="AL27" s="254"/>
      <c r="AM27" s="749"/>
      <c r="AN27" s="6589">
        <f t="shared" si="8"/>
        <v>0</v>
      </c>
      <c r="AO27" s="2236"/>
      <c r="AP27" s="6593">
        <f t="shared" si="9"/>
        <v>13529.785</v>
      </c>
      <c r="AQ27" s="254"/>
      <c r="AR27" s="254">
        <v>3152.7549999999997</v>
      </c>
      <c r="AS27" s="2236"/>
      <c r="AT27" s="2236">
        <f t="shared" si="10"/>
        <v>16682.54</v>
      </c>
      <c r="AU27" s="254"/>
      <c r="AV27" s="254">
        <v>3580.7950000000001</v>
      </c>
      <c r="AW27" s="5047"/>
      <c r="AX27" s="6842">
        <f t="shared" si="11"/>
        <v>20263.334999999999</v>
      </c>
      <c r="AY27" s="254"/>
      <c r="AZ27" s="7240">
        <v>979.68024810687177</v>
      </c>
      <c r="BA27" s="749"/>
      <c r="BB27" s="7079">
        <f t="shared" si="12"/>
        <v>7713.2302481068709</v>
      </c>
      <c r="BC27" s="492"/>
      <c r="BD27" s="629">
        <f t="shared" si="13"/>
        <v>7713.2302481068709</v>
      </c>
      <c r="BE27" s="2236"/>
      <c r="BF27" s="2236">
        <f t="shared" si="14"/>
        <v>21243.015248106873</v>
      </c>
      <c r="BG27" s="4234"/>
      <c r="BH27" s="4234"/>
      <c r="BI27" s="25"/>
      <c r="BJ27" s="25"/>
      <c r="BK27" s="25"/>
      <c r="BL27" s="25"/>
      <c r="BM27" s="25"/>
      <c r="BN27" s="25"/>
    </row>
    <row r="28" spans="1:66" ht="15.75" x14ac:dyDescent="0.25">
      <c r="B28" s="833" t="s">
        <v>822</v>
      </c>
      <c r="C28" s="3278" t="s">
        <v>1000</v>
      </c>
      <c r="D28" s="3180" t="s">
        <v>50</v>
      </c>
      <c r="E28" s="2945"/>
      <c r="F28" s="2945">
        <v>4981.62</v>
      </c>
      <c r="G28" s="5607"/>
      <c r="H28" s="5607">
        <v>2761.84</v>
      </c>
      <c r="I28" s="2884"/>
      <c r="J28" s="5241">
        <f t="shared" si="0"/>
        <v>7743.46</v>
      </c>
      <c r="K28" s="5718"/>
      <c r="L28" s="5718">
        <v>7930.2000000000016</v>
      </c>
      <c r="M28" s="732"/>
      <c r="N28" s="4153">
        <f t="shared" si="1"/>
        <v>15673.660000000002</v>
      </c>
      <c r="O28" s="5849"/>
      <c r="P28" s="5849">
        <v>17149.980000000036</v>
      </c>
      <c r="Q28" s="733"/>
      <c r="R28" s="5838">
        <f t="shared" si="2"/>
        <v>32823.640000000036</v>
      </c>
      <c r="S28" s="5938"/>
      <c r="T28" s="5938">
        <v>8461.9500000000007</v>
      </c>
      <c r="U28" s="4351"/>
      <c r="V28" s="5959">
        <f t="shared" si="3"/>
        <v>41285.59000000004</v>
      </c>
      <c r="W28" s="6038"/>
      <c r="X28" s="6038">
        <v>13465.740000000033</v>
      </c>
      <c r="Y28" s="749"/>
      <c r="Z28" s="6033">
        <f t="shared" si="4"/>
        <v>39077.670000000071</v>
      </c>
      <c r="AA28" s="492"/>
      <c r="AB28" s="629">
        <f t="shared" si="5"/>
        <v>54751.330000000075</v>
      </c>
      <c r="AC28" s="6164"/>
      <c r="AD28" s="6164">
        <v>15609.635000000049</v>
      </c>
      <c r="AE28" s="2236"/>
      <c r="AF28" s="6175">
        <f t="shared" si="6"/>
        <v>70360.965000000127</v>
      </c>
      <c r="AG28" s="6333"/>
      <c r="AH28" s="6333">
        <v>8318.6600000000017</v>
      </c>
      <c r="AI28" s="4635"/>
      <c r="AJ28" s="6368">
        <f t="shared" si="7"/>
        <v>78679.625000000131</v>
      </c>
      <c r="AK28" s="6595"/>
      <c r="AL28" s="6595">
        <v>16020.605000000058</v>
      </c>
      <c r="AM28" s="749"/>
      <c r="AN28" s="6589">
        <f t="shared" si="8"/>
        <v>39948.900000000111</v>
      </c>
      <c r="AO28" s="2236"/>
      <c r="AP28" s="6593">
        <f t="shared" si="9"/>
        <v>94700.230000000185</v>
      </c>
      <c r="AQ28" s="6675"/>
      <c r="AR28" s="6675">
        <v>10341.610000000013</v>
      </c>
      <c r="AS28" s="2236"/>
      <c r="AT28" s="2236">
        <f t="shared" si="10"/>
        <v>105041.8400000002</v>
      </c>
      <c r="AU28" s="6845"/>
      <c r="AV28" s="6845">
        <v>8854.8500000000058</v>
      </c>
      <c r="AW28" s="5047"/>
      <c r="AX28" s="6842">
        <f t="shared" si="11"/>
        <v>113896.69000000021</v>
      </c>
      <c r="AY28" s="6998"/>
      <c r="AZ28" s="2996">
        <v>17128.868930934874</v>
      </c>
      <c r="BA28" s="749"/>
      <c r="BB28" s="7079">
        <f t="shared" si="12"/>
        <v>36325.328930934891</v>
      </c>
      <c r="BC28" s="492"/>
      <c r="BD28" s="629">
        <f t="shared" si="13"/>
        <v>76274.228930935002</v>
      </c>
      <c r="BE28" s="2236"/>
      <c r="BF28" s="2236">
        <f t="shared" si="14"/>
        <v>131025.55893093508</v>
      </c>
      <c r="BG28" s="4234"/>
      <c r="BH28" s="4234"/>
      <c r="BI28" s="25"/>
      <c r="BJ28" s="25"/>
      <c r="BK28" s="25"/>
      <c r="BL28" s="25"/>
      <c r="BM28" s="25"/>
      <c r="BN28" s="25"/>
    </row>
    <row r="29" spans="1:66" ht="15.75" x14ac:dyDescent="0.25">
      <c r="B29" s="833" t="s">
        <v>822</v>
      </c>
      <c r="C29" s="3278" t="s">
        <v>1100</v>
      </c>
      <c r="D29" s="3180" t="s">
        <v>50</v>
      </c>
      <c r="E29" s="2945"/>
      <c r="F29" s="2945">
        <f>7979.545-2.18</f>
        <v>7977.3649999999998</v>
      </c>
      <c r="G29" s="5607"/>
      <c r="H29" s="5607">
        <v>8564.9000000000124</v>
      </c>
      <c r="I29" s="2884"/>
      <c r="J29" s="5241">
        <f t="shared" si="0"/>
        <v>16542.265000000014</v>
      </c>
      <c r="K29" s="5718"/>
      <c r="L29" s="5718">
        <v>7993.1250000000064</v>
      </c>
      <c r="M29" s="732"/>
      <c r="N29" s="4153">
        <f t="shared" si="1"/>
        <v>24535.390000000021</v>
      </c>
      <c r="O29" s="5849"/>
      <c r="P29" s="5849">
        <v>7960.655000000007</v>
      </c>
      <c r="Q29" s="733"/>
      <c r="R29" s="5838">
        <f t="shared" si="2"/>
        <v>32496.045000000027</v>
      </c>
      <c r="S29" s="5938"/>
      <c r="T29" s="5938">
        <v>7257.2500000000045</v>
      </c>
      <c r="U29" s="4351"/>
      <c r="V29" s="5959">
        <f t="shared" si="3"/>
        <v>39753.295000000035</v>
      </c>
      <c r="W29" s="6038"/>
      <c r="X29" s="6038">
        <v>13499.48500000001</v>
      </c>
      <c r="Y29" s="749"/>
      <c r="Z29" s="6033">
        <f t="shared" si="4"/>
        <v>28717.390000000021</v>
      </c>
      <c r="AA29" s="492"/>
      <c r="AB29" s="629">
        <f t="shared" si="5"/>
        <v>53252.780000000042</v>
      </c>
      <c r="AC29" s="6164"/>
      <c r="AD29" s="6164">
        <v>2618.8650000000002</v>
      </c>
      <c r="AE29" s="2236"/>
      <c r="AF29" s="6175">
        <f t="shared" si="6"/>
        <v>55871.64500000004</v>
      </c>
      <c r="AG29" s="6333"/>
      <c r="AH29" s="6333">
        <v>9189.830000000009</v>
      </c>
      <c r="AI29" s="4635"/>
      <c r="AJ29" s="6368">
        <f t="shared" si="7"/>
        <v>65061.475000000049</v>
      </c>
      <c r="AK29" s="6595"/>
      <c r="AL29" s="6595">
        <v>10765.490000000025</v>
      </c>
      <c r="AM29" s="749"/>
      <c r="AN29" s="6589">
        <f t="shared" si="8"/>
        <v>22574.185000000034</v>
      </c>
      <c r="AO29" s="2236"/>
      <c r="AP29" s="6593">
        <f t="shared" si="9"/>
        <v>75826.965000000069</v>
      </c>
      <c r="AQ29" s="6675"/>
      <c r="AR29" s="6675">
        <v>12092.485000000021</v>
      </c>
      <c r="AS29" s="2236"/>
      <c r="AT29" s="2236">
        <f t="shared" si="10"/>
        <v>87919.450000000084</v>
      </c>
      <c r="AU29" s="6845"/>
      <c r="AV29" s="6845">
        <v>13334.820000000036</v>
      </c>
      <c r="AW29" s="5047"/>
      <c r="AX29" s="6842">
        <f t="shared" si="11"/>
        <v>101254.27000000012</v>
      </c>
      <c r="AY29" s="6998"/>
      <c r="AZ29" s="2996">
        <v>8275.9339487280085</v>
      </c>
      <c r="BA29" s="749"/>
      <c r="BB29" s="7079">
        <f t="shared" si="12"/>
        <v>33703.238948728067</v>
      </c>
      <c r="BC29" s="492"/>
      <c r="BD29" s="629">
        <f t="shared" si="13"/>
        <v>56277.423948728101</v>
      </c>
      <c r="BE29" s="2236"/>
      <c r="BF29" s="2236">
        <f t="shared" si="14"/>
        <v>109530.20394872813</v>
      </c>
      <c r="BG29" s="4234"/>
      <c r="BH29" s="4234"/>
      <c r="BI29" s="25"/>
      <c r="BJ29" s="25"/>
      <c r="BK29" s="25"/>
      <c r="BL29" s="25"/>
      <c r="BM29" s="25"/>
      <c r="BN29" s="25"/>
    </row>
    <row r="30" spans="1:66" ht="15.75" x14ac:dyDescent="0.25">
      <c r="B30" s="833" t="s">
        <v>822</v>
      </c>
      <c r="C30" s="3278" t="s">
        <v>969</v>
      </c>
      <c r="D30" s="3180" t="s">
        <v>50</v>
      </c>
      <c r="E30" s="2945"/>
      <c r="F30" s="2945"/>
      <c r="G30" s="5607"/>
      <c r="H30" s="5607"/>
      <c r="I30" s="2884"/>
      <c r="J30" s="5241">
        <f t="shared" si="0"/>
        <v>0</v>
      </c>
      <c r="K30" s="5718"/>
      <c r="L30" s="5718"/>
      <c r="M30" s="732"/>
      <c r="N30" s="4153">
        <f t="shared" si="1"/>
        <v>0</v>
      </c>
      <c r="O30" s="5849"/>
      <c r="P30" s="5849"/>
      <c r="Q30" s="733"/>
      <c r="R30" s="5838">
        <f t="shared" si="2"/>
        <v>0</v>
      </c>
      <c r="S30" s="5938"/>
      <c r="T30" s="5938"/>
      <c r="U30" s="4351"/>
      <c r="V30" s="5959">
        <f t="shared" si="3"/>
        <v>0</v>
      </c>
      <c r="W30" s="6038"/>
      <c r="X30" s="6038"/>
      <c r="Y30" s="749"/>
      <c r="Z30" s="6033">
        <f t="shared" si="4"/>
        <v>0</v>
      </c>
      <c r="AA30" s="492"/>
      <c r="AB30" s="629">
        <f t="shared" si="5"/>
        <v>0</v>
      </c>
      <c r="AC30" s="6164"/>
      <c r="AD30" s="6164"/>
      <c r="AE30" s="2236"/>
      <c r="AF30" s="6175">
        <f t="shared" si="6"/>
        <v>0</v>
      </c>
      <c r="AG30" s="6333"/>
      <c r="AH30" s="6333"/>
      <c r="AI30" s="4635"/>
      <c r="AJ30" s="6368">
        <f t="shared" si="7"/>
        <v>0</v>
      </c>
      <c r="AK30" s="6595"/>
      <c r="AL30" s="6595"/>
      <c r="AM30" s="749"/>
      <c r="AN30" s="6589">
        <f t="shared" si="8"/>
        <v>0</v>
      </c>
      <c r="AO30" s="2236"/>
      <c r="AP30" s="6593">
        <f t="shared" si="9"/>
        <v>0</v>
      </c>
      <c r="AQ30" s="6675"/>
      <c r="AR30" s="6675"/>
      <c r="AS30" s="2236"/>
      <c r="AT30" s="2236">
        <f t="shared" si="10"/>
        <v>0</v>
      </c>
      <c r="AU30" s="6845"/>
      <c r="AV30" s="6845"/>
      <c r="AW30" s="5047"/>
      <c r="AX30" s="6842">
        <f t="shared" si="11"/>
        <v>0</v>
      </c>
      <c r="AY30" s="6998"/>
      <c r="AZ30" s="2996"/>
      <c r="BA30" s="749"/>
      <c r="BB30" s="7079">
        <f t="shared" si="12"/>
        <v>0</v>
      </c>
      <c r="BC30" s="492"/>
      <c r="BD30" s="629">
        <f t="shared" si="13"/>
        <v>0</v>
      </c>
      <c r="BE30" s="2236"/>
      <c r="BF30" s="2236">
        <f t="shared" si="14"/>
        <v>0</v>
      </c>
      <c r="BG30" s="4234"/>
      <c r="BH30" s="4234"/>
      <c r="BI30" s="25"/>
      <c r="BJ30" s="25"/>
      <c r="BK30" s="25"/>
      <c r="BL30" s="25"/>
      <c r="BM30" s="25"/>
      <c r="BN30" s="25"/>
    </row>
    <row r="31" spans="1:66" ht="15.75" x14ac:dyDescent="0.25">
      <c r="B31" s="833" t="s">
        <v>822</v>
      </c>
      <c r="C31" s="3278" t="s">
        <v>1001</v>
      </c>
      <c r="D31" s="3180" t="s">
        <v>50</v>
      </c>
      <c r="E31" s="2945"/>
      <c r="F31" s="2945"/>
      <c r="G31" s="5607"/>
      <c r="H31" s="5607"/>
      <c r="I31" s="2884"/>
      <c r="J31" s="5241">
        <f t="shared" si="0"/>
        <v>0</v>
      </c>
      <c r="K31" s="5718"/>
      <c r="L31" s="5718"/>
      <c r="M31" s="732"/>
      <c r="N31" s="4153">
        <f t="shared" si="1"/>
        <v>0</v>
      </c>
      <c r="O31" s="5849"/>
      <c r="P31" s="5849"/>
      <c r="Q31" s="733"/>
      <c r="R31" s="5838">
        <f t="shared" si="2"/>
        <v>0</v>
      </c>
      <c r="S31" s="5938"/>
      <c r="T31" s="5938"/>
      <c r="U31" s="4351"/>
      <c r="V31" s="5959">
        <f t="shared" si="3"/>
        <v>0</v>
      </c>
      <c r="W31" s="6038"/>
      <c r="X31" s="6038">
        <v>1566.47</v>
      </c>
      <c r="Y31" s="749"/>
      <c r="Z31" s="6033">
        <f t="shared" si="4"/>
        <v>1566.47</v>
      </c>
      <c r="AA31" s="492"/>
      <c r="AB31" s="629">
        <f t="shared" si="5"/>
        <v>1566.47</v>
      </c>
      <c r="AC31" s="6164"/>
      <c r="AD31" s="6164"/>
      <c r="AE31" s="2236"/>
      <c r="AF31" s="6175">
        <f t="shared" si="6"/>
        <v>1566.47</v>
      </c>
      <c r="AG31" s="6333"/>
      <c r="AH31" s="6333"/>
      <c r="AI31" s="4635"/>
      <c r="AJ31" s="6368">
        <f t="shared" si="7"/>
        <v>1566.47</v>
      </c>
      <c r="AK31" s="6595"/>
      <c r="AL31" s="6595">
        <v>2044.5049999999999</v>
      </c>
      <c r="AM31" s="749"/>
      <c r="AN31" s="6589">
        <f t="shared" si="8"/>
        <v>2044.5049999999999</v>
      </c>
      <c r="AO31" s="2236"/>
      <c r="AP31" s="6593">
        <f t="shared" si="9"/>
        <v>3610.9749999999999</v>
      </c>
      <c r="AQ31" s="6675"/>
      <c r="AR31" s="6675"/>
      <c r="AS31" s="2236"/>
      <c r="AT31" s="2236">
        <f t="shared" si="10"/>
        <v>3610.9749999999999</v>
      </c>
      <c r="AU31" s="6845"/>
      <c r="AV31" s="6845"/>
      <c r="AW31" s="5047"/>
      <c r="AX31" s="6842">
        <f t="shared" si="11"/>
        <v>3610.9749999999999</v>
      </c>
      <c r="AY31" s="6998"/>
      <c r="AZ31" s="2996"/>
      <c r="BA31" s="749"/>
      <c r="BB31" s="7079">
        <f t="shared" si="12"/>
        <v>0</v>
      </c>
      <c r="BC31" s="492"/>
      <c r="BD31" s="629">
        <f t="shared" si="13"/>
        <v>2044.5049999999999</v>
      </c>
      <c r="BE31" s="2236"/>
      <c r="BF31" s="2236">
        <f t="shared" si="14"/>
        <v>3610.9749999999999</v>
      </c>
      <c r="BG31" s="4234"/>
      <c r="BH31" s="4234"/>
      <c r="BI31" s="25"/>
      <c r="BJ31" s="25"/>
      <c r="BK31" s="25"/>
      <c r="BL31" s="25"/>
      <c r="BM31" s="25"/>
      <c r="BN31" s="25"/>
    </row>
    <row r="32" spans="1:66" s="2556" customFormat="1" ht="16.5" thickBot="1" x14ac:dyDescent="0.3">
      <c r="B32" s="3280" t="s">
        <v>822</v>
      </c>
      <c r="C32" s="3281" t="s">
        <v>1080</v>
      </c>
      <c r="D32" s="702" t="s">
        <v>50</v>
      </c>
      <c r="E32" s="213"/>
      <c r="F32" s="213"/>
      <c r="G32" s="213"/>
      <c r="H32" s="213"/>
      <c r="I32" s="557"/>
      <c r="J32" s="5241">
        <f t="shared" si="0"/>
        <v>0</v>
      </c>
      <c r="K32" s="213"/>
      <c r="L32" s="213">
        <v>1015.7500000000002</v>
      </c>
      <c r="M32" s="2553"/>
      <c r="N32" s="4153">
        <f t="shared" si="1"/>
        <v>1015.7500000000002</v>
      </c>
      <c r="O32" s="213"/>
      <c r="P32" s="213"/>
      <c r="Q32" s="2236"/>
      <c r="R32" s="5838">
        <f t="shared" si="2"/>
        <v>1015.7500000000002</v>
      </c>
      <c r="S32" s="213"/>
      <c r="T32" s="213"/>
      <c r="U32" s="4351"/>
      <c r="V32" s="5959">
        <f t="shared" si="3"/>
        <v>1015.7500000000002</v>
      </c>
      <c r="W32" s="213"/>
      <c r="X32" s="213"/>
      <c r="Y32" s="749"/>
      <c r="Z32" s="6033">
        <f t="shared" si="4"/>
        <v>0</v>
      </c>
      <c r="AA32" s="492"/>
      <c r="AB32" s="629">
        <f t="shared" si="5"/>
        <v>1015.7500000000002</v>
      </c>
      <c r="AC32" s="213"/>
      <c r="AD32" s="213"/>
      <c r="AE32" s="2236"/>
      <c r="AF32" s="6175">
        <f t="shared" si="6"/>
        <v>1015.7500000000002</v>
      </c>
      <c r="AG32" s="213"/>
      <c r="AH32" s="213"/>
      <c r="AI32" s="4635"/>
      <c r="AJ32" s="6368">
        <f t="shared" si="7"/>
        <v>1015.7500000000002</v>
      </c>
      <c r="AK32" s="213"/>
      <c r="AL32" s="213"/>
      <c r="AM32" s="749"/>
      <c r="AN32" s="6589">
        <f t="shared" si="8"/>
        <v>0</v>
      </c>
      <c r="AO32" s="2236"/>
      <c r="AP32" s="6593">
        <f t="shared" si="9"/>
        <v>1015.7500000000002</v>
      </c>
      <c r="AQ32" s="213"/>
      <c r="AR32" s="213"/>
      <c r="AS32" s="2236"/>
      <c r="AT32" s="2236">
        <f t="shared" si="10"/>
        <v>1015.7500000000002</v>
      </c>
      <c r="AU32" s="213"/>
      <c r="AV32" s="213"/>
      <c r="AW32" s="5047"/>
      <c r="AX32" s="6842">
        <f t="shared" si="11"/>
        <v>1015.7500000000002</v>
      </c>
      <c r="AY32" s="213"/>
      <c r="AZ32" s="7241"/>
      <c r="BA32" s="749"/>
      <c r="BB32" s="7079">
        <f t="shared" si="12"/>
        <v>0</v>
      </c>
      <c r="BC32" s="492"/>
      <c r="BD32" s="629">
        <f t="shared" si="13"/>
        <v>0</v>
      </c>
      <c r="BE32" s="2236"/>
      <c r="BF32" s="2236">
        <f t="shared" si="14"/>
        <v>1015.7500000000002</v>
      </c>
      <c r="BG32" s="4234"/>
      <c r="BH32" s="4234"/>
      <c r="BI32" s="25"/>
      <c r="BJ32" s="25"/>
      <c r="BK32" s="25"/>
      <c r="BL32" s="25"/>
      <c r="BM32" s="25"/>
      <c r="BN32" s="25"/>
    </row>
    <row r="33" spans="1:66" ht="15.75" x14ac:dyDescent="0.25">
      <c r="B33" s="3273" t="s">
        <v>823</v>
      </c>
      <c r="C33" s="3274" t="s">
        <v>999</v>
      </c>
      <c r="D33" s="58" t="s">
        <v>50</v>
      </c>
      <c r="E33" s="1223"/>
      <c r="F33" s="1223"/>
      <c r="G33" s="5103"/>
      <c r="H33" s="5103">
        <v>5288.4400000000078</v>
      </c>
      <c r="I33" s="2239"/>
      <c r="J33" s="5241">
        <f t="shared" si="0"/>
        <v>5288.4400000000078</v>
      </c>
      <c r="K33" s="5103"/>
      <c r="L33" s="5103">
        <v>2984.5349999999999</v>
      </c>
      <c r="M33" s="732"/>
      <c r="N33" s="4153">
        <f t="shared" si="1"/>
        <v>8272.9750000000076</v>
      </c>
      <c r="O33" s="5103"/>
      <c r="P33" s="5103">
        <v>4280.3100000000004</v>
      </c>
      <c r="Q33" s="733"/>
      <c r="R33" s="5838">
        <f t="shared" si="2"/>
        <v>12553.285000000007</v>
      </c>
      <c r="S33" s="5103"/>
      <c r="T33" s="5103">
        <v>2877.3150000000005</v>
      </c>
      <c r="U33" s="4351"/>
      <c r="V33" s="5959">
        <f t="shared" si="3"/>
        <v>15430.600000000008</v>
      </c>
      <c r="W33" s="5103"/>
      <c r="X33" s="5103"/>
      <c r="Y33" s="749"/>
      <c r="Z33" s="6033">
        <f t="shared" si="4"/>
        <v>7157.6250000000009</v>
      </c>
      <c r="AA33" s="492"/>
      <c r="AB33" s="629">
        <f t="shared" si="5"/>
        <v>15430.600000000009</v>
      </c>
      <c r="AC33" s="5103"/>
      <c r="AD33" s="5103"/>
      <c r="AE33" s="2236"/>
      <c r="AF33" s="6175">
        <f t="shared" si="6"/>
        <v>15430.600000000009</v>
      </c>
      <c r="AG33" s="5103"/>
      <c r="AH33" s="5103"/>
      <c r="AI33" s="4635"/>
      <c r="AJ33" s="6368">
        <f t="shared" si="7"/>
        <v>15430.600000000009</v>
      </c>
      <c r="AK33" s="5103"/>
      <c r="AL33" s="5103"/>
      <c r="AM33" s="749"/>
      <c r="AN33" s="6589">
        <f t="shared" si="8"/>
        <v>0</v>
      </c>
      <c r="AO33" s="2236"/>
      <c r="AP33" s="4925">
        <f t="shared" si="9"/>
        <v>15430.600000000009</v>
      </c>
      <c r="AQ33" s="5103"/>
      <c r="AR33" s="5103">
        <v>1772.0249999999999</v>
      </c>
      <c r="AS33" s="2236"/>
      <c r="AT33" s="2236">
        <f t="shared" si="10"/>
        <v>17202.625000000011</v>
      </c>
      <c r="AU33" s="5103"/>
      <c r="AV33" s="5103">
        <v>2842.55</v>
      </c>
      <c r="AW33" s="5047"/>
      <c r="AX33" s="6842">
        <f t="shared" si="11"/>
        <v>20045.17500000001</v>
      </c>
      <c r="AY33" s="5103"/>
      <c r="AZ33" s="7242"/>
      <c r="BA33" s="749"/>
      <c r="BB33" s="7079">
        <f t="shared" si="12"/>
        <v>4614.5749999999998</v>
      </c>
      <c r="BC33" s="492"/>
      <c r="BD33" s="629">
        <f t="shared" si="13"/>
        <v>4614.5749999999998</v>
      </c>
      <c r="BE33" s="2236"/>
      <c r="BF33" s="2236">
        <f t="shared" si="14"/>
        <v>20045.17500000001</v>
      </c>
      <c r="BG33" s="4234"/>
      <c r="BH33" s="4234"/>
      <c r="BI33" s="25"/>
      <c r="BJ33" s="25"/>
      <c r="BK33" s="25"/>
      <c r="BL33" s="25"/>
      <c r="BM33" s="25"/>
      <c r="BN33" s="25"/>
    </row>
    <row r="34" spans="1:66" ht="15.75" x14ac:dyDescent="0.25">
      <c r="B34" s="833" t="s">
        <v>823</v>
      </c>
      <c r="C34" s="3278" t="s">
        <v>1000</v>
      </c>
      <c r="D34" s="3180" t="s">
        <v>50</v>
      </c>
      <c r="E34" s="2945"/>
      <c r="F34" s="2945">
        <v>11177.970000000027</v>
      </c>
      <c r="G34" s="5607"/>
      <c r="H34" s="5607">
        <v>5431.1950000000006</v>
      </c>
      <c r="I34" s="2884"/>
      <c r="J34" s="5241">
        <f t="shared" si="0"/>
        <v>16609.165000000026</v>
      </c>
      <c r="K34" s="5718"/>
      <c r="L34" s="5718">
        <v>9161.6000000000058</v>
      </c>
      <c r="M34" s="732"/>
      <c r="N34" s="4153">
        <f t="shared" si="1"/>
        <v>25770.765000000032</v>
      </c>
      <c r="O34" s="5849"/>
      <c r="P34" s="5849">
        <v>11702.685000000034</v>
      </c>
      <c r="Q34" s="733"/>
      <c r="R34" s="5838">
        <f t="shared" si="2"/>
        <v>37473.45000000007</v>
      </c>
      <c r="S34" s="5938"/>
      <c r="T34" s="5938">
        <v>9842.5850000000064</v>
      </c>
      <c r="U34" s="4351"/>
      <c r="V34" s="5959">
        <f t="shared" si="3"/>
        <v>47316.035000000076</v>
      </c>
      <c r="W34" s="6038"/>
      <c r="X34" s="6038">
        <v>6349.7249999999995</v>
      </c>
      <c r="Y34" s="749"/>
      <c r="Z34" s="6033">
        <f t="shared" si="4"/>
        <v>27894.995000000039</v>
      </c>
      <c r="AA34" s="492"/>
      <c r="AB34" s="629">
        <f t="shared" si="5"/>
        <v>53665.760000000068</v>
      </c>
      <c r="AC34" s="6164"/>
      <c r="AD34" s="6164">
        <v>10627.865000000014</v>
      </c>
      <c r="AE34" s="2236"/>
      <c r="AF34" s="6175">
        <f t="shared" si="6"/>
        <v>64293.62500000008</v>
      </c>
      <c r="AG34" s="6333"/>
      <c r="AH34" s="6333">
        <v>11883.34000000002</v>
      </c>
      <c r="AI34" s="4635"/>
      <c r="AJ34" s="6368">
        <f t="shared" si="7"/>
        <v>76176.965000000098</v>
      </c>
      <c r="AK34" s="6595"/>
      <c r="AL34" s="6595">
        <v>12542.235000000026</v>
      </c>
      <c r="AM34" s="749"/>
      <c r="AN34" s="6589">
        <f t="shared" si="8"/>
        <v>35053.440000000061</v>
      </c>
      <c r="AO34" s="2236"/>
      <c r="AP34" s="4925">
        <f t="shared" si="9"/>
        <v>88719.200000000128</v>
      </c>
      <c r="AQ34" s="6675"/>
      <c r="AR34" s="6675">
        <v>14504.685000000023</v>
      </c>
      <c r="AS34" s="2236"/>
      <c r="AT34" s="2236">
        <f t="shared" si="10"/>
        <v>103223.88500000015</v>
      </c>
      <c r="AU34" s="6845"/>
      <c r="AV34" s="6845"/>
      <c r="AW34" s="5047"/>
      <c r="AX34" s="6842">
        <f t="shared" si="11"/>
        <v>103223.88500000015</v>
      </c>
      <c r="AY34" s="6998"/>
      <c r="AZ34" s="2996">
        <v>13312.352539499832</v>
      </c>
      <c r="BA34" s="749"/>
      <c r="BB34" s="7079">
        <f t="shared" si="12"/>
        <v>27817.037539499855</v>
      </c>
      <c r="BC34" s="492"/>
      <c r="BD34" s="629">
        <f t="shared" si="13"/>
        <v>62870.477539499916</v>
      </c>
      <c r="BE34" s="2236"/>
      <c r="BF34" s="2236">
        <f t="shared" si="14"/>
        <v>116536.23753949998</v>
      </c>
      <c r="BG34" s="4234"/>
      <c r="BH34" s="4234"/>
      <c r="BI34" s="25"/>
      <c r="BJ34" s="25"/>
      <c r="BK34" s="25"/>
      <c r="BL34" s="25"/>
      <c r="BM34" s="25"/>
      <c r="BN34" s="25"/>
    </row>
    <row r="35" spans="1:66" ht="15.75" x14ac:dyDescent="0.25">
      <c r="B35" s="833" t="s">
        <v>823</v>
      </c>
      <c r="C35" s="3278" t="s">
        <v>1100</v>
      </c>
      <c r="D35" s="3180" t="s">
        <v>50</v>
      </c>
      <c r="E35" s="2945"/>
      <c r="F35" s="2945">
        <v>10501.075000000015</v>
      </c>
      <c r="G35" s="5607"/>
      <c r="H35" s="5607">
        <v>8096.2000000000035</v>
      </c>
      <c r="I35" s="2884"/>
      <c r="J35" s="5241">
        <f t="shared" si="0"/>
        <v>18597.27500000002</v>
      </c>
      <c r="K35" s="5718"/>
      <c r="L35" s="5718">
        <v>10118.940000000015</v>
      </c>
      <c r="M35" s="732"/>
      <c r="N35" s="4153">
        <f t="shared" si="1"/>
        <v>28716.215000000033</v>
      </c>
      <c r="O35" s="5849"/>
      <c r="P35" s="5849">
        <v>7626.2800000000061</v>
      </c>
      <c r="Q35" s="733"/>
      <c r="R35" s="5838">
        <f t="shared" si="2"/>
        <v>36342.495000000039</v>
      </c>
      <c r="S35" s="5938"/>
      <c r="T35" s="5938">
        <v>10797.600000000008</v>
      </c>
      <c r="U35" s="4351"/>
      <c r="V35" s="5959">
        <f t="shared" si="3"/>
        <v>47140.095000000045</v>
      </c>
      <c r="W35" s="6038"/>
      <c r="X35" s="6038">
        <v>4776.67</v>
      </c>
      <c r="Y35" s="749"/>
      <c r="Z35" s="6033">
        <f t="shared" si="4"/>
        <v>23200.55000000001</v>
      </c>
      <c r="AA35" s="492"/>
      <c r="AB35" s="629">
        <f t="shared" si="5"/>
        <v>51916.765000000043</v>
      </c>
      <c r="AC35" s="6164"/>
      <c r="AD35" s="6164">
        <v>2417.0249999999987</v>
      </c>
      <c r="AE35" s="2236"/>
      <c r="AF35" s="6175">
        <f t="shared" si="6"/>
        <v>54333.790000000045</v>
      </c>
      <c r="AG35" s="6333"/>
      <c r="AH35" s="6333">
        <v>7494.3600000000051</v>
      </c>
      <c r="AI35" s="4635"/>
      <c r="AJ35" s="6368">
        <f t="shared" si="7"/>
        <v>61828.150000000052</v>
      </c>
      <c r="AK35" s="6595"/>
      <c r="AL35" s="6595">
        <v>11453.70000000001</v>
      </c>
      <c r="AM35" s="749"/>
      <c r="AN35" s="6589">
        <f t="shared" si="8"/>
        <v>21365.085000000014</v>
      </c>
      <c r="AO35" s="2236"/>
      <c r="AP35" s="4925">
        <f t="shared" si="9"/>
        <v>73281.850000000064</v>
      </c>
      <c r="AQ35" s="6675"/>
      <c r="AR35" s="6675">
        <v>11605.375000000025</v>
      </c>
      <c r="AS35" s="2236"/>
      <c r="AT35" s="2236">
        <f t="shared" si="10"/>
        <v>84887.225000000093</v>
      </c>
      <c r="AU35" s="6845"/>
      <c r="AV35" s="6845">
        <v>11638.095000000027</v>
      </c>
      <c r="AW35" s="5047"/>
      <c r="AX35" s="6842">
        <f t="shared" si="11"/>
        <v>96525.320000000123</v>
      </c>
      <c r="AY35" s="6998"/>
      <c r="AZ35" s="2996">
        <v>4225.6220374120858</v>
      </c>
      <c r="BA35" s="749"/>
      <c r="BB35" s="7079">
        <f t="shared" si="12"/>
        <v>27469.092037412138</v>
      </c>
      <c r="BC35" s="492"/>
      <c r="BD35" s="629">
        <f t="shared" si="13"/>
        <v>48834.177037412155</v>
      </c>
      <c r="BE35" s="2236"/>
      <c r="BF35" s="2236">
        <f t="shared" si="14"/>
        <v>100750.94203741221</v>
      </c>
      <c r="BG35" s="4234"/>
      <c r="BH35" s="4234"/>
      <c r="BI35" s="25"/>
      <c r="BJ35" s="25"/>
      <c r="BK35" s="25"/>
      <c r="BL35" s="25"/>
      <c r="BM35" s="25"/>
      <c r="BN35" s="25"/>
    </row>
    <row r="36" spans="1:66" ht="15.75" x14ac:dyDescent="0.25">
      <c r="B36" s="833" t="s">
        <v>823</v>
      </c>
      <c r="C36" s="3278" t="s">
        <v>1001</v>
      </c>
      <c r="D36" s="3180" t="s">
        <v>50</v>
      </c>
      <c r="E36" s="2945"/>
      <c r="F36" s="2945">
        <v>2190.1949999999997</v>
      </c>
      <c r="G36" s="5607"/>
      <c r="H36" s="5607">
        <v>603.27499999999998</v>
      </c>
      <c r="I36" s="2884"/>
      <c r="J36" s="5241">
        <f t="shared" si="0"/>
        <v>2793.47</v>
      </c>
      <c r="K36" s="5718"/>
      <c r="L36" s="5718"/>
      <c r="M36" s="732"/>
      <c r="N36" s="4153">
        <f t="shared" si="1"/>
        <v>2793.47</v>
      </c>
      <c r="O36" s="5849"/>
      <c r="P36" s="5849"/>
      <c r="Q36" s="733"/>
      <c r="R36" s="5838">
        <f t="shared" si="2"/>
        <v>2793.47</v>
      </c>
      <c r="S36" s="5938"/>
      <c r="T36" s="5938"/>
      <c r="U36" s="4351"/>
      <c r="V36" s="5959">
        <f t="shared" si="3"/>
        <v>2793.47</v>
      </c>
      <c r="W36" s="6038"/>
      <c r="X36" s="6038">
        <v>1212.6849999999999</v>
      </c>
      <c r="Y36" s="749"/>
      <c r="Z36" s="6033">
        <f t="shared" si="4"/>
        <v>1212.6849999999999</v>
      </c>
      <c r="AA36" s="492"/>
      <c r="AB36" s="629">
        <f t="shared" si="5"/>
        <v>4006.1549999999997</v>
      </c>
      <c r="AC36" s="6164"/>
      <c r="AD36" s="6164"/>
      <c r="AE36" s="2236"/>
      <c r="AF36" s="6175">
        <f t="shared" si="6"/>
        <v>4006.1549999999997</v>
      </c>
      <c r="AG36" s="6333"/>
      <c r="AH36" s="6333"/>
      <c r="AI36" s="4635"/>
      <c r="AJ36" s="6368">
        <f t="shared" si="7"/>
        <v>4006.1549999999997</v>
      </c>
      <c r="AK36" s="6595"/>
      <c r="AL36" s="6595"/>
      <c r="AM36" s="749"/>
      <c r="AN36" s="6589">
        <f t="shared" si="8"/>
        <v>0</v>
      </c>
      <c r="AO36" s="2236"/>
      <c r="AP36" s="4925">
        <f t="shared" si="9"/>
        <v>4006.1549999999997</v>
      </c>
      <c r="AQ36" s="6675"/>
      <c r="AR36" s="6675">
        <v>1653.5350000000001</v>
      </c>
      <c r="AS36" s="2236"/>
      <c r="AT36" s="2236">
        <f t="shared" si="10"/>
        <v>5659.69</v>
      </c>
      <c r="AU36" s="6845"/>
      <c r="AV36" s="6845"/>
      <c r="AW36" s="5047"/>
      <c r="AX36" s="6842">
        <f t="shared" si="11"/>
        <v>5659.69</v>
      </c>
      <c r="AY36" s="6998"/>
      <c r="AZ36" s="2996"/>
      <c r="BA36" s="749"/>
      <c r="BB36" s="7079">
        <f t="shared" si="12"/>
        <v>1653.5350000000001</v>
      </c>
      <c r="BC36" s="492"/>
      <c r="BD36" s="629">
        <f t="shared" si="13"/>
        <v>1653.5350000000001</v>
      </c>
      <c r="BE36" s="2236"/>
      <c r="BF36" s="2236">
        <f t="shared" si="14"/>
        <v>5659.69</v>
      </c>
      <c r="BG36" s="4234"/>
      <c r="BH36" s="4234"/>
      <c r="BI36" s="25"/>
      <c r="BJ36" s="25"/>
      <c r="BK36" s="25"/>
      <c r="BL36" s="25"/>
      <c r="BM36" s="25"/>
      <c r="BN36" s="25"/>
    </row>
    <row r="37" spans="1:66" ht="16.5" thickBot="1" x14ac:dyDescent="0.3">
      <c r="B37" s="3282" t="s">
        <v>823</v>
      </c>
      <c r="C37" s="3283" t="s">
        <v>969</v>
      </c>
      <c r="D37" s="3284" t="s">
        <v>50</v>
      </c>
      <c r="E37" s="3217"/>
      <c r="F37" s="3217"/>
      <c r="G37" s="3217"/>
      <c r="H37" s="3217"/>
      <c r="I37" s="3179"/>
      <c r="J37" s="5241">
        <f t="shared" si="0"/>
        <v>0</v>
      </c>
      <c r="K37" s="3217"/>
      <c r="L37" s="3217"/>
      <c r="M37" s="732"/>
      <c r="N37" s="4153">
        <f t="shared" si="1"/>
        <v>0</v>
      </c>
      <c r="O37" s="3217"/>
      <c r="P37" s="3217"/>
      <c r="Q37" s="733"/>
      <c r="R37" s="5838">
        <f t="shared" si="2"/>
        <v>0</v>
      </c>
      <c r="S37" s="3217"/>
      <c r="T37" s="3217"/>
      <c r="U37" s="4351"/>
      <c r="V37" s="5959">
        <f t="shared" si="3"/>
        <v>0</v>
      </c>
      <c r="W37" s="3217"/>
      <c r="X37" s="3217"/>
      <c r="Y37" s="749"/>
      <c r="Z37" s="6033">
        <f t="shared" si="4"/>
        <v>0</v>
      </c>
      <c r="AA37" s="492"/>
      <c r="AB37" s="629">
        <f t="shared" si="5"/>
        <v>0</v>
      </c>
      <c r="AC37" s="3217"/>
      <c r="AD37" s="3217"/>
      <c r="AE37" s="2236"/>
      <c r="AF37" s="6175">
        <f t="shared" si="6"/>
        <v>0</v>
      </c>
      <c r="AG37" s="3217"/>
      <c r="AH37" s="3217"/>
      <c r="AI37" s="4635"/>
      <c r="AJ37" s="6368">
        <f t="shared" si="7"/>
        <v>0</v>
      </c>
      <c r="AK37" s="3217"/>
      <c r="AL37" s="3217"/>
      <c r="AM37" s="749"/>
      <c r="AN37" s="6589">
        <f t="shared" si="8"/>
        <v>0</v>
      </c>
      <c r="AO37" s="2236"/>
      <c r="AP37" s="4925">
        <f t="shared" si="9"/>
        <v>0</v>
      </c>
      <c r="AQ37" s="3217"/>
      <c r="AR37" s="3217"/>
      <c r="AS37" s="2236"/>
      <c r="AT37" s="2236">
        <f t="shared" si="10"/>
        <v>0</v>
      </c>
      <c r="AU37" s="3217"/>
      <c r="AV37" s="3217"/>
      <c r="AW37" s="5047"/>
      <c r="AX37" s="6842">
        <f t="shared" si="11"/>
        <v>0</v>
      </c>
      <c r="AY37" s="3217"/>
      <c r="AZ37" s="7244"/>
      <c r="BA37" s="749"/>
      <c r="BB37" s="7079">
        <f t="shared" si="12"/>
        <v>0</v>
      </c>
      <c r="BC37" s="492"/>
      <c r="BD37" s="629">
        <f t="shared" si="13"/>
        <v>0</v>
      </c>
      <c r="BE37" s="2236"/>
      <c r="BF37" s="2236">
        <f t="shared" si="14"/>
        <v>0</v>
      </c>
      <c r="BG37" s="4234"/>
      <c r="BH37" s="4234"/>
      <c r="BI37" s="25"/>
      <c r="BJ37" s="25"/>
      <c r="BK37" s="25"/>
      <c r="BL37" s="25"/>
      <c r="BM37" s="25"/>
      <c r="BN37" s="25"/>
    </row>
    <row r="38" spans="1:66" ht="15.75" x14ac:dyDescent="0.25">
      <c r="B38" s="3275" t="s">
        <v>824</v>
      </c>
      <c r="C38" s="3276" t="s">
        <v>999</v>
      </c>
      <c r="D38" s="710" t="s">
        <v>50</v>
      </c>
      <c r="E38" s="254"/>
      <c r="F38" s="254"/>
      <c r="G38" s="254"/>
      <c r="H38" s="254">
        <v>1982.0050000000001</v>
      </c>
      <c r="I38" s="349"/>
      <c r="J38" s="5241">
        <f t="shared" si="0"/>
        <v>1982.0050000000001</v>
      </c>
      <c r="K38" s="254"/>
      <c r="L38" s="254">
        <v>1614.58</v>
      </c>
      <c r="M38" s="732"/>
      <c r="N38" s="4153">
        <f t="shared" si="1"/>
        <v>3596.585</v>
      </c>
      <c r="O38" s="254"/>
      <c r="P38" s="254"/>
      <c r="Q38" s="733"/>
      <c r="R38" s="5838">
        <f t="shared" si="2"/>
        <v>3596.585</v>
      </c>
      <c r="S38" s="254"/>
      <c r="T38" s="254"/>
      <c r="U38" s="4351"/>
      <c r="V38" s="5959">
        <f t="shared" si="3"/>
        <v>3596.585</v>
      </c>
      <c r="W38" s="254"/>
      <c r="X38" s="254">
        <v>1095.3749999999998</v>
      </c>
      <c r="Y38" s="749"/>
      <c r="Z38" s="6033">
        <f t="shared" si="4"/>
        <v>1095.3749999999998</v>
      </c>
      <c r="AA38" s="492"/>
      <c r="AB38" s="629">
        <f t="shared" si="5"/>
        <v>4691.96</v>
      </c>
      <c r="AC38" s="254"/>
      <c r="AD38" s="254"/>
      <c r="AE38" s="2236"/>
      <c r="AF38" s="6175">
        <f t="shared" si="6"/>
        <v>4691.96</v>
      </c>
      <c r="AG38" s="254"/>
      <c r="AH38" s="254"/>
      <c r="AI38" s="4635"/>
      <c r="AJ38" s="6368">
        <f t="shared" si="7"/>
        <v>4691.96</v>
      </c>
      <c r="AK38" s="254"/>
      <c r="AL38" s="254"/>
      <c r="AM38" s="749"/>
      <c r="AN38" s="6589">
        <f t="shared" si="8"/>
        <v>0</v>
      </c>
      <c r="AO38" s="2236"/>
      <c r="AP38" s="4925">
        <f t="shared" si="9"/>
        <v>4691.96</v>
      </c>
      <c r="AQ38" s="254"/>
      <c r="AR38" s="254"/>
      <c r="AS38" s="2236"/>
      <c r="AT38" s="2236">
        <f t="shared" si="10"/>
        <v>4691.96</v>
      </c>
      <c r="AU38" s="254"/>
      <c r="AV38" s="254"/>
      <c r="AW38" s="5047"/>
      <c r="AX38" s="6842">
        <f t="shared" si="11"/>
        <v>4691.96</v>
      </c>
      <c r="AY38" s="254"/>
      <c r="AZ38" s="7240"/>
      <c r="BA38" s="749"/>
      <c r="BB38" s="7079">
        <f t="shared" si="12"/>
        <v>0</v>
      </c>
      <c r="BC38" s="492"/>
      <c r="BD38" s="629">
        <f t="shared" si="13"/>
        <v>0</v>
      </c>
      <c r="BE38" s="2236"/>
      <c r="BF38" s="2236">
        <f t="shared" si="14"/>
        <v>4691.96</v>
      </c>
      <c r="BG38" s="4234"/>
      <c r="BH38" s="4234"/>
      <c r="BI38" s="25"/>
      <c r="BJ38" s="25"/>
      <c r="BK38" s="25"/>
      <c r="BL38" s="25"/>
      <c r="BM38" s="25"/>
      <c r="BN38" s="25"/>
    </row>
    <row r="39" spans="1:66" ht="15" customHeight="1" x14ac:dyDescent="0.25">
      <c r="B39" s="833" t="s">
        <v>824</v>
      </c>
      <c r="C39" s="3278" t="s">
        <v>1000</v>
      </c>
      <c r="D39" s="3180" t="s">
        <v>50</v>
      </c>
      <c r="E39" s="2945"/>
      <c r="F39" s="2945"/>
      <c r="G39" s="5607"/>
      <c r="H39" s="5607">
        <v>2044.0000000000002</v>
      </c>
      <c r="I39" s="2884"/>
      <c r="J39" s="5241">
        <f t="shared" si="0"/>
        <v>2044.0000000000002</v>
      </c>
      <c r="K39" s="5718"/>
      <c r="L39" s="5718"/>
      <c r="M39" s="732"/>
      <c r="N39" s="4153">
        <f t="shared" si="1"/>
        <v>2044.0000000000002</v>
      </c>
      <c r="O39" s="5849"/>
      <c r="P39" s="5849"/>
      <c r="Q39" s="733"/>
      <c r="R39" s="5838">
        <f t="shared" si="2"/>
        <v>2044.0000000000002</v>
      </c>
      <c r="S39" s="5938"/>
      <c r="T39" s="5938">
        <v>2517.2899999999991</v>
      </c>
      <c r="U39" s="4351"/>
      <c r="V39" s="5959">
        <f t="shared" si="3"/>
        <v>4561.2899999999991</v>
      </c>
      <c r="W39" s="6038"/>
      <c r="X39" s="6038">
        <v>3394.7</v>
      </c>
      <c r="Y39" s="749"/>
      <c r="Z39" s="6033">
        <f t="shared" si="4"/>
        <v>5911.9899999999989</v>
      </c>
      <c r="AA39" s="492"/>
      <c r="AB39" s="629">
        <f t="shared" si="5"/>
        <v>7955.9899999999989</v>
      </c>
      <c r="AC39" s="6164"/>
      <c r="AD39" s="6164">
        <v>2511.1250000000005</v>
      </c>
      <c r="AE39" s="2236"/>
      <c r="AF39" s="6175">
        <f t="shared" si="6"/>
        <v>10467.115</v>
      </c>
      <c r="AG39" s="6333"/>
      <c r="AH39" s="6333">
        <v>4149.3050000000003</v>
      </c>
      <c r="AI39" s="4635"/>
      <c r="AJ39" s="6368">
        <f t="shared" si="7"/>
        <v>14616.42</v>
      </c>
      <c r="AK39" s="6595"/>
      <c r="AL39" s="6595"/>
      <c r="AM39" s="749"/>
      <c r="AN39" s="6589">
        <f t="shared" si="8"/>
        <v>6660.43</v>
      </c>
      <c r="AO39" s="2236"/>
      <c r="AP39" s="4925">
        <f t="shared" si="9"/>
        <v>14616.42</v>
      </c>
      <c r="AQ39" s="6675"/>
      <c r="AR39" s="6675"/>
      <c r="AS39" s="2236"/>
      <c r="AT39" s="2236">
        <f t="shared" si="10"/>
        <v>14616.42</v>
      </c>
      <c r="AU39" s="6845"/>
      <c r="AV39" s="6845">
        <v>2384.4699999999993</v>
      </c>
      <c r="AW39" s="5047"/>
      <c r="AX39" s="6842">
        <f t="shared" si="11"/>
        <v>17000.89</v>
      </c>
      <c r="AY39" s="6998"/>
      <c r="AZ39" s="2996"/>
      <c r="BA39" s="749"/>
      <c r="BB39" s="7079">
        <f t="shared" si="12"/>
        <v>2384.4699999999993</v>
      </c>
      <c r="BC39" s="492"/>
      <c r="BD39" s="629">
        <f t="shared" si="13"/>
        <v>9044.9</v>
      </c>
      <c r="BE39" s="2236"/>
      <c r="BF39" s="2236">
        <f t="shared" si="14"/>
        <v>17000.89</v>
      </c>
      <c r="BG39" s="4234"/>
      <c r="BH39" s="4234"/>
      <c r="BI39" s="25"/>
      <c r="BJ39" s="25"/>
      <c r="BK39" s="25"/>
      <c r="BL39" s="25"/>
      <c r="BM39" s="25"/>
      <c r="BN39" s="25"/>
    </row>
    <row r="40" spans="1:66" ht="15" customHeight="1" x14ac:dyDescent="0.25">
      <c r="B40" s="833" t="s">
        <v>824</v>
      </c>
      <c r="C40" s="3278" t="s">
        <v>1100</v>
      </c>
      <c r="D40" s="3180" t="s">
        <v>50</v>
      </c>
      <c r="E40" s="2945"/>
      <c r="F40" s="2945">
        <v>10614.325000000003</v>
      </c>
      <c r="G40" s="5607"/>
      <c r="H40" s="5607">
        <v>9685.2300000000105</v>
      </c>
      <c r="I40" s="2884"/>
      <c r="J40" s="5241">
        <f t="shared" si="0"/>
        <v>20299.555000000015</v>
      </c>
      <c r="K40" s="5718"/>
      <c r="L40" s="5718">
        <v>12248.71500000002</v>
      </c>
      <c r="M40" s="732"/>
      <c r="N40" s="4153">
        <f t="shared" si="1"/>
        <v>32548.270000000033</v>
      </c>
      <c r="O40" s="5849"/>
      <c r="P40" s="5849"/>
      <c r="Q40" s="733"/>
      <c r="R40" s="5838">
        <f t="shared" si="2"/>
        <v>32548.270000000033</v>
      </c>
      <c r="S40" s="5938"/>
      <c r="T40" s="5938">
        <v>10931.275000000014</v>
      </c>
      <c r="U40" s="4351"/>
      <c r="V40" s="5959">
        <f t="shared" si="3"/>
        <v>43479.545000000049</v>
      </c>
      <c r="W40" s="6038"/>
      <c r="X40" s="6038">
        <v>8653.0450000000092</v>
      </c>
      <c r="Y40" s="749"/>
      <c r="Z40" s="6033">
        <f t="shared" si="4"/>
        <v>19584.320000000022</v>
      </c>
      <c r="AA40" s="492"/>
      <c r="AB40" s="629">
        <f t="shared" si="5"/>
        <v>52132.590000000055</v>
      </c>
      <c r="AC40" s="6164"/>
      <c r="AD40" s="6164">
        <v>5541.9500000000025</v>
      </c>
      <c r="AE40" s="2236"/>
      <c r="AF40" s="6175">
        <f t="shared" si="6"/>
        <v>57674.540000000059</v>
      </c>
      <c r="AG40" s="6333"/>
      <c r="AH40" s="6333">
        <v>7396.3050000000067</v>
      </c>
      <c r="AI40" s="4635"/>
      <c r="AJ40" s="6368">
        <f t="shared" si="7"/>
        <v>65070.845000000067</v>
      </c>
      <c r="AK40" s="6595"/>
      <c r="AL40" s="6595">
        <v>5922.3600000000051</v>
      </c>
      <c r="AM40" s="749"/>
      <c r="AN40" s="6589">
        <f t="shared" si="8"/>
        <v>18860.615000000013</v>
      </c>
      <c r="AO40" s="2236"/>
      <c r="AP40" s="4925">
        <f t="shared" si="9"/>
        <v>70993.205000000075</v>
      </c>
      <c r="AQ40" s="6675"/>
      <c r="AR40" s="6675"/>
      <c r="AS40" s="2236"/>
      <c r="AT40" s="2236">
        <f t="shared" si="10"/>
        <v>70993.205000000075</v>
      </c>
      <c r="AU40" s="6845"/>
      <c r="AV40" s="6845">
        <v>12209.965000000022</v>
      </c>
      <c r="AW40" s="5047"/>
      <c r="AX40" s="6842">
        <f t="shared" si="11"/>
        <v>83203.1700000001</v>
      </c>
      <c r="AY40" s="6998"/>
      <c r="AZ40" s="2996">
        <v>5896.0024687895275</v>
      </c>
      <c r="BA40" s="749"/>
      <c r="BB40" s="7079">
        <f t="shared" si="12"/>
        <v>18105.967468789549</v>
      </c>
      <c r="BC40" s="492"/>
      <c r="BD40" s="629">
        <f t="shared" si="13"/>
        <v>36966.582468789566</v>
      </c>
      <c r="BE40" s="2236"/>
      <c r="BF40" s="2236">
        <f t="shared" si="14"/>
        <v>89099.17246878962</v>
      </c>
      <c r="BG40" s="4234"/>
      <c r="BH40" s="4234"/>
      <c r="BI40" s="25"/>
      <c r="BJ40" s="25"/>
      <c r="BK40" s="25"/>
      <c r="BL40" s="25"/>
      <c r="BM40" s="25"/>
      <c r="BN40" s="25"/>
    </row>
    <row r="41" spans="1:66" ht="15" customHeight="1" thickBot="1" x14ac:dyDescent="0.3">
      <c r="B41" s="3280" t="s">
        <v>824</v>
      </c>
      <c r="C41" s="3281" t="s">
        <v>1001</v>
      </c>
      <c r="D41" s="702" t="s">
        <v>50</v>
      </c>
      <c r="E41" s="213"/>
      <c r="F41" s="213"/>
      <c r="G41" s="213"/>
      <c r="H41" s="213"/>
      <c r="I41" s="557"/>
      <c r="J41" s="5241">
        <f t="shared" si="0"/>
        <v>0</v>
      </c>
      <c r="K41" s="213"/>
      <c r="L41" s="213"/>
      <c r="M41" s="732"/>
      <c r="N41" s="4153">
        <f t="shared" si="1"/>
        <v>0</v>
      </c>
      <c r="O41" s="213"/>
      <c r="P41" s="213"/>
      <c r="Q41" s="733"/>
      <c r="R41" s="5838">
        <f t="shared" si="2"/>
        <v>0</v>
      </c>
      <c r="S41" s="213"/>
      <c r="T41" s="213">
        <v>1200.415</v>
      </c>
      <c r="U41" s="4351"/>
      <c r="V41" s="5959">
        <f t="shared" si="3"/>
        <v>1200.415</v>
      </c>
      <c r="W41" s="213"/>
      <c r="X41" s="213"/>
      <c r="Y41" s="749"/>
      <c r="Z41" s="6033">
        <f t="shared" si="4"/>
        <v>1200.415</v>
      </c>
      <c r="AA41" s="492"/>
      <c r="AB41" s="629">
        <f t="shared" si="5"/>
        <v>1200.415</v>
      </c>
      <c r="AC41" s="213"/>
      <c r="AD41" s="213"/>
      <c r="AE41" s="2236"/>
      <c r="AF41" s="4565">
        <f t="shared" si="6"/>
        <v>1200.415</v>
      </c>
      <c r="AG41" s="213"/>
      <c r="AH41" s="213"/>
      <c r="AI41" s="4635"/>
      <c r="AJ41" s="6368">
        <f t="shared" si="7"/>
        <v>1200.415</v>
      </c>
      <c r="AK41" s="213"/>
      <c r="AL41" s="213"/>
      <c r="AM41" s="749"/>
      <c r="AN41" s="6589">
        <f t="shared" si="8"/>
        <v>0</v>
      </c>
      <c r="AO41" s="2236"/>
      <c r="AP41" s="4925">
        <f t="shared" si="9"/>
        <v>1200.415</v>
      </c>
      <c r="AQ41" s="213"/>
      <c r="AR41" s="213"/>
      <c r="AS41" s="2236"/>
      <c r="AT41" s="2236">
        <f t="shared" si="10"/>
        <v>1200.415</v>
      </c>
      <c r="AU41" s="213"/>
      <c r="AV41" s="213"/>
      <c r="AW41" s="5047"/>
      <c r="AX41" s="6842">
        <f t="shared" si="11"/>
        <v>1200.415</v>
      </c>
      <c r="AY41" s="213"/>
      <c r="AZ41" s="7241"/>
      <c r="BA41" s="749"/>
      <c r="BB41" s="7079">
        <f t="shared" si="12"/>
        <v>0</v>
      </c>
      <c r="BC41" s="492"/>
      <c r="BD41" s="629">
        <f t="shared" si="13"/>
        <v>0</v>
      </c>
      <c r="BE41" s="2236"/>
      <c r="BF41" s="2236">
        <f t="shared" si="14"/>
        <v>1200.415</v>
      </c>
      <c r="BG41" s="4234"/>
      <c r="BH41" s="4234"/>
      <c r="BI41" s="25"/>
      <c r="BJ41" s="25"/>
      <c r="BK41" s="25"/>
      <c r="BL41" s="25"/>
      <c r="BM41" s="25"/>
      <c r="BN41" s="25"/>
    </row>
    <row r="42" spans="1:66" ht="16.5" thickBot="1" x14ac:dyDescent="0.3">
      <c r="B42" s="3294" t="s">
        <v>825</v>
      </c>
      <c r="C42" s="3295" t="s">
        <v>999</v>
      </c>
      <c r="D42" s="778" t="s">
        <v>50</v>
      </c>
      <c r="E42" s="3296"/>
      <c r="F42" s="3296"/>
      <c r="G42" s="3296"/>
      <c r="H42" s="3296"/>
      <c r="I42" s="3297"/>
      <c r="J42" s="5241">
        <f t="shared" si="0"/>
        <v>0</v>
      </c>
      <c r="K42" s="3296"/>
      <c r="L42" s="3296"/>
      <c r="M42" s="732"/>
      <c r="N42" s="4153">
        <f t="shared" si="1"/>
        <v>0</v>
      </c>
      <c r="O42" s="3296"/>
      <c r="P42" s="3296"/>
      <c r="Q42" s="733"/>
      <c r="R42" s="5838">
        <f t="shared" si="2"/>
        <v>0</v>
      </c>
      <c r="S42" s="3296"/>
      <c r="T42" s="3296"/>
      <c r="U42" s="4351"/>
      <c r="V42" s="5959">
        <f t="shared" si="3"/>
        <v>0</v>
      </c>
      <c r="W42" s="3296"/>
      <c r="X42" s="3296"/>
      <c r="Y42" s="749"/>
      <c r="Z42" s="6033">
        <f t="shared" si="4"/>
        <v>0</v>
      </c>
      <c r="AA42" s="492"/>
      <c r="AB42" s="629">
        <f t="shared" si="5"/>
        <v>0</v>
      </c>
      <c r="AC42" s="3296"/>
      <c r="AD42" s="3296"/>
      <c r="AE42" s="2236"/>
      <c r="AF42" s="4565">
        <f t="shared" si="6"/>
        <v>0</v>
      </c>
      <c r="AG42" s="3296"/>
      <c r="AH42" s="3296"/>
      <c r="AI42" s="4635"/>
      <c r="AJ42" s="6368">
        <f t="shared" si="7"/>
        <v>0</v>
      </c>
      <c r="AK42" s="3296"/>
      <c r="AL42" s="3296"/>
      <c r="AM42" s="749"/>
      <c r="AN42" s="4924">
        <f t="shared" si="8"/>
        <v>0</v>
      </c>
      <c r="AO42" s="2236"/>
      <c r="AP42" s="4925">
        <f t="shared" si="9"/>
        <v>0</v>
      </c>
      <c r="AQ42" s="3296"/>
      <c r="AR42" s="3296"/>
      <c r="AS42" s="2236"/>
      <c r="AT42" s="2236">
        <f t="shared" si="10"/>
        <v>0</v>
      </c>
      <c r="AU42" s="3296"/>
      <c r="AV42" s="3296"/>
      <c r="AW42" s="5047"/>
      <c r="AX42" s="6842">
        <f t="shared" si="11"/>
        <v>0</v>
      </c>
      <c r="AY42" s="3296"/>
      <c r="AZ42" s="7246"/>
      <c r="BA42" s="749"/>
      <c r="BB42" s="7079">
        <f t="shared" si="12"/>
        <v>0</v>
      </c>
      <c r="BC42" s="492"/>
      <c r="BD42" s="629">
        <f t="shared" si="13"/>
        <v>0</v>
      </c>
      <c r="BE42" s="2236"/>
      <c r="BF42" s="2236">
        <f t="shared" si="14"/>
        <v>0</v>
      </c>
      <c r="BG42" s="4234"/>
      <c r="BH42" s="4234"/>
      <c r="BI42" s="25"/>
      <c r="BJ42" s="25"/>
      <c r="BK42" s="25"/>
      <c r="BL42" s="25"/>
      <c r="BM42" s="25"/>
      <c r="BN42" s="25"/>
    </row>
    <row r="43" spans="1:66" ht="15.75" x14ac:dyDescent="0.25">
      <c r="A43" s="139"/>
      <c r="B43" s="3291" t="s">
        <v>792</v>
      </c>
      <c r="C43" s="3292"/>
      <c r="D43" s="3293"/>
      <c r="E43" s="1223"/>
      <c r="F43" s="1223"/>
      <c r="G43" s="5103"/>
      <c r="H43" s="5103"/>
      <c r="I43" s="1223"/>
      <c r="J43" s="1223"/>
      <c r="K43" s="5103"/>
      <c r="L43" s="5103"/>
      <c r="M43" s="1054"/>
      <c r="N43" s="1054"/>
      <c r="O43" s="5103"/>
      <c r="P43" s="5103"/>
      <c r="Q43" s="1054"/>
      <c r="R43" s="5838">
        <f t="shared" si="2"/>
        <v>0</v>
      </c>
      <c r="S43" s="5103"/>
      <c r="T43" s="5103"/>
      <c r="U43" s="4354"/>
      <c r="V43" s="4354"/>
      <c r="W43" s="5103"/>
      <c r="X43" s="5103"/>
      <c r="Y43" s="1057"/>
      <c r="Z43" s="1054"/>
      <c r="AA43" s="1057"/>
      <c r="AB43" s="564"/>
      <c r="AC43" s="5103"/>
      <c r="AD43" s="5103"/>
      <c r="AE43" s="2237"/>
      <c r="AF43" s="2237"/>
      <c r="AG43" s="5103"/>
      <c r="AH43" s="5103"/>
      <c r="AI43" s="4642"/>
      <c r="AJ43" s="4642"/>
      <c r="AK43" s="5103"/>
      <c r="AL43" s="5103"/>
      <c r="AM43" s="1057"/>
      <c r="AN43" s="2237"/>
      <c r="AO43" s="2237"/>
      <c r="AP43" s="2237"/>
      <c r="AQ43" s="5103"/>
      <c r="AR43" s="5103"/>
      <c r="AS43" s="2237"/>
      <c r="AT43" s="2237"/>
      <c r="AU43" s="5103"/>
      <c r="AV43" s="5103"/>
      <c r="AW43" s="5044"/>
      <c r="AX43" s="5044"/>
      <c r="AY43" s="5103"/>
      <c r="AZ43" s="7242"/>
      <c r="BA43" s="1057"/>
      <c r="BB43" s="2237"/>
      <c r="BC43" s="1057"/>
      <c r="BD43" s="564"/>
      <c r="BE43" s="2237"/>
      <c r="BF43" s="2237"/>
      <c r="BG43" s="4234"/>
      <c r="BH43" s="4234"/>
      <c r="BI43" s="25"/>
      <c r="BJ43" s="25"/>
      <c r="BK43" s="25"/>
      <c r="BL43" s="25"/>
      <c r="BM43" s="25"/>
      <c r="BN43" s="25"/>
    </row>
    <row r="44" spans="1:66" ht="15" customHeight="1" x14ac:dyDescent="0.25">
      <c r="B44" s="1530" t="s">
        <v>990</v>
      </c>
      <c r="C44" s="1531"/>
      <c r="D44" s="1529" t="s">
        <v>50</v>
      </c>
      <c r="E44" s="189"/>
      <c r="F44" s="1054"/>
      <c r="G44" s="189"/>
      <c r="H44" s="5606"/>
      <c r="I44" s="733"/>
      <c r="J44" s="2236">
        <f t="shared" ref="J44:J54" si="17">+F44+H44</f>
        <v>0</v>
      </c>
      <c r="K44" s="189"/>
      <c r="L44" s="5717"/>
      <c r="M44" s="732"/>
      <c r="N44" s="2211">
        <f t="shared" ref="N44:N54" si="18">+F44+H44+L44</f>
        <v>0</v>
      </c>
      <c r="O44" s="189"/>
      <c r="P44" s="5837"/>
      <c r="Q44" s="733"/>
      <c r="R44" s="5838">
        <f t="shared" si="2"/>
        <v>0</v>
      </c>
      <c r="S44" s="189"/>
      <c r="T44" s="5934"/>
      <c r="U44" s="4351"/>
      <c r="V44" s="4351">
        <f t="shared" ref="V44:V53" si="19">+R44+T44</f>
        <v>0</v>
      </c>
      <c r="W44" s="189"/>
      <c r="X44" s="6036"/>
      <c r="Y44" s="749"/>
      <c r="Z44" s="2211">
        <f t="shared" ref="Z44:Z54" si="20">+P44+T44+X44</f>
        <v>0</v>
      </c>
      <c r="AA44" s="492"/>
      <c r="AB44" s="629">
        <f t="shared" ref="AB44:AB54" si="21">+N44+Z44</f>
        <v>0</v>
      </c>
      <c r="AC44" s="189"/>
      <c r="AD44" s="6163"/>
      <c r="AE44" s="2236"/>
      <c r="AF44" s="2236">
        <f t="shared" ref="AF44:AF54" si="22">+AB44+AD44</f>
        <v>0</v>
      </c>
      <c r="AG44" s="189"/>
      <c r="AH44" s="6328"/>
      <c r="AI44" s="4635"/>
      <c r="AJ44" s="4635">
        <f t="shared" ref="AJ44:AJ54" si="23">+AF44+AH44</f>
        <v>0</v>
      </c>
      <c r="AK44" s="189"/>
      <c r="AL44" s="6592"/>
      <c r="AM44" s="749"/>
      <c r="AN44" s="2544">
        <f t="shared" ref="AN44:AN54" si="24">+AD44+AH44+AL44</f>
        <v>0</v>
      </c>
      <c r="AO44" s="2236"/>
      <c r="AP44" s="2236">
        <f t="shared" ref="AP44:AP54" si="25">AJ44+AL44</f>
        <v>0</v>
      </c>
      <c r="AQ44" s="189"/>
      <c r="AR44" s="6674"/>
      <c r="AS44" s="2236"/>
      <c r="AT44" s="2236">
        <f t="shared" ref="AT44:AT54" si="26">+AP44+AR44</f>
        <v>0</v>
      </c>
      <c r="AU44" s="189"/>
      <c r="AV44" s="6841"/>
      <c r="AW44" s="5047"/>
      <c r="AX44" s="5047">
        <f t="shared" ref="AX44:AX54" si="27">+AT44+AV44</f>
        <v>0</v>
      </c>
      <c r="AY44" s="189"/>
      <c r="AZ44" s="141"/>
      <c r="BA44" s="749"/>
      <c r="BB44" s="2812">
        <f t="shared" ref="BB44:BB54" si="28">+AR44+AV44+AZ44</f>
        <v>0</v>
      </c>
      <c r="BC44" s="492"/>
      <c r="BD44" s="629">
        <f>+AN44+BB44</f>
        <v>0</v>
      </c>
      <c r="BE44" s="2236"/>
      <c r="BF44" s="2236">
        <f t="shared" ref="BF44:BF54" si="29">+AX44+AZ44</f>
        <v>0</v>
      </c>
      <c r="BG44" s="4234"/>
      <c r="BH44" s="4234"/>
      <c r="BI44" s="25"/>
      <c r="BJ44" s="25"/>
      <c r="BK44" s="25"/>
      <c r="BL44" s="25"/>
      <c r="BM44" s="25"/>
      <c r="BN44" s="25"/>
    </row>
    <row r="45" spans="1:66" ht="15" customHeight="1" x14ac:dyDescent="0.25">
      <c r="B45" s="1530" t="s">
        <v>988</v>
      </c>
      <c r="C45" s="1531"/>
      <c r="D45" s="1529" t="s">
        <v>50</v>
      </c>
      <c r="E45" s="189"/>
      <c r="F45" s="180">
        <v>13.54</v>
      </c>
      <c r="G45" s="189"/>
      <c r="H45" s="5606">
        <v>8.67</v>
      </c>
      <c r="I45" s="733"/>
      <c r="J45" s="2236">
        <f t="shared" si="17"/>
        <v>22.21</v>
      </c>
      <c r="K45" s="189"/>
      <c r="L45" s="5717">
        <v>12.03</v>
      </c>
      <c r="M45" s="732"/>
      <c r="N45" s="2211">
        <f t="shared" si="18"/>
        <v>34.24</v>
      </c>
      <c r="O45" s="189"/>
      <c r="P45" s="5837"/>
      <c r="Q45" s="733"/>
      <c r="R45" s="5838">
        <f t="shared" si="2"/>
        <v>34.24</v>
      </c>
      <c r="S45" s="189"/>
      <c r="T45" s="5934">
        <v>5.49</v>
      </c>
      <c r="U45" s="4351"/>
      <c r="V45" s="5959">
        <f t="shared" si="19"/>
        <v>39.730000000000004</v>
      </c>
      <c r="W45" s="189"/>
      <c r="X45" s="6036">
        <v>10.32</v>
      </c>
      <c r="Y45" s="749"/>
      <c r="Z45" s="6033">
        <f t="shared" si="20"/>
        <v>15.81</v>
      </c>
      <c r="AA45" s="492"/>
      <c r="AB45" s="629">
        <f t="shared" si="21"/>
        <v>50.050000000000004</v>
      </c>
      <c r="AC45" s="189"/>
      <c r="AD45" s="6163">
        <v>2.1800000000000002</v>
      </c>
      <c r="AE45" s="2236"/>
      <c r="AF45" s="6175">
        <f t="shared" si="22"/>
        <v>52.230000000000004</v>
      </c>
      <c r="AG45" s="189"/>
      <c r="AH45" s="6328">
        <v>12.73</v>
      </c>
      <c r="AI45" s="4635"/>
      <c r="AJ45" s="4635">
        <f t="shared" si="23"/>
        <v>64.960000000000008</v>
      </c>
      <c r="AK45" s="189"/>
      <c r="AL45" s="6592">
        <v>4.05</v>
      </c>
      <c r="AM45" s="749"/>
      <c r="AN45" s="4924">
        <f t="shared" si="24"/>
        <v>18.96</v>
      </c>
      <c r="AO45" s="2236"/>
      <c r="AP45" s="4925">
        <f t="shared" si="25"/>
        <v>69.010000000000005</v>
      </c>
      <c r="AQ45" s="189"/>
      <c r="AR45" s="6674"/>
      <c r="AS45" s="2236"/>
      <c r="AT45" s="6693">
        <f t="shared" si="26"/>
        <v>69.010000000000005</v>
      </c>
      <c r="AU45" s="189"/>
      <c r="AV45" s="6841">
        <v>13</v>
      </c>
      <c r="AW45" s="5047"/>
      <c r="AX45" s="5047">
        <f t="shared" si="27"/>
        <v>82.01</v>
      </c>
      <c r="AY45" s="189"/>
      <c r="AZ45" s="141"/>
      <c r="BA45" s="749"/>
      <c r="BB45" s="2812">
        <f t="shared" si="28"/>
        <v>13</v>
      </c>
      <c r="BC45" s="492"/>
      <c r="BD45" s="629">
        <f t="shared" ref="BD45:BD54" si="30">+AN45+BB45</f>
        <v>31.96</v>
      </c>
      <c r="BE45" s="2236"/>
      <c r="BF45" s="2236">
        <f t="shared" si="29"/>
        <v>82.01</v>
      </c>
      <c r="BG45" s="4234"/>
      <c r="BH45" s="4234"/>
      <c r="BI45" s="25"/>
      <c r="BJ45" s="25"/>
      <c r="BK45" s="25"/>
      <c r="BL45" s="25"/>
      <c r="BM45" s="25"/>
      <c r="BN45" s="25"/>
    </row>
    <row r="46" spans="1:66" ht="15.75" customHeight="1" x14ac:dyDescent="0.25">
      <c r="B46" s="1532" t="s">
        <v>987</v>
      </c>
      <c r="C46" s="1533"/>
      <c r="D46" s="1534" t="s">
        <v>50</v>
      </c>
      <c r="E46" s="190"/>
      <c r="F46" s="1054"/>
      <c r="G46" s="190"/>
      <c r="H46" s="5606">
        <v>12.48</v>
      </c>
      <c r="I46" s="255"/>
      <c r="J46" s="2236">
        <f t="shared" si="17"/>
        <v>12.48</v>
      </c>
      <c r="K46" s="190"/>
      <c r="L46" s="5717">
        <v>7.02</v>
      </c>
      <c r="M46" s="1122"/>
      <c r="N46" s="2211">
        <f t="shared" si="18"/>
        <v>19.5</v>
      </c>
      <c r="O46" s="190"/>
      <c r="P46" s="5837">
        <v>14.62</v>
      </c>
      <c r="Q46" s="255"/>
      <c r="R46" s="5838">
        <f t="shared" si="2"/>
        <v>34.119999999999997</v>
      </c>
      <c r="S46" s="190"/>
      <c r="T46" s="5934"/>
      <c r="U46" s="4352"/>
      <c r="V46" s="5959">
        <f t="shared" si="19"/>
        <v>34.119999999999997</v>
      </c>
      <c r="W46" s="190"/>
      <c r="X46" s="6036">
        <v>8.6300000000000008</v>
      </c>
      <c r="Y46" s="834"/>
      <c r="Z46" s="6033">
        <f t="shared" si="20"/>
        <v>23.25</v>
      </c>
      <c r="AA46" s="492"/>
      <c r="AB46" s="629">
        <f t="shared" si="21"/>
        <v>42.75</v>
      </c>
      <c r="AC46" s="190"/>
      <c r="AD46" s="6163">
        <v>2.21</v>
      </c>
      <c r="AE46" s="2238"/>
      <c r="AF46" s="6175">
        <f t="shared" si="22"/>
        <v>44.96</v>
      </c>
      <c r="AG46" s="190"/>
      <c r="AH46" s="6328">
        <v>25.26</v>
      </c>
      <c r="AI46" s="4636"/>
      <c r="AJ46" s="4635">
        <f t="shared" si="23"/>
        <v>70.22</v>
      </c>
      <c r="AK46" s="190"/>
      <c r="AL46" s="6592">
        <v>32.9</v>
      </c>
      <c r="AM46" s="834"/>
      <c r="AN46" s="4924">
        <f t="shared" si="24"/>
        <v>60.370000000000005</v>
      </c>
      <c r="AO46" s="2238"/>
      <c r="AP46" s="4925">
        <f t="shared" si="25"/>
        <v>103.12</v>
      </c>
      <c r="AQ46" s="190"/>
      <c r="AR46" s="1056">
        <v>18.72</v>
      </c>
      <c r="AS46" s="2238"/>
      <c r="AT46" s="6693">
        <f t="shared" si="26"/>
        <v>121.84</v>
      </c>
      <c r="AU46" s="190"/>
      <c r="AV46" s="1056"/>
      <c r="AW46" s="5045"/>
      <c r="AX46" s="5047">
        <f t="shared" si="27"/>
        <v>121.84</v>
      </c>
      <c r="AY46" s="190"/>
      <c r="AZ46" s="7247">
        <v>8.89</v>
      </c>
      <c r="BA46" s="834"/>
      <c r="BB46" s="2812">
        <f t="shared" si="28"/>
        <v>27.61</v>
      </c>
      <c r="BC46" s="492"/>
      <c r="BD46" s="629">
        <f t="shared" si="30"/>
        <v>87.98</v>
      </c>
      <c r="BE46" s="2238"/>
      <c r="BF46" s="2236">
        <f t="shared" si="29"/>
        <v>130.73000000000002</v>
      </c>
      <c r="BG46" s="4234"/>
      <c r="BH46" s="4234"/>
      <c r="BI46" s="25"/>
      <c r="BJ46" s="25"/>
      <c r="BK46" s="25"/>
      <c r="BL46" s="25"/>
      <c r="BM46" s="25"/>
      <c r="BN46" s="25"/>
    </row>
    <row r="47" spans="1:66" ht="15.75" x14ac:dyDescent="0.25">
      <c r="B47" s="1530" t="s">
        <v>986</v>
      </c>
      <c r="C47" s="1531"/>
      <c r="D47" s="1529" t="s">
        <v>50</v>
      </c>
      <c r="E47" s="189"/>
      <c r="F47" s="1054">
        <v>10.43</v>
      </c>
      <c r="G47" s="189"/>
      <c r="H47" s="5606">
        <v>9.0399999999999991</v>
      </c>
      <c r="I47" s="733"/>
      <c r="J47" s="2236">
        <f t="shared" si="17"/>
        <v>19.47</v>
      </c>
      <c r="K47" s="189"/>
      <c r="L47" s="5717">
        <v>11.93</v>
      </c>
      <c r="M47" s="732"/>
      <c r="N47" s="2211">
        <f t="shared" si="18"/>
        <v>31.4</v>
      </c>
      <c r="O47" s="189"/>
      <c r="P47" s="5837">
        <v>24.45</v>
      </c>
      <c r="Q47" s="733"/>
      <c r="R47" s="5838">
        <f t="shared" si="2"/>
        <v>55.849999999999994</v>
      </c>
      <c r="S47" s="189"/>
      <c r="T47" s="5934">
        <v>19.12</v>
      </c>
      <c r="U47" s="4351"/>
      <c r="V47" s="5959">
        <f t="shared" si="19"/>
        <v>74.97</v>
      </c>
      <c r="W47" s="189"/>
      <c r="X47" s="6036">
        <v>75.41</v>
      </c>
      <c r="Y47" s="749"/>
      <c r="Z47" s="6033">
        <f t="shared" si="20"/>
        <v>118.97999999999999</v>
      </c>
      <c r="AA47" s="492"/>
      <c r="AB47" s="629">
        <f t="shared" si="21"/>
        <v>150.38</v>
      </c>
      <c r="AC47" s="189"/>
      <c r="AD47" s="6163">
        <v>33.369999999999997</v>
      </c>
      <c r="AE47" s="2236"/>
      <c r="AF47" s="6175">
        <f t="shared" si="22"/>
        <v>183.75</v>
      </c>
      <c r="AG47" s="189"/>
      <c r="AH47" s="6328">
        <v>25.34</v>
      </c>
      <c r="AI47" s="4635"/>
      <c r="AJ47" s="4635">
        <f t="shared" si="23"/>
        <v>209.09</v>
      </c>
      <c r="AK47" s="189"/>
      <c r="AL47" s="6592">
        <v>28.46</v>
      </c>
      <c r="AM47" s="749"/>
      <c r="AN47" s="4924">
        <f t="shared" si="24"/>
        <v>87.169999999999987</v>
      </c>
      <c r="AO47" s="2236"/>
      <c r="AP47" s="4925">
        <f t="shared" si="25"/>
        <v>237.55</v>
      </c>
      <c r="AQ47" s="189"/>
      <c r="AR47" s="1056">
        <v>8.3699999999999992</v>
      </c>
      <c r="AS47" s="2236"/>
      <c r="AT47" s="6693">
        <f t="shared" si="26"/>
        <v>245.92000000000002</v>
      </c>
      <c r="AU47" s="189"/>
      <c r="AV47" s="1056">
        <v>2.78</v>
      </c>
      <c r="AW47" s="5047"/>
      <c r="AX47" s="5047">
        <f t="shared" si="27"/>
        <v>248.70000000000002</v>
      </c>
      <c r="AY47" s="189"/>
      <c r="AZ47" s="7247">
        <v>52.33</v>
      </c>
      <c r="BA47" s="749"/>
      <c r="BB47" s="2812">
        <f t="shared" si="28"/>
        <v>63.48</v>
      </c>
      <c r="BC47" s="492"/>
      <c r="BD47" s="629">
        <f t="shared" si="30"/>
        <v>150.64999999999998</v>
      </c>
      <c r="BE47" s="2236"/>
      <c r="BF47" s="2236">
        <f t="shared" si="29"/>
        <v>301.03000000000003</v>
      </c>
      <c r="BG47" s="4234"/>
      <c r="BH47" s="4234"/>
      <c r="BI47" s="25"/>
      <c r="BJ47" s="25"/>
      <c r="BK47" s="25"/>
      <c r="BL47" s="25"/>
      <c r="BM47" s="25"/>
      <c r="BN47" s="25"/>
    </row>
    <row r="48" spans="1:66" ht="15.75" x14ac:dyDescent="0.25">
      <c r="B48" s="1530" t="s">
        <v>1276</v>
      </c>
      <c r="C48" s="1531"/>
      <c r="D48" s="1529" t="s">
        <v>50</v>
      </c>
      <c r="E48" s="189"/>
      <c r="F48" s="180">
        <v>15.329999999999998</v>
      </c>
      <c r="G48" s="189"/>
      <c r="H48" s="5606"/>
      <c r="I48" s="733"/>
      <c r="J48" s="2236">
        <f t="shared" si="17"/>
        <v>15.329999999999998</v>
      </c>
      <c r="K48" s="189"/>
      <c r="L48" s="5717"/>
      <c r="M48" s="732"/>
      <c r="N48" s="2211">
        <f t="shared" si="18"/>
        <v>15.329999999999998</v>
      </c>
      <c r="O48" s="189"/>
      <c r="P48" s="5837"/>
      <c r="Q48" s="733"/>
      <c r="R48" s="5838">
        <f t="shared" si="2"/>
        <v>15.329999999999998</v>
      </c>
      <c r="S48" s="189"/>
      <c r="T48" s="5934"/>
      <c r="U48" s="4351"/>
      <c r="V48" s="5959">
        <f t="shared" si="19"/>
        <v>15.329999999999998</v>
      </c>
      <c r="W48" s="189"/>
      <c r="X48" s="6036"/>
      <c r="Y48" s="749"/>
      <c r="Z48" s="6033">
        <f t="shared" si="20"/>
        <v>0</v>
      </c>
      <c r="AA48" s="492"/>
      <c r="AB48" s="629">
        <f t="shared" si="21"/>
        <v>15.329999999999998</v>
      </c>
      <c r="AC48" s="189"/>
      <c r="AD48" s="6163"/>
      <c r="AE48" s="2236"/>
      <c r="AF48" s="6175">
        <f t="shared" si="22"/>
        <v>15.329999999999998</v>
      </c>
      <c r="AG48" s="189"/>
      <c r="AH48" s="6328"/>
      <c r="AI48" s="4635"/>
      <c r="AJ48" s="4635">
        <f t="shared" si="23"/>
        <v>15.329999999999998</v>
      </c>
      <c r="AK48" s="189"/>
      <c r="AL48" s="6592"/>
      <c r="AM48" s="749"/>
      <c r="AN48" s="4924">
        <f t="shared" si="24"/>
        <v>0</v>
      </c>
      <c r="AO48" s="2236"/>
      <c r="AP48" s="4925">
        <f t="shared" si="25"/>
        <v>15.329999999999998</v>
      </c>
      <c r="AQ48" s="189"/>
      <c r="AR48" s="180"/>
      <c r="AS48" s="2236"/>
      <c r="AT48" s="6693">
        <f t="shared" si="26"/>
        <v>15.329999999999998</v>
      </c>
      <c r="AU48" s="189"/>
      <c r="AV48" s="180"/>
      <c r="AW48" s="5047"/>
      <c r="AX48" s="5047">
        <f t="shared" si="27"/>
        <v>15.329999999999998</v>
      </c>
      <c r="AY48" s="189"/>
      <c r="AZ48" s="7248"/>
      <c r="BA48" s="749"/>
      <c r="BB48" s="2812">
        <f t="shared" si="28"/>
        <v>0</v>
      </c>
      <c r="BC48" s="492"/>
      <c r="BD48" s="629">
        <f t="shared" si="30"/>
        <v>0</v>
      </c>
      <c r="BE48" s="2236"/>
      <c r="BF48" s="2236">
        <f t="shared" si="29"/>
        <v>15.329999999999998</v>
      </c>
      <c r="BG48" s="4234"/>
      <c r="BH48" s="4234"/>
      <c r="BI48" s="25"/>
      <c r="BJ48" s="25"/>
      <c r="BK48" s="25"/>
      <c r="BL48" s="25"/>
      <c r="BM48" s="25"/>
      <c r="BN48" s="25"/>
    </row>
    <row r="49" spans="1:66" s="2556" customFormat="1" ht="15.75" x14ac:dyDescent="0.25">
      <c r="B49" s="1530" t="s">
        <v>1579</v>
      </c>
      <c r="C49" s="1531"/>
      <c r="D49" s="1529" t="s">
        <v>50</v>
      </c>
      <c r="E49" s="189"/>
      <c r="F49" s="2237"/>
      <c r="G49" s="189"/>
      <c r="H49" s="5606"/>
      <c r="I49" s="2236"/>
      <c r="J49" s="2236">
        <f t="shared" si="17"/>
        <v>0</v>
      </c>
      <c r="K49" s="189"/>
      <c r="L49" s="5717"/>
      <c r="M49" s="2553"/>
      <c r="N49" s="4153">
        <f t="shared" si="18"/>
        <v>0</v>
      </c>
      <c r="O49" s="189"/>
      <c r="P49" s="5837"/>
      <c r="Q49" s="2236"/>
      <c r="R49" s="5838">
        <f t="shared" si="2"/>
        <v>0</v>
      </c>
      <c r="S49" s="189"/>
      <c r="T49" s="5934"/>
      <c r="U49" s="4351"/>
      <c r="V49" s="5959">
        <f t="shared" si="19"/>
        <v>0</v>
      </c>
      <c r="W49" s="189"/>
      <c r="X49" s="6036"/>
      <c r="Y49" s="749"/>
      <c r="Z49" s="6033">
        <f t="shared" si="20"/>
        <v>0</v>
      </c>
      <c r="AA49" s="492"/>
      <c r="AB49" s="629">
        <f t="shared" si="21"/>
        <v>0</v>
      </c>
      <c r="AC49" s="189"/>
      <c r="AD49" s="6163"/>
      <c r="AE49" s="2236"/>
      <c r="AF49" s="6175">
        <f t="shared" si="22"/>
        <v>0</v>
      </c>
      <c r="AG49" s="189"/>
      <c r="AH49" s="6328"/>
      <c r="AI49" s="4635"/>
      <c r="AJ49" s="4635">
        <f t="shared" si="23"/>
        <v>0</v>
      </c>
      <c r="AK49" s="189"/>
      <c r="AL49" s="6592"/>
      <c r="AM49" s="749"/>
      <c r="AN49" s="4924">
        <f t="shared" si="24"/>
        <v>0</v>
      </c>
      <c r="AO49" s="2236"/>
      <c r="AP49" s="4925">
        <f t="shared" si="25"/>
        <v>0</v>
      </c>
      <c r="AQ49" s="189"/>
      <c r="AR49" s="180"/>
      <c r="AS49" s="2236"/>
      <c r="AT49" s="6693">
        <f t="shared" si="26"/>
        <v>0</v>
      </c>
      <c r="AU49" s="189"/>
      <c r="AV49" s="180"/>
      <c r="AW49" s="5047"/>
      <c r="AX49" s="5047">
        <f t="shared" si="27"/>
        <v>0</v>
      </c>
      <c r="AY49" s="189"/>
      <c r="AZ49" s="7248"/>
      <c r="BA49" s="749"/>
      <c r="BB49" s="2812">
        <f t="shared" si="28"/>
        <v>0</v>
      </c>
      <c r="BC49" s="492"/>
      <c r="BD49" s="629">
        <f t="shared" si="30"/>
        <v>0</v>
      </c>
      <c r="BE49" s="2236"/>
      <c r="BF49" s="2236">
        <f t="shared" si="29"/>
        <v>0</v>
      </c>
      <c r="BG49" s="4234"/>
      <c r="BH49" s="4234"/>
      <c r="BI49" s="25"/>
      <c r="BJ49" s="25"/>
      <c r="BK49" s="25"/>
      <c r="BL49" s="25"/>
      <c r="BM49" s="25"/>
      <c r="BN49" s="25"/>
    </row>
    <row r="50" spans="1:66" ht="15.75" x14ac:dyDescent="0.25">
      <c r="B50" s="1530" t="s">
        <v>1223</v>
      </c>
      <c r="C50" s="1531"/>
      <c r="D50" s="1529" t="s">
        <v>50</v>
      </c>
      <c r="E50" s="189"/>
      <c r="F50" s="1054"/>
      <c r="G50" s="189"/>
      <c r="H50" s="5606"/>
      <c r="I50" s="733"/>
      <c r="J50" s="2236">
        <f t="shared" si="17"/>
        <v>0</v>
      </c>
      <c r="K50" s="189"/>
      <c r="L50" s="5717"/>
      <c r="M50" s="732"/>
      <c r="N50" s="4153">
        <f t="shared" si="18"/>
        <v>0</v>
      </c>
      <c r="O50" s="189"/>
      <c r="P50" s="5837">
        <v>3.77</v>
      </c>
      <c r="Q50" s="733"/>
      <c r="R50" s="5838">
        <f t="shared" si="2"/>
        <v>3.77</v>
      </c>
      <c r="S50" s="189"/>
      <c r="T50" s="5934">
        <v>25.96</v>
      </c>
      <c r="U50" s="4351"/>
      <c r="V50" s="5959">
        <f t="shared" si="19"/>
        <v>29.73</v>
      </c>
      <c r="W50" s="189"/>
      <c r="X50" s="6036"/>
      <c r="Y50" s="749"/>
      <c r="Z50" s="6033">
        <f t="shared" si="20"/>
        <v>29.73</v>
      </c>
      <c r="AA50" s="492"/>
      <c r="AB50" s="629">
        <f t="shared" si="21"/>
        <v>29.73</v>
      </c>
      <c r="AC50" s="189"/>
      <c r="AD50" s="6163"/>
      <c r="AE50" s="2236"/>
      <c r="AF50" s="6175">
        <f t="shared" si="22"/>
        <v>29.73</v>
      </c>
      <c r="AG50" s="189"/>
      <c r="AH50" s="6328"/>
      <c r="AI50" s="4635"/>
      <c r="AJ50" s="4635">
        <f t="shared" si="23"/>
        <v>29.73</v>
      </c>
      <c r="AK50" s="189"/>
      <c r="AL50" s="6592"/>
      <c r="AM50" s="749"/>
      <c r="AN50" s="4924">
        <f t="shared" si="24"/>
        <v>0</v>
      </c>
      <c r="AO50" s="2236"/>
      <c r="AP50" s="4925">
        <f t="shared" si="25"/>
        <v>29.73</v>
      </c>
      <c r="AQ50" s="189"/>
      <c r="AR50" s="180"/>
      <c r="AS50" s="2236"/>
      <c r="AT50" s="6693">
        <f t="shared" si="26"/>
        <v>29.73</v>
      </c>
      <c r="AU50" s="189"/>
      <c r="AV50" s="180"/>
      <c r="AW50" s="5047"/>
      <c r="AX50" s="5047">
        <f t="shared" si="27"/>
        <v>29.73</v>
      </c>
      <c r="AY50" s="189"/>
      <c r="AZ50" s="7248"/>
      <c r="BA50" s="749"/>
      <c r="BB50" s="2812">
        <f t="shared" si="28"/>
        <v>0</v>
      </c>
      <c r="BC50" s="492"/>
      <c r="BD50" s="629">
        <f t="shared" si="30"/>
        <v>0</v>
      </c>
      <c r="BE50" s="2236"/>
      <c r="BF50" s="2236">
        <f t="shared" si="29"/>
        <v>29.73</v>
      </c>
      <c r="BG50" s="4234"/>
      <c r="BH50" s="4234"/>
      <c r="BI50" s="25"/>
      <c r="BJ50" s="25"/>
      <c r="BK50" s="25"/>
      <c r="BL50" s="25"/>
      <c r="BM50" s="25"/>
      <c r="BN50" s="25"/>
    </row>
    <row r="51" spans="1:66" ht="15.75" x14ac:dyDescent="0.25">
      <c r="B51" s="1530" t="s">
        <v>1318</v>
      </c>
      <c r="C51" s="1531"/>
      <c r="D51" s="1529" t="s">
        <v>50</v>
      </c>
      <c r="E51" s="189"/>
      <c r="F51" s="1054"/>
      <c r="G51" s="189"/>
      <c r="H51" s="5606"/>
      <c r="I51" s="733"/>
      <c r="J51" s="2236">
        <f t="shared" si="17"/>
        <v>0</v>
      </c>
      <c r="K51" s="189"/>
      <c r="L51" s="5717"/>
      <c r="M51" s="732"/>
      <c r="N51" s="2211">
        <f t="shared" si="18"/>
        <v>0</v>
      </c>
      <c r="O51" s="189"/>
      <c r="P51" s="5837">
        <v>0.68</v>
      </c>
      <c r="Q51" s="733"/>
      <c r="R51" s="5838">
        <f t="shared" si="2"/>
        <v>0.68</v>
      </c>
      <c r="S51" s="189"/>
      <c r="T51" s="5934"/>
      <c r="U51" s="4351"/>
      <c r="V51" s="5959">
        <f t="shared" si="19"/>
        <v>0.68</v>
      </c>
      <c r="W51" s="189"/>
      <c r="X51" s="6036">
        <v>1.66</v>
      </c>
      <c r="Y51" s="749"/>
      <c r="Z51" s="6033">
        <f t="shared" si="20"/>
        <v>2.34</v>
      </c>
      <c r="AA51" s="492"/>
      <c r="AB51" s="629">
        <f t="shared" si="21"/>
        <v>2.34</v>
      </c>
      <c r="AC51" s="189"/>
      <c r="AD51" s="6163"/>
      <c r="AE51" s="2236"/>
      <c r="AF51" s="6175">
        <f t="shared" si="22"/>
        <v>2.34</v>
      </c>
      <c r="AG51" s="189"/>
      <c r="AH51" s="6328"/>
      <c r="AI51" s="4635"/>
      <c r="AJ51" s="4635">
        <f t="shared" si="23"/>
        <v>2.34</v>
      </c>
      <c r="AK51" s="189"/>
      <c r="AL51" s="6592"/>
      <c r="AM51" s="749"/>
      <c r="AN51" s="4924">
        <f t="shared" si="24"/>
        <v>0</v>
      </c>
      <c r="AO51" s="2236"/>
      <c r="AP51" s="4925">
        <f t="shared" si="25"/>
        <v>2.34</v>
      </c>
      <c r="AQ51" s="189"/>
      <c r="AR51" s="180">
        <v>5.14</v>
      </c>
      <c r="AS51" s="2236"/>
      <c r="AT51" s="6693">
        <f t="shared" si="26"/>
        <v>7.4799999999999995</v>
      </c>
      <c r="AU51" s="189"/>
      <c r="AV51" s="180"/>
      <c r="AW51" s="5047"/>
      <c r="AX51" s="5047">
        <f t="shared" si="27"/>
        <v>7.4799999999999995</v>
      </c>
      <c r="AY51" s="189"/>
      <c r="AZ51" s="7248"/>
      <c r="BA51" s="749"/>
      <c r="BB51" s="2812">
        <f t="shared" si="28"/>
        <v>5.14</v>
      </c>
      <c r="BC51" s="492"/>
      <c r="BD51" s="629">
        <f t="shared" si="30"/>
        <v>5.14</v>
      </c>
      <c r="BE51" s="2236"/>
      <c r="BF51" s="2236">
        <f t="shared" si="29"/>
        <v>7.4799999999999995</v>
      </c>
      <c r="BG51" s="4234"/>
      <c r="BH51" s="4234"/>
      <c r="BI51" s="25"/>
      <c r="BJ51" s="25"/>
      <c r="BK51" s="25"/>
      <c r="BL51" s="25"/>
      <c r="BM51" s="25"/>
      <c r="BN51" s="25"/>
    </row>
    <row r="52" spans="1:66" ht="15.75" x14ac:dyDescent="0.25">
      <c r="B52" s="1530" t="s">
        <v>1005</v>
      </c>
      <c r="C52" s="1531"/>
      <c r="D52" s="1529" t="s">
        <v>50</v>
      </c>
      <c r="E52" s="189"/>
      <c r="F52" s="180">
        <v>1.49</v>
      </c>
      <c r="G52" s="189"/>
      <c r="H52" s="5606">
        <v>1.1000000000000001</v>
      </c>
      <c r="I52" s="733"/>
      <c r="J52" s="2236">
        <f t="shared" si="17"/>
        <v>2.59</v>
      </c>
      <c r="K52" s="189"/>
      <c r="L52" s="5717">
        <v>3.83</v>
      </c>
      <c r="M52" s="732"/>
      <c r="N52" s="2211">
        <f t="shared" si="18"/>
        <v>6.42</v>
      </c>
      <c r="O52" s="189"/>
      <c r="P52" s="5837">
        <v>0.63</v>
      </c>
      <c r="Q52" s="733"/>
      <c r="R52" s="5838">
        <f t="shared" si="2"/>
        <v>7.05</v>
      </c>
      <c r="S52" s="189"/>
      <c r="T52" s="5934"/>
      <c r="U52" s="4351"/>
      <c r="V52" s="5959">
        <f t="shared" si="19"/>
        <v>7.05</v>
      </c>
      <c r="W52" s="189"/>
      <c r="X52" s="6036">
        <v>2.5299999999999998</v>
      </c>
      <c r="Y52" s="749"/>
      <c r="Z52" s="6033">
        <f t="shared" si="20"/>
        <v>3.1599999999999997</v>
      </c>
      <c r="AA52" s="492"/>
      <c r="AB52" s="629">
        <f t="shared" si="21"/>
        <v>9.58</v>
      </c>
      <c r="AC52" s="189"/>
      <c r="AD52" s="6163">
        <v>12.24</v>
      </c>
      <c r="AE52" s="2236"/>
      <c r="AF52" s="6175">
        <f t="shared" si="22"/>
        <v>21.82</v>
      </c>
      <c r="AG52" s="189"/>
      <c r="AH52" s="6328">
        <v>5.62</v>
      </c>
      <c r="AI52" s="4635"/>
      <c r="AJ52" s="4635">
        <f t="shared" si="23"/>
        <v>27.44</v>
      </c>
      <c r="AK52" s="189"/>
      <c r="AL52" s="6592">
        <v>23.84</v>
      </c>
      <c r="AM52" s="749"/>
      <c r="AN52" s="4924">
        <f t="shared" si="24"/>
        <v>41.7</v>
      </c>
      <c r="AO52" s="2236"/>
      <c r="AP52" s="4925">
        <f t="shared" si="25"/>
        <v>51.28</v>
      </c>
      <c r="AQ52" s="189"/>
      <c r="AR52" s="6674"/>
      <c r="AS52" s="2236"/>
      <c r="AT52" s="6693">
        <f t="shared" si="26"/>
        <v>51.28</v>
      </c>
      <c r="AU52" s="189"/>
      <c r="AV52" s="6841"/>
      <c r="AW52" s="5047"/>
      <c r="AX52" s="5047">
        <f t="shared" si="27"/>
        <v>51.28</v>
      </c>
      <c r="AY52" s="189"/>
      <c r="AZ52" s="141">
        <v>14.76</v>
      </c>
      <c r="BA52" s="749"/>
      <c r="BB52" s="2812">
        <f t="shared" si="28"/>
        <v>14.76</v>
      </c>
      <c r="BC52" s="492"/>
      <c r="BD52" s="629">
        <f t="shared" si="30"/>
        <v>56.46</v>
      </c>
      <c r="BE52" s="2236"/>
      <c r="BF52" s="2236">
        <f t="shared" si="29"/>
        <v>66.040000000000006</v>
      </c>
      <c r="BG52" s="4234"/>
      <c r="BH52" s="4234"/>
      <c r="BI52" s="25"/>
      <c r="BJ52" s="25"/>
      <c r="BK52" s="25"/>
      <c r="BL52" s="25"/>
      <c r="BM52" s="25"/>
      <c r="BN52" s="25"/>
    </row>
    <row r="53" spans="1:66" s="4487" customFormat="1" ht="15.75" x14ac:dyDescent="0.25">
      <c r="B53" s="5741" t="s">
        <v>1990</v>
      </c>
      <c r="C53" s="5742"/>
      <c r="D53" s="1529" t="s">
        <v>50</v>
      </c>
      <c r="E53" s="5743"/>
      <c r="F53" s="5744"/>
      <c r="G53" s="5743"/>
      <c r="H53" s="5744"/>
      <c r="I53" s="5739"/>
      <c r="J53" s="5739"/>
      <c r="K53" s="5743"/>
      <c r="L53" s="5744">
        <v>0.48</v>
      </c>
      <c r="M53" s="5745"/>
      <c r="N53" s="330">
        <f t="shared" si="18"/>
        <v>0.48</v>
      </c>
      <c r="O53" s="5743"/>
      <c r="P53" s="5744"/>
      <c r="Q53" s="5739"/>
      <c r="R53" s="5838">
        <f t="shared" si="2"/>
        <v>0.48</v>
      </c>
      <c r="S53" s="5743"/>
      <c r="T53" s="5744"/>
      <c r="U53" s="5739"/>
      <c r="V53" s="5959">
        <f t="shared" si="19"/>
        <v>0.48</v>
      </c>
      <c r="W53" s="5743"/>
      <c r="X53" s="5744"/>
      <c r="Y53" s="5746"/>
      <c r="Z53" s="6033">
        <f t="shared" si="20"/>
        <v>0</v>
      </c>
      <c r="AA53" s="5651"/>
      <c r="AB53" s="756">
        <f t="shared" si="21"/>
        <v>0.48</v>
      </c>
      <c r="AC53" s="5743"/>
      <c r="AD53" s="5744"/>
      <c r="AE53" s="5739"/>
      <c r="AF53" s="245">
        <f t="shared" si="22"/>
        <v>0.48</v>
      </c>
      <c r="AG53" s="5743"/>
      <c r="AH53" s="5744"/>
      <c r="AI53" s="5739"/>
      <c r="AJ53" s="6346">
        <f t="shared" si="23"/>
        <v>0.48</v>
      </c>
      <c r="AK53" s="5743"/>
      <c r="AL53" s="5744"/>
      <c r="AM53" s="5746"/>
      <c r="AN53" s="5745"/>
      <c r="AO53" s="5739"/>
      <c r="AP53" s="6877">
        <f t="shared" si="25"/>
        <v>0.48</v>
      </c>
      <c r="AQ53" s="5743"/>
      <c r="AR53" s="5744"/>
      <c r="AS53" s="5739"/>
      <c r="AT53" s="245">
        <f t="shared" si="26"/>
        <v>0.48</v>
      </c>
      <c r="AU53" s="5743"/>
      <c r="AV53" s="5744"/>
      <c r="AW53" s="5739"/>
      <c r="AX53" s="245">
        <f t="shared" si="27"/>
        <v>0.48</v>
      </c>
      <c r="AY53" s="5743"/>
      <c r="AZ53" s="7249">
        <v>32.450000000000003</v>
      </c>
      <c r="BA53" s="5746"/>
      <c r="BB53" s="7079">
        <f t="shared" si="28"/>
        <v>32.450000000000003</v>
      </c>
      <c r="BC53" s="5651"/>
      <c r="BD53" s="629">
        <f t="shared" si="30"/>
        <v>32.450000000000003</v>
      </c>
      <c r="BE53" s="5739"/>
      <c r="BF53" s="6995">
        <f t="shared" si="29"/>
        <v>32.93</v>
      </c>
      <c r="BG53" s="4234"/>
      <c r="BH53" s="4234"/>
      <c r="BI53" s="25"/>
      <c r="BJ53" s="25"/>
      <c r="BK53" s="25"/>
      <c r="BL53" s="25"/>
      <c r="BM53" s="25"/>
      <c r="BN53" s="25"/>
    </row>
    <row r="54" spans="1:66" ht="16.5" thickBot="1" x14ac:dyDescent="0.3">
      <c r="B54" s="1530" t="s">
        <v>1004</v>
      </c>
      <c r="C54" s="1531"/>
      <c r="D54" s="1529" t="s">
        <v>50</v>
      </c>
      <c r="E54" s="1054"/>
      <c r="F54" s="1054"/>
      <c r="G54" s="5606"/>
      <c r="H54" s="5606"/>
      <c r="I54" s="733"/>
      <c r="J54" s="2236">
        <f t="shared" si="17"/>
        <v>0</v>
      </c>
      <c r="K54" s="5717"/>
      <c r="L54" s="5717"/>
      <c r="M54" s="732"/>
      <c r="N54" s="2211">
        <f t="shared" si="18"/>
        <v>0</v>
      </c>
      <c r="O54" s="5837"/>
      <c r="P54" s="5837"/>
      <c r="Q54" s="733"/>
      <c r="R54" s="5838">
        <f t="shared" si="2"/>
        <v>0</v>
      </c>
      <c r="S54" s="5934"/>
      <c r="T54" s="5934"/>
      <c r="U54" s="4351"/>
      <c r="V54" s="4351">
        <f t="shared" ref="V54" si="31">+R54+T54</f>
        <v>0</v>
      </c>
      <c r="W54" s="6036"/>
      <c r="X54" s="6036"/>
      <c r="Y54" s="749"/>
      <c r="Z54" s="6033">
        <f t="shared" si="20"/>
        <v>0</v>
      </c>
      <c r="AA54" s="492"/>
      <c r="AB54" s="629">
        <f t="shared" si="21"/>
        <v>0</v>
      </c>
      <c r="AC54" s="6163"/>
      <c r="AD54" s="6163"/>
      <c r="AE54" s="2236"/>
      <c r="AF54" s="4565">
        <f t="shared" si="22"/>
        <v>0</v>
      </c>
      <c r="AG54" s="6328"/>
      <c r="AH54" s="6328"/>
      <c r="AI54" s="4635"/>
      <c r="AJ54" s="4635">
        <f t="shared" si="23"/>
        <v>0</v>
      </c>
      <c r="AK54" s="6592"/>
      <c r="AL54" s="6592"/>
      <c r="AM54" s="749"/>
      <c r="AN54" s="4924">
        <f t="shared" si="24"/>
        <v>0</v>
      </c>
      <c r="AO54" s="2236"/>
      <c r="AP54" s="4925">
        <f t="shared" si="25"/>
        <v>0</v>
      </c>
      <c r="AQ54" s="6674"/>
      <c r="AR54" s="6674"/>
      <c r="AS54" s="2236"/>
      <c r="AT54" s="6693">
        <f t="shared" si="26"/>
        <v>0</v>
      </c>
      <c r="AU54" s="6841"/>
      <c r="AV54" s="6841"/>
      <c r="AW54" s="5047"/>
      <c r="AX54" s="5047">
        <f t="shared" si="27"/>
        <v>0</v>
      </c>
      <c r="AY54" s="6994"/>
      <c r="AZ54" s="141"/>
      <c r="BA54" s="749"/>
      <c r="BB54" s="7079">
        <f t="shared" si="28"/>
        <v>0</v>
      </c>
      <c r="BC54" s="492"/>
      <c r="BD54" s="629">
        <f t="shared" si="30"/>
        <v>0</v>
      </c>
      <c r="BE54" s="2236"/>
      <c r="BF54" s="2236">
        <f t="shared" si="29"/>
        <v>0</v>
      </c>
      <c r="BG54" s="4234"/>
      <c r="BH54" s="4234"/>
      <c r="BI54" s="25"/>
      <c r="BJ54" s="25"/>
      <c r="BK54" s="25"/>
      <c r="BL54" s="25"/>
      <c r="BM54" s="25"/>
      <c r="BN54" s="25"/>
    </row>
    <row r="55" spans="1:66" ht="16.5" thickBot="1" x14ac:dyDescent="0.3">
      <c r="A55" s="139"/>
      <c r="B55" s="3298" t="s">
        <v>298</v>
      </c>
      <c r="C55" s="3303"/>
      <c r="D55" s="3304" t="s">
        <v>50</v>
      </c>
      <c r="E55" s="3305">
        <f>+E56</f>
        <v>68500</v>
      </c>
      <c r="F55" s="3305">
        <f>SUM(F7:F54)</f>
        <v>74701.83000000006</v>
      </c>
      <c r="G55" s="3305">
        <f>+G56</f>
        <v>79000</v>
      </c>
      <c r="H55" s="3305">
        <f>SUM(H7:H54)</f>
        <v>76206.925000000061</v>
      </c>
      <c r="I55" s="3133">
        <f>+I56</f>
        <v>147500</v>
      </c>
      <c r="J55" s="3133">
        <f>SUM(J7:J54)</f>
        <v>150908.75500000012</v>
      </c>
      <c r="K55" s="3305">
        <f>+K56</f>
        <v>76000</v>
      </c>
      <c r="L55" s="3305">
        <f>SUM(L7:L54)</f>
        <v>73679.305000000051</v>
      </c>
      <c r="M55" s="749">
        <f>+M56</f>
        <v>223500</v>
      </c>
      <c r="N55" s="749">
        <f>SUM(N7:N54)</f>
        <v>224588.06000000017</v>
      </c>
      <c r="O55" s="3305">
        <f>+O56</f>
        <v>79000</v>
      </c>
      <c r="P55" s="3305">
        <f>SUM(P7:P54)</f>
        <v>88100.640000000101</v>
      </c>
      <c r="Q55" s="1057">
        <f>+Q56</f>
        <v>302500</v>
      </c>
      <c r="R55" s="1057">
        <f>SUM(R7:R54)</f>
        <v>312688.70000000019</v>
      </c>
      <c r="S55" s="3305">
        <f>+S56</f>
        <v>79000</v>
      </c>
      <c r="T55" s="3305">
        <f>SUM(T7:T54)</f>
        <v>75904.265000000043</v>
      </c>
      <c r="U55" s="1057">
        <f>+U56</f>
        <v>381500</v>
      </c>
      <c r="V55" s="1057">
        <f>SUM(V7:V54)</f>
        <v>388592.9650000002</v>
      </c>
      <c r="W55" s="3305">
        <f>+W56</f>
        <v>47500</v>
      </c>
      <c r="X55" s="3305">
        <f>SUM(X7:X54)</f>
        <v>76417.585000000079</v>
      </c>
      <c r="Y55" s="749">
        <f>+Y56</f>
        <v>205500</v>
      </c>
      <c r="Z55" s="749">
        <f>SUM(Z7:Z54)</f>
        <v>240422.49000000025</v>
      </c>
      <c r="AA55" s="492">
        <f>+AA56</f>
        <v>429000</v>
      </c>
      <c r="AB55" s="492">
        <f>SUM(AB7:AB54)</f>
        <v>465010.55000000045</v>
      </c>
      <c r="AC55" s="3305">
        <f>+AC56</f>
        <v>78000</v>
      </c>
      <c r="AD55" s="3305">
        <f>SUM(AD7:AD54)</f>
        <v>51000.275000000081</v>
      </c>
      <c r="AE55" s="1057">
        <f>+AE56</f>
        <v>507000</v>
      </c>
      <c r="AF55" s="1057">
        <f>SUM(AF7:AF54)</f>
        <v>516010.82500000048</v>
      </c>
      <c r="AG55" s="3305">
        <f>+AG56</f>
        <v>76000</v>
      </c>
      <c r="AH55" s="3305">
        <f>SUM(AH7:AH54)</f>
        <v>69789.71500000004</v>
      </c>
      <c r="AI55" s="1057">
        <f>+AI56</f>
        <v>583000</v>
      </c>
      <c r="AJ55" s="1057">
        <f>SUM(AJ7:AJ54)</f>
        <v>585800.54000000039</v>
      </c>
      <c r="AK55" s="3305">
        <f>+AK56</f>
        <v>79000</v>
      </c>
      <c r="AL55" s="3305">
        <f>SUM(AL7:AL54)</f>
        <v>81706.015000000145</v>
      </c>
      <c r="AM55" s="749">
        <f>+AM56</f>
        <v>233000</v>
      </c>
      <c r="AN55" s="749">
        <f>SUM(AN7:AN54)</f>
        <v>202496.0050000003</v>
      </c>
      <c r="AO55" s="1057">
        <f>+AO56</f>
        <v>662000</v>
      </c>
      <c r="AP55" s="1057">
        <f>SUM(AP7:AP54)</f>
        <v>667506.55500000075</v>
      </c>
      <c r="AQ55" s="3305">
        <f>+AQ56</f>
        <v>79000</v>
      </c>
      <c r="AR55" s="3305">
        <f>SUM(AR7:AR54)</f>
        <v>85836.830000000118</v>
      </c>
      <c r="AS55" s="1057">
        <f>+AS56</f>
        <v>741000</v>
      </c>
      <c r="AT55" s="1057">
        <f>SUM(AT7:AT54)</f>
        <v>753343.38500000071</v>
      </c>
      <c r="AU55" s="3305">
        <f>+AU56</f>
        <v>71500</v>
      </c>
      <c r="AV55" s="3305">
        <f>SUM(AV7:AV54)</f>
        <v>74074.100000000093</v>
      </c>
      <c r="AW55" s="1057">
        <f>+AW56</f>
        <v>812500</v>
      </c>
      <c r="AX55" s="1057">
        <f>SUM(AX7:AX54)</f>
        <v>827417.48500000057</v>
      </c>
      <c r="AY55" s="3305">
        <f>+AY56</f>
        <v>80000</v>
      </c>
      <c r="AZ55" s="3305">
        <f>SUM(AZ7:AZ54)</f>
        <v>81308.429999999993</v>
      </c>
      <c r="BA55" s="749">
        <f>+BA56</f>
        <v>230500</v>
      </c>
      <c r="BB55" s="749">
        <f>SUM(BB7:BB54)</f>
        <v>241219.36000000028</v>
      </c>
      <c r="BC55" s="492">
        <f>+BC56</f>
        <v>463500</v>
      </c>
      <c r="BD55" s="492">
        <f>SUM(BD7:BD54)</f>
        <v>443715.36500000063</v>
      </c>
      <c r="BE55" s="235">
        <f>AW55+AY55</f>
        <v>892500</v>
      </c>
      <c r="BF55" s="235">
        <f>SUM(BF7:BF54)</f>
        <v>908725.91500000097</v>
      </c>
      <c r="BG55" s="25"/>
      <c r="BH55" s="4234"/>
      <c r="BI55" s="25"/>
      <c r="BJ55" s="25"/>
      <c r="BK55" s="25"/>
      <c r="BL55" s="25"/>
      <c r="BM55" s="25"/>
      <c r="BN55" s="25"/>
    </row>
    <row r="56" spans="1:66" ht="16.5" thickBot="1" x14ac:dyDescent="0.3">
      <c r="A56" s="139"/>
      <c r="B56" s="852" t="s">
        <v>787</v>
      </c>
      <c r="C56" s="852"/>
      <c r="D56" s="853" t="s">
        <v>50</v>
      </c>
      <c r="E56" s="2372">
        <f>+'Maj Production Summ'!E31</f>
        <v>68500</v>
      </c>
      <c r="F56" s="2372">
        <f>SUM(F7:F42)</f>
        <v>74661.040000000066</v>
      </c>
      <c r="G56" s="2372">
        <f>+'Maj Production Summ'!G31</f>
        <v>79000</v>
      </c>
      <c r="H56" s="2372">
        <f>SUM(H7:H42)</f>
        <v>76175.635000000068</v>
      </c>
      <c r="I56" s="1106">
        <f>+'Maj Production Summ'!I31</f>
        <v>147500</v>
      </c>
      <c r="J56" s="39">
        <f>SUM(J7:J42)</f>
        <v>150836.67500000013</v>
      </c>
      <c r="K56" s="2372">
        <f>+'Maj Production Summ'!K31</f>
        <v>76000</v>
      </c>
      <c r="L56" s="2372">
        <f>SUM(L7:L42)</f>
        <v>73644.015000000058</v>
      </c>
      <c r="M56" s="749">
        <f>+'Maj Production Summ'!M31</f>
        <v>223500</v>
      </c>
      <c r="N56" s="749">
        <f>SUM(N7:N42)</f>
        <v>224480.69000000018</v>
      </c>
      <c r="O56" s="2372">
        <f>+'Maj Production Summ'!O31</f>
        <v>79000</v>
      </c>
      <c r="P56" s="2372">
        <f>SUM(P7:P42)</f>
        <v>88056.490000000107</v>
      </c>
      <c r="Q56" s="1057">
        <f>+'Maj Production Summ'!Q31</f>
        <v>302500</v>
      </c>
      <c r="R56" s="1057">
        <f>SUM(R7:R42)</f>
        <v>312537.18000000023</v>
      </c>
      <c r="S56" s="2372">
        <f>+'Maj Production Summ'!S31</f>
        <v>79000</v>
      </c>
      <c r="T56" s="2372">
        <f>SUM(T7:T42)</f>
        <v>75853.695000000036</v>
      </c>
      <c r="U56" s="1057">
        <f>+'Maj Production Summ'!U31</f>
        <v>381500</v>
      </c>
      <c r="V56" s="1057">
        <f>SUM(V7:V42)</f>
        <v>388390.87500000029</v>
      </c>
      <c r="W56" s="2372">
        <f>+'Maj Production Summ'!W31</f>
        <v>47500</v>
      </c>
      <c r="X56" s="2372">
        <f>SUM(X7:X42)</f>
        <v>76319.035000000062</v>
      </c>
      <c r="Y56" s="749">
        <f>+'Maj Production Summ'!Y31</f>
        <v>205500</v>
      </c>
      <c r="Z56" s="749">
        <f>SUM(Z7:Z42)</f>
        <v>240229.22000000023</v>
      </c>
      <c r="AA56" s="492">
        <f>+'Maj Production Summ'!AA31</f>
        <v>429000</v>
      </c>
      <c r="AB56" s="492">
        <f>SUM(AB7:AB42)</f>
        <v>464709.91000000044</v>
      </c>
      <c r="AC56" s="2372">
        <f>+'Maj Production Summ'!AC31</f>
        <v>78000</v>
      </c>
      <c r="AD56" s="2372">
        <f>SUM(AD7:AD42)</f>
        <v>50950.275000000081</v>
      </c>
      <c r="AE56" s="1057">
        <f>+'Maj Production Summ'!AE31</f>
        <v>507000</v>
      </c>
      <c r="AF56" s="1057">
        <f>SUM(AF7:AF42)</f>
        <v>515660.18500000046</v>
      </c>
      <c r="AG56" s="2372">
        <f>+'Maj Production Summ'!AG31</f>
        <v>76000</v>
      </c>
      <c r="AH56" s="2372">
        <f>SUM(AH7:AH42)</f>
        <v>69720.765000000058</v>
      </c>
      <c r="AI56" s="1057">
        <f>+'Maj Production Summ'!AI31</f>
        <v>583000</v>
      </c>
      <c r="AJ56" s="1057">
        <f>SUM(AJ7:AJ42)</f>
        <v>585380.95000000065</v>
      </c>
      <c r="AK56" s="2372">
        <f>+'Maj Production Summ'!AK31</f>
        <v>79000</v>
      </c>
      <c r="AL56" s="2372">
        <f>SUM(AL7:AL42)</f>
        <v>81616.765000000145</v>
      </c>
      <c r="AM56" s="749">
        <f>+'Maj Production Summ'!AM31</f>
        <v>233000</v>
      </c>
      <c r="AN56" s="749">
        <f>SUM(AN7:AN42)</f>
        <v>202287.80500000028</v>
      </c>
      <c r="AO56" s="1057">
        <f>+'Maj Production Summ'!AO31</f>
        <v>662000</v>
      </c>
      <c r="AP56" s="1057">
        <f>SUM(AP7:AP42)</f>
        <v>666997.71500000078</v>
      </c>
      <c r="AQ56" s="2372">
        <f>+'Maj Production Summ'!AQ31</f>
        <v>79000</v>
      </c>
      <c r="AR56" s="2372">
        <f>SUM(AR7:AR42)</f>
        <v>85804.600000000122</v>
      </c>
      <c r="AS56" s="1057">
        <f>+'Maj Production Summ'!AS31</f>
        <v>741000</v>
      </c>
      <c r="AT56" s="1057">
        <f>SUM(AT7:AT42)</f>
        <v>752802.31500000076</v>
      </c>
      <c r="AU56" s="2372">
        <f>+'Maj Production Summ'!AU31</f>
        <v>71500</v>
      </c>
      <c r="AV56" s="2372">
        <f>SUM(AV7:AV42)</f>
        <v>74058.320000000094</v>
      </c>
      <c r="AW56" s="1057">
        <f>+'Maj Production Summ'!AW31</f>
        <v>812500</v>
      </c>
      <c r="AX56" s="1057">
        <f>SUM(AX7:AX42)</f>
        <v>826860.63500000071</v>
      </c>
      <c r="AY56" s="2372">
        <f>+'Maj Production Summ'!AY31</f>
        <v>80000</v>
      </c>
      <c r="AZ56" s="2372">
        <f>SUM(AZ7:AZ42)</f>
        <v>81200</v>
      </c>
      <c r="BA56" s="749">
        <f>+'Maj Production Summ'!BA31</f>
        <v>230500</v>
      </c>
      <c r="BB56" s="749">
        <f>SUM(BB7:BB42)</f>
        <v>241062.92000000025</v>
      </c>
      <c r="BC56" s="492">
        <f>+'Maj Production Summ'!BC31</f>
        <v>463500</v>
      </c>
      <c r="BD56" s="492">
        <f>SUM(BD7:BD42)</f>
        <v>443350.72500000056</v>
      </c>
      <c r="BE56" s="235">
        <f>AW56+AY56</f>
        <v>892500</v>
      </c>
      <c r="BF56" s="235">
        <f>SUM(BF7:BF42)</f>
        <v>908060.63500000094</v>
      </c>
      <c r="BG56" s="25"/>
      <c r="BH56" s="4234"/>
      <c r="BI56" s="25"/>
      <c r="BJ56" s="25"/>
      <c r="BK56" s="25"/>
      <c r="BL56" s="25"/>
      <c r="BM56" s="25"/>
      <c r="BN56" s="25"/>
    </row>
    <row r="57" spans="1:66" ht="16.5" thickBot="1" x14ac:dyDescent="0.3">
      <c r="A57" s="139"/>
      <c r="B57" s="3302" t="s">
        <v>786</v>
      </c>
      <c r="C57" s="3306"/>
      <c r="D57" s="3307" t="s">
        <v>50</v>
      </c>
      <c r="E57" s="3308"/>
      <c r="F57" s="3309">
        <f>+SUM(F44:F54)</f>
        <v>40.79</v>
      </c>
      <c r="G57" s="3308"/>
      <c r="H57" s="3309">
        <f>+SUM(H44:H54)</f>
        <v>31.29</v>
      </c>
      <c r="I57" s="3134"/>
      <c r="J57" s="3310">
        <f>+SUM(J44:J54)</f>
        <v>72.08</v>
      </c>
      <c r="K57" s="3308"/>
      <c r="L57" s="3309">
        <f>+SUM(L44:L54)</f>
        <v>35.289999999999992</v>
      </c>
      <c r="M57" s="749"/>
      <c r="N57" s="764">
        <f>+SUM(N44:N54)</f>
        <v>107.37</v>
      </c>
      <c r="O57" s="3308"/>
      <c r="P57" s="3309">
        <f>+SUM(P44:P54)</f>
        <v>44.150000000000006</v>
      </c>
      <c r="Q57" s="1057"/>
      <c r="R57" s="762">
        <f>+SUM(R44:R54)</f>
        <v>151.52000000000001</v>
      </c>
      <c r="S57" s="3308"/>
      <c r="T57" s="3309">
        <f>+SUM(T44:T54)</f>
        <v>50.57</v>
      </c>
      <c r="U57" s="1057"/>
      <c r="V57" s="762">
        <f>+SUM(V44:V54)</f>
        <v>202.08999999999997</v>
      </c>
      <c r="W57" s="3308"/>
      <c r="X57" s="3309">
        <f>+SUM(X44:X54)</f>
        <v>98.55</v>
      </c>
      <c r="Y57" s="749"/>
      <c r="Z57" s="764">
        <f>+SUM(Z44:Z54)</f>
        <v>193.26999999999998</v>
      </c>
      <c r="AA57" s="492"/>
      <c r="AB57" s="765">
        <f>+SUM(AB44:AB54)</f>
        <v>300.64</v>
      </c>
      <c r="AC57" s="3308"/>
      <c r="AD57" s="3309">
        <f>+SUM(AD44:AD54)</f>
        <v>50</v>
      </c>
      <c r="AE57" s="1057"/>
      <c r="AF57" s="762">
        <f>+SUM(AF44:AF54)</f>
        <v>350.64</v>
      </c>
      <c r="AG57" s="3308"/>
      <c r="AH57" s="3309">
        <f>+SUM(AH44:AH54)</f>
        <v>68.95</v>
      </c>
      <c r="AI57" s="1057"/>
      <c r="AJ57" s="762">
        <f>+SUM(AJ44:AJ54)</f>
        <v>419.59</v>
      </c>
      <c r="AK57" s="3308"/>
      <c r="AL57" s="3309">
        <f>+SUM(AL44:AL54)</f>
        <v>89.25</v>
      </c>
      <c r="AM57" s="749"/>
      <c r="AN57" s="764">
        <f>+SUM(AN44:AN54)</f>
        <v>208.2</v>
      </c>
      <c r="AO57" s="1057"/>
      <c r="AP57" s="762">
        <f>+SUM(AP44:AP54)</f>
        <v>508.84000000000003</v>
      </c>
      <c r="AQ57" s="3308"/>
      <c r="AR57" s="3309">
        <f>+SUM(AR44:AR54)</f>
        <v>32.229999999999997</v>
      </c>
      <c r="AS57" s="1057"/>
      <c r="AT57" s="762">
        <f>+SUM(AT44:AT54)</f>
        <v>541.07000000000005</v>
      </c>
      <c r="AU57" s="3308"/>
      <c r="AV57" s="3309">
        <f>+SUM(AV44:AV54)</f>
        <v>15.78</v>
      </c>
      <c r="AW57" s="1057"/>
      <c r="AX57" s="762">
        <f>+SUM(AX44:AX54)</f>
        <v>556.85000000000014</v>
      </c>
      <c r="AY57" s="3308"/>
      <c r="AZ57" s="3309">
        <f>+SUM(AZ44:AZ54)</f>
        <v>108.43</v>
      </c>
      <c r="BA57" s="749"/>
      <c r="BB57" s="764">
        <f>+SUM(BB44:BB54)</f>
        <v>156.44</v>
      </c>
      <c r="BC57" s="492"/>
      <c r="BD57" s="765">
        <f>+SUM(BD44:BD54)</f>
        <v>364.63999999999993</v>
      </c>
      <c r="BE57" s="235"/>
      <c r="BF57" s="763">
        <f>+SUM(BF44:BF54)</f>
        <v>665.28</v>
      </c>
      <c r="BG57" s="25"/>
      <c r="BH57" s="4234"/>
      <c r="BI57" s="25"/>
      <c r="BJ57" s="25"/>
      <c r="BK57" s="25"/>
      <c r="BL57" s="25"/>
      <c r="BM57" s="25"/>
      <c r="BN57" s="25"/>
    </row>
    <row r="58" spans="1:66" ht="16.5" thickBot="1" x14ac:dyDescent="0.3">
      <c r="A58" s="139"/>
      <c r="B58" s="5511" t="s">
        <v>313</v>
      </c>
      <c r="C58" s="2924"/>
      <c r="D58" s="5512" t="s">
        <v>49</v>
      </c>
      <c r="E58" s="5513">
        <f>+E56/E5*100</f>
        <v>96.5</v>
      </c>
      <c r="F58" s="6426">
        <f>+F56/F5*100</f>
        <v>95.918610762252314</v>
      </c>
      <c r="G58" s="5513">
        <f t="shared" ref="G58:H58" si="32">+G56/G5*100</f>
        <v>96.499999999999986</v>
      </c>
      <c r="H58" s="5513">
        <f t="shared" si="32"/>
        <v>96.517503903684087</v>
      </c>
      <c r="I58" s="3300">
        <f t="shared" ref="I58:N58" si="33">+I56/I5*100</f>
        <v>96.500000000000014</v>
      </c>
      <c r="J58" s="3301">
        <f t="shared" si="33"/>
        <v>96.22013230062278</v>
      </c>
      <c r="K58" s="5513">
        <f t="shared" si="33"/>
        <v>96.5</v>
      </c>
      <c r="L58" s="5513">
        <f t="shared" si="33"/>
        <v>96.419419676816304</v>
      </c>
      <c r="M58" s="764">
        <f t="shared" si="33"/>
        <v>96.5</v>
      </c>
      <c r="N58" s="764">
        <f t="shared" si="33"/>
        <v>96.285420437651865</v>
      </c>
      <c r="O58" s="5513">
        <f t="shared" ref="O58:P58" si="34">+O56/O5*100</f>
        <v>96.499999999999986</v>
      </c>
      <c r="P58" s="5513">
        <f t="shared" si="34"/>
        <v>96.454667703108399</v>
      </c>
      <c r="Q58" s="762">
        <f t="shared" ref="Q58:V58" si="35">+Q56/Q5*100</f>
        <v>96.5</v>
      </c>
      <c r="R58" s="762">
        <f t="shared" si="35"/>
        <v>96.333045261414412</v>
      </c>
      <c r="S58" s="5513">
        <f t="shared" si="35"/>
        <v>96.499999999999986</v>
      </c>
      <c r="T58" s="5513">
        <f t="shared" si="35"/>
        <v>96.329019569725332</v>
      </c>
      <c r="U58" s="762">
        <f t="shared" si="35"/>
        <v>96.500000000000014</v>
      </c>
      <c r="V58" s="762">
        <f t="shared" si="35"/>
        <v>96.332259007467059</v>
      </c>
      <c r="W58" s="5513">
        <f t="shared" ref="W58:X58" si="36">+W56/W5*100</f>
        <v>96.5</v>
      </c>
      <c r="X58" s="5513">
        <f t="shared" si="36"/>
        <v>96.394637106483472</v>
      </c>
      <c r="Y58" s="764">
        <f t="shared" ref="Y58:AL58" si="37">+Y56/Y5*100</f>
        <v>96.5</v>
      </c>
      <c r="Z58" s="2396">
        <f t="shared" si="37"/>
        <v>96.395894549603327</v>
      </c>
      <c r="AA58" s="765">
        <f t="shared" si="37"/>
        <v>96.5</v>
      </c>
      <c r="AB58" s="765">
        <f t="shared" si="37"/>
        <v>96.342497784859262</v>
      </c>
      <c r="AC58" s="5513">
        <f t="shared" si="37"/>
        <v>96.5</v>
      </c>
      <c r="AD58" s="5513">
        <f t="shared" si="37"/>
        <v>96.409969459870908</v>
      </c>
      <c r="AE58" s="762">
        <f t="shared" si="37"/>
        <v>96.5</v>
      </c>
      <c r="AF58" s="762">
        <f t="shared" si="37"/>
        <v>96.349160180393426</v>
      </c>
      <c r="AG58" s="6426">
        <f t="shared" ref="AG58:AH58" si="38">+AG56/AG5*100</f>
        <v>96.5</v>
      </c>
      <c r="AH58" s="6426">
        <f t="shared" si="38"/>
        <v>96.083717767346542</v>
      </c>
      <c r="AI58" s="762">
        <f t="shared" si="37"/>
        <v>96.5</v>
      </c>
      <c r="AJ58" s="762">
        <f t="shared" si="37"/>
        <v>96.317468217796403</v>
      </c>
      <c r="AK58" s="6426">
        <f t="shared" si="37"/>
        <v>96.499999999999986</v>
      </c>
      <c r="AL58" s="6426">
        <f t="shared" si="37"/>
        <v>95.865818289064322</v>
      </c>
      <c r="AM58" s="764">
        <f t="shared" ref="AM58:BF58" si="39">+AM56/AM5*100</f>
        <v>96.5</v>
      </c>
      <c r="AN58" s="2396">
        <f t="shared" si="39"/>
        <v>96.077497770373839</v>
      </c>
      <c r="AO58" s="762">
        <f t="shared" si="39"/>
        <v>96.499999999999986</v>
      </c>
      <c r="AP58" s="762">
        <f t="shared" si="39"/>
        <v>96.261973971628606</v>
      </c>
      <c r="AQ58" s="6426">
        <f t="shared" si="39"/>
        <v>96.499999999999986</v>
      </c>
      <c r="AR58" s="6426">
        <f t="shared" si="39"/>
        <v>95.990775355915758</v>
      </c>
      <c r="AS58" s="762">
        <f t="shared" si="39"/>
        <v>96.499999999999986</v>
      </c>
      <c r="AT58" s="762">
        <f t="shared" si="39"/>
        <v>96.230985330930267</v>
      </c>
      <c r="AU58" s="6426">
        <f t="shared" ref="AU58:AV58" si="40">+AU56/AU5*100</f>
        <v>96.5</v>
      </c>
      <c r="AV58" s="6426">
        <f t="shared" si="40"/>
        <v>95.9606442036267</v>
      </c>
      <c r="AW58" s="762">
        <f t="shared" si="39"/>
        <v>96.499999999999986</v>
      </c>
      <c r="AX58" s="762">
        <f t="shared" si="39"/>
        <v>96.206709960374354</v>
      </c>
      <c r="AY58" s="6426">
        <f t="shared" si="39"/>
        <v>96.5</v>
      </c>
      <c r="AZ58" s="6426">
        <f t="shared" si="39"/>
        <v>93.352457710962938</v>
      </c>
      <c r="BA58" s="764">
        <f t="shared" si="39"/>
        <v>96.5</v>
      </c>
      <c r="BB58" s="2396">
        <f t="shared" si="39"/>
        <v>95.076496488136257</v>
      </c>
      <c r="BC58" s="765">
        <f t="shared" si="39"/>
        <v>96.5</v>
      </c>
      <c r="BD58" s="765">
        <f t="shared" si="39"/>
        <v>95.530624031950111</v>
      </c>
      <c r="BE58" s="763">
        <f t="shared" si="39"/>
        <v>96.499999999999986</v>
      </c>
      <c r="BF58" s="763">
        <f t="shared" si="39"/>
        <v>95.944392395093587</v>
      </c>
      <c r="BG58" s="4234"/>
      <c r="BH58" s="25"/>
      <c r="BI58" s="25"/>
      <c r="BJ58" s="25"/>
      <c r="BK58" s="25"/>
      <c r="BL58" s="25"/>
      <c r="BM58" s="25"/>
      <c r="BN58" s="25"/>
    </row>
    <row r="59" spans="1:66" x14ac:dyDescent="0.25">
      <c r="A59" s="139"/>
      <c r="B59" s="836" t="s">
        <v>780</v>
      </c>
      <c r="C59" s="3622"/>
      <c r="D59" s="5480" t="s">
        <v>50</v>
      </c>
      <c r="E59" s="2267"/>
      <c r="F59" s="5518">
        <f>+SUM(F7:F42)</f>
        <v>74661.040000000066</v>
      </c>
      <c r="G59" s="2267"/>
      <c r="H59" s="5518">
        <f>+SUM(H7:H42)</f>
        <v>76175.635000000068</v>
      </c>
      <c r="I59" s="3299"/>
      <c r="J59" s="3299">
        <f>+SUM(J7:J42)</f>
        <v>150836.67500000013</v>
      </c>
      <c r="K59" s="2267"/>
      <c r="L59" s="5518">
        <f>+SUM(L7:L42)</f>
        <v>73644.015000000058</v>
      </c>
      <c r="M59" s="354"/>
      <c r="N59" s="354">
        <f>+SUM(N7:N42)</f>
        <v>224480.69000000018</v>
      </c>
      <c r="O59" s="2267"/>
      <c r="P59" s="5518">
        <f>+SUM(P7:P42)</f>
        <v>88056.490000000107</v>
      </c>
      <c r="Q59" s="431"/>
      <c r="R59" s="431">
        <f>+SUM(R7:R42)</f>
        <v>312537.18000000023</v>
      </c>
      <c r="S59" s="2267"/>
      <c r="T59" s="5518">
        <f>+SUM(T7:T42)</f>
        <v>75853.695000000036</v>
      </c>
      <c r="U59" s="1820"/>
      <c r="V59" s="1820">
        <f>+SUM(V7:V42)</f>
        <v>388390.87500000029</v>
      </c>
      <c r="W59" s="2267"/>
      <c r="X59" s="5518">
        <f>+SUM(X7:X42)</f>
        <v>76319.035000000062</v>
      </c>
      <c r="Y59" s="354"/>
      <c r="Z59" s="354">
        <f>+SUM(Z7:Z42)</f>
        <v>240229.22000000023</v>
      </c>
      <c r="AA59" s="513"/>
      <c r="AB59" s="513">
        <f>+SUM(AB7:AB42)</f>
        <v>464709.91000000044</v>
      </c>
      <c r="AC59" s="2267"/>
      <c r="AD59" s="5518">
        <f>+SUM(AD7:AD42)</f>
        <v>50950.275000000081</v>
      </c>
      <c r="AE59" s="1820"/>
      <c r="AF59" s="1820">
        <f>+SUM(AF7:AF42)</f>
        <v>515660.18500000046</v>
      </c>
      <c r="AG59" s="2267"/>
      <c r="AH59" s="5518">
        <f>+SUM(AH7:AH42)</f>
        <v>69720.765000000058</v>
      </c>
      <c r="AI59" s="1820"/>
      <c r="AJ59" s="1820">
        <f>+SUM(AJ7:AJ42)</f>
        <v>585380.95000000065</v>
      </c>
      <c r="AK59" s="2267"/>
      <c r="AL59" s="5518">
        <f>+SUM(AL7:AL42)</f>
        <v>81616.765000000145</v>
      </c>
      <c r="AM59" s="354"/>
      <c r="AN59" s="354">
        <f>+SUM(AN7:AN42)</f>
        <v>202287.80500000028</v>
      </c>
      <c r="AO59" s="1820"/>
      <c r="AP59" s="1820">
        <f>+SUM(AP7:AP42)</f>
        <v>666997.71500000078</v>
      </c>
      <c r="AQ59" s="2267"/>
      <c r="AR59" s="5518">
        <f>+SUM(AR7:AR42)</f>
        <v>85804.600000000122</v>
      </c>
      <c r="AS59" s="1820"/>
      <c r="AT59" s="1820">
        <f>+SUM(AT7:AT42)</f>
        <v>752802.31500000076</v>
      </c>
      <c r="AU59" s="2267"/>
      <c r="AV59" s="5518">
        <f>+SUM(AV7:AV42)</f>
        <v>74058.320000000094</v>
      </c>
      <c r="AW59" s="1820"/>
      <c r="AX59" s="1820">
        <f>+SUM(AX7:AX42)</f>
        <v>826860.63500000071</v>
      </c>
      <c r="AY59" s="2267"/>
      <c r="AZ59" s="5518">
        <f>+SUM(AZ7:AZ42)</f>
        <v>81200</v>
      </c>
      <c r="BA59" s="354"/>
      <c r="BB59" s="354">
        <f>+SUM(BB7:BB42)</f>
        <v>241062.92000000025</v>
      </c>
      <c r="BC59" s="513"/>
      <c r="BD59" s="513">
        <f>+SUM(BD7:BD42)</f>
        <v>443350.72500000056</v>
      </c>
      <c r="BE59" s="5144"/>
      <c r="BF59" s="5144">
        <f>+SUM(BF7:BF42)</f>
        <v>908060.63500000094</v>
      </c>
      <c r="BG59" s="4234"/>
      <c r="BH59" s="4234"/>
      <c r="BI59" s="25"/>
      <c r="BJ59" s="25"/>
      <c r="BK59" s="25"/>
      <c r="BL59" s="25"/>
      <c r="BM59" s="25"/>
      <c r="BN59" s="25"/>
    </row>
    <row r="60" spans="1:66" x14ac:dyDescent="0.25">
      <c r="A60" s="139"/>
      <c r="B60" s="5519" t="s">
        <v>779</v>
      </c>
      <c r="C60" s="5515"/>
      <c r="D60" s="5516" t="s">
        <v>49</v>
      </c>
      <c r="E60" s="5517"/>
      <c r="F60" s="5520">
        <f>+F59/F56</f>
        <v>1</v>
      </c>
      <c r="G60" s="5517"/>
      <c r="H60" s="5520">
        <f>+H59/H56</f>
        <v>1</v>
      </c>
      <c r="I60" s="1445"/>
      <c r="J60" s="1445">
        <f>+J59/J56</f>
        <v>1</v>
      </c>
      <c r="K60" s="5517"/>
      <c r="L60" s="5520">
        <f>+L59/L56</f>
        <v>1</v>
      </c>
      <c r="M60" s="1406"/>
      <c r="N60" s="1406">
        <f>+N59/N56</f>
        <v>1</v>
      </c>
      <c r="O60" s="5517"/>
      <c r="P60" s="5520">
        <f>+P59/P56</f>
        <v>1</v>
      </c>
      <c r="Q60" s="591"/>
      <c r="R60" s="591">
        <f>+R59/R56</f>
        <v>1</v>
      </c>
      <c r="S60" s="5517"/>
      <c r="T60" s="5520">
        <f>+T59/T56</f>
        <v>1</v>
      </c>
      <c r="U60" s="591"/>
      <c r="V60" s="591">
        <f>+V59/V56</f>
        <v>1</v>
      </c>
      <c r="W60" s="5517"/>
      <c r="X60" s="5520">
        <f>+X59/X56</f>
        <v>1</v>
      </c>
      <c r="Y60" s="1406"/>
      <c r="Z60" s="1406">
        <f>+Z59/Z56</f>
        <v>1</v>
      </c>
      <c r="AA60" s="1510"/>
      <c r="AB60" s="1510">
        <f>+AB59/AB56</f>
        <v>1</v>
      </c>
      <c r="AC60" s="5517"/>
      <c r="AD60" s="5520">
        <f>+AD59/AD56</f>
        <v>1</v>
      </c>
      <c r="AE60" s="591"/>
      <c r="AF60" s="591">
        <f>+AF59/AF56</f>
        <v>1</v>
      </c>
      <c r="AG60" s="5517"/>
      <c r="AH60" s="5520">
        <f>+AH59/AH56</f>
        <v>1</v>
      </c>
      <c r="AI60" s="591"/>
      <c r="AJ60" s="591">
        <f>+AJ59/AJ56</f>
        <v>1</v>
      </c>
      <c r="AK60" s="5517"/>
      <c r="AL60" s="5520">
        <f>+AL59/AL56</f>
        <v>1</v>
      </c>
      <c r="AM60" s="1406"/>
      <c r="AN60" s="1406">
        <f>+AN59/AN56</f>
        <v>1</v>
      </c>
      <c r="AO60" s="591"/>
      <c r="AP60" s="591">
        <f>+AP59/AP56</f>
        <v>1</v>
      </c>
      <c r="AQ60" s="5517"/>
      <c r="AR60" s="5520">
        <f>+AR59/AR56</f>
        <v>1</v>
      </c>
      <c r="AS60" s="591"/>
      <c r="AT60" s="591">
        <f>+AT59/AT56</f>
        <v>1</v>
      </c>
      <c r="AU60" s="5517"/>
      <c r="AV60" s="5520">
        <f>+AV59/AV56</f>
        <v>1</v>
      </c>
      <c r="AW60" s="591"/>
      <c r="AX60" s="591">
        <f>+AX59/AX56</f>
        <v>1</v>
      </c>
      <c r="AY60" s="5517"/>
      <c r="AZ60" s="5520">
        <f>+AZ59/AZ56</f>
        <v>1</v>
      </c>
      <c r="BA60" s="1406"/>
      <c r="BB60" s="1406">
        <f>+BB59/BB56</f>
        <v>1</v>
      </c>
      <c r="BC60" s="1510"/>
      <c r="BD60" s="1510">
        <f>+BD59/BD56</f>
        <v>1</v>
      </c>
      <c r="BE60" s="1445"/>
      <c r="BF60" s="1445">
        <f>+BF59/BF56</f>
        <v>1</v>
      </c>
      <c r="BG60" s="4234"/>
      <c r="BH60" s="4234"/>
      <c r="BI60" s="25"/>
      <c r="BJ60" s="25"/>
      <c r="BK60" s="25"/>
      <c r="BL60" s="25"/>
      <c r="BM60" s="25"/>
      <c r="BN60" s="25"/>
    </row>
    <row r="61" spans="1:66" ht="15.75" thickBot="1" x14ac:dyDescent="0.3">
      <c r="A61" s="139"/>
      <c r="B61" s="5519" t="s">
        <v>1413</v>
      </c>
      <c r="C61" s="5515"/>
      <c r="D61" s="5516" t="s">
        <v>49</v>
      </c>
      <c r="E61" s="5517"/>
      <c r="F61" s="5520">
        <f>F62/F64</f>
        <v>0.42179151673754223</v>
      </c>
      <c r="G61" s="5517"/>
      <c r="H61" s="5520">
        <f>H62/H64</f>
        <v>0.43944534986240613</v>
      </c>
      <c r="I61" s="1584"/>
      <c r="J61" s="1583">
        <f>J62/J64</f>
        <v>0.43070716338564086</v>
      </c>
      <c r="K61" s="5517"/>
      <c r="L61" s="5520">
        <f>L62/L64</f>
        <v>0.47821287634186055</v>
      </c>
      <c r="M61" s="1585"/>
      <c r="N61" s="1975">
        <f>N62/N64</f>
        <v>0.44630720434979609</v>
      </c>
      <c r="O61" s="5517"/>
      <c r="P61" s="5520">
        <f>P62/P64</f>
        <v>0.4398272198096646</v>
      </c>
      <c r="Q61" s="1583"/>
      <c r="R61" s="1583">
        <f>R62/R64</f>
        <v>0.44448132672055818</v>
      </c>
      <c r="S61" s="5517"/>
      <c r="T61" s="5520">
        <f>T62/T64</f>
        <v>0.38700353281233274</v>
      </c>
      <c r="U61" s="1583"/>
      <c r="V61" s="1583">
        <f>V62/V64</f>
        <v>0.4332376993392878</v>
      </c>
      <c r="W61" s="5517"/>
      <c r="X61" s="5520">
        <f>X62/X64</f>
        <v>0.40465091499960043</v>
      </c>
      <c r="Y61" s="1585"/>
      <c r="Z61" s="1585">
        <f>Z62/Z64</f>
        <v>0.41195631022783996</v>
      </c>
      <c r="AA61" s="1586"/>
      <c r="AB61" s="1587">
        <f>AB62/AB64</f>
        <v>0.4285420504316399</v>
      </c>
      <c r="AC61" s="5517"/>
      <c r="AD61" s="5520">
        <f>AD62/AD64</f>
        <v>0.3967671123528238</v>
      </c>
      <c r="AE61" s="1583"/>
      <c r="AF61" s="1976">
        <f>AF62/AF64</f>
        <v>0.42540279650791396</v>
      </c>
      <c r="AG61" s="5517"/>
      <c r="AH61" s="5520">
        <f>AH62/AH64</f>
        <v>0.42534160766832735</v>
      </c>
      <c r="AI61" s="1583"/>
      <c r="AJ61" s="1976">
        <f>AJ62/AJ64</f>
        <v>0.42539550230094642</v>
      </c>
      <c r="AK61" s="5517"/>
      <c r="AL61" s="5520">
        <f>AL62/AL64</f>
        <v>0.41278069934950029</v>
      </c>
      <c r="AM61" s="1585"/>
      <c r="AN61" s="1585">
        <f>AN62/AN64</f>
        <v>0.41308127556506968</v>
      </c>
      <c r="AO61" s="1583"/>
      <c r="AP61" s="1976">
        <f>AP62/AP64</f>
        <v>0.42385260693557042</v>
      </c>
      <c r="AQ61" s="5517"/>
      <c r="AR61" s="5520">
        <f>AR62/AR64</f>
        <v>0.50575831690926787</v>
      </c>
      <c r="AS61" s="1583"/>
      <c r="AT61" s="1583">
        <f>AT62/AT64</f>
        <v>0.43317097155021733</v>
      </c>
      <c r="AU61" s="5517"/>
      <c r="AV61" s="5520">
        <f>AV62/AV64</f>
        <v>0.54064906490649067</v>
      </c>
      <c r="AW61" s="1583"/>
      <c r="AX61" s="6428">
        <f>AX62/AX64</f>
        <v>0.44278401361799269</v>
      </c>
      <c r="AY61" s="5517"/>
      <c r="AZ61" s="5520">
        <f>AZ62/AZ64</f>
        <v>0.48753415300546449</v>
      </c>
      <c r="BA61" s="1406"/>
      <c r="BB61" s="1406">
        <f>BB62/BB64</f>
        <v>0.5101243041895116</v>
      </c>
      <c r="BC61" s="1510"/>
      <c r="BD61" s="1510">
        <f>BD62/BD64</f>
        <v>0.46602668907501621</v>
      </c>
      <c r="BE61" s="1445"/>
      <c r="BF61" s="7175">
        <f>BF62/BF64</f>
        <v>0.44688310730637992</v>
      </c>
      <c r="BG61" s="4234"/>
      <c r="BH61" s="4234"/>
      <c r="BI61" s="25"/>
      <c r="BJ61" s="25"/>
      <c r="BK61" s="25"/>
      <c r="BL61" s="25"/>
      <c r="BM61" s="25"/>
      <c r="BN61" s="25"/>
    </row>
    <row r="62" spans="1:66" s="4487" customFormat="1" ht="15.75" hidden="1" x14ac:dyDescent="0.25">
      <c r="A62" s="139"/>
      <c r="B62" s="5519" t="s">
        <v>1827</v>
      </c>
      <c r="C62" s="5515"/>
      <c r="D62" s="5516" t="s">
        <v>2258</v>
      </c>
      <c r="E62" s="5517"/>
      <c r="F62" s="5521">
        <v>15473</v>
      </c>
      <c r="G62" s="5517"/>
      <c r="H62" s="5521">
        <v>16448</v>
      </c>
      <c r="I62" s="1584"/>
      <c r="J62" s="5206">
        <f t="shared" ref="J62:J64" si="41">+F62+H62</f>
        <v>31921</v>
      </c>
      <c r="K62" s="5517"/>
      <c r="L62" s="5521">
        <v>17329</v>
      </c>
      <c r="M62" s="1585"/>
      <c r="N62" s="4951">
        <f t="shared" ref="N62:N64" si="42">+F62+H62+L62</f>
        <v>49250</v>
      </c>
      <c r="O62" s="5517"/>
      <c r="P62" s="5521">
        <v>19041</v>
      </c>
      <c r="Q62" s="1583"/>
      <c r="R62" s="4952">
        <f t="shared" ref="R62:R64" si="43">+N62+P62</f>
        <v>68291</v>
      </c>
      <c r="S62" s="5517"/>
      <c r="T62" s="5521">
        <v>14460</v>
      </c>
      <c r="U62" s="1583"/>
      <c r="V62" s="4952">
        <f t="shared" ref="V62:V64" si="44">+R62+T62</f>
        <v>82751</v>
      </c>
      <c r="W62" s="5517"/>
      <c r="X62" s="5521">
        <v>15191</v>
      </c>
      <c r="Y62" s="1585"/>
      <c r="Z62" s="4951">
        <f t="shared" ref="Z62:Z64" si="45">+P62+T62+X62</f>
        <v>48692</v>
      </c>
      <c r="AA62" s="1586"/>
      <c r="AB62" s="629">
        <f t="shared" ref="AB62:AB64" si="46">+N62+Z62</f>
        <v>97942</v>
      </c>
      <c r="AC62" s="5517"/>
      <c r="AD62" s="5521">
        <v>9941</v>
      </c>
      <c r="AE62" s="1583"/>
      <c r="AF62" s="4952">
        <f t="shared" ref="AF62:AF64" si="47">+AB62+AD62</f>
        <v>107883</v>
      </c>
      <c r="AG62" s="5517"/>
      <c r="AH62" s="5521">
        <v>14599</v>
      </c>
      <c r="AI62" s="1583"/>
      <c r="AJ62" s="4952">
        <f t="shared" ref="AJ62:AJ64" si="48">+AF62+AH62</f>
        <v>122482</v>
      </c>
      <c r="AK62" s="5517"/>
      <c r="AL62" s="5521">
        <v>16562</v>
      </c>
      <c r="AM62" s="1585"/>
      <c r="AN62" s="4951">
        <f t="shared" ref="AN62:AN64" si="49">+AD62+AH62+AL62</f>
        <v>41102</v>
      </c>
      <c r="AO62" s="1583"/>
      <c r="AP62" s="4952">
        <f t="shared" ref="AP62:AP64" si="50">AJ62+AL62</f>
        <v>139044</v>
      </c>
      <c r="AQ62" s="5517"/>
      <c r="AR62" s="5521">
        <v>21299</v>
      </c>
      <c r="AS62" s="1583"/>
      <c r="AT62" s="4975">
        <f t="shared" ref="AT62:AT64" si="51">+AP62+AR62</f>
        <v>160343</v>
      </c>
      <c r="AU62" s="5517"/>
      <c r="AV62" s="5521">
        <v>19658</v>
      </c>
      <c r="AW62" s="1583"/>
      <c r="AX62" s="5047">
        <f t="shared" ref="AX62:AX64" si="52">+AT62+AV62</f>
        <v>180001</v>
      </c>
      <c r="AY62" s="5517"/>
      <c r="AZ62" s="5277">
        <v>19985</v>
      </c>
      <c r="BA62" s="1585"/>
      <c r="BB62" s="5141">
        <f t="shared" ref="BB62:BB64" si="53">+AR62+AV62+AZ62</f>
        <v>60942</v>
      </c>
      <c r="BC62" s="1586"/>
      <c r="BD62" s="629">
        <f t="shared" ref="BD62:BD64" si="54">+AN62+BB62</f>
        <v>102044</v>
      </c>
      <c r="BE62" s="1584"/>
      <c r="BF62" s="5143">
        <f t="shared" ref="BF62:BF64" si="55">+AX62+AZ62</f>
        <v>199986</v>
      </c>
      <c r="BG62" s="4234"/>
      <c r="BH62" s="4234"/>
      <c r="BI62" s="25"/>
      <c r="BJ62" s="25"/>
      <c r="BK62" s="25"/>
      <c r="BL62" s="25"/>
      <c r="BM62" s="25"/>
      <c r="BN62" s="25"/>
    </row>
    <row r="63" spans="1:66" s="4487" customFormat="1" ht="15.75" hidden="1" x14ac:dyDescent="0.25">
      <c r="A63" s="139"/>
      <c r="B63" s="5519" t="s">
        <v>1828</v>
      </c>
      <c r="C63" s="5515"/>
      <c r="D63" s="5516" t="s">
        <v>2258</v>
      </c>
      <c r="E63" s="5517"/>
      <c r="F63" s="5521">
        <v>21211</v>
      </c>
      <c r="G63" s="5517"/>
      <c r="H63" s="5521">
        <v>20981</v>
      </c>
      <c r="I63" s="1584"/>
      <c r="J63" s="5206">
        <f t="shared" si="41"/>
        <v>42192</v>
      </c>
      <c r="K63" s="5517"/>
      <c r="L63" s="5521">
        <v>18908</v>
      </c>
      <c r="M63" s="1585"/>
      <c r="N63" s="4951">
        <f t="shared" si="42"/>
        <v>61100</v>
      </c>
      <c r="O63" s="5517"/>
      <c r="P63" s="5521">
        <v>24251</v>
      </c>
      <c r="Q63" s="1583"/>
      <c r="R63" s="4952">
        <f t="shared" si="43"/>
        <v>85351</v>
      </c>
      <c r="S63" s="5517"/>
      <c r="T63" s="5521">
        <v>22904</v>
      </c>
      <c r="U63" s="1583"/>
      <c r="V63" s="4952">
        <f t="shared" si="44"/>
        <v>108255</v>
      </c>
      <c r="W63" s="5517"/>
      <c r="X63" s="5521">
        <v>22350</v>
      </c>
      <c r="Y63" s="1585"/>
      <c r="Z63" s="4951">
        <f t="shared" si="45"/>
        <v>69505</v>
      </c>
      <c r="AA63" s="1586"/>
      <c r="AB63" s="629">
        <f t="shared" si="46"/>
        <v>130605</v>
      </c>
      <c r="AC63" s="5517"/>
      <c r="AD63" s="5521">
        <v>15114</v>
      </c>
      <c r="AE63" s="1583"/>
      <c r="AF63" s="4952">
        <f t="shared" si="47"/>
        <v>145719</v>
      </c>
      <c r="AG63" s="5517"/>
      <c r="AH63" s="5521">
        <v>19724</v>
      </c>
      <c r="AI63" s="1583"/>
      <c r="AJ63" s="4952">
        <f t="shared" si="48"/>
        <v>165443</v>
      </c>
      <c r="AK63" s="5517"/>
      <c r="AL63" s="5521">
        <v>23561</v>
      </c>
      <c r="AM63" s="1585"/>
      <c r="AN63" s="4951">
        <f t="shared" si="49"/>
        <v>58399</v>
      </c>
      <c r="AO63" s="1583"/>
      <c r="AP63" s="4952">
        <f t="shared" si="50"/>
        <v>189004</v>
      </c>
      <c r="AQ63" s="5517"/>
      <c r="AR63" s="5521">
        <v>20814</v>
      </c>
      <c r="AS63" s="1583"/>
      <c r="AT63" s="4975">
        <f t="shared" si="51"/>
        <v>209818</v>
      </c>
      <c r="AU63" s="5517"/>
      <c r="AV63" s="5521">
        <v>16702</v>
      </c>
      <c r="AW63" s="1583"/>
      <c r="AX63" s="5047">
        <f t="shared" si="52"/>
        <v>226520</v>
      </c>
      <c r="AY63" s="5517"/>
      <c r="AZ63" s="5277">
        <v>21007</v>
      </c>
      <c r="BA63" s="1585"/>
      <c r="BB63" s="5141">
        <f t="shared" si="53"/>
        <v>58523</v>
      </c>
      <c r="BC63" s="1586"/>
      <c r="BD63" s="629">
        <f t="shared" si="54"/>
        <v>116922</v>
      </c>
      <c r="BE63" s="1584"/>
      <c r="BF63" s="5143">
        <f t="shared" si="55"/>
        <v>247527</v>
      </c>
      <c r="BG63" s="4234"/>
      <c r="BH63" s="4234"/>
      <c r="BI63" s="25"/>
      <c r="BJ63" s="25"/>
      <c r="BK63" s="25"/>
      <c r="BL63" s="25"/>
      <c r="BM63" s="25"/>
      <c r="BN63" s="25"/>
    </row>
    <row r="64" spans="1:66" s="4487" customFormat="1" ht="16.5" hidden="1" thickBot="1" x14ac:dyDescent="0.3">
      <c r="A64" s="139"/>
      <c r="B64" s="5522" t="s">
        <v>1829</v>
      </c>
      <c r="C64" s="5523"/>
      <c r="D64" s="5524" t="s">
        <v>2258</v>
      </c>
      <c r="E64" s="5525"/>
      <c r="F64" s="5526">
        <f>F62+F63</f>
        <v>36684</v>
      </c>
      <c r="G64" s="5525"/>
      <c r="H64" s="5526">
        <f>H62+H63</f>
        <v>37429</v>
      </c>
      <c r="I64" s="1584"/>
      <c r="J64" s="5206">
        <f t="shared" si="41"/>
        <v>74113</v>
      </c>
      <c r="K64" s="5525"/>
      <c r="L64" s="5526">
        <f>L62+L63</f>
        <v>36237</v>
      </c>
      <c r="M64" s="1585"/>
      <c r="N64" s="4951">
        <f t="shared" si="42"/>
        <v>110350</v>
      </c>
      <c r="O64" s="5525"/>
      <c r="P64" s="5526">
        <f>P62+P63</f>
        <v>43292</v>
      </c>
      <c r="Q64" s="1583"/>
      <c r="R64" s="4952">
        <f t="shared" si="43"/>
        <v>153642</v>
      </c>
      <c r="S64" s="5525"/>
      <c r="T64" s="5526">
        <f>T62+T63</f>
        <v>37364</v>
      </c>
      <c r="U64" s="1583"/>
      <c r="V64" s="4952">
        <f t="shared" si="44"/>
        <v>191006</v>
      </c>
      <c r="W64" s="5525"/>
      <c r="X64" s="5526">
        <f>X62+X63</f>
        <v>37541</v>
      </c>
      <c r="Y64" s="1585"/>
      <c r="Z64" s="4951">
        <f t="shared" si="45"/>
        <v>118197</v>
      </c>
      <c r="AA64" s="1586"/>
      <c r="AB64" s="629">
        <f t="shared" si="46"/>
        <v>228547</v>
      </c>
      <c r="AC64" s="5525"/>
      <c r="AD64" s="5526">
        <f>AD62+AD63</f>
        <v>25055</v>
      </c>
      <c r="AE64" s="1583"/>
      <c r="AF64" s="4952">
        <f t="shared" si="47"/>
        <v>253602</v>
      </c>
      <c r="AG64" s="5525"/>
      <c r="AH64" s="5526">
        <f>AH62+AH63</f>
        <v>34323</v>
      </c>
      <c r="AI64" s="1583"/>
      <c r="AJ64" s="4952">
        <f t="shared" si="48"/>
        <v>287925</v>
      </c>
      <c r="AK64" s="5525"/>
      <c r="AL64" s="5526">
        <f>AL62+AL63</f>
        <v>40123</v>
      </c>
      <c r="AM64" s="1585"/>
      <c r="AN64" s="4951">
        <f t="shared" si="49"/>
        <v>99501</v>
      </c>
      <c r="AO64" s="1583"/>
      <c r="AP64" s="4952">
        <f t="shared" si="50"/>
        <v>328048</v>
      </c>
      <c r="AQ64" s="5525"/>
      <c r="AR64" s="5526">
        <f>AR62+AR63</f>
        <v>42113</v>
      </c>
      <c r="AS64" s="1583"/>
      <c r="AT64" s="4975">
        <f t="shared" si="51"/>
        <v>370161</v>
      </c>
      <c r="AU64" s="5525"/>
      <c r="AV64" s="5526">
        <f>AV62+AV63</f>
        <v>36360</v>
      </c>
      <c r="AW64" s="1583"/>
      <c r="AX64" s="5047">
        <f t="shared" si="52"/>
        <v>406521</v>
      </c>
      <c r="AY64" s="5525"/>
      <c r="AZ64" s="7250">
        <f>AZ62+AZ63</f>
        <v>40992</v>
      </c>
      <c r="BA64" s="1585"/>
      <c r="BB64" s="5141">
        <f t="shared" si="53"/>
        <v>119465</v>
      </c>
      <c r="BC64" s="1586"/>
      <c r="BD64" s="629">
        <f t="shared" si="54"/>
        <v>218966</v>
      </c>
      <c r="BE64" s="1584"/>
      <c r="BF64" s="5143">
        <f t="shared" si="55"/>
        <v>447513</v>
      </c>
      <c r="BG64" s="4234"/>
      <c r="BH64" s="4234"/>
      <c r="BI64" s="25"/>
      <c r="BJ64" s="25"/>
      <c r="BK64" s="25"/>
      <c r="BL64" s="25"/>
      <c r="BM64" s="25"/>
      <c r="BN64" s="25"/>
    </row>
    <row r="65" spans="1:66" ht="18.75" x14ac:dyDescent="0.25">
      <c r="A65" s="139"/>
      <c r="B65" s="1582" t="s">
        <v>53</v>
      </c>
      <c r="C65" s="1589"/>
      <c r="D65" s="1589"/>
      <c r="E65" s="5514"/>
      <c r="F65" s="5514"/>
      <c r="G65" s="5514"/>
      <c r="H65" s="5514"/>
      <c r="I65" s="559"/>
      <c r="J65" s="559"/>
      <c r="K65" s="5514"/>
      <c r="L65" s="5514"/>
      <c r="M65" s="559"/>
      <c r="N65" s="559"/>
      <c r="O65" s="5514"/>
      <c r="P65" s="5514"/>
      <c r="Q65" s="559"/>
      <c r="R65" s="559"/>
      <c r="S65" s="5514"/>
      <c r="T65" s="5514"/>
      <c r="U65" s="4350"/>
      <c r="V65" s="4350"/>
      <c r="W65" s="5514"/>
      <c r="X65" s="5514"/>
      <c r="Y65" s="559"/>
      <c r="Z65" s="559"/>
      <c r="AA65" s="559"/>
      <c r="AB65" s="560"/>
      <c r="AC65" s="5514"/>
      <c r="AD65" s="5514"/>
      <c r="AE65" s="559"/>
      <c r="AF65" s="559"/>
      <c r="AG65" s="5514"/>
      <c r="AH65" s="5514"/>
      <c r="AI65" s="4633"/>
      <c r="AJ65" s="4633"/>
      <c r="AK65" s="5514"/>
      <c r="AL65" s="5514"/>
      <c r="AM65" s="559"/>
      <c r="AN65" s="559"/>
      <c r="AO65" s="559"/>
      <c r="AP65" s="559"/>
      <c r="AQ65" s="5514"/>
      <c r="AR65" s="5514"/>
      <c r="AS65" s="559"/>
      <c r="AT65" s="559"/>
      <c r="AU65" s="5514"/>
      <c r="AV65" s="5514"/>
      <c r="AW65" s="5043"/>
      <c r="AX65" s="5043"/>
      <c r="AY65" s="5514"/>
      <c r="AZ65" s="7251"/>
      <c r="BA65" s="2816"/>
      <c r="BB65" s="2816"/>
      <c r="BC65" s="2816"/>
      <c r="BD65" s="560"/>
      <c r="BE65" s="2816"/>
      <c r="BF65" s="2816"/>
      <c r="BG65" s="4234"/>
      <c r="BH65" s="4234"/>
      <c r="BI65" s="25"/>
      <c r="BJ65" s="25"/>
      <c r="BK65" s="25"/>
      <c r="BL65" s="25"/>
      <c r="BM65" s="25"/>
      <c r="BN65" s="25"/>
    </row>
    <row r="66" spans="1:66" x14ac:dyDescent="0.25">
      <c r="B66" s="9" t="s">
        <v>93</v>
      </c>
      <c r="C66" s="727"/>
      <c r="D66" s="148" t="s">
        <v>220</v>
      </c>
      <c r="E66" s="148">
        <f>+E2*24</f>
        <v>720</v>
      </c>
      <c r="F66" s="148">
        <f>+F2*24</f>
        <v>720</v>
      </c>
      <c r="G66" s="5604">
        <f>+G2*24</f>
        <v>744</v>
      </c>
      <c r="H66" s="5604">
        <f>+H2*24</f>
        <v>744</v>
      </c>
      <c r="I66" s="558">
        <f>+E66+G66</f>
        <v>1464</v>
      </c>
      <c r="J66" s="558">
        <f>+F66+H66</f>
        <v>1464</v>
      </c>
      <c r="K66" s="5716">
        <f>+K2*24</f>
        <v>720</v>
      </c>
      <c r="L66" s="5716">
        <f>+L2*24</f>
        <v>720</v>
      </c>
      <c r="M66" s="891">
        <f>+E66+G66+K66</f>
        <v>2184</v>
      </c>
      <c r="N66" s="891">
        <f>+F66+H66+L66</f>
        <v>2184</v>
      </c>
      <c r="O66" s="5831">
        <f>+O2*24</f>
        <v>744</v>
      </c>
      <c r="P66" s="5831">
        <f>+P2*24</f>
        <v>744</v>
      </c>
      <c r="Q66" s="558">
        <f>+M66+O66</f>
        <v>2928</v>
      </c>
      <c r="R66" s="558">
        <f>+N66+P66</f>
        <v>2928</v>
      </c>
      <c r="S66" s="5932">
        <f>+S2*24</f>
        <v>744</v>
      </c>
      <c r="T66" s="5932">
        <f>+T2*24</f>
        <v>744</v>
      </c>
      <c r="U66" s="4353">
        <f>+Q66+S66</f>
        <v>3672</v>
      </c>
      <c r="V66" s="4353">
        <f>+R66+T66</f>
        <v>3672</v>
      </c>
      <c r="W66" s="6034">
        <f>+W2*24</f>
        <v>720</v>
      </c>
      <c r="X66" s="6034">
        <f>+X2*24</f>
        <v>720</v>
      </c>
      <c r="Y66" s="732">
        <f>+O66+S66+W66</f>
        <v>2208</v>
      </c>
      <c r="Z66" s="2211">
        <f>+P66+T66+X66</f>
        <v>2208</v>
      </c>
      <c r="AA66" s="439">
        <f>+M66+Y66</f>
        <v>4392</v>
      </c>
      <c r="AB66" s="428">
        <f>+N66+Z66</f>
        <v>4392</v>
      </c>
      <c r="AC66" s="6161">
        <f>+AC2*24</f>
        <v>744</v>
      </c>
      <c r="AD66" s="6161">
        <f>+AD2*24</f>
        <v>744</v>
      </c>
      <c r="AE66" s="558">
        <f>+AA66+AC66</f>
        <v>5136</v>
      </c>
      <c r="AF66" s="558">
        <f>+AB66+AD66</f>
        <v>5136</v>
      </c>
      <c r="AG66" s="6326">
        <f>+AG2*24</f>
        <v>720</v>
      </c>
      <c r="AH66" s="6326">
        <f>+AH2*24</f>
        <v>720</v>
      </c>
      <c r="AI66" s="4639">
        <f>+AE66+AG66</f>
        <v>5856</v>
      </c>
      <c r="AJ66" s="4639">
        <f>+AF66+AH66</f>
        <v>5856</v>
      </c>
      <c r="AK66" s="6590">
        <f>+AK2*24</f>
        <v>744</v>
      </c>
      <c r="AL66" s="6590">
        <f>+AL2*24</f>
        <v>744</v>
      </c>
      <c r="AM66" s="2544">
        <f>+AC66+AG66+AK66</f>
        <v>2208</v>
      </c>
      <c r="AN66" s="2544">
        <f>+AD66+AH66+AL66</f>
        <v>2208</v>
      </c>
      <c r="AO66" s="2236">
        <f t="shared" ref="AO66" si="56">AI66+AK66</f>
        <v>6600</v>
      </c>
      <c r="AP66" s="2236">
        <f t="shared" ref="AP66" si="57">AJ66+AL66</f>
        <v>6600</v>
      </c>
      <c r="AQ66" s="6672">
        <f>+AQ2*24</f>
        <v>744</v>
      </c>
      <c r="AR66" s="6672">
        <f>+AR2*24</f>
        <v>744</v>
      </c>
      <c r="AS66" s="558">
        <f>+AO66+AQ66</f>
        <v>7344</v>
      </c>
      <c r="AT66" s="558">
        <f>+AP66+AR66</f>
        <v>7344</v>
      </c>
      <c r="AU66" s="6838">
        <f>+AU2*24</f>
        <v>672</v>
      </c>
      <c r="AV66" s="6838">
        <f>+AV2*24</f>
        <v>672</v>
      </c>
      <c r="AW66" s="5046">
        <f>+AS66+AU66</f>
        <v>8016</v>
      </c>
      <c r="AX66" s="5046">
        <f>+AT66+AV66</f>
        <v>8016</v>
      </c>
      <c r="AY66" s="6991">
        <f>+AY2*24</f>
        <v>744</v>
      </c>
      <c r="AZ66" s="62">
        <f>+AZ2*24</f>
        <v>744</v>
      </c>
      <c r="BA66" s="2812">
        <f>+AQ66+AU66+AY66</f>
        <v>2160</v>
      </c>
      <c r="BB66" s="2812">
        <f>+AR66+AV66+AZ66</f>
        <v>2160</v>
      </c>
      <c r="BC66" s="2811">
        <f t="shared" ref="BC66" si="58">+AM66+BA66</f>
        <v>4368</v>
      </c>
      <c r="BD66" s="428">
        <f t="shared" ref="BD66" si="59">+AN66+BB66</f>
        <v>4368</v>
      </c>
      <c r="BE66" s="558">
        <f>+AW66+AY66</f>
        <v>8760</v>
      </c>
      <c r="BF66" s="558">
        <f>+AX66+AZ66</f>
        <v>8760</v>
      </c>
      <c r="BG66" s="4234"/>
      <c r="BH66" s="4234"/>
      <c r="BI66" s="25"/>
      <c r="BJ66" s="25"/>
      <c r="BK66" s="25"/>
      <c r="BL66" s="25"/>
      <c r="BM66" s="25"/>
      <c r="BN66" s="25"/>
    </row>
    <row r="67" spans="1:66" x14ac:dyDescent="0.25">
      <c r="B67" s="9" t="s">
        <v>301</v>
      </c>
      <c r="C67" s="727"/>
      <c r="D67" s="148" t="s">
        <v>49</v>
      </c>
      <c r="E67" s="98">
        <f t="shared" ref="E67:AD67" si="60">+E68/E66*100</f>
        <v>76.666666666666671</v>
      </c>
      <c r="F67" s="98">
        <f t="shared" si="60"/>
        <v>89.747685185185176</v>
      </c>
      <c r="G67" s="98">
        <f t="shared" ref="G67:H67" si="61">+G68/G66*100</f>
        <v>90.322580645161281</v>
      </c>
      <c r="H67" s="98">
        <f t="shared" si="61"/>
        <v>89.128584229390682</v>
      </c>
      <c r="I67" s="245">
        <f t="shared" si="60"/>
        <v>83.606557377049185</v>
      </c>
      <c r="J67" s="245">
        <f t="shared" si="60"/>
        <v>89.433060109289613</v>
      </c>
      <c r="K67" s="98">
        <f t="shared" si="60"/>
        <v>90</v>
      </c>
      <c r="L67" s="98">
        <f t="shared" si="60"/>
        <v>87.942129629629633</v>
      </c>
      <c r="M67" s="330">
        <f t="shared" si="60"/>
        <v>85.714285714285708</v>
      </c>
      <c r="N67" s="330">
        <f t="shared" si="60"/>
        <v>88.941544566544579</v>
      </c>
      <c r="O67" s="98">
        <f t="shared" ref="O67:P67" si="62">+O68/O66*100</f>
        <v>90.322580645161281</v>
      </c>
      <c r="P67" s="98">
        <f t="shared" si="62"/>
        <v>91.711469534050181</v>
      </c>
      <c r="Q67" s="245">
        <f t="shared" si="60"/>
        <v>86.885245901639337</v>
      </c>
      <c r="R67" s="245">
        <f t="shared" si="60"/>
        <v>89.645377959927146</v>
      </c>
      <c r="S67" s="98">
        <f t="shared" si="60"/>
        <v>90.322580645161281</v>
      </c>
      <c r="T67" s="98">
        <f t="shared" si="60"/>
        <v>87.069892473118259</v>
      </c>
      <c r="U67" s="245">
        <f t="shared" ref="U67:X67" si="63">+U68/U66*100</f>
        <v>87.58169934640523</v>
      </c>
      <c r="V67" s="245">
        <f t="shared" si="63"/>
        <v>89.123547567175009</v>
      </c>
      <c r="W67" s="98">
        <f t="shared" si="63"/>
        <v>60</v>
      </c>
      <c r="X67" s="98">
        <f t="shared" si="63"/>
        <v>89.976851851819518</v>
      </c>
      <c r="Y67" s="330">
        <f t="shared" si="60"/>
        <v>80.434782608695656</v>
      </c>
      <c r="Z67" s="330">
        <f t="shared" si="60"/>
        <v>89.581823671487044</v>
      </c>
      <c r="AA67" s="440">
        <f t="shared" si="60"/>
        <v>83.060109289617486</v>
      </c>
      <c r="AB67" s="448">
        <f t="shared" si="60"/>
        <v>89.263433515477388</v>
      </c>
      <c r="AC67" s="98">
        <f t="shared" si="60"/>
        <v>90.322580645161281</v>
      </c>
      <c r="AD67" s="98">
        <f t="shared" si="60"/>
        <v>60.775089605734763</v>
      </c>
      <c r="AE67" s="245">
        <f t="shared" ref="AE67:AH67" si="64">+AE68/AE66*100</f>
        <v>84.112149532710276</v>
      </c>
      <c r="AF67" s="245">
        <f t="shared" si="64"/>
        <v>85.136617341636182</v>
      </c>
      <c r="AG67" s="98">
        <f t="shared" si="64"/>
        <v>90</v>
      </c>
      <c r="AH67" s="98">
        <f t="shared" si="64"/>
        <v>87.879629629629648</v>
      </c>
      <c r="AI67" s="245">
        <f t="shared" ref="AI67:AL67" si="65">+AI68/AI66*100</f>
        <v>84.836065573770497</v>
      </c>
      <c r="AJ67" s="245">
        <f t="shared" si="65"/>
        <v>85.473872950815704</v>
      </c>
      <c r="AK67" s="98">
        <f t="shared" si="65"/>
        <v>90.322580645161281</v>
      </c>
      <c r="AL67" s="98">
        <f t="shared" si="65"/>
        <v>90.687724014336922</v>
      </c>
      <c r="AM67" s="330">
        <f t="shared" ref="AM67:AT67" si="66">+AM68/AM66*100</f>
        <v>90.217391304347828</v>
      </c>
      <c r="AN67" s="330">
        <f t="shared" si="66"/>
        <v>79.692783816425134</v>
      </c>
      <c r="AO67" s="245">
        <f t="shared" si="66"/>
        <v>85.454545454545453</v>
      </c>
      <c r="AP67" s="245">
        <f t="shared" si="66"/>
        <v>86.061616161612648</v>
      </c>
      <c r="AQ67" s="98">
        <f t="shared" si="66"/>
        <v>90.322580645161281</v>
      </c>
      <c r="AR67" s="98">
        <f t="shared" si="66"/>
        <v>90.051523297491016</v>
      </c>
      <c r="AS67" s="245">
        <f t="shared" si="66"/>
        <v>85.947712418300654</v>
      </c>
      <c r="AT67" s="245">
        <f t="shared" si="66"/>
        <v>86.465822440083997</v>
      </c>
      <c r="AU67" s="98">
        <f t="shared" ref="AU67:AV67" si="67">+AU68/AU66*100</f>
        <v>89.999999999999986</v>
      </c>
      <c r="AV67" s="98">
        <f t="shared" si="67"/>
        <v>90.342261904761912</v>
      </c>
      <c r="AW67" s="245">
        <f t="shared" ref="AW67:AZ67" si="68">+AW68/AW66*100</f>
        <v>86.287425149700596</v>
      </c>
      <c r="AX67" s="245">
        <f t="shared" si="68"/>
        <v>86.790793413170761</v>
      </c>
      <c r="AY67" s="98">
        <f t="shared" si="68"/>
        <v>90.322580645161281</v>
      </c>
      <c r="AZ67" s="1211">
        <f t="shared" si="68"/>
        <v>89.975358422939067</v>
      </c>
      <c r="BA67" s="330">
        <f t="shared" ref="BA67:BD67" si="69">+BA68/BA66*100</f>
        <v>90.222222222222214</v>
      </c>
      <c r="BB67" s="330">
        <f t="shared" si="69"/>
        <v>90.115740740740748</v>
      </c>
      <c r="BC67" s="440">
        <f t="shared" si="69"/>
        <v>90.219780219780219</v>
      </c>
      <c r="BD67" s="448">
        <f t="shared" si="69"/>
        <v>84.846993284493294</v>
      </c>
      <c r="BE67" s="245">
        <f t="shared" ref="BE67:BF67" si="70">+BE68/BE66*100</f>
        <v>86.63013698630138</v>
      </c>
      <c r="BF67" s="245">
        <f t="shared" si="70"/>
        <v>87.061263318109994</v>
      </c>
      <c r="BG67" s="4234"/>
      <c r="BH67" s="4234"/>
      <c r="BI67" s="25"/>
      <c r="BJ67" s="25"/>
      <c r="BK67" s="25"/>
      <c r="BL67" s="25"/>
      <c r="BM67" s="25"/>
      <c r="BN67" s="25"/>
    </row>
    <row r="68" spans="1:66" x14ac:dyDescent="0.25">
      <c r="B68" s="9" t="s">
        <v>300</v>
      </c>
      <c r="C68" s="727"/>
      <c r="D68" s="148" t="s">
        <v>220</v>
      </c>
      <c r="E68" s="194">
        <v>552</v>
      </c>
      <c r="F68" s="1054">
        <v>646.18333333333328</v>
      </c>
      <c r="G68" s="194">
        <v>672</v>
      </c>
      <c r="H68" s="5606">
        <v>663.11666666666667</v>
      </c>
      <c r="I68" s="558">
        <f>+E68+G68</f>
        <v>1224</v>
      </c>
      <c r="J68" s="2236">
        <f>+F68+H68</f>
        <v>1309.3</v>
      </c>
      <c r="K68" s="194">
        <v>648</v>
      </c>
      <c r="L68" s="5717">
        <v>633.18333333333339</v>
      </c>
      <c r="M68" s="891">
        <f>+E68+G68+K68</f>
        <v>1872</v>
      </c>
      <c r="N68" s="732">
        <f>+F68+H68+L68</f>
        <v>1942.4833333333333</v>
      </c>
      <c r="O68" s="194">
        <v>672</v>
      </c>
      <c r="P68" s="5837">
        <v>682.33333333333337</v>
      </c>
      <c r="Q68" s="558">
        <f>+M68+O68</f>
        <v>2544</v>
      </c>
      <c r="R68" s="733">
        <f>+N68+P68</f>
        <v>2624.8166666666666</v>
      </c>
      <c r="S68" s="194">
        <v>672</v>
      </c>
      <c r="T68" s="5934">
        <v>647.79999999999984</v>
      </c>
      <c r="U68" s="4353">
        <f>+Q68+S68</f>
        <v>3216</v>
      </c>
      <c r="V68" s="4351">
        <f>+R68+T68</f>
        <v>3272.6166666666663</v>
      </c>
      <c r="W68" s="194">
        <v>432</v>
      </c>
      <c r="X68" s="6036">
        <v>647.83333333310054</v>
      </c>
      <c r="Y68" s="2211">
        <f>+O68+S68+W68</f>
        <v>1776</v>
      </c>
      <c r="Z68" s="2211">
        <f>+P68+T68+X68</f>
        <v>1977.9666666664339</v>
      </c>
      <c r="AA68" s="439">
        <f>+M68+Y68</f>
        <v>3648</v>
      </c>
      <c r="AB68" s="428">
        <f>+N68+Z68</f>
        <v>3920.449999999767</v>
      </c>
      <c r="AC68" s="194">
        <v>672</v>
      </c>
      <c r="AD68" s="6163">
        <v>452.16666666666669</v>
      </c>
      <c r="AE68" s="558">
        <f>+AA68+AC68</f>
        <v>4320</v>
      </c>
      <c r="AF68" s="2236">
        <f>+AB68+AD68</f>
        <v>4372.616666666434</v>
      </c>
      <c r="AG68" s="194">
        <v>648</v>
      </c>
      <c r="AH68" s="6328">
        <v>632.73333333333346</v>
      </c>
      <c r="AI68" s="4639">
        <f>+AE68+AG68</f>
        <v>4968</v>
      </c>
      <c r="AJ68" s="4635">
        <f>+AF68+AH68</f>
        <v>5005.3499999997675</v>
      </c>
      <c r="AK68" s="194">
        <v>672</v>
      </c>
      <c r="AL68" s="6592">
        <v>674.7166666666667</v>
      </c>
      <c r="AM68" s="2544">
        <f>+AC68+AG68+AK68</f>
        <v>1992</v>
      </c>
      <c r="AN68" s="2544">
        <f>+AD68+AH68+AL68</f>
        <v>1759.6166666666668</v>
      </c>
      <c r="AO68" s="2236">
        <f t="shared" ref="AO68" si="71">AI68+AK68</f>
        <v>5640</v>
      </c>
      <c r="AP68" s="2236">
        <f t="shared" ref="AP68" si="72">AJ68+AL68</f>
        <v>5680.0666666664347</v>
      </c>
      <c r="AQ68" s="194">
        <v>672</v>
      </c>
      <c r="AR68" s="6674">
        <v>669.98333333333323</v>
      </c>
      <c r="AS68" s="558">
        <f>+AO68+AQ68</f>
        <v>6312</v>
      </c>
      <c r="AT68" s="2236">
        <f>+AP68+AR68</f>
        <v>6350.0499999997683</v>
      </c>
      <c r="AU68" s="194">
        <v>604.79999999999995</v>
      </c>
      <c r="AV68" s="6841">
        <v>607.1</v>
      </c>
      <c r="AW68" s="5046">
        <f>+AS68+AU68</f>
        <v>6916.8</v>
      </c>
      <c r="AX68" s="5047">
        <f>+AT68+AV68</f>
        <v>6957.1499999997686</v>
      </c>
      <c r="AY68" s="194">
        <v>672</v>
      </c>
      <c r="AZ68" s="141">
        <v>669.41666666666663</v>
      </c>
      <c r="BA68" s="2812">
        <f>+AQ68+AU68+AY68</f>
        <v>1948.8</v>
      </c>
      <c r="BB68" s="2812">
        <f>+AR68+AV68+AZ68</f>
        <v>1946.5</v>
      </c>
      <c r="BC68" s="2811">
        <f t="shared" ref="BC68" si="73">+AM68+BA68</f>
        <v>3940.8</v>
      </c>
      <c r="BD68" s="428">
        <f t="shared" ref="BD68" si="74">+AN68+BB68</f>
        <v>3706.1166666666668</v>
      </c>
      <c r="BE68" s="558">
        <f>+AW68+AY68</f>
        <v>7588.8</v>
      </c>
      <c r="BF68" s="2236">
        <f>+AX68+AZ68</f>
        <v>7626.5666666664356</v>
      </c>
      <c r="BG68" s="4234"/>
      <c r="BH68" s="4234"/>
      <c r="BI68" s="25"/>
      <c r="BJ68" s="25"/>
      <c r="BK68" s="25"/>
      <c r="BL68" s="25"/>
      <c r="BM68" s="25"/>
      <c r="BN68" s="25"/>
    </row>
    <row r="69" spans="1:66" x14ac:dyDescent="0.25">
      <c r="B69" s="9" t="s">
        <v>302</v>
      </c>
      <c r="C69" s="727"/>
      <c r="D69" s="148" t="s">
        <v>49</v>
      </c>
      <c r="E69" s="180">
        <f t="shared" ref="E69:AD69" si="75">+E70/E68*100</f>
        <v>90</v>
      </c>
      <c r="F69" s="180">
        <f t="shared" si="75"/>
        <v>87.996182713884096</v>
      </c>
      <c r="G69" s="180">
        <f t="shared" ref="G69:H69" si="76">+G70/G68*100</f>
        <v>85.416666666666657</v>
      </c>
      <c r="H69" s="180">
        <f t="shared" si="76"/>
        <v>89.292985145901909</v>
      </c>
      <c r="I69" s="245">
        <f t="shared" si="75"/>
        <v>87.48366013071896</v>
      </c>
      <c r="J69" s="245">
        <f t="shared" si="75"/>
        <v>88.652969780289709</v>
      </c>
      <c r="K69" s="180">
        <f t="shared" si="75"/>
        <v>85.416666666666657</v>
      </c>
      <c r="L69" s="180">
        <f t="shared" si="75"/>
        <v>89.794951435866395</v>
      </c>
      <c r="M69" s="330">
        <f t="shared" si="75"/>
        <v>86.768162393162399</v>
      </c>
      <c r="N69" s="330">
        <f t="shared" si="75"/>
        <v>89.025216861577519</v>
      </c>
      <c r="O69" s="180">
        <f t="shared" ref="O69:P69" si="77">+O70/O68*100</f>
        <v>85.416666666666657</v>
      </c>
      <c r="P69" s="180">
        <f t="shared" si="77"/>
        <v>91.998045920859767</v>
      </c>
      <c r="Q69" s="245">
        <f t="shared" si="75"/>
        <v>86.411163522012586</v>
      </c>
      <c r="R69" s="245">
        <f t="shared" si="75"/>
        <v>89.798017639327171</v>
      </c>
      <c r="S69" s="180">
        <f t="shared" si="75"/>
        <v>85.416666666666657</v>
      </c>
      <c r="T69" s="180">
        <f t="shared" si="75"/>
        <v>88.592158073479467</v>
      </c>
      <c r="U69" s="245">
        <f t="shared" ref="U69:X69" si="78">+U70/U68*100</f>
        <v>86.203358208955223</v>
      </c>
      <c r="V69" s="245">
        <f t="shared" si="78"/>
        <v>89.559323069714836</v>
      </c>
      <c r="W69" s="180">
        <f t="shared" si="78"/>
        <v>85.416666666666657</v>
      </c>
      <c r="X69" s="180">
        <f t="shared" si="78"/>
        <v>88.752251093336241</v>
      </c>
      <c r="Y69" s="330">
        <f t="shared" si="75"/>
        <v>85.416666666666657</v>
      </c>
      <c r="Z69" s="330">
        <f t="shared" si="75"/>
        <v>89.819511619659863</v>
      </c>
      <c r="AA69" s="440">
        <f t="shared" si="75"/>
        <v>86.110197368421055</v>
      </c>
      <c r="AB69" s="448">
        <f t="shared" si="75"/>
        <v>89.425958754726224</v>
      </c>
      <c r="AC69" s="180">
        <f t="shared" si="75"/>
        <v>85.416666666666657</v>
      </c>
      <c r="AD69" s="180">
        <f t="shared" si="75"/>
        <v>87.445632141540742</v>
      </c>
      <c r="AE69" s="245">
        <f>+AE70/AE68*100</f>
        <v>86.002314814814824</v>
      </c>
      <c r="AF69" s="245">
        <f t="shared" ref="AF69:AH69" si="79">+AF70/AF68*100</f>
        <v>89.221175726197444</v>
      </c>
      <c r="AG69" s="180">
        <f t="shared" si="79"/>
        <v>85.416666666666657</v>
      </c>
      <c r="AH69" s="180">
        <f t="shared" si="79"/>
        <v>86.010299230850265</v>
      </c>
      <c r="AI69" s="245">
        <f t="shared" ref="AI69:AL69" si="80">+AI70/AI68*100</f>
        <v>85.925925925925924</v>
      </c>
      <c r="AJ69" s="245">
        <f t="shared" si="80"/>
        <v>88.815284312445613</v>
      </c>
      <c r="AK69" s="180">
        <f t="shared" si="80"/>
        <v>85.416666666666657</v>
      </c>
      <c r="AL69" s="180">
        <f t="shared" si="80"/>
        <v>89.435071511498649</v>
      </c>
      <c r="AM69" s="330">
        <f t="shared" ref="AM69:AT69" si="81">+AM70/AM68*100</f>
        <v>85.416666666666657</v>
      </c>
      <c r="AN69" s="330">
        <f t="shared" si="81"/>
        <v>87.692347765138237</v>
      </c>
      <c r="AO69" s="245">
        <f t="shared" si="81"/>
        <v>85.865248226950357</v>
      </c>
      <c r="AP69" s="245">
        <f t="shared" si="81"/>
        <v>88.888906820336544</v>
      </c>
      <c r="AQ69" s="180">
        <f t="shared" si="81"/>
        <v>85.416666666666657</v>
      </c>
      <c r="AR69" s="180">
        <f t="shared" si="81"/>
        <v>91.673922236871562</v>
      </c>
      <c r="AS69" s="245">
        <f t="shared" si="81"/>
        <v>85.817490494296578</v>
      </c>
      <c r="AT69" s="245">
        <f t="shared" si="81"/>
        <v>89.182749217192452</v>
      </c>
      <c r="AU69" s="180">
        <f t="shared" ref="AU69:AV69" si="82">+AU70/AU68*100</f>
        <v>85.416666666666671</v>
      </c>
      <c r="AV69" s="180">
        <f t="shared" si="82"/>
        <v>89.441607642892436</v>
      </c>
      <c r="AW69" s="245">
        <f t="shared" ref="AW69:AZ69" si="83">+AW70/AW68*100</f>
        <v>85.782442748091611</v>
      </c>
      <c r="AX69" s="245">
        <f t="shared" si="83"/>
        <v>89.205337913748153</v>
      </c>
      <c r="AY69" s="180">
        <f t="shared" si="83"/>
        <v>85.416666666666657</v>
      </c>
      <c r="AZ69" s="7248">
        <f t="shared" si="83"/>
        <v>89.341466450890067</v>
      </c>
      <c r="BA69" s="330">
        <f t="shared" ref="BA69:BD69" si="84">+BA70/BA68*100</f>
        <v>85.416666666666657</v>
      </c>
      <c r="BB69" s="330">
        <f t="shared" si="84"/>
        <v>90.175528726774544</v>
      </c>
      <c r="BC69" s="440">
        <f t="shared" si="84"/>
        <v>85.416666666666657</v>
      </c>
      <c r="BD69" s="448">
        <f t="shared" si="84"/>
        <v>88.99654625011803</v>
      </c>
      <c r="BE69" s="245">
        <f t="shared" ref="BE69:BF69" si="85">+BE70/BE68*100</f>
        <v>85.750052709255755</v>
      </c>
      <c r="BF69" s="245">
        <f t="shared" si="85"/>
        <v>89.217286502878039</v>
      </c>
      <c r="BG69" s="4234"/>
      <c r="BH69" s="4234"/>
      <c r="BI69" s="25"/>
      <c r="BJ69" s="25"/>
      <c r="BK69" s="25"/>
      <c r="BL69" s="25"/>
      <c r="BM69" s="25"/>
      <c r="BN69" s="25"/>
    </row>
    <row r="70" spans="1:66" x14ac:dyDescent="0.25">
      <c r="B70" s="9" t="s">
        <v>303</v>
      </c>
      <c r="C70" s="727"/>
      <c r="D70" s="148" t="s">
        <v>220</v>
      </c>
      <c r="E70" s="1054">
        <v>496.8</v>
      </c>
      <c r="F70" s="1054">
        <v>568.61666666666667</v>
      </c>
      <c r="G70" s="5606">
        <v>574</v>
      </c>
      <c r="H70" s="5606">
        <v>592.11666666666656</v>
      </c>
      <c r="I70" s="733">
        <f>+E70+G70</f>
        <v>1070.8</v>
      </c>
      <c r="J70" s="2236">
        <f>+F70+H70</f>
        <v>1160.7333333333331</v>
      </c>
      <c r="K70" s="5717">
        <v>553.5</v>
      </c>
      <c r="L70" s="5717">
        <v>568.56666666666672</v>
      </c>
      <c r="M70" s="891">
        <f>+E70+G70+K70</f>
        <v>1624.3</v>
      </c>
      <c r="N70" s="2211">
        <f>+F70+H70+L70</f>
        <v>1729.2999999999997</v>
      </c>
      <c r="O70" s="5837">
        <v>574</v>
      </c>
      <c r="P70" s="5837">
        <v>627.73333333333323</v>
      </c>
      <c r="Q70" s="558">
        <f>+M70+O70</f>
        <v>2198.3000000000002</v>
      </c>
      <c r="R70" s="733">
        <f>+N70+P70</f>
        <v>2357.0333333333328</v>
      </c>
      <c r="S70" s="5934">
        <v>574</v>
      </c>
      <c r="T70" s="5934">
        <v>573.89999999999986</v>
      </c>
      <c r="U70" s="4353">
        <f>+Q70+S70</f>
        <v>2772.3</v>
      </c>
      <c r="V70" s="4351">
        <f>+R70+T70</f>
        <v>2930.9333333333325</v>
      </c>
      <c r="W70" s="6036">
        <v>369</v>
      </c>
      <c r="X70" s="6036">
        <v>574.96666666612339</v>
      </c>
      <c r="Y70" s="2211">
        <f>+O70+S70+W70</f>
        <v>1517</v>
      </c>
      <c r="Z70" s="2211">
        <f>+P70+T70+X70</f>
        <v>1776.5999999994565</v>
      </c>
      <c r="AA70" s="439">
        <f>+M70+Y70</f>
        <v>3141.3</v>
      </c>
      <c r="AB70" s="428">
        <f>+N70+Z70</f>
        <v>3505.8999999994562</v>
      </c>
      <c r="AC70" s="6163">
        <v>574</v>
      </c>
      <c r="AD70" s="6163">
        <v>395.40000000000009</v>
      </c>
      <c r="AE70" s="558">
        <f>+AA70+AC70</f>
        <v>3715.3</v>
      </c>
      <c r="AF70" s="2236">
        <f>+AB70+AD70</f>
        <v>3901.2999999994563</v>
      </c>
      <c r="AG70" s="6328">
        <v>553.5</v>
      </c>
      <c r="AH70" s="6328">
        <v>544.21583333333331</v>
      </c>
      <c r="AI70" s="6346">
        <f>+AE70+AG70</f>
        <v>4268.8</v>
      </c>
      <c r="AJ70" s="4635">
        <f>+AF70+AH70</f>
        <v>4445.51583333279</v>
      </c>
      <c r="AK70" s="6592">
        <v>574</v>
      </c>
      <c r="AL70" s="6592">
        <v>603.43333333333328</v>
      </c>
      <c r="AM70" s="2544">
        <f>+AC70+AG70+AK70</f>
        <v>1701.5</v>
      </c>
      <c r="AN70" s="2544">
        <f>+AD70+AH70+AL70</f>
        <v>1543.0491666666667</v>
      </c>
      <c r="AO70" s="2236">
        <f t="shared" ref="AO70:AP70" si="86">AI70+AK70</f>
        <v>4842.8</v>
      </c>
      <c r="AP70" s="2236">
        <f t="shared" si="86"/>
        <v>5048.9491666661233</v>
      </c>
      <c r="AQ70" s="6674">
        <v>574</v>
      </c>
      <c r="AR70" s="6674">
        <v>614.19999999999993</v>
      </c>
      <c r="AS70" s="558">
        <f>+AO70+AQ70</f>
        <v>5416.8</v>
      </c>
      <c r="AT70" s="2236">
        <f>+AP70+AR70</f>
        <v>5663.1491666661232</v>
      </c>
      <c r="AU70" s="6841">
        <v>516.6</v>
      </c>
      <c r="AV70" s="6841">
        <v>543</v>
      </c>
      <c r="AW70" s="5046">
        <f>+AS70+AU70</f>
        <v>5933.4000000000005</v>
      </c>
      <c r="AX70" s="5047">
        <f>+AT70+AV70</f>
        <v>6206.1491666661232</v>
      </c>
      <c r="AY70" s="6994">
        <v>574</v>
      </c>
      <c r="AZ70" s="141">
        <v>598.06666666666661</v>
      </c>
      <c r="BA70" s="2812">
        <f>+AQ70+AU70+AY70</f>
        <v>1664.6</v>
      </c>
      <c r="BB70" s="2812">
        <f>+AR70+AV70+AZ70</f>
        <v>1755.2666666666664</v>
      </c>
      <c r="BC70" s="2811">
        <f t="shared" ref="BC70" si="87">+AM70+BA70</f>
        <v>3366.1</v>
      </c>
      <c r="BD70" s="428">
        <f t="shared" ref="BD70" si="88">+AN70+BB70</f>
        <v>3298.3158333333331</v>
      </c>
      <c r="BE70" s="558">
        <f>+AW70+AY70</f>
        <v>6507.4000000000005</v>
      </c>
      <c r="BF70" s="2236">
        <f>+AX70+AZ70</f>
        <v>6804.2158333327898</v>
      </c>
      <c r="BG70" s="4234"/>
      <c r="BH70" s="4234"/>
      <c r="BI70" s="25"/>
      <c r="BJ70" s="25"/>
      <c r="BK70" s="25"/>
      <c r="BL70" s="25"/>
      <c r="BM70" s="25"/>
      <c r="BN70" s="25"/>
    </row>
    <row r="71" spans="1:66" x14ac:dyDescent="0.25">
      <c r="B71" s="9" t="s">
        <v>486</v>
      </c>
      <c r="C71" s="727"/>
      <c r="D71" s="148" t="s">
        <v>485</v>
      </c>
      <c r="E71" s="180">
        <f t="shared" ref="E71:AD71" si="89">+E70/(E68/24)</f>
        <v>21.6</v>
      </c>
      <c r="F71" s="180">
        <f t="shared" si="89"/>
        <v>21.119083851332185</v>
      </c>
      <c r="G71" s="180">
        <f t="shared" ref="G71:H71" si="90">+G70/(G68/24)</f>
        <v>20.5</v>
      </c>
      <c r="H71" s="180">
        <f t="shared" si="90"/>
        <v>21.430316435016458</v>
      </c>
      <c r="I71" s="245">
        <f t="shared" si="89"/>
        <v>20.996078431372549</v>
      </c>
      <c r="J71" s="245">
        <f t="shared" si="89"/>
        <v>21.276712747269528</v>
      </c>
      <c r="K71" s="180">
        <f t="shared" si="89"/>
        <v>20.5</v>
      </c>
      <c r="L71" s="180">
        <f t="shared" si="89"/>
        <v>21.550788344607934</v>
      </c>
      <c r="M71" s="330">
        <f t="shared" si="89"/>
        <v>20.824358974358972</v>
      </c>
      <c r="N71" s="330">
        <f t="shared" si="89"/>
        <v>21.366052046778606</v>
      </c>
      <c r="O71" s="180">
        <f t="shared" ref="O71:P71" si="91">+O70/(O68/24)</f>
        <v>20.5</v>
      </c>
      <c r="P71" s="180">
        <f t="shared" si="91"/>
        <v>22.079531021006346</v>
      </c>
      <c r="Q71" s="245">
        <f t="shared" si="89"/>
        <v>20.73867924528302</v>
      </c>
      <c r="R71" s="245">
        <f t="shared" si="89"/>
        <v>21.551524233438521</v>
      </c>
      <c r="S71" s="180">
        <f t="shared" si="89"/>
        <v>20.5</v>
      </c>
      <c r="T71" s="180">
        <f t="shared" si="89"/>
        <v>21.262117937635072</v>
      </c>
      <c r="U71" s="245">
        <f t="shared" ref="U71:X71" si="92">+U70/(U68/24)</f>
        <v>20.688805970149254</v>
      </c>
      <c r="V71" s="245">
        <f t="shared" si="92"/>
        <v>21.494237536731564</v>
      </c>
      <c r="W71" s="180">
        <f t="shared" si="92"/>
        <v>20.5</v>
      </c>
      <c r="X71" s="180">
        <f t="shared" si="92"/>
        <v>21.300540262400702</v>
      </c>
      <c r="Y71" s="330">
        <f t="shared" si="89"/>
        <v>20.5</v>
      </c>
      <c r="Z71" s="330">
        <f t="shared" si="89"/>
        <v>21.556682788718366</v>
      </c>
      <c r="AA71" s="440">
        <f t="shared" si="89"/>
        <v>20.666447368421053</v>
      </c>
      <c r="AB71" s="448">
        <f t="shared" si="89"/>
        <v>21.462230101134296</v>
      </c>
      <c r="AC71" s="180">
        <f t="shared" si="89"/>
        <v>20.5</v>
      </c>
      <c r="AD71" s="180">
        <f t="shared" si="89"/>
        <v>20.986951713969781</v>
      </c>
      <c r="AE71" s="245">
        <f t="shared" ref="AE71:AH71" si="93">+AE70/(AE68/24)</f>
        <v>20.640555555555558</v>
      </c>
      <c r="AF71" s="245">
        <f t="shared" si="93"/>
        <v>21.413082174287389</v>
      </c>
      <c r="AG71" s="180">
        <f t="shared" si="93"/>
        <v>20.5</v>
      </c>
      <c r="AH71" s="180">
        <f t="shared" si="93"/>
        <v>20.642471815404061</v>
      </c>
      <c r="AI71" s="245">
        <f t="shared" ref="AI71:AL71" si="94">+AI70/(AI68/24)</f>
        <v>20.622222222222224</v>
      </c>
      <c r="AJ71" s="245">
        <f t="shared" si="94"/>
        <v>21.315668234986948</v>
      </c>
      <c r="AK71" s="180">
        <f t="shared" si="94"/>
        <v>20.5</v>
      </c>
      <c r="AL71" s="180">
        <f t="shared" si="94"/>
        <v>21.464417162759673</v>
      </c>
      <c r="AM71" s="330">
        <f t="shared" ref="AM71:AT71" si="95">+AM70/(AM68/24)</f>
        <v>20.5</v>
      </c>
      <c r="AN71" s="330">
        <f t="shared" si="95"/>
        <v>21.046163463633178</v>
      </c>
      <c r="AO71" s="245">
        <f t="shared" si="95"/>
        <v>20.607659574468087</v>
      </c>
      <c r="AP71" s="245">
        <f t="shared" si="95"/>
        <v>21.333337636880771</v>
      </c>
      <c r="AQ71" s="180">
        <f t="shared" si="95"/>
        <v>20.5</v>
      </c>
      <c r="AR71" s="180">
        <f t="shared" si="95"/>
        <v>22.001741336849175</v>
      </c>
      <c r="AS71" s="245">
        <f t="shared" si="95"/>
        <v>20.596197718631178</v>
      </c>
      <c r="AT71" s="245">
        <f t="shared" si="95"/>
        <v>21.403859812126189</v>
      </c>
      <c r="AU71" s="180">
        <f t="shared" ref="AU71:AV71" si="96">+AU70/(AU68/24)</f>
        <v>20.5</v>
      </c>
      <c r="AV71" s="180">
        <f t="shared" si="96"/>
        <v>21.465985834294184</v>
      </c>
      <c r="AW71" s="245">
        <f t="shared" ref="AW71:AZ71" si="97">+AW70/(AW68/24)</f>
        <v>20.587786259541989</v>
      </c>
      <c r="AX71" s="245">
        <f t="shared" si="97"/>
        <v>21.409281099299555</v>
      </c>
      <c r="AY71" s="180">
        <f t="shared" si="97"/>
        <v>20.5</v>
      </c>
      <c r="AZ71" s="7248">
        <f t="shared" si="97"/>
        <v>21.441951948213617</v>
      </c>
      <c r="BA71" s="330">
        <f t="shared" ref="BA71:BD71" si="98">+BA70/(BA68/24)</f>
        <v>20.499999999999996</v>
      </c>
      <c r="BB71" s="330">
        <f t="shared" si="98"/>
        <v>21.642126894425889</v>
      </c>
      <c r="BC71" s="440">
        <f t="shared" si="98"/>
        <v>20.499999999999996</v>
      </c>
      <c r="BD71" s="448">
        <f t="shared" si="98"/>
        <v>21.35917110002833</v>
      </c>
      <c r="BE71" s="245">
        <f t="shared" ref="BE71:BF71" si="99">+BE70/(BE68/24)</f>
        <v>20.580012650221381</v>
      </c>
      <c r="BF71" s="245">
        <f t="shared" si="99"/>
        <v>21.41214876069073</v>
      </c>
      <c r="BG71" s="4234"/>
      <c r="BH71" s="4234"/>
      <c r="BI71" s="25"/>
      <c r="BJ71" s="25"/>
      <c r="BK71" s="25"/>
      <c r="BL71" s="25"/>
      <c r="BM71" s="25"/>
      <c r="BN71" s="25"/>
    </row>
    <row r="72" spans="1:66" ht="14.25" customHeight="1" x14ac:dyDescent="0.25">
      <c r="A72">
        <v>0.28799999999999998</v>
      </c>
      <c r="B72" s="9" t="s">
        <v>304</v>
      </c>
      <c r="C72" s="727"/>
      <c r="D72" s="148" t="s">
        <v>1051</v>
      </c>
      <c r="E72" s="243">
        <v>0.246</v>
      </c>
      <c r="F72" s="243">
        <v>0.25</v>
      </c>
      <c r="G72" s="243">
        <v>0.24600000000000002</v>
      </c>
      <c r="H72" s="243">
        <v>0.26600000000000001</v>
      </c>
      <c r="I72" s="357">
        <f>+((E72*E5)+(G72*G5))/I5</f>
        <v>0.24600000000000005</v>
      </c>
      <c r="J72" s="357">
        <f>+((F72*F5)+(H72*H5))/J5</f>
        <v>0.25805543473480708</v>
      </c>
      <c r="K72" s="243">
        <v>0.24600000000000005</v>
      </c>
      <c r="L72" s="243">
        <v>0.25700000000000001</v>
      </c>
      <c r="M72" s="358">
        <f>+((E72*E5)+(G72*G5)+(K72*K5))/M5</f>
        <v>0.24600000000000005</v>
      </c>
      <c r="N72" s="358">
        <f>+((F72*F5)+(H72*H5)+(L72*L5))/N5</f>
        <v>0.25770966588126748</v>
      </c>
      <c r="O72" s="243">
        <v>0.24599999999999997</v>
      </c>
      <c r="P72" s="243">
        <v>0.23100000000000001</v>
      </c>
      <c r="Q72" s="357">
        <f>+((M72*M5)+(O72*O5))/Q5</f>
        <v>0.24600000000000005</v>
      </c>
      <c r="R72" s="357">
        <f>+((N72*N5)+(P72*P5))/R5</f>
        <v>0.2501937800149811</v>
      </c>
      <c r="S72" s="243">
        <v>0.24599999999999997</v>
      </c>
      <c r="T72" s="243">
        <v>0.25700000000000001</v>
      </c>
      <c r="U72" s="357">
        <f>+((Q72*Q5)+(S72*S5))/U5</f>
        <v>0.24600000000000002</v>
      </c>
      <c r="V72" s="357">
        <f>+((R72*R5)+(T72*T5))/V5</f>
        <v>0.25152309625256103</v>
      </c>
      <c r="W72" s="243">
        <v>0.24600000000000002</v>
      </c>
      <c r="X72" s="243">
        <v>0.25940000000000002</v>
      </c>
      <c r="Y72" s="358">
        <f>+((O72*O5)+(S72*S5)+(W72*W5))/Y5</f>
        <v>0.24600000000000002</v>
      </c>
      <c r="Z72" s="358">
        <f>+((P72*P5)+(T72*T5)+(X72*X5))/Z5</f>
        <v>0.24823792844834899</v>
      </c>
      <c r="AA72" s="630">
        <f>+((M72*M5)+(Y72*Y5))/AA5</f>
        <v>0.24600000000000002</v>
      </c>
      <c r="AB72" s="630">
        <f>+((N72*N5)+(Z72*Z5))/AB5</f>
        <v>0.25281601580736246</v>
      </c>
      <c r="AC72" s="243">
        <v>0.246</v>
      </c>
      <c r="AD72" s="243">
        <v>0.28999999999999998</v>
      </c>
      <c r="AE72" s="357">
        <f>+((AA72*AA5)+(AC72*AC5))/AE5</f>
        <v>0.246</v>
      </c>
      <c r="AF72" s="357">
        <f>+((AB72*AB5)+(AD72*AD5))/AF5</f>
        <v>0.25648769596329563</v>
      </c>
      <c r="AG72" s="243">
        <v>0.24600000000000005</v>
      </c>
      <c r="AH72" s="243">
        <v>0.28499999999999998</v>
      </c>
      <c r="AI72" s="357">
        <f>+((AE72*AE5)+(AG72*AG5))/AI5</f>
        <v>0.24600000000000002</v>
      </c>
      <c r="AJ72" s="357">
        <f>+((AF72*AF5)+(AH72*AH5))/AJ5</f>
        <v>0.25989186511137752</v>
      </c>
      <c r="AK72" s="243">
        <v>0.24600000000000002</v>
      </c>
      <c r="AL72" s="243">
        <v>0.27339999999999998</v>
      </c>
      <c r="AM72" s="358">
        <f>+((AC72*AC5)+(AG72*AG5)+(AK72*AK5))/AM5</f>
        <v>0.24600000000000002</v>
      </c>
      <c r="AN72" s="358">
        <f>+((AD72*AD5)+(AH72*AH5)+(AL72*AL5))/AN5</f>
        <v>0.28156443884679988</v>
      </c>
      <c r="AO72" s="357">
        <f>+((AK72*AK5)+(AI72*AI5))/AO5</f>
        <v>0.246</v>
      </c>
      <c r="AP72" s="357">
        <f>+((AL72*AL5)+(AJ72*AJ5))/AP5</f>
        <v>0.26155161022609835</v>
      </c>
      <c r="AQ72" s="243">
        <v>0.24600000000000002</v>
      </c>
      <c r="AR72" s="243">
        <v>0.26600000000000001</v>
      </c>
      <c r="AS72" s="357">
        <f>+((AO72*AO5)+(AQ72*AQ5))/AS5</f>
        <v>0.24599999999999997</v>
      </c>
      <c r="AT72" s="357">
        <f>+((AP72*AP5)+(AR72*AR5))/AT5</f>
        <v>0.26205990763029857</v>
      </c>
      <c r="AU72" s="243">
        <v>0.24600000000000002</v>
      </c>
      <c r="AV72" s="243">
        <v>0.23799999999999999</v>
      </c>
      <c r="AW72" s="357">
        <f>+((AS72*AS5)+(AU72*AU5))/AW5</f>
        <v>0.246</v>
      </c>
      <c r="AX72" s="357">
        <f>+((AT72*AT5)+(AV72*AV5))/AX5</f>
        <v>0.25989944030114576</v>
      </c>
      <c r="AY72" s="243">
        <v>0.24600000000000002</v>
      </c>
      <c r="AZ72" s="7252">
        <v>0.23100000000000001</v>
      </c>
      <c r="BA72" s="358">
        <f>+((AQ72*AQ5)+(AU72*AU5)+(AY72*AY5))/BA5</f>
        <v>0.246</v>
      </c>
      <c r="BB72" s="358">
        <f>+((AR72*AR5)+(AV72*AV5)+(AZ72*AZ5))/BB5</f>
        <v>0.2454700343818888</v>
      </c>
      <c r="BC72" s="630">
        <f>+((AM72*AM5)+(BA72*BA5))/BC5</f>
        <v>0.246</v>
      </c>
      <c r="BD72" s="630">
        <f>+((AN72*AN5)+(BB72*BB5))/BD5</f>
        <v>0.26184510156305474</v>
      </c>
      <c r="BE72" s="357">
        <f>+((AW72*AW5)+(AY72*AY5))/BE5</f>
        <v>0.24599999999999997</v>
      </c>
      <c r="BF72" s="357">
        <f>+((AX72*AX5)+(AZ72*AZ5))/BF5</f>
        <v>0.25724346242836393</v>
      </c>
      <c r="BG72" s="4234"/>
      <c r="BH72" s="4234"/>
      <c r="BI72" s="25"/>
      <c r="BJ72" s="25"/>
      <c r="BK72" s="25"/>
      <c r="BL72" s="25"/>
      <c r="BM72" s="25"/>
      <c r="BN72" s="25"/>
    </row>
    <row r="73" spans="1:66" x14ac:dyDescent="0.25">
      <c r="B73" s="9" t="s">
        <v>305</v>
      </c>
      <c r="C73" s="727"/>
      <c r="D73" s="148" t="s">
        <v>213</v>
      </c>
      <c r="E73" s="1054">
        <f>+'POWER DISTRIBUTION'!I26</f>
        <v>5548500</v>
      </c>
      <c r="F73" s="1054">
        <f>+'POWER DISTRIBUTION'!J26</f>
        <v>5980485.0000000056</v>
      </c>
      <c r="G73" s="5606">
        <f>+'POWER DISTRIBUTION'!K26</f>
        <v>6479334.6687229276</v>
      </c>
      <c r="H73" s="5606">
        <f>+'POWER DISTRIBUTION'!L26</f>
        <v>6109584.9999999991</v>
      </c>
      <c r="I73" s="5663">
        <f>+E73+G73</f>
        <v>12027834.668722928</v>
      </c>
      <c r="J73" s="5663">
        <f>+F73+H73</f>
        <v>12090070.000000004</v>
      </c>
      <c r="K73" s="5717">
        <f>+'POWER DISTRIBUTION'!O26</f>
        <v>6233283.9851005385</v>
      </c>
      <c r="L73" s="5717">
        <f>+'POWER DISTRIBUTION'!P26</f>
        <v>6101723.3333333191</v>
      </c>
      <c r="M73" s="891">
        <f>+E73+G73+K73</f>
        <v>18261118.653823465</v>
      </c>
      <c r="N73" s="2211">
        <f>+F73+H73+L73</f>
        <v>18191793.333333321</v>
      </c>
      <c r="O73" s="5837">
        <f>+'POWER DISTRIBUTION'!S26</f>
        <v>6479334.6687229276</v>
      </c>
      <c r="P73" s="5837">
        <f>+'POWER DISTRIBUTION'!T26</f>
        <v>6624798.3333333451</v>
      </c>
      <c r="Q73" s="733">
        <f>+M73+O73</f>
        <v>24740453.322546393</v>
      </c>
      <c r="R73" s="733">
        <f>+N73+P73</f>
        <v>24816591.666666664</v>
      </c>
      <c r="S73" s="5934">
        <f>+'POWER DISTRIBUTION'!W26</f>
        <v>6479334.6687229276</v>
      </c>
      <c r="T73" s="5934">
        <f>+'POWER DISTRIBUTION'!X26</f>
        <v>6379560.0000000093</v>
      </c>
      <c r="U73" s="4351">
        <f>+Q73+S73</f>
        <v>31219787.99126932</v>
      </c>
      <c r="V73" s="4351">
        <f>+R73+T73</f>
        <v>31196151.666666672</v>
      </c>
      <c r="W73" s="6036">
        <f>+'POWER DISTRIBUTION'!AA26</f>
        <v>4068602.4906878364</v>
      </c>
      <c r="X73" s="6036">
        <f>+'POWER DISTRIBUTION'!AB26</f>
        <v>6181474.9999999786</v>
      </c>
      <c r="Y73" s="2211">
        <f>+O73+S73+W73</f>
        <v>17027271.828133691</v>
      </c>
      <c r="Z73" s="2211">
        <f>+P73+T73+X73</f>
        <v>19185833.333333332</v>
      </c>
      <c r="AA73" s="439">
        <f>+M73+Y73</f>
        <v>35288390.481957152</v>
      </c>
      <c r="AB73" s="428">
        <f>+N73+Z73</f>
        <v>37377626.666666657</v>
      </c>
      <c r="AC73" s="6163">
        <f>+'POWER DISTRIBUTION'!AG26</f>
        <v>6397317.7741821306</v>
      </c>
      <c r="AD73" s="6163">
        <f>+'POWER DISTRIBUTION'!AH26</f>
        <v>4587853.3333333451</v>
      </c>
      <c r="AE73" s="2236">
        <f>+AA73+AC73</f>
        <v>41685708.256139286</v>
      </c>
      <c r="AF73" s="2236">
        <f>+AB73+AD73</f>
        <v>41965480</v>
      </c>
      <c r="AG73" s="6328">
        <f>+'POWER DISTRIBUTION'!AK26</f>
        <v>6233283.9851005385</v>
      </c>
      <c r="AH73" s="6328">
        <f>+'POWER DISTRIBUTION'!AL26</f>
        <v>5907461.6666666539</v>
      </c>
      <c r="AI73" s="4635">
        <f>+AE73+AG73</f>
        <v>47918992.241239823</v>
      </c>
      <c r="AJ73" s="4635">
        <f>+AF73+AH73</f>
        <v>47872941.666666657</v>
      </c>
      <c r="AK73" s="6592">
        <f>+'POWER DISTRIBUTION'!AO26</f>
        <v>6479334.6687229276</v>
      </c>
      <c r="AL73" s="6592">
        <f>+'POWER DISTRIBUTION'!AP26</f>
        <v>6448303.3333333479</v>
      </c>
      <c r="AM73" s="2544">
        <f>+AC73+AG73+AK73</f>
        <v>19109936.428005598</v>
      </c>
      <c r="AN73" s="2544">
        <f>+AD73+AH73+AL73</f>
        <v>16943618.333333347</v>
      </c>
      <c r="AO73" s="2236">
        <f t="shared" ref="AO73:AP73" si="100">AI73+AK73</f>
        <v>54398326.909962751</v>
      </c>
      <c r="AP73" s="2236">
        <f t="shared" si="100"/>
        <v>54321245.000000007</v>
      </c>
      <c r="AQ73" s="6674">
        <f>+'POWER DISTRIBUTION'!AU26</f>
        <v>6479334.6687229276</v>
      </c>
      <c r="AR73" s="6674">
        <f>+'POWER DISTRIBUTION'!AV26</f>
        <v>6498523.3333333377</v>
      </c>
      <c r="AS73" s="2236">
        <f>+AO73+AQ73</f>
        <v>60877661.578685679</v>
      </c>
      <c r="AT73" s="2236">
        <f>+AP73+AR73</f>
        <v>60819768.333333343</v>
      </c>
      <c r="AU73" s="6841">
        <f>+'POWER DISTRIBUTION'!AY26</f>
        <v>5864207.9596669534</v>
      </c>
      <c r="AV73" s="6841">
        <f>+'POWER DISTRIBUTION'!AZ26</f>
        <v>5990404.9999999991</v>
      </c>
      <c r="AW73" s="5047">
        <f>+AS73+AU73</f>
        <v>66741869.538352631</v>
      </c>
      <c r="AX73" s="5047">
        <f>+AT73+AV73</f>
        <v>66810173.333333343</v>
      </c>
      <c r="AY73" s="6994">
        <f>+'POWER DISTRIBUTION'!BC26</f>
        <v>6561351.5632637246</v>
      </c>
      <c r="AZ73" s="141">
        <f>+'POWER DISTRIBUTION'!BD26</f>
        <v>6297818.3333333377</v>
      </c>
      <c r="BA73" s="2812">
        <f>+AQ73+AU73+AY73</f>
        <v>18904894.191653606</v>
      </c>
      <c r="BB73" s="2812">
        <f>+AR73+AV73+AZ73</f>
        <v>18786746.666666672</v>
      </c>
      <c r="BC73" s="2811">
        <f t="shared" ref="BC73" si="101">+AM73+BA73</f>
        <v>38014830.6196592</v>
      </c>
      <c r="BD73" s="428">
        <f t="shared" ref="BD73" si="102">+AN73+BB73</f>
        <v>35730365.000000015</v>
      </c>
      <c r="BE73" s="2236">
        <f>+AW73+AY73</f>
        <v>73303221.101616353</v>
      </c>
      <c r="BF73" s="2236">
        <f>+AX73+AZ73</f>
        <v>73107991.666666687</v>
      </c>
      <c r="BG73" s="4234"/>
      <c r="BH73" s="4234"/>
      <c r="BI73" s="25"/>
      <c r="BJ73" s="25"/>
      <c r="BK73" s="25"/>
      <c r="BL73" s="25"/>
      <c r="BM73" s="25"/>
      <c r="BN73" s="25"/>
    </row>
    <row r="74" spans="1:66" x14ac:dyDescent="0.25">
      <c r="B74" s="9" t="s">
        <v>306</v>
      </c>
      <c r="C74" s="727"/>
      <c r="D74" s="3180" t="s">
        <v>1958</v>
      </c>
      <c r="E74" s="180">
        <f>+E73/E56</f>
        <v>81</v>
      </c>
      <c r="F74" s="180">
        <f t="shared" ref="F74:BF74" si="103">+F73/F56</f>
        <v>80.101817494104026</v>
      </c>
      <c r="G74" s="180">
        <f t="shared" si="103"/>
        <v>82.016894540796557</v>
      </c>
      <c r="H74" s="180">
        <f t="shared" si="103"/>
        <v>80.20392609789198</v>
      </c>
      <c r="I74" s="245">
        <f t="shared" si="103"/>
        <v>81.544641821850362</v>
      </c>
      <c r="J74" s="245">
        <f t="shared" si="103"/>
        <v>80.153384447118</v>
      </c>
      <c r="K74" s="180">
        <f t="shared" ref="K74:L74" si="104">+K73/K56</f>
        <v>82.016894540796557</v>
      </c>
      <c r="L74" s="180">
        <f t="shared" si="104"/>
        <v>82.854300289484684</v>
      </c>
      <c r="M74" s="180">
        <f t="shared" si="103"/>
        <v>81.705228876167624</v>
      </c>
      <c r="N74" s="180">
        <f t="shared" si="103"/>
        <v>81.039457484442451</v>
      </c>
      <c r="O74" s="180">
        <f t="shared" si="103"/>
        <v>82.016894540796557</v>
      </c>
      <c r="P74" s="180">
        <f t="shared" si="103"/>
        <v>75.233504462116727</v>
      </c>
      <c r="Q74" s="245">
        <f t="shared" si="103"/>
        <v>81.786622553872377</v>
      </c>
      <c r="R74" s="245">
        <f t="shared" si="103"/>
        <v>79.403646205122371</v>
      </c>
      <c r="S74" s="180">
        <f t="shared" ref="S74:T74" si="105">+S73/S56</f>
        <v>82.016894540796557</v>
      </c>
      <c r="T74" s="98">
        <f t="shared" si="105"/>
        <v>84.103483686589115</v>
      </c>
      <c r="U74" s="245">
        <f t="shared" si="103"/>
        <v>81.834306661256406</v>
      </c>
      <c r="V74" s="245">
        <f t="shared" si="103"/>
        <v>80.321536047072811</v>
      </c>
      <c r="W74" s="180">
        <f t="shared" si="103"/>
        <v>85.654789277638656</v>
      </c>
      <c r="X74" s="98">
        <f t="shared" si="103"/>
        <v>80.995193400964439</v>
      </c>
      <c r="Y74" s="330">
        <f t="shared" si="103"/>
        <v>82.857770453205305</v>
      </c>
      <c r="Z74" s="330">
        <f t="shared" si="103"/>
        <v>79.864694783312842</v>
      </c>
      <c r="AA74" s="440">
        <f t="shared" si="103"/>
        <v>82.257320470762593</v>
      </c>
      <c r="AB74" s="448">
        <f t="shared" si="103"/>
        <v>80.432170397800689</v>
      </c>
      <c r="AC74" s="180">
        <f t="shared" ref="AC74:AD74" si="106">+AC73/AC56</f>
        <v>82.016894540796542</v>
      </c>
      <c r="AD74" s="98">
        <f t="shared" si="106"/>
        <v>90.04570305721289</v>
      </c>
      <c r="AE74" s="180">
        <f t="shared" si="103"/>
        <v>82.220331866152435</v>
      </c>
      <c r="AF74" s="180">
        <f t="shared" si="103"/>
        <v>81.382044262346838</v>
      </c>
      <c r="AG74" s="180">
        <f t="shared" si="103"/>
        <v>82.016894540796557</v>
      </c>
      <c r="AH74" s="98">
        <f t="shared" si="103"/>
        <v>84.730304761668194</v>
      </c>
      <c r="AI74" s="180">
        <f t="shared" si="103"/>
        <v>82.19381173454515</v>
      </c>
      <c r="AJ74" s="180">
        <f t="shared" si="103"/>
        <v>81.780832920283117</v>
      </c>
      <c r="AK74" s="180">
        <f t="shared" ref="AK74:AL74" si="107">+AK73/AK56</f>
        <v>82.016894540796557</v>
      </c>
      <c r="AL74" s="98">
        <f t="shared" si="107"/>
        <v>79.007092885062733</v>
      </c>
      <c r="AM74" s="180">
        <f t="shared" si="103"/>
        <v>82.016894540796557</v>
      </c>
      <c r="AN74" s="180">
        <f t="shared" si="103"/>
        <v>83.759959397123936</v>
      </c>
      <c r="AO74" s="180">
        <f t="shared" si="103"/>
        <v>82.172699259762467</v>
      </c>
      <c r="AP74" s="180">
        <f t="shared" si="103"/>
        <v>81.441425927523525</v>
      </c>
      <c r="AQ74" s="180">
        <f t="shared" si="103"/>
        <v>82.016894540796557</v>
      </c>
      <c r="AR74" s="98">
        <f t="shared" si="103"/>
        <v>75.736304735798882</v>
      </c>
      <c r="AS74" s="180">
        <f t="shared" si="103"/>
        <v>82.156088500250576</v>
      </c>
      <c r="AT74" s="180">
        <f t="shared" si="103"/>
        <v>80.791154757983549</v>
      </c>
      <c r="AU74" s="180">
        <f t="shared" ref="AU74:AV74" si="108">+AU73/AU56</f>
        <v>82.016894540796557</v>
      </c>
      <c r="AV74" s="98">
        <f t="shared" si="108"/>
        <v>80.887670689802192</v>
      </c>
      <c r="AW74" s="180">
        <f t="shared" si="103"/>
        <v>82.14383943181862</v>
      </c>
      <c r="AX74" s="180">
        <f t="shared" si="103"/>
        <v>80.799799271292301</v>
      </c>
      <c r="AY74" s="180">
        <f t="shared" si="103"/>
        <v>82.016894540796557</v>
      </c>
      <c r="AZ74" s="1211">
        <f t="shared" si="103"/>
        <v>77.559339080459822</v>
      </c>
      <c r="BA74" s="180">
        <f t="shared" si="103"/>
        <v>82.016894540796557</v>
      </c>
      <c r="BB74" s="180">
        <f t="shared" si="103"/>
        <v>77.932959024418409</v>
      </c>
      <c r="BC74" s="180">
        <f t="shared" si="103"/>
        <v>82.016894540796542</v>
      </c>
      <c r="BD74" s="180">
        <f t="shared" si="103"/>
        <v>80.591646714911704</v>
      </c>
      <c r="BE74" s="180">
        <f t="shared" si="103"/>
        <v>82.132460618057536</v>
      </c>
      <c r="BF74" s="180">
        <f t="shared" si="103"/>
        <v>80.510032974468288</v>
      </c>
      <c r="BG74" s="4234"/>
      <c r="BH74" s="4234"/>
      <c r="BI74" s="25"/>
      <c r="BJ74" s="25"/>
      <c r="BK74" s="25"/>
      <c r="BL74" s="25"/>
      <c r="BM74" s="25"/>
      <c r="BN74" s="25"/>
    </row>
    <row r="75" spans="1:66" ht="15" customHeight="1" x14ac:dyDescent="0.25">
      <c r="B75" s="9" t="s">
        <v>307</v>
      </c>
      <c r="C75" s="727"/>
      <c r="D75" s="148" t="s">
        <v>299</v>
      </c>
      <c r="E75" s="1056">
        <f>+EMD!D35/(EMD!D3*24)</f>
        <v>2.3930268862041135</v>
      </c>
      <c r="F75" s="1258">
        <f>+EMD!E35/(EMD!E3*24)</f>
        <v>2.3556388888888886</v>
      </c>
      <c r="G75" s="1056">
        <f>+EMD!F35/(EMD!F3*24)</f>
        <v>2.9281689541658613</v>
      </c>
      <c r="H75" s="1258">
        <f>+EMD!G35/(EMD!G3*24)</f>
        <v>2.0312948524864605</v>
      </c>
      <c r="I75" s="351">
        <f t="shared" ref="I75:J78" si="109">+((E75*E$2)+(G75*G$2))/I$2</f>
        <v>2.6649843305781165</v>
      </c>
      <c r="J75" s="351">
        <f t="shared" si="109"/>
        <v>2.1908083130122447</v>
      </c>
      <c r="K75" s="1056">
        <f>+EMD!J35/(EMD!J3*24)</f>
        <v>2.938102243489551</v>
      </c>
      <c r="L75" s="1258">
        <f>+EMD!K35/(EMD!K3*24)</f>
        <v>1.900419937576324</v>
      </c>
      <c r="M75" s="353">
        <f t="shared" ref="M75:N78" si="110">+((E75*E$2)+(G75*G$2)+(K75*K$2))/M$2</f>
        <v>2.7550232029665014</v>
      </c>
      <c r="N75" s="353">
        <f t="shared" si="110"/>
        <v>2.0950758815498536</v>
      </c>
      <c r="O75" s="1056">
        <f>+EMD!N35/(EMD!N3*24)</f>
        <v>2.930417395269731</v>
      </c>
      <c r="P75" s="1258">
        <f>+EMD!O35/(EMD!O3*24)</f>
        <v>1.7820872997481387</v>
      </c>
      <c r="Q75" s="351">
        <f t="shared" ref="Q75:R78" si="111">+((M75*M$2)+(O75*O$2))/Q$2</f>
        <v>2.7995905796992893</v>
      </c>
      <c r="R75" s="351">
        <f t="shared" si="111"/>
        <v>2.0155459960100734</v>
      </c>
      <c r="S75" s="1056">
        <f>+EMD!R35/(EMD!R3*24)</f>
        <v>2.930417395269731</v>
      </c>
      <c r="T75" s="1258">
        <f>+EMD!S35/(EMD!S3*24)</f>
        <v>2.0287058667729823</v>
      </c>
      <c r="U75" s="2045">
        <f t="shared" ref="U75:V78" si="112">+((Q75*Q$2)+(S75*S$2))/U$2</f>
        <v>2.8260979737037575</v>
      </c>
      <c r="V75" s="2045">
        <f t="shared" si="112"/>
        <v>2.0182123750535386</v>
      </c>
      <c r="W75" s="1056">
        <f>+EMD!V35/(EMD!V3*24)</f>
        <v>2.3487837211019547</v>
      </c>
      <c r="X75" s="1258">
        <f>+EMD!W35/(EMD!W3*24)</f>
        <v>1.6394861111111112</v>
      </c>
      <c r="Y75" s="353">
        <f t="shared" ref="Y75:Z78" si="113">+((O75*O$2)+(S75*S$2)+(W75*W$2))/Y$2</f>
        <v>2.740754240649804</v>
      </c>
      <c r="Z75" s="353">
        <f t="shared" si="113"/>
        <v>1.8186866466900879</v>
      </c>
      <c r="AA75" s="467">
        <f t="shared" ref="AA75:AB78" si="114">+((M75*M$2)+(Y75*Y$2))/AA$2</f>
        <v>2.7478497355723146</v>
      </c>
      <c r="AB75" s="467">
        <f t="shared" si="114"/>
        <v>1.9561261022760916</v>
      </c>
      <c r="AC75" s="1056">
        <f>+EMD!AB35/(EMD!AB3*24)</f>
        <v>2.8773525279899888</v>
      </c>
      <c r="AD75" s="1258">
        <f>+EMD!AC35/(EMD!AC3*24)</f>
        <v>1.1190860215053764</v>
      </c>
      <c r="AE75" s="2045">
        <f t="shared" ref="AE75:AF78" si="115">+((AA75*AA$2)+(AC75*AC$2))/AE$2</f>
        <v>2.7666094858758097</v>
      </c>
      <c r="AF75" s="2045">
        <f t="shared" si="115"/>
        <v>1.8348726326317355</v>
      </c>
      <c r="AG75" s="1056">
        <f>+EMD!AF35/(EMD!AF3*24)</f>
        <v>2.8692178121623453</v>
      </c>
      <c r="AH75" s="1258">
        <f>+EMD!AG35/(EMD!AG3*24)</f>
        <v>1.6074444444444442</v>
      </c>
      <c r="AI75" s="2045">
        <f t="shared" ref="AI75:AJ78" si="116">+((AE75*AE$2)+(AG75*AG$2))/AI$2</f>
        <v>2.7792252636979247</v>
      </c>
      <c r="AJ75" s="2045">
        <f t="shared" si="116"/>
        <v>1.8069101504775602</v>
      </c>
      <c r="AK75" s="1056">
        <f>+EMD!AJ35/(EMD!AJ3*24)</f>
        <v>2.8860947205812617</v>
      </c>
      <c r="AL75" s="1258">
        <f>+EMD!AK35/(EMD!AK3*24)</f>
        <v>1.4066867709679864</v>
      </c>
      <c r="AM75" s="2097">
        <f t="shared" ref="AM75:AN78" si="117">+((AC75*AC$2)+(AG75*AG$2)+(AK75*AK$2))/AM$2</f>
        <v>2.8776456420715122</v>
      </c>
      <c r="AN75" s="2097">
        <f t="shared" si="117"/>
        <v>1.3752422815218213</v>
      </c>
      <c r="AO75" s="2045">
        <f t="shared" ref="AO75:AP78" si="118">+((AK75*AK$2)+(AI75*AI$2))/AO$2</f>
        <v>2.7912723661102281</v>
      </c>
      <c r="AP75" s="2045">
        <f t="shared" si="118"/>
        <v>1.7617940604237539</v>
      </c>
      <c r="AQ75" s="1056">
        <f>+EMD!AP35/(EMD!AP3*24)</f>
        <v>2.8797129026138291</v>
      </c>
      <c r="AR75" s="1258">
        <f>+EMD!AQ35/(EMD!AQ3*24)</f>
        <v>1.176491935483871</v>
      </c>
      <c r="AS75" s="2045">
        <f t="shared" ref="AS75:AT78" si="119">+((AO75*AO$2)+(AQ75*AQ$2))/AS$2</f>
        <v>2.8002320283050373</v>
      </c>
      <c r="AT75" s="2045">
        <f t="shared" si="119"/>
        <v>1.7024987471128508</v>
      </c>
      <c r="AU75" s="1056">
        <f>+EMD!AT35/(EMD!AT3*24)</f>
        <v>2.8253254386833797</v>
      </c>
      <c r="AV75" s="1258">
        <f>+EMD!AU35/(EMD!AU3*24)</f>
        <v>1.4981547619047619</v>
      </c>
      <c r="AW75" s="2045">
        <f t="shared" ref="AW75:AW78" si="120">+((AS75*AS$2)+(AU75*AU$2))/AW$2</f>
        <v>2.8023356674984314</v>
      </c>
      <c r="AX75" s="2045">
        <f t="shared" ref="AX75:AX78" si="121">+((AT75*AT$2)+(AV75*AV$2))/AX$2</f>
        <v>1.6853681136223524</v>
      </c>
      <c r="AY75" s="1056">
        <f>+EMD!AX35/(EMD!AX3*24)</f>
        <v>2.9030648144444897</v>
      </c>
      <c r="AZ75" s="7253">
        <f>+EMD!AY35/(EMD!AY3*24)</f>
        <v>1.9706048387096775</v>
      </c>
      <c r="BA75" s="2097">
        <f>+((AQ75*AQ$2)+(AU75*AU$2)+(AY75*AY$2))/BA$2</f>
        <v>2.8708357945771392</v>
      </c>
      <c r="BB75" s="2097">
        <f t="shared" ref="BB75:BB78" si="122">+((AR75*AR$2)+(AV75*AV$2)+(AZ75*AZ$2))/BB$2</f>
        <v>1.5500925925925926</v>
      </c>
      <c r="BC75" s="2096">
        <f t="shared" ref="BC75:BD78" si="123">+((AM75*AM$2)+(BA75*BA$2))/BC$2</f>
        <v>2.8742781350688005</v>
      </c>
      <c r="BD75" s="2096">
        <f t="shared" si="123"/>
        <v>1.4617067210623125</v>
      </c>
      <c r="BE75" s="2045">
        <f t="shared" ref="BE75:BE78" si="124">+((AW75*AW$2)+(AY75*AY$2))/BE$2</f>
        <v>2.8108907457322059</v>
      </c>
      <c r="BF75" s="2045">
        <f t="shared" ref="BF75:BF78" si="125">+((AX75*AX$2)+(AZ75*AZ$2))/BF$2</f>
        <v>1.7095936984927829</v>
      </c>
      <c r="BG75" s="4234"/>
      <c r="BH75" s="4234"/>
      <c r="BI75" s="25"/>
      <c r="BJ75" s="25"/>
      <c r="BK75" s="25"/>
      <c r="BL75" s="25"/>
      <c r="BM75" s="25"/>
      <c r="BN75" s="25"/>
    </row>
    <row r="76" spans="1:66" x14ac:dyDescent="0.25">
      <c r="B76" s="9" t="s">
        <v>308</v>
      </c>
      <c r="C76" s="727"/>
      <c r="D76" s="148" t="s">
        <v>299</v>
      </c>
      <c r="E76" s="1056">
        <f>+EMD!D65/(EMD!D3*24)</f>
        <v>5.6081422200569113</v>
      </c>
      <c r="F76" s="1258">
        <f>+EMD!E65/(EMD!E3*24)</f>
        <v>3.6990277777777782</v>
      </c>
      <c r="G76" s="1056">
        <f>+EMD!F65/(EMD!F3*24)</f>
        <v>5.3404562095916654</v>
      </c>
      <c r="H76" s="1258">
        <f>+EMD!G65/(EMD!G3*24)</f>
        <v>3.8820114523643721</v>
      </c>
      <c r="I76" s="2045">
        <f t="shared" si="109"/>
        <v>5.472105067197524</v>
      </c>
      <c r="J76" s="2045">
        <f t="shared" si="109"/>
        <v>3.7920194812562111</v>
      </c>
      <c r="K76" s="1056">
        <f>+EMD!J65/(EMD!J3*24)</f>
        <v>5.2871972480334684</v>
      </c>
      <c r="L76" s="1258">
        <f>+EMD!K65/(EMD!K3*24)</f>
        <v>3.7998522613771097</v>
      </c>
      <c r="M76" s="353">
        <f t="shared" si="110"/>
        <v>5.4111464454950884</v>
      </c>
      <c r="N76" s="353">
        <f t="shared" si="110"/>
        <v>3.7946017164609027</v>
      </c>
      <c r="O76" s="1056">
        <f>+EMD!N65/(EMD!N3*24)</f>
        <v>5.3386634372285346</v>
      </c>
      <c r="P76" s="1258">
        <f>+EMD!O65/(EMD!O3*24)</f>
        <v>4.3762835552303434</v>
      </c>
      <c r="Q76" s="351">
        <f t="shared" si="111"/>
        <v>5.3927286319191614</v>
      </c>
      <c r="R76" s="351">
        <f t="shared" si="111"/>
        <v>3.9424061181154326</v>
      </c>
      <c r="S76" s="1056">
        <f>+EMD!R65/(EMD!R3*24)</f>
        <v>5.3386634372285346</v>
      </c>
      <c r="T76" s="1258">
        <f>+EMD!S65/(EMD!S3*24)</f>
        <v>3.8371216163423538</v>
      </c>
      <c r="U76" s="2045">
        <f t="shared" si="112"/>
        <v>5.3817742460668123</v>
      </c>
      <c r="V76" s="2045">
        <f t="shared" si="112"/>
        <v>3.9210739641614101</v>
      </c>
      <c r="W76" s="1056">
        <f>+EMD!V65/(EMD!V3*24)</f>
        <v>3.523347867373225</v>
      </c>
      <c r="X76" s="1258">
        <f>+EMD!W65/(EMD!W3*24)</f>
        <v>3.8756666666666666</v>
      </c>
      <c r="Y76" s="353">
        <f t="shared" si="113"/>
        <v>4.7467127079278901</v>
      </c>
      <c r="Z76" s="353">
        <f t="shared" si="113"/>
        <v>4.031364786073409</v>
      </c>
      <c r="AA76" s="467">
        <f t="shared" si="114"/>
        <v>5.0771141839858958</v>
      </c>
      <c r="AB76" s="467">
        <f t="shared" si="114"/>
        <v>3.9136301448999773</v>
      </c>
      <c r="AC76" s="1056">
        <f>+EMD!AB65/(EMD!AB3*24)</f>
        <v>5.2838197195673668</v>
      </c>
      <c r="AD76" s="1258">
        <f>+EMD!AC65/(EMD!AC3*24)</f>
        <v>3.1366666666666663</v>
      </c>
      <c r="AE76" s="2045">
        <f t="shared" si="115"/>
        <v>5.1070575092336785</v>
      </c>
      <c r="AF76" s="2045">
        <f t="shared" si="115"/>
        <v>3.8010793606699185</v>
      </c>
      <c r="AG76" s="1056">
        <f>+EMD!AF65/(EMD!AF3*24)</f>
        <v>6.1086145139970123</v>
      </c>
      <c r="AH76" s="1258">
        <f>+EMD!AG65/(EMD!AG3*24)</f>
        <v>2.5615555555555556</v>
      </c>
      <c r="AI76" s="2045">
        <f t="shared" si="116"/>
        <v>5.2301997639176943</v>
      </c>
      <c r="AJ76" s="2045">
        <f t="shared" si="116"/>
        <v>3.6486788928279887</v>
      </c>
      <c r="AK76" s="1056">
        <f>+EMD!AJ65/(EMD!AJ3*24)</f>
        <v>6.1450051852178138</v>
      </c>
      <c r="AL76" s="1258">
        <f>+EMD!AK65/(EMD!AK3*24)</f>
        <v>2.973973241480067</v>
      </c>
      <c r="AM76" s="2097">
        <f t="shared" si="117"/>
        <v>5.8429566029157716</v>
      </c>
      <c r="AN76" s="2097">
        <f t="shared" si="117"/>
        <v>2.8943098241219065</v>
      </c>
      <c r="AO76" s="2045">
        <f t="shared" si="118"/>
        <v>5.3333232841369806</v>
      </c>
      <c r="AP76" s="2045">
        <f t="shared" si="118"/>
        <v>3.5726211648578592</v>
      </c>
      <c r="AQ76" s="1056">
        <f>+EMD!AP65/(EMD!AP3*24)</f>
        <v>6.1483888035924004</v>
      </c>
      <c r="AR76" s="1258">
        <f>+EMD!AQ65/(EMD!AQ3*24)</f>
        <v>3.9895295698924733</v>
      </c>
      <c r="AS76" s="2045">
        <f t="shared" si="119"/>
        <v>5.4158952812059935</v>
      </c>
      <c r="AT76" s="2045">
        <f t="shared" si="119"/>
        <v>3.6148569836685551</v>
      </c>
      <c r="AU76" s="1056">
        <f>+EMD!AT65/(EMD!AT3*24)</f>
        <v>6.1928389643764445</v>
      </c>
      <c r="AV76" s="1258">
        <f>+EMD!AU65/(EMD!AU3*24)</f>
        <v>3.2294494047619047</v>
      </c>
      <c r="AW76" s="2045">
        <f t="shared" si="120"/>
        <v>5.4810282845855527</v>
      </c>
      <c r="AX76" s="2045">
        <f t="shared" si="121"/>
        <v>3.5825473662751834</v>
      </c>
      <c r="AY76" s="1056">
        <f>+EMD!AX65/(EMD!AX3*24)</f>
        <v>5.4576272148850853</v>
      </c>
      <c r="AZ76" s="7253">
        <f>+EMD!AY65/(EMD!AY3*24)</f>
        <v>3.069045698924731</v>
      </c>
      <c r="BA76" s="2097">
        <f>+((AQ76*AQ$2)+(AU76*AU$2)+(AY76*AY$2))/BA$2</f>
        <v>5.9242887508371398</v>
      </c>
      <c r="BB76" s="2097">
        <f t="shared" si="122"/>
        <v>3.4360046296296298</v>
      </c>
      <c r="BC76" s="2096">
        <f t="shared" si="123"/>
        <v>5.8831757969428207</v>
      </c>
      <c r="BD76" s="2096">
        <f t="shared" si="123"/>
        <v>3.1621808817905612</v>
      </c>
      <c r="BE76" s="2045">
        <f t="shared" si="124"/>
        <v>5.4790407964740062</v>
      </c>
      <c r="BF76" s="2045">
        <f t="shared" si="125"/>
        <v>3.5389348958974738</v>
      </c>
      <c r="BG76" s="4234"/>
      <c r="BH76" s="4234"/>
      <c r="BI76" s="25"/>
      <c r="BJ76" s="25"/>
      <c r="BK76" s="25"/>
      <c r="BL76" s="25"/>
      <c r="BM76" s="25"/>
      <c r="BN76" s="25"/>
    </row>
    <row r="77" spans="1:66" s="4487" customFormat="1" x14ac:dyDescent="0.25">
      <c r="B77" s="9" t="s">
        <v>1849</v>
      </c>
      <c r="C77" s="727"/>
      <c r="D77" s="5000" t="s">
        <v>299</v>
      </c>
      <c r="E77" s="1056">
        <f>+EMD!D87/(EMD!D3*24)</f>
        <v>0</v>
      </c>
      <c r="F77" s="1258">
        <f>+EMD!E87/(EMD!E3*24)</f>
        <v>3.3845833333333335</v>
      </c>
      <c r="G77" s="1056">
        <f>+EMD!F87/(EMD!F3*24)</f>
        <v>0.90561926417500849</v>
      </c>
      <c r="H77" s="1258">
        <f>+EMD!G87/(EMD!G3*24)</f>
        <v>3.8243487432435179</v>
      </c>
      <c r="I77" s="2045">
        <f t="shared" ref="I77" si="126">+((E77*E$2)+(G77*G$2))/I$2</f>
        <v>0.46023274081025023</v>
      </c>
      <c r="J77" s="2045">
        <f t="shared" ref="J77" si="127">+((F77*F$2)+(H77*H$2))/J$2</f>
        <v>3.6080706727958867</v>
      </c>
      <c r="K77" s="1056">
        <f>+EMD!J87/(EMD!J3*24)</f>
        <v>0.90869141551223265</v>
      </c>
      <c r="L77" s="1258">
        <f>+EMD!K87/(EMD!K3*24)</f>
        <v>3.4352418209536273</v>
      </c>
      <c r="M77" s="2097">
        <f t="shared" ref="M77" si="128">+((E77*E$2)+(G77*G$2)+(K77*K$2))/M$2</f>
        <v>0.60807625994277192</v>
      </c>
      <c r="N77" s="2097">
        <f t="shared" ref="N77" si="129">+((F77*F$2)+(H77*H$2)+(L77*L$2))/N$2</f>
        <v>3.5510941282325041</v>
      </c>
      <c r="O77" s="1056">
        <f>+EMD!N87/(EMD!N3*24)</f>
        <v>0.90631465833084468</v>
      </c>
      <c r="P77" s="1258">
        <f>+EMD!O87/(EMD!O3*24)</f>
        <v>3.3405924576568791</v>
      </c>
      <c r="Q77" s="2045">
        <f t="shared" ref="Q77" si="130">+((M77*M$2)+(O77*O$2))/Q$2</f>
        <v>0.68385814805777401</v>
      </c>
      <c r="R77" s="2045">
        <f t="shared" ref="R77" si="131">+((N77*N$2)+(P77*P$2))/R$2</f>
        <v>3.4976059988239436</v>
      </c>
      <c r="S77" s="1056">
        <f>+EMD!R87/(EMD!R3*24)</f>
        <v>0.90631465833084468</v>
      </c>
      <c r="T77" s="1258">
        <f>+EMD!S87/(EMD!S3*24)</f>
        <v>3.2347257116139616</v>
      </c>
      <c r="U77" s="2045">
        <f t="shared" ref="U77" si="132">+((Q77*Q$2)+(S77*S$2))/U$2</f>
        <v>0.72893103576016094</v>
      </c>
      <c r="V77" s="2045">
        <f t="shared" ref="V77" si="133">+((R77*R$2)+(T77*T$2))/V$2</f>
        <v>3.4443426726572155</v>
      </c>
      <c r="W77" s="1056">
        <f>+EMD!V87/(EMD!V3*24)</f>
        <v>0</v>
      </c>
      <c r="X77" s="1258">
        <f>+EMD!W87/(EMD!W3*24)</f>
        <v>4.1248611111111115</v>
      </c>
      <c r="Y77" s="2097">
        <f t="shared" ref="Y77" si="134">+((O77*O$2)+(S77*S$2)+(W77*W$2))/Y$2</f>
        <v>0.6107772697446997</v>
      </c>
      <c r="Z77" s="2097">
        <f t="shared" ref="Z77" si="135">+((P77*P$2)+(T77*T$2)+(X77*X$2))/Z$2</f>
        <v>3.5606597454427109</v>
      </c>
      <c r="AA77" s="2096">
        <f t="shared" ref="AA77" si="136">+((M77*M$2)+(Y77*Y$2))/AA$2</f>
        <v>0.60943414465193779</v>
      </c>
      <c r="AB77" s="2096">
        <f t="shared" ref="AB77" si="137">+((N77*N$2)+(Z77*Z$2))/AB$2</f>
        <v>3.5559030724037561</v>
      </c>
      <c r="AC77" s="1056">
        <f>+EMD!AB87/(EMD!AB3*24)</f>
        <v>0.88990284370824413</v>
      </c>
      <c r="AD77" s="1258">
        <f>+EMD!AC87/(EMD!AC3*24)</f>
        <v>2.6266129032258063</v>
      </c>
      <c r="AE77" s="2045">
        <f t="shared" ref="AE77" si="138">+((AA77*AA$2)+(AC77*AC$2))/AE$2</f>
        <v>0.6500627879731784</v>
      </c>
      <c r="AF77" s="2045">
        <f t="shared" ref="AF77" si="139">+((AB77*AB$2)+(AD77*AD$2))/AF$2</f>
        <v>3.4212862721957351</v>
      </c>
      <c r="AG77" s="1056">
        <f>+EMD!AF87/(EMD!AF3*24)</f>
        <v>0</v>
      </c>
      <c r="AH77" s="1258">
        <f>+EMD!AG87/(EMD!AG3*24)</f>
        <v>5.1883333333333335</v>
      </c>
      <c r="AI77" s="2045">
        <f t="shared" ref="AI77" si="140">+((AE77*AE$2)+(AG77*AG$2))/AI$2</f>
        <v>0.57013703535352533</v>
      </c>
      <c r="AJ77" s="2045">
        <f t="shared" ref="AJ77" si="141">+((AF77*AF$2)+(AH77*AH$2))/AJ$2</f>
        <v>3.6385461567618331</v>
      </c>
      <c r="AK77" s="1056">
        <f>+EMD!AJ87/(EMD!AJ3*24)</f>
        <v>0</v>
      </c>
      <c r="AL77" s="1258">
        <f>+EMD!AK87/(EMD!AK3*24)</f>
        <v>5.3995968286699441</v>
      </c>
      <c r="AM77" s="2097">
        <f t="shared" ref="AM77" si="142">+((AC77*AC$2)+(AG77*AG$2)+(AK77*AK$2))/AM$2</f>
        <v>0.29985856690169094</v>
      </c>
      <c r="AN77" s="2097">
        <f t="shared" ref="AN77" si="143">+((AD77*AD$2)+(AH77*AH$2)+(AL77*AL$2))/AN$2</f>
        <v>4.3963315400953071</v>
      </c>
      <c r="AO77" s="2045">
        <f t="shared" ref="AO77" si="144">+((AK77*AK$2)+(AI77*AI$2))/AO$2</f>
        <v>0.50586704227730972</v>
      </c>
      <c r="AP77" s="2045">
        <f t="shared" ref="AP77" si="145">+((AL77*AL$2)+(AJ77*AJ$2))/AP$2</f>
        <v>3.8370645961405661</v>
      </c>
      <c r="AQ77" s="1056">
        <f>+EMD!AP87/(EMD!AP3*24)</f>
        <v>0</v>
      </c>
      <c r="AR77" s="1258">
        <f>+EMD!AQ87/(EMD!AQ3*24)</f>
        <v>5.3150537634408606</v>
      </c>
      <c r="AS77" s="2045">
        <f t="shared" ref="AS77" si="146">+((AO77*AO$2)+(AQ77*AQ$2))/AS$2</f>
        <v>0.45461907394202672</v>
      </c>
      <c r="AT77" s="2045">
        <f t="shared" ref="AT77" si="147">+((AP77*AP$2)+(AR77*AR$2))/AT$2</f>
        <v>3.9867955248539944</v>
      </c>
      <c r="AU77" s="1056">
        <f>+EMD!AT87/(EMD!AT3*24)</f>
        <v>0</v>
      </c>
      <c r="AV77" s="1258">
        <f>+EMD!AU87/(EMD!AU3*24)</f>
        <v>4.5860119047619055</v>
      </c>
      <c r="AW77" s="2045">
        <f t="shared" si="120"/>
        <v>0.41650729528820413</v>
      </c>
      <c r="AX77" s="2045">
        <f t="shared" si="121"/>
        <v>4.0370292333492683</v>
      </c>
      <c r="AY77" s="1056">
        <f>+EMD!AX87/(EMD!AX3*24)</f>
        <v>0.89785509725087309</v>
      </c>
      <c r="AZ77" s="7253">
        <f>+EMD!AY87/(EMD!AY3*24)</f>
        <v>4.3385752688172046</v>
      </c>
      <c r="BA77" s="2097">
        <f>+EMD!AZ87/(EMD!AZ3*24)</f>
        <v>0.30926120016418962</v>
      </c>
      <c r="BB77" s="2097">
        <f>+EMD!BA87/(EMD!BA3*24)</f>
        <v>4.7518981481481486</v>
      </c>
      <c r="BC77" s="2096">
        <f>+EMD!BB87/(EMD!BB3*24)</f>
        <v>0.30450822071281669</v>
      </c>
      <c r="BD77" s="2096">
        <f>+EMD!BC87/(EMD!BC3*24)</f>
        <v>4.5721611814401184</v>
      </c>
      <c r="BE77" s="2045">
        <f>+EMD!BD87/(EMD!BD3*24)</f>
        <v>0.45738888942749933</v>
      </c>
      <c r="BF77" s="2045">
        <f>+EMD!BE87/(EMD!BE3*24)</f>
        <v>4.0626399925259964</v>
      </c>
      <c r="BG77" s="4234"/>
      <c r="BH77" s="4234"/>
      <c r="BI77" s="25"/>
      <c r="BJ77" s="25"/>
      <c r="BK77" s="25"/>
      <c r="BL77" s="25"/>
      <c r="BM77" s="25"/>
      <c r="BN77" s="25"/>
    </row>
    <row r="78" spans="1:66" x14ac:dyDescent="0.25">
      <c r="B78" s="9" t="s">
        <v>309</v>
      </c>
      <c r="C78" s="727"/>
      <c r="D78" s="148" t="s">
        <v>299</v>
      </c>
      <c r="E78" s="1056">
        <f>+EMD!D104/(EMD!D3*24)</f>
        <v>1.1509148380802339</v>
      </c>
      <c r="F78" s="1258">
        <f>+EMD!E104/(EMD!E3*24)</f>
        <v>0.9605611111111112</v>
      </c>
      <c r="G78" s="1056">
        <f>+EMD!F104/(EMD!F3*24)</f>
        <v>1.0402311774777622</v>
      </c>
      <c r="H78" s="1258">
        <f>+EMD!G104/(EMD!G3*24)</f>
        <v>1.1569572507081309</v>
      </c>
      <c r="I78" s="2045">
        <f t="shared" si="109"/>
        <v>1.0946657646593057</v>
      </c>
      <c r="J78" s="2045">
        <f t="shared" si="109"/>
        <v>1.0603689853325475</v>
      </c>
      <c r="K78" s="1056">
        <f>+EMD!J104/(EMD!J3*24)</f>
        <v>1.0201460239127076</v>
      </c>
      <c r="L78" s="1258">
        <f>+EMD!K104/(EMD!K3*24)</f>
        <v>1.2030890547647561</v>
      </c>
      <c r="M78" s="353">
        <f t="shared" si="110"/>
        <v>1.0700988171604271</v>
      </c>
      <c r="N78" s="353">
        <f t="shared" si="110"/>
        <v>1.1074195576728361</v>
      </c>
      <c r="O78" s="1056">
        <f>+EMD!N104/(EMD!N3*24)</f>
        <v>1.0390801145811881</v>
      </c>
      <c r="P78" s="1258">
        <f>+EMD!O104/(EMD!O3*24)</f>
        <v>1.353272680953324</v>
      </c>
      <c r="Q78" s="351">
        <f t="shared" si="111"/>
        <v>1.0622170156853747</v>
      </c>
      <c r="R78" s="351">
        <f t="shared" si="111"/>
        <v>1.1698904332605009</v>
      </c>
      <c r="S78" s="1056">
        <f>+EMD!R104/(EMD!R3*24)</f>
        <v>1.0390801145811881</v>
      </c>
      <c r="T78" s="1258">
        <f>+EMD!S104/(EMD!S3*24)</f>
        <v>1.1708114928373015</v>
      </c>
      <c r="U78" s="2045">
        <f t="shared" si="112"/>
        <v>1.0575291468341996</v>
      </c>
      <c r="V78" s="2045">
        <f t="shared" si="112"/>
        <v>1.1700770531747546</v>
      </c>
      <c r="W78" s="1056">
        <f>+EMD!V104/(EMD!V3*24)</f>
        <v>0.47420399336729552</v>
      </c>
      <c r="X78" s="1258">
        <f>+EMD!W104/(EMD!W3*24)</f>
        <v>1.3226972222222222</v>
      </c>
      <c r="Y78" s="353">
        <f t="shared" si="113"/>
        <v>0.85488137940274489</v>
      </c>
      <c r="Z78" s="353">
        <f t="shared" si="113"/>
        <v>1.2818209353714787</v>
      </c>
      <c r="AA78" s="467">
        <f t="shared" si="114"/>
        <v>0.96190207249536275</v>
      </c>
      <c r="AB78" s="467">
        <f t="shared" si="114"/>
        <v>1.1950967530186019</v>
      </c>
      <c r="AC78" s="1056">
        <f>+EMD!AB104/(EMD!AB3*24)</f>
        <v>1.0341033545825422</v>
      </c>
      <c r="AD78" s="1258">
        <f>+EMD!AC104/(EMD!AC3*24)</f>
        <v>1.0375685483870969</v>
      </c>
      <c r="AE78" s="2045">
        <f t="shared" si="115"/>
        <v>0.97236113672294489</v>
      </c>
      <c r="AF78" s="2045">
        <f t="shared" si="115"/>
        <v>1.1722772467402063</v>
      </c>
      <c r="AG78" s="1056">
        <f>+EMD!AF104/(EMD!AF3*24)</f>
        <v>1.1763046047886021</v>
      </c>
      <c r="AH78" s="1258">
        <f>+EMD!AG104/(EMD!AG3*24)</f>
        <v>1.2722597222222223</v>
      </c>
      <c r="AI78" s="2045">
        <f t="shared" si="116"/>
        <v>0.99743615328839463</v>
      </c>
      <c r="AJ78" s="2045">
        <f t="shared" si="116"/>
        <v>1.184570174053569</v>
      </c>
      <c r="AK78" s="1056">
        <f>+EMD!AJ104/(EMD!AJ3*24)</f>
        <v>1.1833756996112235</v>
      </c>
      <c r="AL78" s="1258">
        <f>+EMD!AK104/(EMD!AK3*24)</f>
        <v>1.5853452459054242</v>
      </c>
      <c r="AM78" s="2097">
        <f t="shared" si="117"/>
        <v>1.1307716176485303</v>
      </c>
      <c r="AN78" s="2097">
        <f t="shared" si="117"/>
        <v>1.2986752096710306</v>
      </c>
      <c r="AO78" s="2045">
        <f t="shared" si="118"/>
        <v>1.0183966112375136</v>
      </c>
      <c r="AP78" s="2045">
        <f t="shared" si="118"/>
        <v>1.2297484548805053</v>
      </c>
      <c r="AQ78" s="1056">
        <f>+EMD!AP104/(EMD!AP3*24)</f>
        <v>1.1833756996112235</v>
      </c>
      <c r="AR78" s="1258">
        <f>+EMD!AQ104/(EMD!AQ3*24)</f>
        <v>1.7018884408602148</v>
      </c>
      <c r="AS78" s="2045">
        <f t="shared" si="119"/>
        <v>1.0351101790139352</v>
      </c>
      <c r="AT78" s="2045">
        <f t="shared" si="119"/>
        <v>1.2775796299307371</v>
      </c>
      <c r="AU78" s="1056">
        <f>+EMD!AT104/(EMD!AT3*24)</f>
        <v>1.2170911029943905</v>
      </c>
      <c r="AV78" s="1258">
        <f>+EMD!AU104/(EMD!AU3*24)</f>
        <v>1.2154702380952382</v>
      </c>
      <c r="AW78" s="2045">
        <f t="shared" si="120"/>
        <v>1.050366064856608</v>
      </c>
      <c r="AX78" s="2045">
        <f t="shared" si="121"/>
        <v>1.2723728545672821</v>
      </c>
      <c r="AY78" s="1056">
        <f>+EMD!AX104/(EMD!AX3*24)</f>
        <v>1.0852256383920056</v>
      </c>
      <c r="AZ78" s="7253">
        <f>+EMD!AY104/(EMD!AY3*24)</f>
        <v>1.0052688172043009</v>
      </c>
      <c r="BA78" s="2097">
        <f>+((AQ78*AQ$2)+(AU78*AU$2)+(AY78*AY$2))/BA$2</f>
        <v>1.1600576929104784</v>
      </c>
      <c r="BB78" s="2097">
        <f t="shared" si="122"/>
        <v>1.310611574074074</v>
      </c>
      <c r="BC78" s="2096">
        <f t="shared" si="123"/>
        <v>1.1452537427780651</v>
      </c>
      <c r="BD78" s="2096">
        <f t="shared" si="123"/>
        <v>1.3045778074527554</v>
      </c>
      <c r="BE78" s="2045">
        <f t="shared" si="124"/>
        <v>1.0533267409650937</v>
      </c>
      <c r="BF78" s="2045">
        <f t="shared" si="125"/>
        <v>1.2496873061885085</v>
      </c>
      <c r="BG78" s="4234"/>
      <c r="BH78" s="4234"/>
      <c r="BI78" s="25"/>
      <c r="BJ78" s="25"/>
      <c r="BK78" s="25"/>
      <c r="BL78" s="25"/>
      <c r="BM78" s="25"/>
      <c r="BN78" s="25"/>
    </row>
    <row r="79" spans="1:66" ht="15.75" thickBot="1" x14ac:dyDescent="0.3">
      <c r="B79" s="11" t="s">
        <v>310</v>
      </c>
      <c r="C79" s="838"/>
      <c r="D79" s="839" t="s">
        <v>526</v>
      </c>
      <c r="E79" s="180">
        <f>+E56/E70</f>
        <v>137.88244766505636</v>
      </c>
      <c r="F79" s="98">
        <f t="shared" ref="F79:AB79" si="148">+F56/F70</f>
        <v>131.30293988334273</v>
      </c>
      <c r="G79" s="180">
        <f>+G56/G70</f>
        <v>137.63066202090593</v>
      </c>
      <c r="H79" s="98">
        <f t="shared" ref="H79" si="149">+H56/H70</f>
        <v>128.64970585751695</v>
      </c>
      <c r="I79" s="245">
        <f t="shared" si="148"/>
        <v>137.74747852073216</v>
      </c>
      <c r="J79" s="245">
        <f t="shared" si="148"/>
        <v>129.94946441904557</v>
      </c>
      <c r="K79" s="180">
        <f>+K56/K70</f>
        <v>137.30803974706413</v>
      </c>
      <c r="L79" s="98">
        <f t="shared" ref="L79" si="150">+L56/L70</f>
        <v>129.52573430263243</v>
      </c>
      <c r="M79" s="330">
        <f t="shared" ref="M79:N79" si="151">+M56/M70</f>
        <v>137.59773440866834</v>
      </c>
      <c r="N79" s="330">
        <f t="shared" si="151"/>
        <v>129.81014861504667</v>
      </c>
      <c r="O79" s="180">
        <f>+O56/O70</f>
        <v>137.63066202090593</v>
      </c>
      <c r="P79" s="98">
        <f t="shared" ref="P79" si="152">+P56/P70</f>
        <v>140.27690632965184</v>
      </c>
      <c r="Q79" s="245">
        <f t="shared" si="148"/>
        <v>137.60633216576446</v>
      </c>
      <c r="R79" s="245">
        <f t="shared" si="148"/>
        <v>132.59769201397248</v>
      </c>
      <c r="S79" s="180">
        <f>+S56/S70</f>
        <v>137.63066202090593</v>
      </c>
      <c r="T79" s="98">
        <f t="shared" ref="T79" si="153">+T56/T70</f>
        <v>132.17232096184014</v>
      </c>
      <c r="U79" s="245">
        <f t="shared" ref="U79:V79" si="154">+U56/U70</f>
        <v>137.61136962089239</v>
      </c>
      <c r="V79" s="245">
        <f t="shared" si="154"/>
        <v>132.51440098717146</v>
      </c>
      <c r="W79" s="180">
        <f>+W56/W70</f>
        <v>128.72628726287263</v>
      </c>
      <c r="X79" s="98">
        <f t="shared" ref="X79" si="155">+X56/X70</f>
        <v>132.73645138861181</v>
      </c>
      <c r="Y79" s="353">
        <f t="shared" si="148"/>
        <v>135.46473302570863</v>
      </c>
      <c r="Z79" s="353">
        <f t="shared" si="148"/>
        <v>135.21851851856002</v>
      </c>
      <c r="AA79" s="467">
        <f t="shared" si="148"/>
        <v>136.56766306942984</v>
      </c>
      <c r="AB79" s="440">
        <f t="shared" si="148"/>
        <v>132.55081719389386</v>
      </c>
      <c r="AC79" s="180">
        <f>+AC56/AC70</f>
        <v>135.88850174216029</v>
      </c>
      <c r="AD79" s="98">
        <f t="shared" ref="AD79" si="156">+AD56/AD70</f>
        <v>128.85754931714737</v>
      </c>
      <c r="AE79" s="245">
        <f t="shared" ref="AE79:AF79" si="157">+AE56/AE70</f>
        <v>136.46273517616342</v>
      </c>
      <c r="AF79" s="245">
        <f t="shared" si="157"/>
        <v>132.17650142262127</v>
      </c>
      <c r="AG79" s="180">
        <f>+AG56/AG70</f>
        <v>137.30803974706413</v>
      </c>
      <c r="AH79" s="98">
        <f t="shared" ref="AH79" si="158">+AH56/AH70</f>
        <v>128.11234207016528</v>
      </c>
      <c r="AI79" s="245">
        <f t="shared" ref="AI79:AJ79" si="159">+AI56/AI70</f>
        <v>136.5723388305847</v>
      </c>
      <c r="AJ79" s="245">
        <f t="shared" si="159"/>
        <v>131.67897088809653</v>
      </c>
      <c r="AK79" s="180">
        <f>+AK56/AK70</f>
        <v>137.63066202090593</v>
      </c>
      <c r="AL79" s="98">
        <f t="shared" ref="AL79" si="160">+AL56/AL70</f>
        <v>135.25398828923409</v>
      </c>
      <c r="AM79" s="2097">
        <f t="shared" ref="AM79:AP79" si="161">+AM56/AM70</f>
        <v>136.93799588598296</v>
      </c>
      <c r="AN79" s="2097">
        <f t="shared" si="161"/>
        <v>131.09614999306046</v>
      </c>
      <c r="AO79" s="245">
        <f t="shared" si="161"/>
        <v>136.69777814487486</v>
      </c>
      <c r="AP79" s="245">
        <f t="shared" si="161"/>
        <v>132.10624488034344</v>
      </c>
      <c r="AQ79" s="180">
        <f>+AQ56/AQ70</f>
        <v>137.63066202090593</v>
      </c>
      <c r="AR79" s="98">
        <f t="shared" ref="AR79" si="162">+AR56/AR70</f>
        <v>139.70140019537632</v>
      </c>
      <c r="AS79" s="245">
        <f t="shared" ref="AS79:AT79" si="163">+AS56/AS70</f>
        <v>136.79663269827205</v>
      </c>
      <c r="AT79" s="245">
        <f t="shared" si="163"/>
        <v>132.92998168423188</v>
      </c>
      <c r="AU79" s="180">
        <f>+AU56/AU70</f>
        <v>138.4049554781262</v>
      </c>
      <c r="AV79" s="98">
        <f t="shared" ref="AV79" si="164">+AV56/AV70</f>
        <v>136.38732965009225</v>
      </c>
      <c r="AW79" s="245">
        <f t="shared" ref="AW79:AX79" si="165">+AW56/AW70</f>
        <v>136.93666363299286</v>
      </c>
      <c r="AX79" s="245">
        <f t="shared" si="165"/>
        <v>133.23247843302829</v>
      </c>
      <c r="AY79" s="180">
        <f>+AY56/AY70</f>
        <v>139.37282229965157</v>
      </c>
      <c r="AZ79" s="1211">
        <f t="shared" ref="AZ79" si="166">+AZ56/AZ70</f>
        <v>135.77081707724892</v>
      </c>
      <c r="BA79" s="2097">
        <f t="shared" ref="BA79:BF79" si="167">+BA56/BA70</f>
        <v>138.47170491409349</v>
      </c>
      <c r="BB79" s="2097">
        <f t="shared" si="167"/>
        <v>137.33692126552486</v>
      </c>
      <c r="BC79" s="2096">
        <f t="shared" si="167"/>
        <v>137.69644395591337</v>
      </c>
      <c r="BD79" s="2096">
        <f t="shared" si="167"/>
        <v>134.41730489221916</v>
      </c>
      <c r="BE79" s="245">
        <f t="shared" si="167"/>
        <v>137.15155054245935</v>
      </c>
      <c r="BF79" s="245">
        <f t="shared" si="167"/>
        <v>133.45558948197291</v>
      </c>
      <c r="BG79" s="4234"/>
      <c r="BH79" s="4234"/>
      <c r="BI79" s="25"/>
      <c r="BJ79" s="25"/>
      <c r="BK79" s="25"/>
      <c r="BL79" s="25"/>
      <c r="BM79" s="25"/>
      <c r="BN79" s="25"/>
    </row>
    <row r="80" spans="1:66" x14ac:dyDescent="0.25">
      <c r="B80" s="144"/>
      <c r="C80" s="144"/>
      <c r="D80" s="144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  <c r="AA80" s="547"/>
      <c r="AB80" s="547"/>
      <c r="AC80" s="547"/>
      <c r="AD80" s="547"/>
      <c r="AE80" s="547"/>
      <c r="AF80" s="547"/>
      <c r="AG80" s="547"/>
      <c r="AH80" s="547"/>
      <c r="AI80" s="547"/>
      <c r="AJ80" s="547"/>
      <c r="AK80" s="547"/>
      <c r="AL80" s="547"/>
      <c r="AM80" s="547"/>
      <c r="AN80" s="547"/>
      <c r="AO80" s="547"/>
      <c r="AP80" s="547"/>
      <c r="AQ80" s="547"/>
      <c r="AR80" s="547"/>
      <c r="AS80" s="547"/>
      <c r="AT80" s="547"/>
      <c r="AU80" s="547"/>
      <c r="AV80" s="547"/>
      <c r="AW80" s="547"/>
      <c r="AX80" s="547"/>
      <c r="AY80" s="547"/>
      <c r="AZ80" s="7254"/>
      <c r="BA80" s="547"/>
      <c r="BB80" s="547"/>
      <c r="BC80" s="547"/>
      <c r="BD80" s="547"/>
      <c r="BE80" s="547"/>
      <c r="BF80" s="547"/>
      <c r="BG80" s="4234"/>
      <c r="BH80" s="4234"/>
      <c r="BI80" s="25"/>
      <c r="BJ80" s="25"/>
      <c r="BK80" s="25"/>
      <c r="BL80" s="25"/>
      <c r="BM80" s="25"/>
      <c r="BN80" s="25"/>
    </row>
    <row r="81" spans="2:66" x14ac:dyDescent="0.25">
      <c r="B81" s="250" t="s">
        <v>769</v>
      </c>
      <c r="C81" s="840"/>
      <c r="D81" s="12" t="s">
        <v>50</v>
      </c>
      <c r="E81" s="845"/>
      <c r="F81" s="343">
        <v>173.87999999999991</v>
      </c>
      <c r="G81" s="845"/>
      <c r="H81" s="343">
        <v>140.41500000000002</v>
      </c>
      <c r="I81" s="614"/>
      <c r="J81" s="37">
        <f>+F81+H81</f>
        <v>314.29499999999996</v>
      </c>
      <c r="K81" s="845"/>
      <c r="L81" s="343">
        <v>205.53499999999997</v>
      </c>
      <c r="M81" s="613"/>
      <c r="N81" s="732">
        <f>+F81+H81+L81</f>
        <v>519.82999999999993</v>
      </c>
      <c r="O81" s="845"/>
      <c r="P81" s="343">
        <v>211.64</v>
      </c>
      <c r="Q81" s="614"/>
      <c r="R81" s="733">
        <f>+N81+P81</f>
        <v>731.46999999999991</v>
      </c>
      <c r="S81" s="845"/>
      <c r="T81" s="343">
        <v>268.61999999999995</v>
      </c>
      <c r="U81" s="614"/>
      <c r="V81" s="4351">
        <f>+R81+T81</f>
        <v>1000.0899999999999</v>
      </c>
      <c r="W81" s="845"/>
      <c r="X81" s="343">
        <v>170.94</v>
      </c>
      <c r="Y81" s="732"/>
      <c r="Z81" s="732">
        <f>+P81+T81+X81</f>
        <v>651.19999999999993</v>
      </c>
      <c r="AA81" s="439"/>
      <c r="AB81" s="428">
        <f>+N81+Z81</f>
        <v>1171.0299999999997</v>
      </c>
      <c r="AC81" s="845"/>
      <c r="AD81" s="343">
        <v>128.20499999999998</v>
      </c>
      <c r="AE81" s="614"/>
      <c r="AF81" s="2236">
        <f>+AB81+AD81</f>
        <v>1299.2349999999997</v>
      </c>
      <c r="AG81" s="845"/>
      <c r="AH81" s="343">
        <v>209.60499999999999</v>
      </c>
      <c r="AI81" s="614"/>
      <c r="AJ81" s="4635">
        <f>+AF81+AH81</f>
        <v>1508.8399999999997</v>
      </c>
      <c r="AK81" s="845"/>
      <c r="AL81" s="343">
        <v>203.49999999999989</v>
      </c>
      <c r="AM81" s="2544"/>
      <c r="AN81" s="2544">
        <f>+AD81+AH81+AL81</f>
        <v>541.30999999999983</v>
      </c>
      <c r="AO81" s="614"/>
      <c r="AP81" s="2236">
        <f t="shared" ref="AP81:AP82" si="168">AJ81+AL81</f>
        <v>1712.3399999999997</v>
      </c>
      <c r="AQ81" s="845"/>
      <c r="AR81" s="343">
        <v>155.24999999999997</v>
      </c>
      <c r="AS81" s="614"/>
      <c r="AT81" s="2236">
        <f>+AP81+AR81</f>
        <v>1867.5899999999997</v>
      </c>
      <c r="AU81" s="845"/>
      <c r="AV81" s="343">
        <v>167.67</v>
      </c>
      <c r="AW81" s="614"/>
      <c r="AX81" s="5047">
        <f>+AT81+AV81</f>
        <v>2035.2599999999998</v>
      </c>
      <c r="AY81" s="845"/>
      <c r="AZ81" s="7255">
        <v>169.73999999999998</v>
      </c>
      <c r="BA81" s="2812"/>
      <c r="BB81" s="2812">
        <f>+AR81+AV81+AZ81</f>
        <v>492.65999999999997</v>
      </c>
      <c r="BC81" s="2811"/>
      <c r="BD81" s="428">
        <f t="shared" ref="BD81:BD82" si="169">+AN81+BB81</f>
        <v>1033.9699999999998</v>
      </c>
      <c r="BE81" s="614"/>
      <c r="BF81" s="2236">
        <f>+AX81+AZ81</f>
        <v>2204.9999999999995</v>
      </c>
      <c r="BG81" s="4234"/>
      <c r="BH81" s="4234"/>
      <c r="BI81" s="25"/>
      <c r="BJ81" s="25"/>
      <c r="BK81" s="25"/>
      <c r="BL81" s="25"/>
      <c r="BM81" s="25"/>
      <c r="BN81" s="25"/>
    </row>
    <row r="82" spans="2:66" x14ac:dyDescent="0.25">
      <c r="B82" s="250" t="s">
        <v>767</v>
      </c>
      <c r="C82" s="840"/>
      <c r="D82" s="12" t="s">
        <v>50</v>
      </c>
      <c r="E82" s="845"/>
      <c r="F82" s="343">
        <v>1642.6100000000029</v>
      </c>
      <c r="G82" s="845"/>
      <c r="H82" s="343">
        <v>1231.5809999999985</v>
      </c>
      <c r="I82" s="614"/>
      <c r="J82" s="37">
        <f>+F82+H82</f>
        <v>2874.1910000000016</v>
      </c>
      <c r="K82" s="845"/>
      <c r="L82" s="343">
        <v>1191.5699999999988</v>
      </c>
      <c r="M82" s="613"/>
      <c r="N82" s="732">
        <f>+F82+H82+L82</f>
        <v>4065.7610000000004</v>
      </c>
      <c r="O82" s="845"/>
      <c r="P82" s="343">
        <v>1424.8509999999985</v>
      </c>
      <c r="Q82" s="614"/>
      <c r="R82" s="733">
        <f>+N82+P82</f>
        <v>5490.6119999999992</v>
      </c>
      <c r="S82" s="845"/>
      <c r="T82" s="343">
        <v>1228.706999999999</v>
      </c>
      <c r="U82" s="614"/>
      <c r="V82" s="4351">
        <f>+R82+T82</f>
        <v>6719.3189999999977</v>
      </c>
      <c r="W82" s="845"/>
      <c r="X82" s="343">
        <v>1236.1709999999982</v>
      </c>
      <c r="Y82" s="613"/>
      <c r="Z82" s="732">
        <f>+P82+T82+X82</f>
        <v>3889.7289999999957</v>
      </c>
      <c r="AA82" s="439"/>
      <c r="AB82" s="428">
        <f>+N82+Z82</f>
        <v>7955.4899999999961</v>
      </c>
      <c r="AC82" s="845"/>
      <c r="AD82" s="343">
        <v>819.2999999999995</v>
      </c>
      <c r="AE82" s="614"/>
      <c r="AF82" s="2236">
        <f>+AB82+AD82</f>
        <v>8774.7899999999954</v>
      </c>
      <c r="AG82" s="845"/>
      <c r="AH82" s="343">
        <v>1329.670000000001</v>
      </c>
      <c r="AI82" s="614"/>
      <c r="AJ82" s="4635">
        <f>+AF82+AH82</f>
        <v>10104.459999999995</v>
      </c>
      <c r="AK82" s="845"/>
      <c r="AL82" s="343">
        <v>1781.9890000000025</v>
      </c>
      <c r="AM82" s="613"/>
      <c r="AN82" s="2544">
        <f>+AD82+AH82+AL82</f>
        <v>3930.9590000000026</v>
      </c>
      <c r="AO82" s="614"/>
      <c r="AP82" s="2236">
        <f t="shared" si="168"/>
        <v>11886.448999999999</v>
      </c>
      <c r="AQ82" s="845"/>
      <c r="AR82" s="343">
        <v>1880.4570000000028</v>
      </c>
      <c r="AS82" s="614"/>
      <c r="AT82" s="2236">
        <f>+AP82+AR82</f>
        <v>13766.906000000001</v>
      </c>
      <c r="AU82" s="845"/>
      <c r="AV82" s="343">
        <v>1625.222000000002</v>
      </c>
      <c r="AW82" s="614"/>
      <c r="AX82" s="6877">
        <f t="shared" ref="AX82:AX83" si="170">+AT82+AV82</f>
        <v>15392.128000000002</v>
      </c>
      <c r="AY82" s="845"/>
      <c r="AZ82" s="7255">
        <v>1835.6710000000032</v>
      </c>
      <c r="BA82" s="613"/>
      <c r="BB82" s="2812">
        <f>+AR82+AV82+AZ82</f>
        <v>5341.3500000000076</v>
      </c>
      <c r="BC82" s="2811"/>
      <c r="BD82" s="428">
        <f t="shared" si="169"/>
        <v>9272.3090000000102</v>
      </c>
      <c r="BE82" s="614"/>
      <c r="BF82" s="2236">
        <f>+AX82+AZ82</f>
        <v>17227.799000000006</v>
      </c>
      <c r="BG82" s="4234"/>
      <c r="BH82" s="4234"/>
      <c r="BI82" s="25"/>
      <c r="BJ82" s="25"/>
      <c r="BK82" s="25"/>
      <c r="BL82" s="25"/>
      <c r="BM82" s="25"/>
      <c r="BN82" s="25"/>
    </row>
    <row r="83" spans="2:66" x14ac:dyDescent="0.25">
      <c r="B83" s="610" t="s">
        <v>789</v>
      </c>
      <c r="C83" s="610"/>
      <c r="D83" s="194" t="s">
        <v>50</v>
      </c>
      <c r="E83" s="845"/>
      <c r="F83" s="343">
        <f>SUM(F81:F82)</f>
        <v>1816.4900000000027</v>
      </c>
      <c r="G83" s="845"/>
      <c r="H83" s="343">
        <f>SUM(H81:H82)</f>
        <v>1371.9959999999985</v>
      </c>
      <c r="I83" s="614"/>
      <c r="J83" s="344">
        <f>SUM(J81:J82)</f>
        <v>3188.4860000000017</v>
      </c>
      <c r="K83" s="845"/>
      <c r="L83" s="343">
        <f>SUM(L81:L82)</f>
        <v>1397.1049999999987</v>
      </c>
      <c r="M83" s="613"/>
      <c r="N83" s="420">
        <f>SUM(N81:N82)</f>
        <v>4585.5910000000003</v>
      </c>
      <c r="O83" s="845"/>
      <c r="P83" s="343">
        <f>SUM(P81:P82)</f>
        <v>1636.4909999999986</v>
      </c>
      <c r="Q83" s="614"/>
      <c r="R83" s="344">
        <f>SUM(R81:R82)</f>
        <v>6222.0819999999994</v>
      </c>
      <c r="S83" s="845"/>
      <c r="T83" s="343">
        <f>SUM(T81:T82)</f>
        <v>1497.3269999999989</v>
      </c>
      <c r="U83" s="614"/>
      <c r="V83" s="344">
        <f>SUM(V81:V82)</f>
        <v>7719.4089999999978</v>
      </c>
      <c r="W83" s="845"/>
      <c r="X83" s="343">
        <f>SUM(X81:X82)</f>
        <v>1407.1109999999983</v>
      </c>
      <c r="Y83" s="613"/>
      <c r="Z83" s="420">
        <f>SUM(Z81:Z82)</f>
        <v>4540.9289999999955</v>
      </c>
      <c r="AA83" s="788"/>
      <c r="AB83" s="444">
        <f>SUM(AB81:AB82)</f>
        <v>9126.5199999999968</v>
      </c>
      <c r="AC83" s="845"/>
      <c r="AD83" s="343">
        <f>SUM(AD81:AD82)</f>
        <v>947.50499999999943</v>
      </c>
      <c r="AE83" s="614"/>
      <c r="AF83" s="344">
        <f>SUM(AF81:AF82)</f>
        <v>10074.024999999994</v>
      </c>
      <c r="AG83" s="845"/>
      <c r="AH83" s="343">
        <f>SUM(AH81:AH82)</f>
        <v>1539.275000000001</v>
      </c>
      <c r="AI83" s="614"/>
      <c r="AJ83" s="344">
        <f>SUM(AJ81:AJ82)</f>
        <v>11613.299999999996</v>
      </c>
      <c r="AK83" s="845"/>
      <c r="AL83" s="343">
        <f>SUM(AL81:AL82)</f>
        <v>1985.4890000000023</v>
      </c>
      <c r="AM83" s="613"/>
      <c r="AN83" s="420">
        <f>SUM(AN81:AN82)</f>
        <v>4472.2690000000021</v>
      </c>
      <c r="AO83" s="614"/>
      <c r="AP83" s="344">
        <f>SUM(AP81:AP82)</f>
        <v>13598.788999999999</v>
      </c>
      <c r="AQ83" s="845"/>
      <c r="AR83" s="343">
        <f>SUM(AR81:AR82)</f>
        <v>2035.7070000000028</v>
      </c>
      <c r="AS83" s="614"/>
      <c r="AT83" s="344">
        <f>SUM(AT81:AT82)</f>
        <v>15634.496000000001</v>
      </c>
      <c r="AU83" s="845"/>
      <c r="AV83" s="343">
        <f>SUM(AV81:AV82)</f>
        <v>1792.8920000000021</v>
      </c>
      <c r="AW83" s="614"/>
      <c r="AX83" s="6877">
        <f t="shared" si="170"/>
        <v>17427.388000000003</v>
      </c>
      <c r="AY83" s="845"/>
      <c r="AZ83" s="343">
        <f>SUM(AZ81:AZ82)</f>
        <v>2005.4110000000032</v>
      </c>
      <c r="BA83" s="613"/>
      <c r="BB83" s="420">
        <f>SUM(BB81:BB82)</f>
        <v>5834.0100000000075</v>
      </c>
      <c r="BC83" s="788"/>
      <c r="BD83" s="444">
        <f>SUM(BD81:BD82)</f>
        <v>10306.27900000001</v>
      </c>
      <c r="BE83" s="614"/>
      <c r="BF83" s="344">
        <f>SUM(BF81:BF82)</f>
        <v>19432.799000000006</v>
      </c>
      <c r="BG83" s="4234"/>
      <c r="BH83" s="4234"/>
      <c r="BI83" s="25"/>
      <c r="BJ83" s="25"/>
      <c r="BK83" s="25"/>
      <c r="BL83" s="25"/>
      <c r="BM83" s="25"/>
      <c r="BN83" s="25"/>
    </row>
    <row r="84" spans="2:66" x14ac:dyDescent="0.25">
      <c r="B84" s="610" t="s">
        <v>785</v>
      </c>
      <c r="C84" s="610"/>
      <c r="D84" s="194" t="s">
        <v>49</v>
      </c>
      <c r="E84" s="845"/>
      <c r="F84" s="412">
        <f>+F83/F5</f>
        <v>2.3336829658885519E-2</v>
      </c>
      <c r="G84" s="845"/>
      <c r="H84" s="412">
        <f>+H83/H5</f>
        <v>1.7383725030429835E-2</v>
      </c>
      <c r="I84" s="614"/>
      <c r="J84" s="413">
        <f>+J83/J5</f>
        <v>2.0339651796135349E-2</v>
      </c>
      <c r="K84" s="845"/>
      <c r="L84" s="412">
        <f>+L83/L5</f>
        <v>1.829178560234368E-2</v>
      </c>
      <c r="M84" s="613"/>
      <c r="N84" s="419">
        <f>+N83/N5</f>
        <v>1.9668754465700908E-2</v>
      </c>
      <c r="O84" s="845"/>
      <c r="P84" s="412">
        <f>+P83/P5</f>
        <v>1.7925674257982263E-2</v>
      </c>
      <c r="Q84" s="614"/>
      <c r="R84" s="418">
        <f>+R83/R5</f>
        <v>1.9178265668303253E-2</v>
      </c>
      <c r="S84" s="845"/>
      <c r="T84" s="412">
        <f>+T83/T5</f>
        <v>1.9015031750961892E-2</v>
      </c>
      <c r="U84" s="614"/>
      <c r="V84" s="418">
        <f>+V83/V5</f>
        <v>1.914638460990031E-2</v>
      </c>
      <c r="W84" s="845"/>
      <c r="X84" s="412">
        <f>+X83/X5</f>
        <v>1.7772493351565673E-2</v>
      </c>
      <c r="Y84" s="613"/>
      <c r="Z84" s="414">
        <f>+Z83/Z5</f>
        <v>1.8221218594525464E-2</v>
      </c>
      <c r="AA84" s="788"/>
      <c r="AB84" s="631">
        <f>+AB83/AB5</f>
        <v>1.8920873301012078E-2</v>
      </c>
      <c r="AC84" s="845"/>
      <c r="AD84" s="412">
        <f>+AD83/AD5</f>
        <v>1.7929035341433346E-2</v>
      </c>
      <c r="AE84" s="614"/>
      <c r="AF84" s="1511">
        <f>+AF83/AF5</f>
        <v>1.8822935658417885E-2</v>
      </c>
      <c r="AG84" s="845"/>
      <c r="AH84" s="412">
        <f>+AH83/AH5</f>
        <v>2.1213086899768287E-2</v>
      </c>
      <c r="AI84" s="614"/>
      <c r="AJ84" s="1511">
        <f>+AJ83/AJ5</f>
        <v>1.9108302954746532E-2</v>
      </c>
      <c r="AK84" s="845"/>
      <c r="AL84" s="412">
        <f>+AL83/AL5</f>
        <v>2.3321253628336765E-2</v>
      </c>
      <c r="AM84" s="613"/>
      <c r="AN84" s="414">
        <f>+AN83/AN5</f>
        <v>2.1241241649540447E-2</v>
      </c>
      <c r="AO84" s="614"/>
      <c r="AP84" s="1511">
        <f>+AP83/AP5</f>
        <v>1.9625948385200504E-2</v>
      </c>
      <c r="AQ84" s="845"/>
      <c r="AR84" s="412">
        <f>+AR83/AR5</f>
        <v>2.2773731632973665E-2</v>
      </c>
      <c r="AS84" s="614"/>
      <c r="AT84" s="6893">
        <f>+AT83/AT5</f>
        <v>1.9985631357051371E-2</v>
      </c>
      <c r="AU84" s="845"/>
      <c r="AV84" s="412">
        <f>+AV83/AV5</f>
        <v>2.323129545843447E-2</v>
      </c>
      <c r="AW84" s="614"/>
      <c r="AX84" s="6893">
        <f>+AX83/AX5</f>
        <v>2.0277076833908142E-2</v>
      </c>
      <c r="AY84" s="845"/>
      <c r="AZ84" s="412">
        <f>+AZ83/AZ5</f>
        <v>2.3055424331354706E-2</v>
      </c>
      <c r="BA84" s="613"/>
      <c r="BB84" s="414">
        <f>+BB83/BB5</f>
        <v>2.300964541858001E-2</v>
      </c>
      <c r="BC84" s="788"/>
      <c r="BD84" s="631">
        <f>+BD83/BD5</f>
        <v>2.2207367864739196E-2</v>
      </c>
      <c r="BE84" s="614"/>
      <c r="BF84" s="1511">
        <f>+BF83/BF5</f>
        <v>2.0532418439116469E-2</v>
      </c>
      <c r="BG84" s="4234"/>
      <c r="BH84" s="4234"/>
      <c r="BI84" s="25"/>
      <c r="BJ84" s="25"/>
      <c r="BK84" s="25"/>
      <c r="BL84" s="25"/>
      <c r="BM84" s="25"/>
      <c r="BN84" s="25"/>
    </row>
    <row r="85" spans="2:66" x14ac:dyDescent="0.25">
      <c r="B85" s="610" t="s">
        <v>788</v>
      </c>
      <c r="C85" s="610"/>
      <c r="D85" s="194" t="s">
        <v>50</v>
      </c>
      <c r="E85" s="845"/>
      <c r="F85" s="343">
        <f>+F57</f>
        <v>40.79</v>
      </c>
      <c r="G85" s="845"/>
      <c r="H85" s="343">
        <f>+H57</f>
        <v>31.29</v>
      </c>
      <c r="I85" s="614"/>
      <c r="J85" s="344">
        <f>+J57</f>
        <v>72.08</v>
      </c>
      <c r="K85" s="845"/>
      <c r="L85" s="343">
        <f>+L57</f>
        <v>35.289999999999992</v>
      </c>
      <c r="M85" s="613"/>
      <c r="N85" s="420">
        <f>+N57</f>
        <v>107.37</v>
      </c>
      <c r="O85" s="845"/>
      <c r="P85" s="343">
        <f>+P57</f>
        <v>44.150000000000006</v>
      </c>
      <c r="Q85" s="614"/>
      <c r="R85" s="344">
        <f>+R57</f>
        <v>151.52000000000001</v>
      </c>
      <c r="S85" s="845"/>
      <c r="T85" s="343">
        <f>+T57</f>
        <v>50.57</v>
      </c>
      <c r="U85" s="614"/>
      <c r="V85" s="344">
        <f>+V57</f>
        <v>202.08999999999997</v>
      </c>
      <c r="W85" s="845"/>
      <c r="X85" s="343">
        <f>+X57</f>
        <v>98.55</v>
      </c>
      <c r="Y85" s="613"/>
      <c r="Z85" s="420">
        <f>+Z57</f>
        <v>193.26999999999998</v>
      </c>
      <c r="AA85" s="788"/>
      <c r="AB85" s="444">
        <f>+AB57</f>
        <v>300.64</v>
      </c>
      <c r="AC85" s="845"/>
      <c r="AD85" s="343">
        <f>+AD57</f>
        <v>50</v>
      </c>
      <c r="AE85" s="614"/>
      <c r="AF85" s="344">
        <f>+AF57</f>
        <v>350.64</v>
      </c>
      <c r="AG85" s="845"/>
      <c r="AH85" s="343">
        <f>+AH57</f>
        <v>68.95</v>
      </c>
      <c r="AI85" s="614"/>
      <c r="AJ85" s="344">
        <f>+AJ57</f>
        <v>419.59</v>
      </c>
      <c r="AK85" s="845"/>
      <c r="AL85" s="343">
        <f>+AL57</f>
        <v>89.25</v>
      </c>
      <c r="AM85" s="613"/>
      <c r="AN85" s="420">
        <f>+AN57</f>
        <v>208.2</v>
      </c>
      <c r="AO85" s="614"/>
      <c r="AP85" s="344">
        <f>+AP57</f>
        <v>508.84000000000003</v>
      </c>
      <c r="AQ85" s="845"/>
      <c r="AR85" s="343">
        <f>+AR57</f>
        <v>32.229999999999997</v>
      </c>
      <c r="AS85" s="614"/>
      <c r="AT85" s="344">
        <f>+AT57</f>
        <v>541.07000000000005</v>
      </c>
      <c r="AU85" s="845"/>
      <c r="AV85" s="343">
        <f>+AV57</f>
        <v>15.78</v>
      </c>
      <c r="AW85" s="614"/>
      <c r="AX85" s="344">
        <f>+AX57</f>
        <v>556.85000000000014</v>
      </c>
      <c r="AY85" s="845"/>
      <c r="AZ85" s="343">
        <f>+AZ57</f>
        <v>108.43</v>
      </c>
      <c r="BA85" s="613"/>
      <c r="BB85" s="420">
        <f>+BB57</f>
        <v>156.44</v>
      </c>
      <c r="BC85" s="788"/>
      <c r="BD85" s="444">
        <f>+BD57</f>
        <v>364.63999999999993</v>
      </c>
      <c r="BE85" s="614"/>
      <c r="BF85" s="344">
        <f>+BF57</f>
        <v>665.28</v>
      </c>
      <c r="BG85" s="4234"/>
      <c r="BH85" s="4234"/>
      <c r="BI85" s="25"/>
      <c r="BJ85" s="25"/>
      <c r="BK85" s="25"/>
      <c r="BL85" s="25"/>
      <c r="BM85" s="25"/>
      <c r="BN85" s="25"/>
    </row>
    <row r="86" spans="2:66" x14ac:dyDescent="0.25">
      <c r="B86" s="250" t="s">
        <v>770</v>
      </c>
      <c r="C86" s="840"/>
      <c r="D86" s="12" t="s">
        <v>50</v>
      </c>
      <c r="E86" s="845"/>
      <c r="F86" s="343">
        <v>1319.5880000000009</v>
      </c>
      <c r="G86" s="845"/>
      <c r="H86" s="343">
        <v>1345.2450000000008</v>
      </c>
      <c r="I86" s="614"/>
      <c r="J86" s="37">
        <f>+F86+H86</f>
        <v>2664.8330000000014</v>
      </c>
      <c r="K86" s="845"/>
      <c r="L86" s="343">
        <v>1302.4100000000014</v>
      </c>
      <c r="M86" s="613"/>
      <c r="N86" s="732">
        <f>+F86+H86+L86</f>
        <v>3967.2430000000031</v>
      </c>
      <c r="O86" s="845"/>
      <c r="P86" s="343">
        <v>1556.0040000000015</v>
      </c>
      <c r="Q86" s="614"/>
      <c r="R86" s="733">
        <f>+N86+P86</f>
        <v>5523.2470000000048</v>
      </c>
      <c r="S86" s="845"/>
      <c r="T86" s="343">
        <v>1342.794000000001</v>
      </c>
      <c r="U86" s="614"/>
      <c r="V86" s="4351">
        <f>+R86+T86</f>
        <v>6866.0410000000056</v>
      </c>
      <c r="W86" s="845"/>
      <c r="X86" s="343">
        <v>1348.8320000000012</v>
      </c>
      <c r="Y86" s="613"/>
      <c r="Z86" s="732">
        <f>+P86+T86+X86</f>
        <v>4247.6300000000037</v>
      </c>
      <c r="AA86" s="439"/>
      <c r="AB86" s="428">
        <f>+N86+Z86</f>
        <v>8214.8730000000069</v>
      </c>
      <c r="AC86" s="845"/>
      <c r="AD86" s="343">
        <v>899.73700000000099</v>
      </c>
      <c r="AE86" s="614"/>
      <c r="AF86" s="2236">
        <f>+AB86+AD86</f>
        <v>9114.6100000000079</v>
      </c>
      <c r="AG86" s="845"/>
      <c r="AH86" s="343">
        <v>1233.5280000000007</v>
      </c>
      <c r="AI86" s="614"/>
      <c r="AJ86" s="4635">
        <f>+AF86+AH86</f>
        <v>10348.138000000008</v>
      </c>
      <c r="AK86" s="845"/>
      <c r="AL86" s="343">
        <v>1444.9570000000015</v>
      </c>
      <c r="AM86" s="613"/>
      <c r="AN86" s="2544">
        <f>+AD86+AH86+AL86</f>
        <v>3578.2220000000034</v>
      </c>
      <c r="AO86" s="614"/>
      <c r="AP86" s="2236">
        <f t="shared" ref="AP86" si="171">AJ86+AL86</f>
        <v>11793.09500000001</v>
      </c>
      <c r="AQ86" s="845"/>
      <c r="AR86" s="343">
        <v>1515.8440000000021</v>
      </c>
      <c r="AS86" s="614"/>
      <c r="AT86" s="2236">
        <f>+AP86+AR86</f>
        <v>13308.939000000013</v>
      </c>
      <c r="AU86" s="845"/>
      <c r="AV86" s="343">
        <v>1308.7300000000009</v>
      </c>
      <c r="AW86" s="614"/>
      <c r="AX86" s="5047">
        <f>+AT86+AV86</f>
        <v>14617.669000000014</v>
      </c>
      <c r="AY86" s="845"/>
      <c r="AZ86" s="7255">
        <v>1475.2410000000009</v>
      </c>
      <c r="BA86" s="613"/>
      <c r="BB86" s="2812">
        <f>+AR86+AV86+AZ86</f>
        <v>4299.8150000000041</v>
      </c>
      <c r="BC86" s="2811"/>
      <c r="BD86" s="428">
        <f t="shared" ref="BD86" si="172">+AN86+BB86</f>
        <v>7878.0370000000075</v>
      </c>
      <c r="BE86" s="614"/>
      <c r="BF86" s="2236">
        <f>+AX86+AZ86</f>
        <v>16092.910000000014</v>
      </c>
      <c r="BG86" s="4234"/>
      <c r="BH86" s="4234"/>
      <c r="BI86" s="25"/>
      <c r="BJ86" s="25"/>
      <c r="BK86" s="25"/>
      <c r="BL86" s="25"/>
      <c r="BM86" s="25"/>
      <c r="BN86" s="25"/>
    </row>
    <row r="87" spans="2:66" x14ac:dyDescent="0.25">
      <c r="B87" s="144"/>
      <c r="C87" s="144"/>
      <c r="D87" s="144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  <c r="AA87" s="547"/>
      <c r="AB87" s="547"/>
      <c r="AC87" s="547"/>
      <c r="AD87" s="547"/>
      <c r="AE87" s="547"/>
      <c r="AF87" s="547"/>
      <c r="AG87" s="547"/>
      <c r="AH87" s="547"/>
      <c r="AI87" s="547"/>
      <c r="AJ87" s="547"/>
      <c r="AK87" s="547"/>
      <c r="AL87" s="547"/>
      <c r="AM87" s="547"/>
      <c r="AN87" s="547"/>
      <c r="AO87" s="547"/>
      <c r="AP87" s="547"/>
      <c r="AQ87" s="547"/>
      <c r="AR87" s="547"/>
      <c r="AS87" s="547"/>
      <c r="AT87" s="547"/>
      <c r="AU87" s="547"/>
      <c r="AV87" s="547"/>
      <c r="AW87" s="547"/>
      <c r="AX87" s="547"/>
      <c r="AY87" s="547"/>
      <c r="AZ87" s="7254"/>
      <c r="BA87" s="547"/>
      <c r="BB87" s="547"/>
      <c r="BC87" s="547"/>
      <c r="BD87" s="547"/>
      <c r="BE87" s="547"/>
      <c r="BF87" s="547"/>
      <c r="BG87" s="4234"/>
      <c r="BH87" s="4234"/>
      <c r="BI87" s="25"/>
      <c r="BJ87" s="25"/>
      <c r="BK87" s="25"/>
      <c r="BL87" s="25"/>
      <c r="BM87" s="25"/>
      <c r="BN87" s="25"/>
    </row>
    <row r="88" spans="2:66" ht="18.75" x14ac:dyDescent="0.3">
      <c r="B88" s="829" t="s">
        <v>790</v>
      </c>
      <c r="C88" s="829"/>
      <c r="D88" s="144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  <c r="AA88" s="547"/>
      <c r="AB88" s="547"/>
      <c r="AC88" s="547"/>
      <c r="AD88" s="547"/>
      <c r="AE88" s="547"/>
      <c r="AF88" s="547"/>
      <c r="AG88" s="547"/>
      <c r="AH88" s="547"/>
      <c r="AI88" s="547"/>
      <c r="AJ88" s="547"/>
      <c r="AK88" s="547"/>
      <c r="AL88" s="547"/>
      <c r="AM88" s="547"/>
      <c r="AN88" s="547"/>
      <c r="AO88" s="547"/>
      <c r="AP88" s="547"/>
      <c r="AQ88" s="547"/>
      <c r="AR88" s="547"/>
      <c r="AS88" s="547"/>
      <c r="AT88" s="547"/>
      <c r="AU88" s="547"/>
      <c r="AV88" s="547"/>
      <c r="AW88" s="547"/>
      <c r="AX88" s="547"/>
      <c r="AY88" s="547"/>
      <c r="AZ88" s="7254"/>
      <c r="BA88" s="547"/>
      <c r="BB88" s="547"/>
      <c r="BC88" s="547"/>
      <c r="BD88" s="547"/>
      <c r="BE88" s="547"/>
      <c r="BF88" s="547"/>
      <c r="BG88" s="4234"/>
      <c r="BH88" s="4234"/>
      <c r="BI88" s="25"/>
      <c r="BJ88" s="25"/>
      <c r="BK88" s="25"/>
      <c r="BL88" s="25"/>
      <c r="BM88" s="25"/>
      <c r="BN88" s="25"/>
    </row>
    <row r="89" spans="2:66" x14ac:dyDescent="0.25">
      <c r="B89" s="250" t="s">
        <v>791</v>
      </c>
      <c r="C89" s="250"/>
      <c r="D89" s="148" t="s">
        <v>50</v>
      </c>
      <c r="E89" s="747"/>
      <c r="F89" s="343">
        <f>+F5</f>
        <v>77837.90800000001</v>
      </c>
      <c r="G89" s="747"/>
      <c r="H89" s="343">
        <f>+H5</f>
        <v>78924.165999999954</v>
      </c>
      <c r="I89" s="841"/>
      <c r="J89" s="344">
        <f>+J5</f>
        <v>156762.07399999996</v>
      </c>
      <c r="K89" s="747"/>
      <c r="L89" s="343">
        <f>+L5</f>
        <v>76378.819999999949</v>
      </c>
      <c r="M89" s="842"/>
      <c r="N89" s="420">
        <f>+N5</f>
        <v>233140.89399999991</v>
      </c>
      <c r="O89" s="747"/>
      <c r="P89" s="343">
        <f>+P5</f>
        <v>91293.134999999951</v>
      </c>
      <c r="Q89" s="841"/>
      <c r="R89" s="344">
        <f>+R5</f>
        <v>324434.02899999986</v>
      </c>
      <c r="S89" s="747"/>
      <c r="T89" s="343">
        <f>+T5</f>
        <v>78744.385999999984</v>
      </c>
      <c r="U89" s="841"/>
      <c r="V89" s="344">
        <f>+V5</f>
        <v>403178.41499999986</v>
      </c>
      <c r="W89" s="747"/>
      <c r="X89" s="343">
        <f>+X5</f>
        <v>79173.527999999977</v>
      </c>
      <c r="Y89" s="842"/>
      <c r="Z89" s="420">
        <f>+Z5</f>
        <v>249211.04899999994</v>
      </c>
      <c r="AA89" s="843"/>
      <c r="AB89" s="444">
        <f>+AB5</f>
        <v>482351.94299999985</v>
      </c>
      <c r="AC89" s="747"/>
      <c r="AD89" s="343">
        <f>+AD5</f>
        <v>52847.516999999993</v>
      </c>
      <c r="AE89" s="841"/>
      <c r="AF89" s="344">
        <f>+AF5</f>
        <v>535199.45999999985</v>
      </c>
      <c r="AG89" s="747"/>
      <c r="AH89" s="343">
        <f>+AH5</f>
        <v>72562.518000000025</v>
      </c>
      <c r="AI89" s="841"/>
      <c r="AJ89" s="344">
        <f>+AJ5</f>
        <v>607761.97799999989</v>
      </c>
      <c r="AK89" s="747"/>
      <c r="AL89" s="343">
        <f>+AL5</f>
        <v>85136.461000000039</v>
      </c>
      <c r="AM89" s="842"/>
      <c r="AN89" s="420">
        <f>+AN5</f>
        <v>210546.49600000004</v>
      </c>
      <c r="AO89" s="841"/>
      <c r="AP89" s="344">
        <f>+AP5</f>
        <v>692898.4389999999</v>
      </c>
      <c r="AQ89" s="747"/>
      <c r="AR89" s="343">
        <f>+AR5</f>
        <v>89388.381000000038</v>
      </c>
      <c r="AS89" s="841"/>
      <c r="AT89" s="344">
        <f>+AT5</f>
        <v>782286.82</v>
      </c>
      <c r="AU89" s="747"/>
      <c r="AV89" s="343">
        <f>+AV5</f>
        <v>77175.722000000038</v>
      </c>
      <c r="AW89" s="841"/>
      <c r="AX89" s="344">
        <f>+AX5</f>
        <v>859462.54200000002</v>
      </c>
      <c r="AY89" s="747"/>
      <c r="AZ89" s="343">
        <f>+AZ5</f>
        <v>86982.177000000069</v>
      </c>
      <c r="BA89" s="842"/>
      <c r="BB89" s="420">
        <f>+BB5</f>
        <v>253546.28000000014</v>
      </c>
      <c r="BC89" s="843"/>
      <c r="BD89" s="444">
        <f>+BD5</f>
        <v>464092.77600000019</v>
      </c>
      <c r="BE89" s="841"/>
      <c r="BF89" s="344">
        <f>+BF5</f>
        <v>946444.71900000004</v>
      </c>
      <c r="BG89" s="4234"/>
      <c r="BH89" s="4234"/>
      <c r="BI89" s="25"/>
      <c r="BJ89" s="25"/>
      <c r="BK89" s="25"/>
      <c r="BL89" s="25"/>
      <c r="BM89" s="25"/>
      <c r="BN89" s="25"/>
    </row>
    <row r="90" spans="2:66" x14ac:dyDescent="0.25">
      <c r="B90" s="844" t="s">
        <v>796</v>
      </c>
      <c r="C90" s="844"/>
      <c r="D90" s="148" t="s">
        <v>50</v>
      </c>
      <c r="E90" s="747"/>
      <c r="F90" s="343">
        <f>+F83</f>
        <v>1816.4900000000027</v>
      </c>
      <c r="G90" s="747"/>
      <c r="H90" s="343">
        <f>+H83</f>
        <v>1371.9959999999985</v>
      </c>
      <c r="I90" s="841"/>
      <c r="J90" s="344">
        <f>+J83</f>
        <v>3188.4860000000017</v>
      </c>
      <c r="K90" s="747"/>
      <c r="L90" s="343">
        <f>+L83</f>
        <v>1397.1049999999987</v>
      </c>
      <c r="M90" s="842"/>
      <c r="N90" s="420">
        <f>+N83</f>
        <v>4585.5910000000003</v>
      </c>
      <c r="O90" s="747"/>
      <c r="P90" s="343">
        <f>+P83</f>
        <v>1636.4909999999986</v>
      </c>
      <c r="Q90" s="841"/>
      <c r="R90" s="344">
        <f>+R83</f>
        <v>6222.0819999999994</v>
      </c>
      <c r="S90" s="747"/>
      <c r="T90" s="343">
        <f>+T83</f>
        <v>1497.3269999999989</v>
      </c>
      <c r="U90" s="841"/>
      <c r="V90" s="344">
        <f>+V83</f>
        <v>7719.4089999999978</v>
      </c>
      <c r="W90" s="747"/>
      <c r="X90" s="343">
        <f>+X83</f>
        <v>1407.1109999999983</v>
      </c>
      <c r="Y90" s="842"/>
      <c r="Z90" s="420">
        <f>+Z83</f>
        <v>4540.9289999999955</v>
      </c>
      <c r="AA90" s="843"/>
      <c r="AB90" s="444">
        <f>+AB83</f>
        <v>9126.5199999999968</v>
      </c>
      <c r="AC90" s="747"/>
      <c r="AD90" s="343">
        <f>+AD83</f>
        <v>947.50499999999943</v>
      </c>
      <c r="AE90" s="841"/>
      <c r="AF90" s="344">
        <f>+AF83</f>
        <v>10074.024999999994</v>
      </c>
      <c r="AG90" s="747"/>
      <c r="AH90" s="343">
        <f>+AH83</f>
        <v>1539.275000000001</v>
      </c>
      <c r="AI90" s="841"/>
      <c r="AJ90" s="344">
        <f>+AJ83</f>
        <v>11613.299999999996</v>
      </c>
      <c r="AK90" s="747"/>
      <c r="AL90" s="343">
        <f>+AL83</f>
        <v>1985.4890000000023</v>
      </c>
      <c r="AM90" s="842"/>
      <c r="AN90" s="420">
        <f>+AN83</f>
        <v>4472.2690000000021</v>
      </c>
      <c r="AO90" s="841"/>
      <c r="AP90" s="344">
        <f>+AP83</f>
        <v>13598.788999999999</v>
      </c>
      <c r="AQ90" s="747"/>
      <c r="AR90" s="343">
        <f>+AR83</f>
        <v>2035.7070000000028</v>
      </c>
      <c r="AS90" s="841"/>
      <c r="AT90" s="344">
        <f>+AT83</f>
        <v>15634.496000000001</v>
      </c>
      <c r="AU90" s="747"/>
      <c r="AV90" s="343">
        <f>+AV83</f>
        <v>1792.8920000000021</v>
      </c>
      <c r="AW90" s="841"/>
      <c r="AX90" s="344">
        <f>+AX83</f>
        <v>17427.388000000003</v>
      </c>
      <c r="AY90" s="747"/>
      <c r="AZ90" s="343">
        <f>+AZ83</f>
        <v>2005.4110000000032</v>
      </c>
      <c r="BA90" s="842"/>
      <c r="BB90" s="420">
        <f>+BB83</f>
        <v>5834.0100000000075</v>
      </c>
      <c r="BC90" s="843"/>
      <c r="BD90" s="444">
        <f>+BD83</f>
        <v>10306.27900000001</v>
      </c>
      <c r="BE90" s="841"/>
      <c r="BF90" s="344">
        <f>+BF83</f>
        <v>19432.799000000006</v>
      </c>
      <c r="BG90" s="4234"/>
      <c r="BH90" s="4234"/>
      <c r="BI90" s="25"/>
      <c r="BJ90" s="25"/>
      <c r="BK90" s="25"/>
      <c r="BL90" s="25"/>
      <c r="BM90" s="25"/>
      <c r="BN90" s="25"/>
    </row>
    <row r="91" spans="2:66" x14ac:dyDescent="0.25">
      <c r="B91" s="250" t="s">
        <v>768</v>
      </c>
      <c r="C91" s="250"/>
      <c r="D91" s="148" t="s">
        <v>50</v>
      </c>
      <c r="E91" s="747"/>
      <c r="F91" s="343">
        <f>+F86</f>
        <v>1319.5880000000009</v>
      </c>
      <c r="G91" s="747"/>
      <c r="H91" s="343">
        <f>+H86</f>
        <v>1345.2450000000008</v>
      </c>
      <c r="I91" s="841"/>
      <c r="J91" s="344">
        <f>+J86</f>
        <v>2664.8330000000014</v>
      </c>
      <c r="K91" s="747"/>
      <c r="L91" s="343">
        <f>+L86</f>
        <v>1302.4100000000014</v>
      </c>
      <c r="M91" s="842"/>
      <c r="N91" s="420">
        <f>+N86</f>
        <v>3967.2430000000031</v>
      </c>
      <c r="O91" s="747"/>
      <c r="P91" s="343">
        <f>+P86</f>
        <v>1556.0040000000015</v>
      </c>
      <c r="Q91" s="841"/>
      <c r="R91" s="344">
        <f>+R86</f>
        <v>5523.2470000000048</v>
      </c>
      <c r="S91" s="747"/>
      <c r="T91" s="343">
        <f>+T86</f>
        <v>1342.794000000001</v>
      </c>
      <c r="U91" s="841"/>
      <c r="V91" s="344">
        <f>+V86</f>
        <v>6866.0410000000056</v>
      </c>
      <c r="W91" s="747"/>
      <c r="X91" s="343">
        <f>+X86</f>
        <v>1348.8320000000012</v>
      </c>
      <c r="Y91" s="842"/>
      <c r="Z91" s="420">
        <f>+Z86</f>
        <v>4247.6300000000037</v>
      </c>
      <c r="AA91" s="843"/>
      <c r="AB91" s="444">
        <f>+AB86</f>
        <v>8214.8730000000069</v>
      </c>
      <c r="AC91" s="747"/>
      <c r="AD91" s="343">
        <f>+AD86</f>
        <v>899.73700000000099</v>
      </c>
      <c r="AE91" s="841"/>
      <c r="AF91" s="344">
        <f>+AF86</f>
        <v>9114.6100000000079</v>
      </c>
      <c r="AG91" s="747"/>
      <c r="AH91" s="343">
        <f>+AH86</f>
        <v>1233.5280000000007</v>
      </c>
      <c r="AI91" s="841"/>
      <c r="AJ91" s="344">
        <f>+AJ86</f>
        <v>10348.138000000008</v>
      </c>
      <c r="AK91" s="747"/>
      <c r="AL91" s="343">
        <f>+AL86</f>
        <v>1444.9570000000015</v>
      </c>
      <c r="AM91" s="842"/>
      <c r="AN91" s="420">
        <f>+AN86</f>
        <v>3578.2220000000034</v>
      </c>
      <c r="AO91" s="841"/>
      <c r="AP91" s="344">
        <f>+AP86</f>
        <v>11793.09500000001</v>
      </c>
      <c r="AQ91" s="747"/>
      <c r="AR91" s="343">
        <f>+AR86</f>
        <v>1515.8440000000021</v>
      </c>
      <c r="AS91" s="841"/>
      <c r="AT91" s="344">
        <f>+AT86</f>
        <v>13308.939000000013</v>
      </c>
      <c r="AU91" s="747"/>
      <c r="AV91" s="343">
        <f>+AV86</f>
        <v>1308.7300000000009</v>
      </c>
      <c r="AW91" s="841"/>
      <c r="AX91" s="344">
        <f>+AX86</f>
        <v>14617.669000000014</v>
      </c>
      <c r="AY91" s="747"/>
      <c r="AZ91" s="343">
        <f>+AZ86</f>
        <v>1475.2410000000009</v>
      </c>
      <c r="BA91" s="842"/>
      <c r="BB91" s="420">
        <f>+BB86</f>
        <v>4299.8150000000041</v>
      </c>
      <c r="BC91" s="843"/>
      <c r="BD91" s="444">
        <f>+BD86</f>
        <v>7878.0370000000075</v>
      </c>
      <c r="BE91" s="841"/>
      <c r="BF91" s="344">
        <f>+BF86</f>
        <v>16092.910000000014</v>
      </c>
      <c r="BG91" s="4234"/>
      <c r="BH91" s="4234"/>
      <c r="BI91" s="25"/>
      <c r="BJ91" s="25"/>
      <c r="BK91" s="25"/>
      <c r="BL91" s="25"/>
      <c r="BM91" s="25"/>
      <c r="BN91" s="25"/>
    </row>
    <row r="92" spans="2:66" x14ac:dyDescent="0.25">
      <c r="B92" s="250" t="s">
        <v>794</v>
      </c>
      <c r="C92" s="250"/>
      <c r="D92" s="148" t="s">
        <v>50</v>
      </c>
      <c r="E92" s="747"/>
      <c r="F92" s="343">
        <f>+F55</f>
        <v>74701.83000000006</v>
      </c>
      <c r="G92" s="747"/>
      <c r="H92" s="343">
        <f>+H55</f>
        <v>76206.925000000061</v>
      </c>
      <c r="I92" s="841"/>
      <c r="J92" s="344">
        <f>+J55</f>
        <v>150908.75500000012</v>
      </c>
      <c r="K92" s="747"/>
      <c r="L92" s="343">
        <f>+L55</f>
        <v>73679.305000000051</v>
      </c>
      <c r="M92" s="842"/>
      <c r="N92" s="420">
        <f>+N55</f>
        <v>224588.06000000017</v>
      </c>
      <c r="O92" s="747"/>
      <c r="P92" s="343">
        <f>+P55</f>
        <v>88100.640000000101</v>
      </c>
      <c r="Q92" s="841"/>
      <c r="R92" s="344">
        <f>+R55</f>
        <v>312688.70000000019</v>
      </c>
      <c r="S92" s="747"/>
      <c r="T92" s="343">
        <f>+T55</f>
        <v>75904.265000000043</v>
      </c>
      <c r="U92" s="841"/>
      <c r="V92" s="344">
        <f>+V55</f>
        <v>388592.9650000002</v>
      </c>
      <c r="W92" s="747"/>
      <c r="X92" s="343">
        <f>+X55</f>
        <v>76417.585000000079</v>
      </c>
      <c r="Y92" s="842"/>
      <c r="Z92" s="420">
        <f>+Z55</f>
        <v>240422.49000000025</v>
      </c>
      <c r="AA92" s="843"/>
      <c r="AB92" s="444">
        <f>+AB55</f>
        <v>465010.55000000045</v>
      </c>
      <c r="AC92" s="747"/>
      <c r="AD92" s="343">
        <f>+AD55</f>
        <v>51000.275000000081</v>
      </c>
      <c r="AE92" s="841"/>
      <c r="AF92" s="344">
        <f>+AF55</f>
        <v>516010.82500000048</v>
      </c>
      <c r="AG92" s="747"/>
      <c r="AH92" s="343">
        <f>+AH55</f>
        <v>69789.71500000004</v>
      </c>
      <c r="AI92" s="841"/>
      <c r="AJ92" s="344">
        <f>+AJ55</f>
        <v>585800.54000000039</v>
      </c>
      <c r="AK92" s="747"/>
      <c r="AL92" s="343">
        <f>+AL55</f>
        <v>81706.015000000145</v>
      </c>
      <c r="AM92" s="842"/>
      <c r="AN92" s="420">
        <f>+AN55</f>
        <v>202496.0050000003</v>
      </c>
      <c r="AO92" s="841"/>
      <c r="AP92" s="344">
        <f>+AP55</f>
        <v>667506.55500000075</v>
      </c>
      <c r="AQ92" s="747"/>
      <c r="AR92" s="343">
        <f>+AR55</f>
        <v>85836.830000000118</v>
      </c>
      <c r="AS92" s="841"/>
      <c r="AT92" s="344">
        <f>+AT55</f>
        <v>753343.38500000071</v>
      </c>
      <c r="AU92" s="747"/>
      <c r="AV92" s="343">
        <f>+AV55</f>
        <v>74074.100000000093</v>
      </c>
      <c r="AW92" s="841"/>
      <c r="AX92" s="344">
        <f>+AX55</f>
        <v>827417.48500000057</v>
      </c>
      <c r="AY92" s="747"/>
      <c r="AZ92" s="343">
        <f>+AZ55</f>
        <v>81308.429999999993</v>
      </c>
      <c r="BA92" s="842"/>
      <c r="BB92" s="420">
        <f>+BB55</f>
        <v>241219.36000000028</v>
      </c>
      <c r="BC92" s="843"/>
      <c r="BD92" s="444">
        <f>+BD55</f>
        <v>443715.36500000063</v>
      </c>
      <c r="BE92" s="841"/>
      <c r="BF92" s="344">
        <f>+BF55</f>
        <v>908725.91500000097</v>
      </c>
      <c r="BG92" s="4234"/>
      <c r="BH92" s="4234"/>
      <c r="BI92" s="25"/>
      <c r="BJ92" s="25"/>
      <c r="BK92" s="25"/>
      <c r="BL92" s="25"/>
      <c r="BM92" s="25"/>
      <c r="BN92" s="25"/>
    </row>
    <row r="93" spans="2:66" x14ac:dyDescent="0.25">
      <c r="B93" s="250" t="s">
        <v>792</v>
      </c>
      <c r="C93" s="250"/>
      <c r="D93" s="148" t="s">
        <v>50</v>
      </c>
      <c r="E93" s="747"/>
      <c r="F93" s="343">
        <f>+F57</f>
        <v>40.79</v>
      </c>
      <c r="G93" s="747"/>
      <c r="H93" s="343">
        <f>+H57</f>
        <v>31.29</v>
      </c>
      <c r="I93" s="841"/>
      <c r="J93" s="344">
        <f>+J57</f>
        <v>72.08</v>
      </c>
      <c r="K93" s="747"/>
      <c r="L93" s="343">
        <f>+L57</f>
        <v>35.289999999999992</v>
      </c>
      <c r="M93" s="842"/>
      <c r="N93" s="420">
        <f>+N57</f>
        <v>107.37</v>
      </c>
      <c r="O93" s="747"/>
      <c r="P93" s="343">
        <f>+P57</f>
        <v>44.150000000000006</v>
      </c>
      <c r="Q93" s="841"/>
      <c r="R93" s="344">
        <f>+R57</f>
        <v>151.52000000000001</v>
      </c>
      <c r="S93" s="747"/>
      <c r="T93" s="343">
        <f>+T57</f>
        <v>50.57</v>
      </c>
      <c r="U93" s="841"/>
      <c r="V93" s="344">
        <f>+V57</f>
        <v>202.08999999999997</v>
      </c>
      <c r="W93" s="747"/>
      <c r="X93" s="343">
        <f>+X57</f>
        <v>98.55</v>
      </c>
      <c r="Y93" s="842"/>
      <c r="Z93" s="420">
        <f>+Z57</f>
        <v>193.26999999999998</v>
      </c>
      <c r="AA93" s="843"/>
      <c r="AB93" s="444">
        <f>+AB57</f>
        <v>300.64</v>
      </c>
      <c r="AC93" s="747"/>
      <c r="AD93" s="343">
        <f>+AD57</f>
        <v>50</v>
      </c>
      <c r="AE93" s="841"/>
      <c r="AF93" s="344">
        <f>+AF57</f>
        <v>350.64</v>
      </c>
      <c r="AG93" s="747"/>
      <c r="AH93" s="343">
        <f>+AH57</f>
        <v>68.95</v>
      </c>
      <c r="AI93" s="841"/>
      <c r="AJ93" s="344">
        <f>+AJ57</f>
        <v>419.59</v>
      </c>
      <c r="AK93" s="747"/>
      <c r="AL93" s="343">
        <f>+AL57</f>
        <v>89.25</v>
      </c>
      <c r="AM93" s="842"/>
      <c r="AN93" s="420">
        <f>+AN57</f>
        <v>208.2</v>
      </c>
      <c r="AO93" s="841"/>
      <c r="AP93" s="344">
        <f>+AP57</f>
        <v>508.84000000000003</v>
      </c>
      <c r="AQ93" s="747"/>
      <c r="AR93" s="343">
        <f>+AR57</f>
        <v>32.229999999999997</v>
      </c>
      <c r="AS93" s="841"/>
      <c r="AT93" s="344">
        <f>+AT57</f>
        <v>541.07000000000005</v>
      </c>
      <c r="AU93" s="747"/>
      <c r="AV93" s="343">
        <f>+AV57</f>
        <v>15.78</v>
      </c>
      <c r="AW93" s="841"/>
      <c r="AX93" s="344">
        <f>+AX57</f>
        <v>556.85000000000014</v>
      </c>
      <c r="AY93" s="747"/>
      <c r="AZ93" s="343">
        <f>+AZ57</f>
        <v>108.43</v>
      </c>
      <c r="BA93" s="842"/>
      <c r="BB93" s="420">
        <f>+BB57</f>
        <v>156.44</v>
      </c>
      <c r="BC93" s="843"/>
      <c r="BD93" s="444">
        <f>+BD57</f>
        <v>364.63999999999993</v>
      </c>
      <c r="BE93" s="841"/>
      <c r="BF93" s="344">
        <f>+BF57</f>
        <v>665.28</v>
      </c>
      <c r="BG93" s="4234"/>
      <c r="BH93" s="4234"/>
      <c r="BI93" s="25"/>
      <c r="BJ93" s="25"/>
      <c r="BK93" s="25"/>
      <c r="BL93" s="25"/>
      <c r="BM93" s="25"/>
      <c r="BN93" s="25"/>
    </row>
    <row r="94" spans="2:66" x14ac:dyDescent="0.25">
      <c r="B94" s="250" t="s">
        <v>793</v>
      </c>
      <c r="C94" s="250"/>
      <c r="D94" s="148" t="s">
        <v>50</v>
      </c>
      <c r="E94" s="747"/>
      <c r="F94" s="343">
        <f>+F92-F93</f>
        <v>74661.040000000066</v>
      </c>
      <c r="G94" s="747"/>
      <c r="H94" s="343">
        <f>+H92-H93</f>
        <v>76175.635000000068</v>
      </c>
      <c r="I94" s="841"/>
      <c r="J94" s="344">
        <f>+J92-J93</f>
        <v>150836.67500000013</v>
      </c>
      <c r="K94" s="747"/>
      <c r="L94" s="343">
        <f>+L92-L93</f>
        <v>73644.015000000058</v>
      </c>
      <c r="M94" s="842"/>
      <c r="N94" s="420">
        <f>+N92-N93</f>
        <v>224480.69000000018</v>
      </c>
      <c r="O94" s="747"/>
      <c r="P94" s="343">
        <f>+P92-P93</f>
        <v>88056.490000000107</v>
      </c>
      <c r="Q94" s="841"/>
      <c r="R94" s="344">
        <f>+R92-R93</f>
        <v>312537.18000000017</v>
      </c>
      <c r="S94" s="747"/>
      <c r="T94" s="343">
        <f>+T92-T93</f>
        <v>75853.695000000036</v>
      </c>
      <c r="U94" s="841"/>
      <c r="V94" s="344">
        <f>+V92-V93</f>
        <v>388390.87500000017</v>
      </c>
      <c r="W94" s="747"/>
      <c r="X94" s="343">
        <f>+X92-X93</f>
        <v>76319.035000000076</v>
      </c>
      <c r="Y94" s="842"/>
      <c r="Z94" s="420">
        <f>+Z92-Z93</f>
        <v>240229.22000000026</v>
      </c>
      <c r="AA94" s="843"/>
      <c r="AB94" s="444">
        <f>+AB92-AB93</f>
        <v>464709.91000000044</v>
      </c>
      <c r="AC94" s="747"/>
      <c r="AD94" s="343">
        <f>+AD92-AD93</f>
        <v>50950.275000000081</v>
      </c>
      <c r="AE94" s="841"/>
      <c r="AF94" s="344">
        <f>+AF92-AF93</f>
        <v>515660.18500000046</v>
      </c>
      <c r="AG94" s="747"/>
      <c r="AH94" s="343">
        <f>+AH92-AH93</f>
        <v>69720.765000000043</v>
      </c>
      <c r="AI94" s="841"/>
      <c r="AJ94" s="344">
        <f>+AJ92-AJ93</f>
        <v>585380.95000000042</v>
      </c>
      <c r="AK94" s="747"/>
      <c r="AL94" s="343">
        <f>+AL92-AL93</f>
        <v>81616.765000000145</v>
      </c>
      <c r="AM94" s="842"/>
      <c r="AN94" s="420">
        <f>+AN92-AN93</f>
        <v>202287.80500000028</v>
      </c>
      <c r="AO94" s="841"/>
      <c r="AP94" s="344">
        <f>+AP92-AP93</f>
        <v>666997.71500000078</v>
      </c>
      <c r="AQ94" s="747"/>
      <c r="AR94" s="343">
        <f>+AR92-AR93</f>
        <v>85804.600000000122</v>
      </c>
      <c r="AS94" s="841"/>
      <c r="AT94" s="344">
        <f>+AT92-AT93</f>
        <v>752802.31500000076</v>
      </c>
      <c r="AU94" s="747"/>
      <c r="AV94" s="343">
        <f>+AV92-AV93</f>
        <v>74058.320000000094</v>
      </c>
      <c r="AW94" s="841"/>
      <c r="AX94" s="344">
        <f>+AX92-AX93</f>
        <v>826860.63500000059</v>
      </c>
      <c r="AY94" s="747"/>
      <c r="AZ94" s="343">
        <f>+AZ92-AZ93</f>
        <v>81200</v>
      </c>
      <c r="BA94" s="842"/>
      <c r="BB94" s="420">
        <f>+BB92-BB93</f>
        <v>241062.92000000027</v>
      </c>
      <c r="BC94" s="843"/>
      <c r="BD94" s="444">
        <f>+BD92-BD93</f>
        <v>443350.72500000062</v>
      </c>
      <c r="BE94" s="841"/>
      <c r="BF94" s="344">
        <f>+BF92-BF93</f>
        <v>908060.63500000094</v>
      </c>
      <c r="BG94" s="4234"/>
      <c r="BH94" s="4234"/>
      <c r="BI94" s="25"/>
      <c r="BJ94" s="25"/>
      <c r="BK94" s="25"/>
      <c r="BL94" s="25"/>
      <c r="BM94" s="25"/>
      <c r="BN94" s="25"/>
    </row>
    <row r="95" spans="2:66" x14ac:dyDescent="0.25">
      <c r="B95" s="144"/>
      <c r="C95" s="144"/>
      <c r="D95" s="144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  <c r="AA95" s="547"/>
      <c r="AB95" s="547"/>
      <c r="AC95" s="547"/>
      <c r="AD95" s="547"/>
      <c r="AE95" s="547"/>
      <c r="AF95" s="547"/>
      <c r="AG95" s="547"/>
      <c r="AH95" s="547"/>
      <c r="AI95" s="547"/>
      <c r="AJ95" s="547"/>
      <c r="AK95" s="547"/>
      <c r="AL95" s="547"/>
      <c r="AM95" s="547"/>
      <c r="AN95" s="547"/>
      <c r="AO95" s="547"/>
      <c r="AP95" s="547"/>
      <c r="AQ95" s="547"/>
      <c r="AR95" s="547"/>
      <c r="AS95" s="547"/>
      <c r="AT95" s="547"/>
      <c r="AU95" s="547"/>
      <c r="AV95" s="547"/>
      <c r="AW95" s="547"/>
      <c r="AX95" s="547"/>
      <c r="AY95" s="547"/>
      <c r="AZ95" s="547"/>
      <c r="BA95" s="547"/>
      <c r="BB95" s="547"/>
      <c r="BC95" s="547"/>
      <c r="BD95" s="547"/>
      <c r="BE95" s="547"/>
      <c r="BF95" s="547"/>
      <c r="BG95" s="4234"/>
      <c r="BH95" s="4234"/>
      <c r="BI95" s="25"/>
      <c r="BJ95" s="25"/>
      <c r="BK95" s="25"/>
      <c r="BL95" s="25"/>
      <c r="BM95" s="25"/>
      <c r="BN95" s="25"/>
    </row>
    <row r="96" spans="2:66" ht="15.75" x14ac:dyDescent="0.25">
      <c r="G96" s="4487"/>
      <c r="H96" s="4487"/>
      <c r="K96" s="4487"/>
      <c r="L96" s="4487"/>
      <c r="O96" s="4487"/>
      <c r="P96" s="4487"/>
      <c r="S96" s="4487"/>
      <c r="T96" s="4487"/>
      <c r="U96" s="4233"/>
      <c r="V96" s="4233"/>
      <c r="W96" s="4487"/>
      <c r="X96" s="4487"/>
      <c r="AC96" s="4487"/>
      <c r="AD96" s="4487"/>
      <c r="AG96" s="4487"/>
      <c r="AH96" s="4487"/>
      <c r="AI96" s="4487"/>
      <c r="AJ96" s="4487"/>
      <c r="AK96" s="4487"/>
      <c r="AL96" s="4487"/>
      <c r="AM96" s="2551"/>
      <c r="AN96" s="2551"/>
      <c r="AO96" s="2551"/>
      <c r="AP96" s="2551"/>
      <c r="AQ96" s="4487"/>
      <c r="AR96" s="4487"/>
      <c r="AS96" s="2608"/>
      <c r="AT96" s="2608"/>
      <c r="AU96" s="4487"/>
      <c r="AV96" s="4487"/>
      <c r="AW96" s="2642"/>
      <c r="AX96" s="2642"/>
      <c r="AY96" s="4487"/>
      <c r="AZ96" s="7510"/>
      <c r="BE96" s="2819"/>
      <c r="BF96" s="2819"/>
      <c r="BG96" s="4234"/>
      <c r="BH96" s="4234"/>
      <c r="BI96" s="25"/>
      <c r="BJ96" s="25"/>
      <c r="BK96" s="25"/>
      <c r="BL96" s="25"/>
      <c r="BM96" s="25"/>
      <c r="BN96" s="25"/>
    </row>
    <row r="97" spans="5:66" ht="15" customHeight="1" x14ac:dyDescent="0.25">
      <c r="E97" s="25">
        <f>E56-'Maj Production Summ'!E31</f>
        <v>0</v>
      </c>
      <c r="F97" s="25">
        <f>F56-'Maj Production Summ'!F31</f>
        <v>0</v>
      </c>
      <c r="G97" s="25">
        <f>G56-'Maj Production Summ'!G31</f>
        <v>0</v>
      </c>
      <c r="H97" s="25">
        <f>H56-'Maj Production Summ'!H31</f>
        <v>0</v>
      </c>
      <c r="I97" s="25">
        <f>I56-'Maj Production Summ'!I31</f>
        <v>0</v>
      </c>
      <c r="J97" s="25">
        <f>J56-'Maj Production Summ'!J31</f>
        <v>0</v>
      </c>
      <c r="K97" s="25">
        <f>K56-'Maj Production Summ'!K31</f>
        <v>0</v>
      </c>
      <c r="L97" s="25">
        <f>L56-'Maj Production Summ'!L31</f>
        <v>0</v>
      </c>
      <c r="M97" s="25">
        <f>M56-'Maj Production Summ'!M31</f>
        <v>0</v>
      </c>
      <c r="N97" s="25">
        <f>N56-'Maj Production Summ'!N31</f>
        <v>0</v>
      </c>
      <c r="O97" s="25">
        <f>O56-'Maj Production Summ'!O31</f>
        <v>0</v>
      </c>
      <c r="P97" s="25">
        <f>P56-'Maj Production Summ'!P31</f>
        <v>0</v>
      </c>
      <c r="Q97" s="25">
        <f>Q56-'Maj Production Summ'!Q31</f>
        <v>0</v>
      </c>
      <c r="R97" s="25">
        <f>R56-'Maj Production Summ'!R31</f>
        <v>0</v>
      </c>
      <c r="S97" s="25">
        <f>S56-'Maj Production Summ'!S31</f>
        <v>0</v>
      </c>
      <c r="T97" s="25">
        <f>T56-'Maj Production Summ'!T31</f>
        <v>0</v>
      </c>
      <c r="U97" s="25">
        <f>U56-'Maj Production Summ'!U31</f>
        <v>0</v>
      </c>
      <c r="V97" s="25">
        <f>V56-'Maj Production Summ'!V31</f>
        <v>0</v>
      </c>
      <c r="W97" s="25">
        <f>W56-'Maj Production Summ'!W31</f>
        <v>0</v>
      </c>
      <c r="X97" s="25">
        <f>X56-'Maj Production Summ'!X31</f>
        <v>0</v>
      </c>
      <c r="Y97" s="25">
        <f>Y56-'Maj Production Summ'!Y31</f>
        <v>0</v>
      </c>
      <c r="Z97" s="25">
        <f>Z56-'Maj Production Summ'!Z31</f>
        <v>0</v>
      </c>
      <c r="AA97" s="25">
        <f>AA56-'Maj Production Summ'!AA31</f>
        <v>0</v>
      </c>
      <c r="AB97" s="25">
        <f>AB56-'Maj Production Summ'!AB31</f>
        <v>0</v>
      </c>
      <c r="AC97" s="25">
        <f>AC56-'Maj Production Summ'!AC31</f>
        <v>0</v>
      </c>
      <c r="AD97" s="25">
        <f>AD56-'Maj Production Summ'!AD31</f>
        <v>0</v>
      </c>
      <c r="AE97" s="25">
        <f>AE56-'Maj Production Summ'!AE31</f>
        <v>0</v>
      </c>
      <c r="AF97" s="25">
        <f>AF56-'Maj Production Summ'!AF31</f>
        <v>0</v>
      </c>
      <c r="AG97" s="25">
        <f>AG56-'Maj Production Summ'!AG31</f>
        <v>0</v>
      </c>
      <c r="AH97" s="25">
        <f>AH56-'Maj Production Summ'!AH31</f>
        <v>0</v>
      </c>
      <c r="AI97" s="25">
        <f>AI56-'Maj Production Summ'!AI31</f>
        <v>0</v>
      </c>
      <c r="AJ97" s="25">
        <f>AJ56-'Maj Production Summ'!AJ31</f>
        <v>0</v>
      </c>
      <c r="AK97" s="25">
        <f>AK56-'Maj Production Summ'!AK31</f>
        <v>0</v>
      </c>
      <c r="AL97" s="25">
        <f>AL56-'Maj Production Summ'!AL31</f>
        <v>0</v>
      </c>
      <c r="AM97" s="25">
        <f>AM56-'Maj Production Summ'!AM31</f>
        <v>0</v>
      </c>
      <c r="AN97" s="25">
        <f>AN56-'Maj Production Summ'!AN31</f>
        <v>0</v>
      </c>
      <c r="AO97" s="25">
        <f>AO56-'Maj Production Summ'!AO31</f>
        <v>0</v>
      </c>
      <c r="AP97" s="25">
        <f>AP56-'Maj Production Summ'!AP31</f>
        <v>0</v>
      </c>
      <c r="AQ97" s="25">
        <f>AQ56-'Maj Production Summ'!AQ31</f>
        <v>0</v>
      </c>
      <c r="AR97" s="25">
        <f>AR56-'Maj Production Summ'!AR31</f>
        <v>0</v>
      </c>
      <c r="AS97" s="25">
        <f>AS56-'Maj Production Summ'!AS31</f>
        <v>0</v>
      </c>
      <c r="AT97" s="25">
        <f>AT56-'Maj Production Summ'!AT31</f>
        <v>0</v>
      </c>
      <c r="AU97" s="25">
        <f>AU56-'Maj Production Summ'!AU31</f>
        <v>0</v>
      </c>
      <c r="AV97" s="25">
        <f>AV56-'Maj Production Summ'!AV31</f>
        <v>0</v>
      </c>
      <c r="AW97" s="25">
        <f>AW56-'Maj Production Summ'!AW31</f>
        <v>0</v>
      </c>
      <c r="AX97" s="25">
        <f>AX56-'Maj Production Summ'!AX31</f>
        <v>0</v>
      </c>
      <c r="AY97" s="25">
        <f>AY56-'Maj Production Summ'!AY31</f>
        <v>0</v>
      </c>
      <c r="AZ97" s="7511">
        <f>AZ56-'Maj Production Summ'!AZ31</f>
        <v>0</v>
      </c>
      <c r="BA97" s="25">
        <f>BA56-'Maj Production Summ'!BA31</f>
        <v>0</v>
      </c>
      <c r="BB97" s="25">
        <f>BB56-'Maj Production Summ'!BB31</f>
        <v>0</v>
      </c>
      <c r="BC97" s="25">
        <f>BC56-'Maj Production Summ'!BC31</f>
        <v>0</v>
      </c>
      <c r="BD97" s="25">
        <f>BD56-'Maj Production Summ'!BD31</f>
        <v>0</v>
      </c>
      <c r="BE97" s="25">
        <f>BE56-'Maj Production Summ'!BE31</f>
        <v>0</v>
      </c>
      <c r="BF97" s="25">
        <f>BF56-'Maj Production Summ'!BF31</f>
        <v>0</v>
      </c>
      <c r="BG97" s="4234"/>
      <c r="BH97" s="4234"/>
      <c r="BI97" s="25"/>
      <c r="BJ97" s="25"/>
      <c r="BK97" s="25"/>
      <c r="BL97" s="25"/>
      <c r="BM97" s="25"/>
      <c r="BN97" s="25"/>
    </row>
    <row r="98" spans="5:66" x14ac:dyDescent="0.25">
      <c r="AU98" s="4487"/>
      <c r="AV98" s="4487"/>
    </row>
    <row r="99" spans="5:66" x14ac:dyDescent="0.25">
      <c r="AQ99" s="25"/>
      <c r="AR99" s="25"/>
      <c r="AS99" s="25"/>
      <c r="AT99" s="25"/>
      <c r="AU99" s="25"/>
      <c r="AV99" s="25"/>
    </row>
    <row r="100" spans="5:66" x14ac:dyDescent="0.25">
      <c r="AZ100" s="4152"/>
    </row>
    <row r="101" spans="5:66" x14ac:dyDescent="0.25">
      <c r="AZ101" s="4152"/>
    </row>
  </sheetData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46"/>
  <sheetViews>
    <sheetView topLeftCell="A140" zoomScaleNormal="100" workbookViewId="0">
      <pane xSplit="5" topLeftCell="F1" activePane="topRight" state="frozen"/>
      <selection pane="topRight" activeCell="BT22" sqref="BT22"/>
    </sheetView>
  </sheetViews>
  <sheetFormatPr defaultColWidth="9.140625" defaultRowHeight="15" x14ac:dyDescent="0.25"/>
  <cols>
    <col min="1" max="1" width="3.5703125" customWidth="1"/>
    <col min="2" max="2" width="36.28515625" customWidth="1"/>
    <col min="3" max="3" width="13.28515625" bestFit="1" customWidth="1"/>
    <col min="4" max="4" width="12" customWidth="1"/>
    <col min="5" max="5" width="24.28515625" bestFit="1" customWidth="1"/>
    <col min="6" max="7" width="15.85546875" bestFit="1" customWidth="1"/>
    <col min="8" max="8" width="8.7109375" hidden="1" customWidth="1"/>
    <col min="9" max="9" width="8.5703125" hidden="1" customWidth="1"/>
    <col min="10" max="10" width="10.28515625" hidden="1" customWidth="1"/>
    <col min="11" max="11" width="9.42578125" hidden="1" customWidth="1"/>
    <col min="12" max="13" width="8.5703125" hidden="1" customWidth="1"/>
    <col min="14" max="15" width="10.28515625" hidden="1" customWidth="1"/>
    <col min="16" max="17" width="8.5703125" hidden="1" customWidth="1"/>
    <col min="18" max="18" width="12.140625" hidden="1" customWidth="1"/>
    <col min="19" max="19" width="9.42578125" hidden="1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4487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8" hidden="1" customWidth="1"/>
    <col min="46" max="53" width="9.140625" hidden="1" customWidth="1"/>
    <col min="54" max="57" width="9.140625" style="2819" hidden="1" customWidth="1"/>
    <col min="58" max="59" width="9.140625" hidden="1" customWidth="1"/>
    <col min="60" max="60" width="12.42578125" hidden="1" customWidth="1"/>
    <col min="61" max="61" width="9.5703125" hidden="1" customWidth="1"/>
    <col min="62" max="65" width="9.140625" hidden="1" customWidth="1"/>
    <col min="66" max="66" width="9.5703125" hidden="1" customWidth="1"/>
    <col min="67" max="67" width="0" hidden="1" customWidth="1"/>
    <col min="68" max="68" width="9.5703125" hidden="1" customWidth="1"/>
    <col min="69" max="69" width="9.28515625" bestFit="1" customWidth="1"/>
    <col min="70" max="70" width="9.5703125" bestFit="1" customWidth="1"/>
  </cols>
  <sheetData>
    <row r="1" spans="1:72" ht="22.5" x14ac:dyDescent="0.3">
      <c r="A1" s="139"/>
      <c r="B1" s="743" t="s">
        <v>115</v>
      </c>
      <c r="C1" s="743"/>
      <c r="D1" s="743"/>
      <c r="E1" s="496"/>
      <c r="F1" s="496"/>
      <c r="G1" s="496"/>
      <c r="H1" s="496"/>
      <c r="I1" s="496"/>
      <c r="J1" s="496"/>
      <c r="K1" s="496"/>
      <c r="L1" s="144"/>
      <c r="M1" s="144"/>
      <c r="N1" s="144"/>
      <c r="O1" s="144"/>
      <c r="P1" s="144"/>
      <c r="Q1" s="144"/>
      <c r="R1" s="144"/>
      <c r="S1" s="144"/>
      <c r="T1" s="144"/>
      <c r="U1" s="1659"/>
      <c r="V1" s="144"/>
      <c r="W1" s="144"/>
      <c r="X1" s="144"/>
      <c r="Y1" s="144"/>
      <c r="Z1" s="144"/>
      <c r="AA1" s="144"/>
      <c r="AB1" s="144"/>
      <c r="AC1" s="144"/>
      <c r="AD1" s="144"/>
      <c r="AE1" s="144"/>
    </row>
    <row r="2" spans="1:72" ht="15.75" thickBot="1" x14ac:dyDescent="0.3">
      <c r="A2" s="139"/>
      <c r="B2" s="496"/>
      <c r="C2" s="496"/>
      <c r="D2" s="496"/>
      <c r="E2" s="496"/>
      <c r="F2" s="375">
        <v>30</v>
      </c>
      <c r="G2" s="375">
        <v>30</v>
      </c>
      <c r="H2" s="375">
        <v>31</v>
      </c>
      <c r="I2" s="375">
        <v>31</v>
      </c>
      <c r="J2" s="375">
        <f>+F2+H2</f>
        <v>61</v>
      </c>
      <c r="K2" s="375">
        <f>+G2+I2</f>
        <v>61</v>
      </c>
      <c r="L2" s="375">
        <v>30</v>
      </c>
      <c r="M2" s="375">
        <v>30</v>
      </c>
      <c r="N2" s="375">
        <f>+J2+L2</f>
        <v>91</v>
      </c>
      <c r="O2" s="375">
        <f>+K2+M2</f>
        <v>91</v>
      </c>
      <c r="P2" s="375">
        <v>31</v>
      </c>
      <c r="Q2" s="375">
        <v>31</v>
      </c>
      <c r="R2" s="375">
        <f>+N2+P2</f>
        <v>122</v>
      </c>
      <c r="S2" s="375">
        <f>+O2+Q2</f>
        <v>122</v>
      </c>
      <c r="T2" s="375">
        <v>31</v>
      </c>
      <c r="U2" s="1660">
        <v>31</v>
      </c>
      <c r="V2" s="375">
        <f>+R2+T2</f>
        <v>153</v>
      </c>
      <c r="W2" s="375">
        <f>+S2+U2</f>
        <v>153</v>
      </c>
      <c r="X2" s="375">
        <v>30</v>
      </c>
      <c r="Y2" s="375">
        <v>30</v>
      </c>
      <c r="Z2" s="375">
        <f>+P2+T2+X2</f>
        <v>92</v>
      </c>
      <c r="AA2" s="375">
        <f>+Q2+U2+Y2</f>
        <v>92</v>
      </c>
      <c r="AB2" s="375">
        <f>+Z2+N2</f>
        <v>183</v>
      </c>
      <c r="AC2" s="375">
        <f>+AA2+O2</f>
        <v>183</v>
      </c>
      <c r="AD2" s="375">
        <v>31</v>
      </c>
      <c r="AE2" s="375">
        <v>31</v>
      </c>
      <c r="AF2" s="375">
        <f>+AB2+AD2</f>
        <v>214</v>
      </c>
      <c r="AG2" s="375">
        <f>+AC2+AE2</f>
        <v>214</v>
      </c>
      <c r="AH2" s="375">
        <v>30</v>
      </c>
      <c r="AI2" s="1660">
        <v>30</v>
      </c>
      <c r="AJ2" s="375">
        <f>+AF2+AH2</f>
        <v>244</v>
      </c>
      <c r="AK2" s="375">
        <f>+AG2+AI2</f>
        <v>244</v>
      </c>
      <c r="AL2" s="375">
        <v>31</v>
      </c>
      <c r="AM2" s="1660">
        <v>31</v>
      </c>
      <c r="AN2" s="375">
        <f>+AD2+AH2+AL2</f>
        <v>92</v>
      </c>
      <c r="AO2" s="375">
        <f>+AE2+AI2+AM2</f>
        <v>92</v>
      </c>
      <c r="AP2" s="375">
        <f>AJ2+AL2</f>
        <v>275</v>
      </c>
      <c r="AQ2" s="375">
        <f>AK2+AM2</f>
        <v>275</v>
      </c>
      <c r="AR2" s="375">
        <v>31</v>
      </c>
      <c r="AS2" s="1660">
        <v>31</v>
      </c>
      <c r="AT2" s="375">
        <f>+AP2+AR2</f>
        <v>306</v>
      </c>
      <c r="AU2" s="375">
        <f>+AQ2+AS2</f>
        <v>306</v>
      </c>
      <c r="AV2" s="375">
        <v>28</v>
      </c>
      <c r="AW2" s="1660">
        <v>28</v>
      </c>
      <c r="AX2" s="375">
        <f>+AT2+AV2</f>
        <v>334</v>
      </c>
      <c r="AY2" s="375">
        <f>+AU2+AW2</f>
        <v>334</v>
      </c>
      <c r="AZ2" s="375">
        <v>31</v>
      </c>
      <c r="BA2" s="1660">
        <v>31</v>
      </c>
      <c r="BB2" s="375">
        <f>+AR2+AV2+AZ2</f>
        <v>90</v>
      </c>
      <c r="BC2" s="375">
        <f>+AS2+AW2+BA2</f>
        <v>90</v>
      </c>
      <c r="BD2" s="375">
        <f>+AN2+BB2</f>
        <v>182</v>
      </c>
      <c r="BE2" s="375">
        <f>+AO2+BC2</f>
        <v>182</v>
      </c>
      <c r="BF2" s="375">
        <f>+AX2+AZ2</f>
        <v>365</v>
      </c>
      <c r="BG2" s="375">
        <f>+AY2+BA2</f>
        <v>365</v>
      </c>
    </row>
    <row r="3" spans="1:72" ht="15.75" thickBot="1" x14ac:dyDescent="0.3">
      <c r="B3" s="8116" t="s">
        <v>171</v>
      </c>
      <c r="C3" s="8112" t="s">
        <v>812</v>
      </c>
      <c r="D3" s="8114" t="s">
        <v>813</v>
      </c>
      <c r="E3" s="8118" t="s">
        <v>172</v>
      </c>
      <c r="F3" s="7780" t="s">
        <v>2319</v>
      </c>
      <c r="G3" s="7777"/>
      <c r="H3" s="7780" t="s">
        <v>1956</v>
      </c>
      <c r="I3" s="7777"/>
      <c r="J3" s="7825" t="s">
        <v>14</v>
      </c>
      <c r="K3" s="8120"/>
      <c r="L3" s="7780" t="s">
        <v>1986</v>
      </c>
      <c r="M3" s="7777"/>
      <c r="N3" s="7769" t="s">
        <v>607</v>
      </c>
      <c r="O3" s="7770"/>
      <c r="P3" s="7780" t="s">
        <v>2008</v>
      </c>
      <c r="Q3" s="7777"/>
      <c r="R3" s="7766" t="s">
        <v>17</v>
      </c>
      <c r="S3" s="7767"/>
      <c r="T3" s="7780" t="s">
        <v>2011</v>
      </c>
      <c r="U3" s="7777"/>
      <c r="V3" s="7766" t="s">
        <v>18</v>
      </c>
      <c r="W3" s="7767"/>
      <c r="X3" s="7768" t="s">
        <v>2042</v>
      </c>
      <c r="Y3" s="7768"/>
      <c r="Z3" s="7781" t="s">
        <v>629</v>
      </c>
      <c r="AA3" s="7770"/>
      <c r="AB3" s="7771" t="s">
        <v>626</v>
      </c>
      <c r="AC3" s="7772"/>
      <c r="AD3" s="7768" t="s">
        <v>2067</v>
      </c>
      <c r="AE3" s="7768"/>
      <c r="AF3" s="7766" t="s">
        <v>24</v>
      </c>
      <c r="AG3" s="7767"/>
      <c r="AH3" s="7780" t="s">
        <v>2170</v>
      </c>
      <c r="AI3" s="7777"/>
      <c r="AJ3" s="7766" t="s">
        <v>27</v>
      </c>
      <c r="AK3" s="7767"/>
      <c r="AL3" s="7780" t="s">
        <v>2194</v>
      </c>
      <c r="AM3" s="7777"/>
      <c r="AN3" s="7781" t="s">
        <v>631</v>
      </c>
      <c r="AO3" s="7770"/>
      <c r="AP3" s="7766" t="s">
        <v>1575</v>
      </c>
      <c r="AQ3" s="7767"/>
      <c r="AR3" s="7780" t="s">
        <v>2206</v>
      </c>
      <c r="AS3" s="7777"/>
      <c r="AT3" s="7766" t="s">
        <v>28</v>
      </c>
      <c r="AU3" s="7767"/>
      <c r="AV3" s="7780" t="s">
        <v>2243</v>
      </c>
      <c r="AW3" s="7777"/>
      <c r="AX3" s="7766" t="s">
        <v>30</v>
      </c>
      <c r="AY3" s="7767"/>
      <c r="AZ3" s="7780" t="s">
        <v>2261</v>
      </c>
      <c r="BA3" s="7777"/>
      <c r="BB3" s="7781" t="s">
        <v>632</v>
      </c>
      <c r="BC3" s="7770"/>
      <c r="BD3" s="8110" t="s">
        <v>638</v>
      </c>
      <c r="BE3" s="8111"/>
      <c r="BF3" s="7766" t="s">
        <v>1984</v>
      </c>
      <c r="BG3" s="7767"/>
    </row>
    <row r="4" spans="1:72" x14ac:dyDescent="0.25">
      <c r="B4" s="8117"/>
      <c r="C4" s="8113"/>
      <c r="D4" s="8115"/>
      <c r="E4" s="8119"/>
      <c r="F4" s="4179" t="s">
        <v>173</v>
      </c>
      <c r="G4" s="4180" t="s">
        <v>174</v>
      </c>
      <c r="H4" s="4179" t="s">
        <v>173</v>
      </c>
      <c r="I4" s="4180" t="s">
        <v>174</v>
      </c>
      <c r="J4" s="6085" t="s">
        <v>173</v>
      </c>
      <c r="K4" s="6080" t="s">
        <v>174</v>
      </c>
      <c r="L4" s="4179" t="s">
        <v>173</v>
      </c>
      <c r="M4" s="4180" t="s">
        <v>174</v>
      </c>
      <c r="N4" s="6086" t="s">
        <v>173</v>
      </c>
      <c r="O4" s="6081" t="s">
        <v>174</v>
      </c>
      <c r="P4" s="6087" t="s">
        <v>173</v>
      </c>
      <c r="Q4" s="6082" t="s">
        <v>174</v>
      </c>
      <c r="R4" s="4182" t="s">
        <v>173</v>
      </c>
      <c r="S4" s="4183" t="s">
        <v>174</v>
      </c>
      <c r="T4" s="6087" t="s">
        <v>173</v>
      </c>
      <c r="U4" s="6083" t="s">
        <v>174</v>
      </c>
      <c r="V4" s="4182" t="s">
        <v>173</v>
      </c>
      <c r="W4" s="4183" t="s">
        <v>174</v>
      </c>
      <c r="X4" s="6088" t="s">
        <v>173</v>
      </c>
      <c r="Y4" s="6082" t="s">
        <v>174</v>
      </c>
      <c r="Z4" s="4184" t="s">
        <v>173</v>
      </c>
      <c r="AA4" s="6081" t="s">
        <v>174</v>
      </c>
      <c r="AB4" s="6089" t="s">
        <v>173</v>
      </c>
      <c r="AC4" s="6084" t="s">
        <v>174</v>
      </c>
      <c r="AD4" s="6088" t="s">
        <v>173</v>
      </c>
      <c r="AE4" s="6082" t="s">
        <v>174</v>
      </c>
      <c r="AF4" s="4182" t="s">
        <v>173</v>
      </c>
      <c r="AG4" s="4183" t="s">
        <v>174</v>
      </c>
      <c r="AH4" s="6087" t="s">
        <v>173</v>
      </c>
      <c r="AI4" s="6083" t="s">
        <v>174</v>
      </c>
      <c r="AJ4" s="4182" t="s">
        <v>173</v>
      </c>
      <c r="AK4" s="4183" t="s">
        <v>174</v>
      </c>
      <c r="AL4" s="6087" t="s">
        <v>173</v>
      </c>
      <c r="AM4" s="6083" t="s">
        <v>174</v>
      </c>
      <c r="AN4" s="4184" t="s">
        <v>173</v>
      </c>
      <c r="AO4" s="6081" t="s">
        <v>174</v>
      </c>
      <c r="AP4" s="4182" t="s">
        <v>173</v>
      </c>
      <c r="AQ4" s="4183" t="s">
        <v>174</v>
      </c>
      <c r="AR4" s="6087" t="s">
        <v>173</v>
      </c>
      <c r="AS4" s="6083" t="s">
        <v>174</v>
      </c>
      <c r="AT4" s="4182" t="s">
        <v>173</v>
      </c>
      <c r="AU4" s="4183" t="s">
        <v>174</v>
      </c>
      <c r="AV4" s="6087" t="s">
        <v>173</v>
      </c>
      <c r="AW4" s="6083" t="s">
        <v>174</v>
      </c>
      <c r="AX4" s="4182" t="s">
        <v>173</v>
      </c>
      <c r="AY4" s="4183" t="s">
        <v>174</v>
      </c>
      <c r="AZ4" s="6087" t="s">
        <v>173</v>
      </c>
      <c r="BA4" s="6083" t="s">
        <v>174</v>
      </c>
      <c r="BB4" s="4184" t="s">
        <v>173</v>
      </c>
      <c r="BC4" s="6081" t="s">
        <v>174</v>
      </c>
      <c r="BD4" s="6090" t="s">
        <v>173</v>
      </c>
      <c r="BE4" s="6091" t="s">
        <v>174</v>
      </c>
      <c r="BF4" s="4182" t="s">
        <v>173</v>
      </c>
      <c r="BG4" s="4183" t="s">
        <v>174</v>
      </c>
      <c r="BI4" s="4487"/>
      <c r="BJ4" s="4487"/>
    </row>
    <row r="5" spans="1:72" s="4487" customFormat="1" hidden="1" x14ac:dyDescent="0.25">
      <c r="B5" s="6093"/>
      <c r="C5" s="6094" t="s">
        <v>2057</v>
      </c>
      <c r="D5" s="6095"/>
      <c r="E5" s="6094"/>
      <c r="F5" s="6094"/>
      <c r="G5" s="6096">
        <f>G7-G6</f>
        <v>55889.46</v>
      </c>
      <c r="H5" s="6094"/>
      <c r="I5" s="6096">
        <f>I7-I6</f>
        <v>60969.777000000002</v>
      </c>
      <c r="J5" s="6097"/>
      <c r="K5" s="6097"/>
      <c r="L5" s="6094"/>
      <c r="M5" s="6096">
        <f>M7-M6</f>
        <v>60087.909999999974</v>
      </c>
      <c r="N5" s="6098"/>
      <c r="O5" s="6099">
        <f t="shared" ref="O5:O6" si="0">+G5+I5+M5</f>
        <v>176947.14699999997</v>
      </c>
      <c r="P5" s="6100"/>
      <c r="Q5" s="6096">
        <f>Q7-Q6</f>
        <v>60960.812000000013</v>
      </c>
      <c r="R5" s="6097"/>
      <c r="S5" s="6097"/>
      <c r="T5" s="6100"/>
      <c r="U5" s="6096">
        <f>U7-U6</f>
        <v>46984.822000000007</v>
      </c>
      <c r="V5" s="6097"/>
      <c r="W5" s="6101">
        <f t="shared" ref="W5:W6" si="1">+S5+U5</f>
        <v>46984.822000000007</v>
      </c>
      <c r="X5" s="6100"/>
      <c r="Y5" s="6096">
        <f>Y7-Y6</f>
        <v>53203.589000000007</v>
      </c>
      <c r="Z5" s="6098"/>
      <c r="AA5" s="6099">
        <f>+Q5+U5+Y5</f>
        <v>161149.22300000003</v>
      </c>
      <c r="AB5" s="6102"/>
      <c r="AC5" s="6102">
        <f t="shared" ref="AC5:AC6" si="2">+AA5+O5</f>
        <v>338096.37</v>
      </c>
      <c r="AD5" s="6100"/>
      <c r="AE5" s="6100"/>
      <c r="AF5" s="6097"/>
      <c r="AG5" s="6097"/>
      <c r="AH5" s="6100"/>
      <c r="AI5" s="6103"/>
      <c r="AJ5" s="6097"/>
      <c r="AK5" s="6097"/>
      <c r="AL5" s="6100"/>
      <c r="AM5" s="6103"/>
      <c r="AN5" s="6098"/>
      <c r="AO5" s="6098"/>
      <c r="AP5" s="6097"/>
      <c r="AQ5" s="6097"/>
      <c r="AR5" s="6100"/>
      <c r="AS5" s="6103"/>
      <c r="AT5" s="6097"/>
      <c r="AU5" s="6097"/>
      <c r="AV5" s="6100"/>
      <c r="AW5" s="6103"/>
      <c r="AX5" s="6097"/>
      <c r="AY5" s="6097"/>
      <c r="AZ5" s="6100"/>
      <c r="BA5" s="6103"/>
      <c r="BB5" s="6098"/>
      <c r="BC5" s="6098"/>
      <c r="BD5" s="6104"/>
      <c r="BE5" s="6104"/>
      <c r="BF5" s="6097"/>
      <c r="BG5" s="6097"/>
      <c r="BH5" s="6105"/>
    </row>
    <row r="6" spans="1:72" s="4487" customFormat="1" hidden="1" x14ac:dyDescent="0.25">
      <c r="B6" s="6093"/>
      <c r="C6" s="6094" t="s">
        <v>2058</v>
      </c>
      <c r="D6" s="6095"/>
      <c r="E6" s="6094"/>
      <c r="F6" s="6094"/>
      <c r="G6" s="6094"/>
      <c r="H6" s="6094"/>
      <c r="I6" s="6094"/>
      <c r="J6" s="6097"/>
      <c r="K6" s="6097"/>
      <c r="L6" s="6094"/>
      <c r="M6" s="6096">
        <v>2132.9</v>
      </c>
      <c r="N6" s="6098"/>
      <c r="O6" s="6099">
        <f t="shared" si="0"/>
        <v>2132.9</v>
      </c>
      <c r="P6" s="6100"/>
      <c r="Q6" s="6100"/>
      <c r="R6" s="6097"/>
      <c r="S6" s="6097"/>
      <c r="T6" s="6100"/>
      <c r="U6" s="6106">
        <v>535.9</v>
      </c>
      <c r="V6" s="6097"/>
      <c r="W6" s="6101">
        <f t="shared" si="1"/>
        <v>535.9</v>
      </c>
      <c r="X6" s="6100"/>
      <c r="Y6" s="6100"/>
      <c r="Z6" s="6098"/>
      <c r="AA6" s="6099">
        <f>+Q6+U6+Y6</f>
        <v>535.9</v>
      </c>
      <c r="AB6" s="6102"/>
      <c r="AC6" s="6107">
        <f t="shared" si="2"/>
        <v>2668.8</v>
      </c>
      <c r="AD6" s="6100"/>
      <c r="AE6" s="6100"/>
      <c r="AF6" s="6097"/>
      <c r="AG6" s="6097"/>
      <c r="AH6" s="6100"/>
      <c r="AI6" s="6103"/>
      <c r="AJ6" s="6097"/>
      <c r="AK6" s="6097"/>
      <c r="AL6" s="6100"/>
      <c r="AM6" s="6103"/>
      <c r="AN6" s="6098"/>
      <c r="AO6" s="6098"/>
      <c r="AP6" s="6097"/>
      <c r="AQ6" s="6097"/>
      <c r="AR6" s="6100"/>
      <c r="AS6" s="6103"/>
      <c r="AT6" s="6097"/>
      <c r="AU6" s="6097"/>
      <c r="AV6" s="6100"/>
      <c r="AW6" s="6103"/>
      <c r="AX6" s="6097"/>
      <c r="AY6" s="6097"/>
      <c r="AZ6" s="6100"/>
      <c r="BA6" s="6103"/>
      <c r="BB6" s="6098"/>
      <c r="BC6" s="6098"/>
      <c r="BD6" s="6104"/>
      <c r="BE6" s="6104"/>
      <c r="BF6" s="6097"/>
      <c r="BG6" s="6097"/>
      <c r="BH6" s="6105"/>
    </row>
    <row r="7" spans="1:72" ht="17.100000000000001" customHeight="1" thickBot="1" x14ac:dyDescent="0.3">
      <c r="B7" s="6092" t="s">
        <v>809</v>
      </c>
      <c r="C7" s="3316"/>
      <c r="D7" s="3317"/>
      <c r="E7" s="3318" t="s">
        <v>50</v>
      </c>
      <c r="F7" s="3319">
        <v>59102.902374670186</v>
      </c>
      <c r="G7" s="545">
        <v>55889.46</v>
      </c>
      <c r="H7" s="3319">
        <v>68601.583113456465</v>
      </c>
      <c r="I7" s="545">
        <v>60969.777000000002</v>
      </c>
      <c r="J7" s="832">
        <f>+H7+F7</f>
        <v>127704.48548812665</v>
      </c>
      <c r="K7" s="3320">
        <f>+G7+I7</f>
        <v>116859.23699999999</v>
      </c>
      <c r="L7" s="3319">
        <v>65963.06068601583</v>
      </c>
      <c r="M7" s="545">
        <v>62220.809999999976</v>
      </c>
      <c r="N7" s="1946">
        <f>+F7+H7+L7</f>
        <v>193667.54617414248</v>
      </c>
      <c r="O7" s="1947">
        <f>+G7+I7+M7</f>
        <v>179080.04699999996</v>
      </c>
      <c r="P7" s="3319">
        <v>68601.583113456465</v>
      </c>
      <c r="Q7" s="545">
        <v>60960.812000000013</v>
      </c>
      <c r="R7" s="1955">
        <f>+N7+P7</f>
        <v>262269.12928759895</v>
      </c>
      <c r="S7" s="95">
        <f>+O7+Q7</f>
        <v>240040.85899999997</v>
      </c>
      <c r="T7" s="3319">
        <v>68601.583113456465</v>
      </c>
      <c r="U7" s="545">
        <v>47520.722000000009</v>
      </c>
      <c r="V7" s="1955">
        <f>+R7+T7</f>
        <v>330870.71240105538</v>
      </c>
      <c r="W7" s="95">
        <f>+S7+U7</f>
        <v>287561.58100000001</v>
      </c>
      <c r="X7" s="3319">
        <v>35356.200527704488</v>
      </c>
      <c r="Y7" s="545">
        <v>53203.589000000007</v>
      </c>
      <c r="Z7" s="846">
        <f>+P7+T7+X7</f>
        <v>172559.36675461743</v>
      </c>
      <c r="AA7" s="88">
        <f>+Q7+U7+Y7</f>
        <v>161685.12300000002</v>
      </c>
      <c r="AB7" s="2293">
        <f>+N7+Z7</f>
        <v>366226.91292875994</v>
      </c>
      <c r="AC7" s="442">
        <f>+AA7+O7</f>
        <v>340765.17</v>
      </c>
      <c r="AD7" s="3319">
        <v>70712.401055408976</v>
      </c>
      <c r="AE7" s="545">
        <v>31835.587</v>
      </c>
      <c r="AF7" s="1955">
        <f>+AB7+AD7</f>
        <v>436939.31398416893</v>
      </c>
      <c r="AG7" s="95">
        <f>+AC7+AE7</f>
        <v>372600.75699999998</v>
      </c>
      <c r="AH7" s="3319">
        <v>68601.583113456465</v>
      </c>
      <c r="AI7" s="545">
        <v>52559.118000000009</v>
      </c>
      <c r="AJ7" s="1955">
        <f>+AF7+AH7</f>
        <v>505540.89709762542</v>
      </c>
      <c r="AK7" s="95">
        <f>+AG7+AI7</f>
        <v>425159.875</v>
      </c>
      <c r="AL7" s="3319">
        <v>71240.105540897101</v>
      </c>
      <c r="AM7" s="545">
        <v>56760.718000000001</v>
      </c>
      <c r="AN7" s="846">
        <f>+AD7+AH7+AL7</f>
        <v>210554.08970976254</v>
      </c>
      <c r="AO7" s="88">
        <f>+AE7+AI7+AM7</f>
        <v>141155.42300000001</v>
      </c>
      <c r="AP7" s="1955">
        <f>+AL7+AJ7</f>
        <v>576781.00263852254</v>
      </c>
      <c r="AQ7" s="1955">
        <f>+AM7+AK7</f>
        <v>481920.59299999999</v>
      </c>
      <c r="AR7" s="3319">
        <v>71767.810026385225</v>
      </c>
      <c r="AS7" s="545">
        <v>60241.546999999999</v>
      </c>
      <c r="AT7" s="1955">
        <f>+AP7+AR7</f>
        <v>648548.81266490777</v>
      </c>
      <c r="AU7" s="95">
        <f>+AQ7+AS7</f>
        <v>542162.14</v>
      </c>
      <c r="AV7" s="3319">
        <v>64379.94722955145</v>
      </c>
      <c r="AW7" s="545">
        <v>57535.981999999996</v>
      </c>
      <c r="AX7" s="1955">
        <f>+AT7+AV7</f>
        <v>712928.75989445928</v>
      </c>
      <c r="AY7" s="95">
        <f>+AU7+AW7</f>
        <v>599698.12199999997</v>
      </c>
      <c r="AZ7" s="3319">
        <v>72295.514511873349</v>
      </c>
      <c r="BA7" s="545">
        <v>67044.626999999993</v>
      </c>
      <c r="BB7" s="846">
        <f>+AR7+AV7+AZ7</f>
        <v>208443.27176781005</v>
      </c>
      <c r="BC7" s="88">
        <f>+AS7+AW7+BA7</f>
        <v>184822.15599999999</v>
      </c>
      <c r="BD7" s="847">
        <f>+AN7+BB7</f>
        <v>418997.36147757259</v>
      </c>
      <c r="BE7" s="847">
        <f>+AO7+BC7</f>
        <v>325977.57900000003</v>
      </c>
      <c r="BF7" s="1955">
        <f>+AX7+AZ7</f>
        <v>785224.27440633264</v>
      </c>
      <c r="BG7" s="95">
        <f>+AY7+BA7</f>
        <v>666742.74899999995</v>
      </c>
      <c r="BH7" s="4234">
        <f>F7+H7+L7+P7+T7+X7+AD7+AH7+AL7+AR7+AV7+AZ7-BF7</f>
        <v>0</v>
      </c>
      <c r="BI7" s="4234">
        <f>G7+I7+M7+Q7+U7+Y7+AE7+AI7+AM7+AS7+AW7+BA7-BG7</f>
        <v>0</v>
      </c>
      <c r="BJ7" s="25"/>
      <c r="BK7" s="25">
        <f>AZ7+AV7+AR7+AL7+AH7+AD7-BD7</f>
        <v>0</v>
      </c>
      <c r="BL7" s="25">
        <f>BA7+AW7+AS7+AM7+AI7+AE7-BE7</f>
        <v>0</v>
      </c>
      <c r="BM7" s="25"/>
      <c r="BN7" s="518"/>
    </row>
    <row r="8" spans="1:72" x14ac:dyDescent="0.25">
      <c r="B8" s="3325" t="s">
        <v>814</v>
      </c>
      <c r="C8" s="3326" t="s">
        <v>905</v>
      </c>
      <c r="D8" s="3327">
        <v>42.24</v>
      </c>
      <c r="E8" s="1243" t="s">
        <v>50</v>
      </c>
      <c r="F8" s="3328"/>
      <c r="G8" s="85">
        <v>561.23400000000004</v>
      </c>
      <c r="H8" s="3328"/>
      <c r="I8" s="85">
        <v>459.78500000000008</v>
      </c>
      <c r="J8" s="3329"/>
      <c r="K8" s="5241">
        <f>+G8+I8</f>
        <v>1021.0190000000001</v>
      </c>
      <c r="L8" s="3328"/>
      <c r="M8" s="85"/>
      <c r="N8" s="1948"/>
      <c r="O8" s="67">
        <f>+G8+I8+M8</f>
        <v>1021.0190000000001</v>
      </c>
      <c r="P8" s="3328"/>
      <c r="Q8" s="85">
        <v>825.04300000000001</v>
      </c>
      <c r="R8" s="1956"/>
      <c r="S8" s="37">
        <f>+O8+Q8</f>
        <v>1846.0620000000001</v>
      </c>
      <c r="T8" s="3328"/>
      <c r="U8" s="85">
        <v>407.125</v>
      </c>
      <c r="V8" s="1956"/>
      <c r="W8" s="37">
        <f>+S8+U8</f>
        <v>2253.1869999999999</v>
      </c>
      <c r="X8" s="3328"/>
      <c r="Y8" s="85">
        <v>296.09300000000002</v>
      </c>
      <c r="Z8" s="848"/>
      <c r="AA8" s="732">
        <f>+Q8+U8+Y8</f>
        <v>1528.2610000000002</v>
      </c>
      <c r="AB8" s="4498"/>
      <c r="AC8" s="4494">
        <f>+AA8+O8</f>
        <v>2549.2800000000002</v>
      </c>
      <c r="AD8" s="3328"/>
      <c r="AE8" s="85">
        <v>357.71000000000004</v>
      </c>
      <c r="AF8" s="1956"/>
      <c r="AG8" s="37">
        <f>+AC8+AE8</f>
        <v>2906.9900000000002</v>
      </c>
      <c r="AH8" s="3328"/>
      <c r="AI8" s="85">
        <v>499.65499999999997</v>
      </c>
      <c r="AJ8" s="1956"/>
      <c r="AK8" s="37">
        <f>+AG8+AI8</f>
        <v>3406.6450000000004</v>
      </c>
      <c r="AL8" s="3328"/>
      <c r="AM8" s="85">
        <v>269.346</v>
      </c>
      <c r="AN8" s="848"/>
      <c r="AO8" s="2544">
        <f>+AE8+AI8+AM8</f>
        <v>1126.711</v>
      </c>
      <c r="AP8" s="1956"/>
      <c r="AQ8" s="37">
        <f>AK8+AM8</f>
        <v>3675.9910000000004</v>
      </c>
      <c r="AR8" s="3328"/>
      <c r="AS8" s="85">
        <v>246.18600000000001</v>
      </c>
      <c r="AT8" s="1956"/>
      <c r="AU8" s="37">
        <f>+AQ8+AS8</f>
        <v>3922.1770000000006</v>
      </c>
      <c r="AV8" s="3328"/>
      <c r="AW8" s="85"/>
      <c r="AX8" s="1956"/>
      <c r="AY8" s="37">
        <f>+AU8+AW8</f>
        <v>3922.1770000000006</v>
      </c>
      <c r="AZ8" s="3328"/>
      <c r="BA8" s="85">
        <v>252.863</v>
      </c>
      <c r="BB8" s="848"/>
      <c r="BC8" s="2812">
        <f>+AS8+AW8+BA8</f>
        <v>499.04899999999998</v>
      </c>
      <c r="BD8" s="849"/>
      <c r="BE8" s="657">
        <f>+AO8+BC8</f>
        <v>1625.76</v>
      </c>
      <c r="BF8" s="1956"/>
      <c r="BG8" s="37">
        <f>+AY8+BA8</f>
        <v>4175.0400000000009</v>
      </c>
      <c r="BH8" s="4234">
        <f t="shared" ref="BH8:BH72" si="3">F8+H8+L8+P8+T8+X8+AD8+AH8+AL8+AR8+AV8+AZ8-BF8</f>
        <v>0</v>
      </c>
      <c r="BI8" s="4234">
        <f t="shared" ref="BI8:BI72" si="4">G8+I8+M8+Q8+U8+Y8+AE8+AI8+AM8+AS8+AW8+BA8-BG8</f>
        <v>0</v>
      </c>
      <c r="BJ8" s="25"/>
      <c r="BK8" s="25">
        <f t="shared" ref="BK8:BK72" si="5">AZ8+AV8+AR8+AL8+AH8+AD8-BD8</f>
        <v>0</v>
      </c>
      <c r="BL8" s="25">
        <f t="shared" ref="BL8:BL72" si="6">BA8+AW8+AS8+AM8+AI8+AE8-BE8</f>
        <v>0</v>
      </c>
      <c r="BM8" s="25"/>
      <c r="BN8" s="1137"/>
    </row>
    <row r="9" spans="1:72" x14ac:dyDescent="0.25">
      <c r="B9" s="1010" t="s">
        <v>814</v>
      </c>
      <c r="C9" s="3121" t="s">
        <v>970</v>
      </c>
      <c r="D9" s="3122">
        <v>42.24</v>
      </c>
      <c r="E9" s="1306" t="s">
        <v>50</v>
      </c>
      <c r="F9" s="1934"/>
      <c r="G9" s="17">
        <v>3614.0989999999997</v>
      </c>
      <c r="H9" s="1934"/>
      <c r="I9" s="17">
        <v>6491.6309999999985</v>
      </c>
      <c r="J9" s="1939"/>
      <c r="K9" s="5241">
        <f t="shared" ref="K9:K97" si="7">+G9+I9</f>
        <v>10105.729999999998</v>
      </c>
      <c r="L9" s="1934"/>
      <c r="M9" s="17">
        <v>3305.3959999999988</v>
      </c>
      <c r="N9" s="1948"/>
      <c r="O9" s="67">
        <f t="shared" ref="O9:O97" si="8">+G9+I9+M9</f>
        <v>13411.125999999997</v>
      </c>
      <c r="P9" s="1934"/>
      <c r="Q9" s="17">
        <v>3240.4470000000001</v>
      </c>
      <c r="R9" s="1956"/>
      <c r="S9" s="37">
        <f t="shared" ref="S9:S89" si="9">+O9+Q9</f>
        <v>16651.572999999997</v>
      </c>
      <c r="T9" s="1934"/>
      <c r="U9" s="17">
        <v>2545.2549999999997</v>
      </c>
      <c r="V9" s="1956"/>
      <c r="W9" s="37">
        <f t="shared" ref="W9:W97" si="10">+S9+U9</f>
        <v>19196.827999999998</v>
      </c>
      <c r="X9" s="1934"/>
      <c r="Y9" s="17">
        <v>2017.1290000000004</v>
      </c>
      <c r="Z9" s="848"/>
      <c r="AA9" s="6045">
        <f t="shared" ref="AA9:AA75" si="11">+Q9+U9+Y9</f>
        <v>7802.8310000000001</v>
      </c>
      <c r="AB9" s="4498"/>
      <c r="AC9" s="6046">
        <f t="shared" ref="AC9:AC75" si="12">+AA9+O9</f>
        <v>21213.956999999995</v>
      </c>
      <c r="AD9" s="1934"/>
      <c r="AE9" s="17">
        <v>1647.3190000000004</v>
      </c>
      <c r="AF9" s="1956"/>
      <c r="AG9" s="37">
        <f t="shared" ref="AG9:AG75" si="13">+AC9+AE9</f>
        <v>22861.275999999994</v>
      </c>
      <c r="AH9" s="1934"/>
      <c r="AI9" s="17">
        <v>3532.0330000000004</v>
      </c>
      <c r="AJ9" s="1956"/>
      <c r="AK9" s="37">
        <f t="shared" ref="AK9:AK73" si="14">+AG9+AI9</f>
        <v>26393.308999999994</v>
      </c>
      <c r="AL9" s="1934"/>
      <c r="AM9" s="17">
        <v>5569.344000000001</v>
      </c>
      <c r="AN9" s="848"/>
      <c r="AO9" s="6612">
        <f t="shared" ref="AO9:AO73" si="15">+AE9+AI9+AM9</f>
        <v>10748.696000000002</v>
      </c>
      <c r="AP9" s="1956"/>
      <c r="AQ9" s="37">
        <f t="shared" ref="AQ9:AQ73" si="16">AK9+AM9</f>
        <v>31962.652999999995</v>
      </c>
      <c r="AR9" s="1934"/>
      <c r="AS9" s="17">
        <v>3662.1030000000001</v>
      </c>
      <c r="AT9" s="1956"/>
      <c r="AU9" s="37">
        <f t="shared" ref="AU9:AU73" si="17">+AQ9+AS9</f>
        <v>35624.755999999994</v>
      </c>
      <c r="AV9" s="1934"/>
      <c r="AW9" s="17">
        <v>5469.7240000000002</v>
      </c>
      <c r="AX9" s="1956"/>
      <c r="AY9" s="37">
        <f t="shared" ref="AY9:AY73" si="18">+AU9+AW9</f>
        <v>41094.479999999996</v>
      </c>
      <c r="AZ9" s="1934"/>
      <c r="BA9" s="17">
        <v>6512.043999999999</v>
      </c>
      <c r="BB9" s="848"/>
      <c r="BC9" s="5236">
        <f t="shared" ref="BC9:BC99" si="19">+AS9+AW9+BA9</f>
        <v>15643.870999999999</v>
      </c>
      <c r="BD9" s="849"/>
      <c r="BE9" s="657">
        <f t="shared" ref="BE9:BE99" si="20">+AO9+BC9</f>
        <v>26392.567000000003</v>
      </c>
      <c r="BF9" s="1956"/>
      <c r="BG9" s="37">
        <f t="shared" ref="BG9:BG73" si="21">+AY9+BA9</f>
        <v>47606.523999999998</v>
      </c>
      <c r="BH9" s="4234">
        <f t="shared" si="3"/>
        <v>0</v>
      </c>
      <c r="BI9" s="4234">
        <f t="shared" si="4"/>
        <v>0</v>
      </c>
      <c r="BJ9" s="25"/>
      <c r="BK9" s="25">
        <f t="shared" si="5"/>
        <v>0</v>
      </c>
      <c r="BL9" s="25">
        <f t="shared" si="6"/>
        <v>0</v>
      </c>
      <c r="BM9" s="25"/>
      <c r="BN9" s="1137"/>
    </row>
    <row r="10" spans="1:72" x14ac:dyDescent="0.25">
      <c r="B10" s="1010" t="s">
        <v>869</v>
      </c>
      <c r="C10" s="3121" t="s">
        <v>905</v>
      </c>
      <c r="D10" s="3122">
        <v>49.32</v>
      </c>
      <c r="E10" s="1306" t="s">
        <v>50</v>
      </c>
      <c r="F10" s="1934"/>
      <c r="G10" s="17">
        <v>101.795</v>
      </c>
      <c r="H10" s="1934"/>
      <c r="I10" s="17">
        <v>632.70000000000005</v>
      </c>
      <c r="J10" s="1939"/>
      <c r="K10" s="5241">
        <f t="shared" si="7"/>
        <v>734.495</v>
      </c>
      <c r="L10" s="1934"/>
      <c r="M10" s="17"/>
      <c r="N10" s="1948"/>
      <c r="O10" s="67">
        <f t="shared" si="8"/>
        <v>734.495</v>
      </c>
      <c r="P10" s="1934"/>
      <c r="Q10" s="17">
        <v>152.68199999999999</v>
      </c>
      <c r="R10" s="1956"/>
      <c r="S10" s="37">
        <f t="shared" si="9"/>
        <v>887.17700000000002</v>
      </c>
      <c r="T10" s="1934"/>
      <c r="U10" s="17">
        <v>94.540999999999997</v>
      </c>
      <c r="V10" s="1956"/>
      <c r="W10" s="37">
        <f t="shared" si="10"/>
        <v>981.71800000000007</v>
      </c>
      <c r="X10" s="1934"/>
      <c r="Y10" s="17"/>
      <c r="Z10" s="848"/>
      <c r="AA10" s="6045">
        <f t="shared" si="11"/>
        <v>247.22299999999998</v>
      </c>
      <c r="AB10" s="4498"/>
      <c r="AC10" s="6046">
        <f t="shared" si="12"/>
        <v>981.71799999999996</v>
      </c>
      <c r="AD10" s="1934"/>
      <c r="AE10" s="17"/>
      <c r="AF10" s="1956"/>
      <c r="AG10" s="37">
        <f t="shared" si="13"/>
        <v>981.71799999999996</v>
      </c>
      <c r="AH10" s="1934"/>
      <c r="AI10" s="17"/>
      <c r="AJ10" s="1956"/>
      <c r="AK10" s="37">
        <f t="shared" si="14"/>
        <v>981.71799999999996</v>
      </c>
      <c r="AL10" s="1934"/>
      <c r="AM10" s="17">
        <v>360.70300000000003</v>
      </c>
      <c r="AN10" s="848"/>
      <c r="AO10" s="6612">
        <f t="shared" si="15"/>
        <v>360.70300000000003</v>
      </c>
      <c r="AP10" s="1956"/>
      <c r="AQ10" s="37">
        <f t="shared" si="16"/>
        <v>1342.421</v>
      </c>
      <c r="AR10" s="1934"/>
      <c r="AS10" s="17">
        <v>268.53100000000001</v>
      </c>
      <c r="AT10" s="1956"/>
      <c r="AU10" s="37">
        <f t="shared" si="17"/>
        <v>1610.952</v>
      </c>
      <c r="AV10" s="1934"/>
      <c r="AW10" s="17"/>
      <c r="AX10" s="1956"/>
      <c r="AY10" s="37">
        <f t="shared" si="18"/>
        <v>1610.952</v>
      </c>
      <c r="AZ10" s="1934"/>
      <c r="BA10" s="17"/>
      <c r="BB10" s="848"/>
      <c r="BC10" s="5236">
        <f t="shared" si="19"/>
        <v>268.53100000000001</v>
      </c>
      <c r="BD10" s="849"/>
      <c r="BE10" s="657">
        <f t="shared" si="20"/>
        <v>629.23400000000004</v>
      </c>
      <c r="BF10" s="1956"/>
      <c r="BG10" s="37">
        <f t="shared" si="21"/>
        <v>1610.952</v>
      </c>
      <c r="BH10" s="4234">
        <f t="shared" si="3"/>
        <v>0</v>
      </c>
      <c r="BI10" s="4234">
        <f t="shared" si="4"/>
        <v>0</v>
      </c>
      <c r="BJ10" s="25"/>
      <c r="BK10" s="25">
        <f t="shared" si="5"/>
        <v>0</v>
      </c>
      <c r="BL10" s="25">
        <f t="shared" si="6"/>
        <v>0</v>
      </c>
      <c r="BM10" s="25"/>
      <c r="BN10" s="1137"/>
    </row>
    <row r="11" spans="1:72" x14ac:dyDescent="0.25">
      <c r="B11" s="1010" t="s">
        <v>869</v>
      </c>
      <c r="C11" s="3121" t="s">
        <v>970</v>
      </c>
      <c r="D11" s="3122">
        <v>49.32</v>
      </c>
      <c r="E11" s="1306" t="s">
        <v>50</v>
      </c>
      <c r="F11" s="1934"/>
      <c r="G11" s="17">
        <v>1192.4679999999998</v>
      </c>
      <c r="H11" s="1934"/>
      <c r="I11" s="17">
        <v>960.57</v>
      </c>
      <c r="J11" s="1939"/>
      <c r="K11" s="5241">
        <f t="shared" si="7"/>
        <v>2153.038</v>
      </c>
      <c r="L11" s="1934"/>
      <c r="M11" s="17">
        <v>559.976</v>
      </c>
      <c r="N11" s="1948"/>
      <c r="O11" s="67">
        <f t="shared" si="8"/>
        <v>2713.0140000000001</v>
      </c>
      <c r="P11" s="1934"/>
      <c r="Q11" s="17">
        <v>443.53799999999995</v>
      </c>
      <c r="R11" s="1956"/>
      <c r="S11" s="37">
        <f t="shared" si="9"/>
        <v>3156.5520000000001</v>
      </c>
      <c r="T11" s="1934"/>
      <c r="U11" s="17">
        <v>737.06700000000001</v>
      </c>
      <c r="V11" s="1956"/>
      <c r="W11" s="37">
        <f t="shared" si="10"/>
        <v>3893.6190000000001</v>
      </c>
      <c r="X11" s="1934"/>
      <c r="Y11" s="17">
        <v>509.07</v>
      </c>
      <c r="Z11" s="848"/>
      <c r="AA11" s="6045">
        <f t="shared" si="11"/>
        <v>1689.675</v>
      </c>
      <c r="AB11" s="4498"/>
      <c r="AC11" s="6046">
        <f t="shared" si="12"/>
        <v>4402.6890000000003</v>
      </c>
      <c r="AD11" s="1934"/>
      <c r="AE11" s="17">
        <v>254.535</v>
      </c>
      <c r="AF11" s="1956"/>
      <c r="AG11" s="37">
        <f t="shared" si="13"/>
        <v>4657.2240000000002</v>
      </c>
      <c r="AH11" s="1934"/>
      <c r="AI11" s="17">
        <v>909.05399999999997</v>
      </c>
      <c r="AJ11" s="1956"/>
      <c r="AK11" s="37">
        <f t="shared" si="14"/>
        <v>5566.2780000000002</v>
      </c>
      <c r="AL11" s="1934"/>
      <c r="AM11" s="17">
        <v>1751.8299999999995</v>
      </c>
      <c r="AN11" s="848"/>
      <c r="AO11" s="6612">
        <f t="shared" si="15"/>
        <v>2915.4189999999994</v>
      </c>
      <c r="AP11" s="1956"/>
      <c r="AQ11" s="37">
        <f t="shared" si="16"/>
        <v>7318.1080000000002</v>
      </c>
      <c r="AR11" s="1934"/>
      <c r="AS11" s="17">
        <v>1156.1099999999999</v>
      </c>
      <c r="AT11" s="1956"/>
      <c r="AU11" s="37">
        <f t="shared" si="17"/>
        <v>8474.2180000000008</v>
      </c>
      <c r="AV11" s="1934"/>
      <c r="AW11" s="17">
        <v>836.245</v>
      </c>
      <c r="AX11" s="1956"/>
      <c r="AY11" s="37">
        <f t="shared" si="18"/>
        <v>9310.4630000000016</v>
      </c>
      <c r="AZ11" s="1934"/>
      <c r="BA11" s="17">
        <v>632.71699999999998</v>
      </c>
      <c r="BB11" s="848"/>
      <c r="BC11" s="5236">
        <f t="shared" si="19"/>
        <v>2625.0720000000001</v>
      </c>
      <c r="BD11" s="849"/>
      <c r="BE11" s="657">
        <f t="shared" si="20"/>
        <v>5540.491</v>
      </c>
      <c r="BF11" s="1956"/>
      <c r="BG11" s="37">
        <f t="shared" si="21"/>
        <v>9943.1800000000021</v>
      </c>
      <c r="BH11" s="4234">
        <f t="shared" si="3"/>
        <v>0</v>
      </c>
      <c r="BI11" s="4234">
        <f t="shared" si="4"/>
        <v>0</v>
      </c>
      <c r="BJ11" s="25"/>
      <c r="BK11" s="25">
        <f t="shared" si="5"/>
        <v>0</v>
      </c>
      <c r="BL11" s="25">
        <f t="shared" si="6"/>
        <v>0</v>
      </c>
      <c r="BM11" s="25"/>
      <c r="BN11" s="1137"/>
    </row>
    <row r="12" spans="1:72" s="3130" customFormat="1" x14ac:dyDescent="0.25">
      <c r="B12" s="1010" t="s">
        <v>869</v>
      </c>
      <c r="C12" s="3121" t="s">
        <v>905</v>
      </c>
      <c r="D12" s="3122">
        <v>36.53</v>
      </c>
      <c r="E12" s="1306" t="s">
        <v>50</v>
      </c>
      <c r="F12" s="1934"/>
      <c r="G12" s="17">
        <v>149.00399999999999</v>
      </c>
      <c r="H12" s="1934"/>
      <c r="I12" s="17">
        <v>149.02000000000001</v>
      </c>
      <c r="J12" s="1939"/>
      <c r="K12" s="5241">
        <f t="shared" si="7"/>
        <v>298.024</v>
      </c>
      <c r="L12" s="1934"/>
      <c r="M12" s="17"/>
      <c r="N12" s="1948"/>
      <c r="O12" s="67">
        <f t="shared" si="8"/>
        <v>298.024</v>
      </c>
      <c r="P12" s="1934"/>
      <c r="Q12" s="17"/>
      <c r="R12" s="1956"/>
      <c r="S12" s="37">
        <f t="shared" si="9"/>
        <v>298.024</v>
      </c>
      <c r="T12" s="1934"/>
      <c r="U12" s="17">
        <v>217.69</v>
      </c>
      <c r="V12" s="1956"/>
      <c r="W12" s="37">
        <f t="shared" si="10"/>
        <v>515.71399999999994</v>
      </c>
      <c r="X12" s="1934"/>
      <c r="Y12" s="17">
        <v>579.52300000000002</v>
      </c>
      <c r="Z12" s="3123"/>
      <c r="AA12" s="6045">
        <f t="shared" si="11"/>
        <v>797.21299999999997</v>
      </c>
      <c r="AB12" s="4499"/>
      <c r="AC12" s="6046">
        <f t="shared" si="12"/>
        <v>1095.2370000000001</v>
      </c>
      <c r="AD12" s="1934"/>
      <c r="AE12" s="17">
        <v>270.423</v>
      </c>
      <c r="AF12" s="1956"/>
      <c r="AG12" s="37">
        <f t="shared" si="13"/>
        <v>1365.66</v>
      </c>
      <c r="AH12" s="1934"/>
      <c r="AI12" s="17"/>
      <c r="AJ12" s="1956"/>
      <c r="AK12" s="37">
        <f t="shared" si="14"/>
        <v>1365.66</v>
      </c>
      <c r="AL12" s="1934"/>
      <c r="AM12" s="17"/>
      <c r="AN12" s="3123"/>
      <c r="AO12" s="6612">
        <f t="shared" si="15"/>
        <v>270.423</v>
      </c>
      <c r="AP12" s="1956"/>
      <c r="AQ12" s="37">
        <f t="shared" si="16"/>
        <v>1365.66</v>
      </c>
      <c r="AR12" s="1934"/>
      <c r="AS12" s="17"/>
      <c r="AT12" s="1956"/>
      <c r="AU12" s="37">
        <f t="shared" si="17"/>
        <v>1365.66</v>
      </c>
      <c r="AV12" s="1934"/>
      <c r="AW12" s="17"/>
      <c r="AX12" s="1956"/>
      <c r="AY12" s="37">
        <f t="shared" si="18"/>
        <v>1365.66</v>
      </c>
      <c r="AZ12" s="1934"/>
      <c r="BA12" s="17"/>
      <c r="BB12" s="3123"/>
      <c r="BC12" s="5236">
        <f t="shared" si="19"/>
        <v>0</v>
      </c>
      <c r="BD12" s="3124"/>
      <c r="BE12" s="657">
        <f t="shared" si="20"/>
        <v>270.423</v>
      </c>
      <c r="BF12" s="1956"/>
      <c r="BG12" s="37">
        <f t="shared" si="21"/>
        <v>1365.66</v>
      </c>
      <c r="BH12" s="4234">
        <f t="shared" si="3"/>
        <v>0</v>
      </c>
      <c r="BI12" s="4234">
        <f t="shared" si="4"/>
        <v>0</v>
      </c>
      <c r="BJ12" s="25"/>
      <c r="BK12" s="25">
        <f t="shared" si="5"/>
        <v>0</v>
      </c>
      <c r="BL12" s="25">
        <f t="shared" si="6"/>
        <v>0</v>
      </c>
      <c r="BM12" s="25"/>
      <c r="BN12" s="1137"/>
    </row>
    <row r="13" spans="1:72" x14ac:dyDescent="0.25">
      <c r="B13" s="1010" t="s">
        <v>814</v>
      </c>
      <c r="C13" s="3121" t="s">
        <v>905</v>
      </c>
      <c r="D13" s="3122">
        <v>36.520000000000003</v>
      </c>
      <c r="E13" s="1306" t="s">
        <v>50</v>
      </c>
      <c r="F13" s="1934"/>
      <c r="G13" s="17"/>
      <c r="H13" s="1934"/>
      <c r="I13" s="17"/>
      <c r="J13" s="1939"/>
      <c r="K13" s="5241">
        <f t="shared" si="7"/>
        <v>0</v>
      </c>
      <c r="L13" s="1934"/>
      <c r="M13" s="17"/>
      <c r="N13" s="1948"/>
      <c r="O13" s="67">
        <f t="shared" si="8"/>
        <v>0</v>
      </c>
      <c r="P13" s="1934"/>
      <c r="Q13" s="17"/>
      <c r="R13" s="1956"/>
      <c r="S13" s="37">
        <f t="shared" si="9"/>
        <v>0</v>
      </c>
      <c r="T13" s="1934"/>
      <c r="U13" s="17"/>
      <c r="V13" s="1956"/>
      <c r="W13" s="37">
        <f t="shared" si="10"/>
        <v>0</v>
      </c>
      <c r="X13" s="1934"/>
      <c r="Y13" s="17"/>
      <c r="Z13" s="848"/>
      <c r="AA13" s="6045">
        <f t="shared" si="11"/>
        <v>0</v>
      </c>
      <c r="AB13" s="4498"/>
      <c r="AC13" s="6046">
        <f t="shared" si="12"/>
        <v>0</v>
      </c>
      <c r="AD13" s="1934"/>
      <c r="AE13" s="17"/>
      <c r="AF13" s="1956"/>
      <c r="AG13" s="37">
        <f t="shared" si="13"/>
        <v>0</v>
      </c>
      <c r="AH13" s="1934"/>
      <c r="AI13" s="17"/>
      <c r="AJ13" s="1956"/>
      <c r="AK13" s="37">
        <f t="shared" si="14"/>
        <v>0</v>
      </c>
      <c r="AL13" s="1934"/>
      <c r="AM13" s="17"/>
      <c r="AN13" s="848"/>
      <c r="AO13" s="6612">
        <f t="shared" si="15"/>
        <v>0</v>
      </c>
      <c r="AP13" s="1956"/>
      <c r="AQ13" s="37">
        <f t="shared" si="16"/>
        <v>0</v>
      </c>
      <c r="AR13" s="1934"/>
      <c r="AS13" s="17"/>
      <c r="AT13" s="1956"/>
      <c r="AU13" s="37">
        <f t="shared" si="17"/>
        <v>0</v>
      </c>
      <c r="AV13" s="1934"/>
      <c r="AW13" s="17"/>
      <c r="AX13" s="1956"/>
      <c r="AY13" s="37">
        <f t="shared" si="18"/>
        <v>0</v>
      </c>
      <c r="AZ13" s="1934"/>
      <c r="BA13" s="17"/>
      <c r="BB13" s="848"/>
      <c r="BC13" s="5236">
        <f t="shared" si="19"/>
        <v>0</v>
      </c>
      <c r="BD13" s="849"/>
      <c r="BE13" s="657">
        <f t="shared" si="20"/>
        <v>0</v>
      </c>
      <c r="BF13" s="1956"/>
      <c r="BG13" s="37">
        <f t="shared" si="21"/>
        <v>0</v>
      </c>
      <c r="BH13" s="4234">
        <f t="shared" si="3"/>
        <v>0</v>
      </c>
      <c r="BI13" s="4234">
        <f t="shared" si="4"/>
        <v>0</v>
      </c>
      <c r="BJ13" s="25"/>
      <c r="BK13" s="25">
        <f t="shared" si="5"/>
        <v>0</v>
      </c>
      <c r="BL13" s="25">
        <f t="shared" si="6"/>
        <v>0</v>
      </c>
      <c r="BM13" s="25"/>
      <c r="BN13" s="1137"/>
    </row>
    <row r="14" spans="1:72" ht="15.75" thickBot="1" x14ac:dyDescent="0.3">
      <c r="A14" s="2095"/>
      <c r="B14" s="3330" t="s">
        <v>814</v>
      </c>
      <c r="C14" s="3331" t="s">
        <v>970</v>
      </c>
      <c r="D14" s="3332">
        <v>36.53</v>
      </c>
      <c r="E14" s="1325" t="s">
        <v>50</v>
      </c>
      <c r="F14" s="3333"/>
      <c r="G14" s="36"/>
      <c r="H14" s="3333"/>
      <c r="I14" s="36">
        <v>391.86699999999996</v>
      </c>
      <c r="J14" s="3334"/>
      <c r="K14" s="5241">
        <f t="shared" si="7"/>
        <v>391.86699999999996</v>
      </c>
      <c r="L14" s="3333"/>
      <c r="M14" s="36"/>
      <c r="N14" s="1948"/>
      <c r="O14" s="67">
        <f t="shared" si="8"/>
        <v>391.86699999999996</v>
      </c>
      <c r="P14" s="3333"/>
      <c r="Q14" s="36">
        <v>894.154</v>
      </c>
      <c r="R14" s="1956"/>
      <c r="S14" s="37">
        <f t="shared" si="9"/>
        <v>1286.021</v>
      </c>
      <c r="T14" s="3333"/>
      <c r="U14" s="36">
        <v>441.10100000000006</v>
      </c>
      <c r="V14" s="1956"/>
      <c r="W14" s="37">
        <f t="shared" si="10"/>
        <v>1727.1220000000001</v>
      </c>
      <c r="X14" s="3333"/>
      <c r="Y14" s="36">
        <v>1500.3639999999998</v>
      </c>
      <c r="Z14" s="848"/>
      <c r="AA14" s="6045">
        <f t="shared" si="11"/>
        <v>2835.6189999999997</v>
      </c>
      <c r="AB14" s="4498"/>
      <c r="AC14" s="6046">
        <f t="shared" si="12"/>
        <v>3227.4859999999999</v>
      </c>
      <c r="AD14" s="3333"/>
      <c r="AE14" s="36">
        <v>1491.1679999999999</v>
      </c>
      <c r="AF14" s="1956"/>
      <c r="AG14" s="37">
        <f t="shared" si="13"/>
        <v>4718.6539999999995</v>
      </c>
      <c r="AH14" s="3333"/>
      <c r="AI14" s="36"/>
      <c r="AJ14" s="1956"/>
      <c r="AK14" s="37">
        <f t="shared" si="14"/>
        <v>4718.6539999999995</v>
      </c>
      <c r="AL14" s="3333"/>
      <c r="AM14" s="36"/>
      <c r="AN14" s="848"/>
      <c r="AO14" s="6612">
        <f t="shared" si="15"/>
        <v>1491.1679999999999</v>
      </c>
      <c r="AP14" s="1956"/>
      <c r="AQ14" s="37">
        <f t="shared" si="16"/>
        <v>4718.6539999999995</v>
      </c>
      <c r="AR14" s="3333"/>
      <c r="AS14" s="36">
        <v>331.12</v>
      </c>
      <c r="AT14" s="1956"/>
      <c r="AU14" s="37">
        <f t="shared" si="17"/>
        <v>5049.7739999999994</v>
      </c>
      <c r="AV14" s="3333"/>
      <c r="AW14" s="36"/>
      <c r="AX14" s="1956"/>
      <c r="AY14" s="37">
        <f t="shared" si="18"/>
        <v>5049.7739999999994</v>
      </c>
      <c r="AZ14" s="3333"/>
      <c r="BA14" s="36"/>
      <c r="BB14" s="848"/>
      <c r="BC14" s="5236">
        <f t="shared" si="19"/>
        <v>331.12</v>
      </c>
      <c r="BD14" s="849"/>
      <c r="BE14" s="657">
        <f t="shared" si="20"/>
        <v>1822.288</v>
      </c>
      <c r="BF14" s="1956"/>
      <c r="BG14" s="37">
        <f t="shared" si="21"/>
        <v>5049.7739999999994</v>
      </c>
      <c r="BH14" s="4234">
        <f t="shared" si="3"/>
        <v>0</v>
      </c>
      <c r="BI14" s="4234">
        <f t="shared" si="4"/>
        <v>0</v>
      </c>
      <c r="BJ14" s="25"/>
      <c r="BK14" s="25">
        <f t="shared" si="5"/>
        <v>0</v>
      </c>
      <c r="BL14" s="25">
        <f t="shared" si="6"/>
        <v>0</v>
      </c>
      <c r="BM14" s="25"/>
      <c r="BN14" s="1137"/>
      <c r="BP14" s="25"/>
      <c r="BQ14" s="25"/>
      <c r="BR14" s="25"/>
      <c r="BS14" s="258"/>
      <c r="BT14" s="25"/>
    </row>
    <row r="15" spans="1:72" s="4233" customFormat="1" x14ac:dyDescent="0.25">
      <c r="B15" s="4292" t="s">
        <v>1769</v>
      </c>
      <c r="C15" s="4293" t="s">
        <v>970</v>
      </c>
      <c r="D15" s="4294">
        <v>57.1</v>
      </c>
      <c r="E15" s="4295" t="s">
        <v>50</v>
      </c>
      <c r="F15" s="4296"/>
      <c r="G15" s="4178">
        <v>635.71299999999997</v>
      </c>
      <c r="H15" s="4296"/>
      <c r="I15" s="4178">
        <v>319.988</v>
      </c>
      <c r="J15" s="4297"/>
      <c r="K15" s="5241">
        <f t="shared" si="7"/>
        <v>955.70100000000002</v>
      </c>
      <c r="L15" s="4296"/>
      <c r="M15" s="4178">
        <v>652.11799999999994</v>
      </c>
      <c r="N15" s="1948"/>
      <c r="O15" s="67">
        <f t="shared" si="8"/>
        <v>1607.819</v>
      </c>
      <c r="P15" s="4296"/>
      <c r="Q15" s="4178"/>
      <c r="R15" s="1956"/>
      <c r="S15" s="37">
        <f t="shared" si="9"/>
        <v>1607.819</v>
      </c>
      <c r="T15" s="4296"/>
      <c r="U15" s="4178">
        <v>666.96699999999998</v>
      </c>
      <c r="V15" s="1956"/>
      <c r="W15" s="37">
        <f t="shared" si="10"/>
        <v>2274.7860000000001</v>
      </c>
      <c r="X15" s="4296"/>
      <c r="Y15" s="4178">
        <v>305.96699999999998</v>
      </c>
      <c r="Z15" s="3123"/>
      <c r="AA15" s="6045">
        <f t="shared" si="11"/>
        <v>972.93399999999997</v>
      </c>
      <c r="AB15" s="4499"/>
      <c r="AC15" s="6046">
        <f t="shared" si="12"/>
        <v>2580.7529999999997</v>
      </c>
      <c r="AD15" s="4296"/>
      <c r="AE15" s="4178"/>
      <c r="AF15" s="1956"/>
      <c r="AG15" s="37">
        <f t="shared" si="13"/>
        <v>2580.7529999999997</v>
      </c>
      <c r="AH15" s="4296"/>
      <c r="AI15" s="4178">
        <v>1531.9640000000002</v>
      </c>
      <c r="AJ15" s="1956"/>
      <c r="AK15" s="37">
        <f t="shared" si="14"/>
        <v>4112.7169999999996</v>
      </c>
      <c r="AL15" s="4296"/>
      <c r="AM15" s="4178">
        <v>966.20300000000009</v>
      </c>
      <c r="AN15" s="3123"/>
      <c r="AO15" s="6612">
        <f t="shared" si="15"/>
        <v>2498.1670000000004</v>
      </c>
      <c r="AP15" s="1956"/>
      <c r="AQ15" s="37">
        <f t="shared" si="16"/>
        <v>5078.92</v>
      </c>
      <c r="AR15" s="4296"/>
      <c r="AS15" s="4178">
        <v>1004.9849999999999</v>
      </c>
      <c r="AT15" s="1956"/>
      <c r="AU15" s="37">
        <f t="shared" si="17"/>
        <v>6083.9049999999997</v>
      </c>
      <c r="AV15" s="4296"/>
      <c r="AW15" s="4178">
        <v>502.74000000000007</v>
      </c>
      <c r="AX15" s="1956"/>
      <c r="AY15" s="37">
        <f t="shared" si="18"/>
        <v>6586.6449999999995</v>
      </c>
      <c r="AZ15" s="4296"/>
      <c r="BA15" s="4178">
        <v>746.58600000000001</v>
      </c>
      <c r="BB15" s="3123"/>
      <c r="BC15" s="5236">
        <f t="shared" si="19"/>
        <v>2254.3109999999997</v>
      </c>
      <c r="BD15" s="3124"/>
      <c r="BE15" s="657">
        <f t="shared" si="20"/>
        <v>4752.4780000000001</v>
      </c>
      <c r="BF15" s="1956"/>
      <c r="BG15" s="37">
        <f t="shared" si="21"/>
        <v>7333.2309999999998</v>
      </c>
      <c r="BH15" s="4234">
        <f t="shared" si="3"/>
        <v>0</v>
      </c>
      <c r="BI15" s="4234">
        <f t="shared" si="4"/>
        <v>0</v>
      </c>
      <c r="BJ15" s="25"/>
      <c r="BK15" s="25">
        <f t="shared" si="5"/>
        <v>0</v>
      </c>
      <c r="BL15" s="25">
        <f t="shared" si="6"/>
        <v>0</v>
      </c>
      <c r="BM15" s="25"/>
      <c r="BN15" s="1137"/>
      <c r="BP15" s="25"/>
      <c r="BQ15" s="25"/>
      <c r="BR15" s="25"/>
      <c r="BT15" s="25"/>
    </row>
    <row r="16" spans="1:72" s="4487" customFormat="1" x14ac:dyDescent="0.25">
      <c r="B16" s="4292" t="s">
        <v>1769</v>
      </c>
      <c r="C16" s="4293" t="s">
        <v>905</v>
      </c>
      <c r="D16" s="4294">
        <v>57.1</v>
      </c>
      <c r="E16" s="4295" t="s">
        <v>50</v>
      </c>
      <c r="F16" s="4296"/>
      <c r="G16" s="4178"/>
      <c r="H16" s="4296"/>
      <c r="I16" s="4178">
        <v>268.17200000000003</v>
      </c>
      <c r="J16" s="4297"/>
      <c r="K16" s="5241">
        <f t="shared" si="7"/>
        <v>268.17200000000003</v>
      </c>
      <c r="L16" s="4296"/>
      <c r="M16" s="4178">
        <v>141.42400000000001</v>
      </c>
      <c r="N16" s="1948"/>
      <c r="O16" s="67">
        <f t="shared" si="8"/>
        <v>409.596</v>
      </c>
      <c r="P16" s="4296"/>
      <c r="Q16" s="4178"/>
      <c r="R16" s="1956"/>
      <c r="S16" s="37">
        <f t="shared" si="9"/>
        <v>409.596</v>
      </c>
      <c r="T16" s="4296"/>
      <c r="U16" s="4178"/>
      <c r="V16" s="1956"/>
      <c r="W16" s="37">
        <f t="shared" si="10"/>
        <v>409.596</v>
      </c>
      <c r="X16" s="4296"/>
      <c r="Y16" s="4178">
        <v>195.041</v>
      </c>
      <c r="Z16" s="4603"/>
      <c r="AA16" s="6045">
        <f t="shared" si="11"/>
        <v>195.041</v>
      </c>
      <c r="AB16" s="4604"/>
      <c r="AC16" s="6046">
        <f t="shared" si="12"/>
        <v>604.63699999999994</v>
      </c>
      <c r="AD16" s="4296"/>
      <c r="AE16" s="4178"/>
      <c r="AF16" s="1956"/>
      <c r="AG16" s="37">
        <f t="shared" si="13"/>
        <v>604.63699999999994</v>
      </c>
      <c r="AH16" s="4296"/>
      <c r="AI16" s="4178"/>
      <c r="AJ16" s="1956"/>
      <c r="AK16" s="37">
        <f t="shared" si="14"/>
        <v>604.63699999999994</v>
      </c>
      <c r="AL16" s="4296"/>
      <c r="AM16" s="4178"/>
      <c r="AN16" s="4603"/>
      <c r="AO16" s="6612">
        <f t="shared" si="15"/>
        <v>0</v>
      </c>
      <c r="AP16" s="1956"/>
      <c r="AQ16" s="37">
        <f t="shared" si="16"/>
        <v>604.63699999999994</v>
      </c>
      <c r="AR16" s="4296"/>
      <c r="AS16" s="4178"/>
      <c r="AT16" s="1956"/>
      <c r="AU16" s="37">
        <f t="shared" si="17"/>
        <v>604.63699999999994</v>
      </c>
      <c r="AV16" s="4296"/>
      <c r="AW16" s="4178"/>
      <c r="AX16" s="1956"/>
      <c r="AY16" s="37">
        <f t="shared" si="18"/>
        <v>604.63699999999994</v>
      </c>
      <c r="AZ16" s="4296"/>
      <c r="BA16" s="4178"/>
      <c r="BB16" s="4603"/>
      <c r="BC16" s="5236">
        <f t="shared" si="19"/>
        <v>0</v>
      </c>
      <c r="BD16" s="4605"/>
      <c r="BE16" s="657">
        <f t="shared" si="20"/>
        <v>0</v>
      </c>
      <c r="BF16" s="1956"/>
      <c r="BG16" s="37">
        <f t="shared" si="21"/>
        <v>604.63699999999994</v>
      </c>
      <c r="BH16" s="4234">
        <f t="shared" si="3"/>
        <v>0</v>
      </c>
      <c r="BI16" s="4234">
        <f t="shared" si="4"/>
        <v>0</v>
      </c>
      <c r="BJ16" s="25"/>
      <c r="BK16" s="25">
        <f t="shared" si="5"/>
        <v>0</v>
      </c>
      <c r="BL16" s="25">
        <f t="shared" si="6"/>
        <v>0</v>
      </c>
      <c r="BM16" s="25"/>
      <c r="BN16" s="1137"/>
      <c r="BP16" s="25"/>
      <c r="BQ16" s="25"/>
      <c r="BR16" s="25"/>
      <c r="BS16" s="258"/>
      <c r="BT16" s="25"/>
    </row>
    <row r="17" spans="1:72" s="4233" customFormat="1" x14ac:dyDescent="0.25">
      <c r="B17" s="4292" t="s">
        <v>1769</v>
      </c>
      <c r="C17" s="4293" t="s">
        <v>970</v>
      </c>
      <c r="D17" s="4294">
        <v>50.22</v>
      </c>
      <c r="E17" s="4295" t="s">
        <v>50</v>
      </c>
      <c r="F17" s="4296"/>
      <c r="G17" s="4178">
        <v>3307.0150000000003</v>
      </c>
      <c r="H17" s="4296"/>
      <c r="I17" s="4178">
        <v>3471.6990000000005</v>
      </c>
      <c r="J17" s="4297"/>
      <c r="K17" s="5241">
        <f t="shared" si="7"/>
        <v>6778.7140000000009</v>
      </c>
      <c r="L17" s="4296"/>
      <c r="M17" s="4178">
        <v>2275.6989999999996</v>
      </c>
      <c r="N17" s="1948"/>
      <c r="O17" s="67">
        <f t="shared" si="8"/>
        <v>9054.4130000000005</v>
      </c>
      <c r="P17" s="4296"/>
      <c r="Q17" s="4178"/>
      <c r="R17" s="1956"/>
      <c r="S17" s="37">
        <f t="shared" si="9"/>
        <v>9054.4130000000005</v>
      </c>
      <c r="T17" s="4296"/>
      <c r="U17" s="4178">
        <v>2892.7500000000005</v>
      </c>
      <c r="V17" s="1956"/>
      <c r="W17" s="37">
        <f t="shared" si="10"/>
        <v>11947.163</v>
      </c>
      <c r="X17" s="4296"/>
      <c r="Y17" s="4178">
        <v>2383.12</v>
      </c>
      <c r="Z17" s="3123"/>
      <c r="AA17" s="6045">
        <f t="shared" si="11"/>
        <v>5275.8700000000008</v>
      </c>
      <c r="AB17" s="4499"/>
      <c r="AC17" s="6046">
        <f t="shared" si="12"/>
        <v>14330.283000000001</v>
      </c>
      <c r="AD17" s="4296"/>
      <c r="AE17" s="4178"/>
      <c r="AF17" s="1956"/>
      <c r="AG17" s="37">
        <f t="shared" si="13"/>
        <v>14330.283000000001</v>
      </c>
      <c r="AH17" s="4296"/>
      <c r="AI17" s="4178">
        <v>2322.2310000000007</v>
      </c>
      <c r="AJ17" s="1956"/>
      <c r="AK17" s="37">
        <f t="shared" si="14"/>
        <v>16652.514000000003</v>
      </c>
      <c r="AL17" s="4296"/>
      <c r="AM17" s="4178">
        <v>2023.252</v>
      </c>
      <c r="AN17" s="3123"/>
      <c r="AO17" s="6612">
        <f t="shared" si="15"/>
        <v>4345.4830000000002</v>
      </c>
      <c r="AP17" s="1956"/>
      <c r="AQ17" s="37">
        <f t="shared" si="16"/>
        <v>18675.766000000003</v>
      </c>
      <c r="AR17" s="4296"/>
      <c r="AS17" s="4178">
        <v>2650.8590000000004</v>
      </c>
      <c r="AT17" s="1956"/>
      <c r="AU17" s="37">
        <f t="shared" si="17"/>
        <v>21326.625000000004</v>
      </c>
      <c r="AV17" s="4296"/>
      <c r="AW17" s="4178">
        <v>3039.0330000000008</v>
      </c>
      <c r="AX17" s="1956"/>
      <c r="AY17" s="37">
        <f t="shared" si="18"/>
        <v>24365.658000000003</v>
      </c>
      <c r="AZ17" s="4296"/>
      <c r="BA17" s="4178">
        <v>3313.8380000000006</v>
      </c>
      <c r="BB17" s="3123"/>
      <c r="BC17" s="5236">
        <f t="shared" si="19"/>
        <v>9003.7300000000032</v>
      </c>
      <c r="BD17" s="3124"/>
      <c r="BE17" s="657">
        <f t="shared" si="20"/>
        <v>13349.213000000003</v>
      </c>
      <c r="BF17" s="1956"/>
      <c r="BG17" s="37">
        <f t="shared" si="21"/>
        <v>27679.496000000003</v>
      </c>
      <c r="BH17" s="4234">
        <f t="shared" si="3"/>
        <v>0</v>
      </c>
      <c r="BI17" s="4234">
        <f t="shared" si="4"/>
        <v>0</v>
      </c>
      <c r="BJ17" s="25"/>
      <c r="BK17" s="25">
        <f t="shared" si="5"/>
        <v>0</v>
      </c>
      <c r="BL17" s="25">
        <f t="shared" si="6"/>
        <v>0</v>
      </c>
      <c r="BM17" s="25"/>
      <c r="BN17" s="1137"/>
      <c r="BP17" s="25"/>
      <c r="BQ17" s="25"/>
      <c r="BR17" s="25"/>
      <c r="BT17" s="25"/>
    </row>
    <row r="18" spans="1:72" s="4233" customFormat="1" ht="15.75" thickBot="1" x14ac:dyDescent="0.3">
      <c r="B18" s="4292" t="s">
        <v>1769</v>
      </c>
      <c r="C18" s="4293" t="s">
        <v>905</v>
      </c>
      <c r="D18" s="4294">
        <v>50.22</v>
      </c>
      <c r="E18" s="4295" t="s">
        <v>50</v>
      </c>
      <c r="F18" s="4296"/>
      <c r="G18" s="4178"/>
      <c r="H18" s="4296"/>
      <c r="I18" s="4178">
        <v>321.09100000000001</v>
      </c>
      <c r="J18" s="4297"/>
      <c r="K18" s="5241">
        <f t="shared" si="7"/>
        <v>321.09100000000001</v>
      </c>
      <c r="L18" s="4296"/>
      <c r="M18" s="4178"/>
      <c r="N18" s="1948"/>
      <c r="O18" s="67">
        <f t="shared" si="8"/>
        <v>321.09100000000001</v>
      </c>
      <c r="P18" s="4296"/>
      <c r="Q18" s="4178"/>
      <c r="R18" s="1956"/>
      <c r="S18" s="37">
        <f t="shared" si="9"/>
        <v>321.09100000000001</v>
      </c>
      <c r="T18" s="4296"/>
      <c r="U18" s="4178"/>
      <c r="V18" s="1956"/>
      <c r="W18" s="37">
        <f t="shared" si="10"/>
        <v>321.09100000000001</v>
      </c>
      <c r="X18" s="4296"/>
      <c r="Y18" s="4178">
        <v>455.50200000000007</v>
      </c>
      <c r="Z18" s="3123"/>
      <c r="AA18" s="6045">
        <f t="shared" si="11"/>
        <v>455.50200000000007</v>
      </c>
      <c r="AB18" s="4499"/>
      <c r="AC18" s="6046">
        <f t="shared" si="12"/>
        <v>776.59300000000007</v>
      </c>
      <c r="AD18" s="4296"/>
      <c r="AE18" s="4178"/>
      <c r="AF18" s="1956"/>
      <c r="AG18" s="37">
        <f t="shared" si="13"/>
        <v>776.59300000000007</v>
      </c>
      <c r="AH18" s="4296"/>
      <c r="AI18" s="4178">
        <v>507.77100000000002</v>
      </c>
      <c r="AJ18" s="1956"/>
      <c r="AK18" s="37">
        <f t="shared" si="14"/>
        <v>1284.364</v>
      </c>
      <c r="AL18" s="4296"/>
      <c r="AM18" s="4178"/>
      <c r="AN18" s="3123"/>
      <c r="AO18" s="6612">
        <f t="shared" si="15"/>
        <v>507.77100000000002</v>
      </c>
      <c r="AP18" s="1956"/>
      <c r="AQ18" s="37">
        <f t="shared" si="16"/>
        <v>1284.364</v>
      </c>
      <c r="AR18" s="4296"/>
      <c r="AS18" s="4178"/>
      <c r="AT18" s="1956"/>
      <c r="AU18" s="37">
        <f t="shared" si="17"/>
        <v>1284.364</v>
      </c>
      <c r="AV18" s="4296"/>
      <c r="AW18" s="4178">
        <v>403.154</v>
      </c>
      <c r="AX18" s="1956"/>
      <c r="AY18" s="37">
        <f t="shared" si="18"/>
        <v>1687.518</v>
      </c>
      <c r="AZ18" s="4296"/>
      <c r="BA18" s="4178">
        <v>194.16</v>
      </c>
      <c r="BB18" s="3123"/>
      <c r="BC18" s="5236">
        <f t="shared" si="19"/>
        <v>597.31399999999996</v>
      </c>
      <c r="BD18" s="3124"/>
      <c r="BE18" s="657">
        <f t="shared" si="20"/>
        <v>1105.085</v>
      </c>
      <c r="BF18" s="1956"/>
      <c r="BG18" s="37">
        <f t="shared" si="21"/>
        <v>1881.6780000000001</v>
      </c>
      <c r="BH18" s="4234">
        <f t="shared" si="3"/>
        <v>0</v>
      </c>
      <c r="BI18" s="4234">
        <f t="shared" si="4"/>
        <v>0</v>
      </c>
      <c r="BJ18" s="25"/>
      <c r="BK18" s="25">
        <f t="shared" si="5"/>
        <v>0</v>
      </c>
      <c r="BL18" s="25">
        <f t="shared" si="6"/>
        <v>0</v>
      </c>
      <c r="BM18" s="25"/>
      <c r="BN18" s="1137"/>
    </row>
    <row r="19" spans="1:72" x14ac:dyDescent="0.25">
      <c r="B19" s="3325" t="s">
        <v>815</v>
      </c>
      <c r="C19" s="3326" t="s">
        <v>970</v>
      </c>
      <c r="D19" s="3327">
        <v>66.3</v>
      </c>
      <c r="E19" s="1243" t="s">
        <v>50</v>
      </c>
      <c r="F19" s="3328"/>
      <c r="G19" s="85"/>
      <c r="H19" s="3328"/>
      <c r="I19" s="85"/>
      <c r="J19" s="3329"/>
      <c r="K19" s="5241">
        <f t="shared" si="7"/>
        <v>0</v>
      </c>
      <c r="L19" s="3328"/>
      <c r="M19" s="85"/>
      <c r="N19" s="1948"/>
      <c r="O19" s="67">
        <f t="shared" si="8"/>
        <v>0</v>
      </c>
      <c r="P19" s="3328"/>
      <c r="Q19" s="85"/>
      <c r="R19" s="1956"/>
      <c r="S19" s="37">
        <f t="shared" si="9"/>
        <v>0</v>
      </c>
      <c r="T19" s="3328"/>
      <c r="U19" s="85"/>
      <c r="V19" s="1956"/>
      <c r="W19" s="37">
        <f t="shared" si="10"/>
        <v>0</v>
      </c>
      <c r="X19" s="3328"/>
      <c r="Y19" s="85"/>
      <c r="Z19" s="848"/>
      <c r="AA19" s="6045">
        <f t="shared" si="11"/>
        <v>0</v>
      </c>
      <c r="AB19" s="4498"/>
      <c r="AC19" s="6046">
        <f t="shared" si="12"/>
        <v>0</v>
      </c>
      <c r="AD19" s="3328"/>
      <c r="AE19" s="85"/>
      <c r="AF19" s="1956"/>
      <c r="AG19" s="37">
        <f t="shared" si="13"/>
        <v>0</v>
      </c>
      <c r="AH19" s="3328"/>
      <c r="AI19" s="85"/>
      <c r="AJ19" s="1956"/>
      <c r="AK19" s="37">
        <f t="shared" si="14"/>
        <v>0</v>
      </c>
      <c r="AL19" s="3328"/>
      <c r="AM19" s="85"/>
      <c r="AN19" s="848"/>
      <c r="AO19" s="6612">
        <f t="shared" si="15"/>
        <v>0</v>
      </c>
      <c r="AP19" s="1956"/>
      <c r="AQ19" s="37">
        <f t="shared" si="16"/>
        <v>0</v>
      </c>
      <c r="AR19" s="3328"/>
      <c r="AS19" s="85"/>
      <c r="AT19" s="1956"/>
      <c r="AU19" s="37">
        <f t="shared" si="17"/>
        <v>0</v>
      </c>
      <c r="AV19" s="3328"/>
      <c r="AW19" s="85"/>
      <c r="AX19" s="1956"/>
      <c r="AY19" s="37">
        <f t="shared" si="18"/>
        <v>0</v>
      </c>
      <c r="AZ19" s="3328"/>
      <c r="BA19" s="85"/>
      <c r="BB19" s="848"/>
      <c r="BC19" s="5236">
        <f t="shared" si="19"/>
        <v>0</v>
      </c>
      <c r="BD19" s="849"/>
      <c r="BE19" s="657">
        <f t="shared" si="20"/>
        <v>0</v>
      </c>
      <c r="BF19" s="1956"/>
      <c r="BG19" s="37">
        <f t="shared" si="21"/>
        <v>0</v>
      </c>
      <c r="BH19" s="4234">
        <f t="shared" si="3"/>
        <v>0</v>
      </c>
      <c r="BI19" s="4234">
        <f t="shared" si="4"/>
        <v>0</v>
      </c>
      <c r="BJ19" s="25"/>
      <c r="BK19" s="25">
        <f t="shared" si="5"/>
        <v>0</v>
      </c>
      <c r="BL19" s="25">
        <f t="shared" si="6"/>
        <v>0</v>
      </c>
      <c r="BM19" s="25"/>
      <c r="BN19" s="1137"/>
    </row>
    <row r="20" spans="1:72" x14ac:dyDescent="0.25">
      <c r="B20" s="1010" t="s">
        <v>815</v>
      </c>
      <c r="C20" s="3121" t="s">
        <v>905</v>
      </c>
      <c r="D20" s="3122">
        <v>66.3</v>
      </c>
      <c r="E20" s="1306" t="s">
        <v>50</v>
      </c>
      <c r="F20" s="1934"/>
      <c r="G20" s="17"/>
      <c r="H20" s="1934"/>
      <c r="I20" s="17"/>
      <c r="J20" s="1939"/>
      <c r="K20" s="5241">
        <f t="shared" si="7"/>
        <v>0</v>
      </c>
      <c r="L20" s="1934"/>
      <c r="M20" s="17"/>
      <c r="N20" s="1948"/>
      <c r="O20" s="67">
        <f t="shared" si="8"/>
        <v>0</v>
      </c>
      <c r="P20" s="1934"/>
      <c r="Q20" s="17"/>
      <c r="R20" s="1956"/>
      <c r="S20" s="37">
        <f t="shared" si="9"/>
        <v>0</v>
      </c>
      <c r="T20" s="1934"/>
      <c r="U20" s="17"/>
      <c r="V20" s="1956"/>
      <c r="W20" s="37">
        <f t="shared" si="10"/>
        <v>0</v>
      </c>
      <c r="X20" s="1934"/>
      <c r="Y20" s="17"/>
      <c r="Z20" s="848"/>
      <c r="AA20" s="6045">
        <f t="shared" si="11"/>
        <v>0</v>
      </c>
      <c r="AB20" s="4498"/>
      <c r="AC20" s="6046">
        <f t="shared" si="12"/>
        <v>0</v>
      </c>
      <c r="AD20" s="1934"/>
      <c r="AE20" s="17"/>
      <c r="AF20" s="1956"/>
      <c r="AG20" s="37">
        <f t="shared" si="13"/>
        <v>0</v>
      </c>
      <c r="AH20" s="1934"/>
      <c r="AI20" s="17"/>
      <c r="AJ20" s="1956"/>
      <c r="AK20" s="37">
        <f t="shared" si="14"/>
        <v>0</v>
      </c>
      <c r="AL20" s="1934"/>
      <c r="AM20" s="17"/>
      <c r="AN20" s="848"/>
      <c r="AO20" s="6612">
        <f t="shared" si="15"/>
        <v>0</v>
      </c>
      <c r="AP20" s="1956"/>
      <c r="AQ20" s="37">
        <f t="shared" si="16"/>
        <v>0</v>
      </c>
      <c r="AR20" s="1934"/>
      <c r="AS20" s="17"/>
      <c r="AT20" s="1956"/>
      <c r="AU20" s="37">
        <f t="shared" si="17"/>
        <v>0</v>
      </c>
      <c r="AV20" s="1934"/>
      <c r="AW20" s="17"/>
      <c r="AX20" s="1956"/>
      <c r="AY20" s="37">
        <f t="shared" si="18"/>
        <v>0</v>
      </c>
      <c r="AZ20" s="1934"/>
      <c r="BA20" s="17"/>
      <c r="BB20" s="848"/>
      <c r="BC20" s="5236">
        <f t="shared" si="19"/>
        <v>0</v>
      </c>
      <c r="BD20" s="849"/>
      <c r="BE20" s="657">
        <f t="shared" si="20"/>
        <v>0</v>
      </c>
      <c r="BF20" s="1956"/>
      <c r="BG20" s="37">
        <f t="shared" si="21"/>
        <v>0</v>
      </c>
      <c r="BH20" s="4234">
        <f t="shared" si="3"/>
        <v>0</v>
      </c>
      <c r="BI20" s="4234">
        <f t="shared" si="4"/>
        <v>0</v>
      </c>
      <c r="BJ20" s="25"/>
      <c r="BK20" s="25">
        <f t="shared" si="5"/>
        <v>0</v>
      </c>
      <c r="BL20" s="25">
        <f t="shared" si="6"/>
        <v>0</v>
      </c>
      <c r="BM20" s="25"/>
      <c r="BN20" s="1137"/>
    </row>
    <row r="21" spans="1:72" s="4487" customFormat="1" x14ac:dyDescent="0.25">
      <c r="B21" s="5754" t="s">
        <v>815</v>
      </c>
      <c r="C21" s="3121" t="s">
        <v>970</v>
      </c>
      <c r="D21" s="6184">
        <v>75.66</v>
      </c>
      <c r="E21" s="5757" t="s">
        <v>50</v>
      </c>
      <c r="F21" s="5758"/>
      <c r="G21" s="5759"/>
      <c r="H21" s="5758"/>
      <c r="I21" s="5759"/>
      <c r="J21" s="6185"/>
      <c r="K21" s="5971"/>
      <c r="L21" s="5758"/>
      <c r="M21" s="5759"/>
      <c r="N21" s="5747"/>
      <c r="O21" s="5768"/>
      <c r="P21" s="5758"/>
      <c r="Q21" s="5759"/>
      <c r="R21" s="5748"/>
      <c r="S21" s="5174"/>
      <c r="T21" s="5758"/>
      <c r="U21" s="5759"/>
      <c r="V21" s="5748"/>
      <c r="W21" s="5174"/>
      <c r="X21" s="5758"/>
      <c r="Y21" s="5759"/>
      <c r="Z21" s="6056"/>
      <c r="AA21" s="6171">
        <f t="shared" si="11"/>
        <v>0</v>
      </c>
      <c r="AB21" s="6186"/>
      <c r="AC21" s="6173">
        <f t="shared" si="12"/>
        <v>0</v>
      </c>
      <c r="AD21" s="5758"/>
      <c r="AE21" s="5759">
        <v>321.09199999999998</v>
      </c>
      <c r="AF21" s="5748"/>
      <c r="AG21" s="37">
        <f t="shared" ref="AG21" si="22">+AC21+AE21</f>
        <v>321.09199999999998</v>
      </c>
      <c r="AH21" s="5758"/>
      <c r="AI21" s="5759"/>
      <c r="AJ21" s="1956"/>
      <c r="AK21" s="37">
        <f t="shared" si="14"/>
        <v>321.09199999999998</v>
      </c>
      <c r="AL21" s="5758"/>
      <c r="AM21" s="5759"/>
      <c r="AN21" s="848"/>
      <c r="AO21" s="6612">
        <f t="shared" si="15"/>
        <v>321.09199999999998</v>
      </c>
      <c r="AP21" s="1956"/>
      <c r="AQ21" s="37">
        <f t="shared" si="16"/>
        <v>321.09199999999998</v>
      </c>
      <c r="AR21" s="5758"/>
      <c r="AS21" s="5759"/>
      <c r="AT21" s="1956"/>
      <c r="AU21" s="37">
        <f t="shared" si="17"/>
        <v>321.09199999999998</v>
      </c>
      <c r="AV21" s="5758"/>
      <c r="AW21" s="5759"/>
      <c r="AX21" s="1956"/>
      <c r="AY21" s="37">
        <f t="shared" si="18"/>
        <v>321.09199999999998</v>
      </c>
      <c r="AZ21" s="5758"/>
      <c r="BA21" s="5759"/>
      <c r="BB21" s="848"/>
      <c r="BC21" s="6171">
        <f t="shared" ref="BC21" si="23">+AS21+AW21+BA21</f>
        <v>0</v>
      </c>
      <c r="BD21" s="849"/>
      <c r="BE21" s="657">
        <f t="shared" ref="BE21" si="24">+AO21+BC21</f>
        <v>321.09199999999998</v>
      </c>
      <c r="BF21" s="1956"/>
      <c r="BG21" s="37">
        <f t="shared" si="21"/>
        <v>321.09199999999998</v>
      </c>
      <c r="BH21" s="4234">
        <f t="shared" si="3"/>
        <v>0</v>
      </c>
      <c r="BI21" s="4234">
        <f t="shared" si="4"/>
        <v>0</v>
      </c>
      <c r="BJ21" s="25"/>
      <c r="BK21" s="25">
        <f t="shared" si="5"/>
        <v>0</v>
      </c>
      <c r="BL21" s="25">
        <f t="shared" si="6"/>
        <v>0</v>
      </c>
      <c r="BM21" s="25"/>
      <c r="BN21" s="1137"/>
    </row>
    <row r="22" spans="1:72" s="2444" customFormat="1" x14ac:dyDescent="0.25">
      <c r="B22" s="1010" t="s">
        <v>815</v>
      </c>
      <c r="C22" s="3121" t="s">
        <v>970</v>
      </c>
      <c r="D22" s="3122">
        <v>66.31</v>
      </c>
      <c r="E22" s="1306" t="s">
        <v>50</v>
      </c>
      <c r="F22" s="1934"/>
      <c r="G22" s="17">
        <v>4208.4969999999994</v>
      </c>
      <c r="H22" s="1934"/>
      <c r="I22" s="17">
        <v>5290.4709999999977</v>
      </c>
      <c r="J22" s="1939"/>
      <c r="K22" s="5241">
        <f t="shared" si="7"/>
        <v>9498.9679999999971</v>
      </c>
      <c r="L22" s="1934"/>
      <c r="M22" s="17">
        <v>5534.0719999999992</v>
      </c>
      <c r="N22" s="1948"/>
      <c r="O22" s="67">
        <f t="shared" si="8"/>
        <v>15033.039999999997</v>
      </c>
      <c r="P22" s="1934"/>
      <c r="Q22" s="17">
        <v>5783.0740000000042</v>
      </c>
      <c r="R22" s="1956"/>
      <c r="S22" s="37">
        <f t="shared" si="9"/>
        <v>20816.114000000001</v>
      </c>
      <c r="T22" s="1934"/>
      <c r="U22" s="17">
        <v>4264.5920000000006</v>
      </c>
      <c r="V22" s="1956"/>
      <c r="W22" s="37">
        <f t="shared" si="10"/>
        <v>25080.706000000002</v>
      </c>
      <c r="X22" s="1934"/>
      <c r="Y22" s="17">
        <v>3508.817</v>
      </c>
      <c r="Z22" s="848"/>
      <c r="AA22" s="6045">
        <f t="shared" si="11"/>
        <v>13556.483000000004</v>
      </c>
      <c r="AB22" s="4498"/>
      <c r="AC22" s="6046">
        <f t="shared" si="12"/>
        <v>28589.523000000001</v>
      </c>
      <c r="AD22" s="1934"/>
      <c r="AE22" s="17">
        <v>5936.3510000000042</v>
      </c>
      <c r="AF22" s="1956"/>
      <c r="AG22" s="37">
        <f t="shared" si="13"/>
        <v>34525.874000000003</v>
      </c>
      <c r="AH22" s="1934"/>
      <c r="AI22" s="17">
        <v>4493.277</v>
      </c>
      <c r="AJ22" s="1956"/>
      <c r="AK22" s="37">
        <f t="shared" si="14"/>
        <v>39019.151000000005</v>
      </c>
      <c r="AL22" s="1934"/>
      <c r="AM22" s="17">
        <v>5152.2199999999984</v>
      </c>
      <c r="AN22" s="848"/>
      <c r="AO22" s="6612">
        <f t="shared" si="15"/>
        <v>15581.848000000002</v>
      </c>
      <c r="AP22" s="1956"/>
      <c r="AQ22" s="37">
        <f t="shared" si="16"/>
        <v>44171.371000000006</v>
      </c>
      <c r="AR22" s="1934"/>
      <c r="AS22" s="17">
        <v>4074.8280000000013</v>
      </c>
      <c r="AT22" s="1956"/>
      <c r="AU22" s="37">
        <f t="shared" si="17"/>
        <v>48246.199000000008</v>
      </c>
      <c r="AV22" s="1934"/>
      <c r="AW22" s="17">
        <v>5929.5550000000048</v>
      </c>
      <c r="AX22" s="1956"/>
      <c r="AY22" s="37">
        <f t="shared" si="18"/>
        <v>54175.754000000015</v>
      </c>
      <c r="AZ22" s="1934"/>
      <c r="BA22" s="17">
        <v>7728.3740000000053</v>
      </c>
      <c r="BB22" s="848"/>
      <c r="BC22" s="5236">
        <f t="shared" si="19"/>
        <v>17732.757000000012</v>
      </c>
      <c r="BD22" s="849"/>
      <c r="BE22" s="657">
        <f t="shared" si="20"/>
        <v>33314.60500000001</v>
      </c>
      <c r="BF22" s="1956"/>
      <c r="BG22" s="37">
        <f t="shared" si="21"/>
        <v>61904.128000000019</v>
      </c>
      <c r="BH22" s="4234">
        <f t="shared" si="3"/>
        <v>0</v>
      </c>
      <c r="BI22" s="4234">
        <f t="shared" si="4"/>
        <v>0</v>
      </c>
      <c r="BJ22" s="25"/>
      <c r="BK22" s="25">
        <f t="shared" si="5"/>
        <v>0</v>
      </c>
      <c r="BL22" s="25">
        <f t="shared" si="6"/>
        <v>0</v>
      </c>
      <c r="BM22" s="25"/>
      <c r="BN22" s="1137"/>
    </row>
    <row r="23" spans="1:72" s="3118" customFormat="1" x14ac:dyDescent="0.25">
      <c r="B23" s="1010" t="s">
        <v>815</v>
      </c>
      <c r="C23" s="3121" t="s">
        <v>1545</v>
      </c>
      <c r="D23" s="5130">
        <v>66.31</v>
      </c>
      <c r="E23" s="1306" t="s">
        <v>50</v>
      </c>
      <c r="F23" s="5131"/>
      <c r="G23" s="5132"/>
      <c r="H23" s="5131"/>
      <c r="I23" s="5132"/>
      <c r="J23" s="5133"/>
      <c r="K23" s="5241">
        <f t="shared" si="7"/>
        <v>0</v>
      </c>
      <c r="L23" s="5131"/>
      <c r="M23" s="5132">
        <v>251.41899999999998</v>
      </c>
      <c r="N23" s="5134"/>
      <c r="O23" s="67">
        <f t="shared" si="8"/>
        <v>251.41899999999998</v>
      </c>
      <c r="P23" s="5131"/>
      <c r="Q23" s="5132">
        <v>1317.7949999999998</v>
      </c>
      <c r="R23" s="5135"/>
      <c r="S23" s="37">
        <f t="shared" si="9"/>
        <v>1569.2139999999999</v>
      </c>
      <c r="T23" s="5131"/>
      <c r="U23" s="5132"/>
      <c r="V23" s="5135"/>
      <c r="W23" s="37">
        <f t="shared" si="10"/>
        <v>1569.2139999999999</v>
      </c>
      <c r="X23" s="5131"/>
      <c r="Y23" s="5132"/>
      <c r="Z23" s="5136"/>
      <c r="AA23" s="6045">
        <f t="shared" si="11"/>
        <v>1317.7949999999998</v>
      </c>
      <c r="AB23" s="5137"/>
      <c r="AC23" s="6046">
        <f t="shared" si="12"/>
        <v>1569.2139999999999</v>
      </c>
      <c r="AD23" s="5131"/>
      <c r="AE23" s="5132">
        <v>369.25</v>
      </c>
      <c r="AF23" s="5135"/>
      <c r="AG23" s="37">
        <f t="shared" si="13"/>
        <v>1938.4639999999999</v>
      </c>
      <c r="AH23" s="5131"/>
      <c r="AI23" s="5132"/>
      <c r="AJ23" s="5135"/>
      <c r="AK23" s="37">
        <f t="shared" si="14"/>
        <v>1938.4639999999999</v>
      </c>
      <c r="AL23" s="5131"/>
      <c r="AM23" s="5132"/>
      <c r="AN23" s="5136"/>
      <c r="AO23" s="6612">
        <f t="shared" si="15"/>
        <v>369.25</v>
      </c>
      <c r="AP23" s="5135"/>
      <c r="AQ23" s="37">
        <f t="shared" si="16"/>
        <v>1938.4639999999999</v>
      </c>
      <c r="AR23" s="5131"/>
      <c r="AS23" s="5132"/>
      <c r="AT23" s="5135"/>
      <c r="AU23" s="5120">
        <f t="shared" si="17"/>
        <v>1938.4639999999999</v>
      </c>
      <c r="AV23" s="5131"/>
      <c r="AW23" s="5132"/>
      <c r="AX23" s="5135"/>
      <c r="AY23" s="37">
        <f t="shared" si="18"/>
        <v>1938.4639999999999</v>
      </c>
      <c r="AZ23" s="5131"/>
      <c r="BA23" s="5132"/>
      <c r="BB23" s="5136"/>
      <c r="BC23" s="5236">
        <f t="shared" si="19"/>
        <v>0</v>
      </c>
      <c r="BD23" s="5138"/>
      <c r="BE23" s="657">
        <f t="shared" si="20"/>
        <v>369.25</v>
      </c>
      <c r="BF23" s="5135"/>
      <c r="BG23" s="37">
        <f t="shared" si="21"/>
        <v>1938.4639999999999</v>
      </c>
      <c r="BH23" s="4234">
        <f t="shared" si="3"/>
        <v>0</v>
      </c>
      <c r="BI23" s="4234">
        <f t="shared" si="4"/>
        <v>0</v>
      </c>
      <c r="BJ23" s="25"/>
      <c r="BK23" s="25">
        <f t="shared" si="5"/>
        <v>0</v>
      </c>
      <c r="BL23" s="25">
        <f t="shared" si="6"/>
        <v>0</v>
      </c>
      <c r="BM23" s="25"/>
      <c r="BN23" s="1137"/>
    </row>
    <row r="24" spans="1:72" ht="15" customHeight="1" x14ac:dyDescent="0.25">
      <c r="B24" s="1010" t="s">
        <v>815</v>
      </c>
      <c r="C24" s="3121" t="s">
        <v>905</v>
      </c>
      <c r="D24" s="3122">
        <v>66.31</v>
      </c>
      <c r="E24" s="1306" t="s">
        <v>50</v>
      </c>
      <c r="F24" s="1934"/>
      <c r="G24" s="17">
        <v>296.91300000000001</v>
      </c>
      <c r="H24" s="1934"/>
      <c r="I24" s="17">
        <v>1554.7009999999998</v>
      </c>
      <c r="J24" s="1939"/>
      <c r="K24" s="5241">
        <f t="shared" si="7"/>
        <v>1851.6139999999998</v>
      </c>
      <c r="L24" s="1934"/>
      <c r="M24" s="17">
        <v>1074.116</v>
      </c>
      <c r="N24" s="1948"/>
      <c r="O24" s="67">
        <f t="shared" si="8"/>
        <v>2925.7299999999996</v>
      </c>
      <c r="P24" s="1934"/>
      <c r="Q24" s="17"/>
      <c r="R24" s="1956"/>
      <c r="S24" s="37">
        <f t="shared" si="9"/>
        <v>2925.7299999999996</v>
      </c>
      <c r="T24" s="1934"/>
      <c r="U24" s="17">
        <v>314.27499999999998</v>
      </c>
      <c r="V24" s="1956"/>
      <c r="W24" s="37">
        <f t="shared" si="10"/>
        <v>3240.0049999999997</v>
      </c>
      <c r="X24" s="1934"/>
      <c r="Y24" s="17">
        <v>1084.9309999999998</v>
      </c>
      <c r="Z24" s="3123"/>
      <c r="AA24" s="6045">
        <f t="shared" si="11"/>
        <v>1399.2059999999997</v>
      </c>
      <c r="AB24" s="4499"/>
      <c r="AC24" s="6046">
        <f t="shared" si="12"/>
        <v>4324.9359999999997</v>
      </c>
      <c r="AD24" s="1934"/>
      <c r="AE24" s="17">
        <v>1216.867</v>
      </c>
      <c r="AF24" s="1956"/>
      <c r="AG24" s="37">
        <f t="shared" si="13"/>
        <v>5541.8029999999999</v>
      </c>
      <c r="AH24" s="1934"/>
      <c r="AI24" s="17">
        <v>722.73699999999997</v>
      </c>
      <c r="AJ24" s="1956"/>
      <c r="AK24" s="37">
        <f t="shared" si="14"/>
        <v>6264.54</v>
      </c>
      <c r="AL24" s="1934"/>
      <c r="AM24" s="17">
        <v>33.246000000000002</v>
      </c>
      <c r="AN24" s="3123"/>
      <c r="AO24" s="6612">
        <f t="shared" si="15"/>
        <v>1972.85</v>
      </c>
      <c r="AP24" s="1956"/>
      <c r="AQ24" s="37">
        <f t="shared" si="16"/>
        <v>6297.7860000000001</v>
      </c>
      <c r="AR24" s="1934"/>
      <c r="AS24" s="17">
        <v>306.387</v>
      </c>
      <c r="AT24" s="1956"/>
      <c r="AU24" s="37">
        <f t="shared" si="17"/>
        <v>6604.1729999999998</v>
      </c>
      <c r="AV24" s="1934"/>
      <c r="AW24" s="17">
        <v>109.94499999999999</v>
      </c>
      <c r="AX24" s="1956"/>
      <c r="AY24" s="37">
        <f t="shared" si="18"/>
        <v>6714.1179999999995</v>
      </c>
      <c r="AZ24" s="1934"/>
      <c r="BA24" s="17"/>
      <c r="BB24" s="3123"/>
      <c r="BC24" s="5236">
        <f t="shared" si="19"/>
        <v>416.33199999999999</v>
      </c>
      <c r="BD24" s="3124"/>
      <c r="BE24" s="657">
        <f t="shared" si="20"/>
        <v>2389.1819999999998</v>
      </c>
      <c r="BF24" s="1956"/>
      <c r="BG24" s="37">
        <f t="shared" si="21"/>
        <v>6714.1179999999995</v>
      </c>
      <c r="BH24" s="4234">
        <f t="shared" si="3"/>
        <v>0</v>
      </c>
      <c r="BI24" s="4234">
        <f t="shared" si="4"/>
        <v>0</v>
      </c>
      <c r="BJ24" s="25"/>
      <c r="BK24" s="25">
        <f t="shared" si="5"/>
        <v>0</v>
      </c>
      <c r="BL24" s="25">
        <f t="shared" si="6"/>
        <v>0</v>
      </c>
      <c r="BM24" s="25"/>
      <c r="BN24" s="1137"/>
    </row>
    <row r="25" spans="1:72" ht="15" customHeight="1" x14ac:dyDescent="0.25">
      <c r="B25" s="1010" t="s">
        <v>816</v>
      </c>
      <c r="C25" s="3121" t="s">
        <v>970</v>
      </c>
      <c r="D25" s="3122">
        <v>57.38</v>
      </c>
      <c r="E25" s="1306" t="s">
        <v>50</v>
      </c>
      <c r="F25" s="7586"/>
      <c r="G25" s="17">
        <v>2993.5480000000007</v>
      </c>
      <c r="H25" s="5603"/>
      <c r="I25" s="17">
        <v>4743.454999999999</v>
      </c>
      <c r="J25" s="411"/>
      <c r="K25" s="5241">
        <f t="shared" si="7"/>
        <v>7737.0029999999997</v>
      </c>
      <c r="L25" s="5715"/>
      <c r="M25" s="17">
        <v>2113.4860000000003</v>
      </c>
      <c r="N25" s="5267"/>
      <c r="O25" s="67">
        <f t="shared" si="8"/>
        <v>9850.4889999999996</v>
      </c>
      <c r="P25" s="5829"/>
      <c r="Q25" s="17">
        <v>2842.0549999999998</v>
      </c>
      <c r="R25" s="5265"/>
      <c r="S25" s="37">
        <f t="shared" si="9"/>
        <v>12692.544</v>
      </c>
      <c r="T25" s="5931"/>
      <c r="U25" s="17">
        <v>1577.72</v>
      </c>
      <c r="V25" s="5265"/>
      <c r="W25" s="37">
        <f t="shared" si="10"/>
        <v>14270.263999999999</v>
      </c>
      <c r="X25" s="6032"/>
      <c r="Y25" s="17">
        <v>1052.1249999999998</v>
      </c>
      <c r="Z25" s="5264"/>
      <c r="AA25" s="6045">
        <f t="shared" si="11"/>
        <v>5471.9</v>
      </c>
      <c r="AB25" s="5266"/>
      <c r="AC25" s="6046">
        <f t="shared" si="12"/>
        <v>15322.388999999999</v>
      </c>
      <c r="AD25" s="6160"/>
      <c r="AE25" s="17">
        <v>3354.6460000000002</v>
      </c>
      <c r="AF25" s="1956"/>
      <c r="AG25" s="37">
        <f t="shared" si="13"/>
        <v>18677.035</v>
      </c>
      <c r="AH25" s="6325"/>
      <c r="AI25" s="17">
        <v>2600.0659999999993</v>
      </c>
      <c r="AJ25" s="1956"/>
      <c r="AK25" s="37">
        <f t="shared" si="14"/>
        <v>21277.100999999999</v>
      </c>
      <c r="AL25" s="6588"/>
      <c r="AM25" s="17">
        <v>1917.9859999999999</v>
      </c>
      <c r="AN25" s="5264"/>
      <c r="AO25" s="6612">
        <f t="shared" si="15"/>
        <v>7872.6979999999994</v>
      </c>
      <c r="AP25" s="1956"/>
      <c r="AQ25" s="37">
        <f t="shared" si="16"/>
        <v>23195.087</v>
      </c>
      <c r="AR25" s="6671"/>
      <c r="AS25" s="17">
        <f>3690.556-277.49</f>
        <v>3413.0659999999998</v>
      </c>
      <c r="AT25" s="1956"/>
      <c r="AU25" s="37">
        <f t="shared" si="17"/>
        <v>26608.152999999998</v>
      </c>
      <c r="AV25" s="6837"/>
      <c r="AW25" s="17">
        <v>4302.5500000000011</v>
      </c>
      <c r="AX25" s="1956"/>
      <c r="AY25" s="37">
        <f t="shared" si="18"/>
        <v>30910.703000000001</v>
      </c>
      <c r="AZ25" s="6989"/>
      <c r="BA25" s="17">
        <v>3338.411000000001</v>
      </c>
      <c r="BB25" s="2812"/>
      <c r="BC25" s="5236">
        <f t="shared" si="19"/>
        <v>11054.027000000002</v>
      </c>
      <c r="BD25" s="657"/>
      <c r="BE25" s="657">
        <f t="shared" si="20"/>
        <v>18926.725000000002</v>
      </c>
      <c r="BF25" s="1956"/>
      <c r="BG25" s="37">
        <f t="shared" si="21"/>
        <v>34249.114000000001</v>
      </c>
      <c r="BH25" s="4234">
        <f t="shared" si="3"/>
        <v>0</v>
      </c>
      <c r="BI25" s="4234">
        <f t="shared" si="4"/>
        <v>0</v>
      </c>
      <c r="BJ25" s="25"/>
      <c r="BK25" s="25">
        <f t="shared" si="5"/>
        <v>0</v>
      </c>
      <c r="BL25" s="25">
        <f t="shared" si="6"/>
        <v>0</v>
      </c>
      <c r="BM25" s="25"/>
      <c r="BN25" s="1137"/>
    </row>
    <row r="26" spans="1:72" s="4487" customFormat="1" ht="15" customHeight="1" x14ac:dyDescent="0.25">
      <c r="B26" s="1010" t="s">
        <v>815</v>
      </c>
      <c r="C26" s="3121" t="s">
        <v>1545</v>
      </c>
      <c r="D26" s="3122">
        <v>57.38</v>
      </c>
      <c r="E26" s="1306" t="s">
        <v>50</v>
      </c>
      <c r="F26" s="7607"/>
      <c r="G26" s="5781">
        <v>212.09300000000002</v>
      </c>
      <c r="H26" s="7607"/>
      <c r="I26" s="5781"/>
      <c r="J26" s="7608"/>
      <c r="K26" s="7044"/>
      <c r="L26" s="7607"/>
      <c r="M26" s="5781"/>
      <c r="N26" s="5791"/>
      <c r="O26" s="5768"/>
      <c r="P26" s="7607"/>
      <c r="Q26" s="5781"/>
      <c r="R26" s="5790"/>
      <c r="S26" s="5174"/>
      <c r="T26" s="7607"/>
      <c r="U26" s="5781"/>
      <c r="V26" s="5790"/>
      <c r="W26" s="5174"/>
      <c r="X26" s="7607"/>
      <c r="Y26" s="5781"/>
      <c r="Z26" s="7045"/>
      <c r="AA26" s="7045"/>
      <c r="AB26" s="7379"/>
      <c r="AC26" s="7379"/>
      <c r="AD26" s="7607"/>
      <c r="AE26" s="5781"/>
      <c r="AF26" s="5748"/>
      <c r="AG26" s="5174"/>
      <c r="AH26" s="7607"/>
      <c r="AI26" s="5781"/>
      <c r="AJ26" s="5748"/>
      <c r="AK26" s="5174"/>
      <c r="AL26" s="7607"/>
      <c r="AM26" s="5781"/>
      <c r="AN26" s="7045"/>
      <c r="AO26" s="7045"/>
      <c r="AP26" s="5748"/>
      <c r="AQ26" s="5174"/>
      <c r="AR26" s="7607"/>
      <c r="AS26" s="5781"/>
      <c r="AT26" s="5748"/>
      <c r="AU26" s="5174"/>
      <c r="AV26" s="7607"/>
      <c r="AW26" s="5781"/>
      <c r="AX26" s="5748"/>
      <c r="AY26" s="5174"/>
      <c r="AZ26" s="7607"/>
      <c r="BA26" s="5781"/>
      <c r="BB26" s="7045"/>
      <c r="BC26" s="7045"/>
      <c r="BD26" s="7609"/>
      <c r="BE26" s="7609"/>
      <c r="BF26" s="5748"/>
      <c r="BG26" s="5174"/>
      <c r="BH26" s="4234"/>
      <c r="BI26" s="4234"/>
      <c r="BJ26" s="25"/>
      <c r="BK26" s="25"/>
      <c r="BL26" s="25"/>
      <c r="BM26" s="25"/>
      <c r="BN26" s="1137"/>
    </row>
    <row r="27" spans="1:72" ht="15" customHeight="1" thickBot="1" x14ac:dyDescent="0.3">
      <c r="A27" s="2095"/>
      <c r="B27" s="3330" t="s">
        <v>816</v>
      </c>
      <c r="C27" s="3331" t="s">
        <v>905</v>
      </c>
      <c r="D27" s="3332">
        <v>57.38</v>
      </c>
      <c r="E27" s="1325" t="s">
        <v>50</v>
      </c>
      <c r="F27" s="3333"/>
      <c r="G27" s="36">
        <v>3393.6110000000003</v>
      </c>
      <c r="H27" s="3333"/>
      <c r="I27" s="36">
        <v>1834.2080000000017</v>
      </c>
      <c r="J27" s="3334"/>
      <c r="K27" s="5241">
        <f t="shared" si="7"/>
        <v>5227.8190000000022</v>
      </c>
      <c r="L27" s="3333"/>
      <c r="M27" s="36">
        <v>3896.5000000000009</v>
      </c>
      <c r="N27" s="1948"/>
      <c r="O27" s="67">
        <f t="shared" si="8"/>
        <v>9124.3190000000031</v>
      </c>
      <c r="P27" s="3333"/>
      <c r="Q27" s="36">
        <v>1135.345</v>
      </c>
      <c r="R27" s="1956"/>
      <c r="S27" s="37">
        <f t="shared" si="9"/>
        <v>10259.664000000002</v>
      </c>
      <c r="T27" s="3333"/>
      <c r="U27" s="36">
        <v>528.68100000000004</v>
      </c>
      <c r="V27" s="1956"/>
      <c r="W27" s="37">
        <f t="shared" si="10"/>
        <v>10788.345000000003</v>
      </c>
      <c r="X27" s="3333"/>
      <c r="Y27" s="36"/>
      <c r="Z27" s="848"/>
      <c r="AA27" s="6045">
        <f t="shared" si="11"/>
        <v>1664.0260000000001</v>
      </c>
      <c r="AB27" s="4498"/>
      <c r="AC27" s="6046">
        <f t="shared" si="12"/>
        <v>10788.345000000003</v>
      </c>
      <c r="AD27" s="3333"/>
      <c r="AE27" s="36">
        <v>2083.7330000000006</v>
      </c>
      <c r="AF27" s="1956"/>
      <c r="AG27" s="37">
        <f t="shared" si="13"/>
        <v>12872.078000000003</v>
      </c>
      <c r="AH27" s="3333"/>
      <c r="AI27" s="36">
        <v>904.07100000000003</v>
      </c>
      <c r="AJ27" s="1956"/>
      <c r="AK27" s="37">
        <f t="shared" si="14"/>
        <v>13776.149000000003</v>
      </c>
      <c r="AL27" s="3333"/>
      <c r="AM27" s="36">
        <v>746.70900000000006</v>
      </c>
      <c r="AN27" s="848"/>
      <c r="AO27" s="6612">
        <f t="shared" si="15"/>
        <v>3734.5130000000008</v>
      </c>
      <c r="AP27" s="1956"/>
      <c r="AQ27" s="37">
        <f t="shared" si="16"/>
        <v>14522.858000000004</v>
      </c>
      <c r="AR27" s="3333"/>
      <c r="AS27" s="36">
        <v>1722.385</v>
      </c>
      <c r="AT27" s="1956"/>
      <c r="AU27" s="37">
        <f t="shared" si="17"/>
        <v>16245.243000000004</v>
      </c>
      <c r="AV27" s="3333"/>
      <c r="AW27" s="36">
        <v>589.14800000000002</v>
      </c>
      <c r="AX27" s="1956"/>
      <c r="AY27" s="37">
        <f t="shared" si="18"/>
        <v>16834.391000000003</v>
      </c>
      <c r="AZ27" s="3333"/>
      <c r="BA27" s="36">
        <v>1138.018</v>
      </c>
      <c r="BB27" s="848"/>
      <c r="BC27" s="5236">
        <f t="shared" si="19"/>
        <v>3449.5509999999999</v>
      </c>
      <c r="BD27" s="849"/>
      <c r="BE27" s="657">
        <f t="shared" si="20"/>
        <v>7184.0640000000003</v>
      </c>
      <c r="BF27" s="1956"/>
      <c r="BG27" s="37">
        <f t="shared" si="21"/>
        <v>17972.409000000003</v>
      </c>
      <c r="BH27" s="4234">
        <f t="shared" si="3"/>
        <v>0</v>
      </c>
      <c r="BI27" s="4234">
        <f t="shared" si="4"/>
        <v>0</v>
      </c>
      <c r="BJ27" s="25"/>
      <c r="BK27" s="25">
        <f t="shared" si="5"/>
        <v>0</v>
      </c>
      <c r="BL27" s="25">
        <f t="shared" si="6"/>
        <v>0</v>
      </c>
      <c r="BM27" s="25"/>
      <c r="BN27" s="1137"/>
    </row>
    <row r="28" spans="1:72" ht="15" customHeight="1" x14ac:dyDescent="0.25">
      <c r="B28" s="3325" t="s">
        <v>878</v>
      </c>
      <c r="C28" s="3326" t="s">
        <v>905</v>
      </c>
      <c r="D28" s="3327">
        <v>77.58</v>
      </c>
      <c r="E28" s="1243" t="s">
        <v>50</v>
      </c>
      <c r="F28" s="3328"/>
      <c r="G28" s="85"/>
      <c r="H28" s="3328"/>
      <c r="I28" s="85">
        <v>459.72199999999998</v>
      </c>
      <c r="J28" s="3329"/>
      <c r="K28" s="5241">
        <f t="shared" si="7"/>
        <v>459.72199999999998</v>
      </c>
      <c r="L28" s="3328"/>
      <c r="M28" s="85">
        <v>452.06</v>
      </c>
      <c r="N28" s="1948"/>
      <c r="O28" s="67">
        <f t="shared" si="8"/>
        <v>911.78199999999993</v>
      </c>
      <c r="P28" s="3328"/>
      <c r="Q28" s="85">
        <v>396.56700000000001</v>
      </c>
      <c r="R28" s="1956"/>
      <c r="S28" s="37">
        <f t="shared" si="9"/>
        <v>1308.3489999999999</v>
      </c>
      <c r="T28" s="3328"/>
      <c r="U28" s="85">
        <v>479.91899999999998</v>
      </c>
      <c r="V28" s="1956"/>
      <c r="W28" s="37">
        <f t="shared" si="10"/>
        <v>1788.268</v>
      </c>
      <c r="X28" s="3328"/>
      <c r="Y28" s="85">
        <v>594.05300000000011</v>
      </c>
      <c r="Z28" s="848"/>
      <c r="AA28" s="6045">
        <f t="shared" si="11"/>
        <v>1470.5390000000002</v>
      </c>
      <c r="AB28" s="4498"/>
      <c r="AC28" s="6046">
        <f t="shared" si="12"/>
        <v>2382.3209999999999</v>
      </c>
      <c r="AD28" s="3328"/>
      <c r="AE28" s="85">
        <v>397.14600000000002</v>
      </c>
      <c r="AF28" s="1956"/>
      <c r="AG28" s="37">
        <f t="shared" si="13"/>
        <v>2779.4670000000001</v>
      </c>
      <c r="AH28" s="3328"/>
      <c r="AI28" s="85">
        <v>206.87700000000001</v>
      </c>
      <c r="AJ28" s="1956"/>
      <c r="AK28" s="37">
        <f t="shared" si="14"/>
        <v>2986.3440000000001</v>
      </c>
      <c r="AL28" s="3328"/>
      <c r="AM28" s="85">
        <v>367.70699999999999</v>
      </c>
      <c r="AN28" s="848"/>
      <c r="AO28" s="6612">
        <f t="shared" si="15"/>
        <v>971.73</v>
      </c>
      <c r="AP28" s="1956"/>
      <c r="AQ28" s="37">
        <f t="shared" si="16"/>
        <v>3354.0509999999999</v>
      </c>
      <c r="AR28" s="3328"/>
      <c r="AS28" s="85">
        <v>503.95699999999999</v>
      </c>
      <c r="AT28" s="1956"/>
      <c r="AU28" s="37">
        <f t="shared" si="17"/>
        <v>3858.0079999999998</v>
      </c>
      <c r="AV28" s="3328"/>
      <c r="AW28" s="85">
        <v>97.072000000000003</v>
      </c>
      <c r="AX28" s="1956"/>
      <c r="AY28" s="37">
        <f t="shared" si="18"/>
        <v>3955.08</v>
      </c>
      <c r="AZ28" s="3328"/>
      <c r="BA28" s="85"/>
      <c r="BB28" s="848"/>
      <c r="BC28" s="5236">
        <f t="shared" si="19"/>
        <v>601.029</v>
      </c>
      <c r="BD28" s="849"/>
      <c r="BE28" s="657">
        <f t="shared" si="20"/>
        <v>1572.759</v>
      </c>
      <c r="BF28" s="1956"/>
      <c r="BG28" s="37">
        <f t="shared" si="21"/>
        <v>3955.08</v>
      </c>
      <c r="BH28" s="4234">
        <f t="shared" si="3"/>
        <v>0</v>
      </c>
      <c r="BI28" s="4234">
        <f t="shared" si="4"/>
        <v>0</v>
      </c>
      <c r="BJ28" s="25"/>
      <c r="BK28" s="25">
        <f t="shared" si="5"/>
        <v>0</v>
      </c>
      <c r="BL28" s="25">
        <f t="shared" si="6"/>
        <v>0</v>
      </c>
      <c r="BM28" s="25"/>
      <c r="BN28" s="1137"/>
    </row>
    <row r="29" spans="1:72" s="4487" customFormat="1" ht="15" customHeight="1" x14ac:dyDescent="0.25">
      <c r="B29" s="3321" t="s">
        <v>878</v>
      </c>
      <c r="C29" s="4293" t="s">
        <v>1545</v>
      </c>
      <c r="D29" s="3322">
        <v>77.58</v>
      </c>
      <c r="E29" s="1320" t="s">
        <v>50</v>
      </c>
      <c r="F29" s="3323"/>
      <c r="G29" s="27"/>
      <c r="H29" s="3323"/>
      <c r="I29" s="27"/>
      <c r="J29" s="3324"/>
      <c r="K29" s="5241">
        <f t="shared" si="7"/>
        <v>0</v>
      </c>
      <c r="L29" s="3323"/>
      <c r="M29" s="27">
        <v>275.834</v>
      </c>
      <c r="N29" s="5747"/>
      <c r="O29" s="67">
        <f t="shared" si="8"/>
        <v>275.834</v>
      </c>
      <c r="P29" s="3323"/>
      <c r="Q29" s="27"/>
      <c r="R29" s="5748"/>
      <c r="S29" s="37">
        <f t="shared" si="9"/>
        <v>275.834</v>
      </c>
      <c r="T29" s="3323"/>
      <c r="U29" s="27"/>
      <c r="V29" s="5748"/>
      <c r="W29" s="37">
        <f t="shared" si="10"/>
        <v>275.834</v>
      </c>
      <c r="X29" s="3323"/>
      <c r="Y29" s="27"/>
      <c r="Z29" s="5737"/>
      <c r="AA29" s="6045">
        <f t="shared" si="11"/>
        <v>0</v>
      </c>
      <c r="AB29" s="4498"/>
      <c r="AC29" s="6046">
        <f t="shared" si="12"/>
        <v>275.834</v>
      </c>
      <c r="AD29" s="3323"/>
      <c r="AE29" s="27">
        <v>145.55099999999999</v>
      </c>
      <c r="AF29" s="5748"/>
      <c r="AG29" s="37">
        <f t="shared" si="13"/>
        <v>421.38499999999999</v>
      </c>
      <c r="AH29" s="3323"/>
      <c r="AI29" s="27">
        <v>214.53800000000001</v>
      </c>
      <c r="AJ29" s="5748"/>
      <c r="AK29" s="37">
        <f t="shared" si="14"/>
        <v>635.923</v>
      </c>
      <c r="AL29" s="3323"/>
      <c r="AM29" s="27"/>
      <c r="AN29" s="5737"/>
      <c r="AO29" s="6612">
        <f t="shared" si="15"/>
        <v>360.089</v>
      </c>
      <c r="AP29" s="5748"/>
      <c r="AQ29" s="37">
        <f t="shared" si="16"/>
        <v>635.923</v>
      </c>
      <c r="AR29" s="3323"/>
      <c r="AS29" s="27">
        <v>344.72500000000002</v>
      </c>
      <c r="AT29" s="5748"/>
      <c r="AU29" s="5174">
        <f t="shared" si="17"/>
        <v>980.64800000000002</v>
      </c>
      <c r="AV29" s="3323"/>
      <c r="AW29" s="27"/>
      <c r="AX29" s="5748"/>
      <c r="AY29" s="37">
        <f t="shared" si="18"/>
        <v>980.64800000000002</v>
      </c>
      <c r="AZ29" s="3323"/>
      <c r="BA29" s="27"/>
      <c r="BB29" s="5737"/>
      <c r="BC29" s="6990">
        <f t="shared" si="19"/>
        <v>344.72500000000002</v>
      </c>
      <c r="BD29" s="5751"/>
      <c r="BE29" s="657">
        <f t="shared" si="20"/>
        <v>704.81400000000008</v>
      </c>
      <c r="BF29" s="5748"/>
      <c r="BG29" s="37">
        <f t="shared" si="21"/>
        <v>980.64800000000002</v>
      </c>
      <c r="BH29" s="4234">
        <f t="shared" si="3"/>
        <v>0</v>
      </c>
      <c r="BI29" s="4234">
        <f t="shared" si="4"/>
        <v>0</v>
      </c>
      <c r="BJ29" s="25"/>
      <c r="BK29" s="25">
        <f t="shared" si="5"/>
        <v>0</v>
      </c>
      <c r="BL29" s="25">
        <f t="shared" si="6"/>
        <v>0</v>
      </c>
      <c r="BM29" s="25"/>
      <c r="BN29" s="1137"/>
    </row>
    <row r="30" spans="1:72" s="4487" customFormat="1" ht="15" customHeight="1" x14ac:dyDescent="0.25">
      <c r="B30" s="3321" t="s">
        <v>878</v>
      </c>
      <c r="C30" s="4293" t="s">
        <v>1991</v>
      </c>
      <c r="D30" s="3322">
        <v>77.58</v>
      </c>
      <c r="E30" s="1320" t="s">
        <v>50</v>
      </c>
      <c r="F30" s="3323"/>
      <c r="G30" s="27"/>
      <c r="H30" s="3323"/>
      <c r="I30" s="27"/>
      <c r="J30" s="3324"/>
      <c r="K30" s="5241">
        <f t="shared" si="7"/>
        <v>0</v>
      </c>
      <c r="L30" s="3323"/>
      <c r="M30" s="27">
        <v>229.86200000000002</v>
      </c>
      <c r="N30" s="5747"/>
      <c r="O30" s="67">
        <f t="shared" si="8"/>
        <v>229.86200000000002</v>
      </c>
      <c r="P30" s="3323"/>
      <c r="Q30" s="27"/>
      <c r="R30" s="5748"/>
      <c r="S30" s="37">
        <f t="shared" si="9"/>
        <v>229.86200000000002</v>
      </c>
      <c r="T30" s="3323"/>
      <c r="U30" s="27"/>
      <c r="V30" s="5748"/>
      <c r="W30" s="37">
        <f t="shared" si="10"/>
        <v>229.86200000000002</v>
      </c>
      <c r="X30" s="3323"/>
      <c r="Y30" s="27"/>
      <c r="Z30" s="5737"/>
      <c r="AA30" s="6045">
        <f t="shared" si="11"/>
        <v>0</v>
      </c>
      <c r="AB30" s="4498"/>
      <c r="AC30" s="6046">
        <f t="shared" si="12"/>
        <v>229.86200000000002</v>
      </c>
      <c r="AD30" s="3323"/>
      <c r="AE30" s="27"/>
      <c r="AF30" s="5748"/>
      <c r="AG30" s="37">
        <f t="shared" si="13"/>
        <v>229.86200000000002</v>
      </c>
      <c r="AH30" s="3323"/>
      <c r="AI30" s="27"/>
      <c r="AJ30" s="5748"/>
      <c r="AK30" s="37">
        <f t="shared" si="14"/>
        <v>229.86200000000002</v>
      </c>
      <c r="AL30" s="3323"/>
      <c r="AM30" s="27"/>
      <c r="AN30" s="5737"/>
      <c r="AO30" s="6612">
        <f t="shared" si="15"/>
        <v>0</v>
      </c>
      <c r="AP30" s="5748"/>
      <c r="AQ30" s="37">
        <f t="shared" si="16"/>
        <v>229.86200000000002</v>
      </c>
      <c r="AR30" s="3323"/>
      <c r="AS30" s="27"/>
      <c r="AT30" s="5748"/>
      <c r="AU30" s="5174">
        <f t="shared" si="17"/>
        <v>229.86200000000002</v>
      </c>
      <c r="AV30" s="3323"/>
      <c r="AW30" s="27"/>
      <c r="AX30" s="5748"/>
      <c r="AY30" s="37">
        <f t="shared" si="18"/>
        <v>229.86200000000002</v>
      </c>
      <c r="AZ30" s="3323"/>
      <c r="BA30" s="27"/>
      <c r="BB30" s="5737"/>
      <c r="BC30" s="6990">
        <f t="shared" si="19"/>
        <v>0</v>
      </c>
      <c r="BD30" s="5751"/>
      <c r="BE30" s="657">
        <f t="shared" si="20"/>
        <v>0</v>
      </c>
      <c r="BF30" s="5748"/>
      <c r="BG30" s="37">
        <f t="shared" si="21"/>
        <v>229.86200000000002</v>
      </c>
      <c r="BH30" s="4234">
        <f t="shared" si="3"/>
        <v>0</v>
      </c>
      <c r="BI30" s="4234">
        <f t="shared" si="4"/>
        <v>0</v>
      </c>
      <c r="BJ30" s="25"/>
      <c r="BK30" s="25">
        <f t="shared" si="5"/>
        <v>0</v>
      </c>
      <c r="BL30" s="25">
        <f t="shared" si="6"/>
        <v>0</v>
      </c>
      <c r="BM30" s="25"/>
      <c r="BN30" s="1137"/>
    </row>
    <row r="31" spans="1:72" s="4487" customFormat="1" ht="15" customHeight="1" x14ac:dyDescent="0.25">
      <c r="B31" s="3321" t="s">
        <v>878</v>
      </c>
      <c r="C31" s="4293" t="s">
        <v>1546</v>
      </c>
      <c r="D31" s="3322">
        <v>77.58</v>
      </c>
      <c r="E31" s="1320" t="s">
        <v>50</v>
      </c>
      <c r="F31" s="3323"/>
      <c r="G31" s="27"/>
      <c r="H31" s="3323"/>
      <c r="I31" s="27"/>
      <c r="J31" s="3324"/>
      <c r="K31" s="5971"/>
      <c r="L31" s="3323"/>
      <c r="M31" s="27"/>
      <c r="N31" s="5747"/>
      <c r="O31" s="5768"/>
      <c r="P31" s="3323"/>
      <c r="Q31" s="27"/>
      <c r="R31" s="5748"/>
      <c r="S31" s="5174"/>
      <c r="T31" s="3323"/>
      <c r="U31" s="27"/>
      <c r="V31" s="5748"/>
      <c r="W31" s="5174"/>
      <c r="X31" s="3323"/>
      <c r="Y31" s="27"/>
      <c r="Z31" s="6056"/>
      <c r="AA31" s="5972"/>
      <c r="AB31" s="6186"/>
      <c r="AC31" s="6345">
        <f t="shared" si="12"/>
        <v>0</v>
      </c>
      <c r="AD31" s="3323"/>
      <c r="AE31" s="27"/>
      <c r="AF31" s="5748"/>
      <c r="AG31" s="37">
        <f t="shared" si="13"/>
        <v>0</v>
      </c>
      <c r="AH31" s="3323"/>
      <c r="AI31" s="27">
        <v>330.005</v>
      </c>
      <c r="AJ31" s="5748"/>
      <c r="AK31" s="37">
        <f t="shared" si="14"/>
        <v>330.005</v>
      </c>
      <c r="AL31" s="3323"/>
      <c r="AM31" s="27"/>
      <c r="AN31" s="6056"/>
      <c r="AO31" s="6612">
        <f t="shared" si="15"/>
        <v>330.005</v>
      </c>
      <c r="AP31" s="5748"/>
      <c r="AQ31" s="37">
        <f t="shared" si="16"/>
        <v>330.005</v>
      </c>
      <c r="AR31" s="3323"/>
      <c r="AS31" s="27">
        <v>659.03700000000003</v>
      </c>
      <c r="AT31" s="5748"/>
      <c r="AU31" s="5174">
        <f t="shared" si="17"/>
        <v>989.04200000000003</v>
      </c>
      <c r="AV31" s="3323"/>
      <c r="AW31" s="27"/>
      <c r="AX31" s="5748"/>
      <c r="AY31" s="37">
        <f t="shared" si="18"/>
        <v>989.04200000000003</v>
      </c>
      <c r="AZ31" s="3323"/>
      <c r="BA31" s="27"/>
      <c r="BB31" s="6056"/>
      <c r="BC31" s="6990">
        <f t="shared" si="19"/>
        <v>659.03700000000003</v>
      </c>
      <c r="BD31" s="6057"/>
      <c r="BE31" s="657">
        <f t="shared" si="20"/>
        <v>989.04200000000003</v>
      </c>
      <c r="BF31" s="5748"/>
      <c r="BG31" s="37">
        <f t="shared" si="21"/>
        <v>989.04200000000003</v>
      </c>
      <c r="BH31" s="4234">
        <f t="shared" si="3"/>
        <v>0</v>
      </c>
      <c r="BI31" s="4234">
        <f t="shared" si="4"/>
        <v>0</v>
      </c>
      <c r="BJ31" s="25"/>
      <c r="BK31" s="25">
        <f t="shared" si="5"/>
        <v>0</v>
      </c>
      <c r="BL31" s="25">
        <f t="shared" si="6"/>
        <v>0</v>
      </c>
      <c r="BM31" s="25"/>
      <c r="BN31" s="1137"/>
    </row>
    <row r="32" spans="1:72" ht="15" customHeight="1" x14ac:dyDescent="0.25">
      <c r="B32" s="1010" t="s">
        <v>878</v>
      </c>
      <c r="C32" s="3121" t="s">
        <v>970</v>
      </c>
      <c r="D32" s="3122">
        <v>77.58</v>
      </c>
      <c r="E32" s="1306" t="s">
        <v>50</v>
      </c>
      <c r="F32" s="1934"/>
      <c r="G32" s="17"/>
      <c r="H32" s="1934"/>
      <c r="I32" s="17">
        <v>2511.3139999999994</v>
      </c>
      <c r="J32" s="1939"/>
      <c r="K32" s="5241">
        <f t="shared" si="7"/>
        <v>2511.3139999999994</v>
      </c>
      <c r="L32" s="1934"/>
      <c r="M32" s="17">
        <v>2941.9840000000008</v>
      </c>
      <c r="N32" s="1948"/>
      <c r="O32" s="67">
        <f t="shared" si="8"/>
        <v>5453.2980000000007</v>
      </c>
      <c r="P32" s="1934"/>
      <c r="Q32" s="17">
        <v>3050.1450000000004</v>
      </c>
      <c r="R32" s="1956"/>
      <c r="S32" s="37">
        <f t="shared" si="9"/>
        <v>8503.4430000000011</v>
      </c>
      <c r="T32" s="1934"/>
      <c r="U32" s="17">
        <v>2511.2669999999998</v>
      </c>
      <c r="V32" s="1956"/>
      <c r="W32" s="37">
        <f t="shared" si="10"/>
        <v>11014.710000000001</v>
      </c>
      <c r="X32" s="1934"/>
      <c r="Y32" s="17">
        <v>2726.049</v>
      </c>
      <c r="Z32" s="848"/>
      <c r="AA32" s="6045">
        <f t="shared" si="11"/>
        <v>8287.4609999999993</v>
      </c>
      <c r="AB32" s="4498"/>
      <c r="AC32" s="6046">
        <f t="shared" si="12"/>
        <v>13740.759</v>
      </c>
      <c r="AD32" s="1934"/>
      <c r="AE32" s="17">
        <v>3225.1189999999988</v>
      </c>
      <c r="AF32" s="1956"/>
      <c r="AG32" s="37">
        <f t="shared" si="13"/>
        <v>16965.877999999997</v>
      </c>
      <c r="AH32" s="1934"/>
      <c r="AI32" s="17">
        <v>2834.6929999999998</v>
      </c>
      <c r="AJ32" s="1956"/>
      <c r="AK32" s="37">
        <f t="shared" si="14"/>
        <v>19800.570999999996</v>
      </c>
      <c r="AL32" s="1934"/>
      <c r="AM32" s="17">
        <v>1624.4269999999999</v>
      </c>
      <c r="AN32" s="848"/>
      <c r="AO32" s="6612">
        <f t="shared" si="15"/>
        <v>7684.2389999999978</v>
      </c>
      <c r="AP32" s="1956"/>
      <c r="AQ32" s="37">
        <f t="shared" si="16"/>
        <v>21424.997999999996</v>
      </c>
      <c r="AR32" s="1934"/>
      <c r="AS32" s="17">
        <v>4819.0960000000005</v>
      </c>
      <c r="AT32" s="1956"/>
      <c r="AU32" s="37">
        <f t="shared" si="17"/>
        <v>26244.093999999997</v>
      </c>
      <c r="AV32" s="1934"/>
      <c r="AW32" s="17">
        <v>4111.9789999999975</v>
      </c>
      <c r="AX32" s="1956"/>
      <c r="AY32" s="37">
        <f t="shared" si="18"/>
        <v>30356.072999999997</v>
      </c>
      <c r="AZ32" s="1934"/>
      <c r="BA32" s="17">
        <v>3432.5459999999998</v>
      </c>
      <c r="BB32" s="848"/>
      <c r="BC32" s="5236">
        <f t="shared" si="19"/>
        <v>12363.620999999997</v>
      </c>
      <c r="BD32" s="849"/>
      <c r="BE32" s="657">
        <f t="shared" si="20"/>
        <v>20047.859999999993</v>
      </c>
      <c r="BF32" s="1956"/>
      <c r="BG32" s="37">
        <f t="shared" si="21"/>
        <v>33788.618999999999</v>
      </c>
      <c r="BH32" s="4234">
        <f t="shared" si="3"/>
        <v>0</v>
      </c>
      <c r="BI32" s="4234">
        <f t="shared" si="4"/>
        <v>0</v>
      </c>
      <c r="BJ32" s="25"/>
      <c r="BK32" s="25">
        <f t="shared" si="5"/>
        <v>0</v>
      </c>
      <c r="BL32" s="25">
        <f t="shared" si="6"/>
        <v>0</v>
      </c>
      <c r="BM32" s="25"/>
      <c r="BN32" s="1137"/>
    </row>
    <row r="33" spans="1:71" ht="15" customHeight="1" x14ac:dyDescent="0.25">
      <c r="B33" s="1010" t="s">
        <v>1031</v>
      </c>
      <c r="C33" s="3121" t="s">
        <v>905</v>
      </c>
      <c r="D33" s="3122">
        <v>67.16</v>
      </c>
      <c r="E33" s="1306" t="s">
        <v>50</v>
      </c>
      <c r="F33" s="1934"/>
      <c r="G33" s="17"/>
      <c r="H33" s="1934"/>
      <c r="I33" s="17">
        <v>423.45800000000003</v>
      </c>
      <c r="J33" s="1939"/>
      <c r="K33" s="5241">
        <f t="shared" si="7"/>
        <v>423.45800000000003</v>
      </c>
      <c r="L33" s="1934"/>
      <c r="M33" s="17">
        <v>776.39</v>
      </c>
      <c r="N33" s="1948"/>
      <c r="O33" s="67">
        <f t="shared" si="8"/>
        <v>1199.848</v>
      </c>
      <c r="P33" s="1934"/>
      <c r="Q33" s="17">
        <v>1354.7659999999998</v>
      </c>
      <c r="R33" s="1956"/>
      <c r="S33" s="37">
        <f t="shared" si="9"/>
        <v>2554.6139999999996</v>
      </c>
      <c r="T33" s="1934"/>
      <c r="U33" s="17"/>
      <c r="V33" s="1956"/>
      <c r="W33" s="37">
        <f t="shared" si="10"/>
        <v>2554.6139999999996</v>
      </c>
      <c r="X33" s="1934"/>
      <c r="Y33" s="17">
        <v>627.25300000000004</v>
      </c>
      <c r="Z33" s="848"/>
      <c r="AA33" s="6045">
        <f t="shared" si="11"/>
        <v>1982.0189999999998</v>
      </c>
      <c r="AB33" s="4498"/>
      <c r="AC33" s="6046">
        <f t="shared" si="12"/>
        <v>3181.8669999999997</v>
      </c>
      <c r="AD33" s="1934"/>
      <c r="AE33" s="17">
        <v>143.601</v>
      </c>
      <c r="AF33" s="1956"/>
      <c r="AG33" s="37">
        <f t="shared" si="13"/>
        <v>3325.4679999999998</v>
      </c>
      <c r="AH33" s="1934"/>
      <c r="AI33" s="17"/>
      <c r="AJ33" s="1956"/>
      <c r="AK33" s="37">
        <f t="shared" si="14"/>
        <v>3325.4679999999998</v>
      </c>
      <c r="AL33" s="1934"/>
      <c r="AM33" s="17"/>
      <c r="AN33" s="848"/>
      <c r="AO33" s="6612">
        <f t="shared" si="15"/>
        <v>143.601</v>
      </c>
      <c r="AP33" s="1956"/>
      <c r="AQ33" s="37">
        <f t="shared" si="16"/>
        <v>3325.4679999999998</v>
      </c>
      <c r="AR33" s="1934"/>
      <c r="AS33" s="17">
        <v>362.75599999999997</v>
      </c>
      <c r="AT33" s="1956"/>
      <c r="AU33" s="37">
        <f t="shared" si="17"/>
        <v>3688.2239999999997</v>
      </c>
      <c r="AV33" s="1934"/>
      <c r="AW33" s="17">
        <v>507.67700000000002</v>
      </c>
      <c r="AX33" s="1956"/>
      <c r="AY33" s="37">
        <f t="shared" si="18"/>
        <v>4195.9009999999998</v>
      </c>
      <c r="AZ33" s="1934"/>
      <c r="BA33" s="17">
        <v>715.45100000000014</v>
      </c>
      <c r="BB33" s="848"/>
      <c r="BC33" s="5236">
        <f t="shared" si="19"/>
        <v>1585.884</v>
      </c>
      <c r="BD33" s="849"/>
      <c r="BE33" s="657">
        <f t="shared" si="20"/>
        <v>1729.4850000000001</v>
      </c>
      <c r="BF33" s="1956"/>
      <c r="BG33" s="37">
        <f t="shared" si="21"/>
        <v>4911.3519999999999</v>
      </c>
      <c r="BH33" s="4234">
        <f t="shared" si="3"/>
        <v>0</v>
      </c>
      <c r="BI33" s="4234">
        <f t="shared" si="4"/>
        <v>0</v>
      </c>
      <c r="BJ33" s="25"/>
      <c r="BK33" s="25">
        <f t="shared" si="5"/>
        <v>0</v>
      </c>
      <c r="BL33" s="25">
        <f t="shared" si="6"/>
        <v>0</v>
      </c>
      <c r="BM33" s="25"/>
      <c r="BN33" s="1137"/>
    </row>
    <row r="34" spans="1:71" ht="15" customHeight="1" x14ac:dyDescent="0.25">
      <c r="B34" s="1010" t="s">
        <v>1031</v>
      </c>
      <c r="C34" s="3121" t="s">
        <v>970</v>
      </c>
      <c r="D34" s="3122">
        <v>67.16</v>
      </c>
      <c r="E34" s="1306" t="s">
        <v>50</v>
      </c>
      <c r="F34" s="1934"/>
      <c r="G34" s="17"/>
      <c r="H34" s="1934"/>
      <c r="I34" s="17">
        <v>1004.057</v>
      </c>
      <c r="J34" s="1939"/>
      <c r="K34" s="5241">
        <f t="shared" si="7"/>
        <v>1004.057</v>
      </c>
      <c r="L34" s="1934"/>
      <c r="M34" s="17">
        <v>1621.7879999999998</v>
      </c>
      <c r="N34" s="1948"/>
      <c r="O34" s="67">
        <f t="shared" si="8"/>
        <v>2625.8449999999998</v>
      </c>
      <c r="P34" s="1934"/>
      <c r="Q34" s="17">
        <v>2443.4170000000004</v>
      </c>
      <c r="R34" s="1956"/>
      <c r="S34" s="37">
        <f t="shared" si="9"/>
        <v>5069.2620000000006</v>
      </c>
      <c r="T34" s="1934"/>
      <c r="U34" s="17">
        <v>610.00199999999995</v>
      </c>
      <c r="V34" s="1956"/>
      <c r="W34" s="37">
        <f t="shared" si="10"/>
        <v>5679.264000000001</v>
      </c>
      <c r="X34" s="1934"/>
      <c r="Y34" s="17">
        <v>943.14499999999987</v>
      </c>
      <c r="Z34" s="848"/>
      <c r="AA34" s="6045">
        <f t="shared" si="11"/>
        <v>3996.5640000000003</v>
      </c>
      <c r="AB34" s="4498"/>
      <c r="AC34" s="6046">
        <f t="shared" si="12"/>
        <v>6622.4089999999997</v>
      </c>
      <c r="AD34" s="1934"/>
      <c r="AE34" s="17">
        <v>415.09499999999991</v>
      </c>
      <c r="AF34" s="1956"/>
      <c r="AG34" s="37">
        <f t="shared" si="13"/>
        <v>7037.5039999999999</v>
      </c>
      <c r="AH34" s="1934"/>
      <c r="AI34" s="17">
        <v>72.914000000000001</v>
      </c>
      <c r="AJ34" s="1956"/>
      <c r="AK34" s="37">
        <f t="shared" si="14"/>
        <v>7110.4179999999997</v>
      </c>
      <c r="AL34" s="1934"/>
      <c r="AM34" s="17">
        <v>1893.1450000000002</v>
      </c>
      <c r="AN34" s="848"/>
      <c r="AO34" s="6612">
        <f t="shared" si="15"/>
        <v>2381.154</v>
      </c>
      <c r="AP34" s="1956"/>
      <c r="AQ34" s="37">
        <f t="shared" si="16"/>
        <v>9003.5630000000001</v>
      </c>
      <c r="AR34" s="1934"/>
      <c r="AS34" s="17">
        <v>1454.3810000000001</v>
      </c>
      <c r="AT34" s="1956"/>
      <c r="AU34" s="37">
        <f t="shared" si="17"/>
        <v>10457.944</v>
      </c>
      <c r="AV34" s="1934"/>
      <c r="AW34" s="17">
        <v>1471.5919999999999</v>
      </c>
      <c r="AX34" s="1956"/>
      <c r="AY34" s="37">
        <f t="shared" si="18"/>
        <v>11929.536</v>
      </c>
      <c r="AZ34" s="1934"/>
      <c r="BA34" s="17">
        <v>1130.5889999999999</v>
      </c>
      <c r="BB34" s="848"/>
      <c r="BC34" s="5236">
        <f t="shared" si="19"/>
        <v>4056.5619999999999</v>
      </c>
      <c r="BD34" s="849"/>
      <c r="BE34" s="657">
        <f t="shared" si="20"/>
        <v>6437.7160000000003</v>
      </c>
      <c r="BF34" s="1956"/>
      <c r="BG34" s="37">
        <f t="shared" si="21"/>
        <v>13060.125</v>
      </c>
      <c r="BH34" s="4234">
        <f t="shared" si="3"/>
        <v>0</v>
      </c>
      <c r="BI34" s="4234">
        <f t="shared" si="4"/>
        <v>0</v>
      </c>
      <c r="BJ34" s="25"/>
      <c r="BK34" s="25">
        <f t="shared" si="5"/>
        <v>0</v>
      </c>
      <c r="BL34" s="25">
        <f t="shared" si="6"/>
        <v>0</v>
      </c>
      <c r="BM34" s="25"/>
      <c r="BN34" s="1137"/>
    </row>
    <row r="35" spans="1:71" s="3118" customFormat="1" ht="15" customHeight="1" x14ac:dyDescent="0.25">
      <c r="B35" s="1010" t="s">
        <v>878</v>
      </c>
      <c r="C35" s="3121" t="s">
        <v>970</v>
      </c>
      <c r="D35" s="3122">
        <v>92.37</v>
      </c>
      <c r="E35" s="1306" t="s">
        <v>50</v>
      </c>
      <c r="F35" s="1934"/>
      <c r="G35" s="17"/>
      <c r="H35" s="1934"/>
      <c r="I35" s="17">
        <v>203.166</v>
      </c>
      <c r="J35" s="1939"/>
      <c r="K35" s="5241">
        <f t="shared" si="7"/>
        <v>203.166</v>
      </c>
      <c r="L35" s="1934"/>
      <c r="M35" s="17"/>
      <c r="N35" s="1948"/>
      <c r="O35" s="67">
        <f t="shared" si="8"/>
        <v>203.166</v>
      </c>
      <c r="P35" s="1934"/>
      <c r="Q35" s="17"/>
      <c r="R35" s="1956"/>
      <c r="S35" s="37">
        <f t="shared" si="9"/>
        <v>203.166</v>
      </c>
      <c r="T35" s="1934"/>
      <c r="U35" s="17"/>
      <c r="V35" s="1956"/>
      <c r="W35" s="37">
        <f t="shared" si="10"/>
        <v>203.166</v>
      </c>
      <c r="X35" s="1934"/>
      <c r="Y35" s="17">
        <v>524.90899999999999</v>
      </c>
      <c r="Z35" s="848"/>
      <c r="AA35" s="6045">
        <f t="shared" si="11"/>
        <v>524.90899999999999</v>
      </c>
      <c r="AB35" s="4498"/>
      <c r="AC35" s="6046">
        <f t="shared" si="12"/>
        <v>728.07500000000005</v>
      </c>
      <c r="AD35" s="1934"/>
      <c r="AE35" s="17"/>
      <c r="AF35" s="1956"/>
      <c r="AG35" s="37">
        <f t="shared" si="13"/>
        <v>728.07500000000005</v>
      </c>
      <c r="AH35" s="1934"/>
      <c r="AI35" s="17"/>
      <c r="AJ35" s="1956"/>
      <c r="AK35" s="37">
        <f t="shared" si="14"/>
        <v>728.07500000000005</v>
      </c>
      <c r="AL35" s="1934"/>
      <c r="AM35" s="17">
        <v>510.59299999999996</v>
      </c>
      <c r="AN35" s="848"/>
      <c r="AO35" s="6612">
        <f t="shared" si="15"/>
        <v>510.59299999999996</v>
      </c>
      <c r="AP35" s="1956"/>
      <c r="AQ35" s="37">
        <f t="shared" si="16"/>
        <v>1238.6680000000001</v>
      </c>
      <c r="AR35" s="1934"/>
      <c r="AS35" s="17"/>
      <c r="AT35" s="1956"/>
      <c r="AU35" s="37">
        <f t="shared" si="17"/>
        <v>1238.6680000000001</v>
      </c>
      <c r="AV35" s="1934"/>
      <c r="AW35" s="17"/>
      <c r="AX35" s="1956"/>
      <c r="AY35" s="37">
        <f t="shared" si="18"/>
        <v>1238.6680000000001</v>
      </c>
      <c r="AZ35" s="1934"/>
      <c r="BA35" s="17"/>
      <c r="BB35" s="848"/>
      <c r="BC35" s="5236">
        <f t="shared" si="19"/>
        <v>0</v>
      </c>
      <c r="BD35" s="849"/>
      <c r="BE35" s="657">
        <f t="shared" si="20"/>
        <v>510.59299999999996</v>
      </c>
      <c r="BF35" s="1956"/>
      <c r="BG35" s="37">
        <f t="shared" si="21"/>
        <v>1238.6680000000001</v>
      </c>
      <c r="BH35" s="4234">
        <f t="shared" si="3"/>
        <v>0</v>
      </c>
      <c r="BI35" s="4234">
        <f t="shared" si="4"/>
        <v>0</v>
      </c>
      <c r="BJ35" s="25"/>
      <c r="BK35" s="25">
        <f t="shared" si="5"/>
        <v>0</v>
      </c>
      <c r="BL35" s="25">
        <f t="shared" si="6"/>
        <v>0</v>
      </c>
      <c r="BM35" s="25"/>
      <c r="BN35" s="1137"/>
      <c r="BS35" s="1539"/>
    </row>
    <row r="36" spans="1:71" ht="15" customHeight="1" thickBot="1" x14ac:dyDescent="0.3">
      <c r="B36" s="3330" t="s">
        <v>878</v>
      </c>
      <c r="C36" s="3331" t="s">
        <v>905</v>
      </c>
      <c r="D36" s="3332">
        <v>92.37</v>
      </c>
      <c r="E36" s="1325" t="s">
        <v>50</v>
      </c>
      <c r="F36" s="3333"/>
      <c r="G36" s="36"/>
      <c r="H36" s="3333"/>
      <c r="I36" s="36"/>
      <c r="J36" s="3334"/>
      <c r="K36" s="5241">
        <f t="shared" si="7"/>
        <v>0</v>
      </c>
      <c r="L36" s="3333"/>
      <c r="M36" s="36"/>
      <c r="N36" s="1948"/>
      <c r="O36" s="67">
        <f t="shared" si="8"/>
        <v>0</v>
      </c>
      <c r="P36" s="3333"/>
      <c r="Q36" s="36"/>
      <c r="R36" s="1956"/>
      <c r="S36" s="37">
        <f t="shared" si="9"/>
        <v>0</v>
      </c>
      <c r="T36" s="3333"/>
      <c r="U36" s="36"/>
      <c r="V36" s="1956"/>
      <c r="W36" s="37">
        <f t="shared" si="10"/>
        <v>0</v>
      </c>
      <c r="X36" s="3333"/>
      <c r="Y36" s="36"/>
      <c r="Z36" s="3123"/>
      <c r="AA36" s="6045">
        <f t="shared" si="11"/>
        <v>0</v>
      </c>
      <c r="AB36" s="4499"/>
      <c r="AC36" s="6046">
        <f t="shared" si="12"/>
        <v>0</v>
      </c>
      <c r="AD36" s="3333"/>
      <c r="AE36" s="36"/>
      <c r="AF36" s="1956"/>
      <c r="AG36" s="37">
        <f t="shared" si="13"/>
        <v>0</v>
      </c>
      <c r="AH36" s="3333"/>
      <c r="AI36" s="36"/>
      <c r="AJ36" s="1956"/>
      <c r="AK36" s="37">
        <f t="shared" si="14"/>
        <v>0</v>
      </c>
      <c r="AL36" s="3333"/>
      <c r="AM36" s="36"/>
      <c r="AN36" s="3123"/>
      <c r="AO36" s="6612">
        <f t="shared" si="15"/>
        <v>0</v>
      </c>
      <c r="AP36" s="1956"/>
      <c r="AQ36" s="37">
        <f t="shared" si="16"/>
        <v>0</v>
      </c>
      <c r="AR36" s="3333"/>
      <c r="AS36" s="36"/>
      <c r="AT36" s="1956"/>
      <c r="AU36" s="37">
        <f t="shared" si="17"/>
        <v>0</v>
      </c>
      <c r="AV36" s="3333"/>
      <c r="AW36" s="36"/>
      <c r="AX36" s="1956"/>
      <c r="AY36" s="37">
        <f t="shared" si="18"/>
        <v>0</v>
      </c>
      <c r="AZ36" s="3333"/>
      <c r="BA36" s="36"/>
      <c r="BB36" s="3123"/>
      <c r="BC36" s="5236">
        <f t="shared" si="19"/>
        <v>0</v>
      </c>
      <c r="BD36" s="3124"/>
      <c r="BE36" s="657">
        <f t="shared" si="20"/>
        <v>0</v>
      </c>
      <c r="BF36" s="1956"/>
      <c r="BG36" s="37">
        <f t="shared" si="21"/>
        <v>0</v>
      </c>
      <c r="BH36" s="4234">
        <f t="shared" si="3"/>
        <v>0</v>
      </c>
      <c r="BI36" s="4234">
        <f t="shared" si="4"/>
        <v>0</v>
      </c>
      <c r="BJ36" s="25"/>
      <c r="BK36" s="25">
        <f t="shared" si="5"/>
        <v>0</v>
      </c>
      <c r="BL36" s="25">
        <f t="shared" si="6"/>
        <v>0</v>
      </c>
      <c r="BM36" s="25"/>
      <c r="BN36" s="1137"/>
    </row>
    <row r="37" spans="1:71" s="2819" customFormat="1" ht="15" customHeight="1" x14ac:dyDescent="0.25">
      <c r="B37" s="3325" t="s">
        <v>1236</v>
      </c>
      <c r="C37" s="3326" t="s">
        <v>970</v>
      </c>
      <c r="D37" s="3327">
        <v>79.36</v>
      </c>
      <c r="E37" s="1243" t="s">
        <v>50</v>
      </c>
      <c r="F37" s="3328"/>
      <c r="G37" s="85"/>
      <c r="H37" s="3328"/>
      <c r="I37" s="85">
        <v>423.31900000000007</v>
      </c>
      <c r="J37" s="3329"/>
      <c r="K37" s="5241">
        <f t="shared" si="7"/>
        <v>423.31900000000007</v>
      </c>
      <c r="L37" s="3328"/>
      <c r="M37" s="85">
        <v>432.125</v>
      </c>
      <c r="N37" s="1948"/>
      <c r="O37" s="67">
        <f t="shared" si="8"/>
        <v>855.44400000000007</v>
      </c>
      <c r="P37" s="3328"/>
      <c r="Q37" s="85">
        <v>840.68100000000004</v>
      </c>
      <c r="R37" s="1956"/>
      <c r="S37" s="37">
        <f t="shared" si="9"/>
        <v>1696.125</v>
      </c>
      <c r="T37" s="3328"/>
      <c r="U37" s="85">
        <v>963.54099999999994</v>
      </c>
      <c r="V37" s="1956"/>
      <c r="W37" s="37">
        <f t="shared" si="10"/>
        <v>2659.6660000000002</v>
      </c>
      <c r="X37" s="3328"/>
      <c r="Y37" s="85">
        <v>1767.8939999999998</v>
      </c>
      <c r="Z37" s="848"/>
      <c r="AA37" s="6045">
        <f t="shared" si="11"/>
        <v>3572.116</v>
      </c>
      <c r="AB37" s="4498"/>
      <c r="AC37" s="6046">
        <f t="shared" si="12"/>
        <v>4427.5600000000004</v>
      </c>
      <c r="AD37" s="3328"/>
      <c r="AE37" s="85"/>
      <c r="AF37" s="1956"/>
      <c r="AG37" s="37">
        <f t="shared" si="13"/>
        <v>4427.5600000000004</v>
      </c>
      <c r="AH37" s="3328"/>
      <c r="AI37" s="85">
        <v>903.40800000000002</v>
      </c>
      <c r="AJ37" s="1956"/>
      <c r="AK37" s="37">
        <f t="shared" si="14"/>
        <v>5330.9680000000008</v>
      </c>
      <c r="AL37" s="3328"/>
      <c r="AM37" s="85">
        <v>471.31899999999996</v>
      </c>
      <c r="AN37" s="848"/>
      <c r="AO37" s="6612">
        <f t="shared" si="15"/>
        <v>1374.7269999999999</v>
      </c>
      <c r="AP37" s="1956"/>
      <c r="AQ37" s="37">
        <f t="shared" si="16"/>
        <v>5802.2870000000003</v>
      </c>
      <c r="AR37" s="3328"/>
      <c r="AS37" s="85">
        <v>628.50900000000001</v>
      </c>
      <c r="AT37" s="1956"/>
      <c r="AU37" s="37">
        <f t="shared" si="17"/>
        <v>6430.7960000000003</v>
      </c>
      <c r="AV37" s="3328"/>
      <c r="AW37" s="85">
        <v>1137.2190000000003</v>
      </c>
      <c r="AX37" s="1956"/>
      <c r="AY37" s="37">
        <f t="shared" si="18"/>
        <v>7568.0150000000003</v>
      </c>
      <c r="AZ37" s="3328"/>
      <c r="BA37" s="85">
        <v>972.07199999999978</v>
      </c>
      <c r="BB37" s="848"/>
      <c r="BC37" s="5236">
        <f t="shared" si="19"/>
        <v>2737.8</v>
      </c>
      <c r="BD37" s="849"/>
      <c r="BE37" s="657">
        <f t="shared" si="20"/>
        <v>4112.527</v>
      </c>
      <c r="BF37" s="1956"/>
      <c r="BG37" s="37">
        <f t="shared" si="21"/>
        <v>8540.0869999999995</v>
      </c>
      <c r="BH37" s="4234">
        <f t="shared" si="3"/>
        <v>0</v>
      </c>
      <c r="BI37" s="4234">
        <f t="shared" si="4"/>
        <v>0</v>
      </c>
      <c r="BJ37" s="25"/>
      <c r="BK37" s="25">
        <f t="shared" si="5"/>
        <v>0</v>
      </c>
      <c r="BL37" s="25">
        <f t="shared" si="6"/>
        <v>0</v>
      </c>
      <c r="BM37" s="25"/>
      <c r="BN37" s="1137"/>
    </row>
    <row r="38" spans="1:71" ht="15" customHeight="1" x14ac:dyDescent="0.25">
      <c r="A38" s="2095"/>
      <c r="B38" s="1010" t="s">
        <v>1236</v>
      </c>
      <c r="C38" s="3121" t="s">
        <v>1531</v>
      </c>
      <c r="D38" s="3122">
        <v>79.36</v>
      </c>
      <c r="E38" s="1306" t="s">
        <v>50</v>
      </c>
      <c r="F38" s="1934"/>
      <c r="G38" s="17"/>
      <c r="H38" s="1934"/>
      <c r="I38" s="17"/>
      <c r="J38" s="1939"/>
      <c r="K38" s="5241">
        <f t="shared" si="7"/>
        <v>0</v>
      </c>
      <c r="L38" s="1934"/>
      <c r="M38" s="17"/>
      <c r="N38" s="1948"/>
      <c r="O38" s="67">
        <f t="shared" si="8"/>
        <v>0</v>
      </c>
      <c r="P38" s="1934"/>
      <c r="Q38" s="17"/>
      <c r="R38" s="1956"/>
      <c r="S38" s="37">
        <f t="shared" si="9"/>
        <v>0</v>
      </c>
      <c r="T38" s="1934"/>
      <c r="U38" s="17"/>
      <c r="V38" s="1956"/>
      <c r="W38" s="37">
        <f t="shared" si="10"/>
        <v>0</v>
      </c>
      <c r="X38" s="1934"/>
      <c r="Y38" s="17"/>
      <c r="Z38" s="2659"/>
      <c r="AA38" s="6045">
        <f t="shared" si="11"/>
        <v>0</v>
      </c>
      <c r="AB38" s="4500"/>
      <c r="AC38" s="6046">
        <f t="shared" si="12"/>
        <v>0</v>
      </c>
      <c r="AD38" s="1934"/>
      <c r="AE38" s="17"/>
      <c r="AF38" s="1956"/>
      <c r="AG38" s="37">
        <f t="shared" si="13"/>
        <v>0</v>
      </c>
      <c r="AH38" s="1934"/>
      <c r="AI38" s="17"/>
      <c r="AJ38" s="1956"/>
      <c r="AK38" s="37">
        <f t="shared" si="14"/>
        <v>0</v>
      </c>
      <c r="AL38" s="1934"/>
      <c r="AM38" s="17"/>
      <c r="AN38" s="2659"/>
      <c r="AO38" s="6612">
        <f t="shared" si="15"/>
        <v>0</v>
      </c>
      <c r="AP38" s="1956"/>
      <c r="AQ38" s="37">
        <f t="shared" si="16"/>
        <v>0</v>
      </c>
      <c r="AR38" s="1934"/>
      <c r="AS38" s="17"/>
      <c r="AT38" s="1956"/>
      <c r="AU38" s="37">
        <f t="shared" si="17"/>
        <v>0</v>
      </c>
      <c r="AV38" s="1934"/>
      <c r="AW38" s="17"/>
      <c r="AX38" s="1956"/>
      <c r="AY38" s="37">
        <f t="shared" si="18"/>
        <v>0</v>
      </c>
      <c r="AZ38" s="1934"/>
      <c r="BA38" s="17"/>
      <c r="BB38" s="2659"/>
      <c r="BC38" s="5236">
        <f t="shared" si="19"/>
        <v>0</v>
      </c>
      <c r="BD38" s="2663"/>
      <c r="BE38" s="657">
        <f t="shared" si="20"/>
        <v>0</v>
      </c>
      <c r="BF38" s="1956"/>
      <c r="BG38" s="37">
        <f t="shared" si="21"/>
        <v>0</v>
      </c>
      <c r="BH38" s="4234">
        <f t="shared" si="3"/>
        <v>0</v>
      </c>
      <c r="BI38" s="4234">
        <f t="shared" si="4"/>
        <v>0</v>
      </c>
      <c r="BJ38" s="25"/>
      <c r="BK38" s="25">
        <f t="shared" si="5"/>
        <v>0</v>
      </c>
      <c r="BL38" s="25">
        <f t="shared" si="6"/>
        <v>0</v>
      </c>
      <c r="BM38" s="25"/>
      <c r="BN38" s="1137"/>
    </row>
    <row r="39" spans="1:71" s="2444" customFormat="1" ht="15" customHeight="1" x14ac:dyDescent="0.25">
      <c r="B39" s="1010" t="s">
        <v>1236</v>
      </c>
      <c r="C39" s="3121" t="s">
        <v>905</v>
      </c>
      <c r="D39" s="3122">
        <v>79.36</v>
      </c>
      <c r="E39" s="1306" t="s">
        <v>50</v>
      </c>
      <c r="F39" s="1934"/>
      <c r="G39" s="17"/>
      <c r="H39" s="1934"/>
      <c r="I39" s="17">
        <v>305.46600000000001</v>
      </c>
      <c r="J39" s="1939"/>
      <c r="K39" s="5241">
        <f t="shared" si="7"/>
        <v>305.46600000000001</v>
      </c>
      <c r="L39" s="1934"/>
      <c r="M39" s="17">
        <v>157.137</v>
      </c>
      <c r="N39" s="1948"/>
      <c r="O39" s="67">
        <f t="shared" si="8"/>
        <v>462.60300000000001</v>
      </c>
      <c r="P39" s="1934"/>
      <c r="Q39" s="17">
        <v>78.567999999999998</v>
      </c>
      <c r="R39" s="1956"/>
      <c r="S39" s="37">
        <f t="shared" si="9"/>
        <v>541.17100000000005</v>
      </c>
      <c r="T39" s="1934"/>
      <c r="U39" s="17">
        <v>204.27799999999999</v>
      </c>
      <c r="V39" s="1956"/>
      <c r="W39" s="37">
        <f t="shared" si="10"/>
        <v>745.44900000000007</v>
      </c>
      <c r="X39" s="1934"/>
      <c r="Y39" s="17">
        <v>801.346</v>
      </c>
      <c r="Z39" s="848"/>
      <c r="AA39" s="6045">
        <f t="shared" si="11"/>
        <v>1084.192</v>
      </c>
      <c r="AB39" s="4498"/>
      <c r="AC39" s="6046">
        <f t="shared" si="12"/>
        <v>1546.7950000000001</v>
      </c>
      <c r="AD39" s="1934"/>
      <c r="AE39" s="17"/>
      <c r="AF39" s="1956"/>
      <c r="AG39" s="37">
        <f t="shared" si="13"/>
        <v>1546.7950000000001</v>
      </c>
      <c r="AH39" s="1934"/>
      <c r="AI39" s="17"/>
      <c r="AJ39" s="1956"/>
      <c r="AK39" s="37">
        <f t="shared" si="14"/>
        <v>1546.7950000000001</v>
      </c>
      <c r="AL39" s="1934"/>
      <c r="AM39" s="17"/>
      <c r="AN39" s="848"/>
      <c r="AO39" s="6612">
        <f t="shared" si="15"/>
        <v>0</v>
      </c>
      <c r="AP39" s="1956"/>
      <c r="AQ39" s="37">
        <f t="shared" si="16"/>
        <v>1546.7950000000001</v>
      </c>
      <c r="AR39" s="1934"/>
      <c r="AS39" s="17"/>
      <c r="AT39" s="1956"/>
      <c r="AU39" s="37">
        <f t="shared" si="17"/>
        <v>1546.7950000000001</v>
      </c>
      <c r="AV39" s="1934"/>
      <c r="AW39" s="17"/>
      <c r="AX39" s="1956"/>
      <c r="AY39" s="37">
        <f t="shared" si="18"/>
        <v>1546.7950000000001</v>
      </c>
      <c r="AZ39" s="1934"/>
      <c r="BA39" s="17"/>
      <c r="BB39" s="848"/>
      <c r="BC39" s="5236">
        <f t="shared" si="19"/>
        <v>0</v>
      </c>
      <c r="BD39" s="849"/>
      <c r="BE39" s="657">
        <f t="shared" si="20"/>
        <v>0</v>
      </c>
      <c r="BF39" s="1956"/>
      <c r="BG39" s="37">
        <f t="shared" si="21"/>
        <v>1546.7950000000001</v>
      </c>
      <c r="BH39" s="4234">
        <f t="shared" si="3"/>
        <v>0</v>
      </c>
      <c r="BI39" s="4234">
        <f t="shared" si="4"/>
        <v>0</v>
      </c>
      <c r="BJ39" s="25"/>
      <c r="BK39" s="25">
        <f t="shared" si="5"/>
        <v>0</v>
      </c>
      <c r="BL39" s="25">
        <f t="shared" si="6"/>
        <v>0</v>
      </c>
      <c r="BM39" s="25"/>
      <c r="BN39" s="1137"/>
    </row>
    <row r="40" spans="1:71" s="4487" customFormat="1" ht="15" customHeight="1" x14ac:dyDescent="0.25">
      <c r="B40" s="1010" t="s">
        <v>1236</v>
      </c>
      <c r="C40" s="3121" t="s">
        <v>1545</v>
      </c>
      <c r="D40" s="3122">
        <v>90.69</v>
      </c>
      <c r="E40" s="1306" t="s">
        <v>50</v>
      </c>
      <c r="F40" s="1934"/>
      <c r="G40" s="17"/>
      <c r="H40" s="1934"/>
      <c r="I40" s="17"/>
      <c r="J40" s="1939"/>
      <c r="K40" s="5241">
        <f t="shared" si="7"/>
        <v>0</v>
      </c>
      <c r="L40" s="1934"/>
      <c r="M40" s="17">
        <v>336.87</v>
      </c>
      <c r="N40" s="1948"/>
      <c r="O40" s="67">
        <f t="shared" si="8"/>
        <v>336.87</v>
      </c>
      <c r="P40" s="1934"/>
      <c r="Q40" s="17"/>
      <c r="R40" s="1956"/>
      <c r="S40" s="37">
        <f t="shared" si="9"/>
        <v>336.87</v>
      </c>
      <c r="T40" s="1934"/>
      <c r="U40" s="17"/>
      <c r="V40" s="1956"/>
      <c r="W40" s="37">
        <f t="shared" si="10"/>
        <v>336.87</v>
      </c>
      <c r="X40" s="1934"/>
      <c r="Y40" s="17"/>
      <c r="Z40" s="848"/>
      <c r="AA40" s="6045">
        <f t="shared" si="11"/>
        <v>0</v>
      </c>
      <c r="AB40" s="4498"/>
      <c r="AC40" s="6046">
        <f t="shared" si="12"/>
        <v>336.87</v>
      </c>
      <c r="AD40" s="1934"/>
      <c r="AE40" s="17"/>
      <c r="AF40" s="1956"/>
      <c r="AG40" s="37">
        <f t="shared" si="13"/>
        <v>336.87</v>
      </c>
      <c r="AH40" s="1934"/>
      <c r="AI40" s="17">
        <v>285.714</v>
      </c>
      <c r="AJ40" s="1956"/>
      <c r="AK40" s="37">
        <f t="shared" si="14"/>
        <v>622.58400000000006</v>
      </c>
      <c r="AL40" s="1934"/>
      <c r="AM40" s="17"/>
      <c r="AN40" s="848"/>
      <c r="AO40" s="6612">
        <f t="shared" si="15"/>
        <v>285.714</v>
      </c>
      <c r="AP40" s="1956"/>
      <c r="AQ40" s="37">
        <f t="shared" si="16"/>
        <v>622.58400000000006</v>
      </c>
      <c r="AR40" s="1934"/>
      <c r="AS40" s="17"/>
      <c r="AT40" s="1956"/>
      <c r="AU40" s="37">
        <f t="shared" si="17"/>
        <v>622.58400000000006</v>
      </c>
      <c r="AV40" s="1934"/>
      <c r="AW40" s="17"/>
      <c r="AX40" s="1956"/>
      <c r="AY40" s="37">
        <f t="shared" si="18"/>
        <v>622.58400000000006</v>
      </c>
      <c r="AZ40" s="1934"/>
      <c r="BA40" s="17"/>
      <c r="BB40" s="848"/>
      <c r="BC40" s="5236">
        <f t="shared" si="19"/>
        <v>0</v>
      </c>
      <c r="BD40" s="849"/>
      <c r="BE40" s="657">
        <f t="shared" si="20"/>
        <v>285.714</v>
      </c>
      <c r="BF40" s="1956"/>
      <c r="BG40" s="37">
        <f t="shared" si="21"/>
        <v>622.58400000000006</v>
      </c>
      <c r="BH40" s="4234">
        <f t="shared" si="3"/>
        <v>0</v>
      </c>
      <c r="BI40" s="4234">
        <f t="shared" si="4"/>
        <v>0</v>
      </c>
      <c r="BJ40" s="25"/>
      <c r="BK40" s="25">
        <f t="shared" si="5"/>
        <v>0</v>
      </c>
      <c r="BL40" s="25">
        <f t="shared" si="6"/>
        <v>0</v>
      </c>
      <c r="BM40" s="25"/>
      <c r="BN40" s="1137"/>
    </row>
    <row r="41" spans="1:71" s="4487" customFormat="1" ht="15" customHeight="1" x14ac:dyDescent="0.25">
      <c r="B41" s="1010" t="s">
        <v>1236</v>
      </c>
      <c r="C41" s="3121" t="s">
        <v>970</v>
      </c>
      <c r="D41" s="3122">
        <v>90.68</v>
      </c>
      <c r="E41" s="1306" t="s">
        <v>50</v>
      </c>
      <c r="F41" s="1934"/>
      <c r="G41" s="17"/>
      <c r="H41" s="1934"/>
      <c r="I41" s="17"/>
      <c r="J41" s="1939"/>
      <c r="K41" s="5241">
        <f t="shared" si="7"/>
        <v>0</v>
      </c>
      <c r="L41" s="1934"/>
      <c r="M41" s="17"/>
      <c r="N41" s="1948"/>
      <c r="O41" s="67">
        <f t="shared" si="8"/>
        <v>0</v>
      </c>
      <c r="P41" s="1934"/>
      <c r="Q41" s="17"/>
      <c r="R41" s="1956"/>
      <c r="S41" s="37">
        <f t="shared" si="9"/>
        <v>0</v>
      </c>
      <c r="T41" s="1934"/>
      <c r="U41" s="17"/>
      <c r="V41" s="1956"/>
      <c r="W41" s="37">
        <f t="shared" si="10"/>
        <v>0</v>
      </c>
      <c r="X41" s="1934"/>
      <c r="Y41" s="17"/>
      <c r="Z41" s="3123"/>
      <c r="AA41" s="6045">
        <f t="shared" si="11"/>
        <v>0</v>
      </c>
      <c r="AB41" s="4499"/>
      <c r="AC41" s="6046">
        <f t="shared" si="12"/>
        <v>0</v>
      </c>
      <c r="AD41" s="1934"/>
      <c r="AE41" s="17"/>
      <c r="AF41" s="1956"/>
      <c r="AG41" s="37">
        <f t="shared" si="13"/>
        <v>0</v>
      </c>
      <c r="AH41" s="1934"/>
      <c r="AI41" s="17"/>
      <c r="AJ41" s="1956"/>
      <c r="AK41" s="37">
        <f t="shared" si="14"/>
        <v>0</v>
      </c>
      <c r="AL41" s="1934"/>
      <c r="AM41" s="17"/>
      <c r="AN41" s="3123"/>
      <c r="AO41" s="6612">
        <f t="shared" si="15"/>
        <v>0</v>
      </c>
      <c r="AP41" s="1956"/>
      <c r="AQ41" s="37">
        <f t="shared" si="16"/>
        <v>0</v>
      </c>
      <c r="AR41" s="1934"/>
      <c r="AS41" s="17"/>
      <c r="AT41" s="1956"/>
      <c r="AU41" s="37">
        <f t="shared" si="17"/>
        <v>0</v>
      </c>
      <c r="AV41" s="1934"/>
      <c r="AW41" s="17"/>
      <c r="AX41" s="1956"/>
      <c r="AY41" s="37">
        <f t="shared" si="18"/>
        <v>0</v>
      </c>
      <c r="AZ41" s="1934"/>
      <c r="BA41" s="17"/>
      <c r="BB41" s="3123"/>
      <c r="BC41" s="5236">
        <f t="shared" si="19"/>
        <v>0</v>
      </c>
      <c r="BD41" s="3124"/>
      <c r="BE41" s="657">
        <f t="shared" si="20"/>
        <v>0</v>
      </c>
      <c r="BF41" s="1956"/>
      <c r="BG41" s="37">
        <f t="shared" si="21"/>
        <v>0</v>
      </c>
      <c r="BH41" s="4234">
        <f t="shared" si="3"/>
        <v>0</v>
      </c>
      <c r="BI41" s="4234">
        <f t="shared" si="4"/>
        <v>0</v>
      </c>
      <c r="BJ41" s="25"/>
      <c r="BK41" s="25">
        <f t="shared" si="5"/>
        <v>0</v>
      </c>
      <c r="BL41" s="25">
        <f t="shared" si="6"/>
        <v>0</v>
      </c>
      <c r="BM41" s="25"/>
      <c r="BN41" s="1137"/>
    </row>
    <row r="42" spans="1:71" x14ac:dyDescent="0.25">
      <c r="B42" s="1010" t="s">
        <v>1236</v>
      </c>
      <c r="C42" s="3121" t="s">
        <v>905</v>
      </c>
      <c r="D42" s="3122">
        <v>90.68</v>
      </c>
      <c r="E42" s="1306" t="s">
        <v>50</v>
      </c>
      <c r="F42" s="1934"/>
      <c r="G42" s="17"/>
      <c r="H42" s="1934"/>
      <c r="I42" s="17"/>
      <c r="J42" s="1939"/>
      <c r="K42" s="5241">
        <f t="shared" si="7"/>
        <v>0</v>
      </c>
      <c r="L42" s="1934"/>
      <c r="M42" s="17"/>
      <c r="N42" s="1948"/>
      <c r="O42" s="67">
        <f t="shared" si="8"/>
        <v>0</v>
      </c>
      <c r="P42" s="1934"/>
      <c r="Q42" s="17"/>
      <c r="R42" s="1956"/>
      <c r="S42" s="37">
        <f t="shared" si="9"/>
        <v>0</v>
      </c>
      <c r="T42" s="1934"/>
      <c r="U42" s="17"/>
      <c r="V42" s="1956"/>
      <c r="W42" s="37">
        <f t="shared" si="10"/>
        <v>0</v>
      </c>
      <c r="X42" s="1934"/>
      <c r="Y42" s="17"/>
      <c r="Z42" s="3123"/>
      <c r="AA42" s="6045">
        <f t="shared" si="11"/>
        <v>0</v>
      </c>
      <c r="AB42" s="4499"/>
      <c r="AC42" s="6046">
        <f t="shared" si="12"/>
        <v>0</v>
      </c>
      <c r="AD42" s="1934"/>
      <c r="AE42" s="17"/>
      <c r="AF42" s="1956"/>
      <c r="AG42" s="37">
        <f t="shared" si="13"/>
        <v>0</v>
      </c>
      <c r="AH42" s="1934"/>
      <c r="AI42" s="17"/>
      <c r="AJ42" s="1956"/>
      <c r="AK42" s="37">
        <f t="shared" si="14"/>
        <v>0</v>
      </c>
      <c r="AL42" s="1934"/>
      <c r="AM42" s="17"/>
      <c r="AN42" s="3123"/>
      <c r="AO42" s="6612">
        <f t="shared" si="15"/>
        <v>0</v>
      </c>
      <c r="AP42" s="1956"/>
      <c r="AQ42" s="37">
        <f t="shared" si="16"/>
        <v>0</v>
      </c>
      <c r="AR42" s="1934"/>
      <c r="AS42" s="17"/>
      <c r="AT42" s="1956"/>
      <c r="AU42" s="37">
        <f t="shared" si="17"/>
        <v>0</v>
      </c>
      <c r="AV42" s="1934"/>
      <c r="AW42" s="17"/>
      <c r="AX42" s="1956"/>
      <c r="AY42" s="37">
        <f t="shared" si="18"/>
        <v>0</v>
      </c>
      <c r="AZ42" s="1934"/>
      <c r="BA42" s="17"/>
      <c r="BB42" s="3123"/>
      <c r="BC42" s="5236">
        <f t="shared" si="19"/>
        <v>0</v>
      </c>
      <c r="BD42" s="3124"/>
      <c r="BE42" s="657">
        <f t="shared" si="20"/>
        <v>0</v>
      </c>
      <c r="BF42" s="1956"/>
      <c r="BG42" s="37">
        <f t="shared" si="21"/>
        <v>0</v>
      </c>
      <c r="BH42" s="4234">
        <f t="shared" si="3"/>
        <v>0</v>
      </c>
      <c r="BI42" s="4234">
        <f t="shared" si="4"/>
        <v>0</v>
      </c>
      <c r="BJ42" s="25"/>
      <c r="BK42" s="25">
        <f t="shared" si="5"/>
        <v>0</v>
      </c>
      <c r="BL42" s="25">
        <f t="shared" si="6"/>
        <v>0</v>
      </c>
      <c r="BM42" s="25"/>
      <c r="BN42" s="1137"/>
    </row>
    <row r="43" spans="1:71" ht="15" customHeight="1" x14ac:dyDescent="0.25">
      <c r="A43" s="139"/>
      <c r="B43" s="1010" t="s">
        <v>817</v>
      </c>
      <c r="C43" s="3121" t="s">
        <v>970</v>
      </c>
      <c r="D43" s="3122">
        <v>90.69</v>
      </c>
      <c r="E43" s="1306" t="s">
        <v>50</v>
      </c>
      <c r="F43" s="1934"/>
      <c r="G43" s="17">
        <v>5470.0340000000006</v>
      </c>
      <c r="H43" s="1934"/>
      <c r="I43" s="17">
        <v>4786.7889999999989</v>
      </c>
      <c r="J43" s="1939"/>
      <c r="K43" s="5241">
        <f t="shared" si="7"/>
        <v>10256.823</v>
      </c>
      <c r="L43" s="1934"/>
      <c r="M43" s="17">
        <v>3362.2630000000004</v>
      </c>
      <c r="N43" s="1948"/>
      <c r="O43" s="67">
        <f t="shared" si="8"/>
        <v>13619.086000000001</v>
      </c>
      <c r="P43" s="1934"/>
      <c r="Q43" s="17">
        <v>3594.0209999999993</v>
      </c>
      <c r="R43" s="1956"/>
      <c r="S43" s="37">
        <f t="shared" si="9"/>
        <v>17213.107</v>
      </c>
      <c r="T43" s="1934"/>
      <c r="U43" s="17">
        <v>4017.3620000000005</v>
      </c>
      <c r="V43" s="1956"/>
      <c r="W43" s="37">
        <f t="shared" si="10"/>
        <v>21230.469000000001</v>
      </c>
      <c r="X43" s="1934"/>
      <c r="Y43" s="17">
        <v>5758.3259999999973</v>
      </c>
      <c r="Z43" s="848"/>
      <c r="AA43" s="6045">
        <f t="shared" si="11"/>
        <v>13369.708999999997</v>
      </c>
      <c r="AB43" s="4498"/>
      <c r="AC43" s="6046">
        <f t="shared" si="12"/>
        <v>26988.794999999998</v>
      </c>
      <c r="AD43" s="1934"/>
      <c r="AE43" s="17"/>
      <c r="AF43" s="1956"/>
      <c r="AG43" s="37">
        <f t="shared" si="13"/>
        <v>26988.794999999998</v>
      </c>
      <c r="AH43" s="1934"/>
      <c r="AI43" s="17">
        <v>4019.1859999999992</v>
      </c>
      <c r="AJ43" s="1956"/>
      <c r="AK43" s="37">
        <f t="shared" si="14"/>
        <v>31007.980999999996</v>
      </c>
      <c r="AL43" s="1934"/>
      <c r="AM43" s="17">
        <v>4454.3940000000002</v>
      </c>
      <c r="AN43" s="848"/>
      <c r="AO43" s="6612">
        <f t="shared" si="15"/>
        <v>8473.58</v>
      </c>
      <c r="AP43" s="1956"/>
      <c r="AQ43" s="37">
        <f t="shared" si="16"/>
        <v>35462.375</v>
      </c>
      <c r="AR43" s="1934"/>
      <c r="AS43" s="17">
        <v>4566.1349999999975</v>
      </c>
      <c r="AT43" s="1956"/>
      <c r="AU43" s="37">
        <f t="shared" si="17"/>
        <v>40028.509999999995</v>
      </c>
      <c r="AV43" s="1934"/>
      <c r="AW43" s="17">
        <v>5790.3700000000008</v>
      </c>
      <c r="AX43" s="1956"/>
      <c r="AY43" s="37">
        <f t="shared" si="18"/>
        <v>45818.879999999997</v>
      </c>
      <c r="AZ43" s="1934"/>
      <c r="BA43" s="17">
        <v>5759.1549999999952</v>
      </c>
      <c r="BB43" s="848"/>
      <c r="BC43" s="5236">
        <f t="shared" si="19"/>
        <v>16115.659999999993</v>
      </c>
      <c r="BD43" s="849"/>
      <c r="BE43" s="657">
        <f t="shared" si="20"/>
        <v>24589.239999999991</v>
      </c>
      <c r="BF43" s="1956"/>
      <c r="BG43" s="37">
        <f t="shared" si="21"/>
        <v>51578.034999999989</v>
      </c>
      <c r="BH43" s="4234">
        <f t="shared" si="3"/>
        <v>0</v>
      </c>
      <c r="BI43" s="4234">
        <f t="shared" si="4"/>
        <v>0</v>
      </c>
      <c r="BJ43" s="25"/>
      <c r="BK43" s="25">
        <f t="shared" si="5"/>
        <v>0</v>
      </c>
      <c r="BL43" s="25">
        <f t="shared" si="6"/>
        <v>0</v>
      </c>
      <c r="BM43" s="25"/>
      <c r="BN43" s="1137"/>
    </row>
    <row r="44" spans="1:71" x14ac:dyDescent="0.25">
      <c r="A44" s="2095"/>
      <c r="B44" s="1010" t="s">
        <v>817</v>
      </c>
      <c r="C44" s="3121" t="s">
        <v>905</v>
      </c>
      <c r="D44" s="3122">
        <v>90.69</v>
      </c>
      <c r="E44" s="1306" t="s">
        <v>50</v>
      </c>
      <c r="F44" s="1934"/>
      <c r="G44" s="17">
        <v>910.16899999999998</v>
      </c>
      <c r="H44" s="1934"/>
      <c r="I44" s="17">
        <v>1056.4089999999999</v>
      </c>
      <c r="J44" s="1939"/>
      <c r="K44" s="5241">
        <f t="shared" si="7"/>
        <v>1966.578</v>
      </c>
      <c r="L44" s="1934"/>
      <c r="M44" s="17">
        <v>980.73599999999988</v>
      </c>
      <c r="N44" s="1948"/>
      <c r="O44" s="67">
        <f t="shared" si="8"/>
        <v>2947.3139999999999</v>
      </c>
      <c r="P44" s="1934"/>
      <c r="Q44" s="17">
        <v>429.07400000000001</v>
      </c>
      <c r="R44" s="1956"/>
      <c r="S44" s="37">
        <f t="shared" si="9"/>
        <v>3376.3879999999999</v>
      </c>
      <c r="T44" s="1934"/>
      <c r="U44" s="17">
        <v>330.83199999999999</v>
      </c>
      <c r="V44" s="1956"/>
      <c r="W44" s="37">
        <f t="shared" si="10"/>
        <v>3707.22</v>
      </c>
      <c r="X44" s="1934"/>
      <c r="Y44" s="17">
        <v>508.70600000000002</v>
      </c>
      <c r="Z44" s="848"/>
      <c r="AA44" s="6045">
        <f t="shared" si="11"/>
        <v>1268.6120000000001</v>
      </c>
      <c r="AB44" s="4498"/>
      <c r="AC44" s="6046">
        <f t="shared" si="12"/>
        <v>4215.9259999999995</v>
      </c>
      <c r="AD44" s="1934"/>
      <c r="AE44" s="17"/>
      <c r="AF44" s="1956"/>
      <c r="AG44" s="37">
        <f t="shared" si="13"/>
        <v>4215.9259999999995</v>
      </c>
      <c r="AH44" s="1934"/>
      <c r="AI44" s="17">
        <v>337.12900000000002</v>
      </c>
      <c r="AJ44" s="1956"/>
      <c r="AK44" s="37">
        <f t="shared" si="14"/>
        <v>4553.0549999999994</v>
      </c>
      <c r="AL44" s="1934"/>
      <c r="AM44" s="17">
        <v>112.729</v>
      </c>
      <c r="AN44" s="848"/>
      <c r="AO44" s="6612">
        <f t="shared" si="15"/>
        <v>449.858</v>
      </c>
      <c r="AP44" s="1956"/>
      <c r="AQ44" s="37">
        <f t="shared" si="16"/>
        <v>4665.7839999999997</v>
      </c>
      <c r="AR44" s="1934"/>
      <c r="AS44" s="17">
        <v>382.01400000000001</v>
      </c>
      <c r="AT44" s="1956"/>
      <c r="AU44" s="37">
        <f t="shared" si="17"/>
        <v>5047.7979999999998</v>
      </c>
      <c r="AV44" s="1934"/>
      <c r="AW44" s="17">
        <v>467.29400000000004</v>
      </c>
      <c r="AX44" s="1956"/>
      <c r="AY44" s="37">
        <f t="shared" si="18"/>
        <v>5515.0919999999996</v>
      </c>
      <c r="AZ44" s="1934"/>
      <c r="BA44" s="17"/>
      <c r="BB44" s="848"/>
      <c r="BC44" s="5236">
        <f t="shared" si="19"/>
        <v>849.30799999999999</v>
      </c>
      <c r="BD44" s="849"/>
      <c r="BE44" s="657">
        <f t="shared" si="20"/>
        <v>1299.1659999999999</v>
      </c>
      <c r="BF44" s="1956"/>
      <c r="BG44" s="37">
        <f t="shared" si="21"/>
        <v>5515.0919999999996</v>
      </c>
      <c r="BH44" s="4234">
        <f t="shared" si="3"/>
        <v>0</v>
      </c>
      <c r="BI44" s="4234">
        <f t="shared" si="4"/>
        <v>0</v>
      </c>
      <c r="BJ44" s="25"/>
      <c r="BK44" s="25">
        <f t="shared" si="5"/>
        <v>0</v>
      </c>
      <c r="BL44" s="25">
        <f t="shared" si="6"/>
        <v>0</v>
      </c>
      <c r="BM44" s="25"/>
      <c r="BN44" s="1137"/>
    </row>
    <row r="45" spans="1:71" s="3130" customFormat="1" x14ac:dyDescent="0.25">
      <c r="B45" s="1010" t="s">
        <v>817</v>
      </c>
      <c r="C45" s="3121" t="s">
        <v>905</v>
      </c>
      <c r="D45" s="3122">
        <v>107.32</v>
      </c>
      <c r="E45" s="1306" t="s">
        <v>50</v>
      </c>
      <c r="F45" s="1934"/>
      <c r="G45" s="17"/>
      <c r="H45" s="1934"/>
      <c r="I45" s="17"/>
      <c r="J45" s="1939"/>
      <c r="K45" s="5241">
        <f t="shared" si="7"/>
        <v>0</v>
      </c>
      <c r="L45" s="1934"/>
      <c r="M45" s="17">
        <v>432.12599999999998</v>
      </c>
      <c r="N45" s="1948"/>
      <c r="O45" s="67">
        <f t="shared" si="8"/>
        <v>432.12599999999998</v>
      </c>
      <c r="P45" s="1934"/>
      <c r="Q45" s="17">
        <v>157.137</v>
      </c>
      <c r="R45" s="1956"/>
      <c r="S45" s="37">
        <f t="shared" si="9"/>
        <v>589.26299999999992</v>
      </c>
      <c r="T45" s="1934"/>
      <c r="U45" s="17"/>
      <c r="V45" s="1956"/>
      <c r="W45" s="37">
        <f t="shared" si="10"/>
        <v>589.26299999999992</v>
      </c>
      <c r="X45" s="1934"/>
      <c r="Y45" s="17"/>
      <c r="Z45" s="848"/>
      <c r="AA45" s="6045">
        <f t="shared" si="11"/>
        <v>157.137</v>
      </c>
      <c r="AB45" s="4498"/>
      <c r="AC45" s="6046">
        <f t="shared" si="12"/>
        <v>589.26299999999992</v>
      </c>
      <c r="AD45" s="1934"/>
      <c r="AE45" s="17"/>
      <c r="AF45" s="1956"/>
      <c r="AG45" s="37">
        <f t="shared" si="13"/>
        <v>589.26299999999992</v>
      </c>
      <c r="AH45" s="1934"/>
      <c r="AI45" s="17"/>
      <c r="AJ45" s="1956"/>
      <c r="AK45" s="37">
        <f t="shared" si="14"/>
        <v>589.26299999999992</v>
      </c>
      <c r="AL45" s="1934"/>
      <c r="AM45" s="17"/>
      <c r="AN45" s="848"/>
      <c r="AO45" s="6612">
        <f t="shared" si="15"/>
        <v>0</v>
      </c>
      <c r="AP45" s="1956"/>
      <c r="AQ45" s="37">
        <f t="shared" si="16"/>
        <v>589.26299999999992</v>
      </c>
      <c r="AR45" s="1934"/>
      <c r="AS45" s="17"/>
      <c r="AT45" s="1956"/>
      <c r="AU45" s="37">
        <f t="shared" si="17"/>
        <v>589.26299999999992</v>
      </c>
      <c r="AV45" s="1934"/>
      <c r="AW45" s="17"/>
      <c r="AX45" s="1956"/>
      <c r="AY45" s="37">
        <f t="shared" si="18"/>
        <v>589.26299999999992</v>
      </c>
      <c r="AZ45" s="1934"/>
      <c r="BA45" s="17"/>
      <c r="BB45" s="848"/>
      <c r="BC45" s="5236">
        <f t="shared" si="19"/>
        <v>0</v>
      </c>
      <c r="BD45" s="849"/>
      <c r="BE45" s="657">
        <f t="shared" si="20"/>
        <v>0</v>
      </c>
      <c r="BF45" s="1956"/>
      <c r="BG45" s="37">
        <f t="shared" si="21"/>
        <v>589.26299999999992</v>
      </c>
      <c r="BH45" s="4234">
        <f t="shared" si="3"/>
        <v>0</v>
      </c>
      <c r="BI45" s="4234">
        <f t="shared" si="4"/>
        <v>0</v>
      </c>
      <c r="BJ45" s="25"/>
      <c r="BK45" s="25">
        <f t="shared" si="5"/>
        <v>0</v>
      </c>
      <c r="BL45" s="25">
        <f t="shared" si="6"/>
        <v>0</v>
      </c>
      <c r="BM45" s="25"/>
      <c r="BN45" s="1137"/>
    </row>
    <row r="46" spans="1:71" s="3118" customFormat="1" ht="15" customHeight="1" x14ac:dyDescent="0.25">
      <c r="A46" s="139"/>
      <c r="B46" s="1010" t="s">
        <v>817</v>
      </c>
      <c r="C46" s="3121" t="s">
        <v>970</v>
      </c>
      <c r="D46" s="3122">
        <v>107.31</v>
      </c>
      <c r="E46" s="1306" t="s">
        <v>50</v>
      </c>
      <c r="F46" s="1934"/>
      <c r="G46" s="17"/>
      <c r="H46" s="1934"/>
      <c r="I46" s="17"/>
      <c r="J46" s="1939"/>
      <c r="K46" s="5241">
        <f t="shared" si="7"/>
        <v>0</v>
      </c>
      <c r="L46" s="1934"/>
      <c r="M46" s="17"/>
      <c r="N46" s="1948"/>
      <c r="O46" s="67">
        <f t="shared" si="8"/>
        <v>0</v>
      </c>
      <c r="P46" s="1934"/>
      <c r="Q46" s="17"/>
      <c r="R46" s="1956"/>
      <c r="S46" s="37">
        <f t="shared" si="9"/>
        <v>0</v>
      </c>
      <c r="T46" s="1934"/>
      <c r="U46" s="17"/>
      <c r="V46" s="1956"/>
      <c r="W46" s="37">
        <f t="shared" si="10"/>
        <v>0</v>
      </c>
      <c r="X46" s="1934"/>
      <c r="Y46" s="17"/>
      <c r="Z46" s="848"/>
      <c r="AA46" s="6045">
        <f t="shared" si="11"/>
        <v>0</v>
      </c>
      <c r="AB46" s="4498"/>
      <c r="AC46" s="6046">
        <f t="shared" si="12"/>
        <v>0</v>
      </c>
      <c r="AD46" s="1934"/>
      <c r="AE46" s="17"/>
      <c r="AF46" s="1956"/>
      <c r="AG46" s="37">
        <f t="shared" si="13"/>
        <v>0</v>
      </c>
      <c r="AH46" s="1934"/>
      <c r="AI46" s="17"/>
      <c r="AJ46" s="1956"/>
      <c r="AK46" s="37">
        <f t="shared" si="14"/>
        <v>0</v>
      </c>
      <c r="AL46" s="1934"/>
      <c r="AM46" s="17"/>
      <c r="AN46" s="848"/>
      <c r="AO46" s="6612">
        <f t="shared" si="15"/>
        <v>0</v>
      </c>
      <c r="AP46" s="1956"/>
      <c r="AQ46" s="37">
        <f t="shared" si="16"/>
        <v>0</v>
      </c>
      <c r="AR46" s="1934"/>
      <c r="AS46" s="17"/>
      <c r="AT46" s="1956"/>
      <c r="AU46" s="37">
        <f t="shared" si="17"/>
        <v>0</v>
      </c>
      <c r="AV46" s="1934"/>
      <c r="AW46" s="17"/>
      <c r="AX46" s="1956"/>
      <c r="AY46" s="37">
        <f t="shared" si="18"/>
        <v>0</v>
      </c>
      <c r="AZ46" s="1934"/>
      <c r="BA46" s="17"/>
      <c r="BB46" s="848"/>
      <c r="BC46" s="5236">
        <f t="shared" si="19"/>
        <v>0</v>
      </c>
      <c r="BD46" s="849"/>
      <c r="BE46" s="657">
        <f t="shared" si="20"/>
        <v>0</v>
      </c>
      <c r="BF46" s="1956"/>
      <c r="BG46" s="37">
        <f t="shared" si="21"/>
        <v>0</v>
      </c>
      <c r="BH46" s="4234">
        <f t="shared" si="3"/>
        <v>0</v>
      </c>
      <c r="BI46" s="4234">
        <f t="shared" si="4"/>
        <v>0</v>
      </c>
      <c r="BJ46" s="25"/>
      <c r="BK46" s="25">
        <f t="shared" si="5"/>
        <v>0</v>
      </c>
      <c r="BL46" s="25">
        <f t="shared" si="6"/>
        <v>0</v>
      </c>
      <c r="BM46" s="25"/>
      <c r="BN46" s="1137"/>
    </row>
    <row r="47" spans="1:71" s="2653" customFormat="1" ht="15" customHeight="1" thickBot="1" x14ac:dyDescent="0.3">
      <c r="B47" s="1010" t="s">
        <v>817</v>
      </c>
      <c r="C47" s="3121" t="s">
        <v>970</v>
      </c>
      <c r="D47" s="3122">
        <v>107.32</v>
      </c>
      <c r="E47" s="1306" t="s">
        <v>50</v>
      </c>
      <c r="F47" s="1934"/>
      <c r="G47" s="17"/>
      <c r="H47" s="1934"/>
      <c r="I47" s="17">
        <v>298.03999999999996</v>
      </c>
      <c r="J47" s="1939"/>
      <c r="K47" s="5241">
        <f t="shared" si="7"/>
        <v>298.03999999999996</v>
      </c>
      <c r="L47" s="1934"/>
      <c r="M47" s="17">
        <v>265.75700000000001</v>
      </c>
      <c r="N47" s="1948"/>
      <c r="O47" s="67">
        <f t="shared" si="8"/>
        <v>563.79700000000003</v>
      </c>
      <c r="P47" s="1934"/>
      <c r="Q47" s="17">
        <v>487.12199999999996</v>
      </c>
      <c r="R47" s="1956"/>
      <c r="S47" s="37">
        <f t="shared" si="9"/>
        <v>1050.9189999999999</v>
      </c>
      <c r="T47" s="1934"/>
      <c r="U47" s="17">
        <v>172.876</v>
      </c>
      <c r="V47" s="1956"/>
      <c r="W47" s="37">
        <f t="shared" si="10"/>
        <v>1223.7949999999998</v>
      </c>
      <c r="X47" s="1934"/>
      <c r="Y47" s="17">
        <v>290.64499999999998</v>
      </c>
      <c r="Z47" s="3123"/>
      <c r="AA47" s="6045">
        <f t="shared" si="11"/>
        <v>950.64299999999992</v>
      </c>
      <c r="AB47" s="4499"/>
      <c r="AC47" s="6046">
        <f t="shared" si="12"/>
        <v>1514.44</v>
      </c>
      <c r="AD47" s="1934"/>
      <c r="AE47" s="17"/>
      <c r="AF47" s="1956"/>
      <c r="AG47" s="37">
        <f t="shared" si="13"/>
        <v>1514.44</v>
      </c>
      <c r="AH47" s="1934"/>
      <c r="AI47" s="17">
        <v>219.947</v>
      </c>
      <c r="AJ47" s="1956"/>
      <c r="AK47" s="37">
        <f t="shared" si="14"/>
        <v>1734.3870000000002</v>
      </c>
      <c r="AL47" s="1934"/>
      <c r="AM47" s="17">
        <v>285.90800000000002</v>
      </c>
      <c r="AN47" s="3123"/>
      <c r="AO47" s="6612">
        <f t="shared" si="15"/>
        <v>505.85500000000002</v>
      </c>
      <c r="AP47" s="1956"/>
      <c r="AQ47" s="37">
        <f t="shared" si="16"/>
        <v>2020.2950000000001</v>
      </c>
      <c r="AR47" s="1934"/>
      <c r="AS47" s="17"/>
      <c r="AT47" s="1956"/>
      <c r="AU47" s="37">
        <f t="shared" si="17"/>
        <v>2020.2950000000001</v>
      </c>
      <c r="AV47" s="1934"/>
      <c r="AW47" s="17"/>
      <c r="AX47" s="1956"/>
      <c r="AY47" s="37">
        <f t="shared" si="18"/>
        <v>2020.2950000000001</v>
      </c>
      <c r="AZ47" s="1934"/>
      <c r="BA47" s="17"/>
      <c r="BB47" s="3123"/>
      <c r="BC47" s="5236">
        <f t="shared" si="19"/>
        <v>0</v>
      </c>
      <c r="BD47" s="3124"/>
      <c r="BE47" s="657">
        <f t="shared" si="20"/>
        <v>505.85500000000002</v>
      </c>
      <c r="BF47" s="1956"/>
      <c r="BG47" s="37">
        <f t="shared" si="21"/>
        <v>2020.2950000000001</v>
      </c>
      <c r="BH47" s="4234">
        <f t="shared" si="3"/>
        <v>0</v>
      </c>
      <c r="BI47" s="4234">
        <f t="shared" si="4"/>
        <v>0</v>
      </c>
      <c r="BJ47" s="25"/>
      <c r="BK47" s="25">
        <f t="shared" si="5"/>
        <v>0</v>
      </c>
      <c r="BL47" s="25">
        <f t="shared" si="6"/>
        <v>0</v>
      </c>
      <c r="BM47" s="25"/>
      <c r="BN47" s="1137"/>
    </row>
    <row r="48" spans="1:71" ht="15" customHeight="1" x14ac:dyDescent="0.25">
      <c r="A48" s="1652"/>
      <c r="B48" s="3325" t="s">
        <v>818</v>
      </c>
      <c r="C48" s="3326" t="s">
        <v>970</v>
      </c>
      <c r="D48" s="3336">
        <v>107.57</v>
      </c>
      <c r="E48" s="1243" t="s">
        <v>50</v>
      </c>
      <c r="F48" s="3328"/>
      <c r="G48" s="85"/>
      <c r="H48" s="3328"/>
      <c r="I48" s="85">
        <v>593.46699999999998</v>
      </c>
      <c r="J48" s="3329"/>
      <c r="K48" s="5241">
        <f t="shared" si="7"/>
        <v>593.46699999999998</v>
      </c>
      <c r="L48" s="3328"/>
      <c r="M48" s="85">
        <v>1189.4670000000001</v>
      </c>
      <c r="N48" s="1948"/>
      <c r="O48" s="67">
        <f t="shared" si="8"/>
        <v>1782.9340000000002</v>
      </c>
      <c r="P48" s="3328"/>
      <c r="Q48" s="85">
        <v>1186.8310000000001</v>
      </c>
      <c r="R48" s="1956"/>
      <c r="S48" s="37">
        <f t="shared" si="9"/>
        <v>2969.7650000000003</v>
      </c>
      <c r="T48" s="3328"/>
      <c r="U48" s="85"/>
      <c r="V48" s="1956"/>
      <c r="W48" s="37">
        <f t="shared" si="10"/>
        <v>2969.7650000000003</v>
      </c>
      <c r="X48" s="3328"/>
      <c r="Y48" s="85"/>
      <c r="Z48" s="2659"/>
      <c r="AA48" s="6045">
        <f t="shared" si="11"/>
        <v>1186.8310000000001</v>
      </c>
      <c r="AB48" s="4500"/>
      <c r="AC48" s="6046">
        <f t="shared" si="12"/>
        <v>2969.7650000000003</v>
      </c>
      <c r="AD48" s="3328"/>
      <c r="AE48" s="85">
        <v>285.798</v>
      </c>
      <c r="AF48" s="1956"/>
      <c r="AG48" s="37">
        <f t="shared" si="13"/>
        <v>3255.5630000000001</v>
      </c>
      <c r="AH48" s="3328"/>
      <c r="AI48" s="85">
        <v>746.78899999999999</v>
      </c>
      <c r="AJ48" s="1956"/>
      <c r="AK48" s="37">
        <f t="shared" si="14"/>
        <v>4002.3519999999999</v>
      </c>
      <c r="AL48" s="3328"/>
      <c r="AM48" s="85"/>
      <c r="AN48" s="2659"/>
      <c r="AO48" s="6612">
        <f t="shared" si="15"/>
        <v>1032.587</v>
      </c>
      <c r="AP48" s="1956"/>
      <c r="AQ48" s="37">
        <f t="shared" si="16"/>
        <v>4002.3519999999999</v>
      </c>
      <c r="AR48" s="3328"/>
      <c r="AS48" s="85"/>
      <c r="AT48" s="1956"/>
      <c r="AU48" s="37">
        <f t="shared" si="17"/>
        <v>4002.3519999999999</v>
      </c>
      <c r="AV48" s="3328"/>
      <c r="AW48" s="85">
        <v>932.22500000000002</v>
      </c>
      <c r="AX48" s="1956"/>
      <c r="AY48" s="37">
        <f t="shared" si="18"/>
        <v>4934.5770000000002</v>
      </c>
      <c r="AZ48" s="3328"/>
      <c r="BA48" s="85">
        <v>202.82400000000001</v>
      </c>
      <c r="BB48" s="2659"/>
      <c r="BC48" s="5236">
        <f t="shared" si="19"/>
        <v>1135.049</v>
      </c>
      <c r="BD48" s="2663"/>
      <c r="BE48" s="657">
        <f t="shared" si="20"/>
        <v>2167.636</v>
      </c>
      <c r="BF48" s="1956"/>
      <c r="BG48" s="37">
        <f t="shared" si="21"/>
        <v>5137.4009999999998</v>
      </c>
      <c r="BH48" s="4234">
        <f t="shared" si="3"/>
        <v>0</v>
      </c>
      <c r="BI48" s="4234">
        <f t="shared" si="4"/>
        <v>0</v>
      </c>
      <c r="BJ48" s="25"/>
      <c r="BK48" s="25">
        <f t="shared" si="5"/>
        <v>0</v>
      </c>
      <c r="BL48" s="25">
        <f t="shared" si="6"/>
        <v>0</v>
      </c>
      <c r="BM48" s="25"/>
      <c r="BN48" s="1137"/>
    </row>
    <row r="49" spans="2:66" ht="15" customHeight="1" x14ac:dyDescent="0.25">
      <c r="B49" s="1010" t="s">
        <v>818</v>
      </c>
      <c r="C49" s="3121" t="s">
        <v>905</v>
      </c>
      <c r="D49" s="3335">
        <v>107.57</v>
      </c>
      <c r="E49" s="1306" t="s">
        <v>50</v>
      </c>
      <c r="F49" s="1934"/>
      <c r="G49" s="17"/>
      <c r="H49" s="1934"/>
      <c r="I49" s="17">
        <v>234.578</v>
      </c>
      <c r="J49" s="1939"/>
      <c r="K49" s="5241">
        <f t="shared" si="7"/>
        <v>234.578</v>
      </c>
      <c r="L49" s="1934"/>
      <c r="M49" s="17">
        <v>562.46300000000008</v>
      </c>
      <c r="N49" s="1948"/>
      <c r="O49" s="67">
        <f t="shared" si="8"/>
        <v>797.04100000000005</v>
      </c>
      <c r="P49" s="1934"/>
      <c r="Q49" s="17">
        <v>359.55200000000002</v>
      </c>
      <c r="R49" s="1956"/>
      <c r="S49" s="37">
        <f t="shared" si="9"/>
        <v>1156.5930000000001</v>
      </c>
      <c r="T49" s="1934"/>
      <c r="U49" s="17"/>
      <c r="V49" s="1956"/>
      <c r="W49" s="37">
        <f t="shared" si="10"/>
        <v>1156.5930000000001</v>
      </c>
      <c r="X49" s="1934"/>
      <c r="Y49" s="17"/>
      <c r="Z49" s="848"/>
      <c r="AA49" s="6045">
        <f t="shared" si="11"/>
        <v>359.55200000000002</v>
      </c>
      <c r="AB49" s="4498"/>
      <c r="AC49" s="6046">
        <f t="shared" si="12"/>
        <v>1156.5930000000001</v>
      </c>
      <c r="AD49" s="1934"/>
      <c r="AE49" s="17">
        <v>221.26299999999998</v>
      </c>
      <c r="AF49" s="1956"/>
      <c r="AG49" s="37">
        <f t="shared" si="13"/>
        <v>1377.856</v>
      </c>
      <c r="AH49" s="1934"/>
      <c r="AI49" s="17"/>
      <c r="AJ49" s="1956"/>
      <c r="AK49" s="37">
        <f t="shared" si="14"/>
        <v>1377.856</v>
      </c>
      <c r="AL49" s="1934"/>
      <c r="AM49" s="17"/>
      <c r="AN49" s="848"/>
      <c r="AO49" s="6612">
        <f t="shared" si="15"/>
        <v>221.26299999999998</v>
      </c>
      <c r="AP49" s="1956"/>
      <c r="AQ49" s="37">
        <f t="shared" si="16"/>
        <v>1377.856</v>
      </c>
      <c r="AR49" s="1934"/>
      <c r="AS49" s="17"/>
      <c r="AT49" s="1956"/>
      <c r="AU49" s="37">
        <f t="shared" si="17"/>
        <v>1377.856</v>
      </c>
      <c r="AV49" s="1934"/>
      <c r="AW49" s="17"/>
      <c r="AX49" s="1956"/>
      <c r="AY49" s="37">
        <f t="shared" si="18"/>
        <v>1377.856</v>
      </c>
      <c r="AZ49" s="1934"/>
      <c r="BA49" s="17"/>
      <c r="BB49" s="848"/>
      <c r="BC49" s="5236">
        <f t="shared" si="19"/>
        <v>0</v>
      </c>
      <c r="BD49" s="849"/>
      <c r="BE49" s="657">
        <f t="shared" si="20"/>
        <v>221.26299999999998</v>
      </c>
      <c r="BF49" s="1956"/>
      <c r="BG49" s="37">
        <f t="shared" si="21"/>
        <v>1377.856</v>
      </c>
      <c r="BH49" s="4234">
        <f t="shared" si="3"/>
        <v>0</v>
      </c>
      <c r="BI49" s="4234">
        <f t="shared" si="4"/>
        <v>0</v>
      </c>
      <c r="BJ49" s="25"/>
      <c r="BK49" s="25">
        <f t="shared" si="5"/>
        <v>0</v>
      </c>
      <c r="BL49" s="25">
        <f t="shared" si="6"/>
        <v>0</v>
      </c>
      <c r="BM49" s="25"/>
      <c r="BN49" s="1137"/>
    </row>
    <row r="50" spans="2:66" s="4487" customFormat="1" ht="15" customHeight="1" x14ac:dyDescent="0.25">
      <c r="B50" s="5754" t="s">
        <v>818</v>
      </c>
      <c r="C50" s="5755" t="s">
        <v>1545</v>
      </c>
      <c r="D50" s="5756">
        <v>107.57</v>
      </c>
      <c r="E50" s="5757" t="s">
        <v>50</v>
      </c>
      <c r="F50" s="5758"/>
      <c r="G50" s="5759"/>
      <c r="H50" s="5758"/>
      <c r="I50" s="5759"/>
      <c r="J50" s="5760"/>
      <c r="K50" s="5241">
        <f t="shared" si="7"/>
        <v>0</v>
      </c>
      <c r="L50" s="5758"/>
      <c r="M50" s="5759">
        <v>414.93200000000002</v>
      </c>
      <c r="N50" s="5747"/>
      <c r="O50" s="67">
        <f t="shared" si="8"/>
        <v>414.93200000000002</v>
      </c>
      <c r="P50" s="5758"/>
      <c r="Q50" s="5759">
        <v>560.03899999999999</v>
      </c>
      <c r="R50" s="5748"/>
      <c r="S50" s="37">
        <f t="shared" si="9"/>
        <v>974.971</v>
      </c>
      <c r="T50" s="5758"/>
      <c r="U50" s="5759"/>
      <c r="V50" s="5748"/>
      <c r="W50" s="37">
        <f t="shared" si="10"/>
        <v>974.971</v>
      </c>
      <c r="X50" s="5758"/>
      <c r="Y50" s="5759"/>
      <c r="Z50" s="5737"/>
      <c r="AA50" s="6045">
        <f t="shared" si="11"/>
        <v>560.03899999999999</v>
      </c>
      <c r="AB50" s="5749"/>
      <c r="AC50" s="6046">
        <f t="shared" si="12"/>
        <v>974.971</v>
      </c>
      <c r="AD50" s="5758"/>
      <c r="AE50" s="5759">
        <v>1244.6099999999999</v>
      </c>
      <c r="AF50" s="5748"/>
      <c r="AG50" s="37">
        <f t="shared" si="13"/>
        <v>2219.5810000000001</v>
      </c>
      <c r="AH50" s="5758"/>
      <c r="AI50" s="5759"/>
      <c r="AJ50" s="5748"/>
      <c r="AK50" s="37">
        <f t="shared" si="14"/>
        <v>2219.5810000000001</v>
      </c>
      <c r="AL50" s="5758"/>
      <c r="AM50" s="5759"/>
      <c r="AN50" s="5737"/>
      <c r="AO50" s="6612">
        <f t="shared" si="15"/>
        <v>1244.6099999999999</v>
      </c>
      <c r="AP50" s="5748"/>
      <c r="AQ50" s="37">
        <f t="shared" si="16"/>
        <v>2219.5810000000001</v>
      </c>
      <c r="AR50" s="5758"/>
      <c r="AS50" s="5759"/>
      <c r="AT50" s="5748"/>
      <c r="AU50" s="5174">
        <f t="shared" si="17"/>
        <v>2219.5810000000001</v>
      </c>
      <c r="AV50" s="5758"/>
      <c r="AW50" s="5759"/>
      <c r="AX50" s="5748"/>
      <c r="AY50" s="37">
        <f t="shared" si="18"/>
        <v>2219.5810000000001</v>
      </c>
      <c r="AZ50" s="5758"/>
      <c r="BA50" s="5759">
        <v>156.90700000000001</v>
      </c>
      <c r="BB50" s="5737"/>
      <c r="BC50" s="6990">
        <f t="shared" si="19"/>
        <v>156.90700000000001</v>
      </c>
      <c r="BD50" s="5751"/>
      <c r="BE50" s="657">
        <f t="shared" si="20"/>
        <v>1401.5169999999998</v>
      </c>
      <c r="BF50" s="5748"/>
      <c r="BG50" s="37">
        <f t="shared" si="21"/>
        <v>2376.4880000000003</v>
      </c>
      <c r="BH50" s="4234">
        <f t="shared" si="3"/>
        <v>0</v>
      </c>
      <c r="BI50" s="4234">
        <f t="shared" si="4"/>
        <v>0</v>
      </c>
      <c r="BJ50" s="25"/>
      <c r="BK50" s="25">
        <f t="shared" si="5"/>
        <v>0</v>
      </c>
      <c r="BL50" s="25">
        <f t="shared" si="6"/>
        <v>0</v>
      </c>
      <c r="BM50" s="25"/>
      <c r="BN50" s="1137"/>
    </row>
    <row r="51" spans="2:66" s="2444" customFormat="1" x14ac:dyDescent="0.25">
      <c r="B51" s="1010" t="s">
        <v>818</v>
      </c>
      <c r="C51" s="3121" t="s">
        <v>970</v>
      </c>
      <c r="D51" s="3335">
        <v>122.45</v>
      </c>
      <c r="E51" s="1306" t="s">
        <v>50</v>
      </c>
      <c r="F51" s="1934"/>
      <c r="G51" s="17">
        <v>7880.2979999999998</v>
      </c>
      <c r="H51" s="1934"/>
      <c r="I51" s="17">
        <v>3357.1560000000004</v>
      </c>
      <c r="J51" s="1939"/>
      <c r="K51" s="5241">
        <f t="shared" si="7"/>
        <v>11237.454</v>
      </c>
      <c r="L51" s="1934"/>
      <c r="M51" s="17">
        <v>5188.1899999999996</v>
      </c>
      <c r="N51" s="1948"/>
      <c r="O51" s="67">
        <f t="shared" si="8"/>
        <v>16425.644</v>
      </c>
      <c r="P51" s="1934"/>
      <c r="Q51" s="17">
        <v>3564.9350000000004</v>
      </c>
      <c r="R51" s="1956"/>
      <c r="S51" s="37">
        <f t="shared" si="9"/>
        <v>19990.579000000002</v>
      </c>
      <c r="T51" s="1934"/>
      <c r="U51" s="17">
        <v>4417.7129999999988</v>
      </c>
      <c r="V51" s="1956"/>
      <c r="W51" s="37">
        <f t="shared" si="10"/>
        <v>24408.292000000001</v>
      </c>
      <c r="X51" s="1934"/>
      <c r="Y51" s="17">
        <v>3831.5859999999998</v>
      </c>
      <c r="Z51" s="848"/>
      <c r="AA51" s="6045">
        <f t="shared" si="11"/>
        <v>11814.233999999999</v>
      </c>
      <c r="AB51" s="4498"/>
      <c r="AC51" s="6046">
        <f t="shared" si="12"/>
        <v>28239.877999999997</v>
      </c>
      <c r="AD51" s="1934"/>
      <c r="AE51" s="17">
        <v>1555.4109999999996</v>
      </c>
      <c r="AF51" s="1956"/>
      <c r="AG51" s="37">
        <f t="shared" si="13"/>
        <v>29795.288999999997</v>
      </c>
      <c r="AH51" s="1934"/>
      <c r="AI51" s="17">
        <v>4980.9279999999999</v>
      </c>
      <c r="AJ51" s="1956"/>
      <c r="AK51" s="37">
        <f t="shared" si="14"/>
        <v>34776.216999999997</v>
      </c>
      <c r="AL51" s="1934"/>
      <c r="AM51" s="17">
        <v>5542.5880000000006</v>
      </c>
      <c r="AN51" s="848"/>
      <c r="AO51" s="6612">
        <f t="shared" si="15"/>
        <v>12078.927</v>
      </c>
      <c r="AP51" s="1956"/>
      <c r="AQ51" s="37">
        <f t="shared" si="16"/>
        <v>40318.805</v>
      </c>
      <c r="AR51" s="1934"/>
      <c r="AS51" s="17">
        <v>1855.961</v>
      </c>
      <c r="AT51" s="1956"/>
      <c r="AU51" s="37">
        <f t="shared" si="17"/>
        <v>42174.766000000003</v>
      </c>
      <c r="AV51" s="1934"/>
      <c r="AW51" s="17">
        <v>5896.8679999999977</v>
      </c>
      <c r="AX51" s="1956"/>
      <c r="AY51" s="37">
        <f t="shared" si="18"/>
        <v>48071.633999999998</v>
      </c>
      <c r="AZ51" s="1934"/>
      <c r="BA51" s="17">
        <v>11954.937999999993</v>
      </c>
      <c r="BB51" s="848"/>
      <c r="BC51" s="5236">
        <f t="shared" si="19"/>
        <v>19707.766999999993</v>
      </c>
      <c r="BD51" s="849"/>
      <c r="BE51" s="657">
        <f t="shared" si="20"/>
        <v>31786.693999999992</v>
      </c>
      <c r="BF51" s="1956"/>
      <c r="BG51" s="37">
        <f t="shared" si="21"/>
        <v>60026.571999999993</v>
      </c>
      <c r="BH51" s="4234">
        <f t="shared" si="3"/>
        <v>0</v>
      </c>
      <c r="BI51" s="4234">
        <f t="shared" si="4"/>
        <v>0</v>
      </c>
      <c r="BJ51" s="25"/>
      <c r="BK51" s="25">
        <f t="shared" si="5"/>
        <v>0</v>
      </c>
      <c r="BL51" s="25">
        <f t="shared" si="6"/>
        <v>0</v>
      </c>
      <c r="BM51" s="25"/>
      <c r="BN51" s="1137"/>
    </row>
    <row r="52" spans="2:66" ht="15" customHeight="1" x14ac:dyDescent="0.25">
      <c r="B52" s="1010" t="s">
        <v>1556</v>
      </c>
      <c r="C52" s="3121" t="s">
        <v>1299</v>
      </c>
      <c r="D52" s="3122">
        <v>122.45</v>
      </c>
      <c r="E52" s="1306" t="s">
        <v>50</v>
      </c>
      <c r="F52" s="1934"/>
      <c r="G52" s="17"/>
      <c r="H52" s="1934"/>
      <c r="I52" s="17"/>
      <c r="J52" s="1939"/>
      <c r="K52" s="5241">
        <f t="shared" si="7"/>
        <v>0</v>
      </c>
      <c r="L52" s="1934"/>
      <c r="M52" s="17">
        <v>146.47999999999999</v>
      </c>
      <c r="N52" s="1948"/>
      <c r="O52" s="67">
        <f t="shared" si="8"/>
        <v>146.47999999999999</v>
      </c>
      <c r="P52" s="1934"/>
      <c r="Q52" s="17">
        <v>281.392</v>
      </c>
      <c r="R52" s="1956"/>
      <c r="S52" s="37">
        <f t="shared" si="9"/>
        <v>427.87199999999996</v>
      </c>
      <c r="T52" s="1934"/>
      <c r="U52" s="17"/>
      <c r="V52" s="1956"/>
      <c r="W52" s="37">
        <f t="shared" si="10"/>
        <v>427.87199999999996</v>
      </c>
      <c r="X52" s="1934"/>
      <c r="Y52" s="17"/>
      <c r="Z52" s="848"/>
      <c r="AA52" s="6045">
        <f t="shared" si="11"/>
        <v>281.392</v>
      </c>
      <c r="AB52" s="4498"/>
      <c r="AC52" s="6046">
        <f t="shared" si="12"/>
        <v>427.87199999999996</v>
      </c>
      <c r="AD52" s="1934"/>
      <c r="AE52" s="17">
        <v>215.73599999999999</v>
      </c>
      <c r="AF52" s="1956"/>
      <c r="AG52" s="37">
        <f t="shared" si="13"/>
        <v>643.60799999999995</v>
      </c>
      <c r="AH52" s="1934"/>
      <c r="AI52" s="17"/>
      <c r="AJ52" s="1956"/>
      <c r="AK52" s="37">
        <f t="shared" si="14"/>
        <v>643.60799999999995</v>
      </c>
      <c r="AL52" s="1934"/>
      <c r="AM52" s="17"/>
      <c r="AN52" s="848"/>
      <c r="AO52" s="6612">
        <f t="shared" si="15"/>
        <v>215.73599999999999</v>
      </c>
      <c r="AP52" s="1956"/>
      <c r="AQ52" s="37">
        <f t="shared" si="16"/>
        <v>643.60799999999995</v>
      </c>
      <c r="AR52" s="1934"/>
      <c r="AS52" s="17">
        <v>909.96100000000001</v>
      </c>
      <c r="AT52" s="1956"/>
      <c r="AU52" s="37">
        <f t="shared" si="17"/>
        <v>1553.569</v>
      </c>
      <c r="AV52" s="1934"/>
      <c r="AW52" s="17"/>
      <c r="AX52" s="1956"/>
      <c r="AY52" s="37">
        <f t="shared" si="18"/>
        <v>1553.569</v>
      </c>
      <c r="AZ52" s="1934"/>
      <c r="BA52" s="17"/>
      <c r="BB52" s="848"/>
      <c r="BC52" s="5236">
        <f t="shared" si="19"/>
        <v>909.96100000000001</v>
      </c>
      <c r="BD52" s="849"/>
      <c r="BE52" s="657">
        <f t="shared" si="20"/>
        <v>1125.6970000000001</v>
      </c>
      <c r="BF52" s="1956"/>
      <c r="BG52" s="37">
        <f t="shared" si="21"/>
        <v>1553.569</v>
      </c>
      <c r="BH52" s="4234">
        <f t="shared" si="3"/>
        <v>0</v>
      </c>
      <c r="BI52" s="4234">
        <f t="shared" si="4"/>
        <v>0</v>
      </c>
      <c r="BJ52" s="25"/>
      <c r="BK52" s="25">
        <f t="shared" si="5"/>
        <v>0</v>
      </c>
      <c r="BL52" s="25">
        <f t="shared" si="6"/>
        <v>0</v>
      </c>
      <c r="BM52" s="25"/>
      <c r="BN52" s="1137"/>
    </row>
    <row r="53" spans="2:66" s="2444" customFormat="1" ht="15" customHeight="1" x14ac:dyDescent="0.25">
      <c r="B53" s="1010" t="s">
        <v>818</v>
      </c>
      <c r="C53" s="3121" t="s">
        <v>905</v>
      </c>
      <c r="D53" s="3122">
        <v>122.45</v>
      </c>
      <c r="E53" s="1306" t="s">
        <v>50</v>
      </c>
      <c r="F53" s="1934"/>
      <c r="G53" s="17">
        <v>493.84399999999994</v>
      </c>
      <c r="H53" s="1934"/>
      <c r="I53" s="17">
        <v>2447.335</v>
      </c>
      <c r="J53" s="1939"/>
      <c r="K53" s="5241">
        <f t="shared" si="7"/>
        <v>2941.1790000000001</v>
      </c>
      <c r="L53" s="1934"/>
      <c r="M53" s="17">
        <v>1387.52</v>
      </c>
      <c r="N53" s="1948"/>
      <c r="O53" s="67">
        <f t="shared" si="8"/>
        <v>4328.6990000000005</v>
      </c>
      <c r="P53" s="1934"/>
      <c r="Q53" s="17">
        <v>1353.086</v>
      </c>
      <c r="R53" s="1956"/>
      <c r="S53" s="37">
        <f t="shared" si="9"/>
        <v>5681.7850000000008</v>
      </c>
      <c r="T53" s="1934"/>
      <c r="U53" s="17">
        <v>431.04700000000003</v>
      </c>
      <c r="V53" s="1956"/>
      <c r="W53" s="37">
        <f t="shared" si="10"/>
        <v>6112.8320000000003</v>
      </c>
      <c r="X53" s="1934"/>
      <c r="Y53" s="17"/>
      <c r="Z53" s="848"/>
      <c r="AA53" s="6045">
        <f t="shared" si="11"/>
        <v>1784.133</v>
      </c>
      <c r="AB53" s="4498"/>
      <c r="AC53" s="6046">
        <f t="shared" si="12"/>
        <v>6112.8320000000003</v>
      </c>
      <c r="AD53" s="1934"/>
      <c r="AE53" s="17">
        <v>278.83000000000004</v>
      </c>
      <c r="AF53" s="1956"/>
      <c r="AG53" s="37">
        <f t="shared" si="13"/>
        <v>6391.6620000000003</v>
      </c>
      <c r="AH53" s="1934"/>
      <c r="AI53" s="17"/>
      <c r="AJ53" s="1956"/>
      <c r="AK53" s="37">
        <f t="shared" si="14"/>
        <v>6391.6620000000003</v>
      </c>
      <c r="AL53" s="1934"/>
      <c r="AM53" s="17"/>
      <c r="AN53" s="848"/>
      <c r="AO53" s="6612">
        <f t="shared" si="15"/>
        <v>278.83000000000004</v>
      </c>
      <c r="AP53" s="1956"/>
      <c r="AQ53" s="37">
        <f t="shared" si="16"/>
        <v>6391.6620000000003</v>
      </c>
      <c r="AR53" s="1934"/>
      <c r="AS53" s="17"/>
      <c r="AT53" s="1956"/>
      <c r="AU53" s="37">
        <f t="shared" si="17"/>
        <v>6391.6620000000003</v>
      </c>
      <c r="AV53" s="1934"/>
      <c r="AW53" s="17">
        <v>1089.6470000000002</v>
      </c>
      <c r="AX53" s="1956"/>
      <c r="AY53" s="37">
        <f t="shared" si="18"/>
        <v>7481.3090000000002</v>
      </c>
      <c r="AZ53" s="1934"/>
      <c r="BA53" s="17">
        <v>601.59099999999989</v>
      </c>
      <c r="BB53" s="848"/>
      <c r="BC53" s="5236">
        <f t="shared" si="19"/>
        <v>1691.2380000000001</v>
      </c>
      <c r="BD53" s="849"/>
      <c r="BE53" s="657">
        <f t="shared" si="20"/>
        <v>1970.0680000000002</v>
      </c>
      <c r="BF53" s="1956"/>
      <c r="BG53" s="37">
        <f t="shared" si="21"/>
        <v>8082.9</v>
      </c>
      <c r="BH53" s="4234">
        <f t="shared" si="3"/>
        <v>0</v>
      </c>
      <c r="BI53" s="4234">
        <f t="shared" si="4"/>
        <v>0</v>
      </c>
      <c r="BJ53" s="25"/>
      <c r="BK53" s="25">
        <f t="shared" si="5"/>
        <v>0</v>
      </c>
      <c r="BL53" s="25">
        <f t="shared" si="6"/>
        <v>0</v>
      </c>
      <c r="BM53" s="25"/>
      <c r="BN53" s="1137"/>
    </row>
    <row r="54" spans="2:66" s="2491" customFormat="1" x14ac:dyDescent="0.25">
      <c r="B54" s="1010" t="s">
        <v>818</v>
      </c>
      <c r="C54" s="3121" t="s">
        <v>1545</v>
      </c>
      <c r="D54" s="3122">
        <v>122.45</v>
      </c>
      <c r="E54" s="1306" t="s">
        <v>50</v>
      </c>
      <c r="F54" s="1934"/>
      <c r="G54" s="17"/>
      <c r="H54" s="1934"/>
      <c r="I54" s="17"/>
      <c r="J54" s="1939"/>
      <c r="K54" s="5241">
        <f t="shared" si="7"/>
        <v>0</v>
      </c>
      <c r="L54" s="1934"/>
      <c r="M54" s="17"/>
      <c r="N54" s="1948"/>
      <c r="O54" s="67">
        <f t="shared" si="8"/>
        <v>0</v>
      </c>
      <c r="P54" s="1934"/>
      <c r="Q54" s="17">
        <v>269.37200000000001</v>
      </c>
      <c r="R54" s="1956"/>
      <c r="S54" s="37">
        <f t="shared" si="9"/>
        <v>269.37200000000001</v>
      </c>
      <c r="T54" s="1934"/>
      <c r="U54" s="17"/>
      <c r="V54" s="1956"/>
      <c r="W54" s="37">
        <f t="shared" si="10"/>
        <v>269.37200000000001</v>
      </c>
      <c r="X54" s="1934"/>
      <c r="Y54" s="17"/>
      <c r="Z54" s="848"/>
      <c r="AA54" s="6045">
        <f t="shared" si="11"/>
        <v>269.37200000000001</v>
      </c>
      <c r="AB54" s="4498"/>
      <c r="AC54" s="6046">
        <f t="shared" si="12"/>
        <v>269.37200000000001</v>
      </c>
      <c r="AD54" s="1934"/>
      <c r="AE54" s="17">
        <v>287.36099999999999</v>
      </c>
      <c r="AF54" s="1956"/>
      <c r="AG54" s="37">
        <f t="shared" si="13"/>
        <v>556.73299999999995</v>
      </c>
      <c r="AH54" s="1934"/>
      <c r="AI54" s="17"/>
      <c r="AJ54" s="1956"/>
      <c r="AK54" s="37">
        <f t="shared" si="14"/>
        <v>556.73299999999995</v>
      </c>
      <c r="AL54" s="1934"/>
      <c r="AM54" s="17">
        <v>134.703</v>
      </c>
      <c r="AN54" s="848"/>
      <c r="AO54" s="6612">
        <f t="shared" si="15"/>
        <v>422.06399999999996</v>
      </c>
      <c r="AP54" s="1956"/>
      <c r="AQ54" s="37">
        <f t="shared" si="16"/>
        <v>691.43599999999992</v>
      </c>
      <c r="AR54" s="1934"/>
      <c r="AS54" s="17"/>
      <c r="AT54" s="1956"/>
      <c r="AU54" s="37">
        <f t="shared" si="17"/>
        <v>691.43599999999992</v>
      </c>
      <c r="AV54" s="1934"/>
      <c r="AW54" s="17"/>
      <c r="AX54" s="1956"/>
      <c r="AY54" s="37">
        <f t="shared" si="18"/>
        <v>691.43599999999992</v>
      </c>
      <c r="AZ54" s="1934"/>
      <c r="BA54" s="17"/>
      <c r="BB54" s="848"/>
      <c r="BC54" s="5236">
        <f t="shared" si="19"/>
        <v>0</v>
      </c>
      <c r="BD54" s="849"/>
      <c r="BE54" s="657">
        <f t="shared" si="20"/>
        <v>422.06399999999996</v>
      </c>
      <c r="BF54" s="1956"/>
      <c r="BG54" s="37">
        <f t="shared" si="21"/>
        <v>691.43599999999992</v>
      </c>
      <c r="BH54" s="4234">
        <f t="shared" si="3"/>
        <v>0</v>
      </c>
      <c r="BI54" s="4234">
        <f t="shared" si="4"/>
        <v>0</v>
      </c>
      <c r="BJ54" s="25"/>
      <c r="BK54" s="25">
        <f t="shared" si="5"/>
        <v>0</v>
      </c>
      <c r="BL54" s="25">
        <f t="shared" si="6"/>
        <v>0</v>
      </c>
      <c r="BM54" s="25"/>
      <c r="BN54" s="1137"/>
    </row>
    <row r="55" spans="2:66" s="2556" customFormat="1" ht="15" customHeight="1" x14ac:dyDescent="0.25">
      <c r="B55" s="3321" t="s">
        <v>1556</v>
      </c>
      <c r="C55" s="3121" t="s">
        <v>1546</v>
      </c>
      <c r="D55" s="3322">
        <v>122.45</v>
      </c>
      <c r="E55" s="1320" t="s">
        <v>50</v>
      </c>
      <c r="F55" s="3323"/>
      <c r="G55" s="27"/>
      <c r="H55" s="3323"/>
      <c r="I55" s="27"/>
      <c r="J55" s="3324"/>
      <c r="K55" s="5241">
        <f t="shared" si="7"/>
        <v>0</v>
      </c>
      <c r="L55" s="3323"/>
      <c r="M55" s="27"/>
      <c r="N55" s="1948"/>
      <c r="O55" s="67">
        <f t="shared" si="8"/>
        <v>0</v>
      </c>
      <c r="P55" s="3323"/>
      <c r="Q55" s="27">
        <v>300.69599999999997</v>
      </c>
      <c r="R55" s="1956"/>
      <c r="S55" s="37">
        <f t="shared" si="9"/>
        <v>300.69599999999997</v>
      </c>
      <c r="T55" s="3323"/>
      <c r="U55" s="27">
        <v>792.84600000000012</v>
      </c>
      <c r="V55" s="1956"/>
      <c r="W55" s="37">
        <f t="shared" si="10"/>
        <v>1093.5420000000001</v>
      </c>
      <c r="X55" s="3323"/>
      <c r="Y55" s="27"/>
      <c r="Z55" s="848"/>
      <c r="AA55" s="6045">
        <f t="shared" si="11"/>
        <v>1093.5420000000001</v>
      </c>
      <c r="AB55" s="4498"/>
      <c r="AC55" s="6046">
        <f t="shared" si="12"/>
        <v>1093.5420000000001</v>
      </c>
      <c r="AD55" s="3323"/>
      <c r="AE55" s="27"/>
      <c r="AF55" s="1956"/>
      <c r="AG55" s="37">
        <f t="shared" si="13"/>
        <v>1093.5420000000001</v>
      </c>
      <c r="AH55" s="3323"/>
      <c r="AI55" s="27"/>
      <c r="AJ55" s="1956"/>
      <c r="AK55" s="37">
        <f t="shared" si="14"/>
        <v>1093.5420000000001</v>
      </c>
      <c r="AL55" s="3323"/>
      <c r="AM55" s="27">
        <f>805.246-1.22</f>
        <v>804.02599999999995</v>
      </c>
      <c r="AN55" s="848"/>
      <c r="AO55" s="6612">
        <f t="shared" si="15"/>
        <v>804.02599999999995</v>
      </c>
      <c r="AP55" s="1956"/>
      <c r="AQ55" s="37">
        <f t="shared" si="16"/>
        <v>1897.5680000000002</v>
      </c>
      <c r="AR55" s="3323"/>
      <c r="AS55" s="27"/>
      <c r="AT55" s="1956"/>
      <c r="AU55" s="37">
        <f t="shared" si="17"/>
        <v>1897.5680000000002</v>
      </c>
      <c r="AV55" s="3323"/>
      <c r="AW55" s="27"/>
      <c r="AX55" s="1956"/>
      <c r="AY55" s="37">
        <f t="shared" si="18"/>
        <v>1897.5680000000002</v>
      </c>
      <c r="AZ55" s="3323"/>
      <c r="BA55" s="27"/>
      <c r="BB55" s="848"/>
      <c r="BC55" s="5236">
        <f t="shared" si="19"/>
        <v>0</v>
      </c>
      <c r="BD55" s="849"/>
      <c r="BE55" s="657">
        <f t="shared" si="20"/>
        <v>804.02599999999995</v>
      </c>
      <c r="BF55" s="1956"/>
      <c r="BG55" s="37">
        <f t="shared" si="21"/>
        <v>1897.5680000000002</v>
      </c>
      <c r="BH55" s="4234">
        <f t="shared" si="3"/>
        <v>0</v>
      </c>
      <c r="BI55" s="4234">
        <f t="shared" si="4"/>
        <v>0</v>
      </c>
      <c r="BJ55" s="25"/>
      <c r="BK55" s="25">
        <f t="shared" si="5"/>
        <v>0</v>
      </c>
      <c r="BL55" s="25">
        <f t="shared" si="6"/>
        <v>0</v>
      </c>
      <c r="BM55" s="25"/>
      <c r="BN55" s="1137"/>
    </row>
    <row r="56" spans="2:66" s="2556" customFormat="1" ht="15" customHeight="1" x14ac:dyDescent="0.25">
      <c r="B56" s="1010" t="s">
        <v>818</v>
      </c>
      <c r="C56" s="3121" t="s">
        <v>970</v>
      </c>
      <c r="D56" s="3335">
        <v>154.47</v>
      </c>
      <c r="E56" s="1306" t="s">
        <v>50</v>
      </c>
      <c r="F56" s="1934"/>
      <c r="G56" s="17">
        <v>412.99800000000005</v>
      </c>
      <c r="H56" s="1934"/>
      <c r="I56" s="17"/>
      <c r="J56" s="1939"/>
      <c r="K56" s="5241">
        <f t="shared" si="7"/>
        <v>412.99800000000005</v>
      </c>
      <c r="L56" s="1934"/>
      <c r="M56" s="17">
        <v>484.11500000000007</v>
      </c>
      <c r="N56" s="1948"/>
      <c r="O56" s="67">
        <f t="shared" si="8"/>
        <v>897.11300000000006</v>
      </c>
      <c r="P56" s="1934"/>
      <c r="Q56" s="17">
        <v>1501.0829999999999</v>
      </c>
      <c r="R56" s="1956"/>
      <c r="S56" s="37">
        <f t="shared" si="9"/>
        <v>2398.1959999999999</v>
      </c>
      <c r="T56" s="1934"/>
      <c r="U56" s="17">
        <v>333.37399999999997</v>
      </c>
      <c r="V56" s="1956"/>
      <c r="W56" s="37">
        <f t="shared" si="10"/>
        <v>2731.5699999999997</v>
      </c>
      <c r="X56" s="1934"/>
      <c r="Y56" s="17"/>
      <c r="Z56" s="848"/>
      <c r="AA56" s="6045">
        <f t="shared" si="11"/>
        <v>1834.4569999999999</v>
      </c>
      <c r="AB56" s="4498"/>
      <c r="AC56" s="6046">
        <f t="shared" si="12"/>
        <v>2731.5699999999997</v>
      </c>
      <c r="AD56" s="1934"/>
      <c r="AE56" s="17">
        <v>628.44400000000007</v>
      </c>
      <c r="AF56" s="1956"/>
      <c r="AG56" s="37">
        <f t="shared" si="13"/>
        <v>3360.0139999999997</v>
      </c>
      <c r="AH56" s="1934"/>
      <c r="AI56" s="17"/>
      <c r="AJ56" s="1956"/>
      <c r="AK56" s="37">
        <f t="shared" si="14"/>
        <v>3360.0139999999997</v>
      </c>
      <c r="AL56" s="1934"/>
      <c r="AM56" s="17"/>
      <c r="AN56" s="848"/>
      <c r="AO56" s="6612">
        <f t="shared" si="15"/>
        <v>628.44400000000007</v>
      </c>
      <c r="AP56" s="1956"/>
      <c r="AQ56" s="37">
        <f t="shared" si="16"/>
        <v>3360.0139999999997</v>
      </c>
      <c r="AR56" s="1934"/>
      <c r="AS56" s="17">
        <v>506.57500000000005</v>
      </c>
      <c r="AT56" s="1956"/>
      <c r="AU56" s="37">
        <f t="shared" si="17"/>
        <v>3866.5889999999999</v>
      </c>
      <c r="AV56" s="1934"/>
      <c r="AW56" s="17">
        <v>497.19400000000007</v>
      </c>
      <c r="AX56" s="1956"/>
      <c r="AY56" s="37">
        <f t="shared" si="18"/>
        <v>4363.7830000000004</v>
      </c>
      <c r="AZ56" s="1934"/>
      <c r="BA56" s="17">
        <v>1030.8150000000001</v>
      </c>
      <c r="BB56" s="848"/>
      <c r="BC56" s="5236">
        <f t="shared" si="19"/>
        <v>2034.5840000000003</v>
      </c>
      <c r="BD56" s="849"/>
      <c r="BE56" s="657">
        <f t="shared" si="20"/>
        <v>2663.0280000000002</v>
      </c>
      <c r="BF56" s="1956"/>
      <c r="BG56" s="37">
        <f t="shared" si="21"/>
        <v>5394.598</v>
      </c>
      <c r="BH56" s="4234">
        <f t="shared" si="3"/>
        <v>0</v>
      </c>
      <c r="BI56" s="4234">
        <f t="shared" si="4"/>
        <v>0</v>
      </c>
      <c r="BJ56" s="25"/>
      <c r="BK56" s="25">
        <f t="shared" si="5"/>
        <v>0</v>
      </c>
      <c r="BL56" s="25">
        <f t="shared" si="6"/>
        <v>0</v>
      </c>
      <c r="BM56" s="25"/>
      <c r="BN56" s="1137"/>
    </row>
    <row r="57" spans="2:66" s="2444" customFormat="1" ht="15" customHeight="1" thickBot="1" x14ac:dyDescent="0.3">
      <c r="B57" s="3330" t="s">
        <v>818</v>
      </c>
      <c r="C57" s="3331" t="s">
        <v>905</v>
      </c>
      <c r="D57" s="3332">
        <v>154.47</v>
      </c>
      <c r="E57" s="1325" t="s">
        <v>50</v>
      </c>
      <c r="F57" s="3333"/>
      <c r="G57" s="36"/>
      <c r="H57" s="3333"/>
      <c r="I57" s="36"/>
      <c r="J57" s="3334"/>
      <c r="K57" s="5241">
        <f t="shared" si="7"/>
        <v>0</v>
      </c>
      <c r="L57" s="3333"/>
      <c r="M57" s="36">
        <v>234.52600000000001</v>
      </c>
      <c r="N57" s="1948"/>
      <c r="O57" s="67">
        <f t="shared" si="8"/>
        <v>234.52600000000001</v>
      </c>
      <c r="P57" s="3333"/>
      <c r="Q57" s="36">
        <v>663.11099999999999</v>
      </c>
      <c r="R57" s="1956"/>
      <c r="S57" s="37">
        <f t="shared" si="9"/>
        <v>897.63699999999994</v>
      </c>
      <c r="T57" s="3333"/>
      <c r="U57" s="36">
        <v>108.857</v>
      </c>
      <c r="V57" s="1956"/>
      <c r="W57" s="37">
        <f t="shared" si="10"/>
        <v>1006.4939999999999</v>
      </c>
      <c r="X57" s="3333"/>
      <c r="Y57" s="36"/>
      <c r="Z57" s="848"/>
      <c r="AA57" s="6045">
        <f t="shared" si="11"/>
        <v>771.96799999999996</v>
      </c>
      <c r="AB57" s="4498"/>
      <c r="AC57" s="6046">
        <f t="shared" si="12"/>
        <v>1006.4939999999999</v>
      </c>
      <c r="AD57" s="3333"/>
      <c r="AE57" s="36"/>
      <c r="AF57" s="1956"/>
      <c r="AG57" s="37">
        <f t="shared" si="13"/>
        <v>1006.4939999999999</v>
      </c>
      <c r="AH57" s="3333"/>
      <c r="AI57" s="36"/>
      <c r="AJ57" s="1956"/>
      <c r="AK57" s="37">
        <f t="shared" si="14"/>
        <v>1006.4939999999999</v>
      </c>
      <c r="AL57" s="3333"/>
      <c r="AM57" s="36"/>
      <c r="AN57" s="848"/>
      <c r="AO57" s="6612">
        <f t="shared" si="15"/>
        <v>0</v>
      </c>
      <c r="AP57" s="1956"/>
      <c r="AQ57" s="37">
        <f t="shared" si="16"/>
        <v>1006.4939999999999</v>
      </c>
      <c r="AR57" s="3333"/>
      <c r="AS57" s="36"/>
      <c r="AT57" s="1956"/>
      <c r="AU57" s="37">
        <f t="shared" si="17"/>
        <v>1006.4939999999999</v>
      </c>
      <c r="AV57" s="3333"/>
      <c r="AW57" s="36">
        <v>178.24</v>
      </c>
      <c r="AX57" s="1956"/>
      <c r="AY57" s="37">
        <f t="shared" si="18"/>
        <v>1184.7339999999999</v>
      </c>
      <c r="AZ57" s="3333"/>
      <c r="BA57" s="36">
        <v>234.494</v>
      </c>
      <c r="BB57" s="848"/>
      <c r="BC57" s="5236">
        <f t="shared" si="19"/>
        <v>412.73400000000004</v>
      </c>
      <c r="BD57" s="849"/>
      <c r="BE57" s="657">
        <f t="shared" si="20"/>
        <v>412.73400000000004</v>
      </c>
      <c r="BF57" s="1956"/>
      <c r="BG57" s="37">
        <f t="shared" si="21"/>
        <v>1419.2279999999998</v>
      </c>
      <c r="BH57" s="4234">
        <f t="shared" si="3"/>
        <v>0</v>
      </c>
      <c r="BI57" s="4234">
        <f t="shared" si="4"/>
        <v>0</v>
      </c>
      <c r="BJ57" s="25"/>
      <c r="BK57" s="25">
        <f t="shared" si="5"/>
        <v>0</v>
      </c>
      <c r="BL57" s="25">
        <f t="shared" si="6"/>
        <v>0</v>
      </c>
      <c r="BM57" s="25"/>
      <c r="BN57" s="1137"/>
    </row>
    <row r="58" spans="2:66" s="2444" customFormat="1" ht="15" customHeight="1" x14ac:dyDescent="0.25">
      <c r="B58" s="3325" t="s">
        <v>1547</v>
      </c>
      <c r="C58" s="3326" t="s">
        <v>905</v>
      </c>
      <c r="D58" s="3336">
        <v>202.48</v>
      </c>
      <c r="E58" s="1243" t="s">
        <v>50</v>
      </c>
      <c r="F58" s="3328"/>
      <c r="G58" s="85"/>
      <c r="H58" s="3328"/>
      <c r="I58" s="85"/>
      <c r="J58" s="3329"/>
      <c r="K58" s="5241">
        <f t="shared" si="7"/>
        <v>0</v>
      </c>
      <c r="L58" s="3328"/>
      <c r="M58" s="85"/>
      <c r="N58" s="1948"/>
      <c r="O58" s="67">
        <f t="shared" si="8"/>
        <v>0</v>
      </c>
      <c r="P58" s="3328"/>
      <c r="Q58" s="85"/>
      <c r="R58" s="1956"/>
      <c r="S58" s="37">
        <f t="shared" si="9"/>
        <v>0</v>
      </c>
      <c r="T58" s="3328"/>
      <c r="U58" s="85"/>
      <c r="V58" s="1956"/>
      <c r="W58" s="37">
        <f t="shared" si="10"/>
        <v>0</v>
      </c>
      <c r="X58" s="3328"/>
      <c r="Y58" s="85"/>
      <c r="Z58" s="848"/>
      <c r="AA58" s="6045">
        <f t="shared" si="11"/>
        <v>0</v>
      </c>
      <c r="AB58" s="4498"/>
      <c r="AC58" s="6046">
        <f t="shared" si="12"/>
        <v>0</v>
      </c>
      <c r="AD58" s="3328"/>
      <c r="AE58" s="85"/>
      <c r="AF58" s="1956"/>
      <c r="AG58" s="37">
        <f t="shared" si="13"/>
        <v>0</v>
      </c>
      <c r="AH58" s="3328"/>
      <c r="AI58" s="85"/>
      <c r="AJ58" s="1956"/>
      <c r="AK58" s="37">
        <f t="shared" si="14"/>
        <v>0</v>
      </c>
      <c r="AL58" s="3328"/>
      <c r="AM58" s="85"/>
      <c r="AN58" s="848"/>
      <c r="AO58" s="6612">
        <f t="shared" si="15"/>
        <v>0</v>
      </c>
      <c r="AP58" s="1956"/>
      <c r="AQ58" s="37">
        <f t="shared" si="16"/>
        <v>0</v>
      </c>
      <c r="AR58" s="3328"/>
      <c r="AS58" s="85"/>
      <c r="AT58" s="1956"/>
      <c r="AU58" s="37">
        <f t="shared" si="17"/>
        <v>0</v>
      </c>
      <c r="AV58" s="3328"/>
      <c r="AW58" s="85"/>
      <c r="AX58" s="1956"/>
      <c r="AY58" s="37">
        <f t="shared" si="18"/>
        <v>0</v>
      </c>
      <c r="AZ58" s="3328"/>
      <c r="BA58" s="85"/>
      <c r="BB58" s="848"/>
      <c r="BC58" s="5236">
        <f t="shared" si="19"/>
        <v>0</v>
      </c>
      <c r="BD58" s="849"/>
      <c r="BE58" s="657">
        <f t="shared" si="20"/>
        <v>0</v>
      </c>
      <c r="BF58" s="1956"/>
      <c r="BG58" s="37">
        <f t="shared" si="21"/>
        <v>0</v>
      </c>
      <c r="BH58" s="4234">
        <f t="shared" si="3"/>
        <v>0</v>
      </c>
      <c r="BI58" s="4234">
        <f t="shared" si="4"/>
        <v>0</v>
      </c>
      <c r="BJ58" s="25"/>
      <c r="BK58" s="25">
        <f t="shared" si="5"/>
        <v>0</v>
      </c>
      <c r="BL58" s="25">
        <f t="shared" si="6"/>
        <v>0</v>
      </c>
      <c r="BM58" s="25"/>
      <c r="BN58" s="1137"/>
    </row>
    <row r="59" spans="2:66" s="2556" customFormat="1" ht="15" customHeight="1" x14ac:dyDescent="0.25">
      <c r="B59" s="1010" t="s">
        <v>1547</v>
      </c>
      <c r="C59" s="3121" t="s">
        <v>905</v>
      </c>
      <c r="D59" s="3335">
        <v>174.54</v>
      </c>
      <c r="E59" s="1306" t="s">
        <v>50</v>
      </c>
      <c r="F59" s="1934"/>
      <c r="G59" s="17"/>
      <c r="H59" s="1934"/>
      <c r="I59" s="17"/>
      <c r="J59" s="1939"/>
      <c r="K59" s="5241">
        <f t="shared" si="7"/>
        <v>0</v>
      </c>
      <c r="L59" s="1934"/>
      <c r="M59" s="17"/>
      <c r="N59" s="1948"/>
      <c r="O59" s="67">
        <f t="shared" si="8"/>
        <v>0</v>
      </c>
      <c r="P59" s="1934"/>
      <c r="Q59" s="17"/>
      <c r="R59" s="1956"/>
      <c r="S59" s="37">
        <f t="shared" si="9"/>
        <v>0</v>
      </c>
      <c r="T59" s="1934"/>
      <c r="U59" s="17"/>
      <c r="V59" s="1956"/>
      <c r="W59" s="37">
        <f t="shared" si="10"/>
        <v>0</v>
      </c>
      <c r="X59" s="1934"/>
      <c r="Y59" s="17"/>
      <c r="Z59" s="848"/>
      <c r="AA59" s="6045">
        <f t="shared" si="11"/>
        <v>0</v>
      </c>
      <c r="AB59" s="4498"/>
      <c r="AC59" s="6046">
        <f t="shared" si="12"/>
        <v>0</v>
      </c>
      <c r="AD59" s="1934"/>
      <c r="AE59" s="17"/>
      <c r="AF59" s="1956"/>
      <c r="AG59" s="37">
        <f t="shared" si="13"/>
        <v>0</v>
      </c>
      <c r="AH59" s="1934"/>
      <c r="AI59" s="17"/>
      <c r="AJ59" s="1956"/>
      <c r="AK59" s="37">
        <f t="shared" si="14"/>
        <v>0</v>
      </c>
      <c r="AL59" s="1934"/>
      <c r="AM59" s="17"/>
      <c r="AN59" s="848"/>
      <c r="AO59" s="6612">
        <f t="shared" si="15"/>
        <v>0</v>
      </c>
      <c r="AP59" s="1956"/>
      <c r="AQ59" s="37">
        <f t="shared" si="16"/>
        <v>0</v>
      </c>
      <c r="AR59" s="1934"/>
      <c r="AS59" s="17"/>
      <c r="AT59" s="1956"/>
      <c r="AU59" s="37">
        <f t="shared" si="17"/>
        <v>0</v>
      </c>
      <c r="AV59" s="1934"/>
      <c r="AW59" s="17"/>
      <c r="AX59" s="1956"/>
      <c r="AY59" s="37">
        <f t="shared" si="18"/>
        <v>0</v>
      </c>
      <c r="AZ59" s="1934"/>
      <c r="BA59" s="17"/>
      <c r="BB59" s="848"/>
      <c r="BC59" s="5236">
        <f t="shared" si="19"/>
        <v>0</v>
      </c>
      <c r="BD59" s="849"/>
      <c r="BE59" s="657">
        <f t="shared" si="20"/>
        <v>0</v>
      </c>
      <c r="BF59" s="1956"/>
      <c r="BG59" s="37">
        <f t="shared" si="21"/>
        <v>0</v>
      </c>
      <c r="BH59" s="4234">
        <f t="shared" si="3"/>
        <v>0</v>
      </c>
      <c r="BI59" s="4234">
        <f t="shared" si="4"/>
        <v>0</v>
      </c>
      <c r="BJ59" s="25"/>
      <c r="BK59" s="25">
        <f t="shared" si="5"/>
        <v>0</v>
      </c>
      <c r="BL59" s="25">
        <f t="shared" si="6"/>
        <v>0</v>
      </c>
      <c r="BM59" s="25"/>
      <c r="BN59" s="1137"/>
    </row>
    <row r="60" spans="2:66" ht="15" customHeight="1" thickBot="1" x14ac:dyDescent="0.3">
      <c r="B60" s="3330" t="s">
        <v>1547</v>
      </c>
      <c r="C60" s="3331" t="s">
        <v>905</v>
      </c>
      <c r="D60" s="3332">
        <v>145.29</v>
      </c>
      <c r="E60" s="1325" t="s">
        <v>50</v>
      </c>
      <c r="F60" s="3333"/>
      <c r="G60" s="36"/>
      <c r="H60" s="3333"/>
      <c r="I60" s="36"/>
      <c r="J60" s="3334"/>
      <c r="K60" s="5241">
        <f t="shared" si="7"/>
        <v>0</v>
      </c>
      <c r="L60" s="3333"/>
      <c r="M60" s="36"/>
      <c r="N60" s="1948"/>
      <c r="O60" s="67">
        <f t="shared" si="8"/>
        <v>0</v>
      </c>
      <c r="P60" s="3333"/>
      <c r="Q60" s="36"/>
      <c r="R60" s="1956"/>
      <c r="S60" s="37">
        <f t="shared" si="9"/>
        <v>0</v>
      </c>
      <c r="T60" s="3333"/>
      <c r="U60" s="36"/>
      <c r="V60" s="1956"/>
      <c r="W60" s="37">
        <f t="shared" si="10"/>
        <v>0</v>
      </c>
      <c r="X60" s="3333"/>
      <c r="Y60" s="36"/>
      <c r="Z60" s="848"/>
      <c r="AA60" s="6045">
        <f t="shared" si="11"/>
        <v>0</v>
      </c>
      <c r="AB60" s="4498"/>
      <c r="AC60" s="6046">
        <f t="shared" si="12"/>
        <v>0</v>
      </c>
      <c r="AD60" s="3333"/>
      <c r="AE60" s="36"/>
      <c r="AF60" s="1956"/>
      <c r="AG60" s="37">
        <f t="shared" si="13"/>
        <v>0</v>
      </c>
      <c r="AH60" s="3333"/>
      <c r="AI60" s="36"/>
      <c r="AJ60" s="1956"/>
      <c r="AK60" s="37">
        <f t="shared" si="14"/>
        <v>0</v>
      </c>
      <c r="AL60" s="3333"/>
      <c r="AM60" s="36"/>
      <c r="AN60" s="848"/>
      <c r="AO60" s="6612">
        <f t="shared" si="15"/>
        <v>0</v>
      </c>
      <c r="AP60" s="1956"/>
      <c r="AQ60" s="37">
        <f t="shared" si="16"/>
        <v>0</v>
      </c>
      <c r="AR60" s="3333"/>
      <c r="AS60" s="36"/>
      <c r="AT60" s="1956"/>
      <c r="AU60" s="37">
        <f t="shared" si="17"/>
        <v>0</v>
      </c>
      <c r="AV60" s="3333"/>
      <c r="AW60" s="36"/>
      <c r="AX60" s="1956"/>
      <c r="AY60" s="37">
        <f t="shared" si="18"/>
        <v>0</v>
      </c>
      <c r="AZ60" s="3333"/>
      <c r="BA60" s="36"/>
      <c r="BB60" s="848"/>
      <c r="BC60" s="5236">
        <f t="shared" si="19"/>
        <v>0</v>
      </c>
      <c r="BD60" s="849"/>
      <c r="BE60" s="657">
        <f t="shared" si="20"/>
        <v>0</v>
      </c>
      <c r="BF60" s="1956"/>
      <c r="BG60" s="37">
        <f t="shared" si="21"/>
        <v>0</v>
      </c>
      <c r="BH60" s="4234">
        <f t="shared" si="3"/>
        <v>0</v>
      </c>
      <c r="BI60" s="4234">
        <f t="shared" si="4"/>
        <v>0</v>
      </c>
      <c r="BJ60" s="25"/>
      <c r="BK60" s="25">
        <f t="shared" si="5"/>
        <v>0</v>
      </c>
      <c r="BL60" s="25">
        <f t="shared" si="6"/>
        <v>0</v>
      </c>
      <c r="BM60" s="25"/>
      <c r="BN60" s="1137"/>
    </row>
    <row r="61" spans="2:66" ht="15" customHeight="1" thickBot="1" x14ac:dyDescent="0.3">
      <c r="B61" s="3325" t="s">
        <v>1061</v>
      </c>
      <c r="C61" s="3326" t="s">
        <v>970</v>
      </c>
      <c r="D61" s="3336">
        <v>37.340000000000003</v>
      </c>
      <c r="E61" s="1243" t="s">
        <v>50</v>
      </c>
      <c r="F61" s="3328"/>
      <c r="G61" s="85"/>
      <c r="H61" s="3328"/>
      <c r="I61" s="85">
        <v>197.33</v>
      </c>
      <c r="J61" s="3329"/>
      <c r="K61" s="5241">
        <f t="shared" si="7"/>
        <v>197.33</v>
      </c>
      <c r="L61" s="3328"/>
      <c r="M61" s="85"/>
      <c r="N61" s="1948"/>
      <c r="O61" s="67">
        <f t="shared" si="8"/>
        <v>197.33</v>
      </c>
      <c r="P61" s="3328"/>
      <c r="Q61" s="85"/>
      <c r="R61" s="1956"/>
      <c r="S61" s="37">
        <f t="shared" si="9"/>
        <v>197.33</v>
      </c>
      <c r="T61" s="3328"/>
      <c r="U61" s="85"/>
      <c r="V61" s="1956"/>
      <c r="W61" s="37">
        <f t="shared" si="10"/>
        <v>197.33</v>
      </c>
      <c r="X61" s="3328"/>
      <c r="Y61" s="85"/>
      <c r="Z61" s="848"/>
      <c r="AA61" s="6045">
        <f t="shared" si="11"/>
        <v>0</v>
      </c>
      <c r="AB61" s="4498"/>
      <c r="AC61" s="6046">
        <f t="shared" si="12"/>
        <v>197.33</v>
      </c>
      <c r="AD61" s="3328"/>
      <c r="AE61" s="85"/>
      <c r="AF61" s="1956"/>
      <c r="AG61" s="37">
        <f t="shared" si="13"/>
        <v>197.33</v>
      </c>
      <c r="AH61" s="3328"/>
      <c r="AI61" s="85">
        <v>520.62200000000007</v>
      </c>
      <c r="AJ61" s="1956"/>
      <c r="AK61" s="37">
        <f t="shared" si="14"/>
        <v>717.95200000000011</v>
      </c>
      <c r="AL61" s="3328"/>
      <c r="AM61" s="85"/>
      <c r="AN61" s="848"/>
      <c r="AO61" s="6612">
        <f t="shared" si="15"/>
        <v>520.62200000000007</v>
      </c>
      <c r="AP61" s="1956"/>
      <c r="AQ61" s="37">
        <f t="shared" si="16"/>
        <v>717.95200000000011</v>
      </c>
      <c r="AR61" s="3328"/>
      <c r="AS61" s="85">
        <v>338.33799999999997</v>
      </c>
      <c r="AT61" s="1956"/>
      <c r="AU61" s="37">
        <f t="shared" si="17"/>
        <v>1056.29</v>
      </c>
      <c r="AV61" s="3328"/>
      <c r="AW61" s="85"/>
      <c r="AX61" s="1956"/>
      <c r="AY61" s="37">
        <f t="shared" si="18"/>
        <v>1056.29</v>
      </c>
      <c r="AZ61" s="3328"/>
      <c r="BA61" s="85"/>
      <c r="BB61" s="848"/>
      <c r="BC61" s="5236">
        <f t="shared" si="19"/>
        <v>338.33799999999997</v>
      </c>
      <c r="BD61" s="849"/>
      <c r="BE61" s="657">
        <f t="shared" si="20"/>
        <v>858.96</v>
      </c>
      <c r="BF61" s="1956"/>
      <c r="BG61" s="37">
        <f t="shared" si="21"/>
        <v>1056.29</v>
      </c>
      <c r="BH61" s="4234">
        <f t="shared" si="3"/>
        <v>0</v>
      </c>
      <c r="BI61" s="4234">
        <f t="shared" si="4"/>
        <v>0</v>
      </c>
      <c r="BJ61" s="25"/>
      <c r="BK61" s="25">
        <f t="shared" si="5"/>
        <v>0</v>
      </c>
      <c r="BL61" s="25">
        <f t="shared" si="6"/>
        <v>0</v>
      </c>
      <c r="BM61" s="25"/>
      <c r="BN61" s="1137"/>
    </row>
    <row r="62" spans="2:66" s="2819" customFormat="1" ht="15" customHeight="1" x14ac:dyDescent="0.25">
      <c r="B62" s="1010" t="s">
        <v>1061</v>
      </c>
      <c r="C62" s="3121" t="s">
        <v>1299</v>
      </c>
      <c r="D62" s="3335">
        <v>37.340000000000003</v>
      </c>
      <c r="E62" s="1306" t="s">
        <v>50</v>
      </c>
      <c r="F62" s="1934"/>
      <c r="G62" s="85">
        <v>2426.3939999999998</v>
      </c>
      <c r="H62" s="1934"/>
      <c r="I62" s="17">
        <v>2915.0279999999993</v>
      </c>
      <c r="J62" s="1939"/>
      <c r="K62" s="5241">
        <f t="shared" si="7"/>
        <v>5341.4219999999987</v>
      </c>
      <c r="L62" s="1934"/>
      <c r="M62" s="17">
        <v>2371.7069999999999</v>
      </c>
      <c r="N62" s="1948"/>
      <c r="O62" s="67">
        <f t="shared" si="8"/>
        <v>7713.128999999999</v>
      </c>
      <c r="P62" s="1934"/>
      <c r="Q62" s="17">
        <v>2574.5839999999994</v>
      </c>
      <c r="R62" s="1956"/>
      <c r="S62" s="37">
        <f t="shared" si="9"/>
        <v>10287.712999999998</v>
      </c>
      <c r="T62" s="1934"/>
      <c r="U62" s="17">
        <v>1438.2529999999997</v>
      </c>
      <c r="V62" s="1956"/>
      <c r="W62" s="37">
        <f t="shared" si="10"/>
        <v>11725.965999999997</v>
      </c>
      <c r="X62" s="1934"/>
      <c r="Y62" s="17"/>
      <c r="Z62" s="848"/>
      <c r="AA62" s="6045">
        <f t="shared" si="11"/>
        <v>4012.8369999999991</v>
      </c>
      <c r="AB62" s="4498"/>
      <c r="AC62" s="6046">
        <f t="shared" si="12"/>
        <v>11725.965999999999</v>
      </c>
      <c r="AD62" s="1934"/>
      <c r="AE62" s="17"/>
      <c r="AF62" s="1956"/>
      <c r="AG62" s="37">
        <f t="shared" si="13"/>
        <v>11725.965999999999</v>
      </c>
      <c r="AH62" s="1934"/>
      <c r="AI62" s="17">
        <v>2468.989</v>
      </c>
      <c r="AJ62" s="1956"/>
      <c r="AK62" s="37">
        <f t="shared" si="14"/>
        <v>14194.954999999998</v>
      </c>
      <c r="AL62" s="1934"/>
      <c r="AM62" s="17"/>
      <c r="AN62" s="848"/>
      <c r="AO62" s="6612">
        <f t="shared" si="15"/>
        <v>2468.989</v>
      </c>
      <c r="AP62" s="1956"/>
      <c r="AQ62" s="37">
        <f t="shared" si="16"/>
        <v>14194.954999999998</v>
      </c>
      <c r="AR62" s="1934"/>
      <c r="AS62" s="85">
        <v>2885.9890000000009</v>
      </c>
      <c r="AT62" s="1956"/>
      <c r="AU62" s="37">
        <f t="shared" si="17"/>
        <v>17080.944</v>
      </c>
      <c r="AV62" s="1934"/>
      <c r="AW62" s="85"/>
      <c r="AX62" s="1956"/>
      <c r="AY62" s="37">
        <f t="shared" si="18"/>
        <v>17080.944</v>
      </c>
      <c r="AZ62" s="1934"/>
      <c r="BA62" s="85">
        <v>1738.6020000000001</v>
      </c>
      <c r="BB62" s="848"/>
      <c r="BC62" s="5236">
        <f t="shared" si="19"/>
        <v>4624.5910000000013</v>
      </c>
      <c r="BD62" s="849"/>
      <c r="BE62" s="657">
        <f t="shared" si="20"/>
        <v>7093.5800000000017</v>
      </c>
      <c r="BF62" s="1956"/>
      <c r="BG62" s="37">
        <f t="shared" si="21"/>
        <v>18819.545999999998</v>
      </c>
      <c r="BH62" s="4234">
        <f t="shared" si="3"/>
        <v>0</v>
      </c>
      <c r="BI62" s="4234">
        <f t="shared" si="4"/>
        <v>0</v>
      </c>
      <c r="BJ62" s="25"/>
      <c r="BK62" s="25">
        <f t="shared" si="5"/>
        <v>0</v>
      </c>
      <c r="BL62" s="25">
        <f t="shared" si="6"/>
        <v>0</v>
      </c>
      <c r="BM62" s="25"/>
      <c r="BN62" s="1137"/>
    </row>
    <row r="63" spans="2:66" s="4487" customFormat="1" ht="15" customHeight="1" x14ac:dyDescent="0.25">
      <c r="B63" s="5754" t="s">
        <v>1612</v>
      </c>
      <c r="C63" s="5755" t="s">
        <v>970</v>
      </c>
      <c r="D63" s="5756">
        <v>42.26</v>
      </c>
      <c r="E63" s="5757" t="s">
        <v>50</v>
      </c>
      <c r="F63" s="5758"/>
      <c r="G63" s="5759"/>
      <c r="H63" s="5758"/>
      <c r="I63" s="5759"/>
      <c r="J63" s="5760"/>
      <c r="K63" s="5739"/>
      <c r="L63" s="5758"/>
      <c r="M63" s="5759">
        <v>308.62299999999999</v>
      </c>
      <c r="N63" s="5747"/>
      <c r="O63" s="67">
        <f t="shared" si="8"/>
        <v>308.62299999999999</v>
      </c>
      <c r="P63" s="5758"/>
      <c r="Q63" s="5759">
        <v>393.77</v>
      </c>
      <c r="R63" s="5748"/>
      <c r="S63" s="37">
        <f t="shared" si="9"/>
        <v>702.39300000000003</v>
      </c>
      <c r="T63" s="5758"/>
      <c r="U63" s="5759"/>
      <c r="V63" s="5748"/>
      <c r="W63" s="37">
        <f t="shared" si="10"/>
        <v>702.39300000000003</v>
      </c>
      <c r="X63" s="5758"/>
      <c r="Y63" s="5759">
        <v>618.15800000000002</v>
      </c>
      <c r="Z63" s="5737"/>
      <c r="AA63" s="6045">
        <f t="shared" si="11"/>
        <v>1011.928</v>
      </c>
      <c r="AB63" s="4498"/>
      <c r="AC63" s="6046">
        <f t="shared" si="12"/>
        <v>1320.5509999999999</v>
      </c>
      <c r="AD63" s="5758"/>
      <c r="AE63" s="5759"/>
      <c r="AF63" s="5748"/>
      <c r="AG63" s="37">
        <f t="shared" si="13"/>
        <v>1320.5509999999999</v>
      </c>
      <c r="AH63" s="5758"/>
      <c r="AI63" s="5759"/>
      <c r="AJ63" s="5748"/>
      <c r="AK63" s="37">
        <f t="shared" si="14"/>
        <v>1320.5509999999999</v>
      </c>
      <c r="AL63" s="5758"/>
      <c r="AM63" s="5759">
        <v>121.828</v>
      </c>
      <c r="AN63" s="5737"/>
      <c r="AO63" s="6612">
        <f t="shared" si="15"/>
        <v>121.828</v>
      </c>
      <c r="AP63" s="5748"/>
      <c r="AQ63" s="37">
        <f t="shared" si="16"/>
        <v>1442.3789999999999</v>
      </c>
      <c r="AR63" s="5758"/>
      <c r="AS63" s="5759"/>
      <c r="AT63" s="5748"/>
      <c r="AU63" s="5174">
        <f t="shared" si="17"/>
        <v>1442.3789999999999</v>
      </c>
      <c r="AV63" s="5758"/>
      <c r="AW63" s="5759"/>
      <c r="AX63" s="5748"/>
      <c r="AY63" s="37">
        <f t="shared" si="18"/>
        <v>1442.3789999999999</v>
      </c>
      <c r="AZ63" s="5758"/>
      <c r="BA63" s="5759"/>
      <c r="BB63" s="5737"/>
      <c r="BC63" s="6990">
        <f t="shared" si="19"/>
        <v>0</v>
      </c>
      <c r="BD63" s="5751"/>
      <c r="BE63" s="657">
        <f t="shared" si="20"/>
        <v>121.828</v>
      </c>
      <c r="BF63" s="5748"/>
      <c r="BG63" s="37">
        <f t="shared" si="21"/>
        <v>1442.3789999999999</v>
      </c>
      <c r="BH63" s="4234">
        <f t="shared" si="3"/>
        <v>0</v>
      </c>
      <c r="BI63" s="4234">
        <f t="shared" si="4"/>
        <v>0</v>
      </c>
      <c r="BJ63" s="25"/>
      <c r="BK63" s="25">
        <f t="shared" si="5"/>
        <v>0</v>
      </c>
      <c r="BL63" s="25">
        <f t="shared" si="6"/>
        <v>0</v>
      </c>
      <c r="BM63" s="25"/>
      <c r="BN63" s="1137"/>
    </row>
    <row r="64" spans="2:66" ht="15" customHeight="1" x14ac:dyDescent="0.25">
      <c r="B64" s="1010" t="s">
        <v>1612</v>
      </c>
      <c r="C64" s="3121" t="s">
        <v>905</v>
      </c>
      <c r="D64" s="3335">
        <v>42.26</v>
      </c>
      <c r="E64" s="1306" t="s">
        <v>50</v>
      </c>
      <c r="F64" s="1934"/>
      <c r="G64" s="17"/>
      <c r="H64" s="1934"/>
      <c r="I64" s="17"/>
      <c r="J64" s="1939"/>
      <c r="K64" s="5241">
        <f t="shared" si="7"/>
        <v>0</v>
      </c>
      <c r="L64" s="1934"/>
      <c r="M64" s="17">
        <v>1171.0029999999999</v>
      </c>
      <c r="N64" s="1948"/>
      <c r="O64" s="67">
        <f t="shared" si="8"/>
        <v>1171.0029999999999</v>
      </c>
      <c r="P64" s="1934"/>
      <c r="Q64" s="17">
        <v>801.71400000000017</v>
      </c>
      <c r="R64" s="1956"/>
      <c r="S64" s="37">
        <f t="shared" si="9"/>
        <v>1972.7170000000001</v>
      </c>
      <c r="T64" s="1934"/>
      <c r="U64" s="17"/>
      <c r="V64" s="1956"/>
      <c r="W64" s="37">
        <f t="shared" si="10"/>
        <v>1972.7170000000001</v>
      </c>
      <c r="X64" s="1934"/>
      <c r="Y64" s="17">
        <v>683.31399999999985</v>
      </c>
      <c r="Z64" s="2659"/>
      <c r="AA64" s="6045">
        <f t="shared" si="11"/>
        <v>1485.028</v>
      </c>
      <c r="AB64" s="4498"/>
      <c r="AC64" s="6046">
        <f t="shared" si="12"/>
        <v>2656.0309999999999</v>
      </c>
      <c r="AD64" s="1934"/>
      <c r="AE64" s="17"/>
      <c r="AF64" s="1956"/>
      <c r="AG64" s="37">
        <f t="shared" si="13"/>
        <v>2656.0309999999999</v>
      </c>
      <c r="AH64" s="1934"/>
      <c r="AI64" s="17"/>
      <c r="AJ64" s="1956"/>
      <c r="AK64" s="37">
        <f t="shared" si="14"/>
        <v>2656.0309999999999</v>
      </c>
      <c r="AL64" s="1934"/>
      <c r="AM64" s="17">
        <v>595.44600000000003</v>
      </c>
      <c r="AN64" s="2659"/>
      <c r="AO64" s="6612">
        <f t="shared" si="15"/>
        <v>595.44600000000003</v>
      </c>
      <c r="AP64" s="1956"/>
      <c r="AQ64" s="37">
        <f t="shared" si="16"/>
        <v>3251.4769999999999</v>
      </c>
      <c r="AR64" s="1934"/>
      <c r="AS64" s="17"/>
      <c r="AT64" s="1956"/>
      <c r="AU64" s="37">
        <f t="shared" si="17"/>
        <v>3251.4769999999999</v>
      </c>
      <c r="AV64" s="1934"/>
      <c r="AW64" s="17"/>
      <c r="AX64" s="1956"/>
      <c r="AY64" s="37">
        <f t="shared" si="18"/>
        <v>3251.4769999999999</v>
      </c>
      <c r="AZ64" s="1934"/>
      <c r="BA64" s="17"/>
      <c r="BB64" s="2659"/>
      <c r="BC64" s="5236">
        <f t="shared" si="19"/>
        <v>0</v>
      </c>
      <c r="BD64" s="2663"/>
      <c r="BE64" s="657">
        <f t="shared" si="20"/>
        <v>595.44600000000003</v>
      </c>
      <c r="BF64" s="1956"/>
      <c r="BG64" s="37">
        <f t="shared" si="21"/>
        <v>3251.4769999999999</v>
      </c>
      <c r="BH64" s="4234">
        <f t="shared" si="3"/>
        <v>0</v>
      </c>
      <c r="BI64" s="4234">
        <f t="shared" si="4"/>
        <v>0</v>
      </c>
      <c r="BJ64" s="25"/>
      <c r="BK64" s="25">
        <f t="shared" si="5"/>
        <v>0</v>
      </c>
      <c r="BL64" s="25">
        <f t="shared" si="6"/>
        <v>0</v>
      </c>
      <c r="BM64" s="25"/>
      <c r="BN64" s="1137"/>
    </row>
    <row r="65" spans="2:66" ht="15" customHeight="1" x14ac:dyDescent="0.25">
      <c r="B65" s="1010" t="s">
        <v>1062</v>
      </c>
      <c r="C65" s="3121" t="s">
        <v>905</v>
      </c>
      <c r="D65" s="3335">
        <v>61.3</v>
      </c>
      <c r="E65" s="1306" t="s">
        <v>50</v>
      </c>
      <c r="F65" s="1934"/>
      <c r="G65" s="17"/>
      <c r="H65" s="1934"/>
      <c r="I65" s="17"/>
      <c r="J65" s="1939"/>
      <c r="K65" s="5241">
        <f t="shared" si="7"/>
        <v>0</v>
      </c>
      <c r="L65" s="1934"/>
      <c r="M65" s="17">
        <v>522.70600000000002</v>
      </c>
      <c r="N65" s="1948"/>
      <c r="O65" s="67">
        <f t="shared" si="8"/>
        <v>522.70600000000002</v>
      </c>
      <c r="P65" s="1934"/>
      <c r="Q65" s="17"/>
      <c r="R65" s="1956"/>
      <c r="S65" s="37">
        <f t="shared" si="9"/>
        <v>522.70600000000002</v>
      </c>
      <c r="T65" s="1934"/>
      <c r="U65" s="17"/>
      <c r="V65" s="1956"/>
      <c r="W65" s="37">
        <f t="shared" si="10"/>
        <v>522.70600000000002</v>
      </c>
      <c r="X65" s="1934"/>
      <c r="Y65" s="17">
        <v>485.31799999999998</v>
      </c>
      <c r="Z65" s="848"/>
      <c r="AA65" s="6045">
        <f t="shared" si="11"/>
        <v>485.31799999999998</v>
      </c>
      <c r="AB65" s="4498"/>
      <c r="AC65" s="6046">
        <f t="shared" si="12"/>
        <v>1008.024</v>
      </c>
      <c r="AD65" s="1934"/>
      <c r="AE65" s="17"/>
      <c r="AF65" s="1956"/>
      <c r="AG65" s="37">
        <f t="shared" si="13"/>
        <v>1008.024</v>
      </c>
      <c r="AH65" s="1934"/>
      <c r="AI65" s="17"/>
      <c r="AJ65" s="1956"/>
      <c r="AK65" s="37">
        <f t="shared" si="14"/>
        <v>1008.024</v>
      </c>
      <c r="AL65" s="1934"/>
      <c r="AM65" s="17">
        <v>1037.3899999999996</v>
      </c>
      <c r="AN65" s="848"/>
      <c r="AO65" s="6612">
        <f t="shared" si="15"/>
        <v>1037.3899999999996</v>
      </c>
      <c r="AP65" s="1956"/>
      <c r="AQ65" s="37">
        <f t="shared" si="16"/>
        <v>2045.4139999999998</v>
      </c>
      <c r="AR65" s="1934"/>
      <c r="AS65" s="17"/>
      <c r="AT65" s="1956"/>
      <c r="AU65" s="37">
        <f t="shared" si="17"/>
        <v>2045.4139999999998</v>
      </c>
      <c r="AV65" s="1934"/>
      <c r="AW65" s="17"/>
      <c r="AX65" s="1956"/>
      <c r="AY65" s="37">
        <f t="shared" si="18"/>
        <v>2045.4139999999998</v>
      </c>
      <c r="AZ65" s="1934"/>
      <c r="BA65" s="17"/>
      <c r="BB65" s="848"/>
      <c r="BC65" s="5236">
        <f t="shared" si="19"/>
        <v>0</v>
      </c>
      <c r="BD65" s="849"/>
      <c r="BE65" s="657">
        <f t="shared" si="20"/>
        <v>1037.3899999999996</v>
      </c>
      <c r="BF65" s="1956"/>
      <c r="BG65" s="37">
        <f t="shared" si="21"/>
        <v>2045.4139999999998</v>
      </c>
      <c r="BH65" s="4234">
        <f t="shared" si="3"/>
        <v>0</v>
      </c>
      <c r="BI65" s="4234">
        <f t="shared" si="4"/>
        <v>0</v>
      </c>
      <c r="BJ65" s="25"/>
      <c r="BK65" s="25">
        <f t="shared" si="5"/>
        <v>0</v>
      </c>
      <c r="BL65" s="25">
        <f t="shared" si="6"/>
        <v>0</v>
      </c>
      <c r="BM65" s="25"/>
      <c r="BN65" s="1137"/>
    </row>
    <row r="66" spans="2:66" ht="15" customHeight="1" thickBot="1" x14ac:dyDescent="0.3">
      <c r="B66" s="3330" t="s">
        <v>1062</v>
      </c>
      <c r="C66" s="3331" t="s">
        <v>970</v>
      </c>
      <c r="D66" s="3332">
        <v>61.3</v>
      </c>
      <c r="E66" s="1325" t="s">
        <v>50</v>
      </c>
      <c r="F66" s="3333"/>
      <c r="G66" s="36"/>
      <c r="H66" s="3333"/>
      <c r="I66" s="36"/>
      <c r="J66" s="3334"/>
      <c r="K66" s="5241">
        <f t="shared" si="7"/>
        <v>0</v>
      </c>
      <c r="L66" s="3333"/>
      <c r="M66" s="36">
        <v>261.35300000000001</v>
      </c>
      <c r="N66" s="1948"/>
      <c r="O66" s="67">
        <f t="shared" si="8"/>
        <v>261.35300000000001</v>
      </c>
      <c r="P66" s="3333"/>
      <c r="Q66" s="36">
        <v>157.666</v>
      </c>
      <c r="R66" s="1956"/>
      <c r="S66" s="37">
        <f t="shared" si="9"/>
        <v>419.01900000000001</v>
      </c>
      <c r="T66" s="3333"/>
      <c r="U66" s="36"/>
      <c r="V66" s="1956"/>
      <c r="W66" s="37">
        <f t="shared" si="10"/>
        <v>419.01900000000001</v>
      </c>
      <c r="X66" s="3333"/>
      <c r="Y66" s="36">
        <v>326.85000000000002</v>
      </c>
      <c r="Z66" s="848"/>
      <c r="AA66" s="6045">
        <f t="shared" si="11"/>
        <v>484.51600000000002</v>
      </c>
      <c r="AB66" s="4498"/>
      <c r="AC66" s="6046">
        <f t="shared" si="12"/>
        <v>745.86900000000003</v>
      </c>
      <c r="AD66" s="3333"/>
      <c r="AE66" s="36"/>
      <c r="AF66" s="1956"/>
      <c r="AG66" s="37">
        <f t="shared" si="13"/>
        <v>745.86900000000003</v>
      </c>
      <c r="AH66" s="3333"/>
      <c r="AI66" s="36"/>
      <c r="AJ66" s="1956"/>
      <c r="AK66" s="37">
        <f t="shared" si="14"/>
        <v>745.86900000000003</v>
      </c>
      <c r="AL66" s="3333"/>
      <c r="AM66" s="36">
        <v>306.09900000000005</v>
      </c>
      <c r="AN66" s="848"/>
      <c r="AO66" s="6612">
        <f t="shared" si="15"/>
        <v>306.09900000000005</v>
      </c>
      <c r="AP66" s="1956"/>
      <c r="AQ66" s="37">
        <f t="shared" si="16"/>
        <v>1051.9680000000001</v>
      </c>
      <c r="AR66" s="3333"/>
      <c r="AS66" s="36"/>
      <c r="AT66" s="1956"/>
      <c r="AU66" s="37">
        <f t="shared" si="17"/>
        <v>1051.9680000000001</v>
      </c>
      <c r="AV66" s="3333"/>
      <c r="AW66" s="36"/>
      <c r="AX66" s="1956"/>
      <c r="AY66" s="37">
        <f t="shared" si="18"/>
        <v>1051.9680000000001</v>
      </c>
      <c r="AZ66" s="3333"/>
      <c r="BA66" s="36"/>
      <c r="BB66" s="848"/>
      <c r="BC66" s="5236">
        <f t="shared" si="19"/>
        <v>0</v>
      </c>
      <c r="BD66" s="849"/>
      <c r="BE66" s="657">
        <f t="shared" si="20"/>
        <v>306.09900000000005</v>
      </c>
      <c r="BF66" s="1956"/>
      <c r="BG66" s="37">
        <f t="shared" si="21"/>
        <v>1051.9680000000001</v>
      </c>
      <c r="BH66" s="4234">
        <f t="shared" si="3"/>
        <v>0</v>
      </c>
      <c r="BI66" s="4234">
        <f t="shared" si="4"/>
        <v>0</v>
      </c>
      <c r="BJ66" s="25"/>
      <c r="BK66" s="25">
        <f t="shared" si="5"/>
        <v>0</v>
      </c>
      <c r="BL66" s="25">
        <f t="shared" si="6"/>
        <v>0</v>
      </c>
      <c r="BM66" s="25"/>
      <c r="BN66" s="1137"/>
    </row>
    <row r="67" spans="2:66" s="4487" customFormat="1" ht="15" customHeight="1" thickBot="1" x14ac:dyDescent="0.3">
      <c r="B67" s="3325" t="s">
        <v>1214</v>
      </c>
      <c r="C67" s="3326" t="s">
        <v>905</v>
      </c>
      <c r="D67" s="3336">
        <v>83.2</v>
      </c>
      <c r="E67" s="1243" t="s">
        <v>50</v>
      </c>
      <c r="F67" s="3328"/>
      <c r="G67" s="85">
        <v>974.64199999999994</v>
      </c>
      <c r="H67" s="3328"/>
      <c r="I67" s="85"/>
      <c r="J67" s="3329"/>
      <c r="K67" s="5241">
        <f t="shared" si="7"/>
        <v>974.64199999999994</v>
      </c>
      <c r="L67" s="3328"/>
      <c r="M67" s="85">
        <v>536.84500000000003</v>
      </c>
      <c r="N67" s="1948"/>
      <c r="O67" s="67">
        <f t="shared" si="8"/>
        <v>1511.4870000000001</v>
      </c>
      <c r="P67" s="3328"/>
      <c r="Q67" s="85"/>
      <c r="R67" s="1956"/>
      <c r="S67" s="37">
        <f t="shared" si="9"/>
        <v>1511.4870000000001</v>
      </c>
      <c r="T67" s="3328"/>
      <c r="U67" s="85"/>
      <c r="V67" s="1956"/>
      <c r="W67" s="37">
        <f t="shared" si="10"/>
        <v>1511.4870000000001</v>
      </c>
      <c r="X67" s="3328"/>
      <c r="Y67" s="85">
        <v>1363.2589999999998</v>
      </c>
      <c r="Z67" s="848"/>
      <c r="AA67" s="6045">
        <f t="shared" si="11"/>
        <v>1363.2589999999998</v>
      </c>
      <c r="AB67" s="4498"/>
      <c r="AC67" s="6046">
        <f t="shared" si="12"/>
        <v>2874.7460000000001</v>
      </c>
      <c r="AD67" s="3328"/>
      <c r="AE67" s="85"/>
      <c r="AF67" s="1956"/>
      <c r="AG67" s="37">
        <f t="shared" si="13"/>
        <v>2874.7460000000001</v>
      </c>
      <c r="AH67" s="3328"/>
      <c r="AI67" s="85"/>
      <c r="AJ67" s="1956"/>
      <c r="AK67" s="37">
        <f t="shared" si="14"/>
        <v>2874.7460000000001</v>
      </c>
      <c r="AL67" s="3328"/>
      <c r="AM67" s="85">
        <v>783.12400000000002</v>
      </c>
      <c r="AN67" s="848"/>
      <c r="AO67" s="6612">
        <f t="shared" si="15"/>
        <v>783.12400000000002</v>
      </c>
      <c r="AP67" s="1956"/>
      <c r="AQ67" s="37">
        <f t="shared" si="16"/>
        <v>3657.87</v>
      </c>
      <c r="AR67" s="3328"/>
      <c r="AS67" s="85"/>
      <c r="AT67" s="1956"/>
      <c r="AU67" s="37">
        <f t="shared" si="17"/>
        <v>3657.87</v>
      </c>
      <c r="AV67" s="3328"/>
      <c r="AW67" s="85"/>
      <c r="AX67" s="1956"/>
      <c r="AY67" s="37">
        <f t="shared" si="18"/>
        <v>3657.87</v>
      </c>
      <c r="AZ67" s="3328"/>
      <c r="BA67" s="85"/>
      <c r="BB67" s="848"/>
      <c r="BC67" s="5236">
        <f t="shared" si="19"/>
        <v>0</v>
      </c>
      <c r="BD67" s="849"/>
      <c r="BE67" s="657">
        <f t="shared" si="20"/>
        <v>783.12400000000002</v>
      </c>
      <c r="BF67" s="1956"/>
      <c r="BG67" s="37">
        <f t="shared" si="21"/>
        <v>3657.87</v>
      </c>
      <c r="BH67" s="4234">
        <f t="shared" si="3"/>
        <v>0</v>
      </c>
      <c r="BI67" s="4234">
        <f t="shared" si="4"/>
        <v>0</v>
      </c>
      <c r="BJ67" s="25"/>
      <c r="BK67" s="25">
        <f t="shared" si="5"/>
        <v>0</v>
      </c>
      <c r="BL67" s="25">
        <f t="shared" si="6"/>
        <v>0</v>
      </c>
      <c r="BM67" s="25"/>
      <c r="BN67" s="1137"/>
    </row>
    <row r="68" spans="2:66" s="2491" customFormat="1" ht="15" customHeight="1" x14ac:dyDescent="0.25">
      <c r="B68" s="3325" t="s">
        <v>1214</v>
      </c>
      <c r="C68" s="3326" t="s">
        <v>905</v>
      </c>
      <c r="D68" s="4294">
        <v>47.4</v>
      </c>
      <c r="E68" s="1243" t="s">
        <v>50</v>
      </c>
      <c r="F68" s="4296"/>
      <c r="G68" s="4178"/>
      <c r="H68" s="4296"/>
      <c r="I68" s="4178"/>
      <c r="J68" s="4297"/>
      <c r="K68" s="5241">
        <f t="shared" si="7"/>
        <v>0</v>
      </c>
      <c r="L68" s="4296"/>
      <c r="M68" s="4178"/>
      <c r="N68" s="1948"/>
      <c r="O68" s="67">
        <f t="shared" si="8"/>
        <v>0</v>
      </c>
      <c r="P68" s="4296"/>
      <c r="Q68" s="4178"/>
      <c r="R68" s="1956"/>
      <c r="S68" s="37">
        <f t="shared" si="9"/>
        <v>0</v>
      </c>
      <c r="T68" s="4296"/>
      <c r="U68" s="4178"/>
      <c r="V68" s="1956"/>
      <c r="W68" s="37">
        <f t="shared" si="10"/>
        <v>0</v>
      </c>
      <c r="X68" s="4296"/>
      <c r="Y68" s="4178"/>
      <c r="Z68" s="4984"/>
      <c r="AA68" s="6045">
        <f t="shared" si="11"/>
        <v>0</v>
      </c>
      <c r="AB68" s="4498"/>
      <c r="AC68" s="6046">
        <f t="shared" si="12"/>
        <v>0</v>
      </c>
      <c r="AD68" s="4296"/>
      <c r="AE68" s="4178"/>
      <c r="AF68" s="1956"/>
      <c r="AG68" s="37">
        <f t="shared" si="13"/>
        <v>0</v>
      </c>
      <c r="AH68" s="4296"/>
      <c r="AI68" s="4178"/>
      <c r="AJ68" s="1956"/>
      <c r="AK68" s="37">
        <f t="shared" si="14"/>
        <v>0</v>
      </c>
      <c r="AL68" s="4296"/>
      <c r="AM68" s="4178">
        <v>9.5749999999999993</v>
      </c>
      <c r="AN68" s="4984"/>
      <c r="AO68" s="6612">
        <f t="shared" si="15"/>
        <v>9.5749999999999993</v>
      </c>
      <c r="AP68" s="1956"/>
      <c r="AQ68" s="37">
        <f t="shared" si="16"/>
        <v>9.5749999999999993</v>
      </c>
      <c r="AR68" s="4296"/>
      <c r="AS68" s="4178"/>
      <c r="AT68" s="1956"/>
      <c r="AU68" s="37">
        <f t="shared" si="17"/>
        <v>9.5749999999999993</v>
      </c>
      <c r="AV68" s="4296"/>
      <c r="AW68" s="4178"/>
      <c r="AX68" s="1956"/>
      <c r="AY68" s="37">
        <f t="shared" si="18"/>
        <v>9.5749999999999993</v>
      </c>
      <c r="AZ68" s="4296"/>
      <c r="BA68" s="4178"/>
      <c r="BB68" s="4984"/>
      <c r="BC68" s="5236">
        <f t="shared" si="19"/>
        <v>0</v>
      </c>
      <c r="BD68" s="4987"/>
      <c r="BE68" s="657">
        <f t="shared" si="20"/>
        <v>9.5749999999999993</v>
      </c>
      <c r="BF68" s="1956"/>
      <c r="BG68" s="37">
        <f t="shared" si="21"/>
        <v>9.5749999999999993</v>
      </c>
      <c r="BH68" s="4234">
        <f t="shared" si="3"/>
        <v>0</v>
      </c>
      <c r="BI68" s="4234">
        <f t="shared" si="4"/>
        <v>0</v>
      </c>
      <c r="BJ68" s="25"/>
      <c r="BK68" s="25">
        <f t="shared" si="5"/>
        <v>0</v>
      </c>
      <c r="BL68" s="25">
        <f t="shared" si="6"/>
        <v>0</v>
      </c>
      <c r="BM68" s="25"/>
      <c r="BN68" s="1137"/>
    </row>
    <row r="69" spans="2:66" ht="15" customHeight="1" thickBot="1" x14ac:dyDescent="0.3">
      <c r="B69" s="3330" t="s">
        <v>1214</v>
      </c>
      <c r="C69" s="3331" t="s">
        <v>905</v>
      </c>
      <c r="D69" s="3332">
        <v>60.32</v>
      </c>
      <c r="E69" s="1325" t="s">
        <v>50</v>
      </c>
      <c r="F69" s="3333"/>
      <c r="G69" s="36">
        <v>1724.9249999999997</v>
      </c>
      <c r="H69" s="3333"/>
      <c r="I69" s="36"/>
      <c r="J69" s="3334"/>
      <c r="K69" s="5241">
        <f t="shared" si="7"/>
        <v>1724.9249999999997</v>
      </c>
      <c r="L69" s="3333"/>
      <c r="M69" s="36">
        <v>791.52800000000002</v>
      </c>
      <c r="N69" s="1948"/>
      <c r="O69" s="67">
        <f t="shared" si="8"/>
        <v>2516.4529999999995</v>
      </c>
      <c r="P69" s="3333"/>
      <c r="Q69" s="36"/>
      <c r="R69" s="1956"/>
      <c r="S69" s="37">
        <f t="shared" si="9"/>
        <v>2516.4529999999995</v>
      </c>
      <c r="T69" s="3333"/>
      <c r="U69" s="36"/>
      <c r="V69" s="1956"/>
      <c r="W69" s="37">
        <f t="shared" si="10"/>
        <v>2516.4529999999995</v>
      </c>
      <c r="X69" s="3333"/>
      <c r="Y69" s="36">
        <v>336.02599999999995</v>
      </c>
      <c r="Z69" s="848"/>
      <c r="AA69" s="6045">
        <f t="shared" si="11"/>
        <v>336.02599999999995</v>
      </c>
      <c r="AB69" s="4498"/>
      <c r="AC69" s="6046">
        <f t="shared" si="12"/>
        <v>2852.4789999999994</v>
      </c>
      <c r="AD69" s="3333"/>
      <c r="AE69" s="36"/>
      <c r="AF69" s="1956"/>
      <c r="AG69" s="37">
        <f t="shared" si="13"/>
        <v>2852.4789999999994</v>
      </c>
      <c r="AH69" s="3333"/>
      <c r="AI69" s="36"/>
      <c r="AJ69" s="1956"/>
      <c r="AK69" s="37">
        <f t="shared" si="14"/>
        <v>2852.4789999999994</v>
      </c>
      <c r="AL69" s="3333"/>
      <c r="AM69" s="36">
        <v>1219.3609999999999</v>
      </c>
      <c r="AN69" s="848"/>
      <c r="AO69" s="6612">
        <f t="shared" si="15"/>
        <v>1219.3609999999999</v>
      </c>
      <c r="AP69" s="1956"/>
      <c r="AQ69" s="37">
        <f t="shared" si="16"/>
        <v>4071.8399999999992</v>
      </c>
      <c r="AR69" s="3333"/>
      <c r="AS69" s="36"/>
      <c r="AT69" s="1956"/>
      <c r="AU69" s="37">
        <f t="shared" si="17"/>
        <v>4071.8399999999992</v>
      </c>
      <c r="AV69" s="3333"/>
      <c r="AW69" s="36"/>
      <c r="AX69" s="1956"/>
      <c r="AY69" s="37">
        <f t="shared" si="18"/>
        <v>4071.8399999999992</v>
      </c>
      <c r="AZ69" s="3333"/>
      <c r="BA69" s="36"/>
      <c r="BB69" s="848"/>
      <c r="BC69" s="5236">
        <f t="shared" si="19"/>
        <v>0</v>
      </c>
      <c r="BD69" s="849"/>
      <c r="BE69" s="657">
        <f t="shared" si="20"/>
        <v>1219.3609999999999</v>
      </c>
      <c r="BF69" s="1956"/>
      <c r="BG69" s="37">
        <f t="shared" si="21"/>
        <v>4071.8399999999992</v>
      </c>
      <c r="BH69" s="4234">
        <f t="shared" si="3"/>
        <v>0</v>
      </c>
      <c r="BI69" s="4234">
        <f t="shared" si="4"/>
        <v>0</v>
      </c>
      <c r="BJ69" s="25"/>
      <c r="BK69" s="25">
        <f t="shared" si="5"/>
        <v>0</v>
      </c>
      <c r="BL69" s="25">
        <f t="shared" si="6"/>
        <v>0</v>
      </c>
      <c r="BM69" s="25"/>
      <c r="BN69" s="1137"/>
    </row>
    <row r="70" spans="2:66" ht="15" customHeight="1" x14ac:dyDescent="0.25">
      <c r="B70" s="3325" t="s">
        <v>1155</v>
      </c>
      <c r="C70" s="3326" t="s">
        <v>905</v>
      </c>
      <c r="D70" s="3336">
        <v>100.85</v>
      </c>
      <c r="E70" s="1243" t="s">
        <v>50</v>
      </c>
      <c r="F70" s="3328"/>
      <c r="G70" s="85"/>
      <c r="H70" s="3328"/>
      <c r="I70" s="85">
        <v>933.98900000000026</v>
      </c>
      <c r="J70" s="3329"/>
      <c r="K70" s="5241">
        <f t="shared" si="7"/>
        <v>933.98900000000026</v>
      </c>
      <c r="L70" s="3328"/>
      <c r="M70" s="85"/>
      <c r="N70" s="1948"/>
      <c r="O70" s="67">
        <f t="shared" si="8"/>
        <v>933.98900000000026</v>
      </c>
      <c r="P70" s="3328"/>
      <c r="Q70" s="85">
        <v>754.33100000000002</v>
      </c>
      <c r="R70" s="1956"/>
      <c r="S70" s="37">
        <f t="shared" si="9"/>
        <v>1688.3200000000002</v>
      </c>
      <c r="T70" s="3328"/>
      <c r="U70" s="85"/>
      <c r="V70" s="1956"/>
      <c r="W70" s="37">
        <f t="shared" si="10"/>
        <v>1688.3200000000002</v>
      </c>
      <c r="X70" s="3328"/>
      <c r="Y70" s="85">
        <v>440.56799999999998</v>
      </c>
      <c r="Z70" s="848"/>
      <c r="AA70" s="6045">
        <f t="shared" si="11"/>
        <v>1194.8989999999999</v>
      </c>
      <c r="AB70" s="4498"/>
      <c r="AC70" s="6046">
        <f t="shared" si="12"/>
        <v>2128.8879999999999</v>
      </c>
      <c r="AD70" s="3328"/>
      <c r="AE70" s="85"/>
      <c r="AF70" s="1956"/>
      <c r="AG70" s="37">
        <f t="shared" si="13"/>
        <v>2128.8879999999999</v>
      </c>
      <c r="AH70" s="3328"/>
      <c r="AI70" s="85">
        <v>1510.2550000000001</v>
      </c>
      <c r="AJ70" s="1956"/>
      <c r="AK70" s="37">
        <f t="shared" si="14"/>
        <v>3639.143</v>
      </c>
      <c r="AL70" s="3328"/>
      <c r="AM70" s="85"/>
      <c r="AN70" s="848"/>
      <c r="AO70" s="6612">
        <f t="shared" si="15"/>
        <v>1510.2550000000001</v>
      </c>
      <c r="AP70" s="1956"/>
      <c r="AQ70" s="37">
        <f t="shared" si="16"/>
        <v>3639.143</v>
      </c>
      <c r="AR70" s="3328"/>
      <c r="AS70" s="85">
        <v>895.97500000000002</v>
      </c>
      <c r="AT70" s="1956"/>
      <c r="AU70" s="37">
        <f t="shared" si="17"/>
        <v>4535.1180000000004</v>
      </c>
      <c r="AV70" s="3328"/>
      <c r="AW70" s="85">
        <v>843.72800000000007</v>
      </c>
      <c r="AX70" s="1956"/>
      <c r="AY70" s="37">
        <f t="shared" si="18"/>
        <v>5378.8460000000005</v>
      </c>
      <c r="AZ70" s="3328"/>
      <c r="BA70" s="85">
        <v>1022.9659999999999</v>
      </c>
      <c r="BB70" s="848"/>
      <c r="BC70" s="5236">
        <f t="shared" si="19"/>
        <v>2762.6689999999999</v>
      </c>
      <c r="BD70" s="849"/>
      <c r="BE70" s="657">
        <f t="shared" si="20"/>
        <v>4272.924</v>
      </c>
      <c r="BF70" s="1956"/>
      <c r="BG70" s="37">
        <f t="shared" si="21"/>
        <v>6401.8119999999999</v>
      </c>
      <c r="BH70" s="4234">
        <f t="shared" si="3"/>
        <v>0</v>
      </c>
      <c r="BI70" s="4234">
        <f t="shared" si="4"/>
        <v>0</v>
      </c>
      <c r="BJ70" s="25"/>
      <c r="BK70" s="25">
        <f t="shared" si="5"/>
        <v>0</v>
      </c>
      <c r="BL70" s="25">
        <f t="shared" si="6"/>
        <v>0</v>
      </c>
      <c r="BM70" s="25"/>
      <c r="BN70" s="1137"/>
    </row>
    <row r="71" spans="2:66" s="4487" customFormat="1" ht="15" customHeight="1" x14ac:dyDescent="0.25">
      <c r="B71" s="3321" t="s">
        <v>1155</v>
      </c>
      <c r="C71" s="4293" t="s">
        <v>1545</v>
      </c>
      <c r="D71" s="4294">
        <v>100.85</v>
      </c>
      <c r="E71" s="1320" t="s">
        <v>50</v>
      </c>
      <c r="F71" s="3323"/>
      <c r="G71" s="27">
        <v>1096.3129999999999</v>
      </c>
      <c r="H71" s="3323"/>
      <c r="I71" s="27"/>
      <c r="J71" s="3324"/>
      <c r="K71" s="5739"/>
      <c r="L71" s="3323"/>
      <c r="M71" s="27"/>
      <c r="N71" s="5747"/>
      <c r="O71" s="67">
        <f t="shared" si="8"/>
        <v>1096.3129999999999</v>
      </c>
      <c r="P71" s="3323"/>
      <c r="Q71" s="27">
        <v>813.78700000000003</v>
      </c>
      <c r="R71" s="5748"/>
      <c r="S71" s="37">
        <f t="shared" si="9"/>
        <v>1910.1</v>
      </c>
      <c r="T71" s="3323"/>
      <c r="U71" s="27"/>
      <c r="V71" s="5748"/>
      <c r="W71" s="37">
        <f t="shared" si="10"/>
        <v>1910.1</v>
      </c>
      <c r="X71" s="3323"/>
      <c r="Y71" s="27">
        <v>485.36</v>
      </c>
      <c r="Z71" s="5737"/>
      <c r="AA71" s="6045">
        <f t="shared" si="11"/>
        <v>1299.1469999999999</v>
      </c>
      <c r="AB71" s="4498"/>
      <c r="AC71" s="6046">
        <f t="shared" si="12"/>
        <v>2395.46</v>
      </c>
      <c r="AD71" s="3323"/>
      <c r="AE71" s="27"/>
      <c r="AF71" s="5748"/>
      <c r="AG71" s="37">
        <f t="shared" si="13"/>
        <v>2395.46</v>
      </c>
      <c r="AH71" s="3323"/>
      <c r="AI71" s="27">
        <v>211.917</v>
      </c>
      <c r="AJ71" s="5748"/>
      <c r="AK71" s="37">
        <f t="shared" si="14"/>
        <v>2607.377</v>
      </c>
      <c r="AL71" s="3323"/>
      <c r="AM71" s="27"/>
      <c r="AN71" s="5737"/>
      <c r="AO71" s="6612">
        <f t="shared" si="15"/>
        <v>211.917</v>
      </c>
      <c r="AP71" s="5748"/>
      <c r="AQ71" s="37">
        <f t="shared" si="16"/>
        <v>2607.377</v>
      </c>
      <c r="AR71" s="3323"/>
      <c r="AS71" s="27"/>
      <c r="AT71" s="5748"/>
      <c r="AU71" s="5174">
        <f t="shared" si="17"/>
        <v>2607.377</v>
      </c>
      <c r="AV71" s="3323"/>
      <c r="AW71" s="27"/>
      <c r="AX71" s="5748"/>
      <c r="AY71" s="37">
        <f t="shared" si="18"/>
        <v>2607.377</v>
      </c>
      <c r="AZ71" s="3323"/>
      <c r="BA71" s="27"/>
      <c r="BB71" s="5737"/>
      <c r="BC71" s="6990">
        <f t="shared" si="19"/>
        <v>0</v>
      </c>
      <c r="BD71" s="5751"/>
      <c r="BE71" s="657">
        <f t="shared" si="20"/>
        <v>211.917</v>
      </c>
      <c r="BF71" s="5748"/>
      <c r="BG71" s="37">
        <f t="shared" si="21"/>
        <v>2607.377</v>
      </c>
      <c r="BH71" s="4234">
        <f t="shared" si="3"/>
        <v>0</v>
      </c>
      <c r="BI71" s="4234">
        <f t="shared" si="4"/>
        <v>0</v>
      </c>
      <c r="BJ71" s="25"/>
      <c r="BK71" s="25">
        <f t="shared" si="5"/>
        <v>0</v>
      </c>
      <c r="BL71" s="25">
        <f t="shared" si="6"/>
        <v>0</v>
      </c>
      <c r="BM71" s="25"/>
      <c r="BN71" s="1137"/>
    </row>
    <row r="72" spans="2:66" s="4487" customFormat="1" ht="15" customHeight="1" x14ac:dyDescent="0.25">
      <c r="B72" s="3321" t="s">
        <v>1155</v>
      </c>
      <c r="C72" s="4293" t="s">
        <v>1545</v>
      </c>
      <c r="D72" s="4294">
        <v>117.03</v>
      </c>
      <c r="E72" s="1320" t="s">
        <v>50</v>
      </c>
      <c r="F72" s="3323"/>
      <c r="G72" s="27"/>
      <c r="H72" s="3323"/>
      <c r="I72" s="27"/>
      <c r="J72" s="3324"/>
      <c r="K72" s="5739"/>
      <c r="L72" s="3323"/>
      <c r="M72" s="27"/>
      <c r="N72" s="5747"/>
      <c r="O72" s="67">
        <f t="shared" si="8"/>
        <v>0</v>
      </c>
      <c r="P72" s="3323"/>
      <c r="Q72" s="27">
        <v>814.37</v>
      </c>
      <c r="R72" s="5748"/>
      <c r="S72" s="37">
        <f t="shared" si="9"/>
        <v>814.37</v>
      </c>
      <c r="T72" s="3323"/>
      <c r="U72" s="27"/>
      <c r="V72" s="5748"/>
      <c r="W72" s="37">
        <f t="shared" si="10"/>
        <v>814.37</v>
      </c>
      <c r="X72" s="3323"/>
      <c r="Y72" s="27">
        <v>807.49199999999996</v>
      </c>
      <c r="Z72" s="5737"/>
      <c r="AA72" s="6045">
        <f t="shared" si="11"/>
        <v>1621.8620000000001</v>
      </c>
      <c r="AB72" s="4498"/>
      <c r="AC72" s="6046">
        <f t="shared" si="12"/>
        <v>1621.8620000000001</v>
      </c>
      <c r="AD72" s="3323"/>
      <c r="AE72" s="27"/>
      <c r="AF72" s="5748"/>
      <c r="AG72" s="37">
        <f t="shared" si="13"/>
        <v>1621.8620000000001</v>
      </c>
      <c r="AH72" s="3323"/>
      <c r="AI72" s="27">
        <v>1458.7530000000002</v>
      </c>
      <c r="AJ72" s="5748"/>
      <c r="AK72" s="37">
        <f t="shared" si="14"/>
        <v>3080.6150000000002</v>
      </c>
      <c r="AL72" s="3323"/>
      <c r="AM72" s="27"/>
      <c r="AN72" s="5737"/>
      <c r="AO72" s="6612">
        <f t="shared" si="15"/>
        <v>1458.7530000000002</v>
      </c>
      <c r="AP72" s="5748"/>
      <c r="AQ72" s="37">
        <f t="shared" si="16"/>
        <v>3080.6150000000002</v>
      </c>
      <c r="AR72" s="3323"/>
      <c r="AS72" s="27"/>
      <c r="AT72" s="5748"/>
      <c r="AU72" s="5174">
        <f t="shared" si="17"/>
        <v>3080.6150000000002</v>
      </c>
      <c r="AV72" s="3323"/>
      <c r="AW72" s="27"/>
      <c r="AX72" s="5748"/>
      <c r="AY72" s="37">
        <f t="shared" si="18"/>
        <v>3080.6150000000002</v>
      </c>
      <c r="AZ72" s="3323"/>
      <c r="BA72" s="27"/>
      <c r="BB72" s="5737"/>
      <c r="BC72" s="6990">
        <f t="shared" si="19"/>
        <v>0</v>
      </c>
      <c r="BD72" s="5751"/>
      <c r="BE72" s="657">
        <f t="shared" si="20"/>
        <v>1458.7530000000002</v>
      </c>
      <c r="BF72" s="5748"/>
      <c r="BG72" s="37">
        <f t="shared" si="21"/>
        <v>3080.6150000000002</v>
      </c>
      <c r="BH72" s="4234">
        <f t="shared" si="3"/>
        <v>0</v>
      </c>
      <c r="BI72" s="4234">
        <f t="shared" si="4"/>
        <v>0</v>
      </c>
      <c r="BJ72" s="25"/>
      <c r="BK72" s="25">
        <f t="shared" si="5"/>
        <v>0</v>
      </c>
      <c r="BL72" s="25">
        <f t="shared" si="6"/>
        <v>0</v>
      </c>
      <c r="BM72" s="25"/>
      <c r="BN72" s="1137"/>
    </row>
    <row r="73" spans="2:66" s="2444" customFormat="1" ht="15" customHeight="1" x14ac:dyDescent="0.25">
      <c r="B73" s="1010" t="s">
        <v>1155</v>
      </c>
      <c r="C73" s="3121" t="s">
        <v>905</v>
      </c>
      <c r="D73" s="3335">
        <v>117.03</v>
      </c>
      <c r="E73" s="1306" t="s">
        <v>50</v>
      </c>
      <c r="F73" s="1934"/>
      <c r="G73" s="17">
        <v>1914.2519999999995</v>
      </c>
      <c r="H73" s="1934"/>
      <c r="I73" s="17">
        <v>1112.682</v>
      </c>
      <c r="J73" s="1939"/>
      <c r="K73" s="5241">
        <f t="shared" si="7"/>
        <v>3026.9339999999993</v>
      </c>
      <c r="L73" s="1934"/>
      <c r="M73" s="17"/>
      <c r="N73" s="1948"/>
      <c r="O73" s="67">
        <f t="shared" si="8"/>
        <v>3026.9339999999993</v>
      </c>
      <c r="P73" s="1934"/>
      <c r="Q73" s="17">
        <v>538.16100000000006</v>
      </c>
      <c r="R73" s="1956"/>
      <c r="S73" s="37">
        <f t="shared" si="9"/>
        <v>3565.0949999999993</v>
      </c>
      <c r="T73" s="1934"/>
      <c r="U73" s="17"/>
      <c r="V73" s="1956"/>
      <c r="W73" s="37">
        <f t="shared" si="10"/>
        <v>3565.0949999999993</v>
      </c>
      <c r="X73" s="1934"/>
      <c r="Y73" s="17">
        <v>174.53800000000001</v>
      </c>
      <c r="Z73" s="848"/>
      <c r="AA73" s="6045">
        <f t="shared" si="11"/>
        <v>712.69900000000007</v>
      </c>
      <c r="AB73" s="4498"/>
      <c r="AC73" s="6046">
        <f t="shared" si="12"/>
        <v>3739.6329999999994</v>
      </c>
      <c r="AD73" s="1934"/>
      <c r="AE73" s="17"/>
      <c r="AF73" s="1956"/>
      <c r="AG73" s="37">
        <f t="shared" si="13"/>
        <v>3739.6329999999994</v>
      </c>
      <c r="AH73" s="1934"/>
      <c r="AI73" s="17"/>
      <c r="AJ73" s="1956"/>
      <c r="AK73" s="37">
        <f t="shared" si="14"/>
        <v>3739.6329999999994</v>
      </c>
      <c r="AL73" s="1934"/>
      <c r="AM73" s="17"/>
      <c r="AN73" s="848"/>
      <c r="AO73" s="6612">
        <f t="shared" si="15"/>
        <v>0</v>
      </c>
      <c r="AP73" s="1956"/>
      <c r="AQ73" s="37">
        <f t="shared" si="16"/>
        <v>3739.6329999999994</v>
      </c>
      <c r="AR73" s="1934"/>
      <c r="AS73" s="17">
        <v>1476.0909999999999</v>
      </c>
      <c r="AT73" s="1956"/>
      <c r="AU73" s="37">
        <f t="shared" si="17"/>
        <v>5215.7239999999993</v>
      </c>
      <c r="AV73" s="1934"/>
      <c r="AW73" s="17">
        <v>2230.1320000000001</v>
      </c>
      <c r="AX73" s="1956"/>
      <c r="AY73" s="37">
        <f t="shared" si="18"/>
        <v>7445.8559999999998</v>
      </c>
      <c r="AZ73" s="1934"/>
      <c r="BA73" s="17">
        <v>2014.3009999999997</v>
      </c>
      <c r="BB73" s="848"/>
      <c r="BC73" s="5236">
        <f t="shared" si="19"/>
        <v>5720.5239999999994</v>
      </c>
      <c r="BD73" s="849"/>
      <c r="BE73" s="657">
        <f t="shared" si="20"/>
        <v>5720.5239999999994</v>
      </c>
      <c r="BF73" s="1956"/>
      <c r="BG73" s="37">
        <f t="shared" si="21"/>
        <v>9460.1569999999992</v>
      </c>
      <c r="BH73" s="4234">
        <f t="shared" ref="BH73:BH136" si="25">F73+H73+L73+P73+T73+X73+AD73+AH73+AL73+AR73+AV73+AZ73-BF73</f>
        <v>0</v>
      </c>
      <c r="BI73" s="4234">
        <f t="shared" ref="BI73:BI136" si="26">G73+I73+M73+Q73+U73+Y73+AE73+AI73+AM73+AS73+AW73+BA73-BG73</f>
        <v>0</v>
      </c>
      <c r="BJ73" s="25"/>
      <c r="BK73" s="25">
        <f t="shared" ref="BK73:BK136" si="27">AZ73+AV73+AR73+AL73+AH73+AD73-BD73</f>
        <v>0</v>
      </c>
      <c r="BL73" s="25">
        <f t="shared" ref="BL73:BL136" si="28">BA73+AW73+AS73+AM73+AI73+AE73-BE73</f>
        <v>0</v>
      </c>
      <c r="BM73" s="25"/>
      <c r="BN73" s="1137"/>
    </row>
    <row r="74" spans="2:66" ht="15" customHeight="1" thickBot="1" x14ac:dyDescent="0.3">
      <c r="B74" s="3330" t="s">
        <v>1155</v>
      </c>
      <c r="C74" s="3331" t="s">
        <v>905</v>
      </c>
      <c r="D74" s="3332">
        <v>237.92</v>
      </c>
      <c r="E74" s="1325" t="s">
        <v>50</v>
      </c>
      <c r="F74" s="3333"/>
      <c r="G74" s="36"/>
      <c r="H74" s="3333"/>
      <c r="I74" s="36"/>
      <c r="J74" s="3334"/>
      <c r="K74" s="5241">
        <f t="shared" si="7"/>
        <v>0</v>
      </c>
      <c r="L74" s="3333"/>
      <c r="M74" s="36"/>
      <c r="N74" s="1948"/>
      <c r="O74" s="67">
        <f t="shared" si="8"/>
        <v>0</v>
      </c>
      <c r="P74" s="3333"/>
      <c r="Q74" s="36"/>
      <c r="R74" s="1956"/>
      <c r="S74" s="37">
        <f t="shared" si="9"/>
        <v>0</v>
      </c>
      <c r="T74" s="3333"/>
      <c r="U74" s="36"/>
      <c r="V74" s="1956"/>
      <c r="W74" s="37">
        <f t="shared" si="10"/>
        <v>0</v>
      </c>
      <c r="X74" s="3333"/>
      <c r="Y74" s="36"/>
      <c r="Z74" s="848"/>
      <c r="AA74" s="6045">
        <f t="shared" si="11"/>
        <v>0</v>
      </c>
      <c r="AB74" s="4498"/>
      <c r="AC74" s="6046">
        <f t="shared" si="12"/>
        <v>0</v>
      </c>
      <c r="AD74" s="3333"/>
      <c r="AE74" s="36"/>
      <c r="AF74" s="1956"/>
      <c r="AG74" s="37">
        <f t="shared" si="13"/>
        <v>0</v>
      </c>
      <c r="AH74" s="3333"/>
      <c r="AI74" s="36"/>
      <c r="AJ74" s="1956"/>
      <c r="AK74" s="37">
        <f t="shared" ref="AK74:AK120" si="29">+AG74+AI74</f>
        <v>0</v>
      </c>
      <c r="AL74" s="3333"/>
      <c r="AM74" s="36"/>
      <c r="AN74" s="848"/>
      <c r="AO74" s="6612">
        <f t="shared" ref="AO74:AO117" si="30">+AE74+AI74+AM74</f>
        <v>0</v>
      </c>
      <c r="AP74" s="1956"/>
      <c r="AQ74" s="37">
        <f t="shared" ref="AQ74:AQ118" si="31">AK74+AM74</f>
        <v>0</v>
      </c>
      <c r="AR74" s="3333"/>
      <c r="AS74" s="36"/>
      <c r="AT74" s="1956"/>
      <c r="AU74" s="37">
        <f t="shared" ref="AU74:AU120" si="32">+AQ74+AS74</f>
        <v>0</v>
      </c>
      <c r="AV74" s="3333"/>
      <c r="AW74" s="36"/>
      <c r="AX74" s="1956"/>
      <c r="AY74" s="37">
        <f t="shared" ref="AY74:AY103" si="33">+AU74+AW74</f>
        <v>0</v>
      </c>
      <c r="AZ74" s="3333"/>
      <c r="BA74" s="36"/>
      <c r="BB74" s="848"/>
      <c r="BC74" s="5236">
        <f t="shared" si="19"/>
        <v>0</v>
      </c>
      <c r="BD74" s="849"/>
      <c r="BE74" s="657">
        <f t="shared" si="20"/>
        <v>0</v>
      </c>
      <c r="BF74" s="1956"/>
      <c r="BG74" s="37">
        <f t="shared" ref="BG74:BG120" si="34">+AY74+BA74</f>
        <v>0</v>
      </c>
      <c r="BH74" s="4234">
        <f t="shared" si="25"/>
        <v>0</v>
      </c>
      <c r="BI74" s="4234">
        <f t="shared" si="26"/>
        <v>0</v>
      </c>
      <c r="BJ74" s="25"/>
      <c r="BK74" s="25">
        <f t="shared" si="27"/>
        <v>0</v>
      </c>
      <c r="BL74" s="25">
        <f t="shared" si="28"/>
        <v>0</v>
      </c>
      <c r="BM74" s="25"/>
      <c r="BN74" s="1137"/>
    </row>
    <row r="75" spans="2:66" s="4487" customFormat="1" ht="15" customHeight="1" thickBot="1" x14ac:dyDescent="0.3">
      <c r="B75" s="5769" t="s">
        <v>1992</v>
      </c>
      <c r="C75" s="5770" t="s">
        <v>970</v>
      </c>
      <c r="D75" s="5771">
        <v>46.1</v>
      </c>
      <c r="E75" s="1325" t="s">
        <v>50</v>
      </c>
      <c r="F75" s="5773"/>
      <c r="G75" s="5774"/>
      <c r="H75" s="5773"/>
      <c r="I75" s="5774"/>
      <c r="J75" s="5775"/>
      <c r="K75" s="5739"/>
      <c r="L75" s="5773"/>
      <c r="M75" s="5774"/>
      <c r="N75" s="5747"/>
      <c r="O75" s="5768"/>
      <c r="P75" s="5773"/>
      <c r="Q75" s="5774"/>
      <c r="R75" s="5748"/>
      <c r="S75" s="37">
        <f t="shared" si="9"/>
        <v>0</v>
      </c>
      <c r="T75" s="5773"/>
      <c r="U75" s="5774">
        <v>132.46199999999999</v>
      </c>
      <c r="V75" s="5748"/>
      <c r="W75" s="37">
        <f t="shared" si="10"/>
        <v>132.46199999999999</v>
      </c>
      <c r="X75" s="5773"/>
      <c r="Y75" s="5774">
        <v>186.41899999999998</v>
      </c>
      <c r="Z75" s="5737"/>
      <c r="AA75" s="6045">
        <f t="shared" si="11"/>
        <v>318.88099999999997</v>
      </c>
      <c r="AB75" s="4498"/>
      <c r="AC75" s="6046">
        <f t="shared" si="12"/>
        <v>318.88099999999997</v>
      </c>
      <c r="AD75" s="5773"/>
      <c r="AE75" s="5774"/>
      <c r="AF75" s="5748"/>
      <c r="AG75" s="37">
        <f t="shared" si="13"/>
        <v>318.88099999999997</v>
      </c>
      <c r="AH75" s="5773"/>
      <c r="AI75" s="5774"/>
      <c r="AJ75" s="5748"/>
      <c r="AK75" s="37">
        <f t="shared" si="29"/>
        <v>318.88099999999997</v>
      </c>
      <c r="AL75" s="5773"/>
      <c r="AM75" s="5774"/>
      <c r="AN75" s="5737"/>
      <c r="AO75" s="6612">
        <f t="shared" si="30"/>
        <v>0</v>
      </c>
      <c r="AP75" s="5748"/>
      <c r="AQ75" s="37">
        <f t="shared" si="31"/>
        <v>318.88099999999997</v>
      </c>
      <c r="AR75" s="5773"/>
      <c r="AS75" s="5774"/>
      <c r="AT75" s="5748"/>
      <c r="AU75" s="5174">
        <f t="shared" si="32"/>
        <v>318.88099999999997</v>
      </c>
      <c r="AV75" s="5773"/>
      <c r="AW75" s="5774"/>
      <c r="AX75" s="5748"/>
      <c r="AY75" s="37">
        <f t="shared" si="33"/>
        <v>318.88099999999997</v>
      </c>
      <c r="AZ75" s="5773"/>
      <c r="BA75" s="5774"/>
      <c r="BB75" s="5737"/>
      <c r="BC75" s="6990">
        <f t="shared" si="19"/>
        <v>0</v>
      </c>
      <c r="BD75" s="5751"/>
      <c r="BE75" s="657">
        <f t="shared" si="20"/>
        <v>0</v>
      </c>
      <c r="BF75" s="5748"/>
      <c r="BG75" s="37">
        <f t="shared" si="34"/>
        <v>318.88099999999997</v>
      </c>
      <c r="BH75" s="4234">
        <f t="shared" si="25"/>
        <v>0</v>
      </c>
      <c r="BI75" s="4234">
        <f t="shared" si="26"/>
        <v>0</v>
      </c>
      <c r="BJ75" s="25"/>
      <c r="BK75" s="25">
        <f t="shared" si="27"/>
        <v>0</v>
      </c>
      <c r="BL75" s="25">
        <f t="shared" si="28"/>
        <v>0</v>
      </c>
      <c r="BM75" s="25"/>
      <c r="BN75" s="1137"/>
    </row>
    <row r="76" spans="2:66" s="4487" customFormat="1" ht="15" customHeight="1" thickBot="1" x14ac:dyDescent="0.3">
      <c r="B76" s="5769" t="s">
        <v>1992</v>
      </c>
      <c r="C76" s="5770" t="s">
        <v>905</v>
      </c>
      <c r="D76" s="5771">
        <v>46.1</v>
      </c>
      <c r="E76" s="5772" t="s">
        <v>50</v>
      </c>
      <c r="F76" s="5773"/>
      <c r="G76" s="5774"/>
      <c r="H76" s="5773"/>
      <c r="I76" s="5774"/>
      <c r="J76" s="5775"/>
      <c r="K76" s="5241">
        <f t="shared" si="7"/>
        <v>0</v>
      </c>
      <c r="L76" s="5773"/>
      <c r="M76" s="5774">
        <v>1589.9769999999999</v>
      </c>
      <c r="N76" s="5747"/>
      <c r="O76" s="67">
        <f t="shared" si="8"/>
        <v>1589.9769999999999</v>
      </c>
      <c r="P76" s="5773"/>
      <c r="Q76" s="5774">
        <v>1547.614</v>
      </c>
      <c r="R76" s="5748"/>
      <c r="S76" s="37">
        <f t="shared" si="9"/>
        <v>3137.5909999999999</v>
      </c>
      <c r="T76" s="5773"/>
      <c r="U76" s="5774">
        <v>1639.5419999999999</v>
      </c>
      <c r="V76" s="5748"/>
      <c r="W76" s="37">
        <f t="shared" si="10"/>
        <v>4777.1329999999998</v>
      </c>
      <c r="X76" s="5773"/>
      <c r="Y76" s="5774">
        <v>858.66999999999985</v>
      </c>
      <c r="Z76" s="5737"/>
      <c r="AA76" s="6045">
        <f t="shared" ref="AA76:AA120" si="35">+Q76+U76+Y76</f>
        <v>4045.826</v>
      </c>
      <c r="AB76" s="4498"/>
      <c r="AC76" s="6046">
        <f t="shared" ref="AC76:AC120" si="36">+AA76+O76</f>
        <v>5635.8029999999999</v>
      </c>
      <c r="AD76" s="5773"/>
      <c r="AE76" s="5774"/>
      <c r="AF76" s="5748"/>
      <c r="AG76" s="37">
        <f t="shared" ref="AG76:AG118" si="37">+AC76+AE76</f>
        <v>5635.8029999999999</v>
      </c>
      <c r="AH76" s="5773"/>
      <c r="AI76" s="5774">
        <v>725.79800000000012</v>
      </c>
      <c r="AJ76" s="5748"/>
      <c r="AK76" s="37">
        <f t="shared" si="29"/>
        <v>6361.6009999999997</v>
      </c>
      <c r="AL76" s="5773"/>
      <c r="AM76" s="5774"/>
      <c r="AN76" s="5737"/>
      <c r="AO76" s="6612">
        <f t="shared" si="30"/>
        <v>725.79800000000012</v>
      </c>
      <c r="AP76" s="5748"/>
      <c r="AQ76" s="37">
        <f t="shared" si="31"/>
        <v>6361.6009999999997</v>
      </c>
      <c r="AR76" s="5773"/>
      <c r="AS76" s="5774">
        <v>1445.3230000000001</v>
      </c>
      <c r="AT76" s="5748"/>
      <c r="AU76" s="5174">
        <f t="shared" si="32"/>
        <v>7806.924</v>
      </c>
      <c r="AV76" s="5773"/>
      <c r="AW76" s="5774"/>
      <c r="AX76" s="5748"/>
      <c r="AY76" s="37">
        <f t="shared" si="33"/>
        <v>7806.924</v>
      </c>
      <c r="AZ76" s="5773"/>
      <c r="BA76" s="5774">
        <v>1563.941</v>
      </c>
      <c r="BB76" s="5737"/>
      <c r="BC76" s="6990">
        <f t="shared" si="19"/>
        <v>3009.2640000000001</v>
      </c>
      <c r="BD76" s="5751"/>
      <c r="BE76" s="657">
        <f t="shared" si="20"/>
        <v>3735.0620000000004</v>
      </c>
      <c r="BF76" s="5748"/>
      <c r="BG76" s="37">
        <f t="shared" si="34"/>
        <v>9370.8649999999998</v>
      </c>
      <c r="BH76" s="4234">
        <f t="shared" si="25"/>
        <v>0</v>
      </c>
      <c r="BI76" s="4234">
        <f t="shared" si="26"/>
        <v>0</v>
      </c>
      <c r="BJ76" s="25"/>
      <c r="BK76" s="25">
        <f t="shared" si="27"/>
        <v>0</v>
      </c>
      <c r="BL76" s="25">
        <f t="shared" si="28"/>
        <v>0</v>
      </c>
      <c r="BM76" s="25"/>
      <c r="BN76" s="1137"/>
    </row>
    <row r="77" spans="2:66" s="4487" customFormat="1" ht="15" customHeight="1" thickBot="1" x14ac:dyDescent="0.3">
      <c r="B77" s="5769" t="s">
        <v>1992</v>
      </c>
      <c r="C77" s="5770" t="s">
        <v>905</v>
      </c>
      <c r="D77" s="5771">
        <v>52</v>
      </c>
      <c r="E77" s="5772" t="s">
        <v>50</v>
      </c>
      <c r="F77" s="5773"/>
      <c r="G77" s="5774">
        <v>191.33199999999999</v>
      </c>
      <c r="H77" s="5773"/>
      <c r="I77" s="5774"/>
      <c r="J77" s="5775"/>
      <c r="K77" s="5241">
        <f t="shared" si="7"/>
        <v>191.33199999999999</v>
      </c>
      <c r="L77" s="5773"/>
      <c r="M77" s="5774">
        <v>566.86</v>
      </c>
      <c r="N77" s="5747"/>
      <c r="O77" s="67">
        <f t="shared" si="8"/>
        <v>758.19200000000001</v>
      </c>
      <c r="P77" s="5773"/>
      <c r="Q77" s="5774">
        <v>444.13799999999998</v>
      </c>
      <c r="R77" s="5748"/>
      <c r="S77" s="37">
        <f t="shared" si="9"/>
        <v>1202.33</v>
      </c>
      <c r="T77" s="5773"/>
      <c r="U77" s="5774">
        <v>550.67099999999994</v>
      </c>
      <c r="V77" s="5748"/>
      <c r="W77" s="37">
        <f t="shared" si="10"/>
        <v>1753.0009999999997</v>
      </c>
      <c r="X77" s="5773"/>
      <c r="Y77" s="5774">
        <v>325.86299999999994</v>
      </c>
      <c r="Z77" s="5737"/>
      <c r="AA77" s="6045">
        <f t="shared" si="35"/>
        <v>1320.672</v>
      </c>
      <c r="AB77" s="4498"/>
      <c r="AC77" s="6046">
        <f t="shared" si="36"/>
        <v>2078.864</v>
      </c>
      <c r="AD77" s="5773"/>
      <c r="AE77" s="5774"/>
      <c r="AF77" s="5748"/>
      <c r="AG77" s="37">
        <f t="shared" si="37"/>
        <v>2078.864</v>
      </c>
      <c r="AH77" s="5773"/>
      <c r="AI77" s="5774">
        <v>616.17699999999991</v>
      </c>
      <c r="AJ77" s="5748"/>
      <c r="AK77" s="37">
        <f t="shared" si="29"/>
        <v>2695.0410000000002</v>
      </c>
      <c r="AL77" s="5773"/>
      <c r="AM77" s="5774"/>
      <c r="AN77" s="5737"/>
      <c r="AO77" s="6612">
        <f t="shared" si="30"/>
        <v>616.17699999999991</v>
      </c>
      <c r="AP77" s="5748"/>
      <c r="AQ77" s="37">
        <f t="shared" si="31"/>
        <v>2695.0410000000002</v>
      </c>
      <c r="AR77" s="5773"/>
      <c r="AS77" s="5774">
        <v>733.93499999999995</v>
      </c>
      <c r="AT77" s="5748"/>
      <c r="AU77" s="5174">
        <f t="shared" si="32"/>
        <v>3428.9760000000001</v>
      </c>
      <c r="AV77" s="5773"/>
      <c r="AW77" s="5774"/>
      <c r="AX77" s="5748"/>
      <c r="AY77" s="37">
        <f t="shared" si="33"/>
        <v>3428.9760000000001</v>
      </c>
      <c r="AZ77" s="5773"/>
      <c r="BA77" s="5774"/>
      <c r="BB77" s="5737"/>
      <c r="BC77" s="6990">
        <f t="shared" si="19"/>
        <v>733.93499999999995</v>
      </c>
      <c r="BD77" s="5751"/>
      <c r="BE77" s="657">
        <f t="shared" si="20"/>
        <v>1350.1119999999999</v>
      </c>
      <c r="BF77" s="5748"/>
      <c r="BG77" s="37">
        <f t="shared" si="34"/>
        <v>3428.9760000000001</v>
      </c>
      <c r="BH77" s="4234">
        <f t="shared" si="25"/>
        <v>0</v>
      </c>
      <c r="BI77" s="4234">
        <f t="shared" si="26"/>
        <v>0</v>
      </c>
      <c r="BJ77" s="25"/>
      <c r="BK77" s="25">
        <f t="shared" si="27"/>
        <v>0</v>
      </c>
      <c r="BL77" s="25">
        <f t="shared" si="28"/>
        <v>0</v>
      </c>
      <c r="BM77" s="25"/>
      <c r="BN77" s="1137"/>
    </row>
    <row r="78" spans="2:66" s="4487" customFormat="1" ht="15" customHeight="1" thickBot="1" x14ac:dyDescent="0.3">
      <c r="B78" s="5769" t="s">
        <v>1992</v>
      </c>
      <c r="C78" s="5770" t="s">
        <v>905</v>
      </c>
      <c r="D78" s="5771">
        <v>60</v>
      </c>
      <c r="E78" s="5772" t="s">
        <v>50</v>
      </c>
      <c r="F78" s="5773"/>
      <c r="G78" s="5774">
        <v>763.38599999999985</v>
      </c>
      <c r="H78" s="5773"/>
      <c r="I78" s="5774"/>
      <c r="J78" s="5775"/>
      <c r="K78" s="5241">
        <f t="shared" si="7"/>
        <v>763.38599999999985</v>
      </c>
      <c r="L78" s="5773"/>
      <c r="M78" s="5774">
        <v>492.83800000000002</v>
      </c>
      <c r="N78" s="5747"/>
      <c r="O78" s="67">
        <f t="shared" si="8"/>
        <v>1256.2239999999999</v>
      </c>
      <c r="P78" s="5773"/>
      <c r="Q78" s="5774">
        <v>839.24199999999985</v>
      </c>
      <c r="R78" s="5748"/>
      <c r="S78" s="37">
        <f t="shared" si="9"/>
        <v>2095.4659999999999</v>
      </c>
      <c r="T78" s="5773"/>
      <c r="U78" s="5774">
        <v>289.98299999999995</v>
      </c>
      <c r="V78" s="5748"/>
      <c r="W78" s="37">
        <f t="shared" si="10"/>
        <v>2385.4489999999996</v>
      </c>
      <c r="X78" s="5773"/>
      <c r="Y78" s="5774">
        <v>172.85</v>
      </c>
      <c r="Z78" s="5737"/>
      <c r="AA78" s="6045">
        <f t="shared" si="35"/>
        <v>1302.0749999999998</v>
      </c>
      <c r="AB78" s="4498"/>
      <c r="AC78" s="6046">
        <f t="shared" si="36"/>
        <v>2558.299</v>
      </c>
      <c r="AD78" s="5773"/>
      <c r="AE78" s="5774"/>
      <c r="AF78" s="5748"/>
      <c r="AG78" s="37">
        <f t="shared" si="37"/>
        <v>2558.299</v>
      </c>
      <c r="AH78" s="5773"/>
      <c r="AI78" s="5774"/>
      <c r="AJ78" s="5748"/>
      <c r="AK78" s="37">
        <f t="shared" si="29"/>
        <v>2558.299</v>
      </c>
      <c r="AL78" s="5773"/>
      <c r="AM78" s="5774"/>
      <c r="AN78" s="5737"/>
      <c r="AO78" s="6612">
        <f t="shared" si="30"/>
        <v>0</v>
      </c>
      <c r="AP78" s="5748"/>
      <c r="AQ78" s="37">
        <f t="shared" si="31"/>
        <v>2558.299</v>
      </c>
      <c r="AR78" s="5773"/>
      <c r="AS78" s="5774">
        <v>2119.3679999999999</v>
      </c>
      <c r="AT78" s="5748"/>
      <c r="AU78" s="5174">
        <f t="shared" si="32"/>
        <v>4677.6669999999995</v>
      </c>
      <c r="AV78" s="5773"/>
      <c r="AW78" s="5774"/>
      <c r="AX78" s="5748"/>
      <c r="AY78" s="37">
        <f t="shared" si="33"/>
        <v>4677.6669999999995</v>
      </c>
      <c r="AZ78" s="5773"/>
      <c r="BA78" s="5774">
        <v>667.8119999999999</v>
      </c>
      <c r="BB78" s="5737"/>
      <c r="BC78" s="6990">
        <f t="shared" si="19"/>
        <v>2787.18</v>
      </c>
      <c r="BD78" s="5751"/>
      <c r="BE78" s="657">
        <f t="shared" si="20"/>
        <v>2787.18</v>
      </c>
      <c r="BF78" s="5748"/>
      <c r="BG78" s="37">
        <f t="shared" si="34"/>
        <v>5345.4789999999994</v>
      </c>
      <c r="BH78" s="4234">
        <f t="shared" si="25"/>
        <v>0</v>
      </c>
      <c r="BI78" s="4234">
        <f t="shared" si="26"/>
        <v>0</v>
      </c>
      <c r="BJ78" s="25"/>
      <c r="BK78" s="25">
        <f t="shared" si="27"/>
        <v>0</v>
      </c>
      <c r="BL78" s="25">
        <f t="shared" si="28"/>
        <v>0</v>
      </c>
      <c r="BM78" s="25"/>
      <c r="BN78" s="1137"/>
    </row>
    <row r="79" spans="2:66" s="4487" customFormat="1" ht="15" customHeight="1" thickBot="1" x14ac:dyDescent="0.3">
      <c r="B79" s="5769" t="s">
        <v>2010</v>
      </c>
      <c r="C79" s="5770" t="s">
        <v>970</v>
      </c>
      <c r="D79" s="5771">
        <v>67.16</v>
      </c>
      <c r="E79" s="5772" t="s">
        <v>50</v>
      </c>
      <c r="F79" s="5773"/>
      <c r="G79" s="5774"/>
      <c r="H79" s="5773"/>
      <c r="I79" s="5774"/>
      <c r="J79" s="5775"/>
      <c r="K79" s="5739"/>
      <c r="L79" s="5773"/>
      <c r="M79" s="5774"/>
      <c r="N79" s="5747"/>
      <c r="O79" s="67">
        <f t="shared" si="8"/>
        <v>0</v>
      </c>
      <c r="P79" s="5773"/>
      <c r="Q79" s="5774">
        <v>15.712999999999999</v>
      </c>
      <c r="R79" s="5748"/>
      <c r="S79" s="37">
        <f t="shared" si="9"/>
        <v>15.712999999999999</v>
      </c>
      <c r="T79" s="5773"/>
      <c r="U79" s="5774"/>
      <c r="V79" s="5748"/>
      <c r="W79" s="37">
        <f t="shared" si="10"/>
        <v>15.712999999999999</v>
      </c>
      <c r="X79" s="5773"/>
      <c r="Y79" s="5774"/>
      <c r="Z79" s="5737"/>
      <c r="AA79" s="6045">
        <f t="shared" si="35"/>
        <v>15.712999999999999</v>
      </c>
      <c r="AB79" s="4498"/>
      <c r="AC79" s="6046">
        <f t="shared" si="36"/>
        <v>15.712999999999999</v>
      </c>
      <c r="AD79" s="5773"/>
      <c r="AE79" s="5774"/>
      <c r="AF79" s="5748"/>
      <c r="AG79" s="37">
        <f t="shared" si="37"/>
        <v>15.712999999999999</v>
      </c>
      <c r="AH79" s="5773"/>
      <c r="AI79" s="5774"/>
      <c r="AJ79" s="5748"/>
      <c r="AK79" s="37">
        <f t="shared" si="29"/>
        <v>15.712999999999999</v>
      </c>
      <c r="AL79" s="5773"/>
      <c r="AM79" s="5774"/>
      <c r="AN79" s="5737"/>
      <c r="AO79" s="6612">
        <f t="shared" si="30"/>
        <v>0</v>
      </c>
      <c r="AP79" s="5748"/>
      <c r="AQ79" s="37">
        <f t="shared" si="31"/>
        <v>15.712999999999999</v>
      </c>
      <c r="AR79" s="5773"/>
      <c r="AS79" s="5774"/>
      <c r="AT79" s="5748"/>
      <c r="AU79" s="5174">
        <f t="shared" si="32"/>
        <v>15.712999999999999</v>
      </c>
      <c r="AV79" s="5773"/>
      <c r="AW79" s="5774"/>
      <c r="AX79" s="5748"/>
      <c r="AY79" s="37">
        <f t="shared" si="33"/>
        <v>15.712999999999999</v>
      </c>
      <c r="AZ79" s="5773"/>
      <c r="BA79" s="5774"/>
      <c r="BB79" s="5737"/>
      <c r="BC79" s="6990">
        <f t="shared" si="19"/>
        <v>0</v>
      </c>
      <c r="BD79" s="5751"/>
      <c r="BE79" s="657">
        <f t="shared" si="20"/>
        <v>0</v>
      </c>
      <c r="BF79" s="5748"/>
      <c r="BG79" s="37">
        <f t="shared" si="34"/>
        <v>15.712999999999999</v>
      </c>
      <c r="BH79" s="4234">
        <f t="shared" si="25"/>
        <v>0</v>
      </c>
      <c r="BI79" s="4234">
        <f t="shared" si="26"/>
        <v>0</v>
      </c>
      <c r="BJ79" s="25"/>
      <c r="BK79" s="25">
        <f t="shared" si="27"/>
        <v>0</v>
      </c>
      <c r="BL79" s="25">
        <f t="shared" si="28"/>
        <v>0</v>
      </c>
      <c r="BM79" s="25"/>
      <c r="BN79" s="1137"/>
    </row>
    <row r="80" spans="2:66" s="4487" customFormat="1" ht="15" customHeight="1" thickBot="1" x14ac:dyDescent="0.3">
      <c r="B80" s="5769" t="s">
        <v>2174</v>
      </c>
      <c r="C80" s="5770" t="s">
        <v>970</v>
      </c>
      <c r="D80" s="5771"/>
      <c r="E80" s="5772" t="s">
        <v>50</v>
      </c>
      <c r="F80" s="5773"/>
      <c r="G80" s="5774"/>
      <c r="H80" s="5773"/>
      <c r="I80" s="5774"/>
      <c r="J80" s="5775"/>
      <c r="K80" s="5971"/>
      <c r="L80" s="5773"/>
      <c r="M80" s="5774"/>
      <c r="N80" s="5747"/>
      <c r="O80" s="5768"/>
      <c r="P80" s="5773"/>
      <c r="Q80" s="5774"/>
      <c r="R80" s="5748"/>
      <c r="S80" s="5174"/>
      <c r="T80" s="5773"/>
      <c r="U80" s="5774"/>
      <c r="V80" s="5748"/>
      <c r="W80" s="5174"/>
      <c r="X80" s="5773"/>
      <c r="Y80" s="5774"/>
      <c r="Z80" s="6056"/>
      <c r="AA80" s="5972"/>
      <c r="AB80" s="6186"/>
      <c r="AC80" s="6359"/>
      <c r="AD80" s="5773"/>
      <c r="AE80" s="5774"/>
      <c r="AF80" s="5748"/>
      <c r="AG80" s="37">
        <f t="shared" si="37"/>
        <v>0</v>
      </c>
      <c r="AH80" s="5773"/>
      <c r="AI80" s="5774">
        <v>891.81900000000007</v>
      </c>
      <c r="AJ80" s="5748"/>
      <c r="AK80" s="37">
        <f t="shared" si="29"/>
        <v>891.81900000000007</v>
      </c>
      <c r="AL80" s="5773"/>
      <c r="AM80" s="5774"/>
      <c r="AN80" s="6056"/>
      <c r="AO80" s="6612">
        <f t="shared" si="30"/>
        <v>891.81900000000007</v>
      </c>
      <c r="AP80" s="5748"/>
      <c r="AQ80" s="37">
        <f t="shared" si="31"/>
        <v>891.81900000000007</v>
      </c>
      <c r="AR80" s="5773"/>
      <c r="AS80" s="5774"/>
      <c r="AT80" s="5748"/>
      <c r="AU80" s="5174">
        <f t="shared" si="32"/>
        <v>891.81900000000007</v>
      </c>
      <c r="AV80" s="5773"/>
      <c r="AW80" s="5774"/>
      <c r="AX80" s="5748"/>
      <c r="AY80" s="37">
        <f t="shared" si="33"/>
        <v>891.81900000000007</v>
      </c>
      <c r="AZ80" s="5773"/>
      <c r="BA80" s="5774"/>
      <c r="BB80" s="6056"/>
      <c r="BC80" s="6990">
        <f t="shared" si="19"/>
        <v>0</v>
      </c>
      <c r="BD80" s="6057"/>
      <c r="BE80" s="657">
        <f t="shared" si="20"/>
        <v>891.81900000000007</v>
      </c>
      <c r="BF80" s="5748"/>
      <c r="BG80" s="37">
        <f t="shared" si="34"/>
        <v>891.81900000000007</v>
      </c>
      <c r="BH80" s="4234">
        <f t="shared" si="25"/>
        <v>0</v>
      </c>
      <c r="BI80" s="4234">
        <f t="shared" si="26"/>
        <v>0</v>
      </c>
      <c r="BJ80" s="25"/>
      <c r="BK80" s="25">
        <f t="shared" si="27"/>
        <v>0</v>
      </c>
      <c r="BL80" s="25">
        <f t="shared" si="28"/>
        <v>0</v>
      </c>
      <c r="BM80" s="25"/>
      <c r="BN80" s="1137"/>
    </row>
    <row r="81" spans="1:66" s="4487" customFormat="1" ht="15" customHeight="1" thickBot="1" x14ac:dyDescent="0.3">
      <c r="B81" s="5769" t="s">
        <v>2175</v>
      </c>
      <c r="C81" s="5770" t="s">
        <v>970</v>
      </c>
      <c r="D81" s="5771"/>
      <c r="E81" s="5772" t="s">
        <v>50</v>
      </c>
      <c r="F81" s="5773"/>
      <c r="G81" s="5774"/>
      <c r="H81" s="5773"/>
      <c r="I81" s="5774"/>
      <c r="J81" s="5775"/>
      <c r="K81" s="5971"/>
      <c r="L81" s="5773"/>
      <c r="M81" s="5774"/>
      <c r="N81" s="5747"/>
      <c r="O81" s="5768"/>
      <c r="P81" s="5773"/>
      <c r="Q81" s="5774"/>
      <c r="R81" s="5748"/>
      <c r="S81" s="5174"/>
      <c r="T81" s="5773"/>
      <c r="U81" s="5774"/>
      <c r="V81" s="5748"/>
      <c r="W81" s="5174"/>
      <c r="X81" s="5773"/>
      <c r="Y81" s="5774"/>
      <c r="Z81" s="6056"/>
      <c r="AA81" s="5972"/>
      <c r="AB81" s="6186"/>
      <c r="AC81" s="6359"/>
      <c r="AD81" s="5773"/>
      <c r="AE81" s="5774"/>
      <c r="AF81" s="5748"/>
      <c r="AG81" s="37">
        <f t="shared" si="37"/>
        <v>0</v>
      </c>
      <c r="AH81" s="5773"/>
      <c r="AI81" s="5774">
        <v>491.40199999999993</v>
      </c>
      <c r="AJ81" s="5748"/>
      <c r="AK81" s="37">
        <f t="shared" si="29"/>
        <v>491.40199999999993</v>
      </c>
      <c r="AL81" s="5773"/>
      <c r="AM81" s="5774"/>
      <c r="AN81" s="6056"/>
      <c r="AO81" s="6612">
        <f t="shared" si="30"/>
        <v>491.40199999999993</v>
      </c>
      <c r="AP81" s="5748"/>
      <c r="AQ81" s="37">
        <f t="shared" si="31"/>
        <v>491.40199999999993</v>
      </c>
      <c r="AR81" s="5773"/>
      <c r="AS81" s="5774"/>
      <c r="AT81" s="5748"/>
      <c r="AU81" s="5174">
        <f t="shared" si="32"/>
        <v>491.40199999999993</v>
      </c>
      <c r="AV81" s="5773"/>
      <c r="AW81" s="5774"/>
      <c r="AX81" s="5748"/>
      <c r="AY81" s="37">
        <f t="shared" si="33"/>
        <v>491.40199999999993</v>
      </c>
      <c r="AZ81" s="5773"/>
      <c r="BA81" s="5774"/>
      <c r="BB81" s="6056"/>
      <c r="BC81" s="6990">
        <f t="shared" si="19"/>
        <v>0</v>
      </c>
      <c r="BD81" s="6057"/>
      <c r="BE81" s="657">
        <f t="shared" si="20"/>
        <v>491.40199999999993</v>
      </c>
      <c r="BF81" s="5748"/>
      <c r="BG81" s="37">
        <f t="shared" si="34"/>
        <v>491.40199999999993</v>
      </c>
      <c r="BH81" s="4234">
        <f t="shared" si="25"/>
        <v>0</v>
      </c>
      <c r="BI81" s="4234">
        <f t="shared" si="26"/>
        <v>0</v>
      </c>
      <c r="BJ81" s="25"/>
      <c r="BK81" s="25">
        <f t="shared" si="27"/>
        <v>0</v>
      </c>
      <c r="BL81" s="25">
        <f t="shared" si="28"/>
        <v>0</v>
      </c>
      <c r="BM81" s="25"/>
      <c r="BN81" s="1137"/>
    </row>
    <row r="82" spans="1:66" s="4487" customFormat="1" ht="15" customHeight="1" thickBot="1" x14ac:dyDescent="0.3">
      <c r="B82" s="5769" t="s">
        <v>2200</v>
      </c>
      <c r="C82" s="5770" t="s">
        <v>905</v>
      </c>
      <c r="D82" s="5771"/>
      <c r="E82" s="5772"/>
      <c r="F82" s="5773"/>
      <c r="G82" s="5774"/>
      <c r="H82" s="5773"/>
      <c r="I82" s="5774"/>
      <c r="J82" s="5775"/>
      <c r="K82" s="5119"/>
      <c r="L82" s="5773"/>
      <c r="M82" s="5774"/>
      <c r="N82" s="5134"/>
      <c r="O82" s="6618"/>
      <c r="P82" s="5773"/>
      <c r="Q82" s="5774"/>
      <c r="R82" s="5135"/>
      <c r="S82" s="5120"/>
      <c r="T82" s="5773"/>
      <c r="U82" s="5774"/>
      <c r="V82" s="5135"/>
      <c r="W82" s="5120"/>
      <c r="X82" s="5773"/>
      <c r="Y82" s="5774"/>
      <c r="Z82" s="5136"/>
      <c r="AA82" s="5121"/>
      <c r="AB82" s="5137"/>
      <c r="AC82" s="6486"/>
      <c r="AD82" s="5773"/>
      <c r="AE82" s="5774"/>
      <c r="AF82" s="5135"/>
      <c r="AG82" s="37">
        <f t="shared" si="37"/>
        <v>0</v>
      </c>
      <c r="AH82" s="5773"/>
      <c r="AI82" s="5774"/>
      <c r="AJ82" s="5135"/>
      <c r="AK82" s="5120"/>
      <c r="AL82" s="5773"/>
      <c r="AM82" s="5774">
        <v>701.79300000000001</v>
      </c>
      <c r="AN82" s="5136"/>
      <c r="AO82" s="6612">
        <f t="shared" si="30"/>
        <v>701.79300000000001</v>
      </c>
      <c r="AP82" s="5748"/>
      <c r="AQ82" s="37">
        <f t="shared" si="31"/>
        <v>701.79300000000001</v>
      </c>
      <c r="AR82" s="5773"/>
      <c r="AS82" s="5774"/>
      <c r="AT82" s="5748"/>
      <c r="AU82" s="5174">
        <f t="shared" si="32"/>
        <v>701.79300000000001</v>
      </c>
      <c r="AV82" s="5773"/>
      <c r="AW82" s="5774"/>
      <c r="AX82" s="5748"/>
      <c r="AY82" s="37">
        <f t="shared" si="33"/>
        <v>701.79300000000001</v>
      </c>
      <c r="AZ82" s="5773"/>
      <c r="BA82" s="5774"/>
      <c r="BB82" s="6056"/>
      <c r="BC82" s="6990">
        <f t="shared" si="19"/>
        <v>0</v>
      </c>
      <c r="BD82" s="6057"/>
      <c r="BE82" s="657">
        <f t="shared" si="20"/>
        <v>701.79300000000001</v>
      </c>
      <c r="BF82" s="5748"/>
      <c r="BG82" s="37">
        <f t="shared" si="34"/>
        <v>701.79300000000001</v>
      </c>
      <c r="BH82" s="4234">
        <f t="shared" si="25"/>
        <v>0</v>
      </c>
      <c r="BI82" s="4234">
        <f t="shared" si="26"/>
        <v>0</v>
      </c>
      <c r="BJ82" s="25"/>
      <c r="BK82" s="25">
        <f t="shared" si="27"/>
        <v>0</v>
      </c>
      <c r="BL82" s="25">
        <f t="shared" si="28"/>
        <v>0</v>
      </c>
      <c r="BM82" s="25"/>
      <c r="BN82" s="1137"/>
    </row>
    <row r="83" spans="1:66" s="4487" customFormat="1" ht="15" customHeight="1" thickBot="1" x14ac:dyDescent="0.3">
      <c r="B83" s="5769" t="s">
        <v>2048</v>
      </c>
      <c r="C83" s="5770" t="s">
        <v>905</v>
      </c>
      <c r="D83" s="5771"/>
      <c r="E83" s="5772" t="s">
        <v>50</v>
      </c>
      <c r="F83" s="5773"/>
      <c r="G83" s="5774">
        <v>604.125</v>
      </c>
      <c r="H83" s="5773"/>
      <c r="I83" s="5774"/>
      <c r="J83" s="5775"/>
      <c r="K83" s="5971"/>
      <c r="L83" s="5773"/>
      <c r="M83" s="5774"/>
      <c r="N83" s="5747"/>
      <c r="O83" s="5768"/>
      <c r="P83" s="5773"/>
      <c r="Q83" s="5774"/>
      <c r="R83" s="5748"/>
      <c r="S83" s="5174"/>
      <c r="T83" s="5773"/>
      <c r="U83" s="5774"/>
      <c r="V83" s="5748"/>
      <c r="W83" s="5174"/>
      <c r="X83" s="5773"/>
      <c r="Y83" s="5774">
        <f>395.763-11.63</f>
        <v>384.13299999999998</v>
      </c>
      <c r="Z83" s="6056"/>
      <c r="AA83" s="6045">
        <f t="shared" si="35"/>
        <v>384.13299999999998</v>
      </c>
      <c r="AB83" s="4498"/>
      <c r="AC83" s="6046">
        <f t="shared" si="36"/>
        <v>384.13299999999998</v>
      </c>
      <c r="AD83" s="5773"/>
      <c r="AE83" s="5774"/>
      <c r="AF83" s="5748"/>
      <c r="AG83" s="37">
        <f t="shared" si="37"/>
        <v>384.13299999999998</v>
      </c>
      <c r="AH83" s="5773"/>
      <c r="AI83" s="5774"/>
      <c r="AJ83" s="5748"/>
      <c r="AK83" s="37">
        <f t="shared" si="29"/>
        <v>384.13299999999998</v>
      </c>
      <c r="AL83" s="5773"/>
      <c r="AM83" s="5774">
        <v>328.62299999999999</v>
      </c>
      <c r="AN83" s="6056"/>
      <c r="AO83" s="6612">
        <f t="shared" si="30"/>
        <v>328.62299999999999</v>
      </c>
      <c r="AP83" s="5748"/>
      <c r="AQ83" s="37">
        <f t="shared" si="31"/>
        <v>712.75599999999997</v>
      </c>
      <c r="AR83" s="5773"/>
      <c r="AS83" s="5774">
        <v>664.21900000000005</v>
      </c>
      <c r="AT83" s="5748"/>
      <c r="AU83" s="5174">
        <f t="shared" si="32"/>
        <v>1376.9749999999999</v>
      </c>
      <c r="AV83" s="5773"/>
      <c r="AW83" s="5774"/>
      <c r="AX83" s="5748"/>
      <c r="AY83" s="37">
        <f t="shared" si="33"/>
        <v>1376.9749999999999</v>
      </c>
      <c r="AZ83" s="5773"/>
      <c r="BA83" s="5774"/>
      <c r="BB83" s="6056"/>
      <c r="BC83" s="6990">
        <f t="shared" si="19"/>
        <v>664.21900000000005</v>
      </c>
      <c r="BD83" s="6057"/>
      <c r="BE83" s="657">
        <f t="shared" si="20"/>
        <v>992.8420000000001</v>
      </c>
      <c r="BF83" s="5748"/>
      <c r="BG83" s="37">
        <f t="shared" si="34"/>
        <v>1376.9749999999999</v>
      </c>
      <c r="BH83" s="4234">
        <f t="shared" si="25"/>
        <v>0</v>
      </c>
      <c r="BI83" s="4234">
        <f t="shared" si="26"/>
        <v>604.12500000000023</v>
      </c>
      <c r="BJ83" s="25"/>
      <c r="BK83" s="25">
        <f t="shared" si="27"/>
        <v>0</v>
      </c>
      <c r="BL83" s="25">
        <f t="shared" si="28"/>
        <v>0</v>
      </c>
      <c r="BM83" s="25"/>
      <c r="BN83" s="1137"/>
    </row>
    <row r="84" spans="1:66" s="4487" customFormat="1" ht="15" customHeight="1" thickBot="1" x14ac:dyDescent="0.3">
      <c r="B84" s="5769" t="s">
        <v>2049</v>
      </c>
      <c r="C84" s="5770" t="s">
        <v>970</v>
      </c>
      <c r="D84" s="5771"/>
      <c r="E84" s="5772" t="s">
        <v>50</v>
      </c>
      <c r="F84" s="5773"/>
      <c r="G84" s="5774"/>
      <c r="H84" s="5773"/>
      <c r="I84" s="5774"/>
      <c r="J84" s="5775"/>
      <c r="K84" s="5971"/>
      <c r="L84" s="5773"/>
      <c r="M84" s="5774"/>
      <c r="N84" s="5747"/>
      <c r="O84" s="5768"/>
      <c r="P84" s="5773"/>
      <c r="Q84" s="5774"/>
      <c r="R84" s="5748"/>
      <c r="S84" s="5174"/>
      <c r="T84" s="5773"/>
      <c r="U84" s="5774"/>
      <c r="V84" s="5748"/>
      <c r="W84" s="5174"/>
      <c r="X84" s="5773"/>
      <c r="Y84" s="5774">
        <v>196.38299999999998</v>
      </c>
      <c r="Z84" s="6056"/>
      <c r="AA84" s="6045">
        <f t="shared" si="35"/>
        <v>196.38299999999998</v>
      </c>
      <c r="AB84" s="4498"/>
      <c r="AC84" s="6046">
        <f t="shared" si="36"/>
        <v>196.38299999999998</v>
      </c>
      <c r="AD84" s="5773"/>
      <c r="AE84" s="5774"/>
      <c r="AF84" s="5748"/>
      <c r="AG84" s="37">
        <f t="shared" si="37"/>
        <v>196.38299999999998</v>
      </c>
      <c r="AH84" s="5773"/>
      <c r="AI84" s="5774"/>
      <c r="AJ84" s="5748"/>
      <c r="AK84" s="37">
        <f t="shared" si="29"/>
        <v>196.38299999999998</v>
      </c>
      <c r="AL84" s="5773"/>
      <c r="AM84" s="5774"/>
      <c r="AN84" s="6056"/>
      <c r="AO84" s="6612">
        <f t="shared" si="30"/>
        <v>0</v>
      </c>
      <c r="AP84" s="5748"/>
      <c r="AQ84" s="37">
        <f t="shared" si="31"/>
        <v>196.38299999999998</v>
      </c>
      <c r="AR84" s="5773"/>
      <c r="AS84" s="5774"/>
      <c r="AT84" s="5748"/>
      <c r="AU84" s="5174">
        <f t="shared" si="32"/>
        <v>196.38299999999998</v>
      </c>
      <c r="AV84" s="5773"/>
      <c r="AW84" s="5774"/>
      <c r="AX84" s="5748"/>
      <c r="AY84" s="37">
        <f t="shared" si="33"/>
        <v>196.38299999999998</v>
      </c>
      <c r="AZ84" s="5773"/>
      <c r="BA84" s="5774"/>
      <c r="BB84" s="6056"/>
      <c r="BC84" s="6990">
        <f t="shared" si="19"/>
        <v>0</v>
      </c>
      <c r="BD84" s="6057"/>
      <c r="BE84" s="657">
        <f t="shared" si="20"/>
        <v>0</v>
      </c>
      <c r="BF84" s="5748"/>
      <c r="BG84" s="37">
        <f t="shared" si="34"/>
        <v>196.38299999999998</v>
      </c>
      <c r="BH84" s="4234">
        <f t="shared" si="25"/>
        <v>0</v>
      </c>
      <c r="BI84" s="4234">
        <f t="shared" si="26"/>
        <v>0</v>
      </c>
      <c r="BJ84" s="25"/>
      <c r="BK84" s="25">
        <f t="shared" si="27"/>
        <v>0</v>
      </c>
      <c r="BL84" s="25">
        <f t="shared" si="28"/>
        <v>0</v>
      </c>
      <c r="BM84" s="25"/>
      <c r="BN84" s="1137"/>
    </row>
    <row r="85" spans="1:66" s="4487" customFormat="1" ht="15" customHeight="1" thickBot="1" x14ac:dyDescent="0.3">
      <c r="B85" s="5769" t="s">
        <v>2049</v>
      </c>
      <c r="C85" s="5770" t="s">
        <v>905</v>
      </c>
      <c r="D85" s="5771"/>
      <c r="E85" s="5772" t="s">
        <v>50</v>
      </c>
      <c r="F85" s="5773"/>
      <c r="G85" s="5774">
        <v>1013.3359999999999</v>
      </c>
      <c r="H85" s="5773"/>
      <c r="I85" s="5774"/>
      <c r="J85" s="5775"/>
      <c r="K85" s="5971"/>
      <c r="L85" s="5773"/>
      <c r="M85" s="5774"/>
      <c r="N85" s="5747"/>
      <c r="O85" s="5768"/>
      <c r="P85" s="5773"/>
      <c r="Q85" s="5774"/>
      <c r="R85" s="5748"/>
      <c r="S85" s="5174"/>
      <c r="T85" s="5773"/>
      <c r="U85" s="5774"/>
      <c r="V85" s="5748"/>
      <c r="W85" s="5174"/>
      <c r="X85" s="5773"/>
      <c r="Y85" s="5774">
        <f>620.571-2.04</f>
        <v>618.53100000000006</v>
      </c>
      <c r="Z85" s="6056"/>
      <c r="AA85" s="6045">
        <f t="shared" si="35"/>
        <v>618.53100000000006</v>
      </c>
      <c r="AB85" s="4498"/>
      <c r="AC85" s="6046">
        <f t="shared" si="36"/>
        <v>618.53100000000006</v>
      </c>
      <c r="AD85" s="5773"/>
      <c r="AE85" s="5774"/>
      <c r="AF85" s="5748"/>
      <c r="AG85" s="37">
        <f t="shared" si="37"/>
        <v>618.53100000000006</v>
      </c>
      <c r="AH85" s="5773"/>
      <c r="AI85" s="5774"/>
      <c r="AJ85" s="5748"/>
      <c r="AK85" s="37">
        <f t="shared" si="29"/>
        <v>618.53100000000006</v>
      </c>
      <c r="AL85" s="5773"/>
      <c r="AM85" s="5774">
        <v>612.71299999999997</v>
      </c>
      <c r="AN85" s="6056"/>
      <c r="AO85" s="6612">
        <f t="shared" si="30"/>
        <v>612.71299999999997</v>
      </c>
      <c r="AP85" s="5748"/>
      <c r="AQ85" s="37">
        <f t="shared" si="31"/>
        <v>1231.2440000000001</v>
      </c>
      <c r="AR85" s="5773"/>
      <c r="AS85" s="5774">
        <v>314.30399999999997</v>
      </c>
      <c r="AT85" s="5748"/>
      <c r="AU85" s="5174">
        <f t="shared" si="32"/>
        <v>1545.5480000000002</v>
      </c>
      <c r="AV85" s="5773"/>
      <c r="AW85" s="5774"/>
      <c r="AX85" s="5748"/>
      <c r="AY85" s="37">
        <f t="shared" si="33"/>
        <v>1545.5480000000002</v>
      </c>
      <c r="AZ85" s="5773"/>
      <c r="BA85" s="5774"/>
      <c r="BB85" s="6056"/>
      <c r="BC85" s="6990">
        <f t="shared" si="19"/>
        <v>314.30399999999997</v>
      </c>
      <c r="BD85" s="6057"/>
      <c r="BE85" s="657">
        <f t="shared" si="20"/>
        <v>927.01699999999994</v>
      </c>
      <c r="BF85" s="5748"/>
      <c r="BG85" s="37">
        <f t="shared" si="34"/>
        <v>1545.5480000000002</v>
      </c>
      <c r="BH85" s="4234">
        <f t="shared" si="25"/>
        <v>0</v>
      </c>
      <c r="BI85" s="4234">
        <f t="shared" si="26"/>
        <v>1013.3359999999998</v>
      </c>
      <c r="BJ85" s="25"/>
      <c r="BK85" s="25">
        <f t="shared" si="27"/>
        <v>0</v>
      </c>
      <c r="BL85" s="25">
        <f t="shared" si="28"/>
        <v>0</v>
      </c>
      <c r="BM85" s="25"/>
      <c r="BN85" s="1137"/>
    </row>
    <row r="86" spans="1:66" s="4487" customFormat="1" ht="15" customHeight="1" thickBot="1" x14ac:dyDescent="0.3">
      <c r="B86" s="5769" t="s">
        <v>2069</v>
      </c>
      <c r="C86" s="5770" t="s">
        <v>905</v>
      </c>
      <c r="D86" s="5771"/>
      <c r="E86" s="5772" t="s">
        <v>50</v>
      </c>
      <c r="F86" s="5773"/>
      <c r="G86" s="5774"/>
      <c r="H86" s="5773"/>
      <c r="I86" s="5774"/>
      <c r="J86" s="5775"/>
      <c r="K86" s="5971"/>
      <c r="L86" s="5773"/>
      <c r="M86" s="5774"/>
      <c r="N86" s="5747"/>
      <c r="O86" s="5768"/>
      <c r="P86" s="5773"/>
      <c r="Q86" s="5774"/>
      <c r="R86" s="5748"/>
      <c r="S86" s="5174"/>
      <c r="T86" s="5773"/>
      <c r="U86" s="5774"/>
      <c r="V86" s="5748"/>
      <c r="W86" s="5174"/>
      <c r="X86" s="5773"/>
      <c r="Y86" s="5774"/>
      <c r="Z86" s="6056"/>
      <c r="AA86" s="6171">
        <f t="shared" si="35"/>
        <v>0</v>
      </c>
      <c r="AB86" s="6186"/>
      <c r="AC86" s="6173">
        <f t="shared" si="36"/>
        <v>0</v>
      </c>
      <c r="AD86" s="5773"/>
      <c r="AE86" s="5774">
        <v>507.67699999999991</v>
      </c>
      <c r="AF86" s="5748"/>
      <c r="AG86" s="37">
        <f t="shared" si="37"/>
        <v>507.67699999999991</v>
      </c>
      <c r="AH86" s="5773"/>
      <c r="AI86" s="5774"/>
      <c r="AJ86" s="5748"/>
      <c r="AK86" s="37">
        <f t="shared" si="29"/>
        <v>507.67699999999991</v>
      </c>
      <c r="AL86" s="5773"/>
      <c r="AM86" s="5774">
        <v>664.58400000000006</v>
      </c>
      <c r="AN86" s="6056"/>
      <c r="AO86" s="6612">
        <f t="shared" si="30"/>
        <v>1172.261</v>
      </c>
      <c r="AP86" s="5748"/>
      <c r="AQ86" s="37">
        <f t="shared" si="31"/>
        <v>1172.261</v>
      </c>
      <c r="AR86" s="5773"/>
      <c r="AS86" s="5774">
        <v>495.43400000000003</v>
      </c>
      <c r="AT86" s="5748"/>
      <c r="AU86" s="5174">
        <f t="shared" si="32"/>
        <v>1667.6949999999999</v>
      </c>
      <c r="AV86" s="5773"/>
      <c r="AW86" s="5774"/>
      <c r="AX86" s="5748"/>
      <c r="AY86" s="37">
        <f t="shared" si="33"/>
        <v>1667.6949999999999</v>
      </c>
      <c r="AZ86" s="5773"/>
      <c r="BA86" s="5774">
        <v>1015.355</v>
      </c>
      <c r="BB86" s="6056"/>
      <c r="BC86" s="6990">
        <f t="shared" si="19"/>
        <v>1510.789</v>
      </c>
      <c r="BD86" s="6057"/>
      <c r="BE86" s="657">
        <f t="shared" si="20"/>
        <v>2683.05</v>
      </c>
      <c r="BF86" s="5748"/>
      <c r="BG86" s="37">
        <f t="shared" si="34"/>
        <v>2683.05</v>
      </c>
      <c r="BH86" s="4234">
        <f t="shared" si="25"/>
        <v>0</v>
      </c>
      <c r="BI86" s="4234">
        <f t="shared" si="26"/>
        <v>0</v>
      </c>
      <c r="BJ86" s="25"/>
      <c r="BK86" s="25">
        <f t="shared" si="27"/>
        <v>0</v>
      </c>
      <c r="BL86" s="25">
        <f t="shared" si="28"/>
        <v>0</v>
      </c>
      <c r="BM86" s="25"/>
      <c r="BN86" s="1137"/>
    </row>
    <row r="87" spans="1:66" s="4487" customFormat="1" ht="15" customHeight="1" thickBot="1" x14ac:dyDescent="0.3">
      <c r="B87" s="5769" t="s">
        <v>2201</v>
      </c>
      <c r="C87" s="5770" t="s">
        <v>905</v>
      </c>
      <c r="D87" s="5771"/>
      <c r="E87" s="5772"/>
      <c r="F87" s="5773"/>
      <c r="G87" s="5774"/>
      <c r="H87" s="5773"/>
      <c r="I87" s="5774"/>
      <c r="J87" s="5775"/>
      <c r="K87" s="5119"/>
      <c r="L87" s="5773"/>
      <c r="M87" s="5774"/>
      <c r="N87" s="5134"/>
      <c r="O87" s="6618"/>
      <c r="P87" s="5773"/>
      <c r="Q87" s="5774"/>
      <c r="R87" s="5135"/>
      <c r="S87" s="5120"/>
      <c r="T87" s="5773"/>
      <c r="U87" s="5774"/>
      <c r="V87" s="5135"/>
      <c r="W87" s="5120"/>
      <c r="X87" s="5773"/>
      <c r="Y87" s="5774"/>
      <c r="Z87" s="5136"/>
      <c r="AA87" s="5121"/>
      <c r="AB87" s="5137"/>
      <c r="AC87" s="6486"/>
      <c r="AD87" s="5773"/>
      <c r="AE87" s="5774"/>
      <c r="AF87" s="5135"/>
      <c r="AG87" s="5120"/>
      <c r="AH87" s="5773"/>
      <c r="AI87" s="5774"/>
      <c r="AJ87" s="5135"/>
      <c r="AK87" s="5120"/>
      <c r="AL87" s="5773"/>
      <c r="AM87" s="5774">
        <v>791.52200000000005</v>
      </c>
      <c r="AN87" s="5136"/>
      <c r="AO87" s="6612">
        <f t="shared" si="30"/>
        <v>791.52200000000005</v>
      </c>
      <c r="AP87" s="5748"/>
      <c r="AQ87" s="37">
        <f t="shared" si="31"/>
        <v>791.52200000000005</v>
      </c>
      <c r="AR87" s="5773"/>
      <c r="AS87" s="5774">
        <v>447.64699999999999</v>
      </c>
      <c r="AT87" s="5748"/>
      <c r="AU87" s="5174">
        <f t="shared" si="32"/>
        <v>1239.1690000000001</v>
      </c>
      <c r="AV87" s="5773"/>
      <c r="AW87" s="5774"/>
      <c r="AX87" s="5748"/>
      <c r="AY87" s="37">
        <f t="shared" si="33"/>
        <v>1239.1690000000001</v>
      </c>
      <c r="AZ87" s="5773"/>
      <c r="BA87" s="5774">
        <v>510.62900000000002</v>
      </c>
      <c r="BB87" s="6056"/>
      <c r="BC87" s="6990">
        <f t="shared" si="19"/>
        <v>958.27600000000007</v>
      </c>
      <c r="BD87" s="6057"/>
      <c r="BE87" s="657">
        <f t="shared" si="20"/>
        <v>1749.7980000000002</v>
      </c>
      <c r="BF87" s="5748"/>
      <c r="BG87" s="37">
        <f t="shared" si="34"/>
        <v>1749.7980000000002</v>
      </c>
      <c r="BH87" s="4234">
        <f t="shared" si="25"/>
        <v>0</v>
      </c>
      <c r="BI87" s="4234">
        <f t="shared" si="26"/>
        <v>0</v>
      </c>
      <c r="BJ87" s="25"/>
      <c r="BK87" s="25">
        <f t="shared" si="27"/>
        <v>0</v>
      </c>
      <c r="BL87" s="25">
        <f t="shared" si="28"/>
        <v>0</v>
      </c>
      <c r="BM87" s="25"/>
      <c r="BN87" s="1137"/>
    </row>
    <row r="88" spans="1:66" s="4487" customFormat="1" ht="15" customHeight="1" thickBot="1" x14ac:dyDescent="0.3">
      <c r="B88" s="5769" t="s">
        <v>2070</v>
      </c>
      <c r="C88" s="5770" t="s">
        <v>905</v>
      </c>
      <c r="D88" s="5771"/>
      <c r="E88" s="5772" t="s">
        <v>50</v>
      </c>
      <c r="F88" s="5773"/>
      <c r="G88" s="5774"/>
      <c r="H88" s="5773"/>
      <c r="I88" s="5774"/>
      <c r="J88" s="5775"/>
      <c r="K88" s="5971"/>
      <c r="L88" s="5773"/>
      <c r="M88" s="5774"/>
      <c r="N88" s="5747"/>
      <c r="O88" s="5768"/>
      <c r="P88" s="5773"/>
      <c r="Q88" s="5774"/>
      <c r="R88" s="5748"/>
      <c r="S88" s="5174"/>
      <c r="T88" s="5773"/>
      <c r="U88" s="5774"/>
      <c r="V88" s="5748"/>
      <c r="W88" s="5174"/>
      <c r="X88" s="5773"/>
      <c r="Y88" s="5774"/>
      <c r="Z88" s="6056"/>
      <c r="AA88" s="6171">
        <f t="shared" si="35"/>
        <v>0</v>
      </c>
      <c r="AB88" s="6186"/>
      <c r="AC88" s="6173">
        <f t="shared" si="36"/>
        <v>0</v>
      </c>
      <c r="AD88" s="5773"/>
      <c r="AE88" s="5774">
        <v>484.55900000000003</v>
      </c>
      <c r="AF88" s="5748"/>
      <c r="AG88" s="37">
        <f t="shared" si="37"/>
        <v>484.55900000000003</v>
      </c>
      <c r="AH88" s="5773"/>
      <c r="AI88" s="5774"/>
      <c r="AJ88" s="5748"/>
      <c r="AK88" s="37">
        <f t="shared" si="29"/>
        <v>484.55900000000003</v>
      </c>
      <c r="AL88" s="5773"/>
      <c r="AM88" s="5774">
        <v>658.78499999999997</v>
      </c>
      <c r="AN88" s="6056"/>
      <c r="AO88" s="6612">
        <f t="shared" si="30"/>
        <v>1143.3440000000001</v>
      </c>
      <c r="AP88" s="5748"/>
      <c r="AQ88" s="37">
        <f t="shared" si="31"/>
        <v>1143.3440000000001</v>
      </c>
      <c r="AR88" s="5773"/>
      <c r="AS88" s="5774">
        <v>700.7360000000001</v>
      </c>
      <c r="AT88" s="5748"/>
      <c r="AU88" s="5174">
        <f t="shared" si="32"/>
        <v>1844.0800000000002</v>
      </c>
      <c r="AV88" s="5773"/>
      <c r="AW88" s="5774"/>
      <c r="AX88" s="5748"/>
      <c r="AY88" s="37">
        <f t="shared" si="33"/>
        <v>1844.0800000000002</v>
      </c>
      <c r="AZ88" s="5773"/>
      <c r="BA88" s="5774">
        <v>224.017</v>
      </c>
      <c r="BB88" s="6056"/>
      <c r="BC88" s="6990">
        <f t="shared" si="19"/>
        <v>924.75300000000016</v>
      </c>
      <c r="BD88" s="6057"/>
      <c r="BE88" s="657">
        <f t="shared" si="20"/>
        <v>2068.0970000000002</v>
      </c>
      <c r="BF88" s="5748"/>
      <c r="BG88" s="37">
        <f t="shared" si="34"/>
        <v>2068.0970000000002</v>
      </c>
      <c r="BH88" s="4234">
        <f t="shared" si="25"/>
        <v>0</v>
      </c>
      <c r="BI88" s="4234">
        <f t="shared" si="26"/>
        <v>0</v>
      </c>
      <c r="BJ88" s="25"/>
      <c r="BK88" s="25">
        <f t="shared" si="27"/>
        <v>0</v>
      </c>
      <c r="BL88" s="25">
        <f t="shared" si="28"/>
        <v>0</v>
      </c>
      <c r="BM88" s="25"/>
      <c r="BN88" s="1137"/>
    </row>
    <row r="89" spans="1:66" s="4487" customFormat="1" ht="15" customHeight="1" thickBot="1" x14ac:dyDescent="0.3">
      <c r="B89" s="3337" t="s">
        <v>1250</v>
      </c>
      <c r="C89" s="3338" t="s">
        <v>970</v>
      </c>
      <c r="D89" s="3339">
        <v>27.3</v>
      </c>
      <c r="E89" s="3340" t="s">
        <v>50</v>
      </c>
      <c r="F89" s="3341"/>
      <c r="G89" s="1906"/>
      <c r="H89" s="3341"/>
      <c r="I89" s="1906"/>
      <c r="J89" s="3342"/>
      <c r="K89" s="5241">
        <f t="shared" si="7"/>
        <v>0</v>
      </c>
      <c r="L89" s="3341"/>
      <c r="M89" s="1906"/>
      <c r="N89" s="1948"/>
      <c r="O89" s="67">
        <f t="shared" si="8"/>
        <v>0</v>
      </c>
      <c r="P89" s="3341"/>
      <c r="Q89" s="1906"/>
      <c r="R89" s="1956"/>
      <c r="S89" s="37">
        <f t="shared" si="9"/>
        <v>0</v>
      </c>
      <c r="T89" s="3341"/>
      <c r="U89" s="1906">
        <v>468.21000000000004</v>
      </c>
      <c r="V89" s="1956"/>
      <c r="W89" s="37">
        <f t="shared" si="10"/>
        <v>468.21000000000004</v>
      </c>
      <c r="X89" s="3341"/>
      <c r="Y89" s="1906"/>
      <c r="Z89" s="848"/>
      <c r="AA89" s="6045">
        <f t="shared" si="35"/>
        <v>468.21000000000004</v>
      </c>
      <c r="AB89" s="4498"/>
      <c r="AC89" s="6173">
        <f t="shared" si="36"/>
        <v>468.21000000000004</v>
      </c>
      <c r="AD89" s="3341"/>
      <c r="AE89" s="1906"/>
      <c r="AF89" s="1956"/>
      <c r="AG89" s="37">
        <f t="shared" si="37"/>
        <v>468.21000000000004</v>
      </c>
      <c r="AH89" s="3341"/>
      <c r="AI89" s="1906"/>
      <c r="AJ89" s="1956"/>
      <c r="AK89" s="37">
        <f t="shared" si="29"/>
        <v>468.21000000000004</v>
      </c>
      <c r="AL89" s="3341"/>
      <c r="AM89" s="1906"/>
      <c r="AN89" s="848"/>
      <c r="AO89" s="6612">
        <f t="shared" si="30"/>
        <v>0</v>
      </c>
      <c r="AP89" s="1956"/>
      <c r="AQ89" s="37">
        <f t="shared" si="31"/>
        <v>468.21000000000004</v>
      </c>
      <c r="AR89" s="3341"/>
      <c r="AS89" s="1906"/>
      <c r="AT89" s="1956"/>
      <c r="AU89" s="37">
        <f t="shared" si="32"/>
        <v>468.21000000000004</v>
      </c>
      <c r="AV89" s="3341"/>
      <c r="AW89" s="1906"/>
      <c r="AX89" s="1956"/>
      <c r="AY89" s="37">
        <f t="shared" si="33"/>
        <v>468.21000000000004</v>
      </c>
      <c r="AZ89" s="3341"/>
      <c r="BA89" s="1906"/>
      <c r="BB89" s="848"/>
      <c r="BC89" s="5236">
        <f t="shared" si="19"/>
        <v>0</v>
      </c>
      <c r="BD89" s="849"/>
      <c r="BE89" s="657">
        <f t="shared" si="20"/>
        <v>0</v>
      </c>
      <c r="BF89" s="1956"/>
      <c r="BG89" s="37">
        <f t="shared" si="34"/>
        <v>468.21000000000004</v>
      </c>
      <c r="BH89" s="4234">
        <f t="shared" si="25"/>
        <v>0</v>
      </c>
      <c r="BI89" s="4234">
        <f t="shared" si="26"/>
        <v>0</v>
      </c>
      <c r="BJ89" s="25"/>
      <c r="BK89" s="25">
        <f t="shared" si="27"/>
        <v>0</v>
      </c>
      <c r="BL89" s="25">
        <f t="shared" si="28"/>
        <v>0</v>
      </c>
      <c r="BM89" s="25"/>
      <c r="BN89" s="1137"/>
    </row>
    <row r="90" spans="1:66" ht="15" customHeight="1" thickBot="1" x14ac:dyDescent="0.3">
      <c r="B90" s="5340" t="s">
        <v>1806</v>
      </c>
      <c r="C90" s="3326" t="s">
        <v>970</v>
      </c>
      <c r="D90" s="3336"/>
      <c r="E90" s="4606" t="s">
        <v>50</v>
      </c>
      <c r="F90" s="4607"/>
      <c r="G90" s="4608">
        <v>2238.9240000000004</v>
      </c>
      <c r="H90" s="4607"/>
      <c r="I90" s="4608"/>
      <c r="J90" s="4609"/>
      <c r="K90" s="5341">
        <f t="shared" si="7"/>
        <v>2238.9240000000004</v>
      </c>
      <c r="L90" s="4607"/>
      <c r="M90" s="4608">
        <v>1992.848</v>
      </c>
      <c r="N90" s="5342"/>
      <c r="O90" s="5343">
        <f t="shared" si="8"/>
        <v>4231.7720000000008</v>
      </c>
      <c r="P90" s="4607"/>
      <c r="Q90" s="4608"/>
      <c r="R90" s="5344"/>
      <c r="S90" s="37">
        <f t="shared" ref="S90" si="38">+O90+Q90</f>
        <v>4231.7720000000008</v>
      </c>
      <c r="T90" s="4607"/>
      <c r="U90" s="4608"/>
      <c r="V90" s="5344"/>
      <c r="W90" s="5345">
        <f t="shared" si="10"/>
        <v>4231.7720000000008</v>
      </c>
      <c r="X90" s="4607"/>
      <c r="Y90" s="4608"/>
      <c r="Z90" s="5346"/>
      <c r="AA90" s="6045">
        <f t="shared" si="35"/>
        <v>0</v>
      </c>
      <c r="AB90" s="4498"/>
      <c r="AC90" s="6046">
        <f t="shared" si="36"/>
        <v>4231.7720000000008</v>
      </c>
      <c r="AD90" s="4607"/>
      <c r="AE90" s="4608"/>
      <c r="AF90" s="5344"/>
      <c r="AG90" s="37">
        <f t="shared" si="37"/>
        <v>4231.7720000000008</v>
      </c>
      <c r="AH90" s="4607"/>
      <c r="AI90" s="4608"/>
      <c r="AJ90" s="5344"/>
      <c r="AK90" s="37">
        <f t="shared" si="29"/>
        <v>4231.7720000000008</v>
      </c>
      <c r="AL90" s="4607"/>
      <c r="AM90" s="4608"/>
      <c r="AN90" s="5346"/>
      <c r="AO90" s="6612">
        <f t="shared" si="30"/>
        <v>0</v>
      </c>
      <c r="AP90" s="5344"/>
      <c r="AQ90" s="37">
        <f t="shared" si="31"/>
        <v>4231.7720000000008</v>
      </c>
      <c r="AR90" s="4607"/>
      <c r="AS90" s="4608"/>
      <c r="AT90" s="5344"/>
      <c r="AU90" s="5345">
        <f t="shared" si="32"/>
        <v>4231.7720000000008</v>
      </c>
      <c r="AV90" s="4607"/>
      <c r="AW90" s="4608"/>
      <c r="AX90" s="5344"/>
      <c r="AY90" s="37">
        <f t="shared" si="33"/>
        <v>4231.7720000000008</v>
      </c>
      <c r="AZ90" s="4607"/>
      <c r="BA90" s="4608"/>
      <c r="BB90" s="5346"/>
      <c r="BC90" s="5347">
        <f t="shared" si="19"/>
        <v>0</v>
      </c>
      <c r="BD90" s="5348"/>
      <c r="BE90" s="5349">
        <f t="shared" si="20"/>
        <v>0</v>
      </c>
      <c r="BF90" s="5344"/>
      <c r="BG90" s="37">
        <f t="shared" si="34"/>
        <v>4231.7720000000008</v>
      </c>
      <c r="BH90" s="4234">
        <f t="shared" si="25"/>
        <v>0</v>
      </c>
      <c r="BI90" s="4234">
        <f t="shared" si="26"/>
        <v>0</v>
      </c>
      <c r="BJ90" s="25"/>
      <c r="BK90" s="25">
        <f t="shared" si="27"/>
        <v>0</v>
      </c>
      <c r="BL90" s="25">
        <f t="shared" si="28"/>
        <v>0</v>
      </c>
      <c r="BM90" s="25"/>
      <c r="BN90" s="1137"/>
    </row>
    <row r="91" spans="1:66" ht="15" customHeight="1" x14ac:dyDescent="0.25">
      <c r="A91" s="2095"/>
      <c r="B91" s="4391" t="s">
        <v>1030</v>
      </c>
      <c r="C91" s="3276" t="s">
        <v>970</v>
      </c>
      <c r="D91" s="4392">
        <v>34.200000000000003</v>
      </c>
      <c r="E91" s="767" t="s">
        <v>50</v>
      </c>
      <c r="F91" s="3820"/>
      <c r="G91" s="147">
        <v>2476.9139999999993</v>
      </c>
      <c r="H91" s="3820"/>
      <c r="I91" s="147">
        <v>3931.677999999999</v>
      </c>
      <c r="J91" s="3165"/>
      <c r="K91" s="349">
        <f t="shared" si="7"/>
        <v>6408.5919999999987</v>
      </c>
      <c r="L91" s="3820"/>
      <c r="M91" s="147">
        <v>2598.3209999999985</v>
      </c>
      <c r="N91" s="3821"/>
      <c r="O91" s="586">
        <f t="shared" si="8"/>
        <v>9006.9129999999968</v>
      </c>
      <c r="P91" s="3820"/>
      <c r="Q91" s="147">
        <v>7076.3909999999969</v>
      </c>
      <c r="R91" s="3165"/>
      <c r="S91" s="37">
        <f t="shared" ref="S91:S117" si="39">+O91+Q91</f>
        <v>16083.303999999993</v>
      </c>
      <c r="T91" s="3820"/>
      <c r="U91" s="147">
        <v>4634.2519999999986</v>
      </c>
      <c r="V91" s="3165"/>
      <c r="W91" s="349">
        <f t="shared" si="10"/>
        <v>20717.55599999999</v>
      </c>
      <c r="X91" s="3820"/>
      <c r="Y91" s="147">
        <v>5204.7959999999994</v>
      </c>
      <c r="Z91" s="3821"/>
      <c r="AA91" s="6045">
        <f t="shared" si="35"/>
        <v>16915.438999999995</v>
      </c>
      <c r="AB91" s="4498"/>
      <c r="AC91" s="6046">
        <f t="shared" si="36"/>
        <v>25922.351999999992</v>
      </c>
      <c r="AD91" s="3820"/>
      <c r="AE91" s="147"/>
      <c r="AF91" s="3165"/>
      <c r="AG91" s="37">
        <f t="shared" si="37"/>
        <v>25922.351999999992</v>
      </c>
      <c r="AH91" s="3820"/>
      <c r="AI91" s="147">
        <v>3990.779</v>
      </c>
      <c r="AJ91" s="3165"/>
      <c r="AK91" s="37">
        <f t="shared" si="29"/>
        <v>29913.13099999999</v>
      </c>
      <c r="AL91" s="3820"/>
      <c r="AM91" s="147">
        <v>3233.3550000000009</v>
      </c>
      <c r="AN91" s="3821"/>
      <c r="AO91" s="6612">
        <f t="shared" si="30"/>
        <v>7224.1340000000009</v>
      </c>
      <c r="AP91" s="3165"/>
      <c r="AQ91" s="37">
        <f t="shared" si="31"/>
        <v>33146.48599999999</v>
      </c>
      <c r="AR91" s="3820"/>
      <c r="AS91" s="147">
        <v>4912.0760000000028</v>
      </c>
      <c r="AT91" s="3165"/>
      <c r="AU91" s="349">
        <f t="shared" si="32"/>
        <v>38058.561999999991</v>
      </c>
      <c r="AV91" s="3820"/>
      <c r="AW91" s="147">
        <v>4893.665</v>
      </c>
      <c r="AX91" s="3165"/>
      <c r="AY91" s="37">
        <f t="shared" si="33"/>
        <v>42952.226999999992</v>
      </c>
      <c r="AZ91" s="3820"/>
      <c r="BA91" s="147">
        <v>3953.2599999999993</v>
      </c>
      <c r="BB91" s="3821"/>
      <c r="BC91" s="586">
        <f t="shared" si="19"/>
        <v>13759.001</v>
      </c>
      <c r="BD91" s="5364"/>
      <c r="BE91" s="5365">
        <f t="shared" si="20"/>
        <v>20983.135000000002</v>
      </c>
      <c r="BF91" s="3165"/>
      <c r="BG91" s="37">
        <f t="shared" si="34"/>
        <v>46905.486999999994</v>
      </c>
      <c r="BH91" s="4234">
        <f t="shared" si="25"/>
        <v>0</v>
      </c>
      <c r="BI91" s="4234">
        <f t="shared" si="26"/>
        <v>0</v>
      </c>
      <c r="BJ91" s="25"/>
      <c r="BK91" s="25">
        <f t="shared" si="27"/>
        <v>0</v>
      </c>
      <c r="BL91" s="25">
        <f t="shared" si="28"/>
        <v>0</v>
      </c>
      <c r="BM91" s="25"/>
      <c r="BN91" s="1137"/>
    </row>
    <row r="92" spans="1:66" ht="15" customHeight="1" x14ac:dyDescent="0.25">
      <c r="B92" s="5366" t="s">
        <v>1030</v>
      </c>
      <c r="C92" s="5354" t="s">
        <v>1531</v>
      </c>
      <c r="D92" s="5355">
        <v>34.200000000000003</v>
      </c>
      <c r="E92" s="5171" t="s">
        <v>50</v>
      </c>
      <c r="F92" s="5356"/>
      <c r="G92" s="5248"/>
      <c r="H92" s="5356"/>
      <c r="I92" s="5248">
        <v>332.20299999999997</v>
      </c>
      <c r="J92" s="5357"/>
      <c r="K92" s="5241">
        <f t="shared" si="7"/>
        <v>332.20299999999997</v>
      </c>
      <c r="L92" s="5356"/>
      <c r="M92" s="5248">
        <v>700.48399999999992</v>
      </c>
      <c r="N92" s="5358"/>
      <c r="O92" s="5249">
        <f t="shared" si="8"/>
        <v>1032.6869999999999</v>
      </c>
      <c r="P92" s="5356"/>
      <c r="Q92" s="5248">
        <v>934.69800000000009</v>
      </c>
      <c r="R92" s="5357"/>
      <c r="S92" s="37">
        <f t="shared" si="39"/>
        <v>1967.385</v>
      </c>
      <c r="T92" s="5356"/>
      <c r="U92" s="5248"/>
      <c r="V92" s="5357"/>
      <c r="W92" s="5241">
        <f t="shared" si="10"/>
        <v>1967.385</v>
      </c>
      <c r="X92" s="5356"/>
      <c r="Y92" s="5248">
        <v>471.18099999999998</v>
      </c>
      <c r="Z92" s="5358"/>
      <c r="AA92" s="6045">
        <f t="shared" si="35"/>
        <v>1405.8790000000001</v>
      </c>
      <c r="AB92" s="4498"/>
      <c r="AC92" s="6046">
        <f t="shared" si="36"/>
        <v>2438.5659999999998</v>
      </c>
      <c r="AD92" s="5356"/>
      <c r="AE92" s="5248"/>
      <c r="AF92" s="5357"/>
      <c r="AG92" s="37">
        <f t="shared" si="37"/>
        <v>2438.5659999999998</v>
      </c>
      <c r="AH92" s="5356"/>
      <c r="AI92" s="5248">
        <v>368.22899999999998</v>
      </c>
      <c r="AJ92" s="5357"/>
      <c r="AK92" s="37">
        <f t="shared" si="29"/>
        <v>2806.7949999999996</v>
      </c>
      <c r="AL92" s="5356"/>
      <c r="AM92" s="5248">
        <v>34.414000000000001</v>
      </c>
      <c r="AN92" s="5358"/>
      <c r="AO92" s="6612">
        <f t="shared" si="30"/>
        <v>402.64299999999997</v>
      </c>
      <c r="AP92" s="5357"/>
      <c r="AQ92" s="37">
        <f t="shared" si="31"/>
        <v>2841.2089999999998</v>
      </c>
      <c r="AR92" s="5356"/>
      <c r="AS92" s="5248"/>
      <c r="AT92" s="5357"/>
      <c r="AU92" s="5241">
        <f t="shared" si="32"/>
        <v>2841.2089999999998</v>
      </c>
      <c r="AV92" s="5356"/>
      <c r="AW92" s="5248">
        <v>112.935</v>
      </c>
      <c r="AX92" s="5357"/>
      <c r="AY92" s="37">
        <f t="shared" si="33"/>
        <v>2954.1439999999998</v>
      </c>
      <c r="AZ92" s="5356"/>
      <c r="BA92" s="5248">
        <v>360.86999999999995</v>
      </c>
      <c r="BB92" s="5358"/>
      <c r="BC92" s="5249">
        <f t="shared" si="19"/>
        <v>473.80499999999995</v>
      </c>
      <c r="BD92" s="5361"/>
      <c r="BE92" s="5362">
        <f t="shared" si="20"/>
        <v>876.44799999999987</v>
      </c>
      <c r="BF92" s="5357"/>
      <c r="BG92" s="37">
        <f t="shared" si="34"/>
        <v>3315.0139999999997</v>
      </c>
      <c r="BH92" s="4234">
        <f t="shared" si="25"/>
        <v>0</v>
      </c>
      <c r="BI92" s="4234">
        <f t="shared" si="26"/>
        <v>0</v>
      </c>
      <c r="BJ92" s="25"/>
      <c r="BK92" s="25">
        <f t="shared" si="27"/>
        <v>0</v>
      </c>
      <c r="BL92" s="25">
        <f t="shared" si="28"/>
        <v>0</v>
      </c>
      <c r="BM92" s="25"/>
      <c r="BN92" s="1137"/>
    </row>
    <row r="93" spans="1:66" s="4233" customFormat="1" ht="15" customHeight="1" thickBot="1" x14ac:dyDescent="0.3">
      <c r="B93" s="5367" t="s">
        <v>1030</v>
      </c>
      <c r="C93" s="5368" t="s">
        <v>905</v>
      </c>
      <c r="D93" s="5369">
        <v>34.200000000000003</v>
      </c>
      <c r="E93" s="5184" t="s">
        <v>50</v>
      </c>
      <c r="F93" s="5370"/>
      <c r="G93" s="5255"/>
      <c r="H93" s="5370"/>
      <c r="I93" s="5255">
        <v>244.49299999999999</v>
      </c>
      <c r="J93" s="5371"/>
      <c r="K93" s="5256">
        <f t="shared" si="7"/>
        <v>244.49299999999999</v>
      </c>
      <c r="L93" s="5370"/>
      <c r="M93" s="5255"/>
      <c r="N93" s="5372"/>
      <c r="O93" s="5258">
        <f t="shared" si="8"/>
        <v>244.49299999999999</v>
      </c>
      <c r="P93" s="5370"/>
      <c r="Q93" s="5255">
        <v>115.48</v>
      </c>
      <c r="R93" s="5371"/>
      <c r="S93" s="37">
        <f t="shared" si="39"/>
        <v>359.97300000000001</v>
      </c>
      <c r="T93" s="5370"/>
      <c r="U93" s="5255"/>
      <c r="V93" s="5371"/>
      <c r="W93" s="5256">
        <f t="shared" si="10"/>
        <v>359.97300000000001</v>
      </c>
      <c r="X93" s="5370"/>
      <c r="Y93" s="5255"/>
      <c r="Z93" s="5372"/>
      <c r="AA93" s="6045">
        <f t="shared" si="35"/>
        <v>115.48</v>
      </c>
      <c r="AB93" s="4498"/>
      <c r="AC93" s="6046">
        <f t="shared" si="36"/>
        <v>359.97300000000001</v>
      </c>
      <c r="AD93" s="5370"/>
      <c r="AE93" s="5255"/>
      <c r="AF93" s="5371"/>
      <c r="AG93" s="37">
        <f t="shared" si="37"/>
        <v>359.97300000000001</v>
      </c>
      <c r="AH93" s="5370"/>
      <c r="AI93" s="5255"/>
      <c r="AJ93" s="5371"/>
      <c r="AK93" s="37">
        <f t="shared" si="29"/>
        <v>359.97300000000001</v>
      </c>
      <c r="AL93" s="5370"/>
      <c r="AM93" s="5255"/>
      <c r="AN93" s="5372"/>
      <c r="AO93" s="6612">
        <f t="shared" si="30"/>
        <v>0</v>
      </c>
      <c r="AP93" s="5371"/>
      <c r="AQ93" s="37">
        <f t="shared" si="31"/>
        <v>359.97300000000001</v>
      </c>
      <c r="AR93" s="5370"/>
      <c r="AS93" s="5255"/>
      <c r="AT93" s="5371"/>
      <c r="AU93" s="5256">
        <f t="shared" si="32"/>
        <v>359.97300000000001</v>
      </c>
      <c r="AV93" s="5370"/>
      <c r="AW93" s="5255"/>
      <c r="AX93" s="5371"/>
      <c r="AY93" s="37">
        <f t="shared" si="33"/>
        <v>359.97300000000001</v>
      </c>
      <c r="AZ93" s="5370"/>
      <c r="BA93" s="5255"/>
      <c r="BB93" s="5372"/>
      <c r="BC93" s="5258">
        <f t="shared" si="19"/>
        <v>0</v>
      </c>
      <c r="BD93" s="5375"/>
      <c r="BE93" s="5376">
        <f t="shared" si="20"/>
        <v>0</v>
      </c>
      <c r="BF93" s="5371"/>
      <c r="BG93" s="37">
        <f t="shared" si="34"/>
        <v>359.97300000000001</v>
      </c>
      <c r="BH93" s="4234">
        <f t="shared" si="25"/>
        <v>0</v>
      </c>
      <c r="BI93" s="4234">
        <f t="shared" si="26"/>
        <v>0</v>
      </c>
      <c r="BJ93" s="25"/>
      <c r="BK93" s="25">
        <f t="shared" si="27"/>
        <v>0</v>
      </c>
      <c r="BL93" s="25">
        <f t="shared" si="28"/>
        <v>0</v>
      </c>
      <c r="BM93" s="25"/>
      <c r="BN93" s="1137"/>
    </row>
    <row r="94" spans="1:66" ht="15" customHeight="1" x14ac:dyDescent="0.25">
      <c r="B94" s="5350" t="s">
        <v>898</v>
      </c>
      <c r="C94" s="3274" t="s">
        <v>905</v>
      </c>
      <c r="D94" s="5351">
        <v>36.299999999999997</v>
      </c>
      <c r="E94" s="4295" t="s">
        <v>50</v>
      </c>
      <c r="F94" s="3824"/>
      <c r="G94" s="7592"/>
      <c r="H94" s="3824"/>
      <c r="I94" s="5608"/>
      <c r="J94" s="3825"/>
      <c r="K94" s="5332">
        <f t="shared" si="7"/>
        <v>0</v>
      </c>
      <c r="L94" s="3824"/>
      <c r="M94" s="5720"/>
      <c r="N94" s="3826"/>
      <c r="O94" s="81">
        <f t="shared" si="8"/>
        <v>0</v>
      </c>
      <c r="P94" s="3824"/>
      <c r="Q94" s="5855"/>
      <c r="R94" s="3825"/>
      <c r="S94" s="37">
        <f t="shared" si="39"/>
        <v>0</v>
      </c>
      <c r="T94" s="3824"/>
      <c r="U94" s="5937"/>
      <c r="V94" s="3825"/>
      <c r="W94" s="60">
        <f t="shared" si="10"/>
        <v>0</v>
      </c>
      <c r="X94" s="3824"/>
      <c r="Y94" s="6041"/>
      <c r="Z94" s="3826"/>
      <c r="AA94" s="6045">
        <f t="shared" si="35"/>
        <v>0</v>
      </c>
      <c r="AB94" s="4498"/>
      <c r="AC94" s="6046">
        <f t="shared" si="36"/>
        <v>0</v>
      </c>
      <c r="AD94" s="3824"/>
      <c r="AE94" s="6167"/>
      <c r="AF94" s="4390"/>
      <c r="AG94" s="37">
        <f t="shared" si="37"/>
        <v>0</v>
      </c>
      <c r="AH94" s="3824"/>
      <c r="AI94" s="6331"/>
      <c r="AJ94" s="4390"/>
      <c r="AK94" s="37">
        <f t="shared" si="29"/>
        <v>0</v>
      </c>
      <c r="AL94" s="3824"/>
      <c r="AM94" s="6598"/>
      <c r="AN94" s="3826"/>
      <c r="AO94" s="6612">
        <f t="shared" si="30"/>
        <v>0</v>
      </c>
      <c r="AP94" s="4390"/>
      <c r="AQ94" s="37">
        <f t="shared" si="31"/>
        <v>0</v>
      </c>
      <c r="AR94" s="3824"/>
      <c r="AS94" s="6677"/>
      <c r="AT94" s="4390"/>
      <c r="AU94" s="60">
        <f t="shared" si="32"/>
        <v>0</v>
      </c>
      <c r="AV94" s="3824"/>
      <c r="AW94" s="6849"/>
      <c r="AX94" s="4390"/>
      <c r="AY94" s="37">
        <f t="shared" si="33"/>
        <v>0</v>
      </c>
      <c r="AZ94" s="3824"/>
      <c r="BA94" s="7005"/>
      <c r="BB94" s="3826"/>
      <c r="BC94" s="2244">
        <f t="shared" si="19"/>
        <v>0</v>
      </c>
      <c r="BD94" s="5352"/>
      <c r="BE94" s="5353">
        <f t="shared" si="20"/>
        <v>0</v>
      </c>
      <c r="BF94" s="4390"/>
      <c r="BG94" s="37">
        <f t="shared" si="34"/>
        <v>0</v>
      </c>
      <c r="BH94" s="4234">
        <f t="shared" si="25"/>
        <v>0</v>
      </c>
      <c r="BI94" s="4234">
        <f t="shared" si="26"/>
        <v>0</v>
      </c>
      <c r="BJ94" s="25"/>
      <c r="BK94" s="25">
        <f t="shared" si="27"/>
        <v>0</v>
      </c>
      <c r="BL94" s="25">
        <f t="shared" si="28"/>
        <v>0</v>
      </c>
      <c r="BM94" s="25"/>
      <c r="BN94" s="1137"/>
    </row>
    <row r="95" spans="1:66" s="4487" customFormat="1" ht="15" customHeight="1" x14ac:dyDescent="0.25">
      <c r="B95" s="5350" t="s">
        <v>898</v>
      </c>
      <c r="C95" s="5129" t="s">
        <v>1545</v>
      </c>
      <c r="D95" s="5351">
        <v>36.299999999999997</v>
      </c>
      <c r="E95" s="4295" t="s">
        <v>50</v>
      </c>
      <c r="F95" s="3829"/>
      <c r="G95" s="7591"/>
      <c r="H95" s="3829"/>
      <c r="I95" s="6879"/>
      <c r="J95" s="3831"/>
      <c r="K95" s="6876"/>
      <c r="L95" s="3829"/>
      <c r="M95" s="6879"/>
      <c r="N95" s="3832"/>
      <c r="O95" s="81"/>
      <c r="P95" s="3829"/>
      <c r="Q95" s="6879"/>
      <c r="R95" s="3831"/>
      <c r="S95" s="5174"/>
      <c r="T95" s="3829"/>
      <c r="U95" s="6879"/>
      <c r="V95" s="3831"/>
      <c r="W95" s="60"/>
      <c r="X95" s="3829"/>
      <c r="Y95" s="6879"/>
      <c r="Z95" s="3826"/>
      <c r="AA95" s="6367"/>
      <c r="AB95" s="6894"/>
      <c r="AC95" s="6895"/>
      <c r="AD95" s="3829"/>
      <c r="AE95" s="6879"/>
      <c r="AF95" s="4390"/>
      <c r="AG95" s="37">
        <f t="shared" si="37"/>
        <v>0</v>
      </c>
      <c r="AH95" s="3829"/>
      <c r="AI95" s="6879"/>
      <c r="AJ95" s="4390"/>
      <c r="AK95" s="5174"/>
      <c r="AL95" s="3829"/>
      <c r="AM95" s="6879"/>
      <c r="AN95" s="3826"/>
      <c r="AO95" s="6367"/>
      <c r="AP95" s="4390"/>
      <c r="AQ95" s="5174"/>
      <c r="AR95" s="3829"/>
      <c r="AS95" s="6879"/>
      <c r="AT95" s="4390"/>
      <c r="AU95" s="60"/>
      <c r="AV95" s="3829"/>
      <c r="AW95" s="6879">
        <v>518.30800000000011</v>
      </c>
      <c r="AX95" s="4390"/>
      <c r="AY95" s="37">
        <f t="shared" si="33"/>
        <v>518.30800000000011</v>
      </c>
      <c r="AZ95" s="3829"/>
      <c r="BA95" s="7004"/>
      <c r="BB95" s="3826"/>
      <c r="BC95" s="6990">
        <f t="shared" si="19"/>
        <v>518.30800000000011</v>
      </c>
      <c r="BD95" s="5352"/>
      <c r="BE95" s="657">
        <f t="shared" si="20"/>
        <v>518.30800000000011</v>
      </c>
      <c r="BF95" s="4390"/>
      <c r="BG95" s="37">
        <f t="shared" si="34"/>
        <v>518.30800000000011</v>
      </c>
      <c r="BH95" s="4234">
        <f t="shared" si="25"/>
        <v>0</v>
      </c>
      <c r="BI95" s="4234">
        <f t="shared" si="26"/>
        <v>0</v>
      </c>
      <c r="BJ95" s="25"/>
      <c r="BK95" s="25">
        <f t="shared" si="27"/>
        <v>0</v>
      </c>
      <c r="BL95" s="25">
        <f t="shared" si="28"/>
        <v>0</v>
      </c>
      <c r="BM95" s="25"/>
      <c r="BN95" s="1137"/>
    </row>
    <row r="96" spans="1:66" s="4487" customFormat="1" ht="15" customHeight="1" x14ac:dyDescent="0.25">
      <c r="B96" s="5955" t="s">
        <v>898</v>
      </c>
      <c r="C96" s="5129" t="s">
        <v>1531</v>
      </c>
      <c r="D96" s="5956">
        <v>36.299999999999997</v>
      </c>
      <c r="E96" s="5957" t="s">
        <v>50</v>
      </c>
      <c r="F96" s="3829"/>
      <c r="G96" s="7591"/>
      <c r="H96" s="3829"/>
      <c r="I96" s="5946"/>
      <c r="J96" s="3831"/>
      <c r="K96" s="5943"/>
      <c r="L96" s="3829"/>
      <c r="M96" s="5946"/>
      <c r="N96" s="3832"/>
      <c r="O96" s="81"/>
      <c r="P96" s="3829"/>
      <c r="Q96" s="5946"/>
      <c r="R96" s="3831"/>
      <c r="S96" s="37">
        <f t="shared" si="39"/>
        <v>0</v>
      </c>
      <c r="T96" s="3829"/>
      <c r="U96" s="5946">
        <v>84.19</v>
      </c>
      <c r="V96" s="3831"/>
      <c r="W96" s="60">
        <f t="shared" si="10"/>
        <v>84.19</v>
      </c>
      <c r="X96" s="3829"/>
      <c r="Y96" s="6040"/>
      <c r="Z96" s="3826"/>
      <c r="AA96" s="6045">
        <f t="shared" si="35"/>
        <v>84.19</v>
      </c>
      <c r="AB96" s="4498"/>
      <c r="AC96" s="6046">
        <f t="shared" si="36"/>
        <v>84.19</v>
      </c>
      <c r="AD96" s="3829"/>
      <c r="AE96" s="6166"/>
      <c r="AF96" s="4390"/>
      <c r="AG96" s="37">
        <f t="shared" si="37"/>
        <v>84.19</v>
      </c>
      <c r="AH96" s="3829"/>
      <c r="AI96" s="6330"/>
      <c r="AJ96" s="4390"/>
      <c r="AK96" s="37">
        <f t="shared" si="29"/>
        <v>84.19</v>
      </c>
      <c r="AL96" s="3829"/>
      <c r="AM96" s="6597"/>
      <c r="AN96" s="3826"/>
      <c r="AO96" s="6612">
        <f t="shared" si="30"/>
        <v>0</v>
      </c>
      <c r="AP96" s="4390"/>
      <c r="AQ96" s="37">
        <f t="shared" si="31"/>
        <v>84.19</v>
      </c>
      <c r="AR96" s="3829"/>
      <c r="AS96" s="6676"/>
      <c r="AT96" s="4390"/>
      <c r="AU96" s="60">
        <f t="shared" si="32"/>
        <v>84.19</v>
      </c>
      <c r="AV96" s="3829"/>
      <c r="AW96" s="6848"/>
      <c r="AX96" s="4390"/>
      <c r="AY96" s="37">
        <f t="shared" si="33"/>
        <v>84.19</v>
      </c>
      <c r="AZ96" s="3829"/>
      <c r="BA96" s="7004"/>
      <c r="BB96" s="3826"/>
      <c r="BC96" s="6990">
        <f t="shared" si="19"/>
        <v>0</v>
      </c>
      <c r="BD96" s="5352"/>
      <c r="BE96" s="657">
        <f t="shared" si="20"/>
        <v>0</v>
      </c>
      <c r="BF96" s="4390"/>
      <c r="BG96" s="37">
        <f t="shared" si="34"/>
        <v>84.19</v>
      </c>
      <c r="BH96" s="4234">
        <f t="shared" si="25"/>
        <v>0</v>
      </c>
      <c r="BI96" s="4234">
        <f t="shared" si="26"/>
        <v>0</v>
      </c>
      <c r="BJ96" s="25"/>
      <c r="BK96" s="25">
        <f t="shared" si="27"/>
        <v>0</v>
      </c>
      <c r="BL96" s="25">
        <f t="shared" si="28"/>
        <v>0</v>
      </c>
      <c r="BM96" s="25"/>
      <c r="BN96" s="1137"/>
    </row>
    <row r="97" spans="1:66" s="3130" customFormat="1" ht="15" customHeight="1" thickBot="1" x14ac:dyDescent="0.3">
      <c r="B97" s="4393" t="s">
        <v>898</v>
      </c>
      <c r="C97" s="3281" t="s">
        <v>970</v>
      </c>
      <c r="D97" s="4394">
        <v>36.299999999999997</v>
      </c>
      <c r="E97" s="839" t="s">
        <v>50</v>
      </c>
      <c r="F97" s="3818"/>
      <c r="G97" s="105"/>
      <c r="H97" s="3818"/>
      <c r="I97" s="105"/>
      <c r="J97" s="3168"/>
      <c r="K97" s="5241">
        <f t="shared" si="7"/>
        <v>0</v>
      </c>
      <c r="L97" s="3818"/>
      <c r="M97" s="105"/>
      <c r="N97" s="3819"/>
      <c r="O97" s="67">
        <f t="shared" si="8"/>
        <v>0</v>
      </c>
      <c r="P97" s="3818"/>
      <c r="Q97" s="105"/>
      <c r="R97" s="3168"/>
      <c r="S97" s="37">
        <f t="shared" si="39"/>
        <v>0</v>
      </c>
      <c r="T97" s="3818"/>
      <c r="U97" s="105">
        <v>2684.4930000000008</v>
      </c>
      <c r="V97" s="3168"/>
      <c r="W97" s="60">
        <f t="shared" si="10"/>
        <v>2684.4930000000008</v>
      </c>
      <c r="X97" s="3818"/>
      <c r="Y97" s="105"/>
      <c r="Z97" s="848"/>
      <c r="AA97" s="6045">
        <f t="shared" si="35"/>
        <v>2684.4930000000008</v>
      </c>
      <c r="AB97" s="4498"/>
      <c r="AC97" s="6046">
        <f t="shared" si="36"/>
        <v>2684.4930000000008</v>
      </c>
      <c r="AD97" s="3818"/>
      <c r="AE97" s="105"/>
      <c r="AF97" s="1956"/>
      <c r="AG97" s="37">
        <f t="shared" si="37"/>
        <v>2684.4930000000008</v>
      </c>
      <c r="AH97" s="3818"/>
      <c r="AI97" s="105"/>
      <c r="AJ97" s="1956"/>
      <c r="AK97" s="37">
        <f t="shared" si="29"/>
        <v>2684.4930000000008</v>
      </c>
      <c r="AL97" s="3818"/>
      <c r="AM97" s="105">
        <v>2853.5940000000005</v>
      </c>
      <c r="AN97" s="848"/>
      <c r="AO97" s="6612">
        <f t="shared" si="30"/>
        <v>2853.5940000000005</v>
      </c>
      <c r="AP97" s="1956"/>
      <c r="AQ97" s="37">
        <f t="shared" si="31"/>
        <v>5538.0870000000014</v>
      </c>
      <c r="AR97" s="3818"/>
      <c r="AS97" s="105"/>
      <c r="AT97" s="1956"/>
      <c r="AU97" s="37">
        <f t="shared" si="32"/>
        <v>5538.0870000000014</v>
      </c>
      <c r="AV97" s="3818"/>
      <c r="AW97" s="105">
        <v>2321.1590000000001</v>
      </c>
      <c r="AX97" s="1956"/>
      <c r="AY97" s="37">
        <f t="shared" si="33"/>
        <v>7859.246000000001</v>
      </c>
      <c r="AZ97" s="3818"/>
      <c r="BA97" s="105"/>
      <c r="BB97" s="848"/>
      <c r="BC97" s="5236">
        <f t="shared" si="19"/>
        <v>2321.1590000000001</v>
      </c>
      <c r="BD97" s="849"/>
      <c r="BE97" s="657">
        <f t="shared" si="20"/>
        <v>5174.7530000000006</v>
      </c>
      <c r="BF97" s="1956"/>
      <c r="BG97" s="37">
        <f t="shared" si="34"/>
        <v>7859.246000000001</v>
      </c>
      <c r="BH97" s="4234">
        <f t="shared" si="25"/>
        <v>0</v>
      </c>
      <c r="BI97" s="4234">
        <f t="shared" si="26"/>
        <v>0</v>
      </c>
      <c r="BJ97" s="25"/>
      <c r="BK97" s="25">
        <f t="shared" si="27"/>
        <v>0</v>
      </c>
      <c r="BL97" s="25">
        <f t="shared" si="28"/>
        <v>0</v>
      </c>
      <c r="BM97" s="25"/>
      <c r="BN97" s="1137"/>
    </row>
    <row r="98" spans="1:66" s="2819" customFormat="1" ht="15" customHeight="1" x14ac:dyDescent="0.25">
      <c r="B98" s="4292" t="s">
        <v>1319</v>
      </c>
      <c r="C98" s="4293" t="s">
        <v>1299</v>
      </c>
      <c r="D98" s="4294">
        <v>50.1</v>
      </c>
      <c r="E98" s="4295" t="s">
        <v>50</v>
      </c>
      <c r="F98" s="4296"/>
      <c r="G98" s="4178"/>
      <c r="H98" s="4296"/>
      <c r="I98" s="4178">
        <v>154.215</v>
      </c>
      <c r="J98" s="4297"/>
      <c r="K98" s="5241">
        <f t="shared" ref="K98:K120" si="40">+G98+I98</f>
        <v>154.215</v>
      </c>
      <c r="L98" s="4296"/>
      <c r="M98" s="4178"/>
      <c r="N98" s="4389"/>
      <c r="O98" s="67">
        <f t="shared" ref="O98:O120" si="41">+G98+I98+M98</f>
        <v>154.215</v>
      </c>
      <c r="P98" s="4296"/>
      <c r="Q98" s="4178"/>
      <c r="R98" s="4390"/>
      <c r="S98" s="37">
        <f t="shared" si="39"/>
        <v>154.215</v>
      </c>
      <c r="T98" s="4296"/>
      <c r="U98" s="4178"/>
      <c r="V98" s="4390"/>
      <c r="W98" s="37">
        <f t="shared" ref="W98:W120" si="42">+S98+U98</f>
        <v>154.215</v>
      </c>
      <c r="X98" s="4296"/>
      <c r="Y98" s="4178">
        <v>57.984000000000009</v>
      </c>
      <c r="Z98" s="3123"/>
      <c r="AA98" s="6045">
        <f t="shared" si="35"/>
        <v>57.984000000000009</v>
      </c>
      <c r="AB98" s="4498"/>
      <c r="AC98" s="6046">
        <f t="shared" si="36"/>
        <v>212.19900000000001</v>
      </c>
      <c r="AD98" s="4296"/>
      <c r="AE98" s="4178"/>
      <c r="AF98" s="1956"/>
      <c r="AG98" s="37">
        <f t="shared" si="37"/>
        <v>212.19900000000001</v>
      </c>
      <c r="AH98" s="4296"/>
      <c r="AI98" s="4178">
        <v>80.192000000000007</v>
      </c>
      <c r="AJ98" s="1956"/>
      <c r="AK98" s="37">
        <f t="shared" si="29"/>
        <v>292.39100000000002</v>
      </c>
      <c r="AL98" s="4296"/>
      <c r="AM98" s="4178"/>
      <c r="AN98" s="3123"/>
      <c r="AO98" s="6612">
        <f t="shared" si="30"/>
        <v>80.192000000000007</v>
      </c>
      <c r="AP98" s="1956"/>
      <c r="AQ98" s="37">
        <f t="shared" si="31"/>
        <v>292.39100000000002</v>
      </c>
      <c r="AR98" s="4296"/>
      <c r="AS98" s="4178"/>
      <c r="AT98" s="1956"/>
      <c r="AU98" s="37">
        <f t="shared" si="32"/>
        <v>292.39100000000002</v>
      </c>
      <c r="AV98" s="4296"/>
      <c r="AW98" s="4178"/>
      <c r="AX98" s="1956"/>
      <c r="AY98" s="37">
        <f t="shared" si="33"/>
        <v>292.39100000000002</v>
      </c>
      <c r="AZ98" s="4296"/>
      <c r="BA98" s="4178"/>
      <c r="BB98" s="3123"/>
      <c r="BC98" s="5236">
        <f t="shared" ref="BC98:BC120" si="43">+AS98+AW98+BA98</f>
        <v>0</v>
      </c>
      <c r="BD98" s="3124"/>
      <c r="BE98" s="657">
        <f t="shared" ref="BE98:BE120" si="44">+AO98+BC98</f>
        <v>80.192000000000007</v>
      </c>
      <c r="BF98" s="1956"/>
      <c r="BG98" s="37">
        <f t="shared" si="34"/>
        <v>292.39100000000002</v>
      </c>
      <c r="BH98" s="4234">
        <f t="shared" si="25"/>
        <v>0</v>
      </c>
      <c r="BI98" s="4234">
        <f t="shared" si="26"/>
        <v>0</v>
      </c>
      <c r="BJ98" s="25"/>
      <c r="BK98" s="25">
        <f t="shared" si="27"/>
        <v>0</v>
      </c>
      <c r="BL98" s="25">
        <f t="shared" si="28"/>
        <v>0</v>
      </c>
      <c r="BM98" s="25"/>
      <c r="BN98" s="1137"/>
    </row>
    <row r="99" spans="1:66" s="4487" customFormat="1" ht="15" customHeight="1" x14ac:dyDescent="0.25">
      <c r="B99" s="4292" t="s">
        <v>1319</v>
      </c>
      <c r="C99" s="4293" t="s">
        <v>1545</v>
      </c>
      <c r="D99" s="4294">
        <v>50.1</v>
      </c>
      <c r="E99" s="4295" t="s">
        <v>50</v>
      </c>
      <c r="F99" s="4296"/>
      <c r="G99" s="4178"/>
      <c r="H99" s="4296"/>
      <c r="I99" s="4178"/>
      <c r="J99" s="4297"/>
      <c r="K99" s="5971"/>
      <c r="L99" s="4296"/>
      <c r="M99" s="4178"/>
      <c r="N99" s="4389"/>
      <c r="O99" s="5768"/>
      <c r="P99" s="4296"/>
      <c r="Q99" s="4178"/>
      <c r="R99" s="4390"/>
      <c r="S99" s="5174"/>
      <c r="T99" s="4296"/>
      <c r="U99" s="4178"/>
      <c r="V99" s="4390"/>
      <c r="W99" s="5174"/>
      <c r="X99" s="4296"/>
      <c r="Y99" s="4178"/>
      <c r="Z99" s="6056"/>
      <c r="AA99" s="6171">
        <f t="shared" ref="AA99" si="45">+Q99+U99+Y99</f>
        <v>0</v>
      </c>
      <c r="AB99" s="4498"/>
      <c r="AC99" s="6173">
        <f t="shared" ref="AC99" si="46">+AA99+O99</f>
        <v>0</v>
      </c>
      <c r="AD99" s="4296"/>
      <c r="AE99" s="4178">
        <v>37.005000000000003</v>
      </c>
      <c r="AF99" s="5748"/>
      <c r="AG99" s="37">
        <f t="shared" si="37"/>
        <v>37.005000000000003</v>
      </c>
      <c r="AH99" s="4296"/>
      <c r="AI99" s="4178">
        <v>715.495</v>
      </c>
      <c r="AJ99" s="5748"/>
      <c r="AK99" s="37">
        <f t="shared" si="29"/>
        <v>752.5</v>
      </c>
      <c r="AL99" s="4296"/>
      <c r="AM99" s="4178"/>
      <c r="AN99" s="6056"/>
      <c r="AO99" s="6612">
        <f t="shared" si="30"/>
        <v>752.5</v>
      </c>
      <c r="AP99" s="5748"/>
      <c r="AQ99" s="37">
        <f t="shared" si="31"/>
        <v>752.5</v>
      </c>
      <c r="AR99" s="4296"/>
      <c r="AS99" s="4178"/>
      <c r="AT99" s="5748"/>
      <c r="AU99" s="5174">
        <f t="shared" si="32"/>
        <v>752.5</v>
      </c>
      <c r="AV99" s="4296"/>
      <c r="AW99" s="4178"/>
      <c r="AX99" s="5748"/>
      <c r="AY99" s="37">
        <f t="shared" si="33"/>
        <v>752.5</v>
      </c>
      <c r="AZ99" s="4296"/>
      <c r="BA99" s="4178"/>
      <c r="BB99" s="6056"/>
      <c r="BC99" s="6990">
        <f t="shared" si="19"/>
        <v>0</v>
      </c>
      <c r="BD99" s="6057"/>
      <c r="BE99" s="657">
        <f t="shared" si="20"/>
        <v>752.5</v>
      </c>
      <c r="BF99" s="5748"/>
      <c r="BG99" s="37">
        <f t="shared" si="34"/>
        <v>752.5</v>
      </c>
      <c r="BH99" s="4234">
        <f t="shared" si="25"/>
        <v>0</v>
      </c>
      <c r="BI99" s="4234">
        <f t="shared" si="26"/>
        <v>0</v>
      </c>
      <c r="BJ99" s="25"/>
      <c r="BK99" s="25">
        <f t="shared" si="27"/>
        <v>0</v>
      </c>
      <c r="BL99" s="25">
        <f t="shared" si="28"/>
        <v>0</v>
      </c>
      <c r="BM99" s="25"/>
      <c r="BN99" s="1137"/>
    </row>
    <row r="100" spans="1:66" s="4487" customFormat="1" ht="15" customHeight="1" x14ac:dyDescent="0.25">
      <c r="B100" s="4292" t="s">
        <v>1319</v>
      </c>
      <c r="C100" s="4293" t="s">
        <v>970</v>
      </c>
      <c r="D100" s="4294">
        <v>50.1</v>
      </c>
      <c r="E100" s="4295" t="s">
        <v>50</v>
      </c>
      <c r="F100" s="4296"/>
      <c r="G100" s="4178">
        <v>1258.2559999999999</v>
      </c>
      <c r="H100" s="4296"/>
      <c r="I100" s="4178"/>
      <c r="J100" s="4297"/>
      <c r="K100" s="5971"/>
      <c r="L100" s="4296"/>
      <c r="M100" s="4178"/>
      <c r="N100" s="4389"/>
      <c r="O100" s="67">
        <f t="shared" si="41"/>
        <v>1258.2559999999999</v>
      </c>
      <c r="P100" s="4296"/>
      <c r="Q100" s="4178"/>
      <c r="R100" s="4390"/>
      <c r="S100" s="5174"/>
      <c r="T100" s="4296"/>
      <c r="U100" s="4178"/>
      <c r="V100" s="4390"/>
      <c r="W100" s="5174"/>
      <c r="X100" s="4296"/>
      <c r="Y100" s="4178"/>
      <c r="Z100" s="6056"/>
      <c r="AA100" s="6171">
        <f t="shared" si="35"/>
        <v>0</v>
      </c>
      <c r="AB100" s="6186"/>
      <c r="AC100" s="6173">
        <f t="shared" si="36"/>
        <v>1258.2559999999999</v>
      </c>
      <c r="AD100" s="4296"/>
      <c r="AE100" s="4178">
        <v>2283.5970000000002</v>
      </c>
      <c r="AF100" s="5748"/>
      <c r="AG100" s="37">
        <f t="shared" si="37"/>
        <v>3541.8530000000001</v>
      </c>
      <c r="AH100" s="4296"/>
      <c r="AI100" s="4178">
        <v>1834.63</v>
      </c>
      <c r="AJ100" s="5748"/>
      <c r="AK100" s="37">
        <f t="shared" si="29"/>
        <v>5376.4830000000002</v>
      </c>
      <c r="AL100" s="4296"/>
      <c r="AM100" s="4178">
        <v>4042.5960000000005</v>
      </c>
      <c r="AN100" s="6056"/>
      <c r="AO100" s="6612">
        <f t="shared" si="30"/>
        <v>8160.8230000000012</v>
      </c>
      <c r="AP100" s="5748"/>
      <c r="AQ100" s="37">
        <f t="shared" si="31"/>
        <v>9419.0790000000015</v>
      </c>
      <c r="AR100" s="4296"/>
      <c r="AS100" s="4178">
        <v>2910.8760000000002</v>
      </c>
      <c r="AT100" s="5748"/>
      <c r="AU100" s="5174">
        <f t="shared" si="32"/>
        <v>12329.955000000002</v>
      </c>
      <c r="AV100" s="4296"/>
      <c r="AW100" s="4178"/>
      <c r="AX100" s="5748"/>
      <c r="AY100" s="37">
        <f t="shared" si="33"/>
        <v>12329.955000000002</v>
      </c>
      <c r="AZ100" s="4296"/>
      <c r="BA100" s="4178"/>
      <c r="BB100" s="6056"/>
      <c r="BC100" s="6990">
        <f t="shared" ref="BC100:BC101" si="47">+AS100+AW100+BA100</f>
        <v>2910.8760000000002</v>
      </c>
      <c r="BD100" s="6057"/>
      <c r="BE100" s="657">
        <f t="shared" ref="BE100:BE101" si="48">+AO100+BC100</f>
        <v>11071.699000000001</v>
      </c>
      <c r="BF100" s="5748"/>
      <c r="BG100" s="37">
        <f t="shared" si="34"/>
        <v>12329.955000000002</v>
      </c>
      <c r="BH100" s="4234">
        <f t="shared" si="25"/>
        <v>0</v>
      </c>
      <c r="BI100" s="4234">
        <f t="shared" si="26"/>
        <v>0</v>
      </c>
      <c r="BJ100" s="25"/>
      <c r="BK100" s="25">
        <f t="shared" si="27"/>
        <v>0</v>
      </c>
      <c r="BL100" s="25">
        <f t="shared" si="28"/>
        <v>0</v>
      </c>
      <c r="BM100" s="25"/>
      <c r="BN100" s="1137"/>
    </row>
    <row r="101" spans="1:66" s="4487" customFormat="1" ht="15" customHeight="1" thickBot="1" x14ac:dyDescent="0.3">
      <c r="B101" s="4292" t="s">
        <v>1319</v>
      </c>
      <c r="C101" s="4293" t="s">
        <v>905</v>
      </c>
      <c r="D101" s="4294">
        <v>50.1</v>
      </c>
      <c r="E101" s="4295" t="s">
        <v>50</v>
      </c>
      <c r="F101" s="4296"/>
      <c r="G101" s="4178"/>
      <c r="H101" s="4296"/>
      <c r="I101" s="4178"/>
      <c r="J101" s="4297"/>
      <c r="K101" s="5739"/>
      <c r="L101" s="4296"/>
      <c r="M101" s="4178"/>
      <c r="N101" s="4389"/>
      <c r="O101" s="67">
        <f t="shared" si="41"/>
        <v>0</v>
      </c>
      <c r="P101" s="4296"/>
      <c r="Q101" s="4178"/>
      <c r="R101" s="4390"/>
      <c r="S101" s="37">
        <f t="shared" si="39"/>
        <v>0</v>
      </c>
      <c r="T101" s="4296"/>
      <c r="U101" s="4178">
        <v>203.56399999999999</v>
      </c>
      <c r="V101" s="4390"/>
      <c r="W101" s="37">
        <f t="shared" si="42"/>
        <v>203.56399999999999</v>
      </c>
      <c r="X101" s="4296"/>
      <c r="Y101" s="4178">
        <v>491.08599999999996</v>
      </c>
      <c r="Z101" s="5737"/>
      <c r="AA101" s="6171">
        <f t="shared" si="35"/>
        <v>694.65</v>
      </c>
      <c r="AB101" s="4498"/>
      <c r="AC101" s="6046">
        <f t="shared" si="36"/>
        <v>694.65</v>
      </c>
      <c r="AD101" s="4296"/>
      <c r="AE101" s="4178"/>
      <c r="AF101" s="5748"/>
      <c r="AG101" s="37">
        <f t="shared" si="37"/>
        <v>694.65</v>
      </c>
      <c r="AH101" s="4296"/>
      <c r="AI101" s="4178"/>
      <c r="AJ101" s="5748"/>
      <c r="AK101" s="37">
        <f t="shared" si="29"/>
        <v>694.65</v>
      </c>
      <c r="AL101" s="4296"/>
      <c r="AM101" s="4178"/>
      <c r="AN101" s="5737"/>
      <c r="AO101" s="6612">
        <f t="shared" si="30"/>
        <v>0</v>
      </c>
      <c r="AP101" s="5748"/>
      <c r="AQ101" s="37">
        <f t="shared" si="31"/>
        <v>694.65</v>
      </c>
      <c r="AR101" s="4296"/>
      <c r="AS101" s="4178"/>
      <c r="AT101" s="5748"/>
      <c r="AU101" s="5174">
        <f t="shared" si="32"/>
        <v>694.65</v>
      </c>
      <c r="AV101" s="4296"/>
      <c r="AW101" s="4178"/>
      <c r="AX101" s="5748"/>
      <c r="AY101" s="37">
        <f t="shared" si="33"/>
        <v>694.65</v>
      </c>
      <c r="AZ101" s="4296"/>
      <c r="BA101" s="4178"/>
      <c r="BB101" s="5737"/>
      <c r="BC101" s="6990">
        <f t="shared" si="47"/>
        <v>0</v>
      </c>
      <c r="BD101" s="5751"/>
      <c r="BE101" s="657">
        <f t="shared" si="48"/>
        <v>0</v>
      </c>
      <c r="BF101" s="5748"/>
      <c r="BG101" s="37">
        <f t="shared" si="34"/>
        <v>694.65</v>
      </c>
      <c r="BH101" s="4234">
        <f t="shared" si="25"/>
        <v>0</v>
      </c>
      <c r="BI101" s="4234">
        <f t="shared" si="26"/>
        <v>0</v>
      </c>
      <c r="BJ101" s="25"/>
      <c r="BK101" s="25">
        <f t="shared" si="27"/>
        <v>0</v>
      </c>
      <c r="BL101" s="25">
        <f t="shared" si="28"/>
        <v>0</v>
      </c>
      <c r="BM101" s="25"/>
      <c r="BN101" s="1137"/>
    </row>
    <row r="102" spans="1:66" ht="15" customHeight="1" x14ac:dyDescent="0.25">
      <c r="B102" s="3325" t="s">
        <v>1319</v>
      </c>
      <c r="C102" s="3326" t="s">
        <v>1545</v>
      </c>
      <c r="D102" s="3327">
        <v>50.1</v>
      </c>
      <c r="E102" s="1243" t="s">
        <v>50</v>
      </c>
      <c r="F102" s="3328"/>
      <c r="G102" s="85"/>
      <c r="H102" s="3328"/>
      <c r="I102" s="85"/>
      <c r="J102" s="3329"/>
      <c r="K102" s="5241">
        <f t="shared" si="40"/>
        <v>0</v>
      </c>
      <c r="L102" s="3328"/>
      <c r="M102" s="85">
        <v>589.17300000000012</v>
      </c>
      <c r="N102" s="1948"/>
      <c r="O102" s="67">
        <f t="shared" si="41"/>
        <v>589.17300000000012</v>
      </c>
      <c r="P102" s="3328"/>
      <c r="Q102" s="85"/>
      <c r="R102" s="1956"/>
      <c r="S102" s="37">
        <f t="shared" si="39"/>
        <v>589.17300000000012</v>
      </c>
      <c r="T102" s="3328"/>
      <c r="U102" s="85">
        <v>225.51100000000002</v>
      </c>
      <c r="V102" s="1956"/>
      <c r="W102" s="37">
        <f t="shared" si="42"/>
        <v>814.6840000000002</v>
      </c>
      <c r="X102" s="3328"/>
      <c r="Y102" s="85">
        <v>670.73500000000001</v>
      </c>
      <c r="Z102" s="2659"/>
      <c r="AA102" s="6045">
        <f t="shared" si="35"/>
        <v>896.24600000000009</v>
      </c>
      <c r="AB102" s="4498"/>
      <c r="AC102" s="6046">
        <f t="shared" si="36"/>
        <v>1485.4190000000003</v>
      </c>
      <c r="AD102" s="3328"/>
      <c r="AE102" s="85"/>
      <c r="AF102" s="1956"/>
      <c r="AG102" s="37">
        <f t="shared" si="37"/>
        <v>1485.4190000000003</v>
      </c>
      <c r="AH102" s="3328"/>
      <c r="AI102" s="85"/>
      <c r="AJ102" s="1956"/>
      <c r="AK102" s="37">
        <f t="shared" si="29"/>
        <v>1485.4190000000003</v>
      </c>
      <c r="AL102" s="3328"/>
      <c r="AM102" s="85"/>
      <c r="AN102" s="2659"/>
      <c r="AO102" s="6612">
        <f t="shared" si="30"/>
        <v>0</v>
      </c>
      <c r="AP102" s="1956"/>
      <c r="AQ102" s="37">
        <f t="shared" si="31"/>
        <v>1485.4190000000003</v>
      </c>
      <c r="AR102" s="3328"/>
      <c r="AS102" s="85"/>
      <c r="AT102" s="1956"/>
      <c r="AU102" s="37">
        <f t="shared" si="32"/>
        <v>1485.4190000000003</v>
      </c>
      <c r="AV102" s="3328"/>
      <c r="AW102" s="85"/>
      <c r="AX102" s="1956"/>
      <c r="AY102" s="37">
        <f t="shared" si="33"/>
        <v>1485.4190000000003</v>
      </c>
      <c r="AZ102" s="3328"/>
      <c r="BA102" s="85"/>
      <c r="BB102" s="2659"/>
      <c r="BC102" s="5236">
        <f t="shared" si="43"/>
        <v>0</v>
      </c>
      <c r="BD102" s="2663"/>
      <c r="BE102" s="657">
        <f t="shared" si="44"/>
        <v>0</v>
      </c>
      <c r="BF102" s="1956"/>
      <c r="BG102" s="37">
        <f t="shared" si="34"/>
        <v>1485.4190000000003</v>
      </c>
      <c r="BH102" s="4234">
        <f t="shared" si="25"/>
        <v>0</v>
      </c>
      <c r="BI102" s="4234">
        <f t="shared" si="26"/>
        <v>0</v>
      </c>
      <c r="BJ102" s="25"/>
      <c r="BK102" s="25">
        <f t="shared" si="27"/>
        <v>0</v>
      </c>
      <c r="BL102" s="25">
        <f t="shared" si="28"/>
        <v>0</v>
      </c>
      <c r="BM102" s="25"/>
      <c r="BN102" s="1137"/>
    </row>
    <row r="103" spans="1:66" ht="15" customHeight="1" thickBot="1" x14ac:dyDescent="0.3">
      <c r="A103" s="501"/>
      <c r="B103" s="3330" t="s">
        <v>1319</v>
      </c>
      <c r="C103" s="3331" t="s">
        <v>970</v>
      </c>
      <c r="D103" s="3332">
        <v>50.1</v>
      </c>
      <c r="E103" s="1325" t="s">
        <v>50</v>
      </c>
      <c r="F103" s="3333"/>
      <c r="G103" s="36"/>
      <c r="H103" s="3333"/>
      <c r="I103" s="36">
        <v>2403.8919999999998</v>
      </c>
      <c r="J103" s="3334"/>
      <c r="K103" s="5241">
        <f t="shared" si="40"/>
        <v>2403.8919999999998</v>
      </c>
      <c r="L103" s="3333"/>
      <c r="M103" s="36">
        <v>2503.5359999999991</v>
      </c>
      <c r="N103" s="1948"/>
      <c r="O103" s="67">
        <f t="shared" si="41"/>
        <v>4907.427999999999</v>
      </c>
      <c r="P103" s="3333"/>
      <c r="Q103" s="36"/>
      <c r="R103" s="1956"/>
      <c r="S103" s="37">
        <f t="shared" si="39"/>
        <v>4907.427999999999</v>
      </c>
      <c r="T103" s="3333"/>
      <c r="U103" s="36">
        <v>1993.4839999999992</v>
      </c>
      <c r="V103" s="1956"/>
      <c r="W103" s="37">
        <f t="shared" si="42"/>
        <v>6900.9119999999984</v>
      </c>
      <c r="X103" s="3333"/>
      <c r="Y103" s="36">
        <v>2375.6079999999997</v>
      </c>
      <c r="Z103" s="848"/>
      <c r="AA103" s="6045">
        <f t="shared" si="35"/>
        <v>4369.0919999999987</v>
      </c>
      <c r="AB103" s="4498"/>
      <c r="AC103" s="6046">
        <f t="shared" si="36"/>
        <v>9276.5199999999968</v>
      </c>
      <c r="AD103" s="3333"/>
      <c r="AE103" s="36"/>
      <c r="AF103" s="1956"/>
      <c r="AG103" s="37">
        <f t="shared" si="37"/>
        <v>9276.5199999999968</v>
      </c>
      <c r="AH103" s="3333"/>
      <c r="AI103" s="36"/>
      <c r="AJ103" s="1956"/>
      <c r="AK103" s="37">
        <f t="shared" si="29"/>
        <v>9276.5199999999968</v>
      </c>
      <c r="AL103" s="3333"/>
      <c r="AM103" s="36"/>
      <c r="AN103" s="848"/>
      <c r="AO103" s="6612">
        <f t="shared" si="30"/>
        <v>0</v>
      </c>
      <c r="AP103" s="1956"/>
      <c r="AQ103" s="37">
        <f t="shared" si="31"/>
        <v>9276.5199999999968</v>
      </c>
      <c r="AR103" s="3333"/>
      <c r="AS103" s="36"/>
      <c r="AT103" s="1956"/>
      <c r="AU103" s="37">
        <f t="shared" si="32"/>
        <v>9276.5199999999968</v>
      </c>
      <c r="AV103" s="3333"/>
      <c r="AW103" s="36"/>
      <c r="AX103" s="1956"/>
      <c r="AY103" s="37">
        <f t="shared" si="33"/>
        <v>9276.5199999999968</v>
      </c>
      <c r="AZ103" s="3333"/>
      <c r="BA103" s="36"/>
      <c r="BB103" s="848"/>
      <c r="BC103" s="5236">
        <f t="shared" si="43"/>
        <v>0</v>
      </c>
      <c r="BD103" s="849"/>
      <c r="BE103" s="657">
        <f t="shared" si="44"/>
        <v>0</v>
      </c>
      <c r="BF103" s="1956"/>
      <c r="BG103" s="37">
        <f t="shared" si="34"/>
        <v>9276.5199999999968</v>
      </c>
      <c r="BH103" s="4234">
        <f t="shared" si="25"/>
        <v>0</v>
      </c>
      <c r="BI103" s="4234">
        <f t="shared" si="26"/>
        <v>0</v>
      </c>
      <c r="BJ103" s="25"/>
      <c r="BK103" s="25">
        <f t="shared" si="27"/>
        <v>0</v>
      </c>
      <c r="BL103" s="25">
        <f t="shared" si="28"/>
        <v>0</v>
      </c>
      <c r="BM103" s="25"/>
      <c r="BN103" s="1137"/>
    </row>
    <row r="104" spans="1:66" s="4233" customFormat="1" ht="15" customHeight="1" thickBot="1" x14ac:dyDescent="0.3">
      <c r="A104" s="501"/>
      <c r="B104" s="3348" t="s">
        <v>870</v>
      </c>
      <c r="C104" s="3349"/>
      <c r="D104" s="3350"/>
      <c r="E104" s="3351" t="s">
        <v>50</v>
      </c>
      <c r="F104" s="3352"/>
      <c r="G104" s="91"/>
      <c r="H104" s="3352"/>
      <c r="I104" s="85">
        <v>31.97</v>
      </c>
      <c r="J104" s="3353"/>
      <c r="K104" s="5241">
        <f t="shared" si="40"/>
        <v>31.97</v>
      </c>
      <c r="L104" s="3352"/>
      <c r="M104" s="85">
        <v>0.51</v>
      </c>
      <c r="N104" s="1949"/>
      <c r="O104" s="67">
        <f t="shared" si="41"/>
        <v>32.479999999999997</v>
      </c>
      <c r="P104" s="3352"/>
      <c r="Q104" s="85"/>
      <c r="R104" s="1957"/>
      <c r="S104" s="37">
        <f t="shared" si="39"/>
        <v>32.479999999999997</v>
      </c>
      <c r="T104" s="3352"/>
      <c r="U104" s="85">
        <v>15.84</v>
      </c>
      <c r="V104" s="1957"/>
      <c r="W104" s="37">
        <f t="shared" si="42"/>
        <v>48.319999999999993</v>
      </c>
      <c r="X104" s="3352"/>
      <c r="Y104" s="85">
        <v>0.88</v>
      </c>
      <c r="Z104" s="850"/>
      <c r="AA104" s="6045">
        <f t="shared" si="35"/>
        <v>16.72</v>
      </c>
      <c r="AB104" s="4498"/>
      <c r="AC104" s="6046">
        <f t="shared" si="36"/>
        <v>49.199999999999996</v>
      </c>
      <c r="AD104" s="3352"/>
      <c r="AE104" s="85">
        <v>94.53</v>
      </c>
      <c r="AF104" s="1957"/>
      <c r="AG104" s="37">
        <f t="shared" si="37"/>
        <v>143.72999999999999</v>
      </c>
      <c r="AH104" s="3352"/>
      <c r="AI104" s="85">
        <v>0.5</v>
      </c>
      <c r="AJ104" s="1957"/>
      <c r="AK104" s="37">
        <f t="shared" si="29"/>
        <v>144.22999999999999</v>
      </c>
      <c r="AL104" s="3352"/>
      <c r="AM104" s="85">
        <v>14.77</v>
      </c>
      <c r="AN104" s="850"/>
      <c r="AO104" s="6612">
        <f t="shared" si="30"/>
        <v>109.8</v>
      </c>
      <c r="AP104" s="1957"/>
      <c r="AQ104" s="37">
        <f t="shared" si="31"/>
        <v>159</v>
      </c>
      <c r="AR104" s="3352"/>
      <c r="AS104" s="91">
        <v>7.09</v>
      </c>
      <c r="AT104" s="1957"/>
      <c r="AU104" s="37">
        <f t="shared" si="32"/>
        <v>166.09</v>
      </c>
      <c r="AV104" s="3352"/>
      <c r="AW104" s="91">
        <v>7.1</v>
      </c>
      <c r="AX104" s="1957"/>
      <c r="AY104" s="37">
        <f t="shared" ref="AY104:AY120" si="49">+AU104+AW104</f>
        <v>173.19</v>
      </c>
      <c r="AZ104" s="3352"/>
      <c r="BA104" s="91">
        <v>2.0300000000000002</v>
      </c>
      <c r="BB104" s="850"/>
      <c r="BC104" s="5236">
        <f t="shared" si="43"/>
        <v>16.22</v>
      </c>
      <c r="BD104" s="851"/>
      <c r="BE104" s="657">
        <f t="shared" si="44"/>
        <v>126.02</v>
      </c>
      <c r="BF104" s="1957"/>
      <c r="BG104" s="37">
        <f t="shared" si="34"/>
        <v>175.22</v>
      </c>
      <c r="BH104" s="4234">
        <f t="shared" si="25"/>
        <v>0</v>
      </c>
      <c r="BI104" s="4234">
        <f t="shared" si="26"/>
        <v>0</v>
      </c>
      <c r="BJ104" s="25"/>
      <c r="BK104" s="25">
        <f t="shared" si="27"/>
        <v>0</v>
      </c>
      <c r="BL104" s="25">
        <f t="shared" si="28"/>
        <v>0</v>
      </c>
      <c r="BM104" s="25"/>
      <c r="BN104" s="1137"/>
    </row>
    <row r="105" spans="1:66" ht="15" customHeight="1" x14ac:dyDescent="0.25">
      <c r="A105" s="501"/>
      <c r="B105" s="3348" t="s">
        <v>1770</v>
      </c>
      <c r="C105" s="4298"/>
      <c r="D105" s="4299"/>
      <c r="E105" s="3351" t="s">
        <v>50</v>
      </c>
      <c r="F105" s="4300"/>
      <c r="G105" s="519">
        <v>0.69</v>
      </c>
      <c r="H105" s="4300"/>
      <c r="I105" s="27">
        <v>1.7999999999999998</v>
      </c>
      <c r="J105" s="4301"/>
      <c r="K105" s="5241">
        <f t="shared" si="40"/>
        <v>2.4899999999999998</v>
      </c>
      <c r="L105" s="4300"/>
      <c r="M105" s="27">
        <v>1.81</v>
      </c>
      <c r="N105" s="1949"/>
      <c r="O105" s="67">
        <f t="shared" si="41"/>
        <v>4.3</v>
      </c>
      <c r="P105" s="4300"/>
      <c r="Q105" s="27"/>
      <c r="R105" s="1957"/>
      <c r="S105" s="37">
        <f t="shared" si="39"/>
        <v>4.3</v>
      </c>
      <c r="T105" s="4300"/>
      <c r="U105" s="27">
        <v>12.69</v>
      </c>
      <c r="V105" s="1957"/>
      <c r="W105" s="37">
        <f t="shared" si="42"/>
        <v>16.989999999999998</v>
      </c>
      <c r="X105" s="4300"/>
      <c r="Y105" s="27">
        <v>15.24</v>
      </c>
      <c r="Z105" s="4302"/>
      <c r="AA105" s="6045">
        <f t="shared" si="35"/>
        <v>27.93</v>
      </c>
      <c r="AB105" s="4502"/>
      <c r="AC105" s="6046">
        <f t="shared" si="36"/>
        <v>32.229999999999997</v>
      </c>
      <c r="AD105" s="4300"/>
      <c r="AE105" s="27"/>
      <c r="AF105" s="1957"/>
      <c r="AG105" s="37">
        <f t="shared" si="37"/>
        <v>32.229999999999997</v>
      </c>
      <c r="AH105" s="4300"/>
      <c r="AI105" s="27"/>
      <c r="AJ105" s="1957"/>
      <c r="AK105" s="37">
        <f t="shared" si="29"/>
        <v>32.229999999999997</v>
      </c>
      <c r="AL105" s="4300"/>
      <c r="AM105" s="27"/>
      <c r="AN105" s="4302"/>
      <c r="AO105" s="6612">
        <f t="shared" si="30"/>
        <v>0</v>
      </c>
      <c r="AP105" s="1957"/>
      <c r="AQ105" s="37">
        <f t="shared" si="31"/>
        <v>32.229999999999997</v>
      </c>
      <c r="AR105" s="4300"/>
      <c r="AS105" s="519">
        <v>0.69</v>
      </c>
      <c r="AT105" s="1957"/>
      <c r="AU105" s="37">
        <f t="shared" si="32"/>
        <v>32.919999999999995</v>
      </c>
      <c r="AV105" s="4300"/>
      <c r="AW105" s="519"/>
      <c r="AX105" s="1957"/>
      <c r="AY105" s="37">
        <f t="shared" si="49"/>
        <v>32.919999999999995</v>
      </c>
      <c r="AZ105" s="4300"/>
      <c r="BA105" s="519">
        <v>9.0300000000000011</v>
      </c>
      <c r="BB105" s="4302"/>
      <c r="BC105" s="5236">
        <f t="shared" si="43"/>
        <v>9.7200000000000006</v>
      </c>
      <c r="BD105" s="4303"/>
      <c r="BE105" s="657">
        <f t="shared" si="44"/>
        <v>9.7200000000000006</v>
      </c>
      <c r="BF105" s="1957"/>
      <c r="BG105" s="37">
        <f t="shared" si="34"/>
        <v>41.949999999999996</v>
      </c>
      <c r="BH105" s="4234">
        <f t="shared" si="25"/>
        <v>0</v>
      </c>
      <c r="BI105" s="4234">
        <f t="shared" si="26"/>
        <v>0</v>
      </c>
      <c r="BJ105" s="25"/>
      <c r="BK105" s="25">
        <f t="shared" si="27"/>
        <v>0</v>
      </c>
      <c r="BL105" s="25">
        <f t="shared" si="28"/>
        <v>0</v>
      </c>
      <c r="BM105" s="25"/>
      <c r="BN105" s="1137"/>
    </row>
    <row r="106" spans="1:66" ht="15" customHeight="1" x14ac:dyDescent="0.25">
      <c r="A106" s="501"/>
      <c r="B106" s="1535" t="s">
        <v>871</v>
      </c>
      <c r="C106" s="1536"/>
      <c r="D106" s="3354"/>
      <c r="E106" s="1969" t="s">
        <v>50</v>
      </c>
      <c r="F106" s="1935"/>
      <c r="G106" s="79">
        <v>113.87</v>
      </c>
      <c r="H106" s="1935"/>
      <c r="I106" s="17">
        <v>124.83</v>
      </c>
      <c r="J106" s="1940"/>
      <c r="K106" s="5241">
        <f t="shared" si="40"/>
        <v>238.7</v>
      </c>
      <c r="L106" s="1935"/>
      <c r="M106" s="17">
        <v>5.03</v>
      </c>
      <c r="N106" s="1949"/>
      <c r="O106" s="67">
        <f t="shared" si="41"/>
        <v>243.73</v>
      </c>
      <c r="P106" s="1935"/>
      <c r="Q106" s="17">
        <v>133.46</v>
      </c>
      <c r="R106" s="1957"/>
      <c r="S106" s="37">
        <f t="shared" si="39"/>
        <v>377.19</v>
      </c>
      <c r="T106" s="1935"/>
      <c r="U106" s="17">
        <v>85.7</v>
      </c>
      <c r="V106" s="1957"/>
      <c r="W106" s="37">
        <f t="shared" si="42"/>
        <v>462.89</v>
      </c>
      <c r="X106" s="1935"/>
      <c r="Y106" s="17">
        <v>11.05</v>
      </c>
      <c r="Z106" s="850"/>
      <c r="AA106" s="6045">
        <f t="shared" si="35"/>
        <v>230.21000000000004</v>
      </c>
      <c r="AB106" s="4501"/>
      <c r="AC106" s="6046">
        <f t="shared" si="36"/>
        <v>473.94000000000005</v>
      </c>
      <c r="AD106" s="1935"/>
      <c r="AE106" s="17">
        <v>49.15</v>
      </c>
      <c r="AF106" s="1957"/>
      <c r="AG106" s="37">
        <f t="shared" si="37"/>
        <v>523.09</v>
      </c>
      <c r="AH106" s="1935"/>
      <c r="AI106" s="17">
        <v>46.77</v>
      </c>
      <c r="AJ106" s="1957"/>
      <c r="AK106" s="37">
        <f t="shared" si="29"/>
        <v>569.86</v>
      </c>
      <c r="AL106" s="1935"/>
      <c r="AM106" s="17">
        <v>16.05</v>
      </c>
      <c r="AN106" s="850"/>
      <c r="AO106" s="6612">
        <f t="shared" si="30"/>
        <v>111.97</v>
      </c>
      <c r="AP106" s="1957"/>
      <c r="AQ106" s="37">
        <f t="shared" si="31"/>
        <v>585.91</v>
      </c>
      <c r="AR106" s="1935"/>
      <c r="AS106" s="79">
        <f>214.13+277.49</f>
        <v>491.62</v>
      </c>
      <c r="AT106" s="1957"/>
      <c r="AU106" s="37">
        <f t="shared" si="32"/>
        <v>1077.53</v>
      </c>
      <c r="AV106" s="1935"/>
      <c r="AW106" s="79">
        <v>11.51</v>
      </c>
      <c r="AX106" s="1957"/>
      <c r="AY106" s="37">
        <f t="shared" si="49"/>
        <v>1089.04</v>
      </c>
      <c r="AZ106" s="1935"/>
      <c r="BA106" s="79">
        <v>26.5</v>
      </c>
      <c r="BB106" s="850"/>
      <c r="BC106" s="5236">
        <f t="shared" si="43"/>
        <v>529.63</v>
      </c>
      <c r="BD106" s="851"/>
      <c r="BE106" s="657">
        <f t="shared" si="44"/>
        <v>641.6</v>
      </c>
      <c r="BF106" s="1957"/>
      <c r="BG106" s="37">
        <f t="shared" si="34"/>
        <v>1115.54</v>
      </c>
      <c r="BH106" s="4234">
        <f t="shared" si="25"/>
        <v>0</v>
      </c>
      <c r="BI106" s="4234">
        <f t="shared" si="26"/>
        <v>0</v>
      </c>
      <c r="BJ106" s="25"/>
      <c r="BK106" s="25">
        <f t="shared" si="27"/>
        <v>0</v>
      </c>
      <c r="BL106" s="25">
        <f t="shared" si="28"/>
        <v>0</v>
      </c>
      <c r="BM106" s="25"/>
      <c r="BN106" s="1137"/>
    </row>
    <row r="107" spans="1:66" ht="15" customHeight="1" x14ac:dyDescent="0.25">
      <c r="A107" s="501"/>
      <c r="B107" s="1535" t="s">
        <v>971</v>
      </c>
      <c r="C107" s="1536"/>
      <c r="D107" s="3354"/>
      <c r="E107" s="1969" t="s">
        <v>50</v>
      </c>
      <c r="F107" s="1935"/>
      <c r="G107" s="79"/>
      <c r="H107" s="1935"/>
      <c r="I107" s="17">
        <v>10.050000000000001</v>
      </c>
      <c r="J107" s="1940"/>
      <c r="K107" s="5241">
        <f t="shared" si="40"/>
        <v>10.050000000000001</v>
      </c>
      <c r="L107" s="1935"/>
      <c r="M107" s="17">
        <v>2.42</v>
      </c>
      <c r="N107" s="1949"/>
      <c r="O107" s="67">
        <f t="shared" si="41"/>
        <v>12.47</v>
      </c>
      <c r="P107" s="1935"/>
      <c r="Q107" s="17">
        <v>45.37</v>
      </c>
      <c r="R107" s="1957"/>
      <c r="S107" s="37">
        <f t="shared" si="39"/>
        <v>57.839999999999996</v>
      </c>
      <c r="T107" s="1935"/>
      <c r="U107" s="17">
        <v>86.05</v>
      </c>
      <c r="V107" s="1957"/>
      <c r="W107" s="37">
        <f t="shared" si="42"/>
        <v>143.88999999999999</v>
      </c>
      <c r="X107" s="1935"/>
      <c r="Y107" s="17">
        <v>39.659999999999997</v>
      </c>
      <c r="Z107" s="850"/>
      <c r="AA107" s="6045">
        <f t="shared" si="35"/>
        <v>171.07999999999998</v>
      </c>
      <c r="AB107" s="4501"/>
      <c r="AC107" s="6046">
        <f t="shared" si="36"/>
        <v>183.54999999999998</v>
      </c>
      <c r="AD107" s="1935"/>
      <c r="AE107" s="17">
        <v>115.23</v>
      </c>
      <c r="AF107" s="1957"/>
      <c r="AG107" s="37">
        <f t="shared" si="37"/>
        <v>298.77999999999997</v>
      </c>
      <c r="AH107" s="1935"/>
      <c r="AI107" s="17">
        <v>5.64</v>
      </c>
      <c r="AJ107" s="1957"/>
      <c r="AK107" s="37">
        <f t="shared" si="29"/>
        <v>304.41999999999996</v>
      </c>
      <c r="AL107" s="1935"/>
      <c r="AM107" s="17"/>
      <c r="AN107" s="850"/>
      <c r="AO107" s="6612">
        <f t="shared" si="30"/>
        <v>120.87</v>
      </c>
      <c r="AP107" s="1957"/>
      <c r="AQ107" s="37">
        <f t="shared" si="31"/>
        <v>304.41999999999996</v>
      </c>
      <c r="AR107" s="1935"/>
      <c r="AS107" s="79">
        <v>93.48</v>
      </c>
      <c r="AT107" s="1957"/>
      <c r="AU107" s="37">
        <f t="shared" si="32"/>
        <v>397.9</v>
      </c>
      <c r="AV107" s="1935"/>
      <c r="AW107" s="79">
        <v>23.62</v>
      </c>
      <c r="AX107" s="1957"/>
      <c r="AY107" s="37">
        <f t="shared" si="49"/>
        <v>421.52</v>
      </c>
      <c r="AZ107" s="1935"/>
      <c r="BA107" s="79">
        <v>34.659999999999997</v>
      </c>
      <c r="BB107" s="850"/>
      <c r="BC107" s="5236">
        <f t="shared" si="43"/>
        <v>151.76</v>
      </c>
      <c r="BD107" s="851"/>
      <c r="BE107" s="657">
        <f t="shared" si="44"/>
        <v>272.63</v>
      </c>
      <c r="BF107" s="1957"/>
      <c r="BG107" s="37">
        <f t="shared" si="34"/>
        <v>456.17999999999995</v>
      </c>
      <c r="BH107" s="4234">
        <f t="shared" si="25"/>
        <v>0</v>
      </c>
      <c r="BI107" s="4234">
        <f t="shared" si="26"/>
        <v>0</v>
      </c>
      <c r="BJ107" s="25"/>
      <c r="BK107" s="25">
        <f t="shared" si="27"/>
        <v>0</v>
      </c>
      <c r="BL107" s="25">
        <f t="shared" si="28"/>
        <v>0</v>
      </c>
      <c r="BM107" s="25"/>
      <c r="BN107" s="1137"/>
    </row>
    <row r="108" spans="1:66" ht="15" customHeight="1" x14ac:dyDescent="0.25">
      <c r="A108" s="501"/>
      <c r="B108" s="1535" t="s">
        <v>1224</v>
      </c>
      <c r="C108" s="1536"/>
      <c r="D108" s="3354"/>
      <c r="E108" s="1969" t="s">
        <v>50</v>
      </c>
      <c r="F108" s="1935"/>
      <c r="G108" s="79">
        <v>1.0900000000000001</v>
      </c>
      <c r="H108" s="1935"/>
      <c r="I108" s="17">
        <v>32.380000000000003</v>
      </c>
      <c r="J108" s="1940"/>
      <c r="K108" s="5241">
        <f t="shared" si="40"/>
        <v>33.470000000000006</v>
      </c>
      <c r="L108" s="1935"/>
      <c r="M108" s="17">
        <v>8.6999999999999993</v>
      </c>
      <c r="N108" s="1949"/>
      <c r="O108" s="67">
        <f t="shared" si="41"/>
        <v>42.17</v>
      </c>
      <c r="P108" s="1935"/>
      <c r="Q108" s="17"/>
      <c r="R108" s="1957"/>
      <c r="S108" s="37">
        <f t="shared" si="39"/>
        <v>42.17</v>
      </c>
      <c r="T108" s="1935"/>
      <c r="U108" s="17">
        <v>20.239999999999998</v>
      </c>
      <c r="V108" s="1957"/>
      <c r="W108" s="37">
        <f t="shared" si="42"/>
        <v>62.41</v>
      </c>
      <c r="X108" s="1935"/>
      <c r="Y108" s="17">
        <v>22.31</v>
      </c>
      <c r="Z108" s="850"/>
      <c r="AA108" s="6045">
        <f t="shared" si="35"/>
        <v>42.55</v>
      </c>
      <c r="AB108" s="4501"/>
      <c r="AC108" s="6046">
        <f t="shared" si="36"/>
        <v>84.72</v>
      </c>
      <c r="AD108" s="1935"/>
      <c r="AE108" s="17"/>
      <c r="AF108" s="1957"/>
      <c r="AG108" s="37">
        <f t="shared" si="37"/>
        <v>84.72</v>
      </c>
      <c r="AH108" s="1935"/>
      <c r="AI108" s="17">
        <v>75.069999999999993</v>
      </c>
      <c r="AJ108" s="1957"/>
      <c r="AK108" s="37">
        <f t="shared" si="29"/>
        <v>159.79</v>
      </c>
      <c r="AL108" s="1935"/>
      <c r="AM108" s="17">
        <v>29.37</v>
      </c>
      <c r="AN108" s="850"/>
      <c r="AO108" s="6612">
        <f t="shared" si="30"/>
        <v>104.44</v>
      </c>
      <c r="AP108" s="1957"/>
      <c r="AQ108" s="37">
        <f t="shared" si="31"/>
        <v>189.16</v>
      </c>
      <c r="AR108" s="1935"/>
      <c r="AS108" s="79">
        <v>2.1800000000000002</v>
      </c>
      <c r="AT108" s="1957"/>
      <c r="AU108" s="37">
        <f t="shared" si="32"/>
        <v>191.34</v>
      </c>
      <c r="AV108" s="1935"/>
      <c r="AW108" s="79">
        <v>2.99</v>
      </c>
      <c r="AX108" s="1957"/>
      <c r="AY108" s="37">
        <f t="shared" si="49"/>
        <v>194.33</v>
      </c>
      <c r="AZ108" s="1935"/>
      <c r="BA108" s="79">
        <v>57.13</v>
      </c>
      <c r="BB108" s="850"/>
      <c r="BC108" s="5236">
        <f t="shared" si="43"/>
        <v>62.300000000000004</v>
      </c>
      <c r="BD108" s="851"/>
      <c r="BE108" s="657">
        <f t="shared" si="44"/>
        <v>166.74</v>
      </c>
      <c r="BF108" s="1957"/>
      <c r="BG108" s="37">
        <f t="shared" si="34"/>
        <v>251.46</v>
      </c>
      <c r="BH108" s="4234">
        <f t="shared" si="25"/>
        <v>0</v>
      </c>
      <c r="BI108" s="4234">
        <f t="shared" si="26"/>
        <v>0</v>
      </c>
      <c r="BJ108" s="25"/>
      <c r="BK108" s="25">
        <f t="shared" si="27"/>
        <v>0</v>
      </c>
      <c r="BL108" s="25">
        <f t="shared" si="28"/>
        <v>0</v>
      </c>
      <c r="BM108" s="25"/>
      <c r="BN108" s="1137"/>
    </row>
    <row r="109" spans="1:66" s="2498" customFormat="1" ht="15" customHeight="1" x14ac:dyDescent="0.25">
      <c r="A109" s="501"/>
      <c r="B109" s="1535" t="s">
        <v>1251</v>
      </c>
      <c r="C109" s="1536"/>
      <c r="D109" s="3354"/>
      <c r="E109" s="1969" t="s">
        <v>50</v>
      </c>
      <c r="F109" s="1935"/>
      <c r="G109" s="79">
        <v>20</v>
      </c>
      <c r="H109" s="1935"/>
      <c r="I109" s="17">
        <v>62.22</v>
      </c>
      <c r="J109" s="1940"/>
      <c r="K109" s="5241">
        <f t="shared" si="40"/>
        <v>82.22</v>
      </c>
      <c r="L109" s="1935"/>
      <c r="M109" s="17">
        <v>37.58</v>
      </c>
      <c r="N109" s="1949"/>
      <c r="O109" s="67">
        <f t="shared" si="41"/>
        <v>119.8</v>
      </c>
      <c r="P109" s="1935"/>
      <c r="Q109" s="17">
        <v>9.5399999999999991</v>
      </c>
      <c r="R109" s="1957"/>
      <c r="S109" s="37">
        <f t="shared" si="39"/>
        <v>129.34</v>
      </c>
      <c r="T109" s="1935"/>
      <c r="U109" s="17">
        <v>24.71</v>
      </c>
      <c r="V109" s="1957"/>
      <c r="W109" s="37">
        <f t="shared" si="42"/>
        <v>154.05000000000001</v>
      </c>
      <c r="X109" s="1935"/>
      <c r="Y109" s="17">
        <v>2.94</v>
      </c>
      <c r="Z109" s="850"/>
      <c r="AA109" s="6045">
        <f t="shared" si="35"/>
        <v>37.19</v>
      </c>
      <c r="AB109" s="4501"/>
      <c r="AC109" s="6046">
        <f t="shared" si="36"/>
        <v>156.99</v>
      </c>
      <c r="AD109" s="1935"/>
      <c r="AE109" s="17"/>
      <c r="AF109" s="1957"/>
      <c r="AG109" s="37">
        <f t="shared" si="37"/>
        <v>156.99</v>
      </c>
      <c r="AH109" s="1935"/>
      <c r="AI109" s="17">
        <v>2.94</v>
      </c>
      <c r="AJ109" s="1957"/>
      <c r="AK109" s="37">
        <f t="shared" si="29"/>
        <v>159.93</v>
      </c>
      <c r="AL109" s="1935"/>
      <c r="AM109" s="17">
        <v>1.22</v>
      </c>
      <c r="AN109" s="850"/>
      <c r="AO109" s="6612">
        <f t="shared" si="30"/>
        <v>4.16</v>
      </c>
      <c r="AP109" s="1957"/>
      <c r="AQ109" s="37">
        <f t="shared" si="31"/>
        <v>161.15</v>
      </c>
      <c r="AR109" s="1935"/>
      <c r="AS109" s="79">
        <v>2.93</v>
      </c>
      <c r="AT109" s="1957"/>
      <c r="AU109" s="37">
        <f t="shared" si="32"/>
        <v>164.08</v>
      </c>
      <c r="AV109" s="1935"/>
      <c r="AW109" s="79">
        <v>2.8</v>
      </c>
      <c r="AX109" s="1957"/>
      <c r="AY109" s="37">
        <f t="shared" si="49"/>
        <v>166.88000000000002</v>
      </c>
      <c r="AZ109" s="1935"/>
      <c r="BA109" s="79">
        <v>9.0399999999999991</v>
      </c>
      <c r="BB109" s="850"/>
      <c r="BC109" s="5236">
        <f t="shared" si="43"/>
        <v>14.77</v>
      </c>
      <c r="BD109" s="851"/>
      <c r="BE109" s="657">
        <f t="shared" si="44"/>
        <v>18.93</v>
      </c>
      <c r="BF109" s="1957"/>
      <c r="BG109" s="37">
        <f t="shared" si="34"/>
        <v>175.92000000000002</v>
      </c>
      <c r="BH109" s="4234">
        <f t="shared" si="25"/>
        <v>0</v>
      </c>
      <c r="BI109" s="4234">
        <f t="shared" si="26"/>
        <v>0</v>
      </c>
      <c r="BJ109" s="25"/>
      <c r="BK109" s="25">
        <f t="shared" si="27"/>
        <v>0</v>
      </c>
      <c r="BL109" s="25">
        <f t="shared" si="28"/>
        <v>0</v>
      </c>
      <c r="BM109" s="25"/>
      <c r="BN109" s="1137"/>
    </row>
    <row r="110" spans="1:66" ht="15" customHeight="1" x14ac:dyDescent="0.25">
      <c r="A110" s="501"/>
      <c r="B110" s="1535" t="s">
        <v>1567</v>
      </c>
      <c r="C110" s="1536"/>
      <c r="D110" s="3354"/>
      <c r="E110" s="1969" t="s">
        <v>50</v>
      </c>
      <c r="F110" s="1935"/>
      <c r="G110" s="79"/>
      <c r="H110" s="1935"/>
      <c r="I110" s="17"/>
      <c r="J110" s="1940"/>
      <c r="K110" s="5241">
        <f t="shared" si="40"/>
        <v>0</v>
      </c>
      <c r="L110" s="1935"/>
      <c r="M110" s="17"/>
      <c r="N110" s="1949"/>
      <c r="O110" s="67">
        <f t="shared" si="41"/>
        <v>0</v>
      </c>
      <c r="P110" s="1935"/>
      <c r="Q110" s="17"/>
      <c r="R110" s="1957"/>
      <c r="S110" s="37">
        <f t="shared" si="39"/>
        <v>0</v>
      </c>
      <c r="T110" s="1935"/>
      <c r="U110" s="17"/>
      <c r="V110" s="1957"/>
      <c r="W110" s="37">
        <f t="shared" si="42"/>
        <v>0</v>
      </c>
      <c r="X110" s="1935"/>
      <c r="Y110" s="17"/>
      <c r="Z110" s="850"/>
      <c r="AA110" s="6045">
        <f t="shared" si="35"/>
        <v>0</v>
      </c>
      <c r="AB110" s="4501"/>
      <c r="AC110" s="6046">
        <f t="shared" si="36"/>
        <v>0</v>
      </c>
      <c r="AD110" s="1935"/>
      <c r="AE110" s="17"/>
      <c r="AF110" s="1957"/>
      <c r="AG110" s="37">
        <f t="shared" si="37"/>
        <v>0</v>
      </c>
      <c r="AH110" s="1935"/>
      <c r="AI110" s="17"/>
      <c r="AJ110" s="1957"/>
      <c r="AK110" s="37">
        <f t="shared" si="29"/>
        <v>0</v>
      </c>
      <c r="AL110" s="1935"/>
      <c r="AM110" s="17"/>
      <c r="AN110" s="850"/>
      <c r="AO110" s="6612">
        <f t="shared" si="30"/>
        <v>0</v>
      </c>
      <c r="AP110" s="1957"/>
      <c r="AQ110" s="37">
        <f t="shared" si="31"/>
        <v>0</v>
      </c>
      <c r="AR110" s="1935"/>
      <c r="AS110" s="79"/>
      <c r="AT110" s="1957"/>
      <c r="AU110" s="37">
        <f t="shared" si="32"/>
        <v>0</v>
      </c>
      <c r="AV110" s="1935"/>
      <c r="AW110" s="79"/>
      <c r="AX110" s="1957"/>
      <c r="AY110" s="37">
        <f t="shared" si="49"/>
        <v>0</v>
      </c>
      <c r="AZ110" s="1935"/>
      <c r="BA110" s="79"/>
      <c r="BB110" s="850"/>
      <c r="BC110" s="5236">
        <f t="shared" si="43"/>
        <v>0</v>
      </c>
      <c r="BD110" s="851"/>
      <c r="BE110" s="657">
        <f t="shared" si="44"/>
        <v>0</v>
      </c>
      <c r="BF110" s="1957"/>
      <c r="BG110" s="37">
        <f t="shared" si="34"/>
        <v>0</v>
      </c>
      <c r="BH110" s="4234">
        <f t="shared" si="25"/>
        <v>0</v>
      </c>
      <c r="BI110" s="4234">
        <f t="shared" si="26"/>
        <v>0</v>
      </c>
      <c r="BJ110" s="25"/>
      <c r="BK110" s="25">
        <f t="shared" si="27"/>
        <v>0</v>
      </c>
      <c r="BL110" s="25">
        <f t="shared" si="28"/>
        <v>0</v>
      </c>
      <c r="BM110" s="25"/>
      <c r="BN110" s="1137"/>
    </row>
    <row r="111" spans="1:66" ht="15" customHeight="1" x14ac:dyDescent="0.25">
      <c r="A111" s="501"/>
      <c r="B111" s="1535" t="s">
        <v>1398</v>
      </c>
      <c r="C111" s="1536"/>
      <c r="D111" s="3354"/>
      <c r="E111" s="1969" t="s">
        <v>50</v>
      </c>
      <c r="F111" s="1935"/>
      <c r="G111" s="79"/>
      <c r="H111" s="1935"/>
      <c r="I111" s="17">
        <v>1.8</v>
      </c>
      <c r="J111" s="1940"/>
      <c r="K111" s="5241">
        <f t="shared" si="40"/>
        <v>1.8</v>
      </c>
      <c r="L111" s="1935"/>
      <c r="M111" s="17">
        <v>49.29</v>
      </c>
      <c r="N111" s="1949"/>
      <c r="O111" s="67">
        <f t="shared" si="41"/>
        <v>51.089999999999996</v>
      </c>
      <c r="P111" s="1935"/>
      <c r="Q111" s="17"/>
      <c r="R111" s="1957"/>
      <c r="S111" s="37">
        <f t="shared" si="39"/>
        <v>51.089999999999996</v>
      </c>
      <c r="T111" s="1935"/>
      <c r="U111" s="17"/>
      <c r="V111" s="1957"/>
      <c r="W111" s="37">
        <f t="shared" si="42"/>
        <v>51.089999999999996</v>
      </c>
      <c r="X111" s="1935"/>
      <c r="Y111" s="17">
        <v>27.44</v>
      </c>
      <c r="Z111" s="850"/>
      <c r="AA111" s="6045">
        <f t="shared" si="35"/>
        <v>27.44</v>
      </c>
      <c r="AB111" s="4501"/>
      <c r="AC111" s="6046">
        <f t="shared" si="36"/>
        <v>78.53</v>
      </c>
      <c r="AD111" s="1935"/>
      <c r="AE111" s="17"/>
      <c r="AF111" s="1957"/>
      <c r="AG111" s="37">
        <f t="shared" si="37"/>
        <v>78.53</v>
      </c>
      <c r="AH111" s="1935"/>
      <c r="AI111" s="17">
        <v>151.5</v>
      </c>
      <c r="AJ111" s="1957"/>
      <c r="AK111" s="37">
        <f t="shared" si="29"/>
        <v>230.03</v>
      </c>
      <c r="AL111" s="1935"/>
      <c r="AM111" s="17">
        <v>153.30000000000001</v>
      </c>
      <c r="AN111" s="850"/>
      <c r="AO111" s="6612">
        <f t="shared" si="30"/>
        <v>304.8</v>
      </c>
      <c r="AP111" s="1957"/>
      <c r="AQ111" s="37">
        <f t="shared" si="31"/>
        <v>383.33000000000004</v>
      </c>
      <c r="AR111" s="1935"/>
      <c r="AS111" s="79">
        <v>33.64</v>
      </c>
      <c r="AT111" s="1957"/>
      <c r="AU111" s="37">
        <f t="shared" si="32"/>
        <v>416.97</v>
      </c>
      <c r="AV111" s="1935"/>
      <c r="AW111" s="79"/>
      <c r="AX111" s="1957"/>
      <c r="AY111" s="37">
        <f t="shared" si="49"/>
        <v>416.97</v>
      </c>
      <c r="AZ111" s="1935"/>
      <c r="BA111" s="79"/>
      <c r="BB111" s="850"/>
      <c r="BC111" s="5236">
        <f t="shared" si="43"/>
        <v>33.64</v>
      </c>
      <c r="BD111" s="851"/>
      <c r="BE111" s="657">
        <f t="shared" si="44"/>
        <v>338.44</v>
      </c>
      <c r="BF111" s="1957"/>
      <c r="BG111" s="37">
        <f t="shared" si="34"/>
        <v>416.97</v>
      </c>
      <c r="BH111" s="4234">
        <f t="shared" si="25"/>
        <v>0</v>
      </c>
      <c r="BI111" s="4234">
        <f t="shared" si="26"/>
        <v>0</v>
      </c>
      <c r="BJ111" s="25"/>
      <c r="BK111" s="25">
        <f t="shared" si="27"/>
        <v>0</v>
      </c>
      <c r="BL111" s="25">
        <f t="shared" si="28"/>
        <v>0</v>
      </c>
      <c r="BM111" s="25"/>
      <c r="BN111" s="1137"/>
    </row>
    <row r="112" spans="1:66" ht="15" customHeight="1" x14ac:dyDescent="0.25">
      <c r="A112" s="501"/>
      <c r="B112" s="1535" t="s">
        <v>899</v>
      </c>
      <c r="C112" s="1536"/>
      <c r="D112" s="3354"/>
      <c r="E112" s="1969" t="s">
        <v>50</v>
      </c>
      <c r="F112" s="1935"/>
      <c r="G112" s="79"/>
      <c r="H112" s="1935"/>
      <c r="I112" s="17"/>
      <c r="J112" s="1940"/>
      <c r="K112" s="5241">
        <f t="shared" si="40"/>
        <v>0</v>
      </c>
      <c r="L112" s="1935"/>
      <c r="M112" s="17"/>
      <c r="N112" s="1949"/>
      <c r="O112" s="67">
        <f t="shared" si="41"/>
        <v>0</v>
      </c>
      <c r="P112" s="1935"/>
      <c r="Q112" s="17"/>
      <c r="R112" s="1957"/>
      <c r="S112" s="37">
        <f t="shared" si="39"/>
        <v>0</v>
      </c>
      <c r="T112" s="1935"/>
      <c r="U112" s="17"/>
      <c r="V112" s="1957"/>
      <c r="W112" s="37">
        <f t="shared" si="42"/>
        <v>0</v>
      </c>
      <c r="X112" s="1935"/>
      <c r="Y112" s="17"/>
      <c r="Z112" s="850"/>
      <c r="AA112" s="6045">
        <f t="shared" si="35"/>
        <v>0</v>
      </c>
      <c r="AB112" s="4501"/>
      <c r="AC112" s="6046">
        <f t="shared" si="36"/>
        <v>0</v>
      </c>
      <c r="AD112" s="1935"/>
      <c r="AE112" s="17"/>
      <c r="AF112" s="1957"/>
      <c r="AG112" s="37">
        <f t="shared" si="37"/>
        <v>0</v>
      </c>
      <c r="AH112" s="1935"/>
      <c r="AI112" s="17"/>
      <c r="AJ112" s="1957"/>
      <c r="AK112" s="37">
        <f t="shared" si="29"/>
        <v>0</v>
      </c>
      <c r="AL112" s="1935"/>
      <c r="AM112" s="17">
        <v>58.36</v>
      </c>
      <c r="AN112" s="850"/>
      <c r="AO112" s="6612">
        <f t="shared" si="30"/>
        <v>58.36</v>
      </c>
      <c r="AP112" s="1957"/>
      <c r="AQ112" s="37">
        <f t="shared" si="31"/>
        <v>58.36</v>
      </c>
      <c r="AR112" s="1935"/>
      <c r="AS112" s="79"/>
      <c r="AT112" s="1957"/>
      <c r="AU112" s="37">
        <f t="shared" si="32"/>
        <v>58.36</v>
      </c>
      <c r="AV112" s="1935"/>
      <c r="AW112" s="79">
        <v>4.37</v>
      </c>
      <c r="AX112" s="1957"/>
      <c r="AY112" s="37">
        <f t="shared" si="49"/>
        <v>62.73</v>
      </c>
      <c r="AZ112" s="1935"/>
      <c r="BA112" s="79"/>
      <c r="BB112" s="850"/>
      <c r="BC112" s="5236">
        <f t="shared" si="43"/>
        <v>4.37</v>
      </c>
      <c r="BD112" s="851"/>
      <c r="BE112" s="657">
        <f t="shared" si="44"/>
        <v>62.73</v>
      </c>
      <c r="BF112" s="1957"/>
      <c r="BG112" s="37">
        <f t="shared" si="34"/>
        <v>62.73</v>
      </c>
      <c r="BH112" s="4234">
        <f t="shared" si="25"/>
        <v>0</v>
      </c>
      <c r="BI112" s="4234">
        <f t="shared" si="26"/>
        <v>0</v>
      </c>
      <c r="BJ112" s="25"/>
      <c r="BK112" s="25">
        <f t="shared" si="27"/>
        <v>0</v>
      </c>
      <c r="BL112" s="25">
        <f t="shared" si="28"/>
        <v>0</v>
      </c>
      <c r="BM112" s="25"/>
      <c r="BN112" s="1137"/>
    </row>
    <row r="113" spans="1:66" ht="15" customHeight="1" x14ac:dyDescent="0.25">
      <c r="A113" s="501"/>
      <c r="B113" s="1535" t="s">
        <v>1244</v>
      </c>
      <c r="C113" s="1536"/>
      <c r="D113" s="3354"/>
      <c r="E113" s="1969" t="s">
        <v>50</v>
      </c>
      <c r="F113" s="1935"/>
      <c r="G113" s="79"/>
      <c r="H113" s="1935"/>
      <c r="I113" s="17"/>
      <c r="J113" s="1940"/>
      <c r="K113" s="5241">
        <f t="shared" si="40"/>
        <v>0</v>
      </c>
      <c r="L113" s="1935"/>
      <c r="M113" s="17"/>
      <c r="N113" s="1949"/>
      <c r="O113" s="67">
        <f t="shared" si="41"/>
        <v>0</v>
      </c>
      <c r="P113" s="1935"/>
      <c r="Q113" s="17">
        <v>4.0999999999999996</v>
      </c>
      <c r="R113" s="1957"/>
      <c r="S113" s="37">
        <f t="shared" si="39"/>
        <v>4.0999999999999996</v>
      </c>
      <c r="T113" s="1935"/>
      <c r="U113" s="17">
        <v>1.64</v>
      </c>
      <c r="V113" s="1957"/>
      <c r="W113" s="37">
        <f t="shared" si="42"/>
        <v>5.7399999999999993</v>
      </c>
      <c r="X113" s="1935"/>
      <c r="Y113" s="17">
        <v>0.82</v>
      </c>
      <c r="Z113" s="850"/>
      <c r="AA113" s="6045">
        <f t="shared" si="35"/>
        <v>6.56</v>
      </c>
      <c r="AB113" s="4501"/>
      <c r="AC113" s="6046">
        <f t="shared" si="36"/>
        <v>6.56</v>
      </c>
      <c r="AD113" s="1935"/>
      <c r="AE113" s="17"/>
      <c r="AF113" s="1957"/>
      <c r="AG113" s="37">
        <f t="shared" si="37"/>
        <v>6.56</v>
      </c>
      <c r="AH113" s="1935"/>
      <c r="AI113" s="17">
        <v>0.41</v>
      </c>
      <c r="AJ113" s="1957"/>
      <c r="AK113" s="37">
        <f t="shared" si="29"/>
        <v>6.97</v>
      </c>
      <c r="AL113" s="1935"/>
      <c r="AM113" s="17"/>
      <c r="AN113" s="850"/>
      <c r="AO113" s="6612">
        <f t="shared" si="30"/>
        <v>0.41</v>
      </c>
      <c r="AP113" s="1957"/>
      <c r="AQ113" s="37">
        <f t="shared" si="31"/>
        <v>6.97</v>
      </c>
      <c r="AR113" s="1935"/>
      <c r="AS113" s="79">
        <v>2.87</v>
      </c>
      <c r="AT113" s="1957"/>
      <c r="AU113" s="37">
        <f t="shared" si="32"/>
        <v>9.84</v>
      </c>
      <c r="AV113" s="1935"/>
      <c r="AW113" s="79">
        <v>0.82</v>
      </c>
      <c r="AX113" s="1957"/>
      <c r="AY113" s="37">
        <f t="shared" si="49"/>
        <v>10.66</v>
      </c>
      <c r="AZ113" s="1935"/>
      <c r="BA113" s="79">
        <v>7.03</v>
      </c>
      <c r="BB113" s="850"/>
      <c r="BC113" s="5236">
        <f t="shared" si="43"/>
        <v>10.72</v>
      </c>
      <c r="BD113" s="851"/>
      <c r="BE113" s="657">
        <f t="shared" si="44"/>
        <v>11.13</v>
      </c>
      <c r="BF113" s="1957"/>
      <c r="BG113" s="37">
        <f t="shared" si="34"/>
        <v>17.690000000000001</v>
      </c>
      <c r="BH113" s="4234">
        <f t="shared" si="25"/>
        <v>0</v>
      </c>
      <c r="BI113" s="4234">
        <f t="shared" si="26"/>
        <v>0</v>
      </c>
      <c r="BJ113" s="25"/>
      <c r="BK113" s="25">
        <f t="shared" si="27"/>
        <v>0</v>
      </c>
      <c r="BL113" s="25">
        <f t="shared" si="28"/>
        <v>0</v>
      </c>
      <c r="BM113" s="25"/>
      <c r="BN113" s="1137"/>
    </row>
    <row r="114" spans="1:66" ht="15" customHeight="1" x14ac:dyDescent="0.25">
      <c r="A114" s="501"/>
      <c r="B114" s="1535" t="s">
        <v>1156</v>
      </c>
      <c r="C114" s="1536"/>
      <c r="D114" s="3354"/>
      <c r="E114" s="1969" t="s">
        <v>50</v>
      </c>
      <c r="F114" s="1935"/>
      <c r="G114" s="79">
        <v>1.21</v>
      </c>
      <c r="H114" s="1935"/>
      <c r="I114" s="17"/>
      <c r="J114" s="1940"/>
      <c r="K114" s="5241">
        <f t="shared" si="40"/>
        <v>1.21</v>
      </c>
      <c r="L114" s="1935"/>
      <c r="M114" s="17"/>
      <c r="N114" s="1949"/>
      <c r="O114" s="67">
        <f t="shared" si="41"/>
        <v>1.21</v>
      </c>
      <c r="P114" s="1935"/>
      <c r="Q114" s="17"/>
      <c r="R114" s="1957"/>
      <c r="S114" s="37">
        <f t="shared" si="39"/>
        <v>1.21</v>
      </c>
      <c r="T114" s="1935"/>
      <c r="U114" s="17">
        <v>17.02</v>
      </c>
      <c r="V114" s="1957"/>
      <c r="W114" s="37">
        <f t="shared" si="42"/>
        <v>18.23</v>
      </c>
      <c r="X114" s="1935"/>
      <c r="Y114" s="17">
        <v>7.02</v>
      </c>
      <c r="Z114" s="850"/>
      <c r="AA114" s="6045">
        <f t="shared" si="35"/>
        <v>24.04</v>
      </c>
      <c r="AB114" s="4501"/>
      <c r="AC114" s="6046">
        <f t="shared" si="36"/>
        <v>25.25</v>
      </c>
      <c r="AD114" s="1935"/>
      <c r="AE114" s="17"/>
      <c r="AF114" s="1957"/>
      <c r="AG114" s="37">
        <f t="shared" si="37"/>
        <v>25.25</v>
      </c>
      <c r="AH114" s="1935"/>
      <c r="AI114" s="17">
        <v>45.16</v>
      </c>
      <c r="AJ114" s="1957"/>
      <c r="AK114" s="37">
        <f t="shared" si="29"/>
        <v>70.41</v>
      </c>
      <c r="AL114" s="1935"/>
      <c r="AM114" s="17"/>
      <c r="AN114" s="850"/>
      <c r="AO114" s="6612">
        <f t="shared" si="30"/>
        <v>45.16</v>
      </c>
      <c r="AP114" s="1957"/>
      <c r="AQ114" s="37">
        <f t="shared" si="31"/>
        <v>70.41</v>
      </c>
      <c r="AR114" s="1935"/>
      <c r="AS114" s="79"/>
      <c r="AT114" s="1957"/>
      <c r="AU114" s="37">
        <f t="shared" si="32"/>
        <v>70.41</v>
      </c>
      <c r="AV114" s="1935"/>
      <c r="AW114" s="79"/>
      <c r="AX114" s="1957"/>
      <c r="AY114" s="37">
        <f t="shared" si="49"/>
        <v>70.41</v>
      </c>
      <c r="AZ114" s="1935"/>
      <c r="BA114" s="79"/>
      <c r="BB114" s="850"/>
      <c r="BC114" s="5236">
        <f t="shared" si="43"/>
        <v>0</v>
      </c>
      <c r="BD114" s="851"/>
      <c r="BE114" s="657">
        <f t="shared" si="44"/>
        <v>45.16</v>
      </c>
      <c r="BF114" s="1957"/>
      <c r="BG114" s="37">
        <f t="shared" si="34"/>
        <v>70.41</v>
      </c>
      <c r="BH114" s="4234">
        <f t="shared" si="25"/>
        <v>0</v>
      </c>
      <c r="BI114" s="4234">
        <f t="shared" si="26"/>
        <v>0</v>
      </c>
      <c r="BJ114" s="25"/>
      <c r="BK114" s="25">
        <f t="shared" si="27"/>
        <v>0</v>
      </c>
      <c r="BL114" s="25">
        <f t="shared" si="28"/>
        <v>0</v>
      </c>
      <c r="BM114" s="25"/>
      <c r="BN114" s="1137"/>
    </row>
    <row r="115" spans="1:66" ht="15" customHeight="1" x14ac:dyDescent="0.25">
      <c r="A115" s="501"/>
      <c r="B115" s="1535" t="s">
        <v>1277</v>
      </c>
      <c r="C115" s="1536"/>
      <c r="D115" s="3354"/>
      <c r="E115" s="1969" t="s">
        <v>50</v>
      </c>
      <c r="F115" s="1935"/>
      <c r="G115" s="79"/>
      <c r="H115" s="1935"/>
      <c r="I115" s="17"/>
      <c r="J115" s="1940"/>
      <c r="K115" s="5241">
        <f t="shared" si="40"/>
        <v>0</v>
      </c>
      <c r="L115" s="1935"/>
      <c r="M115" s="17">
        <v>5.99</v>
      </c>
      <c r="N115" s="1949"/>
      <c r="O115" s="67">
        <f t="shared" si="41"/>
        <v>5.99</v>
      </c>
      <c r="P115" s="1935"/>
      <c r="Q115" s="17"/>
      <c r="R115" s="1957"/>
      <c r="S115" s="37">
        <f t="shared" si="39"/>
        <v>5.99</v>
      </c>
      <c r="T115" s="1935"/>
      <c r="U115" s="17"/>
      <c r="V115" s="1957"/>
      <c r="W115" s="37">
        <f t="shared" si="42"/>
        <v>5.99</v>
      </c>
      <c r="X115" s="1935"/>
      <c r="Y115" s="17"/>
      <c r="Z115" s="850"/>
      <c r="AA115" s="6045">
        <f t="shared" si="35"/>
        <v>0</v>
      </c>
      <c r="AB115" s="4501"/>
      <c r="AC115" s="6046">
        <f t="shared" si="36"/>
        <v>5.99</v>
      </c>
      <c r="AD115" s="1935"/>
      <c r="AE115" s="17"/>
      <c r="AF115" s="1957"/>
      <c r="AG115" s="37">
        <f t="shared" si="37"/>
        <v>5.99</v>
      </c>
      <c r="AH115" s="1935"/>
      <c r="AI115" s="17"/>
      <c r="AJ115" s="1957"/>
      <c r="AK115" s="37">
        <f t="shared" si="29"/>
        <v>5.99</v>
      </c>
      <c r="AL115" s="1935"/>
      <c r="AM115" s="17">
        <v>55.88</v>
      </c>
      <c r="AN115" s="850"/>
      <c r="AO115" s="6612">
        <f t="shared" si="30"/>
        <v>55.88</v>
      </c>
      <c r="AP115" s="1957"/>
      <c r="AQ115" s="37">
        <f t="shared" si="31"/>
        <v>61.870000000000005</v>
      </c>
      <c r="AR115" s="1935"/>
      <c r="AS115" s="79"/>
      <c r="AT115" s="1957"/>
      <c r="AU115" s="37">
        <f t="shared" si="32"/>
        <v>61.870000000000005</v>
      </c>
      <c r="AV115" s="1935"/>
      <c r="AW115" s="79"/>
      <c r="AX115" s="1957"/>
      <c r="AY115" s="37">
        <f t="shared" si="49"/>
        <v>61.870000000000005</v>
      </c>
      <c r="AZ115" s="1935"/>
      <c r="BA115" s="79"/>
      <c r="BB115" s="850"/>
      <c r="BC115" s="5236">
        <f t="shared" si="43"/>
        <v>0</v>
      </c>
      <c r="BD115" s="851"/>
      <c r="BE115" s="657">
        <f t="shared" si="44"/>
        <v>55.88</v>
      </c>
      <c r="BF115" s="1957"/>
      <c r="BG115" s="37">
        <f t="shared" si="34"/>
        <v>61.870000000000005</v>
      </c>
      <c r="BH115" s="4234">
        <f t="shared" si="25"/>
        <v>0</v>
      </c>
      <c r="BI115" s="4234">
        <f t="shared" si="26"/>
        <v>0</v>
      </c>
      <c r="BJ115" s="25"/>
      <c r="BK115" s="25">
        <f t="shared" si="27"/>
        <v>0</v>
      </c>
      <c r="BL115" s="25">
        <f t="shared" si="28"/>
        <v>0</v>
      </c>
      <c r="BM115" s="25"/>
      <c r="BN115" s="1137"/>
    </row>
    <row r="116" spans="1:66" ht="15" customHeight="1" x14ac:dyDescent="0.25">
      <c r="A116" s="501"/>
      <c r="B116" s="1535" t="s">
        <v>1101</v>
      </c>
      <c r="C116" s="1536"/>
      <c r="D116" s="3354"/>
      <c r="E116" s="1969" t="s">
        <v>50</v>
      </c>
      <c r="F116" s="1935"/>
      <c r="G116" s="79">
        <v>13.130000000000003</v>
      </c>
      <c r="H116" s="1935"/>
      <c r="I116" s="17">
        <v>108.19</v>
      </c>
      <c r="J116" s="1940"/>
      <c r="K116" s="5241">
        <f t="shared" si="40"/>
        <v>121.32</v>
      </c>
      <c r="L116" s="1935"/>
      <c r="M116" s="17">
        <v>13.51</v>
      </c>
      <c r="N116" s="1949"/>
      <c r="O116" s="67">
        <f t="shared" si="41"/>
        <v>134.82999999999998</v>
      </c>
      <c r="P116" s="1935"/>
      <c r="Q116" s="17">
        <v>43.86</v>
      </c>
      <c r="R116" s="1957"/>
      <c r="S116" s="37">
        <f t="shared" si="39"/>
        <v>178.69</v>
      </c>
      <c r="T116" s="1935"/>
      <c r="U116" s="17">
        <v>51.479999999999983</v>
      </c>
      <c r="V116" s="1957"/>
      <c r="W116" s="37">
        <f t="shared" si="42"/>
        <v>230.17</v>
      </c>
      <c r="X116" s="1935"/>
      <c r="Y116" s="17">
        <v>85.71</v>
      </c>
      <c r="Z116" s="850"/>
      <c r="AA116" s="6045">
        <f t="shared" si="35"/>
        <v>181.04999999999995</v>
      </c>
      <c r="AB116" s="4501"/>
      <c r="AC116" s="6046">
        <f t="shared" si="36"/>
        <v>315.87999999999994</v>
      </c>
      <c r="AD116" s="1935"/>
      <c r="AE116" s="17"/>
      <c r="AF116" s="1957"/>
      <c r="AG116" s="37">
        <f t="shared" si="37"/>
        <v>315.87999999999994</v>
      </c>
      <c r="AH116" s="1935"/>
      <c r="AI116" s="17">
        <v>52.54</v>
      </c>
      <c r="AJ116" s="1957"/>
      <c r="AK116" s="37">
        <f t="shared" si="29"/>
        <v>368.41999999999996</v>
      </c>
      <c r="AL116" s="1935"/>
      <c r="AM116" s="17">
        <v>59.82</v>
      </c>
      <c r="AN116" s="850"/>
      <c r="AO116" s="6612">
        <f t="shared" si="30"/>
        <v>112.36</v>
      </c>
      <c r="AP116" s="1957"/>
      <c r="AQ116" s="37">
        <f t="shared" si="31"/>
        <v>428.23999999999995</v>
      </c>
      <c r="AR116" s="1935"/>
      <c r="AS116" s="79">
        <v>37.880000000000003</v>
      </c>
      <c r="AT116" s="1957"/>
      <c r="AU116" s="37">
        <f t="shared" si="32"/>
        <v>466.11999999999995</v>
      </c>
      <c r="AV116" s="1935"/>
      <c r="AW116" s="79"/>
      <c r="AX116" s="1957"/>
      <c r="AY116" s="37">
        <f t="shared" si="49"/>
        <v>466.11999999999995</v>
      </c>
      <c r="AZ116" s="1935"/>
      <c r="BA116" s="79">
        <v>11.379999999999999</v>
      </c>
      <c r="BB116" s="850"/>
      <c r="BC116" s="5236">
        <f t="shared" si="43"/>
        <v>49.260000000000005</v>
      </c>
      <c r="BD116" s="851"/>
      <c r="BE116" s="657">
        <f t="shared" si="44"/>
        <v>161.62</v>
      </c>
      <c r="BF116" s="1957"/>
      <c r="BG116" s="37">
        <f t="shared" si="34"/>
        <v>477.49999999999994</v>
      </c>
      <c r="BH116" s="4234">
        <f t="shared" si="25"/>
        <v>0</v>
      </c>
      <c r="BI116" s="4234">
        <f t="shared" si="26"/>
        <v>0</v>
      </c>
      <c r="BJ116" s="25"/>
      <c r="BK116" s="25">
        <f t="shared" si="27"/>
        <v>0</v>
      </c>
      <c r="BL116" s="25">
        <f t="shared" si="28"/>
        <v>0</v>
      </c>
      <c r="BM116" s="25"/>
      <c r="BN116" s="1137"/>
    </row>
    <row r="117" spans="1:66" s="4487" customFormat="1" ht="15" customHeight="1" x14ac:dyDescent="0.25">
      <c r="A117" s="501"/>
      <c r="B117" s="5776" t="s">
        <v>2071</v>
      </c>
      <c r="C117" s="5777"/>
      <c r="D117" s="5778"/>
      <c r="E117" s="5779" t="s">
        <v>50</v>
      </c>
      <c r="F117" s="5780"/>
      <c r="G117" s="6743">
        <v>65.38</v>
      </c>
      <c r="H117" s="5780"/>
      <c r="I117" s="5781"/>
      <c r="J117" s="5782"/>
      <c r="K117" s="5241">
        <f t="shared" si="40"/>
        <v>65.38</v>
      </c>
      <c r="L117" s="5780"/>
      <c r="M117" s="5781">
        <v>9.9600000000000009</v>
      </c>
      <c r="N117" s="5783"/>
      <c r="O117" s="67">
        <f t="shared" si="41"/>
        <v>75.34</v>
      </c>
      <c r="P117" s="5780"/>
      <c r="Q117" s="5781">
        <v>18.57</v>
      </c>
      <c r="R117" s="5784"/>
      <c r="S117" s="37">
        <f t="shared" si="39"/>
        <v>93.91</v>
      </c>
      <c r="T117" s="5780"/>
      <c r="U117" s="5781">
        <v>33.03</v>
      </c>
      <c r="V117" s="5784"/>
      <c r="W117" s="37">
        <f t="shared" si="42"/>
        <v>126.94</v>
      </c>
      <c r="X117" s="5780"/>
      <c r="Y117" s="5781">
        <v>11.85</v>
      </c>
      <c r="Z117" s="5785"/>
      <c r="AA117" s="6045">
        <f t="shared" si="35"/>
        <v>63.45</v>
      </c>
      <c r="AB117" s="4501"/>
      <c r="AC117" s="6046">
        <f t="shared" si="36"/>
        <v>138.79000000000002</v>
      </c>
      <c r="AD117" s="5780"/>
      <c r="AE117" s="5781"/>
      <c r="AF117" s="5784"/>
      <c r="AG117" s="37">
        <f t="shared" si="37"/>
        <v>138.79000000000002</v>
      </c>
      <c r="AH117" s="5780"/>
      <c r="AI117" s="5781">
        <v>2.77</v>
      </c>
      <c r="AJ117" s="5784"/>
      <c r="AK117" s="37">
        <f t="shared" si="29"/>
        <v>141.56000000000003</v>
      </c>
      <c r="AL117" s="5780"/>
      <c r="AM117" s="5781"/>
      <c r="AN117" s="5785"/>
      <c r="AO117" s="6612">
        <f t="shared" si="30"/>
        <v>2.77</v>
      </c>
      <c r="AP117" s="1957"/>
      <c r="AQ117" s="37">
        <f t="shared" si="31"/>
        <v>141.56000000000003</v>
      </c>
      <c r="AR117" s="5780"/>
      <c r="AS117" s="6743">
        <v>0.55000000000000004</v>
      </c>
      <c r="AT117" s="1957"/>
      <c r="AU117" s="37">
        <f t="shared" si="32"/>
        <v>142.11000000000004</v>
      </c>
      <c r="AV117" s="5780"/>
      <c r="AW117" s="6743"/>
      <c r="AX117" s="1957"/>
      <c r="AY117" s="37">
        <f t="shared" si="49"/>
        <v>142.11000000000004</v>
      </c>
      <c r="AZ117" s="5780"/>
      <c r="BA117" s="6743">
        <v>17.690000000000001</v>
      </c>
      <c r="BB117" s="850"/>
      <c r="BC117" s="6589">
        <f t="shared" ref="BC117:BC119" si="50">+AS117+AW117+BA117</f>
        <v>18.240000000000002</v>
      </c>
      <c r="BD117" s="851"/>
      <c r="BE117" s="657">
        <f t="shared" ref="BE117:BE119" si="51">+AO117+BC117</f>
        <v>21.01</v>
      </c>
      <c r="BF117" s="1957"/>
      <c r="BG117" s="37">
        <f t="shared" si="34"/>
        <v>159.80000000000004</v>
      </c>
      <c r="BH117" s="4234">
        <f t="shared" si="25"/>
        <v>0</v>
      </c>
      <c r="BI117" s="4234">
        <f t="shared" si="26"/>
        <v>0</v>
      </c>
      <c r="BJ117" s="25"/>
      <c r="BK117" s="25">
        <f t="shared" si="27"/>
        <v>0</v>
      </c>
      <c r="BL117" s="25">
        <f t="shared" si="28"/>
        <v>0</v>
      </c>
      <c r="BM117" s="25"/>
      <c r="BN117" s="1137"/>
    </row>
    <row r="118" spans="1:66" s="4487" customFormat="1" ht="15" customHeight="1" x14ac:dyDescent="0.25">
      <c r="A118" s="501"/>
      <c r="B118" s="6360" t="s">
        <v>2176</v>
      </c>
      <c r="C118" s="6187"/>
      <c r="D118" s="6188"/>
      <c r="E118" s="5779" t="s">
        <v>50</v>
      </c>
      <c r="F118" s="6361"/>
      <c r="G118" s="6744">
        <v>0.61</v>
      </c>
      <c r="H118" s="6361"/>
      <c r="I118" s="4714"/>
      <c r="J118" s="6189"/>
      <c r="K118" s="5971"/>
      <c r="L118" s="6361"/>
      <c r="M118" s="4714"/>
      <c r="N118" s="5783"/>
      <c r="O118" s="67">
        <f t="shared" si="41"/>
        <v>0.61</v>
      </c>
      <c r="P118" s="6361"/>
      <c r="Q118" s="4714"/>
      <c r="R118" s="5784"/>
      <c r="S118" s="5174"/>
      <c r="T118" s="6361"/>
      <c r="U118" s="4714"/>
      <c r="V118" s="5784"/>
      <c r="W118" s="5174"/>
      <c r="X118" s="6361"/>
      <c r="Y118" s="4714">
        <v>13.67</v>
      </c>
      <c r="Z118" s="6190"/>
      <c r="AA118" s="7101">
        <f t="shared" si="35"/>
        <v>13.67</v>
      </c>
      <c r="AB118" s="6191"/>
      <c r="AC118" s="7102">
        <f t="shared" si="36"/>
        <v>14.28</v>
      </c>
      <c r="AD118" s="6361"/>
      <c r="AE118" s="4714"/>
      <c r="AF118" s="5784"/>
      <c r="AG118" s="37">
        <f t="shared" si="37"/>
        <v>14.28</v>
      </c>
      <c r="AH118" s="6361"/>
      <c r="AI118" s="4714">
        <v>0.54</v>
      </c>
      <c r="AJ118" s="5784"/>
      <c r="AK118" s="37">
        <f t="shared" si="29"/>
        <v>14.82</v>
      </c>
      <c r="AL118" s="6361"/>
      <c r="AM118" s="4714">
        <v>7.3400000000000007</v>
      </c>
      <c r="AN118" s="6190"/>
      <c r="AO118" s="6589">
        <f t="shared" ref="AO118:AO119" si="52">+AE118+AI118+AM118</f>
        <v>7.8800000000000008</v>
      </c>
      <c r="AP118" s="1957"/>
      <c r="AQ118" s="37">
        <f t="shared" si="31"/>
        <v>22.16</v>
      </c>
      <c r="AR118" s="6361"/>
      <c r="AS118" s="6744">
        <v>22.64</v>
      </c>
      <c r="AT118" s="1957"/>
      <c r="AU118" s="37">
        <f t="shared" si="32"/>
        <v>44.8</v>
      </c>
      <c r="AV118" s="6361"/>
      <c r="AW118" s="6744"/>
      <c r="AX118" s="1957"/>
      <c r="AY118" s="37">
        <f t="shared" si="49"/>
        <v>44.8</v>
      </c>
      <c r="AZ118" s="6361"/>
      <c r="BA118" s="6744"/>
      <c r="BB118" s="850"/>
      <c r="BC118" s="6589">
        <f t="shared" si="50"/>
        <v>22.64</v>
      </c>
      <c r="BD118" s="851"/>
      <c r="BE118" s="657">
        <f t="shared" si="51"/>
        <v>30.520000000000003</v>
      </c>
      <c r="BF118" s="1957"/>
      <c r="BG118" s="37">
        <f t="shared" si="34"/>
        <v>44.8</v>
      </c>
      <c r="BH118" s="4234">
        <f t="shared" si="25"/>
        <v>0</v>
      </c>
      <c r="BI118" s="4234">
        <f t="shared" si="26"/>
        <v>0</v>
      </c>
      <c r="BJ118" s="25"/>
      <c r="BK118" s="25">
        <f t="shared" si="27"/>
        <v>0</v>
      </c>
      <c r="BL118" s="25">
        <f t="shared" si="28"/>
        <v>0</v>
      </c>
      <c r="BM118" s="25"/>
      <c r="BN118" s="1137"/>
    </row>
    <row r="119" spans="1:66" s="4487" customFormat="1" ht="15" customHeight="1" x14ac:dyDescent="0.25">
      <c r="A119" s="501"/>
      <c r="B119" s="5776" t="s">
        <v>2072</v>
      </c>
      <c r="C119" s="6187"/>
      <c r="D119" s="6188"/>
      <c r="E119" s="5779" t="s">
        <v>50</v>
      </c>
      <c r="F119" s="5780"/>
      <c r="G119" s="6743"/>
      <c r="H119" s="5780"/>
      <c r="I119" s="5781"/>
      <c r="J119" s="6189"/>
      <c r="K119" s="5971"/>
      <c r="L119" s="5780"/>
      <c r="M119" s="5781"/>
      <c r="N119" s="5783"/>
      <c r="O119" s="67">
        <f t="shared" si="41"/>
        <v>0</v>
      </c>
      <c r="P119" s="5780"/>
      <c r="Q119" s="5781"/>
      <c r="R119" s="5784"/>
      <c r="S119" s="5174"/>
      <c r="T119" s="5780"/>
      <c r="U119" s="5781"/>
      <c r="V119" s="5784"/>
      <c r="W119" s="5174"/>
      <c r="X119" s="5780"/>
      <c r="Y119" s="5781"/>
      <c r="Z119" s="6190"/>
      <c r="AA119" s="6171">
        <f t="shared" si="35"/>
        <v>0</v>
      </c>
      <c r="AB119" s="6191"/>
      <c r="AC119" s="6173">
        <f t="shared" si="36"/>
        <v>0</v>
      </c>
      <c r="AD119" s="5780"/>
      <c r="AE119" s="5781">
        <v>0.72</v>
      </c>
      <c r="AF119" s="5784"/>
      <c r="AG119" s="37">
        <f t="shared" ref="AG119" si="53">+AC119+AE119</f>
        <v>0.72</v>
      </c>
      <c r="AH119" s="5780"/>
      <c r="AI119" s="5781"/>
      <c r="AJ119" s="5784"/>
      <c r="AK119" s="37">
        <f t="shared" si="29"/>
        <v>0.72</v>
      </c>
      <c r="AL119" s="5780"/>
      <c r="AM119" s="5781">
        <v>5.77</v>
      </c>
      <c r="AN119" s="5785"/>
      <c r="AO119" s="6589">
        <f t="shared" si="52"/>
        <v>6.4899999999999993</v>
      </c>
      <c r="AP119" s="1957"/>
      <c r="AQ119" s="37">
        <f t="shared" ref="AQ119" si="54">AK119+AM119</f>
        <v>6.4899999999999993</v>
      </c>
      <c r="AR119" s="5780"/>
      <c r="AS119" s="6743">
        <v>16.7</v>
      </c>
      <c r="AT119" s="1957"/>
      <c r="AU119" s="37">
        <f t="shared" si="32"/>
        <v>23.189999999999998</v>
      </c>
      <c r="AV119" s="5780"/>
      <c r="AW119" s="6743"/>
      <c r="AX119" s="1957"/>
      <c r="AY119" s="37">
        <f t="shared" si="49"/>
        <v>23.189999999999998</v>
      </c>
      <c r="AZ119" s="5780"/>
      <c r="BA119" s="6743"/>
      <c r="BB119" s="850"/>
      <c r="BC119" s="6589">
        <f t="shared" si="50"/>
        <v>16.7</v>
      </c>
      <c r="BD119" s="851"/>
      <c r="BE119" s="657">
        <f t="shared" si="51"/>
        <v>23.189999999999998</v>
      </c>
      <c r="BF119" s="1957"/>
      <c r="BG119" s="37">
        <f t="shared" si="34"/>
        <v>23.189999999999998</v>
      </c>
      <c r="BH119" s="4234">
        <f t="shared" si="25"/>
        <v>0</v>
      </c>
      <c r="BI119" s="4234">
        <f t="shared" si="26"/>
        <v>0</v>
      </c>
      <c r="BJ119" s="25"/>
      <c r="BK119" s="25">
        <f t="shared" si="27"/>
        <v>0</v>
      </c>
      <c r="BL119" s="25">
        <f t="shared" si="28"/>
        <v>0</v>
      </c>
      <c r="BM119" s="25"/>
      <c r="BN119" s="1137"/>
    </row>
    <row r="120" spans="1:66" ht="15.75" thickBot="1" x14ac:dyDescent="0.3">
      <c r="A120" s="139"/>
      <c r="B120" s="1537" t="s">
        <v>2073</v>
      </c>
      <c r="C120" s="3355"/>
      <c r="D120" s="3356"/>
      <c r="E120" s="3357" t="s">
        <v>50</v>
      </c>
      <c r="F120" s="3358"/>
      <c r="G120" s="36"/>
      <c r="H120" s="3358"/>
      <c r="I120" s="36"/>
      <c r="J120" s="3359"/>
      <c r="K120" s="5241">
        <f t="shared" si="40"/>
        <v>0</v>
      </c>
      <c r="L120" s="3358"/>
      <c r="M120" s="36"/>
      <c r="N120" s="1949"/>
      <c r="O120" s="67">
        <f t="shared" si="41"/>
        <v>0</v>
      </c>
      <c r="P120" s="3358"/>
      <c r="Q120" s="36"/>
      <c r="R120" s="1957"/>
      <c r="S120" s="37">
        <f t="shared" ref="S120" si="55">+O120+Q120</f>
        <v>0</v>
      </c>
      <c r="T120" s="3358"/>
      <c r="U120" s="36">
        <v>0.96</v>
      </c>
      <c r="V120" s="1957"/>
      <c r="W120" s="37">
        <f t="shared" si="42"/>
        <v>0.96</v>
      </c>
      <c r="X120" s="3358"/>
      <c r="Y120" s="36"/>
      <c r="Z120" s="850"/>
      <c r="AA120" s="6045">
        <f t="shared" si="35"/>
        <v>0.96</v>
      </c>
      <c r="AB120" s="4501"/>
      <c r="AC120" s="6046">
        <f t="shared" si="36"/>
        <v>0.96</v>
      </c>
      <c r="AD120" s="3358"/>
      <c r="AE120" s="36"/>
      <c r="AF120" s="1957"/>
      <c r="AG120" s="37">
        <f t="shared" ref="AG120" si="56">+AC120+AE120</f>
        <v>0.96</v>
      </c>
      <c r="AH120" s="3358"/>
      <c r="AI120" s="36"/>
      <c r="AJ120" s="1957"/>
      <c r="AK120" s="37">
        <f t="shared" si="29"/>
        <v>0.96</v>
      </c>
      <c r="AL120" s="3358"/>
      <c r="AM120" s="36"/>
      <c r="AN120" s="850"/>
      <c r="AO120" s="5264">
        <f t="shared" ref="AO120" si="57">+AE120+AI120+AM120</f>
        <v>0</v>
      </c>
      <c r="AP120" s="1957"/>
      <c r="AQ120" s="37">
        <f t="shared" ref="AQ120" si="58">AK120+AM120</f>
        <v>0.96</v>
      </c>
      <c r="AR120" s="3358"/>
      <c r="AS120" s="36"/>
      <c r="AT120" s="1957"/>
      <c r="AU120" s="37">
        <f t="shared" si="32"/>
        <v>0.96</v>
      </c>
      <c r="AV120" s="3358"/>
      <c r="AW120" s="36"/>
      <c r="AX120" s="1957"/>
      <c r="AY120" s="37">
        <f t="shared" si="49"/>
        <v>0.96</v>
      </c>
      <c r="AZ120" s="3358"/>
      <c r="BA120" s="36"/>
      <c r="BB120" s="850"/>
      <c r="BC120" s="5236">
        <f t="shared" si="43"/>
        <v>0</v>
      </c>
      <c r="BD120" s="851"/>
      <c r="BE120" s="657">
        <f t="shared" si="44"/>
        <v>0</v>
      </c>
      <c r="BF120" s="1957"/>
      <c r="BG120" s="37">
        <f t="shared" si="34"/>
        <v>0.96</v>
      </c>
      <c r="BH120" s="4234">
        <f t="shared" si="25"/>
        <v>0</v>
      </c>
      <c r="BI120" s="4234">
        <f t="shared" si="26"/>
        <v>0</v>
      </c>
      <c r="BJ120" s="25"/>
      <c r="BK120" s="25">
        <f t="shared" si="27"/>
        <v>0</v>
      </c>
      <c r="BL120" s="25">
        <f t="shared" si="28"/>
        <v>0</v>
      </c>
      <c r="BM120" s="25"/>
      <c r="BN120" s="1137"/>
    </row>
    <row r="121" spans="1:66" ht="16.5" thickBot="1" x14ac:dyDescent="0.3">
      <c r="A121" s="139"/>
      <c r="B121" s="969" t="s">
        <v>298</v>
      </c>
      <c r="C121" s="968"/>
      <c r="D121" s="1966"/>
      <c r="E121" s="3343" t="s">
        <v>50</v>
      </c>
      <c r="F121" s="3344">
        <f>+F122</f>
        <v>56000</v>
      </c>
      <c r="G121" s="3345">
        <f>+SUM(G8:G120)</f>
        <v>52732.112000000001</v>
      </c>
      <c r="H121" s="3344">
        <f>+H122</f>
        <v>65000</v>
      </c>
      <c r="I121" s="3345">
        <f>+SUM(I8:I120)</f>
        <v>57592.384000000013</v>
      </c>
      <c r="J121" s="3346">
        <f>+J122</f>
        <v>121000</v>
      </c>
      <c r="K121" s="3347">
        <f>+SUM(K8:K120)</f>
        <v>106139.76300000005</v>
      </c>
      <c r="L121" s="3344">
        <f>+L122</f>
        <v>62500</v>
      </c>
      <c r="M121" s="3345">
        <f>+SUM(M8:M120)</f>
        <v>58809.43299999999</v>
      </c>
      <c r="N121" s="1915">
        <f>+N122</f>
        <v>183500</v>
      </c>
      <c r="O121" s="1916">
        <f>+SUM(O8:O120)</f>
        <v>167304.37499999997</v>
      </c>
      <c r="P121" s="3344">
        <f>+P122</f>
        <v>65000</v>
      </c>
      <c r="Q121" s="3345">
        <f>+SUM(Q8:Q120)</f>
        <v>57582.287000000004</v>
      </c>
      <c r="R121" s="1920">
        <f>+R122</f>
        <v>248500</v>
      </c>
      <c r="S121" s="171">
        <f>+SUM(S8:S120)</f>
        <v>223627.79599999994</v>
      </c>
      <c r="T121" s="3344">
        <f>+T122</f>
        <v>65000</v>
      </c>
      <c r="U121" s="3345">
        <f>+SUM(U8:U120)</f>
        <v>44755.652999999991</v>
      </c>
      <c r="V121" s="1920">
        <f>+V122</f>
        <v>313500</v>
      </c>
      <c r="W121" s="171">
        <f>+SUM(W8:W120)</f>
        <v>268383.44899999996</v>
      </c>
      <c r="X121" s="3344">
        <f>+X122</f>
        <v>33500</v>
      </c>
      <c r="Y121" s="3345">
        <f>+SUM(Y8:Y120)</f>
        <v>50235.30599999999</v>
      </c>
      <c r="Z121" s="749">
        <f>+Z122</f>
        <v>163500</v>
      </c>
      <c r="AA121" s="749">
        <f>+SUM(AA8:AA120)</f>
        <v>152573.24599999998</v>
      </c>
      <c r="AB121" s="492">
        <f>+AB122</f>
        <v>347000</v>
      </c>
      <c r="AC121" s="765">
        <f>+SUM(AC8:AC120)</f>
        <v>319877.62100000004</v>
      </c>
      <c r="AD121" s="3344">
        <f>+AD122</f>
        <v>67000</v>
      </c>
      <c r="AE121" s="3345">
        <f>+SUM(AE8:AE120)</f>
        <v>29919.527000000009</v>
      </c>
      <c r="AF121" s="1920">
        <f>+AF122</f>
        <v>414000</v>
      </c>
      <c r="AG121" s="171">
        <f>+SUM(AG8:AG120)</f>
        <v>349797.14800000004</v>
      </c>
      <c r="AH121" s="3344">
        <f>+AH122</f>
        <v>65000</v>
      </c>
      <c r="AI121" s="3345">
        <f>+SUM(AI8:AI120)</f>
        <v>49443.88400000002</v>
      </c>
      <c r="AJ121" s="1920">
        <f>+AJ122</f>
        <v>479000</v>
      </c>
      <c r="AK121" s="171">
        <f>+SUM(AK8:AK120)</f>
        <v>399241.03199999995</v>
      </c>
      <c r="AL121" s="3344">
        <f>+AL122</f>
        <v>67500</v>
      </c>
      <c r="AM121" s="3345">
        <f>+SUM(AM8:AM120)</f>
        <v>53389.06</v>
      </c>
      <c r="AN121" s="749">
        <f>+AN122</f>
        <v>199500</v>
      </c>
      <c r="AO121" s="749">
        <f>+SUM(AO8:AO120)</f>
        <v>132752.47099999993</v>
      </c>
      <c r="AP121" s="1920">
        <f>+AP122</f>
        <v>546500</v>
      </c>
      <c r="AQ121" s="171">
        <f>+SUM(AQ8:AQ120)</f>
        <v>452630.092</v>
      </c>
      <c r="AR121" s="3344">
        <f>+AR122</f>
        <v>68000</v>
      </c>
      <c r="AS121" s="3345">
        <f>+SUM(AS8:AS120)</f>
        <v>56882.247999999992</v>
      </c>
      <c r="AT121" s="1920">
        <f>+AT122</f>
        <v>614500</v>
      </c>
      <c r="AU121" s="171">
        <f>+SUM(AU8:AU120)</f>
        <v>509512.34000000014</v>
      </c>
      <c r="AV121" s="3344">
        <f>+AV122</f>
        <v>61000</v>
      </c>
      <c r="AW121" s="3345">
        <f>+SUM(AW8:AW120)</f>
        <v>54332.608</v>
      </c>
      <c r="AX121" s="1920">
        <f>+AX122</f>
        <v>675500</v>
      </c>
      <c r="AY121" s="171">
        <f>+SUM(AY8:AY120)</f>
        <v>563844.94799999986</v>
      </c>
      <c r="AZ121" s="3344">
        <f>+AZ122</f>
        <v>68500</v>
      </c>
      <c r="BA121" s="3345">
        <f>+SUM(BA8:BA120)</f>
        <v>63294.635999999991</v>
      </c>
      <c r="BB121" s="749">
        <f>+BB122</f>
        <v>197500</v>
      </c>
      <c r="BC121" s="749">
        <f>+SUM(BC8:BC120)</f>
        <v>174509.49200000003</v>
      </c>
      <c r="BD121" s="1512">
        <f>+BD122</f>
        <v>397000</v>
      </c>
      <c r="BE121" s="1512">
        <f>+SUM(BE8:BE120)</f>
        <v>307261.96300000005</v>
      </c>
      <c r="BF121" s="1920">
        <f>+BF122</f>
        <v>744000</v>
      </c>
      <c r="BG121" s="171">
        <f>+SUM(BG8:BG120)</f>
        <v>627139.58399999945</v>
      </c>
      <c r="BH121" s="4234">
        <f t="shared" si="25"/>
        <v>0</v>
      </c>
      <c r="BI121" s="4234">
        <f t="shared" si="26"/>
        <v>1829.5540000004694</v>
      </c>
      <c r="BJ121" s="25"/>
      <c r="BK121" s="25">
        <f t="shared" si="27"/>
        <v>0</v>
      </c>
      <c r="BL121" s="25">
        <f t="shared" si="28"/>
        <v>0</v>
      </c>
      <c r="BM121" s="25"/>
      <c r="BN121" s="518"/>
    </row>
    <row r="122" spans="1:66" ht="16.5" thickBot="1" x14ac:dyDescent="0.3">
      <c r="A122" s="139"/>
      <c r="B122" s="852" t="s">
        <v>787</v>
      </c>
      <c r="C122" s="969"/>
      <c r="D122" s="1967"/>
      <c r="E122" s="1970" t="s">
        <v>50</v>
      </c>
      <c r="F122" s="1447">
        <f>+'Maj Production Summ'!E32</f>
        <v>56000</v>
      </c>
      <c r="G122" s="242">
        <f>+SUM(G8:G103)</f>
        <v>52516.132000000005</v>
      </c>
      <c r="H122" s="1447">
        <f>+'Maj Production Summ'!G32</f>
        <v>65000</v>
      </c>
      <c r="I122" s="242">
        <f>+SUM(I8:I103)</f>
        <v>57219.144</v>
      </c>
      <c r="J122" s="1941">
        <f>+'Maj Production Summ'!I32</f>
        <v>121000</v>
      </c>
      <c r="K122" s="1943">
        <f>+SUM(K8:K103)</f>
        <v>105551.15300000002</v>
      </c>
      <c r="L122" s="1447">
        <f>+'Maj Production Summ'!K32</f>
        <v>62500</v>
      </c>
      <c r="M122" s="242">
        <f>+SUM(M8:M103)</f>
        <v>58674.632999999994</v>
      </c>
      <c r="N122" s="1915">
        <f>+'Maj Production Summ'!M32</f>
        <v>183500</v>
      </c>
      <c r="O122" s="1916">
        <f>+SUM(O8:O103)</f>
        <v>166580.35500000001</v>
      </c>
      <c r="P122" s="1447">
        <f>+'Maj Production Summ'!O32</f>
        <v>65000</v>
      </c>
      <c r="Q122" s="242">
        <f>+SUM(Q8:Q103)</f>
        <v>57327.387000000002</v>
      </c>
      <c r="R122" s="1920">
        <f>+'Maj Production Summ'!Q32</f>
        <v>248500</v>
      </c>
      <c r="S122" s="171">
        <f>+SUM(S8:S103)</f>
        <v>222649.48599999995</v>
      </c>
      <c r="T122" s="1447">
        <f>+'Maj Production Summ'!S32</f>
        <v>65000</v>
      </c>
      <c r="U122" s="242">
        <f>+SUM(U8:U103)</f>
        <v>44406.292999999998</v>
      </c>
      <c r="V122" s="1920">
        <f>+'Maj Production Summ'!U32</f>
        <v>313500</v>
      </c>
      <c r="W122" s="171">
        <f>+SUM(W8:W103)</f>
        <v>267055.77899999998</v>
      </c>
      <c r="X122" s="1447">
        <f>+'Maj Production Summ'!W32</f>
        <v>33500</v>
      </c>
      <c r="Y122" s="242">
        <f>+SUM(Y8:Y103)</f>
        <v>49996.715999999993</v>
      </c>
      <c r="Z122" s="749">
        <f>+'Maj Production Summ'!Y32</f>
        <v>163500</v>
      </c>
      <c r="AA122" s="749">
        <f>+SUM(AA8:AA103)</f>
        <v>151730.39600000001</v>
      </c>
      <c r="AB122" s="492">
        <f>+'Maj Production Summ'!AA32</f>
        <v>347000</v>
      </c>
      <c r="AC122" s="492">
        <f>+SUM(AC8:AC103)</f>
        <v>318310.75100000005</v>
      </c>
      <c r="AD122" s="1447">
        <f>+'Maj Production Summ'!AC32</f>
        <v>67000</v>
      </c>
      <c r="AE122" s="242">
        <f>+SUM(AE8:AE103)</f>
        <v>29659.897000000008</v>
      </c>
      <c r="AF122" s="1920">
        <f>+'Maj Production Summ'!AE32</f>
        <v>414000</v>
      </c>
      <c r="AG122" s="171">
        <f>+SUM(AG8:AG103)</f>
        <v>347970.64800000004</v>
      </c>
      <c r="AH122" s="1447">
        <f>+'Maj Production Summ'!AG32</f>
        <v>65000</v>
      </c>
      <c r="AI122" s="242">
        <f>+SUM(AI8:AI103)</f>
        <v>49060.044000000016</v>
      </c>
      <c r="AJ122" s="1920">
        <f>+'Maj Production Summ'!AI32</f>
        <v>479000</v>
      </c>
      <c r="AK122" s="171">
        <f>+SUM(AK8:AK103)</f>
        <v>397030.6920000001</v>
      </c>
      <c r="AL122" s="1447">
        <f>+'Maj Production Summ'!AK32</f>
        <v>67500</v>
      </c>
      <c r="AM122" s="242">
        <f>+SUM(AM8:AM103)</f>
        <v>52987.18</v>
      </c>
      <c r="AN122" s="749">
        <f>+'Maj Production Summ'!AM32</f>
        <v>199500</v>
      </c>
      <c r="AO122" s="749">
        <f>+SUM(AO8:AO103)</f>
        <v>131707.12099999998</v>
      </c>
      <c r="AP122" s="1920">
        <f>+'Maj Production Summ'!AO32</f>
        <v>546500</v>
      </c>
      <c r="AQ122" s="171">
        <f>+SUM(AQ8:AQ103)</f>
        <v>450017.87200000015</v>
      </c>
      <c r="AR122" s="1447">
        <f>+'Maj Production Summ'!AQ32</f>
        <v>68000</v>
      </c>
      <c r="AS122" s="242">
        <f>+SUM(AS8:AS103)</f>
        <v>56169.977999999988</v>
      </c>
      <c r="AT122" s="1920">
        <f>+'Maj Production Summ'!AS32</f>
        <v>614500</v>
      </c>
      <c r="AU122" s="171">
        <f>+SUM(AU8:AU103)</f>
        <v>506187.85000000009</v>
      </c>
      <c r="AV122" s="1447">
        <f>+'Maj Production Summ'!AU32</f>
        <v>61000</v>
      </c>
      <c r="AW122" s="242">
        <f>+SUM(AW8:AW103)</f>
        <v>54279.397999999994</v>
      </c>
      <c r="AX122" s="1920">
        <f>+'Maj Production Summ'!AW32</f>
        <v>675500</v>
      </c>
      <c r="AY122" s="171">
        <f>+SUM(AY8:AY103)</f>
        <v>560467.24799999991</v>
      </c>
      <c r="AZ122" s="1447">
        <f>+'Maj Production Summ'!AY32</f>
        <v>68500</v>
      </c>
      <c r="BA122" s="242">
        <f>+SUM(BA8:BA103)</f>
        <v>63120.145999999993</v>
      </c>
      <c r="BB122" s="749">
        <f>+'Maj Production Summ'!BA32</f>
        <v>197500</v>
      </c>
      <c r="BC122" s="749">
        <f>+SUM(BC8:BC103)</f>
        <v>173569.522</v>
      </c>
      <c r="BD122" s="1512">
        <f>+'Maj Production Summ'!BC32</f>
        <v>397000</v>
      </c>
      <c r="BE122" s="1512">
        <f>+SUM(BE8:BE103)</f>
        <v>305276.6430000001</v>
      </c>
      <c r="BF122" s="1920">
        <f>+'Maj Production Summ'!BE32</f>
        <v>744000</v>
      </c>
      <c r="BG122" s="171">
        <f>+SUM(BG8:BG103)</f>
        <v>623587.39399999951</v>
      </c>
      <c r="BH122" s="4234">
        <f t="shared" si="25"/>
        <v>0</v>
      </c>
      <c r="BI122" s="4234">
        <f t="shared" si="26"/>
        <v>1829.5540000004694</v>
      </c>
      <c r="BJ122" s="25"/>
      <c r="BK122" s="25">
        <f t="shared" si="27"/>
        <v>0</v>
      </c>
      <c r="BL122" s="25">
        <f t="shared" si="28"/>
        <v>0</v>
      </c>
      <c r="BM122" s="25"/>
      <c r="BN122" s="518"/>
    </row>
    <row r="123" spans="1:66" ht="16.5" thickBot="1" x14ac:dyDescent="0.3">
      <c r="A123" s="139"/>
      <c r="B123" s="852" t="s">
        <v>786</v>
      </c>
      <c r="C123" s="852"/>
      <c r="D123" s="1968"/>
      <c r="E123" s="1970" t="s">
        <v>50</v>
      </c>
      <c r="F123" s="7596"/>
      <c r="G123" s="1078">
        <f>+SUM(G104:G120)</f>
        <v>215.98000000000002</v>
      </c>
      <c r="H123" s="1491"/>
      <c r="I123" s="1078">
        <f>+SUM(I104:I120)</f>
        <v>373.24</v>
      </c>
      <c r="J123" s="3314"/>
      <c r="K123" s="3315">
        <f>+SUM(K104:K120)</f>
        <v>588.61</v>
      </c>
      <c r="L123" s="1491"/>
      <c r="M123" s="1078">
        <f>+SUM(M104:M120)</f>
        <v>134.80000000000001</v>
      </c>
      <c r="N123" s="1915"/>
      <c r="O123" s="1475">
        <f>+SUM(O104:O120)</f>
        <v>724.02</v>
      </c>
      <c r="P123" s="1491"/>
      <c r="Q123" s="1078">
        <f>+SUM(Q104:Q120)</f>
        <v>254.89999999999998</v>
      </c>
      <c r="R123" s="1920"/>
      <c r="S123" s="1745">
        <f>+SUM(S104:S120)</f>
        <v>978.31000000000006</v>
      </c>
      <c r="T123" s="1491"/>
      <c r="U123" s="1078">
        <f>+SUM(U104:U120)</f>
        <v>349.35999999999996</v>
      </c>
      <c r="V123" s="1920"/>
      <c r="W123" s="1745">
        <f>+SUM(W104:W120)</f>
        <v>1327.67</v>
      </c>
      <c r="X123" s="1491"/>
      <c r="Y123" s="1078">
        <f>+SUM(Y104:Y120)</f>
        <v>238.58999999999997</v>
      </c>
      <c r="Z123" s="749"/>
      <c r="AA123" s="764">
        <f>+SUM(AA104:AA120)</f>
        <v>842.85</v>
      </c>
      <c r="AB123" s="492"/>
      <c r="AC123" s="765">
        <f>+SUM(AC104:AC120)</f>
        <v>1566.87</v>
      </c>
      <c r="AD123" s="1491"/>
      <c r="AE123" s="1078">
        <f>+SUM(AE104:AE120)</f>
        <v>259.63000000000005</v>
      </c>
      <c r="AF123" s="1920"/>
      <c r="AG123" s="1745">
        <f>+SUM(AG104:AG120)</f>
        <v>1826.4999999999998</v>
      </c>
      <c r="AH123" s="1491"/>
      <c r="AI123" s="1078">
        <f>+SUM(AI104:AI120)</f>
        <v>383.84000000000003</v>
      </c>
      <c r="AJ123" s="1920"/>
      <c r="AK123" s="1745">
        <f>+SUM(AK104:AK120)</f>
        <v>2210.3399999999997</v>
      </c>
      <c r="AL123" s="6602"/>
      <c r="AM123" s="1078">
        <f>+SUM(AM104:AM120)</f>
        <v>401.87999999999994</v>
      </c>
      <c r="AN123" s="749"/>
      <c r="AO123" s="749">
        <f>+SUM(AO104:AO120)</f>
        <v>1045.3499999999999</v>
      </c>
      <c r="AP123" s="1920"/>
      <c r="AQ123" s="171">
        <f>+SUM(AQ104:AQ120)</f>
        <v>2612.2199999999998</v>
      </c>
      <c r="AR123" s="6681"/>
      <c r="AS123" s="1078">
        <f>+SUM(AS104:AS120)</f>
        <v>712.26999999999987</v>
      </c>
      <c r="AT123" s="1920"/>
      <c r="AU123" s="171">
        <f>+SUM(AU104:AU120)</f>
        <v>3324.4900000000002</v>
      </c>
      <c r="AV123" s="6854"/>
      <c r="AW123" s="1078">
        <f>+SUM(AW104:AW120)</f>
        <v>53.21</v>
      </c>
      <c r="AX123" s="1920"/>
      <c r="AY123" s="171">
        <f>+SUM(AY104:AY120)</f>
        <v>3377.6999999999994</v>
      </c>
      <c r="AZ123" s="7010"/>
      <c r="BA123" s="1078">
        <f>+SUM(BA104:BA120)</f>
        <v>174.48999999999998</v>
      </c>
      <c r="BB123" s="749"/>
      <c r="BC123" s="749">
        <f>+SUM(BC104:BC120)</f>
        <v>939.96999999999991</v>
      </c>
      <c r="BD123" s="1512"/>
      <c r="BE123" s="1512">
        <f>+SUM(BE104:BE120)</f>
        <v>1985.3200000000004</v>
      </c>
      <c r="BF123" s="1920"/>
      <c r="BG123" s="171">
        <f>+SUM(BG104:BG120)</f>
        <v>3552.19</v>
      </c>
      <c r="BH123" s="4234">
        <f t="shared" si="25"/>
        <v>0</v>
      </c>
      <c r="BI123" s="4234">
        <f t="shared" si="26"/>
        <v>0</v>
      </c>
      <c r="BJ123" s="25"/>
      <c r="BK123" s="25">
        <f t="shared" si="27"/>
        <v>0</v>
      </c>
      <c r="BL123" s="25">
        <f t="shared" si="28"/>
        <v>0</v>
      </c>
      <c r="BM123" s="25"/>
      <c r="BN123" s="518"/>
    </row>
    <row r="124" spans="1:66" ht="16.5" thickBot="1" x14ac:dyDescent="0.3">
      <c r="A124" s="139"/>
      <c r="B124" s="970" t="s">
        <v>314</v>
      </c>
      <c r="C124" s="674"/>
      <c r="D124" s="674"/>
      <c r="E124" s="1971" t="s">
        <v>49</v>
      </c>
      <c r="F124" s="3311">
        <f t="shared" ref="F124:AK124" si="59">+F122*100/F7</f>
        <v>94.75</v>
      </c>
      <c r="G124" s="3176">
        <f t="shared" si="59"/>
        <v>93.964285931551316</v>
      </c>
      <c r="H124" s="3311">
        <f t="shared" si="59"/>
        <v>94.75</v>
      </c>
      <c r="I124" s="3176">
        <f t="shared" si="59"/>
        <v>93.848373432627127</v>
      </c>
      <c r="J124" s="3312">
        <f t="shared" si="59"/>
        <v>94.75</v>
      </c>
      <c r="K124" s="3313">
        <f t="shared" si="59"/>
        <v>90.323328912373469</v>
      </c>
      <c r="L124" s="3311">
        <f t="shared" si="59"/>
        <v>94.75</v>
      </c>
      <c r="M124" s="3176">
        <f t="shared" si="59"/>
        <v>94.300657609568276</v>
      </c>
      <c r="N124" s="1474">
        <f t="shared" si="59"/>
        <v>94.75</v>
      </c>
      <c r="O124" s="1475">
        <f t="shared" si="59"/>
        <v>93.020053205592504</v>
      </c>
      <c r="P124" s="3311">
        <f t="shared" si="59"/>
        <v>94.75</v>
      </c>
      <c r="Q124" s="3176">
        <f t="shared" si="59"/>
        <v>94.039736544191683</v>
      </c>
      <c r="R124" s="1279">
        <f t="shared" si="59"/>
        <v>94.75</v>
      </c>
      <c r="S124" s="1745">
        <f t="shared" si="59"/>
        <v>92.75482804367067</v>
      </c>
      <c r="T124" s="3311">
        <f t="shared" si="59"/>
        <v>94.75</v>
      </c>
      <c r="U124" s="3176">
        <f t="shared" si="59"/>
        <v>93.446166495534285</v>
      </c>
      <c r="V124" s="1279">
        <f t="shared" si="59"/>
        <v>94.750000000000014</v>
      </c>
      <c r="W124" s="1745">
        <f t="shared" si="59"/>
        <v>92.869074537464016</v>
      </c>
      <c r="X124" s="3311">
        <f t="shared" si="59"/>
        <v>94.749999999999986</v>
      </c>
      <c r="Y124" s="3176">
        <f t="shared" si="59"/>
        <v>93.972449866117088</v>
      </c>
      <c r="Z124" s="764">
        <f t="shared" si="59"/>
        <v>94.75</v>
      </c>
      <c r="AA124" s="2396">
        <f t="shared" si="59"/>
        <v>93.843139792150197</v>
      </c>
      <c r="AB124" s="765">
        <f t="shared" si="59"/>
        <v>94.749999999999986</v>
      </c>
      <c r="AC124" s="2174">
        <f t="shared" si="59"/>
        <v>93.410588588029711</v>
      </c>
      <c r="AD124" s="3311">
        <f t="shared" si="59"/>
        <v>94.749999999999986</v>
      </c>
      <c r="AE124" s="3176">
        <f t="shared" si="59"/>
        <v>93.165855556550625</v>
      </c>
      <c r="AF124" s="1279">
        <f t="shared" si="59"/>
        <v>94.749999999999986</v>
      </c>
      <c r="AG124" s="1745">
        <f t="shared" si="59"/>
        <v>93.389678217964558</v>
      </c>
      <c r="AH124" s="3311">
        <f t="shared" si="59"/>
        <v>94.75</v>
      </c>
      <c r="AI124" s="3176">
        <f t="shared" si="59"/>
        <v>93.342593762703558</v>
      </c>
      <c r="AJ124" s="1279">
        <f t="shared" si="59"/>
        <v>94.749999999999986</v>
      </c>
      <c r="AK124" s="1745">
        <f t="shared" si="59"/>
        <v>93.383857543000758</v>
      </c>
      <c r="AL124" s="3311">
        <f t="shared" ref="AL124:BG124" si="60">+AL122*100/AL7</f>
        <v>94.75</v>
      </c>
      <c r="AM124" s="3176">
        <f t="shared" si="60"/>
        <v>93.351849425160552</v>
      </c>
      <c r="AN124" s="764">
        <f t="shared" si="60"/>
        <v>94.75</v>
      </c>
      <c r="AO124" s="2396">
        <f t="shared" si="60"/>
        <v>93.306454828873257</v>
      </c>
      <c r="AP124" s="1279">
        <f t="shared" si="60"/>
        <v>94.749999999999986</v>
      </c>
      <c r="AQ124" s="1745">
        <f t="shared" si="60"/>
        <v>93.380087619538642</v>
      </c>
      <c r="AR124" s="3311">
        <f t="shared" si="60"/>
        <v>94.75</v>
      </c>
      <c r="AS124" s="3176">
        <f t="shared" si="60"/>
        <v>93.24126088594636</v>
      </c>
      <c r="AT124" s="1279">
        <f t="shared" si="60"/>
        <v>94.749999999999986</v>
      </c>
      <c r="AU124" s="1745">
        <f t="shared" si="60"/>
        <v>93.364662091676124</v>
      </c>
      <c r="AV124" s="3311">
        <f t="shared" si="60"/>
        <v>94.75</v>
      </c>
      <c r="AW124" s="3176">
        <f t="shared" si="60"/>
        <v>94.33991758409546</v>
      </c>
      <c r="AX124" s="1279">
        <f t="shared" si="60"/>
        <v>94.749999999999972</v>
      </c>
      <c r="AY124" s="1745">
        <f t="shared" si="60"/>
        <v>93.458229639078297</v>
      </c>
      <c r="AZ124" s="3311">
        <f t="shared" si="60"/>
        <v>94.75</v>
      </c>
      <c r="BA124" s="3176">
        <f t="shared" si="60"/>
        <v>94.146464563073792</v>
      </c>
      <c r="BB124" s="764">
        <f t="shared" si="60"/>
        <v>94.749999999999986</v>
      </c>
      <c r="BC124" s="2396">
        <f t="shared" si="60"/>
        <v>93.91164228167537</v>
      </c>
      <c r="BD124" s="1513">
        <f t="shared" si="60"/>
        <v>94.75</v>
      </c>
      <c r="BE124" s="2397">
        <f t="shared" si="60"/>
        <v>93.649582875146166</v>
      </c>
      <c r="BF124" s="1279">
        <f t="shared" si="60"/>
        <v>94.749999999999972</v>
      </c>
      <c r="BG124" s="1745">
        <f t="shared" si="60"/>
        <v>93.527435421723581</v>
      </c>
      <c r="BH124" s="4234"/>
      <c r="BI124" s="4234"/>
      <c r="BJ124" s="25"/>
      <c r="BK124" s="25"/>
      <c r="BL124" s="25"/>
      <c r="BM124" s="25"/>
      <c r="BN124" s="1137"/>
    </row>
    <row r="125" spans="1:66" x14ac:dyDescent="0.25">
      <c r="A125" s="139"/>
      <c r="B125" s="836" t="s">
        <v>780</v>
      </c>
      <c r="C125" s="837"/>
      <c r="D125" s="837"/>
      <c r="E125" s="1972" t="s">
        <v>50</v>
      </c>
      <c r="F125" s="7595">
        <f>+F122</f>
        <v>56000</v>
      </c>
      <c r="G125" s="1061">
        <f>+G122</f>
        <v>52516.132000000005</v>
      </c>
      <c r="H125" s="5611">
        <f>+H122</f>
        <v>65000</v>
      </c>
      <c r="I125" s="1061">
        <f>+I122</f>
        <v>57219.144</v>
      </c>
      <c r="J125" s="769">
        <f t="shared" ref="J125:AC125" si="61">+J122</f>
        <v>121000</v>
      </c>
      <c r="K125" s="1944">
        <f t="shared" si="61"/>
        <v>105551.15300000002</v>
      </c>
      <c r="L125" s="4154">
        <f>+L122</f>
        <v>62500</v>
      </c>
      <c r="M125" s="1061">
        <f>+M122</f>
        <v>58674.632999999994</v>
      </c>
      <c r="N125" s="1950">
        <f t="shared" si="61"/>
        <v>183500</v>
      </c>
      <c r="O125" s="1951">
        <f t="shared" si="61"/>
        <v>166580.35500000001</v>
      </c>
      <c r="P125" s="5860">
        <f>+P122</f>
        <v>65000</v>
      </c>
      <c r="Q125" s="1061">
        <f>+Q122</f>
        <v>57327.387000000002</v>
      </c>
      <c r="R125" s="1958">
        <f t="shared" si="61"/>
        <v>248500</v>
      </c>
      <c r="S125" s="1959">
        <f t="shared" si="61"/>
        <v>222649.48599999995</v>
      </c>
      <c r="T125" s="5941">
        <f>+T122</f>
        <v>65000</v>
      </c>
      <c r="U125" s="1061">
        <f>+U122</f>
        <v>44406.292999999998</v>
      </c>
      <c r="V125" s="1958">
        <f t="shared" ref="V125:W125" si="62">+V122</f>
        <v>313500</v>
      </c>
      <c r="W125" s="1959">
        <f t="shared" si="62"/>
        <v>267055.77899999998</v>
      </c>
      <c r="X125" s="6044">
        <f>+X122</f>
        <v>33500</v>
      </c>
      <c r="Y125" s="1061">
        <f>+Y122</f>
        <v>49996.715999999993</v>
      </c>
      <c r="Z125" s="354">
        <f t="shared" si="61"/>
        <v>163500</v>
      </c>
      <c r="AA125" s="354">
        <f t="shared" si="61"/>
        <v>151730.39600000001</v>
      </c>
      <c r="AB125" s="513">
        <f t="shared" si="61"/>
        <v>347000</v>
      </c>
      <c r="AC125" s="513">
        <f t="shared" si="61"/>
        <v>318310.75100000005</v>
      </c>
      <c r="AD125" s="6170">
        <f>+AD122</f>
        <v>67000</v>
      </c>
      <c r="AE125" s="1061">
        <f>+AE122</f>
        <v>29659.897000000008</v>
      </c>
      <c r="AF125" s="1958">
        <f t="shared" ref="AF125:AG125" si="63">+AF122</f>
        <v>414000</v>
      </c>
      <c r="AG125" s="1959">
        <f t="shared" si="63"/>
        <v>347970.64800000004</v>
      </c>
      <c r="AH125" s="6338">
        <f>+AH122</f>
        <v>65000</v>
      </c>
      <c r="AI125" s="1061">
        <f>+AI122</f>
        <v>49060.044000000016</v>
      </c>
      <c r="AJ125" s="1958">
        <f t="shared" ref="AJ125:AK125" si="64">+AJ122</f>
        <v>479000</v>
      </c>
      <c r="AK125" s="1959">
        <f t="shared" si="64"/>
        <v>397030.6920000001</v>
      </c>
      <c r="AL125" s="6601">
        <f>+AL122</f>
        <v>67500</v>
      </c>
      <c r="AM125" s="1061">
        <f>+AM122</f>
        <v>52987.18</v>
      </c>
      <c r="AN125" s="354">
        <f t="shared" ref="AN125:AU125" si="65">+AN122</f>
        <v>199500</v>
      </c>
      <c r="AO125" s="354">
        <f t="shared" si="65"/>
        <v>131707.12099999998</v>
      </c>
      <c r="AP125" s="1958">
        <f t="shared" si="65"/>
        <v>546500</v>
      </c>
      <c r="AQ125" s="1959">
        <f t="shared" si="65"/>
        <v>450017.87200000015</v>
      </c>
      <c r="AR125" s="6680">
        <f>+AR122</f>
        <v>68000</v>
      </c>
      <c r="AS125" s="1061">
        <f>+AS122</f>
        <v>56169.977999999988</v>
      </c>
      <c r="AT125" s="1958">
        <f t="shared" si="65"/>
        <v>614500</v>
      </c>
      <c r="AU125" s="1959">
        <f t="shared" si="65"/>
        <v>506187.85000000009</v>
      </c>
      <c r="AV125" s="6853">
        <f>+AV122</f>
        <v>61000</v>
      </c>
      <c r="AW125" s="1061">
        <f>+AW122</f>
        <v>54279.397999999994</v>
      </c>
      <c r="AX125" s="1958">
        <f t="shared" ref="AX125:AY125" si="66">+AX122</f>
        <v>675500</v>
      </c>
      <c r="AY125" s="1959">
        <f t="shared" si="66"/>
        <v>560467.24799999991</v>
      </c>
      <c r="AZ125" s="7009">
        <f>+AZ122</f>
        <v>68500</v>
      </c>
      <c r="BA125" s="1061">
        <f>+BA122</f>
        <v>63120.145999999993</v>
      </c>
      <c r="BB125" s="354">
        <f t="shared" ref="BB125:BE125" si="67">+BB122</f>
        <v>197500</v>
      </c>
      <c r="BC125" s="354">
        <f t="shared" si="67"/>
        <v>173569.522</v>
      </c>
      <c r="BD125" s="1514">
        <f t="shared" si="67"/>
        <v>397000</v>
      </c>
      <c r="BE125" s="1514">
        <f t="shared" si="67"/>
        <v>305276.6430000001</v>
      </c>
      <c r="BF125" s="1958">
        <f t="shared" ref="BF125:BG125" si="68">+BF122</f>
        <v>744000</v>
      </c>
      <c r="BG125" s="1959">
        <f t="shared" si="68"/>
        <v>623587.39399999951</v>
      </c>
      <c r="BH125" s="4234">
        <f t="shared" si="25"/>
        <v>0</v>
      </c>
      <c r="BI125" s="4234">
        <f t="shared" si="26"/>
        <v>1829.5540000004694</v>
      </c>
      <c r="BJ125" s="25"/>
      <c r="BK125" s="25">
        <f t="shared" si="27"/>
        <v>0</v>
      </c>
      <c r="BL125" s="25">
        <f t="shared" si="28"/>
        <v>0</v>
      </c>
      <c r="BM125" s="25"/>
      <c r="BN125" s="1137"/>
    </row>
    <row r="126" spans="1:66" s="2633" customFormat="1" ht="15.75" thickBot="1" x14ac:dyDescent="0.3">
      <c r="A126" s="139"/>
      <c r="B126" s="971" t="s">
        <v>811</v>
      </c>
      <c r="C126" s="972"/>
      <c r="D126" s="972"/>
      <c r="E126" s="1973" t="s">
        <v>49</v>
      </c>
      <c r="F126" s="1936"/>
      <c r="G126" s="1937">
        <f>+G125/G122</f>
        <v>1</v>
      </c>
      <c r="H126" s="1936"/>
      <c r="I126" s="1937">
        <f>+I125/I122</f>
        <v>1</v>
      </c>
      <c r="J126" s="1942"/>
      <c r="K126" s="1945">
        <f>+K125/K122</f>
        <v>1</v>
      </c>
      <c r="L126" s="1936"/>
      <c r="M126" s="1937">
        <f>+M125/M122</f>
        <v>1</v>
      </c>
      <c r="N126" s="1952"/>
      <c r="O126" s="1953">
        <f>+O125/O122</f>
        <v>1</v>
      </c>
      <c r="P126" s="1936"/>
      <c r="Q126" s="1937">
        <f>+Q125/Q122</f>
        <v>1</v>
      </c>
      <c r="R126" s="1960"/>
      <c r="S126" s="1961">
        <f>+S125/S122</f>
        <v>1</v>
      </c>
      <c r="T126" s="1936"/>
      <c r="U126" s="1937">
        <f>+U125/U122</f>
        <v>1</v>
      </c>
      <c r="V126" s="1960"/>
      <c r="W126" s="1961">
        <f>+W125/W122</f>
        <v>1</v>
      </c>
      <c r="X126" s="1936"/>
      <c r="Y126" s="1937">
        <f>+Y125/Y122</f>
        <v>1</v>
      </c>
      <c r="Z126" s="1406"/>
      <c r="AA126" s="1406">
        <f>+AA125/AA122</f>
        <v>1</v>
      </c>
      <c r="AB126" s="1510"/>
      <c r="AC126" s="1510">
        <f>+AC125/AC122</f>
        <v>1</v>
      </c>
      <c r="AD126" s="1936"/>
      <c r="AE126" s="1937">
        <f>+AE125/AE122</f>
        <v>1</v>
      </c>
      <c r="AF126" s="1960"/>
      <c r="AG126" s="1961">
        <f>+AG125/AG122</f>
        <v>1</v>
      </c>
      <c r="AH126" s="1936"/>
      <c r="AI126" s="1937">
        <f>+AI125/AI122</f>
        <v>1</v>
      </c>
      <c r="AJ126" s="1960"/>
      <c r="AK126" s="1961">
        <f>+AK125/AK122</f>
        <v>1</v>
      </c>
      <c r="AL126" s="1936"/>
      <c r="AM126" s="1937">
        <f>+AM125/AM122</f>
        <v>1</v>
      </c>
      <c r="AN126" s="1406"/>
      <c r="AO126" s="1406">
        <f>+AO125/AO122</f>
        <v>1</v>
      </c>
      <c r="AP126" s="1960"/>
      <c r="AQ126" s="1961">
        <f>+AQ125/AQ122</f>
        <v>1</v>
      </c>
      <c r="AR126" s="1936"/>
      <c r="AS126" s="1937">
        <f>+AS125/AS122</f>
        <v>1</v>
      </c>
      <c r="AT126" s="1960"/>
      <c r="AU126" s="1961">
        <f>+AU125/AU122</f>
        <v>1</v>
      </c>
      <c r="AV126" s="1936"/>
      <c r="AW126" s="1937">
        <f>+AW125/AW122</f>
        <v>1</v>
      </c>
      <c r="AX126" s="1960"/>
      <c r="AY126" s="1961">
        <f>+AY125/AY122</f>
        <v>1</v>
      </c>
      <c r="AZ126" s="1936"/>
      <c r="BA126" s="1937">
        <f>+BA125/BA122</f>
        <v>1</v>
      </c>
      <c r="BB126" s="1406"/>
      <c r="BC126" s="1406">
        <f>+BC125/BC122</f>
        <v>1</v>
      </c>
      <c r="BD126" s="1515"/>
      <c r="BE126" s="1515">
        <f>+BE125/BE122</f>
        <v>1</v>
      </c>
      <c r="BF126" s="1960"/>
      <c r="BG126" s="1961">
        <f>+BG125/BG122</f>
        <v>1</v>
      </c>
      <c r="BH126" s="4234"/>
      <c r="BI126" s="4234"/>
      <c r="BJ126" s="25"/>
      <c r="BK126" s="25"/>
      <c r="BL126" s="25"/>
      <c r="BM126" s="25"/>
      <c r="BN126" s="1137"/>
    </row>
    <row r="127" spans="1:66" ht="15.75" thickBot="1" x14ac:dyDescent="0.3">
      <c r="A127" s="139"/>
      <c r="B127" s="808" t="s">
        <v>1413</v>
      </c>
      <c r="C127" s="808"/>
      <c r="D127" s="761" t="s">
        <v>49</v>
      </c>
      <c r="E127" s="1588"/>
      <c r="F127" s="1588"/>
      <c r="G127" s="6428">
        <f>G128/G130</f>
        <v>0.13670627315702058</v>
      </c>
      <c r="H127" s="6429"/>
      <c r="I127" s="6428">
        <f>I128/I130</f>
        <v>9.6796260403602785E-2</v>
      </c>
      <c r="J127" s="6430"/>
      <c r="K127" s="6430">
        <f>K128/K130</f>
        <v>0.11561633931799012</v>
      </c>
      <c r="L127" s="6429"/>
      <c r="M127" s="6428">
        <f>M128/M130</f>
        <v>0.21279298002540123</v>
      </c>
      <c r="N127" s="1585"/>
      <c r="O127" s="1975">
        <f>O128/O130</f>
        <v>0.14893701254998218</v>
      </c>
      <c r="P127" s="1588"/>
      <c r="Q127" s="6428">
        <f>Q128/Q130</f>
        <v>0.11653888280394305</v>
      </c>
      <c r="R127" s="1583"/>
      <c r="S127" s="1583">
        <f>S128/S130</f>
        <v>0.14033557242141381</v>
      </c>
      <c r="T127" s="1588"/>
      <c r="U127" s="6428">
        <f>U128/U130</f>
        <v>4.5423911578379834E-2</v>
      </c>
      <c r="V127" s="1583"/>
      <c r="W127" s="1583">
        <f>W128/W130</f>
        <v>0.12349311136624569</v>
      </c>
      <c r="X127" s="1588"/>
      <c r="Y127" s="1583">
        <f>Y128/Y130</f>
        <v>2.0050441361916773E-2</v>
      </c>
      <c r="Z127" s="1585"/>
      <c r="AA127" s="1585">
        <f>AA128/AA130</f>
        <v>6.3728093467870423E-2</v>
      </c>
      <c r="AB127" s="1586"/>
      <c r="AC127" s="1587">
        <f>AC128/AC130</f>
        <v>0.10700068358196951</v>
      </c>
      <c r="AD127" s="1588"/>
      <c r="AE127" s="6428">
        <f>AE128/AE130</f>
        <v>9.9283773771301556E-2</v>
      </c>
      <c r="AF127" s="1583"/>
      <c r="AG127" s="1976">
        <f>AG128/AG130</f>
        <v>0.10641976685816275</v>
      </c>
      <c r="AH127" s="1588"/>
      <c r="AI127" s="6428">
        <f>AI128/AI130</f>
        <v>0.16962524654832348</v>
      </c>
      <c r="AJ127" s="1583"/>
      <c r="AK127" s="1976">
        <f>AK128/AK130</f>
        <v>0.11424941360437842</v>
      </c>
      <c r="AL127" s="1588"/>
      <c r="AM127" s="6428">
        <f>AM128/AM130</f>
        <v>7.0407040704070403E-2</v>
      </c>
      <c r="AN127" s="1585"/>
      <c r="AO127" s="1585">
        <f>AO128/AO130</f>
        <v>0.11434333249306781</v>
      </c>
      <c r="AP127" s="1583"/>
      <c r="AQ127" s="1976">
        <f>AQ128/AQ130</f>
        <v>0.10909404510370402</v>
      </c>
      <c r="AR127" s="1588"/>
      <c r="AS127" s="6428">
        <f>AS128/AS130</f>
        <v>0.11349440188568061</v>
      </c>
      <c r="AT127" s="1583"/>
      <c r="AU127" s="1583">
        <f>AU128/AU130</f>
        <v>0.1095723692638807</v>
      </c>
      <c r="AV127" s="1588"/>
      <c r="AW127" s="6428">
        <f>AW128/AW130</f>
        <v>0.12445969997457412</v>
      </c>
      <c r="AX127" s="1583"/>
      <c r="AY127" s="5097">
        <f>AY128/AY130</f>
        <v>0.11093524510032121</v>
      </c>
      <c r="AZ127" s="1588"/>
      <c r="BA127" s="6428">
        <f>BA128/BA130</f>
        <v>0.29453464440887261</v>
      </c>
      <c r="BB127" s="1406"/>
      <c r="BC127" s="1406">
        <f>BC128/BC130</f>
        <v>0.18002151651591825</v>
      </c>
      <c r="BD127" s="1515"/>
      <c r="BE127" s="1515">
        <f>BE128/BE130</f>
        <v>0.15102822042197098</v>
      </c>
      <c r="BF127" s="1445"/>
      <c r="BG127" s="1445">
        <f>BG128/BG130</f>
        <v>0.12789690503855497</v>
      </c>
      <c r="BH127" s="4234">
        <f t="shared" si="25"/>
        <v>0</v>
      </c>
      <c r="BI127" s="4234">
        <f t="shared" si="26"/>
        <v>1.3722166515845322</v>
      </c>
      <c r="BJ127" s="25"/>
      <c r="BK127" s="25">
        <f t="shared" si="27"/>
        <v>0</v>
      </c>
      <c r="BL127" s="25">
        <f t="shared" si="28"/>
        <v>0.72077658687085189</v>
      </c>
      <c r="BM127" s="25"/>
      <c r="BN127" s="1137"/>
    </row>
    <row r="128" spans="1:66" s="4487" customFormat="1" ht="15.75" hidden="1" x14ac:dyDescent="0.25">
      <c r="A128" s="139"/>
      <c r="B128" s="4953" t="s">
        <v>1868</v>
      </c>
      <c r="C128" s="4954"/>
      <c r="D128" s="4955" t="s">
        <v>2225</v>
      </c>
      <c r="E128" s="1588"/>
      <c r="F128" s="1588"/>
      <c r="G128" s="3305">
        <v>1070</v>
      </c>
      <c r="H128" s="1588"/>
      <c r="I128" s="3305">
        <v>849</v>
      </c>
      <c r="J128" s="1584"/>
      <c r="K128" s="37">
        <f t="shared" ref="K128:K130" si="69">+G128+I128</f>
        <v>1919</v>
      </c>
      <c r="L128" s="1588"/>
      <c r="M128" s="3305">
        <v>1843</v>
      </c>
      <c r="N128" s="1585"/>
      <c r="O128" s="5204">
        <f t="shared" ref="O128:O130" si="70">+G128+I128+M128</f>
        <v>3762</v>
      </c>
      <c r="P128" s="1588"/>
      <c r="Q128" s="3305">
        <v>1064</v>
      </c>
      <c r="R128" s="1583"/>
      <c r="S128" s="5206">
        <f t="shared" ref="S128:S130" si="71">+O128+Q128</f>
        <v>4826</v>
      </c>
      <c r="T128" s="1588"/>
      <c r="U128" s="3305">
        <v>337</v>
      </c>
      <c r="V128" s="1583"/>
      <c r="W128" s="5206">
        <f t="shared" ref="W128:W130" si="72">+S128+U128</f>
        <v>5163</v>
      </c>
      <c r="X128" s="1588"/>
      <c r="Y128" s="3305">
        <v>159</v>
      </c>
      <c r="Z128" s="1585"/>
      <c r="AA128" s="5204">
        <f t="shared" ref="AA128:AA130" si="73">+Q128+U128+Y128</f>
        <v>1560</v>
      </c>
      <c r="AB128" s="1586"/>
      <c r="AC128" s="5205">
        <f t="shared" ref="AC128:AC130" si="74">+AA128+O128</f>
        <v>5322</v>
      </c>
      <c r="AD128" s="1588"/>
      <c r="AE128" s="3305">
        <v>402</v>
      </c>
      <c r="AF128" s="1583"/>
      <c r="AG128" s="37">
        <f t="shared" ref="AG128:AG130" si="75">+AC128+AE128</f>
        <v>5724</v>
      </c>
      <c r="AH128" s="1588"/>
      <c r="AI128" s="3305">
        <v>1290</v>
      </c>
      <c r="AJ128" s="1583"/>
      <c r="AK128" s="37">
        <f t="shared" ref="AK128:AK130" si="76">+AG128+AI128</f>
        <v>7014</v>
      </c>
      <c r="AL128" s="1588"/>
      <c r="AM128" s="3305">
        <v>576</v>
      </c>
      <c r="AN128" s="1585"/>
      <c r="AO128" s="5204">
        <f t="shared" ref="AO128:AO130" si="77">+AE128+AI128+AM128</f>
        <v>2268</v>
      </c>
      <c r="AP128" s="1583"/>
      <c r="AQ128" s="5206">
        <f t="shared" ref="AQ128:AQ130" si="78">AK128+AM128</f>
        <v>7590</v>
      </c>
      <c r="AR128" s="1588"/>
      <c r="AS128" s="3305">
        <v>963</v>
      </c>
      <c r="AT128" s="1583"/>
      <c r="AU128" s="37">
        <f t="shared" ref="AU128:AU129" si="79">+AQ128+AS128</f>
        <v>8553</v>
      </c>
      <c r="AV128" s="1588"/>
      <c r="AW128" s="3305">
        <v>979</v>
      </c>
      <c r="AX128" s="1583"/>
      <c r="AY128" s="37">
        <f t="shared" ref="AY128:AY129" si="80">+AU128+AW128</f>
        <v>9532</v>
      </c>
      <c r="AZ128" s="1588"/>
      <c r="BA128" s="3305">
        <v>2576</v>
      </c>
      <c r="BB128" s="1585"/>
      <c r="BC128" s="5204">
        <f t="shared" ref="BC128:BC130" si="81">+AS128+AW128+BA128</f>
        <v>4518</v>
      </c>
      <c r="BD128" s="1586"/>
      <c r="BE128" s="629">
        <f t="shared" ref="BE128:BE130" si="82">+AO128+BC128</f>
        <v>6786</v>
      </c>
      <c r="BF128" s="1584"/>
      <c r="BG128" s="37">
        <f t="shared" ref="BG128:BG129" si="83">+AY128+BA128</f>
        <v>12108</v>
      </c>
      <c r="BH128" s="4234">
        <f t="shared" si="25"/>
        <v>0</v>
      </c>
      <c r="BI128" s="4234">
        <f t="shared" si="26"/>
        <v>0</v>
      </c>
      <c r="BJ128" s="25"/>
      <c r="BK128" s="25">
        <f t="shared" si="27"/>
        <v>0</v>
      </c>
      <c r="BL128" s="25">
        <f t="shared" si="28"/>
        <v>0</v>
      </c>
      <c r="BM128" s="25"/>
      <c r="BN128" s="1137"/>
    </row>
    <row r="129" spans="1:68" s="4487" customFormat="1" ht="15.75" hidden="1" x14ac:dyDescent="0.25">
      <c r="A129" s="139"/>
      <c r="B129" s="4953" t="s">
        <v>1869</v>
      </c>
      <c r="C129" s="4954"/>
      <c r="D129" s="4955" t="s">
        <v>2225</v>
      </c>
      <c r="E129" s="1588"/>
      <c r="F129" s="1588"/>
      <c r="G129" s="3305">
        <v>6757</v>
      </c>
      <c r="H129" s="1588"/>
      <c r="I129" s="3305">
        <v>7922</v>
      </c>
      <c r="J129" s="1584"/>
      <c r="K129" s="37">
        <f t="shared" si="69"/>
        <v>14679</v>
      </c>
      <c r="L129" s="1588"/>
      <c r="M129" s="3305">
        <f>8661-M128</f>
        <v>6818</v>
      </c>
      <c r="N129" s="1585"/>
      <c r="O129" s="5204">
        <f t="shared" si="70"/>
        <v>21497</v>
      </c>
      <c r="P129" s="1588"/>
      <c r="Q129" s="3305">
        <f>9130-Q128</f>
        <v>8066</v>
      </c>
      <c r="R129" s="1583"/>
      <c r="S129" s="5206">
        <f t="shared" si="71"/>
        <v>29563</v>
      </c>
      <c r="T129" s="1588"/>
      <c r="U129" s="3305">
        <v>7082</v>
      </c>
      <c r="V129" s="1583"/>
      <c r="W129" s="5206">
        <f t="shared" si="72"/>
        <v>36645</v>
      </c>
      <c r="X129" s="1588"/>
      <c r="Y129" s="3305">
        <v>7771</v>
      </c>
      <c r="Z129" s="1585"/>
      <c r="AA129" s="5204">
        <f t="shared" si="73"/>
        <v>22919</v>
      </c>
      <c r="AB129" s="1586"/>
      <c r="AC129" s="5205">
        <f t="shared" si="74"/>
        <v>44416</v>
      </c>
      <c r="AD129" s="1588"/>
      <c r="AE129" s="3305">
        <v>3647</v>
      </c>
      <c r="AF129" s="1583"/>
      <c r="AG129" s="37">
        <f t="shared" si="75"/>
        <v>48063</v>
      </c>
      <c r="AH129" s="1588"/>
      <c r="AI129" s="3305">
        <f>7605-AI128</f>
        <v>6315</v>
      </c>
      <c r="AJ129" s="1583"/>
      <c r="AK129" s="37">
        <f t="shared" si="76"/>
        <v>54378</v>
      </c>
      <c r="AL129" s="1588"/>
      <c r="AM129" s="3305">
        <v>7605</v>
      </c>
      <c r="AN129" s="1585"/>
      <c r="AO129" s="5204">
        <f t="shared" si="77"/>
        <v>17567</v>
      </c>
      <c r="AP129" s="1583"/>
      <c r="AQ129" s="5206">
        <f t="shared" si="78"/>
        <v>61983</v>
      </c>
      <c r="AR129" s="1588"/>
      <c r="AS129" s="3305">
        <v>7522</v>
      </c>
      <c r="AT129" s="1583"/>
      <c r="AU129" s="37">
        <f t="shared" si="79"/>
        <v>69505</v>
      </c>
      <c r="AV129" s="1588"/>
      <c r="AW129" s="3305">
        <v>6887</v>
      </c>
      <c r="AX129" s="1583"/>
      <c r="AY129" s="37">
        <f t="shared" si="80"/>
        <v>76392</v>
      </c>
      <c r="AZ129" s="1588"/>
      <c r="BA129" s="3305">
        <v>6170</v>
      </c>
      <c r="BB129" s="1585"/>
      <c r="BC129" s="5204">
        <f t="shared" si="81"/>
        <v>20579</v>
      </c>
      <c r="BD129" s="1586"/>
      <c r="BE129" s="629">
        <f t="shared" si="82"/>
        <v>38146</v>
      </c>
      <c r="BF129" s="1584"/>
      <c r="BG129" s="37">
        <f t="shared" si="83"/>
        <v>82562</v>
      </c>
      <c r="BH129" s="4234">
        <f t="shared" si="25"/>
        <v>0</v>
      </c>
      <c r="BI129" s="4234">
        <f t="shared" si="26"/>
        <v>0</v>
      </c>
      <c r="BJ129" s="25"/>
      <c r="BK129" s="25">
        <f t="shared" si="27"/>
        <v>0</v>
      </c>
      <c r="BL129" s="25">
        <f t="shared" si="28"/>
        <v>0</v>
      </c>
      <c r="BM129" s="25"/>
      <c r="BN129" s="1137"/>
      <c r="BO129" s="5539"/>
      <c r="BP129" s="5539"/>
    </row>
    <row r="130" spans="1:68" s="4487" customFormat="1" ht="16.5" hidden="1" thickBot="1" x14ac:dyDescent="0.3">
      <c r="A130" s="139"/>
      <c r="B130" s="4953" t="s">
        <v>2259</v>
      </c>
      <c r="C130" s="4954"/>
      <c r="D130" s="4955" t="s">
        <v>2225</v>
      </c>
      <c r="E130" s="1588"/>
      <c r="F130" s="1588"/>
      <c r="G130" s="3305">
        <f>SUM(G128:G129)</f>
        <v>7827</v>
      </c>
      <c r="H130" s="1588"/>
      <c r="I130" s="3305">
        <f>I128+I129</f>
        <v>8771</v>
      </c>
      <c r="J130" s="1584"/>
      <c r="K130" s="37">
        <f t="shared" si="69"/>
        <v>16598</v>
      </c>
      <c r="L130" s="1588"/>
      <c r="M130" s="3305">
        <f>M128+M129</f>
        <v>8661</v>
      </c>
      <c r="N130" s="1585"/>
      <c r="O130" s="5204">
        <f t="shared" si="70"/>
        <v>25259</v>
      </c>
      <c r="P130" s="1588"/>
      <c r="Q130" s="3305">
        <f>Q128+Q129</f>
        <v>9130</v>
      </c>
      <c r="R130" s="1583"/>
      <c r="S130" s="5206">
        <f t="shared" si="71"/>
        <v>34389</v>
      </c>
      <c r="T130" s="1588"/>
      <c r="U130" s="3305">
        <v>7419</v>
      </c>
      <c r="V130" s="1583"/>
      <c r="W130" s="5206">
        <f t="shared" si="72"/>
        <v>41808</v>
      </c>
      <c r="X130" s="1588"/>
      <c r="Y130" s="3305">
        <f>Y128+Y129</f>
        <v>7930</v>
      </c>
      <c r="Z130" s="1585"/>
      <c r="AA130" s="5204">
        <f t="shared" si="73"/>
        <v>24479</v>
      </c>
      <c r="AB130" s="1586"/>
      <c r="AC130" s="5205">
        <f t="shared" si="74"/>
        <v>49738</v>
      </c>
      <c r="AD130" s="1588"/>
      <c r="AE130" s="3305">
        <f>SUM(AE128:AE129)</f>
        <v>4049</v>
      </c>
      <c r="AF130" s="1583"/>
      <c r="AG130" s="37">
        <f t="shared" si="75"/>
        <v>53787</v>
      </c>
      <c r="AH130" s="1588"/>
      <c r="AI130" s="3305">
        <f>SUM(AI128:AI129)</f>
        <v>7605</v>
      </c>
      <c r="AJ130" s="1583"/>
      <c r="AK130" s="37">
        <f t="shared" si="76"/>
        <v>61392</v>
      </c>
      <c r="AL130" s="1588"/>
      <c r="AM130" s="3305">
        <f>SUM(AM128:AM129)</f>
        <v>8181</v>
      </c>
      <c r="AN130" s="1585"/>
      <c r="AO130" s="5204">
        <f t="shared" si="77"/>
        <v>19835</v>
      </c>
      <c r="AP130" s="1583"/>
      <c r="AQ130" s="5206">
        <f t="shared" si="78"/>
        <v>69573</v>
      </c>
      <c r="AR130" s="1588"/>
      <c r="AS130" s="3305">
        <f>SUM(AS128:AS129)</f>
        <v>8485</v>
      </c>
      <c r="AT130" s="1583"/>
      <c r="AU130" s="5206">
        <f t="shared" ref="AU130" si="84">+AQ130+AS130</f>
        <v>78058</v>
      </c>
      <c r="AV130" s="1588"/>
      <c r="AW130" s="3305">
        <f>SUM(AW128:AW129)</f>
        <v>7866</v>
      </c>
      <c r="AX130" s="1583"/>
      <c r="AY130" s="5206">
        <f t="shared" ref="AY130" si="85">+AU130+AW130</f>
        <v>85924</v>
      </c>
      <c r="AZ130" s="1588"/>
      <c r="BA130" s="3305">
        <f>SUM(BA128:BA129)</f>
        <v>8746</v>
      </c>
      <c r="BB130" s="1585"/>
      <c r="BC130" s="5204">
        <f t="shared" si="81"/>
        <v>25097</v>
      </c>
      <c r="BD130" s="1586"/>
      <c r="BE130" s="629">
        <f t="shared" si="82"/>
        <v>44932</v>
      </c>
      <c r="BF130" s="1584"/>
      <c r="BG130" s="5206">
        <f t="shared" ref="BG130" si="86">+AY130+BA130</f>
        <v>94670</v>
      </c>
      <c r="BH130" s="4234">
        <f t="shared" si="25"/>
        <v>0</v>
      </c>
      <c r="BI130" s="4234">
        <f t="shared" si="26"/>
        <v>0</v>
      </c>
      <c r="BJ130" s="25"/>
      <c r="BK130" s="25">
        <f t="shared" si="27"/>
        <v>0</v>
      </c>
      <c r="BL130" s="25">
        <f t="shared" si="28"/>
        <v>0</v>
      </c>
      <c r="BM130" s="25"/>
      <c r="BN130" s="1137"/>
    </row>
    <row r="131" spans="1:68" ht="19.5" thickBot="1" x14ac:dyDescent="0.3">
      <c r="B131" s="1773" t="s">
        <v>53</v>
      </c>
      <c r="C131" s="177"/>
      <c r="D131" s="177"/>
      <c r="E131" s="1974"/>
      <c r="F131" s="1773"/>
      <c r="G131" s="1963"/>
      <c r="H131" s="1773"/>
      <c r="I131" s="1963"/>
      <c r="J131" s="177"/>
      <c r="K131" s="177"/>
      <c r="L131" s="1773"/>
      <c r="M131" s="1963"/>
      <c r="N131" s="1773"/>
      <c r="O131" s="1963"/>
      <c r="P131" s="1773"/>
      <c r="Q131" s="1963"/>
      <c r="R131" s="1773"/>
      <c r="S131" s="1963"/>
      <c r="T131" s="1773"/>
      <c r="U131" s="1963"/>
      <c r="V131" s="1773"/>
      <c r="W131" s="1963"/>
      <c r="X131" s="1773"/>
      <c r="Y131" s="1963"/>
      <c r="Z131" s="177"/>
      <c r="AA131" s="177"/>
      <c r="AB131" s="177"/>
      <c r="AC131" s="177"/>
      <c r="AD131" s="1773"/>
      <c r="AE131" s="1963"/>
      <c r="AF131" s="1773"/>
      <c r="AG131" s="1963"/>
      <c r="AH131" s="1773"/>
      <c r="AI131" s="1963"/>
      <c r="AJ131" s="1773"/>
      <c r="AK131" s="1963"/>
      <c r="AL131" s="1773"/>
      <c r="AM131" s="1963"/>
      <c r="AN131" s="177"/>
      <c r="AO131" s="177"/>
      <c r="AP131" s="1773"/>
      <c r="AQ131" s="1963"/>
      <c r="AR131" s="1773"/>
      <c r="AS131" s="1963"/>
      <c r="AT131" s="1773"/>
      <c r="AU131" s="1963"/>
      <c r="AV131" s="1773"/>
      <c r="AW131" s="1963"/>
      <c r="AX131" s="1773"/>
      <c r="AY131" s="1963"/>
      <c r="AZ131" s="1773"/>
      <c r="BA131" s="1963"/>
      <c r="BB131" s="177"/>
      <c r="BC131" s="177"/>
      <c r="BD131" s="177"/>
      <c r="BE131" s="177"/>
      <c r="BF131" s="1773"/>
      <c r="BG131" s="1963"/>
      <c r="BH131" s="4234">
        <f t="shared" si="25"/>
        <v>0</v>
      </c>
      <c r="BI131" s="4234">
        <f t="shared" si="26"/>
        <v>0</v>
      </c>
      <c r="BJ131" s="25"/>
      <c r="BK131" s="25">
        <f t="shared" si="27"/>
        <v>0</v>
      </c>
      <c r="BL131" s="25">
        <f t="shared" si="28"/>
        <v>0</v>
      </c>
      <c r="BM131" s="25"/>
      <c r="BN131" s="1137"/>
    </row>
    <row r="132" spans="1:68" x14ac:dyDescent="0.25">
      <c r="B132" s="810" t="s">
        <v>93</v>
      </c>
      <c r="C132" s="1964"/>
      <c r="D132" s="1964"/>
      <c r="E132" s="767" t="s">
        <v>220</v>
      </c>
      <c r="F132" s="767">
        <f>+F2*24</f>
        <v>720</v>
      </c>
      <c r="G132" s="767">
        <f>+G2*24</f>
        <v>720</v>
      </c>
      <c r="H132" s="767">
        <f>+H2*24</f>
        <v>744</v>
      </c>
      <c r="I132" s="767">
        <f>+I2*24</f>
        <v>744</v>
      </c>
      <c r="J132" s="3634">
        <f>+F132+H132</f>
        <v>1464</v>
      </c>
      <c r="K132" s="3634">
        <f>+G132+I132</f>
        <v>1464</v>
      </c>
      <c r="L132" s="767">
        <f>+L2*24</f>
        <v>720</v>
      </c>
      <c r="M132" s="767">
        <f>+M2*24</f>
        <v>720</v>
      </c>
      <c r="N132" s="586">
        <f>+F132+H132+L132</f>
        <v>2184</v>
      </c>
      <c r="O132" s="586">
        <f>+G132+I132+M132</f>
        <v>2184</v>
      </c>
      <c r="P132" s="767">
        <f>+P2*24</f>
        <v>744</v>
      </c>
      <c r="Q132" s="767">
        <f>+Q2*24</f>
        <v>744</v>
      </c>
      <c r="R132" s="3634">
        <f>+N132+P132</f>
        <v>2928</v>
      </c>
      <c r="S132" s="3634">
        <f>+O132+Q132</f>
        <v>2928</v>
      </c>
      <c r="T132" s="767">
        <f>+T2*24</f>
        <v>744</v>
      </c>
      <c r="U132" s="767">
        <f>+U2*24</f>
        <v>744</v>
      </c>
      <c r="V132" s="3634">
        <f>+R132+T132</f>
        <v>3672</v>
      </c>
      <c r="W132" s="3634">
        <f>+S132+U132</f>
        <v>3672</v>
      </c>
      <c r="X132" s="767">
        <f>+X2*24</f>
        <v>720</v>
      </c>
      <c r="Y132" s="767">
        <f>+Y2*24</f>
        <v>720</v>
      </c>
      <c r="Z132" s="586">
        <f>+P132+T132+X132</f>
        <v>2208</v>
      </c>
      <c r="AA132" s="586">
        <f>+Q132+U132+Y132</f>
        <v>2208</v>
      </c>
      <c r="AB132" s="975">
        <f>+N132+Z132</f>
        <v>4392</v>
      </c>
      <c r="AC132" s="975">
        <f>+AA132+O132</f>
        <v>4392</v>
      </c>
      <c r="AD132" s="767">
        <f>+AD2*24</f>
        <v>744</v>
      </c>
      <c r="AE132" s="767">
        <f>+AE2*24</f>
        <v>744</v>
      </c>
      <c r="AF132" s="3634">
        <f>+AB132+AD132</f>
        <v>5136</v>
      </c>
      <c r="AG132" s="3634">
        <f>+AC132+AE132</f>
        <v>5136</v>
      </c>
      <c r="AH132" s="767">
        <f>+AH2*24</f>
        <v>720</v>
      </c>
      <c r="AI132" s="767">
        <f>+AI2*24</f>
        <v>720</v>
      </c>
      <c r="AJ132" s="3634">
        <f>+AF132+AH132</f>
        <v>5856</v>
      </c>
      <c r="AK132" s="3634">
        <f>+AG132+AI132</f>
        <v>5856</v>
      </c>
      <c r="AL132" s="767">
        <f>+AL2*24</f>
        <v>744</v>
      </c>
      <c r="AM132" s="767">
        <f>+AM2*24</f>
        <v>744</v>
      </c>
      <c r="AN132" s="586">
        <f>+AD132+AH132+AL132</f>
        <v>2208</v>
      </c>
      <c r="AO132" s="586">
        <f>+AE132+AI132+AM132</f>
        <v>2208</v>
      </c>
      <c r="AP132" s="349">
        <f t="shared" ref="AP132" si="87">AJ132+AL132</f>
        <v>6600</v>
      </c>
      <c r="AQ132" s="349">
        <f t="shared" ref="AQ132" si="88">AK132+AM132</f>
        <v>6600</v>
      </c>
      <c r="AR132" s="767">
        <f>+AR2*24</f>
        <v>744</v>
      </c>
      <c r="AS132" s="767">
        <f>+AS2*24</f>
        <v>744</v>
      </c>
      <c r="AT132" s="3634">
        <f>+AP132+AR132</f>
        <v>7344</v>
      </c>
      <c r="AU132" s="3634">
        <f>+AQ132+AS132</f>
        <v>7344</v>
      </c>
      <c r="AV132" s="767">
        <f>+AV2*24</f>
        <v>672</v>
      </c>
      <c r="AW132" s="767">
        <f>+AW2*24</f>
        <v>672</v>
      </c>
      <c r="AX132" s="3634">
        <f>+AT132+AV132</f>
        <v>8016</v>
      </c>
      <c r="AY132" s="3634">
        <f>+AU132+AW132</f>
        <v>8016</v>
      </c>
      <c r="AZ132" s="767">
        <f>+AZ2*24</f>
        <v>744</v>
      </c>
      <c r="BA132" s="767">
        <f>+BA2*24</f>
        <v>744</v>
      </c>
      <c r="BB132" s="586">
        <f>+AR132+AV132+AZ132</f>
        <v>2160</v>
      </c>
      <c r="BC132" s="586">
        <f>+AS132+AW132+BA132</f>
        <v>2160</v>
      </c>
      <c r="BD132" s="5365">
        <f t="shared" ref="BD132" si="89">+AN132+BB132</f>
        <v>4368</v>
      </c>
      <c r="BE132" s="5365">
        <f t="shared" ref="BE132" si="90">+AO132+BC132</f>
        <v>4368</v>
      </c>
      <c r="BF132" s="3634">
        <f>+AX132+AZ132</f>
        <v>8760</v>
      </c>
      <c r="BG132" s="3415">
        <f>+AY132+BA132</f>
        <v>8760</v>
      </c>
      <c r="BH132" s="4234">
        <f t="shared" si="25"/>
        <v>0</v>
      </c>
      <c r="BI132" s="4234">
        <f t="shared" si="26"/>
        <v>0</v>
      </c>
      <c r="BJ132" s="25"/>
      <c r="BK132" s="25">
        <f t="shared" si="27"/>
        <v>0</v>
      </c>
      <c r="BL132" s="25">
        <f t="shared" si="28"/>
        <v>0</v>
      </c>
      <c r="BM132" s="25"/>
      <c r="BN132" s="1137"/>
    </row>
    <row r="133" spans="1:68" x14ac:dyDescent="0.25">
      <c r="B133" s="5440" t="s">
        <v>301</v>
      </c>
      <c r="C133" s="5422"/>
      <c r="D133" s="5422"/>
      <c r="E133" s="5171" t="s">
        <v>49</v>
      </c>
      <c r="F133" s="5424">
        <f>+F134/F132*100</f>
        <v>75</v>
      </c>
      <c r="G133" s="5424">
        <f>+G134/G132*100</f>
        <v>82.395833333333329</v>
      </c>
      <c r="H133" s="5424">
        <f>+H134/H132*100</f>
        <v>90.322580645161281</v>
      </c>
      <c r="I133" s="5424">
        <f>+I134/I132*100</f>
        <v>84.621415770609346</v>
      </c>
      <c r="J133" s="5425">
        <f t="shared" ref="J133:AC133" si="91">+J134/J132*100</f>
        <v>82.786885245901644</v>
      </c>
      <c r="K133" s="5425">
        <f t="shared" si="91"/>
        <v>83.526867030965406</v>
      </c>
      <c r="L133" s="5424">
        <f>+L134/L132*100</f>
        <v>90</v>
      </c>
      <c r="M133" s="5424">
        <f>+M134/M132*100</f>
        <v>84.224537037037024</v>
      </c>
      <c r="N133" s="5426">
        <f t="shared" si="91"/>
        <v>85.164835164835168</v>
      </c>
      <c r="O133" s="5426">
        <f t="shared" si="91"/>
        <v>83.756868131868131</v>
      </c>
      <c r="P133" s="5424">
        <f>+P134/P132*100</f>
        <v>90.322580645161281</v>
      </c>
      <c r="Q133" s="5424">
        <f>+Q134/Q132*100</f>
        <v>88.048835125448051</v>
      </c>
      <c r="R133" s="5425">
        <f t="shared" si="91"/>
        <v>86.47540983606558</v>
      </c>
      <c r="S133" s="5425">
        <f t="shared" si="91"/>
        <v>84.847449908925327</v>
      </c>
      <c r="T133" s="5424">
        <f>+T134/T132*100</f>
        <v>90.322580645161281</v>
      </c>
      <c r="U133" s="5424">
        <f>+U134/U132*100</f>
        <v>82.112455197132661</v>
      </c>
      <c r="V133" s="5425">
        <f t="shared" ref="V133:W133" si="92">+V134/V132*100</f>
        <v>87.254901960784309</v>
      </c>
      <c r="W133" s="5425">
        <f t="shared" si="92"/>
        <v>84.293300653594784</v>
      </c>
      <c r="X133" s="5424">
        <f>+X134/X132*100</f>
        <v>50</v>
      </c>
      <c r="Y133" s="5424">
        <f>+Y134/Y132*100</f>
        <v>84.293981481481495</v>
      </c>
      <c r="Z133" s="5426">
        <f t="shared" si="91"/>
        <v>77.173913043478265</v>
      </c>
      <c r="AA133" s="5426">
        <f t="shared" si="91"/>
        <v>84.824124396135289</v>
      </c>
      <c r="AB133" s="5427">
        <f t="shared" si="91"/>
        <v>81.147540983606561</v>
      </c>
      <c r="AC133" s="5427">
        <f t="shared" si="91"/>
        <v>84.293412264723742</v>
      </c>
      <c r="AD133" s="5424">
        <f>+AD134/AD132*100</f>
        <v>90.322580645161281</v>
      </c>
      <c r="AE133" s="5424">
        <f>+AE134/AE132*100</f>
        <v>53.729838709677402</v>
      </c>
      <c r="AF133" s="5425">
        <f t="shared" ref="AF133:AG133" si="93">+AF134/AF132*100</f>
        <v>82.476635514018696</v>
      </c>
      <c r="AG133" s="5425">
        <f t="shared" si="93"/>
        <v>79.865978712357219</v>
      </c>
      <c r="AH133" s="5424">
        <f>+AH134/AH132*100</f>
        <v>90</v>
      </c>
      <c r="AI133" s="5424">
        <f>+AI134/AI132*100</f>
        <v>82.662037037037024</v>
      </c>
      <c r="AJ133" s="5425">
        <f t="shared" ref="AJ133:AK133" si="94">+AJ134/AJ132*100</f>
        <v>83.401639344262293</v>
      </c>
      <c r="AK133" s="5425">
        <f t="shared" si="94"/>
        <v>80.209756375227698</v>
      </c>
      <c r="AL133" s="5424">
        <f>+AL134/AL132*100</f>
        <v>90.322580645161281</v>
      </c>
      <c r="AM133" s="5424">
        <f>+AM134/AM132*100</f>
        <v>88.160842293906811</v>
      </c>
      <c r="AN133" s="5426">
        <f t="shared" ref="AN133:AQ133" si="95">+AN134/AN132*100</f>
        <v>90.217391304347828</v>
      </c>
      <c r="AO133" s="5426">
        <f t="shared" si="95"/>
        <v>74.766002415458928</v>
      </c>
      <c r="AP133" s="5425">
        <f t="shared" si="95"/>
        <v>84.181818181818187</v>
      </c>
      <c r="AQ133" s="5425">
        <f t="shared" si="95"/>
        <v>81.106060606060609</v>
      </c>
      <c r="AR133" s="5424">
        <f>+AR134/AR132*100</f>
        <v>90.322580645161281</v>
      </c>
      <c r="AS133" s="5424">
        <f>+AS134/AS132*100</f>
        <v>84.979838709677409</v>
      </c>
      <c r="AT133" s="5425">
        <f t="shared" ref="AT133:AU133" si="96">+AT134/AT132*100</f>
        <v>84.803921568627445</v>
      </c>
      <c r="AU133" s="5425">
        <f t="shared" si="96"/>
        <v>81.498502178649247</v>
      </c>
      <c r="AV133" s="5424">
        <f>+AV134/AV132*100</f>
        <v>89.285714285714292</v>
      </c>
      <c r="AW133" s="5424">
        <f>+AW134/AW132*100</f>
        <v>86.197916666666686</v>
      </c>
      <c r="AX133" s="5425">
        <f t="shared" ref="AX133:AY133" si="97">+AX134/AX132*100</f>
        <v>85.179640718562879</v>
      </c>
      <c r="AY133" s="5425">
        <f t="shared" si="97"/>
        <v>81.892465069860293</v>
      </c>
      <c r="AZ133" s="5424">
        <f>+AZ134/AZ132*100</f>
        <v>90.322580645161281</v>
      </c>
      <c r="BA133" s="5424">
        <f>+BA134/BA132*100</f>
        <v>84.162186379928329</v>
      </c>
      <c r="BB133" s="5426">
        <f t="shared" ref="BB133:BE133" si="98">+BB134/BB132*100</f>
        <v>90</v>
      </c>
      <c r="BC133" s="5426">
        <f t="shared" si="98"/>
        <v>85.077160493827165</v>
      </c>
      <c r="BD133" s="5428">
        <f t="shared" si="98"/>
        <v>90.109890109890117</v>
      </c>
      <c r="BE133" s="5428">
        <f t="shared" si="98"/>
        <v>79.864926739926744</v>
      </c>
      <c r="BF133" s="5425">
        <f t="shared" ref="BF133:BG133" si="99">+BF134/BF132*100</f>
        <v>85.61643835616438</v>
      </c>
      <c r="BG133" s="5441">
        <f t="shared" si="99"/>
        <v>82.085235920852369</v>
      </c>
      <c r="BH133" s="4234"/>
      <c r="BI133" s="4234"/>
      <c r="BJ133" s="25"/>
      <c r="BK133" s="25"/>
      <c r="BL133" s="25"/>
      <c r="BM133" s="25"/>
      <c r="BN133" s="1137"/>
    </row>
    <row r="134" spans="1:68" x14ac:dyDescent="0.25">
      <c r="B134" s="5440" t="s">
        <v>300</v>
      </c>
      <c r="C134" s="5422"/>
      <c r="D134" s="5422"/>
      <c r="E134" s="5171" t="s">
        <v>220</v>
      </c>
      <c r="F134" s="7587">
        <v>540</v>
      </c>
      <c r="G134" s="5167">
        <v>593.25</v>
      </c>
      <c r="H134" s="5605">
        <v>672</v>
      </c>
      <c r="I134" s="5167">
        <v>629.58333333333348</v>
      </c>
      <c r="J134" s="5423">
        <f>+F134+H134</f>
        <v>1212</v>
      </c>
      <c r="K134" s="5241">
        <f>+G134+I134</f>
        <v>1222.8333333333335</v>
      </c>
      <c r="L134" s="5171">
        <v>648</v>
      </c>
      <c r="M134" s="5167">
        <v>606.41666666666652</v>
      </c>
      <c r="N134" s="5249">
        <f>+F134+H134+L134</f>
        <v>1860</v>
      </c>
      <c r="O134" s="5249">
        <f>+G134+I134+M134</f>
        <v>1829.25</v>
      </c>
      <c r="P134" s="5832">
        <v>672</v>
      </c>
      <c r="Q134" s="5167">
        <v>655.08333333333348</v>
      </c>
      <c r="R134" s="5423">
        <f>+N134+P134</f>
        <v>2532</v>
      </c>
      <c r="S134" s="5241">
        <f>+O134+Q134</f>
        <v>2484.3333333333335</v>
      </c>
      <c r="T134" s="5933">
        <v>672</v>
      </c>
      <c r="U134" s="5167">
        <v>610.91666666666697</v>
      </c>
      <c r="V134" s="5423">
        <f>+R134+T134</f>
        <v>3204</v>
      </c>
      <c r="W134" s="5241">
        <f>+S134+U134</f>
        <v>3095.2500000000005</v>
      </c>
      <c r="X134" s="6035">
        <v>360</v>
      </c>
      <c r="Y134" s="5167">
        <v>606.91666666666674</v>
      </c>
      <c r="Z134" s="5426">
        <f>+P134+T134+X134</f>
        <v>1704</v>
      </c>
      <c r="AA134" s="5426">
        <f>+Q134+U134+Y134</f>
        <v>1872.9166666666672</v>
      </c>
      <c r="AB134" s="5360">
        <f>+N134+Z134</f>
        <v>3564</v>
      </c>
      <c r="AC134" s="5360">
        <f>+AA134+O134</f>
        <v>3702.166666666667</v>
      </c>
      <c r="AD134" s="6162">
        <v>672</v>
      </c>
      <c r="AE134" s="5167">
        <v>399.74999999999989</v>
      </c>
      <c r="AF134" s="5423">
        <f>+AB134+AD134</f>
        <v>4236</v>
      </c>
      <c r="AG134" s="5241">
        <f>+AC134+AE134</f>
        <v>4101.916666666667</v>
      </c>
      <c r="AH134" s="6327">
        <v>648</v>
      </c>
      <c r="AI134" s="5167">
        <v>595.16666666666663</v>
      </c>
      <c r="AJ134" s="5423">
        <f>+AF134+AH134</f>
        <v>4884</v>
      </c>
      <c r="AK134" s="5241">
        <f>+AG134+AI134</f>
        <v>4697.0833333333339</v>
      </c>
      <c r="AL134" s="6591">
        <v>672</v>
      </c>
      <c r="AM134" s="5167">
        <v>655.91666666666663</v>
      </c>
      <c r="AN134" s="5426">
        <f>+AD134+AH134+AL134</f>
        <v>1992</v>
      </c>
      <c r="AO134" s="5426">
        <f>+AE134+AI134+AM134</f>
        <v>1650.833333333333</v>
      </c>
      <c r="AP134" s="5241">
        <f t="shared" ref="AP134:AQ134" si="100">AJ134+AL134</f>
        <v>5556</v>
      </c>
      <c r="AQ134" s="5241">
        <f t="shared" si="100"/>
        <v>5353.0000000000009</v>
      </c>
      <c r="AR134" s="6673">
        <v>672</v>
      </c>
      <c r="AS134" s="5167">
        <v>632.24999999999989</v>
      </c>
      <c r="AT134" s="5423">
        <f>+AP134+AR134</f>
        <v>6228</v>
      </c>
      <c r="AU134" s="5241">
        <f>+AQ134+AS134</f>
        <v>5985.2500000000009</v>
      </c>
      <c r="AV134" s="6839">
        <v>600</v>
      </c>
      <c r="AW134" s="5167">
        <v>579.25000000000011</v>
      </c>
      <c r="AX134" s="5423">
        <f>+AT134+AV134</f>
        <v>6828</v>
      </c>
      <c r="AY134" s="5241">
        <f>+AU134+AW134</f>
        <v>6564.5000000000009</v>
      </c>
      <c r="AZ134" s="6992">
        <v>672</v>
      </c>
      <c r="BA134" s="5167">
        <v>626.16666666666674</v>
      </c>
      <c r="BB134" s="5426">
        <f>+AR134+AV134+AZ134</f>
        <v>1944</v>
      </c>
      <c r="BC134" s="5426">
        <f>+AS134+AW134+BA134</f>
        <v>1837.6666666666667</v>
      </c>
      <c r="BD134" s="5362">
        <f t="shared" ref="BD134:BE136" si="101">+AN134+BB134</f>
        <v>3936</v>
      </c>
      <c r="BE134" s="5362">
        <f t="shared" si="101"/>
        <v>3488.5</v>
      </c>
      <c r="BF134" s="5423">
        <f>+AX134+AZ134</f>
        <v>7500</v>
      </c>
      <c r="BG134" s="5174">
        <f>+AY134+BA134</f>
        <v>7190.6666666666679</v>
      </c>
      <c r="BH134" s="4234">
        <f t="shared" si="25"/>
        <v>0</v>
      </c>
      <c r="BI134" s="4234">
        <f t="shared" si="26"/>
        <v>0</v>
      </c>
      <c r="BJ134" s="25"/>
      <c r="BK134" s="25">
        <f t="shared" si="27"/>
        <v>0</v>
      </c>
      <c r="BL134" s="25">
        <f t="shared" si="28"/>
        <v>0</v>
      </c>
      <c r="BM134" s="25"/>
      <c r="BN134" s="1137"/>
      <c r="BO134" s="1137"/>
    </row>
    <row r="135" spans="1:68" x14ac:dyDescent="0.25">
      <c r="B135" s="5440" t="s">
        <v>302</v>
      </c>
      <c r="C135" s="5422"/>
      <c r="D135" s="5422"/>
      <c r="E135" s="5171" t="s">
        <v>49</v>
      </c>
      <c r="F135" s="5429">
        <f>+F136/F134*100</f>
        <v>83.333333333333343</v>
      </c>
      <c r="G135" s="5429">
        <f>+G136/G134*100</f>
        <v>79.140094582572488</v>
      </c>
      <c r="H135" s="5429">
        <f>+H136/H134*100</f>
        <v>83.333333333333343</v>
      </c>
      <c r="I135" s="5429">
        <f>+I136/I134*100</f>
        <v>81.178027796161459</v>
      </c>
      <c r="J135" s="5425">
        <f t="shared" ref="J135:AC135" si="102">+J136/J134*100</f>
        <v>83.333333333333343</v>
      </c>
      <c r="K135" s="5425">
        <f t="shared" si="102"/>
        <v>80.189337149607013</v>
      </c>
      <c r="L135" s="5429">
        <f>+L136/L134*100</f>
        <v>83.333333333333343</v>
      </c>
      <c r="M135" s="5429">
        <f>+M136/M134*100</f>
        <v>83.92194585680916</v>
      </c>
      <c r="N135" s="5426">
        <f t="shared" si="102"/>
        <v>83.333333333333343</v>
      </c>
      <c r="O135" s="5426">
        <f t="shared" si="102"/>
        <v>81.426738341457494</v>
      </c>
      <c r="P135" s="5429">
        <f>+P136/P134*100</f>
        <v>83.333333333333343</v>
      </c>
      <c r="Q135" s="5429">
        <f>+Q136/Q134*100</f>
        <v>81.618114743671271</v>
      </c>
      <c r="R135" s="5425">
        <f t="shared" si="102"/>
        <v>83.333333333333343</v>
      </c>
      <c r="S135" s="5425">
        <f t="shared" si="102"/>
        <v>81.477201574310115</v>
      </c>
      <c r="T135" s="5429">
        <f>+T136/T134*100</f>
        <v>83.333333333333343</v>
      </c>
      <c r="U135" s="5429">
        <f>+U136/U134*100</f>
        <v>72.268449051971047</v>
      </c>
      <c r="V135" s="5425">
        <f t="shared" ref="V135:W135" si="103">+V136/V134*100</f>
        <v>83.333333333333343</v>
      </c>
      <c r="W135" s="5425">
        <f t="shared" si="103"/>
        <v>79.659648744940696</v>
      </c>
      <c r="X135" s="5429">
        <f>+X136/X134*100</f>
        <v>83.333333333333343</v>
      </c>
      <c r="Y135" s="5429">
        <f>+Y136/Y134*100</f>
        <v>74.749416449265411</v>
      </c>
      <c r="Z135" s="5426">
        <f t="shared" si="102"/>
        <v>83.333333333333343</v>
      </c>
      <c r="AA135" s="5426">
        <f t="shared" si="102"/>
        <v>76.34260289210232</v>
      </c>
      <c r="AB135" s="5427">
        <f t="shared" si="102"/>
        <v>83.333333333333343</v>
      </c>
      <c r="AC135" s="5427">
        <f t="shared" si="102"/>
        <v>78.854687195186003</v>
      </c>
      <c r="AD135" s="5429">
        <f>+AD136/AD134*100</f>
        <v>83.333333333333343</v>
      </c>
      <c r="AE135" s="5429">
        <f>+AE136/AE134*100</f>
        <v>62.101313320825533</v>
      </c>
      <c r="AF135" s="5425">
        <f t="shared" ref="AF135:AG135" si="104">+AF136/AF134*100</f>
        <v>83.333333333333343</v>
      </c>
      <c r="AG135" s="5425">
        <f t="shared" si="104"/>
        <v>77.221996492154759</v>
      </c>
      <c r="AH135" s="5429">
        <f>+AH136/AH134*100</f>
        <v>83.333333333333343</v>
      </c>
      <c r="AI135" s="5429">
        <f>+AI136/AI134*100</f>
        <v>78.297395687482506</v>
      </c>
      <c r="AJ135" s="5425">
        <f t="shared" ref="AJ135:AK135" si="105">+AJ136/AJ134*100</f>
        <v>83.333333333333343</v>
      </c>
      <c r="AK135" s="5425">
        <f t="shared" si="105"/>
        <v>77.358260149620023</v>
      </c>
      <c r="AL135" s="5429">
        <f>+AL136/AL134*100</f>
        <v>83.333333333333343</v>
      </c>
      <c r="AM135" s="5429">
        <f>+AM136/AM134*100</f>
        <v>77.512387244314581</v>
      </c>
      <c r="AN135" s="5426">
        <f t="shared" ref="AN135:AQ135" si="106">+AN136/AN134*100</f>
        <v>83.333333333333343</v>
      </c>
      <c r="AO135" s="5426">
        <f t="shared" si="106"/>
        <v>74.0636042402827</v>
      </c>
      <c r="AP135" s="5425">
        <f t="shared" si="106"/>
        <v>83.333333333333343</v>
      </c>
      <c r="AQ135" s="5425">
        <f t="shared" si="106"/>
        <v>77.377145733441253</v>
      </c>
      <c r="AR135" s="5429">
        <f>+AR136/AR134*100</f>
        <v>83.333333333333343</v>
      </c>
      <c r="AS135" s="5429">
        <f>+AS136/AS134*100</f>
        <v>83.563991037300667</v>
      </c>
      <c r="AT135" s="5425">
        <f t="shared" ref="AT135:AU135" si="107">+AT136/AT134*100</f>
        <v>83.333333333333343</v>
      </c>
      <c r="AU135" s="5425">
        <f t="shared" si="107"/>
        <v>78.030691189915942</v>
      </c>
      <c r="AV135" s="5429">
        <f>+AV136/AV134*100</f>
        <v>83.333333333333343</v>
      </c>
      <c r="AW135" s="5429">
        <f>+AW136/AW134*100</f>
        <v>82.635592001150911</v>
      </c>
      <c r="AX135" s="5425">
        <f t="shared" ref="AX135:AY135" si="108">+AX136/AX134*100</f>
        <v>83.333333333333343</v>
      </c>
      <c r="AY135" s="5425">
        <f t="shared" si="108"/>
        <v>78.437026599300935</v>
      </c>
      <c r="AZ135" s="5429">
        <f>+AZ136/AZ134*100</f>
        <v>83.333333333333343</v>
      </c>
      <c r="BA135" s="5429">
        <f>+BA136/BA134*100</f>
        <v>84.668618578653167</v>
      </c>
      <c r="BB135" s="5426">
        <f t="shared" ref="BB135:BE135" si="109">+BB136/BB134*100</f>
        <v>83.333333333333343</v>
      </c>
      <c r="BC135" s="5426">
        <f t="shared" si="109"/>
        <v>83.647741701432977</v>
      </c>
      <c r="BD135" s="5428">
        <f t="shared" si="109"/>
        <v>83.333333333333343</v>
      </c>
      <c r="BE135" s="5428">
        <f t="shared" si="109"/>
        <v>79.112321437102864</v>
      </c>
      <c r="BF135" s="5425">
        <f t="shared" ref="BF135:BG135" si="110">+BF136/BF134*100</f>
        <v>83.333333333333343</v>
      </c>
      <c r="BG135" s="5441">
        <f t="shared" si="110"/>
        <v>78.979676586933664</v>
      </c>
      <c r="BH135" s="4234"/>
      <c r="BI135" s="4234"/>
      <c r="BJ135" s="25"/>
      <c r="BK135" s="25"/>
      <c r="BL135" s="25"/>
      <c r="BM135" s="25"/>
      <c r="BN135" s="25"/>
      <c r="BO135" s="25"/>
    </row>
    <row r="136" spans="1:68" x14ac:dyDescent="0.25">
      <c r="B136" s="5440" t="s">
        <v>303</v>
      </c>
      <c r="C136" s="5422"/>
      <c r="D136" s="5422"/>
      <c r="E136" s="5171" t="s">
        <v>220</v>
      </c>
      <c r="F136" s="5167">
        <v>450</v>
      </c>
      <c r="G136" s="5167">
        <v>469.49861111111125</v>
      </c>
      <c r="H136" s="5167">
        <v>560</v>
      </c>
      <c r="I136" s="5167">
        <v>511.08333333333326</v>
      </c>
      <c r="J136" s="5241">
        <f>+F136+H136</f>
        <v>1010</v>
      </c>
      <c r="K136" s="5241">
        <f>+G136+I136</f>
        <v>980.5819444444445</v>
      </c>
      <c r="L136" s="5167">
        <v>540</v>
      </c>
      <c r="M136" s="5167">
        <v>508.91666666666674</v>
      </c>
      <c r="N136" s="5249">
        <f>+F136+H136+L136</f>
        <v>1550</v>
      </c>
      <c r="O136" s="5249">
        <f>+G136+I136+M136</f>
        <v>1489.4986111111111</v>
      </c>
      <c r="P136" s="5167">
        <v>560</v>
      </c>
      <c r="Q136" s="5167">
        <v>534.66666666666674</v>
      </c>
      <c r="R136" s="5241">
        <f>+N136+P136</f>
        <v>2110</v>
      </c>
      <c r="S136" s="5241">
        <f>+O136+Q136</f>
        <v>2024.1652777777779</v>
      </c>
      <c r="T136" s="5167">
        <v>560</v>
      </c>
      <c r="U136" s="5167">
        <v>441.49999999999994</v>
      </c>
      <c r="V136" s="5241">
        <f>+R136+T136</f>
        <v>2670</v>
      </c>
      <c r="W136" s="5241">
        <f>+S136+U136</f>
        <v>2465.6652777777776</v>
      </c>
      <c r="X136" s="5167">
        <v>300</v>
      </c>
      <c r="Y136" s="5167">
        <v>453.66666666666669</v>
      </c>
      <c r="Z136" s="5426">
        <f>+P136+T136+X136</f>
        <v>1420</v>
      </c>
      <c r="AA136" s="5426">
        <f>+Q136+U136+Y136</f>
        <v>1429.8333333333335</v>
      </c>
      <c r="AB136" s="5360">
        <f>+N136+Z136</f>
        <v>2970</v>
      </c>
      <c r="AC136" s="5360">
        <f>+AA136+O136</f>
        <v>2919.3319444444446</v>
      </c>
      <c r="AD136" s="5167">
        <v>560</v>
      </c>
      <c r="AE136" s="5167">
        <v>248.25</v>
      </c>
      <c r="AF136" s="5241">
        <f>+AB136+AD136</f>
        <v>3530</v>
      </c>
      <c r="AG136" s="5241">
        <f>+AC136+AE136</f>
        <v>3167.5819444444446</v>
      </c>
      <c r="AH136" s="5167">
        <v>540</v>
      </c>
      <c r="AI136" s="5167">
        <v>466.00000000000006</v>
      </c>
      <c r="AJ136" s="5241">
        <f>+AF136+AH136</f>
        <v>4070</v>
      </c>
      <c r="AK136" s="5241">
        <f>+AG136+AI136</f>
        <v>3633.5819444444446</v>
      </c>
      <c r="AL136" s="5167">
        <v>560</v>
      </c>
      <c r="AM136" s="5167">
        <v>508.41666666666674</v>
      </c>
      <c r="AN136" s="5426">
        <f>+AD136+AH136+AL136</f>
        <v>1660</v>
      </c>
      <c r="AO136" s="5426">
        <f>+AE136+AI136+AM136</f>
        <v>1222.6666666666667</v>
      </c>
      <c r="AP136" s="5241">
        <f t="shared" ref="AP136:AQ136" si="111">AJ136+AL136</f>
        <v>4630</v>
      </c>
      <c r="AQ136" s="5241">
        <f t="shared" si="111"/>
        <v>4141.9986111111111</v>
      </c>
      <c r="AR136" s="5167">
        <v>560</v>
      </c>
      <c r="AS136" s="5167">
        <v>528.33333333333337</v>
      </c>
      <c r="AT136" s="5241">
        <f>+AP136+AR136</f>
        <v>5190</v>
      </c>
      <c r="AU136" s="5241">
        <f>+AQ136+AS136</f>
        <v>4670.3319444444442</v>
      </c>
      <c r="AV136" s="5167">
        <v>500</v>
      </c>
      <c r="AW136" s="5167">
        <v>478.66666666666674</v>
      </c>
      <c r="AX136" s="5241">
        <f>+AT136+AV136</f>
        <v>5690</v>
      </c>
      <c r="AY136" s="5241">
        <f>+AU136+AW136</f>
        <v>5148.9986111111111</v>
      </c>
      <c r="AZ136" s="5167">
        <v>560</v>
      </c>
      <c r="BA136" s="5167">
        <v>530.16666666666663</v>
      </c>
      <c r="BB136" s="5426">
        <f>+AR136+AV136+AZ136</f>
        <v>1620</v>
      </c>
      <c r="BC136" s="5426">
        <f>+AS136+AW136+BA136</f>
        <v>1537.1666666666667</v>
      </c>
      <c r="BD136" s="5362">
        <f t="shared" si="101"/>
        <v>3280</v>
      </c>
      <c r="BE136" s="5362">
        <f t="shared" si="101"/>
        <v>2759.8333333333335</v>
      </c>
      <c r="BF136" s="5241">
        <f>+AX136+AZ136</f>
        <v>6250</v>
      </c>
      <c r="BG136" s="5174">
        <f>+AY136+BA136</f>
        <v>5679.1652777777781</v>
      </c>
      <c r="BH136" s="4234">
        <f t="shared" si="25"/>
        <v>0</v>
      </c>
      <c r="BI136" s="4234">
        <f t="shared" si="26"/>
        <v>0</v>
      </c>
      <c r="BJ136" s="25"/>
      <c r="BK136" s="25">
        <f t="shared" si="27"/>
        <v>0</v>
      </c>
      <c r="BL136" s="25">
        <f t="shared" si="28"/>
        <v>0</v>
      </c>
      <c r="BM136" s="25"/>
      <c r="BN136" s="1137"/>
    </row>
    <row r="137" spans="1:68" x14ac:dyDescent="0.25">
      <c r="A137" s="1441">
        <v>0.28399999999999997</v>
      </c>
      <c r="B137" s="5440" t="s">
        <v>486</v>
      </c>
      <c r="C137" s="5422"/>
      <c r="D137" s="5422"/>
      <c r="E137" s="5171" t="s">
        <v>485</v>
      </c>
      <c r="F137" s="5429">
        <f>+F136/(F134/24)</f>
        <v>20</v>
      </c>
      <c r="G137" s="5429">
        <f>+G136/(G134/24)</f>
        <v>18.993622699817397</v>
      </c>
      <c r="H137" s="5429">
        <f>+H136/(H134/24)</f>
        <v>20</v>
      </c>
      <c r="I137" s="5429">
        <f>+I136/(I134/24)</f>
        <v>19.482726671078748</v>
      </c>
      <c r="J137" s="5425">
        <f t="shared" ref="J137:AC137" si="112">+J136/(J134/24)</f>
        <v>20</v>
      </c>
      <c r="K137" s="5425">
        <f t="shared" si="112"/>
        <v>19.245440915905682</v>
      </c>
      <c r="L137" s="5429">
        <f>+L136/(L134/24)</f>
        <v>20</v>
      </c>
      <c r="M137" s="5429">
        <f>+M136/(M134/24)</f>
        <v>20.141267005634198</v>
      </c>
      <c r="N137" s="5426">
        <f t="shared" si="112"/>
        <v>20</v>
      </c>
      <c r="O137" s="5426">
        <f t="shared" si="112"/>
        <v>19.542417201949796</v>
      </c>
      <c r="P137" s="5429">
        <f>+P136/(P134/24)</f>
        <v>20</v>
      </c>
      <c r="Q137" s="5429">
        <f>+Q136/(Q134/24)</f>
        <v>19.588347538481106</v>
      </c>
      <c r="R137" s="5425">
        <f t="shared" si="112"/>
        <v>20</v>
      </c>
      <c r="S137" s="5425">
        <f t="shared" si="112"/>
        <v>19.554528377834426</v>
      </c>
      <c r="T137" s="5429">
        <f>+T136/(T134/24)</f>
        <v>20</v>
      </c>
      <c r="U137" s="5429">
        <f>+U136/(U134/24)</f>
        <v>17.344427772473047</v>
      </c>
      <c r="V137" s="5425">
        <f t="shared" ref="V137:W137" si="113">+V136/(V134/24)</f>
        <v>20</v>
      </c>
      <c r="W137" s="5425">
        <f t="shared" si="113"/>
        <v>19.118315698785768</v>
      </c>
      <c r="X137" s="5429">
        <f>+X136/(X134/24)</f>
        <v>20</v>
      </c>
      <c r="Y137" s="5429">
        <f>+Y136/(Y134/24)</f>
        <v>17.939859947823699</v>
      </c>
      <c r="Z137" s="5426">
        <f t="shared" si="112"/>
        <v>20</v>
      </c>
      <c r="AA137" s="5426">
        <f t="shared" si="112"/>
        <v>18.322224694104555</v>
      </c>
      <c r="AB137" s="5427">
        <f t="shared" si="112"/>
        <v>20</v>
      </c>
      <c r="AC137" s="5427">
        <f t="shared" si="112"/>
        <v>18.925124926844639</v>
      </c>
      <c r="AD137" s="5429">
        <f>+AD136/(AD134/24)</f>
        <v>20</v>
      </c>
      <c r="AE137" s="5429">
        <f>+AE136/(AE134/24)</f>
        <v>14.904315196998127</v>
      </c>
      <c r="AF137" s="5425">
        <f t="shared" ref="AF137:AG137" si="114">+AF136/(AF134/24)</f>
        <v>20</v>
      </c>
      <c r="AG137" s="5425">
        <f t="shared" si="114"/>
        <v>18.533279158117139</v>
      </c>
      <c r="AH137" s="5429">
        <f>+AH136/(AH134/24)</f>
        <v>20</v>
      </c>
      <c r="AI137" s="5429">
        <f>+AI136/(AI134/24)</f>
        <v>18.791374964995804</v>
      </c>
      <c r="AJ137" s="5425">
        <f t="shared" ref="AJ137:AK137" si="115">+AJ136/(AJ134/24)</f>
        <v>20</v>
      </c>
      <c r="AK137" s="5425">
        <f t="shared" si="115"/>
        <v>18.565982435908808</v>
      </c>
      <c r="AL137" s="5429">
        <f>+AL136/(AL134/24)</f>
        <v>20</v>
      </c>
      <c r="AM137" s="5429">
        <f>+AM136/(AM134/24)</f>
        <v>18.602972938635499</v>
      </c>
      <c r="AN137" s="5426">
        <f t="shared" ref="AN137:AQ137" si="116">+AN136/(AN134/24)</f>
        <v>20</v>
      </c>
      <c r="AO137" s="5426">
        <f t="shared" si="116"/>
        <v>17.775265017667849</v>
      </c>
      <c r="AP137" s="5425">
        <f t="shared" si="116"/>
        <v>20</v>
      </c>
      <c r="AQ137" s="5425">
        <f t="shared" si="116"/>
        <v>18.570514976025901</v>
      </c>
      <c r="AR137" s="5429">
        <f>+AR136/(AR134/24)</f>
        <v>20</v>
      </c>
      <c r="AS137" s="5429">
        <f>+AS136/(AS134/24)</f>
        <v>20.055357848952159</v>
      </c>
      <c r="AT137" s="5425">
        <f t="shared" ref="AT137:AU137" si="117">+AT136/(AT134/24)</f>
        <v>20</v>
      </c>
      <c r="AU137" s="5425">
        <f t="shared" si="117"/>
        <v>18.727365885579822</v>
      </c>
      <c r="AV137" s="5429">
        <f>+AV136/(AV134/24)</f>
        <v>20</v>
      </c>
      <c r="AW137" s="5429">
        <f>+AW136/(AW134/24)</f>
        <v>19.83254208027622</v>
      </c>
      <c r="AX137" s="5425">
        <f t="shared" ref="AX137:AY137" si="118">+AX136/(AX134/24)</f>
        <v>20</v>
      </c>
      <c r="AY137" s="5425">
        <f t="shared" si="118"/>
        <v>18.824886383832226</v>
      </c>
      <c r="AZ137" s="5429">
        <f>+AZ136/(AZ134/24)</f>
        <v>20</v>
      </c>
      <c r="BA137" s="5429">
        <f>+BA136/(BA134/24)</f>
        <v>20.320468458876757</v>
      </c>
      <c r="BB137" s="5426">
        <f t="shared" ref="BB137:BE137" si="119">+BB136/(BB134/24)</f>
        <v>20</v>
      </c>
      <c r="BC137" s="5426">
        <f t="shared" si="119"/>
        <v>20.075458008343915</v>
      </c>
      <c r="BD137" s="5428">
        <f t="shared" si="119"/>
        <v>20</v>
      </c>
      <c r="BE137" s="5428">
        <f t="shared" si="119"/>
        <v>18.986957144904689</v>
      </c>
      <c r="BF137" s="5425">
        <f t="shared" ref="BF137:BG137" si="120">+BF136/(BF134/24)</f>
        <v>20</v>
      </c>
      <c r="BG137" s="5441">
        <f t="shared" si="120"/>
        <v>18.955122380864083</v>
      </c>
      <c r="BH137" s="4234"/>
      <c r="BI137" s="4234"/>
      <c r="BJ137" s="25"/>
      <c r="BK137" s="25"/>
      <c r="BL137" s="25"/>
      <c r="BM137" s="25"/>
      <c r="BN137" s="1137"/>
    </row>
    <row r="138" spans="1:68" x14ac:dyDescent="0.25">
      <c r="B138" s="5440" t="s">
        <v>304</v>
      </c>
      <c r="C138" s="5422"/>
      <c r="D138" s="5422"/>
      <c r="E138" s="5171" t="s">
        <v>1051</v>
      </c>
      <c r="F138" s="5430">
        <v>0.48499999999999999</v>
      </c>
      <c r="G138" s="5177">
        <v>0.44600000000000001</v>
      </c>
      <c r="H138" s="5430">
        <v>0.48499999999999999</v>
      </c>
      <c r="I138" s="5177">
        <v>0.47499999999999998</v>
      </c>
      <c r="J138" s="5431">
        <f>+((F138*F7)+(H138*H7))/J7</f>
        <v>0.48499999999999999</v>
      </c>
      <c r="K138" s="5431">
        <f>+((G138*G7)+(I138*I7))/K7</f>
        <v>0.46113037033606513</v>
      </c>
      <c r="L138" s="5430">
        <v>0.48500000000000004</v>
      </c>
      <c r="M138" s="5177">
        <v>0.44600000000000001</v>
      </c>
      <c r="N138" s="5432">
        <f>+((F138*F7)+(H138*H7)+(L138*L7))/N7</f>
        <v>0.48499999999999999</v>
      </c>
      <c r="O138" s="5432">
        <f>+((G138*G7)+(I138*I7)+(M138*M7))/O7</f>
        <v>0.45587336982885651</v>
      </c>
      <c r="P138" s="5430">
        <v>0.4850000000000001</v>
      </c>
      <c r="Q138" s="5177">
        <v>0.432</v>
      </c>
      <c r="R138" s="5431">
        <f>+((N138*N7)+(P138*P7))/R7</f>
        <v>0.48499999999999999</v>
      </c>
      <c r="S138" s="5431">
        <f>+((O138*O7)+(Q138*Q7))/S7</f>
        <v>0.44981048530158785</v>
      </c>
      <c r="T138" s="5430">
        <v>0.4850000000000001</v>
      </c>
      <c r="U138" s="5177">
        <v>0.55300000000000005</v>
      </c>
      <c r="V138" s="5431">
        <f>+((R138*R7)+(T138*T7))/V7</f>
        <v>0.48500000000000004</v>
      </c>
      <c r="W138" s="5431">
        <f>+((S138*S7)+(U138*U7))/W7</f>
        <v>0.46686297271748556</v>
      </c>
      <c r="X138" s="5430">
        <v>0.4850000000000001</v>
      </c>
      <c r="Y138" s="5177">
        <v>0.51800000000000002</v>
      </c>
      <c r="Z138" s="5432">
        <f>+((P138*P7)+(T138*T7)+(X138*X7))/Z7</f>
        <v>0.4850000000000001</v>
      </c>
      <c r="AA138" s="5432">
        <f>+((Q138*Q7)+(U138*U7)+(Y138*Y7))/AA7</f>
        <v>0.4958618805763596</v>
      </c>
      <c r="AB138" s="5433">
        <f>+((N138*N7)+(Z138*Z7))/AB7</f>
        <v>0.48499999999999999</v>
      </c>
      <c r="AC138" s="5433">
        <f>+((O138*O7)+(AA138*AA7))/AC7</f>
        <v>0.47484698523326196</v>
      </c>
      <c r="AD138" s="5430">
        <v>0.4850000000000001</v>
      </c>
      <c r="AE138" s="5177">
        <v>0.57099999999999995</v>
      </c>
      <c r="AF138" s="5431">
        <f>+((AB138*AB7)+(AD138*AD7))/AF7</f>
        <v>0.48499999999999999</v>
      </c>
      <c r="AG138" s="5431">
        <f>+((AC138*AC7)+(AE138*AE7))/AG7</f>
        <v>0.48306244805616433</v>
      </c>
      <c r="AH138" s="5430">
        <v>0.48500000000000021</v>
      </c>
      <c r="AI138" s="5177">
        <v>0.53700000000000003</v>
      </c>
      <c r="AJ138" s="5431">
        <f>+((AF138*AF7)+(AH138*AH7))/AJ7</f>
        <v>0.48500000000000004</v>
      </c>
      <c r="AK138" s="5431">
        <f>+((AG138*AG7)+(AI138*AI7))/AK7</f>
        <v>0.48973031660149025</v>
      </c>
      <c r="AL138" s="5430">
        <v>0.48500000000000015</v>
      </c>
      <c r="AM138" s="5177">
        <v>0.53800000000000003</v>
      </c>
      <c r="AN138" s="5432">
        <f>+((AD138*AD7)+(AH138*AH7)+(AL138*AL7))/AN7</f>
        <v>0.48500000000000021</v>
      </c>
      <c r="AO138" s="5432">
        <f>+((AE138*AE7)+(AI138*AI7)+(AM138*AM7))/AO7</f>
        <v>0.54507032880344952</v>
      </c>
      <c r="AP138" s="5431">
        <f>+((AL138*AL7)+(AJ138*AJ7))/AP7</f>
        <v>0.48500000000000004</v>
      </c>
      <c r="AQ138" s="5431">
        <f>+((AM138*AM7)+(AK138*AK7))/AQ7</f>
        <v>0.49541553098562036</v>
      </c>
      <c r="AR138" s="5430">
        <v>0.48500000000000015</v>
      </c>
      <c r="AS138" s="5177">
        <v>0.55200000000000005</v>
      </c>
      <c r="AT138" s="5431">
        <f>+((AP138*AP7)+(AR138*AR7))/AT7</f>
        <v>0.48500000000000004</v>
      </c>
      <c r="AU138" s="5431">
        <f>+((AQ138*AQ7)+(AS138*AS7))/AU7</f>
        <v>0.50170283085056433</v>
      </c>
      <c r="AV138" s="5430">
        <v>0.48500000000000015</v>
      </c>
      <c r="AW138" s="5177">
        <v>0.48699999999999999</v>
      </c>
      <c r="AX138" s="5431">
        <f>+((AT138*AT7)+(AV138*AV7))/AX7</f>
        <v>0.48500000000000004</v>
      </c>
      <c r="AY138" s="5431">
        <f>+((AU138*AU7)+(AW138*AW7))/AY7</f>
        <v>0.50029221811036462</v>
      </c>
      <c r="AZ138" s="5430">
        <v>0.48500000000000015</v>
      </c>
      <c r="BA138" s="5177">
        <v>0.41799999999999998</v>
      </c>
      <c r="BB138" s="5432">
        <f>+((AR138*AR7)+(AV138*AV7)+(AZ138*AZ7))/BB7</f>
        <v>0.4850000000000001</v>
      </c>
      <c r="BC138" s="5432">
        <f>+((AS138*AS7)+(AW138*AW7)+(BA138*BA7))/BC7</f>
        <v>0.48315642018590027</v>
      </c>
      <c r="BD138" s="5434">
        <f>+((AN138*AN7)+(BB138*BB7))/BD7</f>
        <v>0.4850000000000001</v>
      </c>
      <c r="BE138" s="5434">
        <f>+((AO138*AO7)+(BC138*BC7))/BE7</f>
        <v>0.50996649708537167</v>
      </c>
      <c r="BF138" s="5431">
        <f>+((AX138*AX7)+(AZ138*AZ7))/BF7</f>
        <v>0.48500000000000004</v>
      </c>
      <c r="BG138" s="5442">
        <f>+((AY138*AY7)+(BA138*BA7))/BG7</f>
        <v>0.49201728587227583</v>
      </c>
      <c r="BH138" s="4234"/>
      <c r="BI138" s="4234"/>
      <c r="BJ138" s="25"/>
      <c r="BK138" s="25"/>
      <c r="BL138" s="25"/>
      <c r="BM138" s="25"/>
      <c r="BN138" s="1137"/>
    </row>
    <row r="139" spans="1:68" x14ac:dyDescent="0.25">
      <c r="B139" s="5440" t="s">
        <v>305</v>
      </c>
      <c r="C139" s="5422"/>
      <c r="D139" s="5422"/>
      <c r="E139" s="5171" t="s">
        <v>213</v>
      </c>
      <c r="F139" s="5167">
        <f>+'POWER DISTRIBUTION'!I27</f>
        <v>4215120</v>
      </c>
      <c r="G139" s="5167">
        <f>+'POWER DISTRIBUTION'!J27</f>
        <v>3931378.0000000037</v>
      </c>
      <c r="H139" s="5167">
        <f>+'POWER DISTRIBUTION'!K27</f>
        <v>5681204.7153022392</v>
      </c>
      <c r="I139" s="5167">
        <f>+'POWER DISTRIBUTION'!L27</f>
        <v>4383551.9999999981</v>
      </c>
      <c r="J139" s="5241">
        <f>+F139+H139</f>
        <v>9896324.7153022401</v>
      </c>
      <c r="K139" s="5241">
        <f>+G139+I139</f>
        <v>8314930.0000000019</v>
      </c>
      <c r="L139" s="5167">
        <f>+'POWER DISTRIBUTION'!O27</f>
        <v>5462696.8416367695</v>
      </c>
      <c r="M139" s="5167">
        <f>+'POWER DISTRIBUTION'!P27</f>
        <v>4293833.3333333321</v>
      </c>
      <c r="N139" s="5249">
        <f>+F139+H139+L139</f>
        <v>15359021.55693901</v>
      </c>
      <c r="O139" s="5249">
        <f>+G139+I139+M139</f>
        <v>12608763.333333334</v>
      </c>
      <c r="P139" s="5167">
        <f>+'POWER DISTRIBUTION'!S27</f>
        <v>5681204.7153022392</v>
      </c>
      <c r="Q139" s="5167">
        <f>+'POWER DISTRIBUTION'!T27</f>
        <v>4334408.3333333256</v>
      </c>
      <c r="R139" s="5241">
        <f>+N139+P139</f>
        <v>21040226.27224125</v>
      </c>
      <c r="S139" s="5241">
        <f>+O139+Q139</f>
        <v>16943171.66666666</v>
      </c>
      <c r="T139" s="5167">
        <f>+'POWER DISTRIBUTION'!W27</f>
        <v>5681204.7153022392</v>
      </c>
      <c r="U139" s="5167">
        <f>+'POWER DISTRIBUTION'!X27</f>
        <v>3962541.0000000037</v>
      </c>
      <c r="V139" s="5241">
        <f>+R139+T139</f>
        <v>26721430.98754349</v>
      </c>
      <c r="W139" s="5241">
        <f>+S139+U139</f>
        <v>20905712.666666664</v>
      </c>
      <c r="X139" s="5167">
        <f>+'POWER DISTRIBUTION'!AA27</f>
        <v>3230405.5071173077</v>
      </c>
      <c r="Y139" s="5167">
        <f>+'POWER DISTRIBUTION'!AB27</f>
        <v>4053481.0000000028</v>
      </c>
      <c r="Z139" s="5249">
        <f>+P139+T139+X139</f>
        <v>14592814.937721785</v>
      </c>
      <c r="AA139" s="5249">
        <f>+Q139+U139+Y139</f>
        <v>12350430.333333332</v>
      </c>
      <c r="AB139" s="5360">
        <f>+N139+Z139</f>
        <v>29951836.494660795</v>
      </c>
      <c r="AC139" s="5360">
        <f>+AA139+O139</f>
        <v>24959193.666666664</v>
      </c>
      <c r="AD139" s="5167">
        <f>+'POWER DISTRIBUTION'!AG27</f>
        <v>5856011.0142346155</v>
      </c>
      <c r="AE139" s="5167">
        <f>+'POWER DISTRIBUTION'!AH27</f>
        <v>2894984.3333333354</v>
      </c>
      <c r="AF139" s="5241">
        <f>+AB139+AD139</f>
        <v>35807847.508895412</v>
      </c>
      <c r="AG139" s="5241">
        <f>+AC139+AE139</f>
        <v>27854178</v>
      </c>
      <c r="AH139" s="5167">
        <f>+'POWER DISTRIBUTION'!AK27</f>
        <v>5681204.7153022392</v>
      </c>
      <c r="AI139" s="5167">
        <f>+'POWER DISTRIBUTION'!AL27</f>
        <v>3936189.6666666646</v>
      </c>
      <c r="AJ139" s="5241">
        <f>+AF139+AH139</f>
        <v>41489052.224197648</v>
      </c>
      <c r="AK139" s="5241">
        <f>+AG139+AI139</f>
        <v>31790367.666666664</v>
      </c>
      <c r="AL139" s="5167">
        <f>+'POWER DISTRIBUTION'!AO27</f>
        <v>5899712.5889677098</v>
      </c>
      <c r="AM139" s="5167">
        <f>+'POWER DISTRIBUTION'!AP27</f>
        <v>4167595.3333333298</v>
      </c>
      <c r="AN139" s="5249">
        <f>+AD139+AH139+AL139</f>
        <v>17436928.318504564</v>
      </c>
      <c r="AO139" s="5249">
        <f>+AE139+AI139+AM139</f>
        <v>10998769.33333333</v>
      </c>
      <c r="AP139" s="5241">
        <f t="shared" ref="AP139:AQ139" si="121">AJ139+AL139</f>
        <v>47388764.813165359</v>
      </c>
      <c r="AQ139" s="5241">
        <f t="shared" si="121"/>
        <v>35957962.999999993</v>
      </c>
      <c r="AR139" s="5167">
        <f>+'POWER DISTRIBUTION'!AU27</f>
        <v>5943414.1637008041</v>
      </c>
      <c r="AS139" s="5167">
        <f>+'POWER DISTRIBUTION'!AV27</f>
        <v>4334470.333333334</v>
      </c>
      <c r="AT139" s="5241">
        <f>+AP139+AR139</f>
        <v>53332178.976866163</v>
      </c>
      <c r="AU139" s="5241">
        <f>+AQ139+AS139</f>
        <v>40292433.333333328</v>
      </c>
      <c r="AV139" s="5167">
        <f>+'POWER DISTRIBUTION'!AY27</f>
        <v>5331592.1174374856</v>
      </c>
      <c r="AW139" s="5167">
        <f>+'POWER DISTRIBUTION'!AZ27</f>
        <v>3892468.0000000093</v>
      </c>
      <c r="AX139" s="5241">
        <f>+AT139+AV139</f>
        <v>58663771.094303653</v>
      </c>
      <c r="AY139" s="5241">
        <f>+AU139+AW139</f>
        <v>44184901.333333336</v>
      </c>
      <c r="AZ139" s="5167">
        <f>+'POWER DISTRIBUTION'!BC27</f>
        <v>5987115.7384338975</v>
      </c>
      <c r="BA139" s="5167">
        <f>+'POWER DISTRIBUTION'!BD27</f>
        <v>4348140.3333333246</v>
      </c>
      <c r="BB139" s="5249">
        <f>+AR139+AV139+AZ139</f>
        <v>17262122.019572187</v>
      </c>
      <c r="BC139" s="5249">
        <f>+AS139+AW139+BA139</f>
        <v>12575078.666666668</v>
      </c>
      <c r="BD139" s="5362">
        <f t="shared" ref="BD139" si="122">+AN139+BB139</f>
        <v>34699050.338076755</v>
      </c>
      <c r="BE139" s="5362">
        <f t="shared" ref="BE139" si="123">+AO139+BC139</f>
        <v>23573848</v>
      </c>
      <c r="BF139" s="5241">
        <f>+AX139+AZ139</f>
        <v>64650886.83273755</v>
      </c>
      <c r="BG139" s="5174">
        <f>+AY139+BA139</f>
        <v>48533041.666666657</v>
      </c>
      <c r="BH139" s="4234">
        <f t="shared" ref="BH139:BH162" si="124">F139+H139+L139+P139+T139+X139+AD139+AH139+AL139+AR139+AV139+AZ139-BF139</f>
        <v>0</v>
      </c>
      <c r="BI139" s="4234">
        <f t="shared" ref="BI139:BI162" si="125">G139+I139+M139+Q139+U139+Y139+AE139+AI139+AM139+AS139+AW139+BA139-BG139</f>
        <v>0</v>
      </c>
      <c r="BJ139" s="25"/>
      <c r="BK139" s="25">
        <f t="shared" ref="BK139:BK162" si="126">AZ139+AV139+AR139+AL139+AH139+AD139-BD139</f>
        <v>0</v>
      </c>
      <c r="BL139" s="25">
        <f t="shared" ref="BL139:BL162" si="127">BA139+AW139+AS139+AM139+AI139+AE139-BE139</f>
        <v>0</v>
      </c>
      <c r="BM139" s="25"/>
      <c r="BN139" s="1137"/>
    </row>
    <row r="140" spans="1:68" ht="15" customHeight="1" x14ac:dyDescent="0.25">
      <c r="B140" s="5440" t="s">
        <v>306</v>
      </c>
      <c r="C140" s="5422"/>
      <c r="D140" s="5422"/>
      <c r="E140" s="3180" t="s">
        <v>1958</v>
      </c>
      <c r="F140" s="5429">
        <f t="shared" ref="F140:G140" si="128">+F139/F122</f>
        <v>75.27</v>
      </c>
      <c r="G140" s="5429">
        <f t="shared" si="128"/>
        <v>74.860387661452364</v>
      </c>
      <c r="H140" s="5429">
        <f t="shared" ref="H140:BG140" si="129">+H139/H122</f>
        <v>87.403149466188296</v>
      </c>
      <c r="I140" s="5429">
        <f t="shared" si="129"/>
        <v>76.609884272298757</v>
      </c>
      <c r="J140" s="5425">
        <f t="shared" si="129"/>
        <v>81.787807564481326</v>
      </c>
      <c r="K140" s="5425">
        <f t="shared" si="129"/>
        <v>78.776306687999892</v>
      </c>
      <c r="L140" s="5429">
        <f t="shared" si="129"/>
        <v>87.40314946618831</v>
      </c>
      <c r="M140" s="5429">
        <f t="shared" si="129"/>
        <v>73.180403758696414</v>
      </c>
      <c r="N140" s="5426">
        <f t="shared" si="129"/>
        <v>83.700389956070893</v>
      </c>
      <c r="O140" s="5426">
        <f t="shared" si="129"/>
        <v>75.691778501332479</v>
      </c>
      <c r="P140" s="5429">
        <f t="shared" ref="P140:Q140" si="130">+P139/P122</f>
        <v>87.403149466188296</v>
      </c>
      <c r="Q140" s="5429">
        <f t="shared" si="130"/>
        <v>75.607987040004545</v>
      </c>
      <c r="R140" s="5425">
        <f t="shared" si="129"/>
        <v>84.668918600568404</v>
      </c>
      <c r="S140" s="5425">
        <f t="shared" si="129"/>
        <v>76.097959941693574</v>
      </c>
      <c r="T140" s="5429">
        <f t="shared" si="129"/>
        <v>87.403149466188296</v>
      </c>
      <c r="U140" s="5429">
        <f t="shared" si="129"/>
        <v>89.233771438656319</v>
      </c>
      <c r="V140" s="5425">
        <f t="shared" si="129"/>
        <v>85.235824521669826</v>
      </c>
      <c r="W140" s="5425">
        <f t="shared" si="129"/>
        <v>78.282195371127571</v>
      </c>
      <c r="X140" s="5429">
        <f t="shared" ref="X140:Y140" si="131">+X139/X122</f>
        <v>96.430015137830082</v>
      </c>
      <c r="Y140" s="5429">
        <f t="shared" si="131"/>
        <v>81.074945002387821</v>
      </c>
      <c r="Z140" s="5426">
        <f t="shared" si="129"/>
        <v>89.252690750591952</v>
      </c>
      <c r="AA140" s="5426">
        <f t="shared" si="129"/>
        <v>81.397206221839241</v>
      </c>
      <c r="AB140" s="5427">
        <f t="shared" si="129"/>
        <v>86.31653168490142</v>
      </c>
      <c r="AC140" s="5427">
        <f t="shared" si="129"/>
        <v>78.41140642675515</v>
      </c>
      <c r="AD140" s="5429">
        <f t="shared" si="129"/>
        <v>87.403149466188296</v>
      </c>
      <c r="AE140" s="5429">
        <f t="shared" si="129"/>
        <v>97.606014388159693</v>
      </c>
      <c r="AF140" s="5425">
        <f t="shared" si="129"/>
        <v>86.492385287186991</v>
      </c>
      <c r="AG140" s="5425">
        <f t="shared" si="129"/>
        <v>80.047492971303711</v>
      </c>
      <c r="AH140" s="5429">
        <f t="shared" ref="AH140:AI140" si="132">+AH139/AH122</f>
        <v>87.403149466188296</v>
      </c>
      <c r="AI140" s="5429">
        <f t="shared" si="132"/>
        <v>80.232085944861026</v>
      </c>
      <c r="AJ140" s="5429">
        <f t="shared" si="129"/>
        <v>86.615975415861485</v>
      </c>
      <c r="AK140" s="5429">
        <f t="shared" si="129"/>
        <v>80.07030264216111</v>
      </c>
      <c r="AL140" s="5429">
        <f t="shared" si="129"/>
        <v>87.403149466188296</v>
      </c>
      <c r="AM140" s="5429">
        <f t="shared" si="129"/>
        <v>78.652899311367946</v>
      </c>
      <c r="AN140" s="5429">
        <f t="shared" si="129"/>
        <v>87.403149466188296</v>
      </c>
      <c r="AO140" s="5429">
        <f t="shared" si="129"/>
        <v>83.509298888503764</v>
      </c>
      <c r="AP140" s="5429">
        <f t="shared" si="129"/>
        <v>86.713201853916487</v>
      </c>
      <c r="AQ140" s="5429">
        <f t="shared" si="129"/>
        <v>79.903411036084321</v>
      </c>
      <c r="AR140" s="5429">
        <f t="shared" ref="AR140:AS140" si="133">+AR139/AR122</f>
        <v>87.403149466188296</v>
      </c>
      <c r="AS140" s="5429">
        <f t="shared" si="133"/>
        <v>77.167029215025408</v>
      </c>
      <c r="AT140" s="5429">
        <f t="shared" si="129"/>
        <v>86.789550816706537</v>
      </c>
      <c r="AU140" s="5429">
        <f t="shared" si="129"/>
        <v>79.59976386895363</v>
      </c>
      <c r="AV140" s="5429">
        <f t="shared" si="129"/>
        <v>87.403149466188282</v>
      </c>
      <c r="AW140" s="5429">
        <f t="shared" si="129"/>
        <v>71.711701739949476</v>
      </c>
      <c r="AX140" s="5429">
        <f t="shared" si="129"/>
        <v>86.844960909405856</v>
      </c>
      <c r="AY140" s="5429">
        <f t="shared" si="129"/>
        <v>78.835831158743005</v>
      </c>
      <c r="AZ140" s="5429">
        <f t="shared" ref="AZ140:BA140" si="134">+AZ139/AZ122</f>
        <v>87.403149466188282</v>
      </c>
      <c r="BA140" s="5429">
        <f t="shared" si="134"/>
        <v>68.886728071467473</v>
      </c>
      <c r="BB140" s="5429">
        <f t="shared" si="129"/>
        <v>87.403149466188296</v>
      </c>
      <c r="BC140" s="5429">
        <f t="shared" si="129"/>
        <v>72.449808709311696</v>
      </c>
      <c r="BD140" s="5429">
        <f t="shared" si="129"/>
        <v>87.403149466188296</v>
      </c>
      <c r="BE140" s="5429">
        <f t="shared" si="129"/>
        <v>77.221263206828411</v>
      </c>
      <c r="BF140" s="5429">
        <f t="shared" si="129"/>
        <v>86.896353269808529</v>
      </c>
      <c r="BG140" s="5429">
        <f t="shared" si="129"/>
        <v>77.828772893165151</v>
      </c>
      <c r="BH140" s="4234"/>
      <c r="BI140" s="4234"/>
      <c r="BJ140" s="25"/>
      <c r="BK140" s="25"/>
      <c r="BL140" s="25"/>
      <c r="BM140" s="25"/>
      <c r="BN140" s="1137"/>
    </row>
    <row r="141" spans="1:68" x14ac:dyDescent="0.25">
      <c r="B141" s="5440" t="s">
        <v>307</v>
      </c>
      <c r="C141" s="5422"/>
      <c r="D141" s="5422"/>
      <c r="E141" s="5171" t="s">
        <v>299</v>
      </c>
      <c r="F141" s="5435">
        <f>+EMD!D37/(EMD!D3*24)</f>
        <v>4.033476931453789</v>
      </c>
      <c r="G141" s="5435">
        <f>+EMD!E37/(EMD!E3*24)</f>
        <v>2.9945416666666671</v>
      </c>
      <c r="H141" s="5435">
        <f>+EMD!F37/(EMD!F3*24)</f>
        <v>4.852565010115053</v>
      </c>
      <c r="I141" s="5435">
        <f>+EMD!G37/(EMD!G3*24)</f>
        <v>2.8117114273171504</v>
      </c>
      <c r="J141" s="5436">
        <f t="shared" ref="J141:K144" si="135">+((F141*F$2)+(H141*H$2))/J$2</f>
        <v>4.4497348074947585</v>
      </c>
      <c r="K141" s="5436">
        <f t="shared" si="135"/>
        <v>2.9016279384726507</v>
      </c>
      <c r="L141" s="5435">
        <f>+EMD!J37/(EMD!J3*24)</f>
        <v>4.8283464365310635</v>
      </c>
      <c r="M141" s="5435">
        <f>+EMD!K37/(EMD!K3*24)</f>
        <v>2.6421467166146564</v>
      </c>
      <c r="N141" s="5437">
        <f t="shared" ref="N141:O144" si="136">+((F141*F$2)+(H141*H$2)+(L141*L$2))/N$2</f>
        <v>4.5745518280561779</v>
      </c>
      <c r="O141" s="5437">
        <f t="shared" si="136"/>
        <v>2.816084678519466</v>
      </c>
      <c r="P141" s="5435">
        <f>+EMD!N37/(EMD!N3*24)</f>
        <v>4.8488428300598043</v>
      </c>
      <c r="Q141" s="5435">
        <f>+EMD!O37/(EMD!O3*24)</f>
        <v>2.1974074911076338</v>
      </c>
      <c r="R141" s="5436">
        <f t="shared" ref="R141:S144" si="137">+((N141*N$2)+(P141*P$2))/R$2</f>
        <v>4.6442487220079194</v>
      </c>
      <c r="S141" s="5436">
        <f t="shared" si="137"/>
        <v>2.6588798194230172</v>
      </c>
      <c r="T141" s="5435">
        <f>+EMD!R37/(EMD!R3*24)</f>
        <v>4.8488428300598043</v>
      </c>
      <c r="U141" s="5435">
        <f>+EMD!S37/(EMD!S3*24)</f>
        <v>2.5676655874248828</v>
      </c>
      <c r="V141" s="5436">
        <f t="shared" ref="V141:V144" si="138">+((R141*R$2)+(T141*T$2))/V$2</f>
        <v>4.6857024301752945</v>
      </c>
      <c r="W141" s="5436">
        <f t="shared" ref="W141:W144" si="139">+((S141*S$2)+(U141*U$2))/W$2</f>
        <v>2.6403985044430027</v>
      </c>
      <c r="X141" s="5435">
        <f>+EMD!V37/(EMD!V3*24)</f>
        <v>3.2964176326442676</v>
      </c>
      <c r="Y141" s="5435">
        <f>+EMD!W37/(EMD!W3*24)</f>
        <v>2.1528749999999999</v>
      </c>
      <c r="Z141" s="5437">
        <f t="shared" ref="Z141:AA144" si="140">+((P141*P$2)+(T141*T$2)+(X141*X$2))/Z$2</f>
        <v>4.3426172222069122</v>
      </c>
      <c r="AA141" s="5437">
        <f t="shared" si="140"/>
        <v>2.3076469068968266</v>
      </c>
      <c r="AB141" s="5438">
        <f t="shared" ref="AB141:AC144" si="141">+((N141*N$2)+(Z141*Z$2))/AB$2</f>
        <v>4.4579508240226673</v>
      </c>
      <c r="AC141" s="5438">
        <f t="shared" si="141"/>
        <v>2.5604766184687402</v>
      </c>
      <c r="AD141" s="5435">
        <f>+EMD!AB37/(EMD!AB3*24)</f>
        <v>4.9776283889238711</v>
      </c>
      <c r="AE141" s="5435">
        <f>+EMD!AC37/(EMD!AC3*24)</f>
        <v>1.2359408602150537</v>
      </c>
      <c r="AF141" s="5436">
        <f t="shared" ref="AF141:AF144" si="142">+((AB141*AB$2)+(AD141*AD$2))/AF$2</f>
        <v>4.533231218938262</v>
      </c>
      <c r="AG141" s="5436">
        <f t="shared" ref="AG141:AG144" si="143">+((AC141*AC$2)+(AE141*AE$2))/AG$2</f>
        <v>2.3686046161048884</v>
      </c>
      <c r="AH141" s="5435">
        <f>+EMD!AF37/(EMD!AF3*24)</f>
        <v>4.9425633893571002</v>
      </c>
      <c r="AI141" s="5435">
        <f>+EMD!AG37/(EMD!AG3*24)</f>
        <v>2.1859999999999999</v>
      </c>
      <c r="AJ141" s="5436">
        <f t="shared" ref="AJ141:AJ144" si="144">+((AF141*AF$2)+(AH141*AH$2))/AJ$2</f>
        <v>4.5835589448094307</v>
      </c>
      <c r="AK141" s="5436">
        <f t="shared" ref="AK141:AK144" si="145">+((AG141*AG$2)+(AI141*AI$2))/AK$2</f>
        <v>2.3461532288788773</v>
      </c>
      <c r="AL141" s="5435">
        <f>+EMD!AJ37/(EMD!AJ3*24)</f>
        <v>4.9222167669784733</v>
      </c>
      <c r="AM141" s="5435">
        <f>+EMD!AK37/(EMD!AK3*24)</f>
        <v>1.8261835909662401</v>
      </c>
      <c r="AN141" s="5437">
        <f t="shared" ref="AN141:AN144" si="146">+((AD141*AD$2)+(AH141*AH$2)+(AL141*AL$2))/AN$2</f>
        <v>4.9475228425400619</v>
      </c>
      <c r="AO141" s="5437">
        <f t="shared" ref="AO141:AO144" si="147">+((AE141*AE$2)+(AI141*AI$2)+(AM141*AM$2))/AO$2</f>
        <v>1.7446288911589141</v>
      </c>
      <c r="AP141" s="5436">
        <f t="shared" ref="AP141:AQ144" si="148">+((AL141*AL$2)+(AJ141*AJ$2))/AP$2</f>
        <v>4.6217349174903042</v>
      </c>
      <c r="AQ141" s="5436">
        <f t="shared" si="148"/>
        <v>2.2875384696959986</v>
      </c>
      <c r="AR141" s="5435">
        <f>+EMD!AP37/(EMD!AP3*24)</f>
        <v>4.9113326157484076</v>
      </c>
      <c r="AS141" s="5435">
        <f>+EMD!AQ37/(EMD!AQ3*24)</f>
        <v>1.5919489247311829</v>
      </c>
      <c r="AT141" s="5436">
        <f t="shared" ref="AT141:AT144" si="149">+((AP141*AP$2)+(AR141*AR$2))/AT$2</f>
        <v>4.6510732463988047</v>
      </c>
      <c r="AU141" s="5436">
        <f t="shared" ref="AU141:AU144" si="150">+((AQ141*AQ$2)+(AS141*AS$2))/AU$2</f>
        <v>2.217070247820478</v>
      </c>
      <c r="AV141" s="5435">
        <f>+EMD!AT37/(EMD!AT3*24)</f>
        <v>5.0145762851239128</v>
      </c>
      <c r="AW141" s="5435">
        <f>+EMD!AU37/(EMD!AU3*24)</f>
        <v>2.2448214285714285</v>
      </c>
      <c r="AX141" s="5436">
        <f t="shared" ref="AX141:AX144" si="151">+((AT141*AT$2)+(AV141*AV$2))/AX$2</f>
        <v>4.6815465550344424</v>
      </c>
      <c r="AY141" s="5436">
        <f t="shared" ref="AY141:AY144" si="152">+((AU141*AU$2)+(AW141*AW$2))/AY$2</f>
        <v>2.2193966941109768</v>
      </c>
      <c r="AZ141" s="5435">
        <f>+EMD!AX37/(EMD!AX3*24)</f>
        <v>4.8965562100329114</v>
      </c>
      <c r="BA141" s="5435">
        <f>+EMD!AY37/(EMD!AY3*24)</f>
        <v>2.7250940860215054</v>
      </c>
      <c r="BB141" s="5437">
        <f t="shared" ref="BB141:BB144" si="153">+((AR141*AR$2)+(AV141*AV$2)+(AZ141*AZ$2))/BB$2</f>
        <v>4.938363217585449</v>
      </c>
      <c r="BC141" s="5437">
        <f t="shared" ref="BC141:BC144" si="154">+((AS141*AS$2)+(AW141*AW$2)+(BA141*BA$2))/BC$2</f>
        <v>2.1853703703703706</v>
      </c>
      <c r="BD141" s="5439">
        <f t="shared" ref="BD141:BE144" si="155">+((AN141*AN$2)+(BB141*BB$2))/BD$2</f>
        <v>4.9429933576723961</v>
      </c>
      <c r="BE141" s="5439">
        <f t="shared" si="155"/>
        <v>1.9625779742854585</v>
      </c>
      <c r="BF141" s="5436">
        <f>+((AX141*AX$2)+(AZ141*AZ$2))/BF$2</f>
        <v>4.699807649020614</v>
      </c>
      <c r="BG141" s="5443">
        <f>+((AY141*AY$2)+(BA141*BA$2))/BG$2</f>
        <v>2.2623463356157067</v>
      </c>
      <c r="BH141" s="4234"/>
      <c r="BI141" s="4234"/>
      <c r="BJ141" s="25"/>
      <c r="BK141" s="25"/>
      <c r="BL141" s="25"/>
      <c r="BM141" s="25"/>
      <c r="BN141" s="1137"/>
    </row>
    <row r="142" spans="1:68" s="4487" customFormat="1" x14ac:dyDescent="0.25">
      <c r="B142" s="5440" t="s">
        <v>308</v>
      </c>
      <c r="C142" s="5422"/>
      <c r="D142" s="5422"/>
      <c r="E142" s="5171" t="s">
        <v>299</v>
      </c>
      <c r="F142" s="5435">
        <f>+EMD!D67/(EMD!D3*24)</f>
        <v>9.4525942868918484</v>
      </c>
      <c r="G142" s="5435">
        <f>+EMD!E67/(EMD!E3*24)</f>
        <v>4.7503472222222225</v>
      </c>
      <c r="H142" s="5435">
        <f>+EMD!F67/(EMD!F3*24)</f>
        <v>8.8502102666744822</v>
      </c>
      <c r="I142" s="5435">
        <f>+EMD!G67/(EMD!G3*24)</f>
        <v>5.3448362752972303</v>
      </c>
      <c r="J142" s="5425">
        <f t="shared" si="135"/>
        <v>9.1464647028469592</v>
      </c>
      <c r="K142" s="5425">
        <f t="shared" si="135"/>
        <v>5.0524646098505048</v>
      </c>
      <c r="L142" s="5435">
        <f>+EMD!J67/(EMD!J3*24)</f>
        <v>8.68874459639615</v>
      </c>
      <c r="M142" s="5435">
        <f>+EMD!K67/(EMD!K3*24)</f>
        <v>5.2854343880576655</v>
      </c>
      <c r="N142" s="5437">
        <f t="shared" si="136"/>
        <v>8.9955679644565816</v>
      </c>
      <c r="O142" s="5437">
        <f t="shared" si="136"/>
        <v>5.1292678334352839</v>
      </c>
      <c r="P142" s="5435">
        <f>+EMD!N67/(EMD!N3*24)</f>
        <v>8.8336698968186713</v>
      </c>
      <c r="Q142" s="5435">
        <f>+EMD!O67/(EMD!O3*24)</f>
        <v>5.3791858521565823</v>
      </c>
      <c r="R142" s="5425">
        <f t="shared" si="137"/>
        <v>8.9544299308764579</v>
      </c>
      <c r="S142" s="5425">
        <f t="shared" si="137"/>
        <v>5.1927715922906961</v>
      </c>
      <c r="T142" s="5435">
        <f>+EMD!R67/(EMD!R3*24)</f>
        <v>8.8336698968186713</v>
      </c>
      <c r="U142" s="5435">
        <f>+EMD!S67/(EMD!S3*24)</f>
        <v>4.9984891220410299</v>
      </c>
      <c r="V142" s="5425">
        <f t="shared" si="138"/>
        <v>8.9299622115575588</v>
      </c>
      <c r="W142" s="5425">
        <f t="shared" si="139"/>
        <v>5.1534071702139661</v>
      </c>
      <c r="X142" s="5435">
        <f>+EMD!V67/(EMD!V3*24)</f>
        <v>4.9448682446162646</v>
      </c>
      <c r="Y142" s="5435">
        <f>+EMD!W67/(EMD!W3*24)</f>
        <v>5.2261249999999997</v>
      </c>
      <c r="Z142" s="5426">
        <f t="shared" si="140"/>
        <v>7.5655824015352788</v>
      </c>
      <c r="AA142" s="5426">
        <f t="shared" si="140"/>
        <v>5.2009964586970208</v>
      </c>
      <c r="AB142" s="5438">
        <f t="shared" si="141"/>
        <v>8.2766681186163638</v>
      </c>
      <c r="AC142" s="5438">
        <f t="shared" si="141"/>
        <v>5.1653281259165942</v>
      </c>
      <c r="AD142" s="5435">
        <f>+EMD!AB67/(EMD!AB3*24)</f>
        <v>9.1406564827310568</v>
      </c>
      <c r="AE142" s="5435">
        <f>+EMD!AC67/(EMD!AC3*24)</f>
        <v>3.7866935483870972</v>
      </c>
      <c r="AF142" s="5425">
        <f t="shared" si="142"/>
        <v>8.4018253115488655</v>
      </c>
      <c r="AG142" s="5425">
        <f t="shared" si="143"/>
        <v>4.9656193787043765</v>
      </c>
      <c r="AH142" s="5435">
        <f>+EMD!AF67/(EMD!AF3*24)</f>
        <v>10.522803228320656</v>
      </c>
      <c r="AI142" s="5435">
        <f>+EMD!AG67/(EMD!AG3*24)</f>
        <v>3.5379444444444448</v>
      </c>
      <c r="AJ142" s="5425">
        <f t="shared" si="144"/>
        <v>8.662601284922447</v>
      </c>
      <c r="AK142" s="5425">
        <f t="shared" si="145"/>
        <v>4.7900855753117622</v>
      </c>
      <c r="AL142" s="5435">
        <f>+EMD!AJ67/(EMD!AJ3*24)</f>
        <v>10.480268488816961</v>
      </c>
      <c r="AM142" s="5435">
        <f>+EMD!AK67/(EMD!AK3*24)</f>
        <v>3.9505855432478936</v>
      </c>
      <c r="AN142" s="5426">
        <f t="shared" si="146"/>
        <v>10.042747510517481</v>
      </c>
      <c r="AO142" s="5426">
        <f t="shared" si="147"/>
        <v>3.7608041866741093</v>
      </c>
      <c r="AP142" s="5425">
        <f t="shared" si="148"/>
        <v>8.867501951543284</v>
      </c>
      <c r="AQ142" s="5425">
        <f t="shared" si="148"/>
        <v>4.6954510262427442</v>
      </c>
      <c r="AR142" s="5435">
        <f>+EMD!AP67/(EMD!AP3*24)</f>
        <v>10.48603922911099</v>
      </c>
      <c r="AS142" s="5435">
        <f>+EMD!AQ67/(EMD!AQ3*24)</f>
        <v>5.591411290322581</v>
      </c>
      <c r="AT142" s="5425">
        <f t="shared" si="149"/>
        <v>9.0314714143034109</v>
      </c>
      <c r="AU142" s="5425">
        <f t="shared" si="150"/>
        <v>4.7862182425384141</v>
      </c>
      <c r="AV142" s="5435">
        <f>+EMD!AT67/(EMD!AT3*24)</f>
        <v>10.991464198483637</v>
      </c>
      <c r="AW142" s="5435">
        <f>+EMD!AU67/(EMD!AU3*24)</f>
        <v>4.808139880952381</v>
      </c>
      <c r="AX142" s="5425">
        <f t="shared" si="151"/>
        <v>9.1957821866298985</v>
      </c>
      <c r="AY142" s="5425">
        <f t="shared" si="152"/>
        <v>4.7880559846809021</v>
      </c>
      <c r="AZ142" s="5435">
        <f>+EMD!AX67/(EMD!AX3*24)</f>
        <v>9.2052985858684071</v>
      </c>
      <c r="BA142" s="5435">
        <f>+EMD!AY67/(EMD!AY3*24)</f>
        <v>4.242620967741936</v>
      </c>
      <c r="BB142" s="5426">
        <f t="shared" si="153"/>
        <v>10.202138553576702</v>
      </c>
      <c r="BC142" s="5426">
        <f t="shared" si="154"/>
        <v>4.8831435185185192</v>
      </c>
      <c r="BD142" s="5439">
        <f t="shared" si="155"/>
        <v>10.121567257085227</v>
      </c>
      <c r="BE142" s="5439">
        <f t="shared" si="155"/>
        <v>4.3158071529707955</v>
      </c>
      <c r="BF142" s="5425">
        <f>+((AX142*AX$2)+(AZ142*AZ$2))/BF$2</f>
        <v>9.1965904287570055</v>
      </c>
      <c r="BG142" s="5441">
        <f>+((AY142*AY$2)+(BA142*BA$2))/BG$2</f>
        <v>4.7417313668038945</v>
      </c>
      <c r="BH142" s="4234"/>
      <c r="BI142" s="4234"/>
      <c r="BJ142" s="25"/>
      <c r="BK142" s="25"/>
      <c r="BL142" s="25"/>
      <c r="BM142" s="25"/>
      <c r="BN142" s="1137"/>
    </row>
    <row r="143" spans="1:68" x14ac:dyDescent="0.25">
      <c r="B143" s="5440" t="s">
        <v>1849</v>
      </c>
      <c r="C143" s="5422"/>
      <c r="D143" s="5422"/>
      <c r="E143" s="5171" t="s">
        <v>299</v>
      </c>
      <c r="F143" s="5435">
        <f>+EMD!D85/(EMD!D3*24)</f>
        <v>0</v>
      </c>
      <c r="G143" s="5435">
        <f>+EMD!E85/(EMD!E3*24)</f>
        <v>4.3315277777777776</v>
      </c>
      <c r="H143" s="5435">
        <f>+EMD!F85/(EMD!F3*24)</f>
        <v>1.5007933020974389</v>
      </c>
      <c r="I143" s="5435">
        <f>+EMD!G85/(EMD!G3*24)</f>
        <v>5.1459735585369693</v>
      </c>
      <c r="J143" s="5425">
        <f t="shared" ref="J143" si="156">+((F143*F$2)+(H143*H$2))/J$2</f>
        <v>0.762698235492141</v>
      </c>
      <c r="K143" s="5425">
        <f t="shared" ref="K143" si="157">+((G143*G$2)+(I143*I$2))/K$2</f>
        <v>4.745426453245563</v>
      </c>
      <c r="L143" s="5435">
        <f>+EMD!J85/(EMD!J3*24)</f>
        <v>1.4933030216075458</v>
      </c>
      <c r="M143" s="5435">
        <f>+EMD!K85/(EMD!K3*24)</f>
        <v>4.9633429944973235</v>
      </c>
      <c r="N143" s="5437">
        <f t="shared" ref="N143" si="158">+((F143*F$2)+(H143*H$2)+(L143*L$2))/N$2</f>
        <v>1.0035569561895272</v>
      </c>
      <c r="O143" s="5437">
        <f t="shared" ref="O143" si="159">+((G143*G$2)+(I143*I$2)+(M143*M$2))/O$2</f>
        <v>4.8172670712406491</v>
      </c>
      <c r="P143" s="5435">
        <f>+EMD!N85/(EMD!N3*24)</f>
        <v>1.4996421123896297</v>
      </c>
      <c r="Q143" s="5435">
        <f>+EMD!O85/(EMD!O3*24)</f>
        <v>4.2916563007631972</v>
      </c>
      <c r="R143" s="5425">
        <f t="shared" ref="R143" si="160">+((N143*N$2)+(P143*P$2))/R$2</f>
        <v>1.1296113811256188</v>
      </c>
      <c r="S143" s="5425">
        <f t="shared" ref="S143" si="161">+((O143*O$2)+(Q143*Q$2))/S$2</f>
        <v>4.6837102361193299</v>
      </c>
      <c r="T143" s="5435">
        <f>+EMD!R85/(EMD!R3*24)</f>
        <v>1.4996421123896297</v>
      </c>
      <c r="U143" s="5435">
        <f>+EMD!S85/(EMD!S3*24)</f>
        <v>4.2114650927811903</v>
      </c>
      <c r="V143" s="5425">
        <f t="shared" ref="V143" si="162">+((R143*R$2)+(T143*T$2))/V$2</f>
        <v>1.2045849279830327</v>
      </c>
      <c r="W143" s="5425">
        <f t="shared" ref="W143" si="163">+((S143*S$2)+(U143*U$2))/W$2</f>
        <v>4.5880265796259811</v>
      </c>
      <c r="X143" s="5435">
        <f>+EMD!V85/(EMD!V3*24)</f>
        <v>0</v>
      </c>
      <c r="Y143" s="5435">
        <f>+EMD!W85/(EMD!W3*24)</f>
        <v>5.5175000000000001</v>
      </c>
      <c r="Z143" s="5426">
        <f t="shared" ref="Z143" si="164">+((P143*P$2)+(T143*T$2)+(X143*X$2))/Z$2</f>
        <v>1.0106283800886635</v>
      </c>
      <c r="AA143" s="5426">
        <f t="shared" ref="AA143" si="165">+((Q143*Q$2)+(U143*U$2)+(Y143*Y$2))/AA$2</f>
        <v>4.6643669913029999</v>
      </c>
      <c r="AB143" s="5438">
        <f t="shared" ref="AB143" si="166">+((N143*N$2)+(Z143*Z$2))/AB$2</f>
        <v>1.0071119889694209</v>
      </c>
      <c r="AC143" s="5438">
        <f t="shared" ref="AC143" si="167">+((O143*O$2)+(AA143*AA$2))/AC$2</f>
        <v>4.7403992714905741</v>
      </c>
      <c r="AD143" s="5435">
        <f>+EMD!AB85/(EMD!AB3*24)</f>
        <v>1.5394726976053212</v>
      </c>
      <c r="AE143" s="5435">
        <f>+EMD!AC85/(EMD!AC3*24)</f>
        <v>3.2220430107526878</v>
      </c>
      <c r="AF143" s="5425">
        <f t="shared" ref="AF143" si="168">+((AB143*AB$2)+(AD143*AD$2))/AF$2</f>
        <v>1.084229661715743</v>
      </c>
      <c r="AG143" s="5425">
        <f t="shared" ref="AG143" si="169">+((AC143*AC$2)+(AE143*AE$2))/AG$2</f>
        <v>4.5204504673649923</v>
      </c>
      <c r="AH143" s="5435">
        <f>+EMD!AF85/(EMD!AF3*24)</f>
        <v>0</v>
      </c>
      <c r="AI143" s="5435">
        <f>+EMD!AG85/(EMD!AG3*24)</f>
        <v>6.9887499999999996</v>
      </c>
      <c r="AJ143" s="5425">
        <f t="shared" ref="AJ143" si="170">+((AF143*AF$2)+(AH143*AH$2))/AJ$2</f>
        <v>0.95092273609495492</v>
      </c>
      <c r="AK143" s="5425">
        <f t="shared" ref="AK143" si="171">+((AG143*AG$2)+(AI143*AI$2))/AK$2</f>
        <v>4.8239299180988047</v>
      </c>
      <c r="AL143" s="5435">
        <f>+EMD!AJ85/(EMD!AJ3*24)</f>
        <v>0</v>
      </c>
      <c r="AM143" s="5435">
        <f>+EMD!AK85/(EMD!AK3*24)</f>
        <v>7.0640821918841787</v>
      </c>
      <c r="AN143" s="5426">
        <f t="shared" ref="AN143" si="172">+((AD143*AD$2)+(AH143*AH$2)+(AL143*AL$2))/AN$2</f>
        <v>0.51873536549744526</v>
      </c>
      <c r="AO143" s="5426">
        <f t="shared" ref="AO143" si="173">+((AE143*AE$2)+(AI143*AI$2)+(AM143*AM$2))/AO$2</f>
        <v>5.744917187845032</v>
      </c>
      <c r="AP143" s="5425">
        <f t="shared" ref="AP143" si="174">+((AL143*AL$2)+(AJ143*AJ$2))/AP$2</f>
        <v>0.84372780948061454</v>
      </c>
      <c r="AQ143" s="5425">
        <f t="shared" ref="AQ143" si="175">+((AM143*AM$2)+(AK143*AK$2))/AQ$2</f>
        <v>5.0764561744164283</v>
      </c>
      <c r="AR143" s="5435">
        <f>+EMD!AP85/(EMD!AP3*24)</f>
        <v>0</v>
      </c>
      <c r="AS143" s="5435">
        <f>+EMD!AQ85/(EMD!AQ3*24)</f>
        <v>7.4376344086021513</v>
      </c>
      <c r="AT143" s="5425">
        <f t="shared" ref="AT143" si="176">+((AP143*AP$2)+(AR143*AR$2))/AT$2</f>
        <v>0.75825211636329737</v>
      </c>
      <c r="AU143" s="5425">
        <f t="shared" ref="AU143" si="177">+((AQ143*AQ$2)+(AS143*AS$2))/AU$2</f>
        <v>5.3156605053306683</v>
      </c>
      <c r="AV143" s="5435">
        <f>+EMD!AT85/(EMD!AT3*24)</f>
        <v>0</v>
      </c>
      <c r="AW143" s="5435">
        <f>+EMD!AU85/(EMD!AU3*24)</f>
        <v>6.9921130952380945</v>
      </c>
      <c r="AX143" s="5425">
        <f t="shared" si="151"/>
        <v>0.69468607068014676</v>
      </c>
      <c r="AY143" s="5425">
        <f t="shared" si="152"/>
        <v>5.4562014410115305</v>
      </c>
      <c r="AZ143" s="5435">
        <f>+EMD!AX85/(EMD!AX3*24)</f>
        <v>1.5143988278452305</v>
      </c>
      <c r="BA143" s="5435">
        <f>+EMD!AY85/(EMD!AY3*24)</f>
        <v>6.2415322580645158</v>
      </c>
      <c r="BB143" s="5426">
        <f>+EMD!AZ85/(EMD!AZ3*24)</f>
        <v>0.52162626292446823</v>
      </c>
      <c r="BC143" s="5426">
        <f>+EMD!BA85/(EMD!BA3*24)</f>
        <v>6.8870370370370368</v>
      </c>
      <c r="BD143" s="5439">
        <f>+EMD!BB85/(EMD!BB3*24)</f>
        <v>0.52016493015915999</v>
      </c>
      <c r="BE143" s="5439">
        <f>+EMD!BC85/(EMD!BC3*24)</f>
        <v>6.3097017286542645</v>
      </c>
      <c r="BF143" s="5425">
        <f>+EMD!BD85/(EMD!BD3*24)</f>
        <v>0.76430551032978389</v>
      </c>
      <c r="BG143" s="5441">
        <f>+EMD!BE85/(EMD!BE3*24)</f>
        <v>5.5229007706790441</v>
      </c>
      <c r="BH143" s="4234"/>
      <c r="BI143" s="4234"/>
      <c r="BJ143" s="25"/>
      <c r="BK143" s="25"/>
      <c r="BL143" s="25"/>
      <c r="BM143" s="25"/>
      <c r="BN143" s="1137"/>
    </row>
    <row r="144" spans="1:68" x14ac:dyDescent="0.25">
      <c r="B144" s="5440" t="s">
        <v>309</v>
      </c>
      <c r="C144" s="5422"/>
      <c r="D144" s="5422"/>
      <c r="E144" s="5171" t="s">
        <v>299</v>
      </c>
      <c r="F144" s="5435">
        <f>+EMD!D106/(EMD!D3*24)</f>
        <v>1.9398814431324951</v>
      </c>
      <c r="G144" s="5435">
        <f>+EMD!E106/(EMD!E3*24)</f>
        <v>1.2255888888888888</v>
      </c>
      <c r="H144" s="5435">
        <f>+EMD!F106/(EMD!F3*24)</f>
        <v>1.723872322011323</v>
      </c>
      <c r="I144" s="5435">
        <f>+EMD!G106/(EMD!G3*24)</f>
        <v>1.5865047135606947</v>
      </c>
      <c r="J144" s="5425">
        <f t="shared" si="135"/>
        <v>1.8301063160053419</v>
      </c>
      <c r="K144" s="5436">
        <f t="shared" si="135"/>
        <v>1.4090051276565279</v>
      </c>
      <c r="L144" s="5435">
        <f>+EMD!J106/(EMD!J3*24)</f>
        <v>1.6764625636207104</v>
      </c>
      <c r="M144" s="5435">
        <f>+EMD!K106/(EMD!K3*24)</f>
        <v>1.6764927955556788</v>
      </c>
      <c r="N144" s="5437">
        <f t="shared" si="136"/>
        <v>1.779454529504914</v>
      </c>
      <c r="O144" s="5437">
        <f t="shared" si="136"/>
        <v>1.4971878753155887</v>
      </c>
      <c r="P144" s="5435">
        <f>+EMD!N106/(EMD!N3*24)</f>
        <v>1.7193237289601051</v>
      </c>
      <c r="Q144" s="5435">
        <f>+EMD!O106/(EMD!O3*24)</f>
        <v>1.6744247849513554</v>
      </c>
      <c r="R144" s="5425">
        <f t="shared" si="137"/>
        <v>1.764175391661561</v>
      </c>
      <c r="S144" s="5425">
        <f t="shared" si="137"/>
        <v>1.5422234835017261</v>
      </c>
      <c r="T144" s="5435">
        <f>+EMD!R106/(EMD!R3*24)</f>
        <v>1.7193237289601051</v>
      </c>
      <c r="U144" s="5435">
        <f>+EMD!S106/(EMD!S3*24)</f>
        <v>1.5263112720725411</v>
      </c>
      <c r="V144" s="5425">
        <f t="shared" si="138"/>
        <v>1.7550877998723771</v>
      </c>
      <c r="W144" s="5425">
        <f t="shared" si="139"/>
        <v>1.5389994406631331</v>
      </c>
      <c r="X144" s="5435">
        <f>+EMD!V106/(EMD!V3*24)</f>
        <v>0.66552505075814328</v>
      </c>
      <c r="Y144" s="5435">
        <f>+EMD!W106/(EMD!W3*24)</f>
        <v>1.7811250000000001</v>
      </c>
      <c r="Z144" s="5426">
        <f t="shared" si="140"/>
        <v>1.3756937251985959</v>
      </c>
      <c r="AA144" s="5426">
        <f t="shared" si="140"/>
        <v>1.6593105192145738</v>
      </c>
      <c r="AB144" s="5438">
        <f t="shared" si="141"/>
        <v>1.5764709557552896</v>
      </c>
      <c r="AC144" s="5438">
        <f t="shared" si="141"/>
        <v>1.5786921553085214</v>
      </c>
      <c r="AD144" s="5435">
        <f>+EMD!AB106/(EMD!AB3*24)</f>
        <v>1.7889299850398379</v>
      </c>
      <c r="AE144" s="5435">
        <f>+EMD!AC106/(EMD!AC3*24)</f>
        <v>1.2390456989247312</v>
      </c>
      <c r="AF144" s="5425">
        <f t="shared" si="142"/>
        <v>1.6072477310254814</v>
      </c>
      <c r="AG144" s="5425">
        <f t="shared" si="143"/>
        <v>1.5294910331220843</v>
      </c>
      <c r="AH144" s="5435">
        <f>+EMD!AF106/(EMD!AF3*24)</f>
        <v>2.0263223132504908</v>
      </c>
      <c r="AI144" s="5435">
        <f>+EMD!AG106/(EMD!AG3*24)</f>
        <v>1.7361805555555554</v>
      </c>
      <c r="AJ144" s="5425">
        <f t="shared" si="144"/>
        <v>1.6587732944138021</v>
      </c>
      <c r="AK144" s="5425">
        <f t="shared" si="145"/>
        <v>1.554903679322921</v>
      </c>
      <c r="AL144" s="5435">
        <f>+EMD!AJ106/(EMD!AJ3*24)</f>
        <v>2.0182399658345651</v>
      </c>
      <c r="AM144" s="5435">
        <f>+EMD!AK106/(EMD!AK3*24)</f>
        <v>2.0761883622238662</v>
      </c>
      <c r="AN144" s="5426">
        <f t="shared" si="146"/>
        <v>1.9436080203763175</v>
      </c>
      <c r="AO144" s="5426">
        <f t="shared" si="147"/>
        <v>1.6832355713290565</v>
      </c>
      <c r="AP144" s="5425">
        <f t="shared" si="148"/>
        <v>1.6992949919194154</v>
      </c>
      <c r="AQ144" s="5425">
        <f t="shared" si="148"/>
        <v>1.6136666799408459</v>
      </c>
      <c r="AR144" s="5435">
        <f>+EMD!AP106/(EMD!AP3*24)</f>
        <v>2.0182399658345651</v>
      </c>
      <c r="AS144" s="5435">
        <f>+EMD!AQ106/(EMD!AQ3*24)</f>
        <v>2.3847916666666666</v>
      </c>
      <c r="AT144" s="5425">
        <f t="shared" si="149"/>
        <v>1.7316064108454599</v>
      </c>
      <c r="AU144" s="5425">
        <f t="shared" si="150"/>
        <v>1.6917871851320239</v>
      </c>
      <c r="AV144" s="5435">
        <f>+EMD!AT106/(EMD!AT3*24)</f>
        <v>2.1601745761207254</v>
      </c>
      <c r="AW144" s="5435">
        <f>+EMD!AU106/(EMD!AU3*24)</f>
        <v>1.862264880952381</v>
      </c>
      <c r="AX144" s="5425">
        <f t="shared" si="151"/>
        <v>1.7675342809882966</v>
      </c>
      <c r="AY144" s="5425">
        <f t="shared" si="152"/>
        <v>1.7060787284942096</v>
      </c>
      <c r="AZ144" s="5435">
        <f>+EMD!AX106/(EMD!AX3*24)</f>
        <v>1.8304339305535384</v>
      </c>
      <c r="BA144" s="5435">
        <f>+EMD!AY106/(EMD!AY3*24)</f>
        <v>1.3628857526881719</v>
      </c>
      <c r="BB144" s="5426">
        <f t="shared" si="153"/>
        <v>1.9977086546601279</v>
      </c>
      <c r="BC144" s="5426">
        <f t="shared" si="154"/>
        <v>1.8702379629629629</v>
      </c>
      <c r="BD144" s="5439">
        <f t="shared" si="155"/>
        <v>1.970361081285894</v>
      </c>
      <c r="BE144" s="5439">
        <f t="shared" si="155"/>
        <v>1.7757092814776916</v>
      </c>
      <c r="BF144" s="5425">
        <f>+((AX144*AX$2)+(AZ144*AZ$2))/BF$2</f>
        <v>1.7728764430061663</v>
      </c>
      <c r="BG144" s="5441">
        <f>+((AY144*AY$2)+(BA144*BA$2))/BG$2</f>
        <v>1.6769308319189022</v>
      </c>
      <c r="BH144" s="4234"/>
      <c r="BI144" s="4234"/>
      <c r="BJ144" s="25"/>
      <c r="BK144" s="25"/>
      <c r="BL144" s="25"/>
      <c r="BM144" s="25"/>
      <c r="BN144" s="1137"/>
    </row>
    <row r="145" spans="1:66" ht="15.75" thickBot="1" x14ac:dyDescent="0.3">
      <c r="A145" s="139"/>
      <c r="B145" s="5444" t="s">
        <v>310</v>
      </c>
      <c r="C145" s="5445"/>
      <c r="D145" s="5445"/>
      <c r="E145" s="5184" t="s">
        <v>526</v>
      </c>
      <c r="F145" s="5450">
        <f t="shared" ref="F145:G145" si="178">+F122/F136</f>
        <v>124.44444444444444</v>
      </c>
      <c r="G145" s="5450">
        <f t="shared" si="178"/>
        <v>111.85577711447493</v>
      </c>
      <c r="H145" s="5446">
        <f t="shared" ref="H145:I145" si="179">+H122/H136</f>
        <v>116.07142857142857</v>
      </c>
      <c r="I145" s="5446">
        <f t="shared" si="179"/>
        <v>111.95658372737651</v>
      </c>
      <c r="J145" s="5447">
        <f t="shared" ref="J145:AM145" si="180">+J122/J136</f>
        <v>119.80198019801981</v>
      </c>
      <c r="K145" s="5447">
        <f t="shared" si="180"/>
        <v>107.64133849089049</v>
      </c>
      <c r="L145" s="5446">
        <f t="shared" si="180"/>
        <v>115.74074074074075</v>
      </c>
      <c r="M145" s="5446">
        <f t="shared" si="180"/>
        <v>115.29320386441785</v>
      </c>
      <c r="N145" s="5448">
        <f t="shared" si="180"/>
        <v>118.38709677419355</v>
      </c>
      <c r="O145" s="5448">
        <f t="shared" si="180"/>
        <v>111.8365292571419</v>
      </c>
      <c r="P145" s="5446">
        <f t="shared" ref="P145:Q145" si="181">+P122/P136</f>
        <v>116.07142857142857</v>
      </c>
      <c r="Q145" s="5446">
        <f t="shared" si="181"/>
        <v>107.22079862842892</v>
      </c>
      <c r="R145" s="5447">
        <f t="shared" si="180"/>
        <v>117.77251184834124</v>
      </c>
      <c r="S145" s="5447">
        <f t="shared" si="180"/>
        <v>109.99570462172676</v>
      </c>
      <c r="T145" s="5446">
        <f t="shared" si="180"/>
        <v>116.07142857142857</v>
      </c>
      <c r="U145" s="5446">
        <f t="shared" si="180"/>
        <v>100.58050509626275</v>
      </c>
      <c r="V145" s="5447">
        <f t="shared" si="180"/>
        <v>117.41573033707866</v>
      </c>
      <c r="W145" s="5447">
        <f t="shared" si="180"/>
        <v>108.30982672582732</v>
      </c>
      <c r="X145" s="5446">
        <f t="shared" ref="X145:Y145" si="182">+X122/X136</f>
        <v>111.66666666666667</v>
      </c>
      <c r="Y145" s="5446">
        <f t="shared" si="182"/>
        <v>110.20583982365905</v>
      </c>
      <c r="Z145" s="5448">
        <f t="shared" si="180"/>
        <v>115.14084507042253</v>
      </c>
      <c r="AA145" s="5448">
        <f t="shared" si="180"/>
        <v>106.11754003963165</v>
      </c>
      <c r="AB145" s="5449">
        <f t="shared" si="180"/>
        <v>116.83501683501683</v>
      </c>
      <c r="AC145" s="5449">
        <f t="shared" si="180"/>
        <v>109.03547697128197</v>
      </c>
      <c r="AD145" s="5446">
        <f t="shared" si="180"/>
        <v>119.64285714285714</v>
      </c>
      <c r="AE145" s="5446">
        <f t="shared" si="180"/>
        <v>119.47591943605239</v>
      </c>
      <c r="AF145" s="5447">
        <f t="shared" si="180"/>
        <v>117.28045325779037</v>
      </c>
      <c r="AG145" s="5447">
        <f t="shared" si="180"/>
        <v>109.85371621097237</v>
      </c>
      <c r="AH145" s="5446">
        <f t="shared" ref="AH145:AI145" si="183">+AH122/AH136</f>
        <v>120.37037037037037</v>
      </c>
      <c r="AI145" s="5446">
        <f t="shared" si="183"/>
        <v>105.27906437768243</v>
      </c>
      <c r="AJ145" s="5447">
        <f t="shared" si="180"/>
        <v>117.69041769041769</v>
      </c>
      <c r="AK145" s="5447">
        <f t="shared" si="180"/>
        <v>109.26702578072833</v>
      </c>
      <c r="AL145" s="5446">
        <f t="shared" si="180"/>
        <v>120.53571428571429</v>
      </c>
      <c r="AM145" s="5446">
        <f t="shared" si="180"/>
        <v>104.21999016554662</v>
      </c>
      <c r="AN145" s="5448">
        <f t="shared" ref="AN145:BE145" si="184">+AN122/AN136</f>
        <v>120.18072289156626</v>
      </c>
      <c r="AO145" s="5448">
        <f t="shared" si="184"/>
        <v>107.72120038167937</v>
      </c>
      <c r="AP145" s="5447">
        <f t="shared" si="184"/>
        <v>118.03455723542116</v>
      </c>
      <c r="AQ145" s="5447">
        <f t="shared" si="184"/>
        <v>108.64751880717813</v>
      </c>
      <c r="AR145" s="5450">
        <f t="shared" si="184"/>
        <v>121.42857142857143</v>
      </c>
      <c r="AS145" s="5450">
        <f t="shared" si="184"/>
        <v>106.31541577287064</v>
      </c>
      <c r="AT145" s="5447">
        <f t="shared" si="184"/>
        <v>118.40077071290943</v>
      </c>
      <c r="AU145" s="5447">
        <f t="shared" si="184"/>
        <v>108.38369863669578</v>
      </c>
      <c r="AV145" s="5450">
        <f t="shared" ref="AV145:AW145" si="185">+AV122/AV136</f>
        <v>122</v>
      </c>
      <c r="AW145" s="5450">
        <f t="shared" si="185"/>
        <v>113.39707103064063</v>
      </c>
      <c r="AX145" s="5447">
        <f t="shared" si="184"/>
        <v>118.7170474516696</v>
      </c>
      <c r="AY145" s="5447">
        <f t="shared" si="184"/>
        <v>108.84975707520258</v>
      </c>
      <c r="AZ145" s="5450">
        <f t="shared" si="184"/>
        <v>122.32142857142857</v>
      </c>
      <c r="BA145" s="5450">
        <f t="shared" si="184"/>
        <v>119.05717573090223</v>
      </c>
      <c r="BB145" s="5448">
        <f t="shared" si="184"/>
        <v>121.91358024691358</v>
      </c>
      <c r="BC145" s="5448">
        <f t="shared" si="184"/>
        <v>112.91522628212078</v>
      </c>
      <c r="BD145" s="5451">
        <f t="shared" si="184"/>
        <v>121.03658536585365</v>
      </c>
      <c r="BE145" s="5451">
        <f t="shared" si="184"/>
        <v>110.61415894679634</v>
      </c>
      <c r="BF145" s="5447">
        <f t="shared" ref="BF145:BG145" si="186">+BF122/BF136</f>
        <v>119.04</v>
      </c>
      <c r="BG145" s="5452">
        <f t="shared" si="186"/>
        <v>109.80264942104402</v>
      </c>
      <c r="BH145" s="4234"/>
      <c r="BI145" s="4234"/>
      <c r="BJ145" s="25"/>
      <c r="BK145" s="25"/>
      <c r="BL145" s="25"/>
      <c r="BM145" s="25"/>
      <c r="BN145" s="1137"/>
    </row>
    <row r="146" spans="1:66" ht="15.75" thickBot="1" x14ac:dyDescent="0.3"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144"/>
      <c r="BC146" s="144"/>
      <c r="BD146" s="144"/>
      <c r="BE146" s="144"/>
      <c r="BF146" s="144"/>
      <c r="BG146" s="144"/>
      <c r="BH146" s="4234"/>
      <c r="BI146" s="4234"/>
      <c r="BJ146" s="25"/>
      <c r="BK146" s="25"/>
      <c r="BL146" s="25"/>
      <c r="BM146" s="25"/>
      <c r="BN146" s="1137"/>
    </row>
    <row r="147" spans="1:66" x14ac:dyDescent="0.25">
      <c r="B147" s="979" t="s">
        <v>769</v>
      </c>
      <c r="C147" s="980"/>
      <c r="D147" s="980"/>
      <c r="E147" s="767" t="s">
        <v>50</v>
      </c>
      <c r="F147" s="980"/>
      <c r="G147" s="1493">
        <v>372.92800000000022</v>
      </c>
      <c r="H147" s="980"/>
      <c r="I147" s="1493">
        <v>387.81699999999989</v>
      </c>
      <c r="J147" s="982"/>
      <c r="K147" s="349">
        <f>+G147+I147</f>
        <v>760.74500000000012</v>
      </c>
      <c r="L147" s="980"/>
      <c r="M147" s="1493">
        <v>351.1119999999998</v>
      </c>
      <c r="N147" s="984"/>
      <c r="O147" s="586">
        <f>+G147+I147+M147</f>
        <v>1111.857</v>
      </c>
      <c r="P147" s="980"/>
      <c r="Q147" s="1493">
        <v>367.42799999999977</v>
      </c>
      <c r="R147" s="982"/>
      <c r="S147" s="349">
        <f>+O147+Q147</f>
        <v>1479.2849999999999</v>
      </c>
      <c r="T147" s="980"/>
      <c r="U147" s="1493">
        <v>413.38599999999991</v>
      </c>
      <c r="V147" s="982"/>
      <c r="W147" s="349">
        <f>+S147+U147</f>
        <v>1892.6709999999998</v>
      </c>
      <c r="X147" s="980"/>
      <c r="Y147" s="1493">
        <v>335.19200000000001</v>
      </c>
      <c r="Z147" s="984"/>
      <c r="AA147" s="586">
        <f>+Q147+U147+Y147</f>
        <v>1116.0059999999996</v>
      </c>
      <c r="AB147" s="5363"/>
      <c r="AC147" s="975">
        <f>+AA147+O147</f>
        <v>2227.8629999999994</v>
      </c>
      <c r="AD147" s="980"/>
      <c r="AE147" s="1493">
        <v>347.14600000000013</v>
      </c>
      <c r="AF147" s="982"/>
      <c r="AG147" s="349">
        <f>+AC147+AE147</f>
        <v>2575.0089999999996</v>
      </c>
      <c r="AH147" s="980"/>
      <c r="AI147" s="1493">
        <v>516.70599999999968</v>
      </c>
      <c r="AJ147" s="982"/>
      <c r="AK147" s="349">
        <f>+AG147+AI147</f>
        <v>3091.7149999999992</v>
      </c>
      <c r="AL147" s="980"/>
      <c r="AM147" s="1493">
        <v>569.00999999999942</v>
      </c>
      <c r="AN147" s="984"/>
      <c r="AO147" s="586">
        <f>+AE147+AI147+AM147</f>
        <v>1432.8619999999992</v>
      </c>
      <c r="AP147" s="982"/>
      <c r="AQ147" s="349">
        <f t="shared" ref="AQ147:AQ148" si="187">AK147+AM147</f>
        <v>3660.7249999999985</v>
      </c>
      <c r="AR147" s="980"/>
      <c r="AS147" s="1493">
        <v>372.17500000000001</v>
      </c>
      <c r="AT147" s="982"/>
      <c r="AU147" s="349">
        <f>+AQ147+AS147</f>
        <v>4032.8999999999987</v>
      </c>
      <c r="AV147" s="980"/>
      <c r="AW147" s="1493">
        <v>343.34599999999983</v>
      </c>
      <c r="AX147" s="982"/>
      <c r="AY147" s="349">
        <f>+AU147+AW147</f>
        <v>4376.2459999999983</v>
      </c>
      <c r="AZ147" s="980"/>
      <c r="BA147" s="1493">
        <v>411.54599999999954</v>
      </c>
      <c r="BB147" s="984"/>
      <c r="BC147" s="586">
        <f>+AS147+AW147+BA147</f>
        <v>1127.0669999999993</v>
      </c>
      <c r="BD147" s="5364"/>
      <c r="BE147" s="5365">
        <f t="shared" ref="BE147:BE148" si="188">+AO147+BC147</f>
        <v>2559.9289999999983</v>
      </c>
      <c r="BF147" s="982"/>
      <c r="BG147" s="41">
        <f>+AY147+BA147</f>
        <v>4787.7919999999976</v>
      </c>
      <c r="BH147" s="4234">
        <f t="shared" si="124"/>
        <v>0</v>
      </c>
      <c r="BI147" s="4234">
        <f t="shared" si="125"/>
        <v>0</v>
      </c>
      <c r="BJ147" s="25"/>
      <c r="BK147" s="25">
        <f t="shared" si="126"/>
        <v>0</v>
      </c>
      <c r="BL147" s="25">
        <f t="shared" si="127"/>
        <v>0</v>
      </c>
      <c r="BM147" s="25"/>
      <c r="BN147" s="1137"/>
    </row>
    <row r="148" spans="1:66" x14ac:dyDescent="0.25">
      <c r="B148" s="5395" t="s">
        <v>767</v>
      </c>
      <c r="C148" s="5377"/>
      <c r="D148" s="5377"/>
      <c r="E148" s="5171" t="s">
        <v>50</v>
      </c>
      <c r="F148" s="5377"/>
      <c r="G148" s="5409">
        <v>1094.0010000000002</v>
      </c>
      <c r="H148" s="5377"/>
      <c r="I148" s="5409">
        <v>1178.1529999999998</v>
      </c>
      <c r="J148" s="5388"/>
      <c r="K148" s="5241">
        <f>+G148+I148</f>
        <v>2272.154</v>
      </c>
      <c r="L148" s="5377"/>
      <c r="M148" s="5409">
        <v>1218.1929999999998</v>
      </c>
      <c r="N148" s="5389"/>
      <c r="O148" s="5249">
        <f>+G148+I148+M148</f>
        <v>3490.3469999999998</v>
      </c>
      <c r="P148" s="5377"/>
      <c r="Q148" s="5409">
        <v>1193.4615999999999</v>
      </c>
      <c r="R148" s="5388"/>
      <c r="S148" s="5241">
        <f>+O148+Q148</f>
        <v>4683.8085999999994</v>
      </c>
      <c r="T148" s="5377"/>
      <c r="U148" s="5409">
        <v>935.56900000000007</v>
      </c>
      <c r="V148" s="5388"/>
      <c r="W148" s="5241">
        <f>+S148+U148</f>
        <v>5619.3775999999998</v>
      </c>
      <c r="X148" s="5377"/>
      <c r="Y148" s="5409">
        <v>1042.048</v>
      </c>
      <c r="Z148" s="5389"/>
      <c r="AA148" s="5249">
        <f>+Q148+U148+Y148</f>
        <v>3171.0785999999998</v>
      </c>
      <c r="AB148" s="5359"/>
      <c r="AC148" s="5360">
        <f>+AA148+O148</f>
        <v>6661.4255999999996</v>
      </c>
      <c r="AD148" s="5377"/>
      <c r="AE148" s="5409">
        <v>616.35599999999954</v>
      </c>
      <c r="AF148" s="5388"/>
      <c r="AG148" s="5241">
        <f>+AC148+AE148</f>
        <v>7277.7815999999993</v>
      </c>
      <c r="AH148" s="5377"/>
      <c r="AI148" s="5409">
        <v>1025.548</v>
      </c>
      <c r="AJ148" s="5388"/>
      <c r="AK148" s="5241">
        <f>+AG148+AI148</f>
        <v>8303.3295999999991</v>
      </c>
      <c r="AL148" s="5377"/>
      <c r="AM148" s="5409">
        <v>1102.2280000000001</v>
      </c>
      <c r="AN148" s="5389"/>
      <c r="AO148" s="5249">
        <f>+AE148+AI148+AM148</f>
        <v>2744.1319999999996</v>
      </c>
      <c r="AP148" s="5388"/>
      <c r="AQ148" s="5241">
        <f t="shared" si="187"/>
        <v>9405.5576000000001</v>
      </c>
      <c r="AR148" s="5377"/>
      <c r="AS148" s="5409">
        <v>1176.5340000000015</v>
      </c>
      <c r="AT148" s="5388"/>
      <c r="AU148" s="5241">
        <f>+AQ148+AS148</f>
        <v>10582.091600000002</v>
      </c>
      <c r="AV148" s="5377"/>
      <c r="AW148" s="5409">
        <v>1123.5489999999991</v>
      </c>
      <c r="AX148" s="5388"/>
      <c r="AY148" s="5241">
        <f>+AU148+AW148</f>
        <v>11705.640600000001</v>
      </c>
      <c r="AZ148" s="5377"/>
      <c r="BA148" s="5409">
        <v>1307.7659999999917</v>
      </c>
      <c r="BB148" s="5389"/>
      <c r="BC148" s="5249">
        <f>+AS148+AW148+BA148</f>
        <v>3607.848999999992</v>
      </c>
      <c r="BD148" s="5361"/>
      <c r="BE148" s="5362">
        <f t="shared" si="188"/>
        <v>6351.9809999999916</v>
      </c>
      <c r="BF148" s="5388"/>
      <c r="BG148" s="5174">
        <f>+AY148+BA148</f>
        <v>13013.406599999993</v>
      </c>
      <c r="BH148" s="4234">
        <f t="shared" si="124"/>
        <v>0</v>
      </c>
      <c r="BI148" s="4234">
        <f t="shared" si="125"/>
        <v>0</v>
      </c>
      <c r="BJ148" s="25"/>
      <c r="BK148" s="25">
        <f t="shared" si="126"/>
        <v>0</v>
      </c>
      <c r="BL148" s="25">
        <f t="shared" si="127"/>
        <v>0</v>
      </c>
      <c r="BM148" s="25"/>
      <c r="BN148" s="1137"/>
    </row>
    <row r="149" spans="1:66" x14ac:dyDescent="0.25">
      <c r="B149" s="5418" t="s">
        <v>789</v>
      </c>
      <c r="C149" s="5410"/>
      <c r="D149" s="5410"/>
      <c r="E149" s="5177" t="s">
        <v>50</v>
      </c>
      <c r="F149" s="5377"/>
      <c r="G149" s="5409">
        <f>SUM(G147:G148)</f>
        <v>1466.9290000000005</v>
      </c>
      <c r="H149" s="5377"/>
      <c r="I149" s="5409">
        <f>SUM(I147:I148)</f>
        <v>1565.9699999999998</v>
      </c>
      <c r="J149" s="5388"/>
      <c r="K149" s="5378">
        <f>SUM(K147:K148)</f>
        <v>3032.8990000000003</v>
      </c>
      <c r="L149" s="5377"/>
      <c r="M149" s="5409">
        <f>SUM(M147:M148)</f>
        <v>1569.3049999999996</v>
      </c>
      <c r="N149" s="5389"/>
      <c r="O149" s="5379">
        <f>SUM(O147:O148)</f>
        <v>4602.2039999999997</v>
      </c>
      <c r="P149" s="5377"/>
      <c r="Q149" s="5409">
        <f>SUM(Q147:Q148)</f>
        <v>1560.8895999999995</v>
      </c>
      <c r="R149" s="5388"/>
      <c r="S149" s="5378">
        <f>SUM(S147:S148)</f>
        <v>6163.0935999999992</v>
      </c>
      <c r="T149" s="5377"/>
      <c r="U149" s="5409">
        <f>SUM(U147:U148)</f>
        <v>1348.9549999999999</v>
      </c>
      <c r="V149" s="5388"/>
      <c r="W149" s="5378">
        <f>SUM(W147:W148)</f>
        <v>7512.0486000000001</v>
      </c>
      <c r="X149" s="5377"/>
      <c r="Y149" s="5409">
        <f>SUM(Y147:Y148)</f>
        <v>1377.24</v>
      </c>
      <c r="Z149" s="5389"/>
      <c r="AA149" s="5379">
        <f>SUM(AA147:AA148)</f>
        <v>4287.0845999999992</v>
      </c>
      <c r="AB149" s="5411"/>
      <c r="AC149" s="5380">
        <f>SUM(AC147:AC148)</f>
        <v>8889.2885999999999</v>
      </c>
      <c r="AD149" s="5377"/>
      <c r="AE149" s="5409">
        <f>SUM(AE147:AE148)</f>
        <v>963.50199999999973</v>
      </c>
      <c r="AF149" s="5388"/>
      <c r="AG149" s="5378">
        <f>SUM(AG147:AG148)</f>
        <v>9852.7905999999984</v>
      </c>
      <c r="AH149" s="5377"/>
      <c r="AI149" s="5409">
        <f>SUM(AI147:AI148)</f>
        <v>1542.2539999999997</v>
      </c>
      <c r="AJ149" s="5388"/>
      <c r="AK149" s="5378">
        <f>SUM(AK147:AK148)</f>
        <v>11395.044599999997</v>
      </c>
      <c r="AL149" s="5377"/>
      <c r="AM149" s="5409">
        <f>SUM(AM147:AM148)</f>
        <v>1671.2379999999994</v>
      </c>
      <c r="AN149" s="5389"/>
      <c r="AO149" s="5379">
        <f>SUM(AO147:AO148)</f>
        <v>4176.9939999999988</v>
      </c>
      <c r="AP149" s="5388"/>
      <c r="AQ149" s="5378">
        <f>SUM(AQ147:AQ148)</f>
        <v>13066.282599999999</v>
      </c>
      <c r="AR149" s="5377"/>
      <c r="AS149" s="5409">
        <f>SUM(AS147:AS148)</f>
        <v>1548.7090000000014</v>
      </c>
      <c r="AT149" s="5388"/>
      <c r="AU149" s="5378">
        <f>SUM(AU147:AU148)</f>
        <v>14614.991600000001</v>
      </c>
      <c r="AV149" s="5377"/>
      <c r="AW149" s="5409">
        <f>SUM(AW147:AW148)</f>
        <v>1466.8949999999988</v>
      </c>
      <c r="AX149" s="5388"/>
      <c r="AY149" s="5378">
        <f>SUM(AY147:AY148)</f>
        <v>16081.886599999998</v>
      </c>
      <c r="AZ149" s="5377"/>
      <c r="BA149" s="5409">
        <f>SUM(BA147:BA148)</f>
        <v>1719.3119999999913</v>
      </c>
      <c r="BB149" s="5389"/>
      <c r="BC149" s="5379">
        <f>SUM(BC147:BC148)</f>
        <v>4734.9159999999911</v>
      </c>
      <c r="BD149" s="5412"/>
      <c r="BE149" s="5381">
        <f>SUM(BE147:BE148)</f>
        <v>8911.9099999999889</v>
      </c>
      <c r="BF149" s="5388"/>
      <c r="BG149" s="5394">
        <f>SUM(BG147:BG148)</f>
        <v>17801.198599999989</v>
      </c>
      <c r="BH149" s="4234">
        <f t="shared" si="124"/>
        <v>0</v>
      </c>
      <c r="BI149" s="4234">
        <f t="shared" si="125"/>
        <v>0</v>
      </c>
      <c r="BJ149" s="25"/>
      <c r="BK149" s="25">
        <f t="shared" si="126"/>
        <v>0</v>
      </c>
      <c r="BL149" s="25">
        <f t="shared" si="127"/>
        <v>0</v>
      </c>
      <c r="BM149" s="25"/>
      <c r="BN149" s="1137"/>
    </row>
    <row r="150" spans="1:66" x14ac:dyDescent="0.25">
      <c r="B150" s="5418" t="s">
        <v>785</v>
      </c>
      <c r="C150" s="5410"/>
      <c r="D150" s="5410"/>
      <c r="E150" s="5177" t="s">
        <v>49</v>
      </c>
      <c r="F150" s="5377"/>
      <c r="G150" s="5413">
        <f>+G149/G7</f>
        <v>2.6246970358990776E-2</v>
      </c>
      <c r="H150" s="5377"/>
      <c r="I150" s="5413">
        <f>+I149/I7</f>
        <v>2.5684364894429577E-2</v>
      </c>
      <c r="J150" s="5388"/>
      <c r="K150" s="5414">
        <f>+K149/K7</f>
        <v>2.5953438323407848E-2</v>
      </c>
      <c r="L150" s="5377"/>
      <c r="M150" s="5413">
        <f>+M149/M7</f>
        <v>2.52215456532951E-2</v>
      </c>
      <c r="N150" s="5389"/>
      <c r="O150" s="5415">
        <f>+O149/O7</f>
        <v>2.569914447252742E-2</v>
      </c>
      <c r="P150" s="5377"/>
      <c r="Q150" s="5413">
        <f>+Q149/Q7</f>
        <v>2.5604803295599134E-2</v>
      </c>
      <c r="R150" s="5388"/>
      <c r="S150" s="5414">
        <f>+S149/S7</f>
        <v>2.5675185573302752E-2</v>
      </c>
      <c r="T150" s="5377"/>
      <c r="U150" s="5413">
        <f>+U149/U7</f>
        <v>2.8386668872581518E-2</v>
      </c>
      <c r="V150" s="5388"/>
      <c r="W150" s="5414">
        <f>+W149/W7</f>
        <v>2.6123269227678922E-2</v>
      </c>
      <c r="X150" s="5377"/>
      <c r="Y150" s="5413">
        <f>+Y149/Y7</f>
        <v>2.5886223577886818E-2</v>
      </c>
      <c r="Z150" s="5389"/>
      <c r="AA150" s="5415">
        <f>+AA149/AA7</f>
        <v>2.6515022040710566E-2</v>
      </c>
      <c r="AB150" s="5411"/>
      <c r="AC150" s="5416">
        <f>+AC149/AC7</f>
        <v>2.6086259343934711E-2</v>
      </c>
      <c r="AD150" s="5377"/>
      <c r="AE150" s="5413">
        <f>+AE149/AE7</f>
        <v>3.0264935903333578E-2</v>
      </c>
      <c r="AF150" s="5388"/>
      <c r="AG150" s="5414">
        <f>+AG149/AG7</f>
        <v>2.6443291954986552E-2</v>
      </c>
      <c r="AH150" s="5377"/>
      <c r="AI150" s="5413">
        <f>+AI149/AI7</f>
        <v>2.934322451910246E-2</v>
      </c>
      <c r="AJ150" s="5388"/>
      <c r="AK150" s="5414">
        <f>+AK149/AK7</f>
        <v>2.6801787445252207E-2</v>
      </c>
      <c r="AL150" s="5377"/>
      <c r="AM150" s="5413">
        <f>+AM149/AM7</f>
        <v>2.9443566940079921E-2</v>
      </c>
      <c r="AN150" s="5389"/>
      <c r="AO150" s="5415">
        <f>+AO149/AO7</f>
        <v>2.9591452536683615E-2</v>
      </c>
      <c r="AP150" s="5388"/>
      <c r="AQ150" s="5414">
        <f>+AQ149/AQ7</f>
        <v>2.7112936840198481E-2</v>
      </c>
      <c r="AR150" s="5377"/>
      <c r="AS150" s="5413">
        <f>+AS149/AS7</f>
        <v>2.5708320538315548E-2</v>
      </c>
      <c r="AT150" s="5388"/>
      <c r="AU150" s="5414">
        <f>+AU149/AU7</f>
        <v>2.6956864970320505E-2</v>
      </c>
      <c r="AV150" s="5377"/>
      <c r="AW150" s="5413">
        <f>+AW149/AW7</f>
        <v>2.5495263120737192E-2</v>
      </c>
      <c r="AX150" s="5388"/>
      <c r="AY150" s="5414">
        <f>+AY149/AY7</f>
        <v>2.6816636587699699E-2</v>
      </c>
      <c r="AZ150" s="5377"/>
      <c r="BA150" s="5413">
        <f>+BA149/BA7</f>
        <v>2.5644292122021819E-2</v>
      </c>
      <c r="BB150" s="5389"/>
      <c r="BC150" s="5415">
        <f>+BC149/BC7</f>
        <v>2.561876834723209E-2</v>
      </c>
      <c r="BD150" s="5412"/>
      <c r="BE150" s="5417">
        <f>+BE149/BE7</f>
        <v>2.73390275102325E-2</v>
      </c>
      <c r="BF150" s="5388"/>
      <c r="BG150" s="5419">
        <f>+BG149/BG7</f>
        <v>2.6698750945096501E-2</v>
      </c>
      <c r="BH150" s="4234"/>
      <c r="BI150" s="4234"/>
      <c r="BJ150" s="25"/>
      <c r="BK150" s="25">
        <f t="shared" si="126"/>
        <v>0</v>
      </c>
      <c r="BL150" s="25">
        <f t="shared" si="127"/>
        <v>0.138560575633358</v>
      </c>
      <c r="BM150" s="25"/>
      <c r="BN150" s="1137"/>
    </row>
    <row r="151" spans="1:66" x14ac:dyDescent="0.25">
      <c r="B151" s="5418" t="s">
        <v>788</v>
      </c>
      <c r="C151" s="5410"/>
      <c r="D151" s="5410"/>
      <c r="E151" s="5177" t="s">
        <v>50</v>
      </c>
      <c r="F151" s="5377"/>
      <c r="G151" s="5233">
        <f>+G123</f>
        <v>215.98000000000002</v>
      </c>
      <c r="H151" s="5377"/>
      <c r="I151" s="5233">
        <f>+I123</f>
        <v>373.24</v>
      </c>
      <c r="J151" s="5388"/>
      <c r="K151" s="5378">
        <f>+K123</f>
        <v>588.61</v>
      </c>
      <c r="L151" s="5377"/>
      <c r="M151" s="5233">
        <f>+M123</f>
        <v>134.80000000000001</v>
      </c>
      <c r="N151" s="5389"/>
      <c r="O151" s="5379">
        <f>+O123</f>
        <v>724.02</v>
      </c>
      <c r="P151" s="5377"/>
      <c r="Q151" s="5233">
        <f>+Q123</f>
        <v>254.89999999999998</v>
      </c>
      <c r="R151" s="5388"/>
      <c r="S151" s="5378">
        <f>+S123</f>
        <v>978.31000000000006</v>
      </c>
      <c r="T151" s="5377"/>
      <c r="U151" s="5233">
        <f>+U123</f>
        <v>349.35999999999996</v>
      </c>
      <c r="V151" s="5388"/>
      <c r="W151" s="5378">
        <f>+W123</f>
        <v>1327.67</v>
      </c>
      <c r="X151" s="5377"/>
      <c r="Y151" s="5233">
        <f>+Y123</f>
        <v>238.58999999999997</v>
      </c>
      <c r="Z151" s="5389"/>
      <c r="AA151" s="5379">
        <f>+AA123</f>
        <v>842.85</v>
      </c>
      <c r="AB151" s="5411"/>
      <c r="AC151" s="5380">
        <f>+AC123</f>
        <v>1566.87</v>
      </c>
      <c r="AD151" s="5377"/>
      <c r="AE151" s="5233">
        <f>+AE123</f>
        <v>259.63000000000005</v>
      </c>
      <c r="AF151" s="5388"/>
      <c r="AG151" s="5378">
        <f>+AG123</f>
        <v>1826.4999999999998</v>
      </c>
      <c r="AH151" s="5377"/>
      <c r="AI151" s="5233">
        <f>+AI123</f>
        <v>383.84000000000003</v>
      </c>
      <c r="AJ151" s="5388"/>
      <c r="AK151" s="5378">
        <f>+AK123</f>
        <v>2210.3399999999997</v>
      </c>
      <c r="AL151" s="5377"/>
      <c r="AM151" s="5233">
        <f>+AM123</f>
        <v>401.87999999999994</v>
      </c>
      <c r="AN151" s="5389"/>
      <c r="AO151" s="5379">
        <f>+AO123</f>
        <v>1045.3499999999999</v>
      </c>
      <c r="AP151" s="5388"/>
      <c r="AQ151" s="5378">
        <f>+AQ123</f>
        <v>2612.2199999999998</v>
      </c>
      <c r="AR151" s="5377"/>
      <c r="AS151" s="5233">
        <f>+AS123</f>
        <v>712.26999999999987</v>
      </c>
      <c r="AT151" s="5388"/>
      <c r="AU151" s="5378">
        <f>+AU123</f>
        <v>3324.4900000000002</v>
      </c>
      <c r="AV151" s="5377"/>
      <c r="AW151" s="5233">
        <f>+AW123</f>
        <v>53.21</v>
      </c>
      <c r="AX151" s="5388"/>
      <c r="AY151" s="5378">
        <f>+AY123</f>
        <v>3377.6999999999994</v>
      </c>
      <c r="AZ151" s="5377"/>
      <c r="BA151" s="5233">
        <f>+BA123</f>
        <v>174.48999999999998</v>
      </c>
      <c r="BB151" s="5389"/>
      <c r="BC151" s="5379">
        <f>+BC123</f>
        <v>939.96999999999991</v>
      </c>
      <c r="BD151" s="5412"/>
      <c r="BE151" s="5381">
        <f>+BE123</f>
        <v>1985.3200000000004</v>
      </c>
      <c r="BF151" s="5388"/>
      <c r="BG151" s="5394">
        <f>+BG123</f>
        <v>3552.19</v>
      </c>
      <c r="BH151" s="4234">
        <f t="shared" si="124"/>
        <v>0</v>
      </c>
      <c r="BI151" s="4234">
        <f t="shared" si="125"/>
        <v>0</v>
      </c>
      <c r="BJ151" s="25"/>
      <c r="BK151" s="25">
        <f t="shared" si="126"/>
        <v>0</v>
      </c>
      <c r="BL151" s="25">
        <f t="shared" si="127"/>
        <v>0</v>
      </c>
      <c r="BM151" s="25"/>
      <c r="BN151" s="1137"/>
    </row>
    <row r="152" spans="1:66" x14ac:dyDescent="0.25">
      <c r="B152" s="5395" t="s">
        <v>1539</v>
      </c>
      <c r="C152" s="5377"/>
      <c r="D152" s="5377"/>
      <c r="E152" s="5171" t="s">
        <v>50</v>
      </c>
      <c r="F152" s="5377"/>
      <c r="G152" s="5233">
        <v>836.92700000000002</v>
      </c>
      <c r="H152" s="5377"/>
      <c r="I152" s="5233">
        <v>1166.4859999999996</v>
      </c>
      <c r="J152" s="5388"/>
      <c r="K152" s="5241">
        <f>+G152+I152</f>
        <v>2003.4129999999996</v>
      </c>
      <c r="L152" s="5377"/>
      <c r="M152" s="5233">
        <v>1204.0310000000004</v>
      </c>
      <c r="N152" s="5389"/>
      <c r="O152" s="5249">
        <f>+G152+I152+M152</f>
        <v>3207.444</v>
      </c>
      <c r="P152" s="5377"/>
      <c r="Q152" s="5233">
        <v>1118.3079999999998</v>
      </c>
      <c r="R152" s="5388"/>
      <c r="S152" s="5241">
        <f>+O152+Q152</f>
        <v>4325.7519999999995</v>
      </c>
      <c r="T152" s="5377"/>
      <c r="U152" s="5233">
        <v>907.54300000000012</v>
      </c>
      <c r="V152" s="5388"/>
      <c r="W152" s="5241">
        <f>+S152+U152</f>
        <v>5233.2950000000001</v>
      </c>
      <c r="X152" s="5377"/>
      <c r="Y152" s="5233">
        <v>976.91400000000021</v>
      </c>
      <c r="Z152" s="5389"/>
      <c r="AA152" s="5249">
        <f>+Q152+U152+Y152</f>
        <v>3002.7650000000003</v>
      </c>
      <c r="AB152" s="5359"/>
      <c r="AC152" s="5360">
        <f>+AA152+O152</f>
        <v>6210.2090000000007</v>
      </c>
      <c r="AD152" s="5377"/>
      <c r="AE152" s="5233">
        <v>515.43199999999979</v>
      </c>
      <c r="AF152" s="5388"/>
      <c r="AG152" s="5241">
        <f>+AC152+AE152</f>
        <v>6725.6410000000005</v>
      </c>
      <c r="AH152" s="5377"/>
      <c r="AI152" s="5233">
        <v>890.24199999999996</v>
      </c>
      <c r="AJ152" s="5388"/>
      <c r="AK152" s="5241">
        <f>+AG152+AI152</f>
        <v>7615.8830000000007</v>
      </c>
      <c r="AL152" s="5377"/>
      <c r="AM152" s="5233">
        <v>964.4580000000002</v>
      </c>
      <c r="AN152" s="5389"/>
      <c r="AO152" s="5249">
        <f>+AE152+AI152+AM152</f>
        <v>2370.1320000000001</v>
      </c>
      <c r="AP152" s="5388"/>
      <c r="AQ152" s="5241">
        <f t="shared" ref="AQ152:AQ153" si="189">AK152+AM152</f>
        <v>8580.3410000000003</v>
      </c>
      <c r="AR152" s="5377"/>
      <c r="AS152" s="5233">
        <v>1009.8730000000003</v>
      </c>
      <c r="AT152" s="5388"/>
      <c r="AU152" s="5241">
        <f>+AQ152+AS152</f>
        <v>9590.2139999999999</v>
      </c>
      <c r="AV152" s="5377"/>
      <c r="AW152" s="5233">
        <v>898.08999999999992</v>
      </c>
      <c r="AX152" s="5388"/>
      <c r="AY152" s="5241">
        <f>+AU152+AW152</f>
        <v>10488.304</v>
      </c>
      <c r="AZ152" s="5377"/>
      <c r="BA152" s="5233">
        <v>1001.3320000000001</v>
      </c>
      <c r="BB152" s="5389"/>
      <c r="BC152" s="5249">
        <f>+AS152+AW152+BA152</f>
        <v>2909.2950000000001</v>
      </c>
      <c r="BD152" s="5361"/>
      <c r="BE152" s="5362">
        <f t="shared" ref="BE152:BE153" si="190">+AO152+BC152</f>
        <v>5279.4269999999997</v>
      </c>
      <c r="BF152" s="5388"/>
      <c r="BG152" s="5174">
        <f>+AY152+BA152</f>
        <v>11489.636</v>
      </c>
      <c r="BH152" s="4234">
        <f t="shared" si="124"/>
        <v>0</v>
      </c>
      <c r="BI152" s="4234">
        <f t="shared" si="125"/>
        <v>0</v>
      </c>
      <c r="BJ152" s="25"/>
      <c r="BK152" s="25">
        <f t="shared" si="126"/>
        <v>0</v>
      </c>
      <c r="BL152" s="25">
        <f t="shared" si="127"/>
        <v>0</v>
      </c>
      <c r="BM152" s="25"/>
      <c r="BN152" s="1137"/>
    </row>
    <row r="153" spans="1:66" ht="15.75" thickBot="1" x14ac:dyDescent="0.3">
      <c r="B153" s="5396" t="s">
        <v>1049</v>
      </c>
      <c r="C153" s="5397"/>
      <c r="D153" s="5397"/>
      <c r="E153" s="5184" t="s">
        <v>50</v>
      </c>
      <c r="F153" s="5397"/>
      <c r="G153" s="5399">
        <v>853.49200000000019</v>
      </c>
      <c r="H153" s="5397"/>
      <c r="I153" s="5399">
        <v>644.9369999999999</v>
      </c>
      <c r="J153" s="5420"/>
      <c r="K153" s="5256">
        <f>+G153+I153</f>
        <v>1498.4290000000001</v>
      </c>
      <c r="L153" s="5397"/>
      <c r="M153" s="5399">
        <v>638.04100000000005</v>
      </c>
      <c r="N153" s="5421"/>
      <c r="O153" s="5258">
        <f>+G153+I153+M153</f>
        <v>2136.4700000000003</v>
      </c>
      <c r="P153" s="5397"/>
      <c r="Q153" s="5399">
        <v>699.32739999999978</v>
      </c>
      <c r="R153" s="5420"/>
      <c r="S153" s="5256">
        <f>+O153+Q153</f>
        <v>2835.7973999999999</v>
      </c>
      <c r="T153" s="5397"/>
      <c r="U153" s="5399">
        <v>508.57100000000008</v>
      </c>
      <c r="V153" s="5420"/>
      <c r="W153" s="5256">
        <f>+S153+U153</f>
        <v>3344.3683999999998</v>
      </c>
      <c r="X153" s="5397"/>
      <c r="Y153" s="5399">
        <v>614.12900000000002</v>
      </c>
      <c r="Z153" s="5421"/>
      <c r="AA153" s="5258">
        <f>+Q153+U153+Y153</f>
        <v>1822.0273999999999</v>
      </c>
      <c r="AB153" s="5373"/>
      <c r="AC153" s="5374">
        <f>+AA153+O153</f>
        <v>3958.4974000000002</v>
      </c>
      <c r="AD153" s="5397"/>
      <c r="AE153" s="5399">
        <v>437.12600000000003</v>
      </c>
      <c r="AF153" s="5420"/>
      <c r="AG153" s="5256">
        <f>+AC153+AE153</f>
        <v>4395.6234000000004</v>
      </c>
      <c r="AH153" s="5397"/>
      <c r="AI153" s="5399">
        <v>682.73799999999983</v>
      </c>
      <c r="AJ153" s="5420"/>
      <c r="AK153" s="5256">
        <f>+AG153+AI153</f>
        <v>5078.3613999999998</v>
      </c>
      <c r="AL153" s="5397"/>
      <c r="AM153" s="5399">
        <v>735.96199999999988</v>
      </c>
      <c r="AN153" s="5421"/>
      <c r="AO153" s="5258">
        <f>+AE153+AI153+AM153</f>
        <v>1855.8259999999996</v>
      </c>
      <c r="AP153" s="5420"/>
      <c r="AQ153" s="5256">
        <f t="shared" si="189"/>
        <v>5814.3233999999993</v>
      </c>
      <c r="AR153" s="5397"/>
      <c r="AS153" s="5399">
        <v>800.71699999999998</v>
      </c>
      <c r="AT153" s="5420"/>
      <c r="AU153" s="5256">
        <f>+AQ153+AS153</f>
        <v>6615.040399999999</v>
      </c>
      <c r="AV153" s="5397"/>
      <c r="AW153" s="5399">
        <v>838.3889999999999</v>
      </c>
      <c r="AX153" s="5420"/>
      <c r="AY153" s="5256">
        <f>+AU153+AW153</f>
        <v>7453.4293999999991</v>
      </c>
      <c r="AZ153" s="5397"/>
      <c r="BA153" s="5399">
        <v>1029.347</v>
      </c>
      <c r="BB153" s="5421"/>
      <c r="BC153" s="5258">
        <f>+AS153+AW153+BA153</f>
        <v>2668.4529999999995</v>
      </c>
      <c r="BD153" s="5375"/>
      <c r="BE153" s="5376">
        <f t="shared" si="190"/>
        <v>4524.2789999999986</v>
      </c>
      <c r="BF153" s="5420"/>
      <c r="BG153" s="5257">
        <f>+AY153+BA153</f>
        <v>8482.7763999999988</v>
      </c>
      <c r="BH153" s="4234">
        <f t="shared" si="124"/>
        <v>0</v>
      </c>
      <c r="BI153" s="4234">
        <f t="shared" si="125"/>
        <v>0</v>
      </c>
      <c r="BJ153" s="25"/>
      <c r="BK153" s="25">
        <f t="shared" si="126"/>
        <v>0</v>
      </c>
      <c r="BL153" s="25">
        <f t="shared" si="127"/>
        <v>0</v>
      </c>
      <c r="BM153" s="25"/>
      <c r="BN153" s="1137"/>
    </row>
    <row r="154" spans="1:66" ht="19.5" thickBot="1" x14ac:dyDescent="0.35">
      <c r="B154" s="829" t="s">
        <v>790</v>
      </c>
      <c r="C154" s="829"/>
      <c r="D154" s="829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144"/>
      <c r="BC154" s="144"/>
      <c r="BD154" s="144"/>
      <c r="BE154" s="144"/>
      <c r="BF154" s="144"/>
      <c r="BG154" s="144"/>
      <c r="BH154" s="4234">
        <f t="shared" si="124"/>
        <v>0</v>
      </c>
      <c r="BI154" s="4234">
        <f t="shared" si="125"/>
        <v>0</v>
      </c>
      <c r="BJ154" s="25"/>
      <c r="BK154" s="25">
        <f t="shared" si="126"/>
        <v>0</v>
      </c>
      <c r="BL154" s="25">
        <f t="shared" si="127"/>
        <v>0</v>
      </c>
      <c r="BM154" s="25"/>
      <c r="BN154" s="1137"/>
    </row>
    <row r="155" spans="1:66" x14ac:dyDescent="0.25">
      <c r="B155" s="979" t="s">
        <v>791</v>
      </c>
      <c r="C155" s="980"/>
      <c r="D155" s="980"/>
      <c r="E155" s="767" t="s">
        <v>50</v>
      </c>
      <c r="F155" s="997"/>
      <c r="G155" s="981">
        <f>+G7</f>
        <v>55889.46</v>
      </c>
      <c r="H155" s="997"/>
      <c r="I155" s="981">
        <f>+I7</f>
        <v>60969.777000000002</v>
      </c>
      <c r="J155" s="998"/>
      <c r="K155" s="983">
        <f>+K7</f>
        <v>116859.23699999999</v>
      </c>
      <c r="L155" s="997"/>
      <c r="M155" s="981">
        <f>+M7</f>
        <v>62220.809999999976</v>
      </c>
      <c r="N155" s="999"/>
      <c r="O155" s="1000">
        <f>+O7</f>
        <v>179080.04699999996</v>
      </c>
      <c r="P155" s="997"/>
      <c r="Q155" s="981">
        <f>+Q7</f>
        <v>60960.812000000013</v>
      </c>
      <c r="R155" s="998"/>
      <c r="S155" s="983">
        <f>+S7</f>
        <v>240040.85899999997</v>
      </c>
      <c r="T155" s="997"/>
      <c r="U155" s="981">
        <f>+U7</f>
        <v>47520.722000000009</v>
      </c>
      <c r="V155" s="998"/>
      <c r="W155" s="983">
        <f>+W7</f>
        <v>287561.58100000001</v>
      </c>
      <c r="X155" s="997"/>
      <c r="Y155" s="981">
        <f>+Y7</f>
        <v>53203.589000000007</v>
      </c>
      <c r="Z155" s="999"/>
      <c r="AA155" s="1000">
        <f>+AA7</f>
        <v>161685.12300000002</v>
      </c>
      <c r="AB155" s="5390"/>
      <c r="AC155" s="1003">
        <f>+AC7</f>
        <v>340765.17</v>
      </c>
      <c r="AD155" s="997"/>
      <c r="AE155" s="981">
        <f>+AE7</f>
        <v>31835.587</v>
      </c>
      <c r="AF155" s="998"/>
      <c r="AG155" s="983">
        <f>+AG7</f>
        <v>372600.75699999998</v>
      </c>
      <c r="AH155" s="997"/>
      <c r="AI155" s="981">
        <f>+AI7</f>
        <v>52559.118000000009</v>
      </c>
      <c r="AJ155" s="998"/>
      <c r="AK155" s="983">
        <f>+AK7</f>
        <v>425159.875</v>
      </c>
      <c r="AL155" s="997"/>
      <c r="AM155" s="981">
        <f>+AM7</f>
        <v>56760.718000000001</v>
      </c>
      <c r="AN155" s="999"/>
      <c r="AO155" s="1000">
        <f>+AO7</f>
        <v>141155.42300000001</v>
      </c>
      <c r="AP155" s="998"/>
      <c r="AQ155" s="983">
        <f>+AQ7</f>
        <v>481920.59299999999</v>
      </c>
      <c r="AR155" s="997"/>
      <c r="AS155" s="981">
        <f>+AS7</f>
        <v>60241.546999999999</v>
      </c>
      <c r="AT155" s="998"/>
      <c r="AU155" s="983">
        <f>+AU7</f>
        <v>542162.14</v>
      </c>
      <c r="AV155" s="997"/>
      <c r="AW155" s="981">
        <f>+AW7</f>
        <v>57535.981999999996</v>
      </c>
      <c r="AX155" s="998"/>
      <c r="AY155" s="983">
        <f>+AY7</f>
        <v>599698.12199999997</v>
      </c>
      <c r="AZ155" s="997"/>
      <c r="BA155" s="981">
        <f>+BA7</f>
        <v>67044.626999999993</v>
      </c>
      <c r="BB155" s="999"/>
      <c r="BC155" s="1000">
        <f>+BC7</f>
        <v>184822.15599999999</v>
      </c>
      <c r="BD155" s="5391"/>
      <c r="BE155" s="5392">
        <f>+BE7</f>
        <v>325977.57900000003</v>
      </c>
      <c r="BF155" s="998"/>
      <c r="BG155" s="1004">
        <f>+BG7</f>
        <v>666742.74899999995</v>
      </c>
      <c r="BH155" s="4234">
        <f t="shared" si="124"/>
        <v>0</v>
      </c>
      <c r="BI155" s="4234">
        <f t="shared" si="125"/>
        <v>0</v>
      </c>
      <c r="BJ155" s="25"/>
      <c r="BK155" s="25">
        <f t="shared" si="126"/>
        <v>0</v>
      </c>
      <c r="BL155" s="25">
        <f t="shared" si="127"/>
        <v>0</v>
      </c>
      <c r="BM155" s="25"/>
      <c r="BN155" s="1137"/>
    </row>
    <row r="156" spans="1:66" ht="30" x14ac:dyDescent="0.25">
      <c r="B156" s="5393" t="s">
        <v>796</v>
      </c>
      <c r="C156" s="5387"/>
      <c r="D156" s="5387"/>
      <c r="E156" s="5171" t="s">
        <v>50</v>
      </c>
      <c r="F156" s="5382"/>
      <c r="G156" s="5233">
        <f>+G149</f>
        <v>1466.9290000000005</v>
      </c>
      <c r="H156" s="5382"/>
      <c r="I156" s="5233">
        <f>+I149</f>
        <v>1565.9699999999998</v>
      </c>
      <c r="J156" s="5383"/>
      <c r="K156" s="5378">
        <f>+K149</f>
        <v>3032.8990000000003</v>
      </c>
      <c r="L156" s="5382"/>
      <c r="M156" s="5233">
        <f>+M149</f>
        <v>1569.3049999999996</v>
      </c>
      <c r="N156" s="5384"/>
      <c r="O156" s="5379">
        <f>+O149</f>
        <v>4602.2039999999997</v>
      </c>
      <c r="P156" s="5382"/>
      <c r="Q156" s="5233">
        <f>+Q149</f>
        <v>1560.8895999999995</v>
      </c>
      <c r="R156" s="5383"/>
      <c r="S156" s="5378">
        <f>+S149</f>
        <v>6163.0935999999992</v>
      </c>
      <c r="T156" s="5382"/>
      <c r="U156" s="5233">
        <f>+U149</f>
        <v>1348.9549999999999</v>
      </c>
      <c r="V156" s="5383"/>
      <c r="W156" s="5378">
        <f>+W149</f>
        <v>7512.0486000000001</v>
      </c>
      <c r="X156" s="5382"/>
      <c r="Y156" s="5233">
        <f>+Y149</f>
        <v>1377.24</v>
      </c>
      <c r="Z156" s="5384"/>
      <c r="AA156" s="5379">
        <f>+AA149</f>
        <v>4287.0845999999992</v>
      </c>
      <c r="AB156" s="5385"/>
      <c r="AC156" s="5380">
        <f>+AC149</f>
        <v>8889.2885999999999</v>
      </c>
      <c r="AD156" s="5382"/>
      <c r="AE156" s="5233">
        <f>+AE149</f>
        <v>963.50199999999973</v>
      </c>
      <c r="AF156" s="5383"/>
      <c r="AG156" s="5378">
        <f>+AG149</f>
        <v>9852.7905999999984</v>
      </c>
      <c r="AH156" s="5382"/>
      <c r="AI156" s="5233">
        <f>+AI149</f>
        <v>1542.2539999999997</v>
      </c>
      <c r="AJ156" s="5383"/>
      <c r="AK156" s="5378">
        <f>+AK149</f>
        <v>11395.044599999997</v>
      </c>
      <c r="AL156" s="5382"/>
      <c r="AM156" s="5233">
        <f>+AM149</f>
        <v>1671.2379999999994</v>
      </c>
      <c r="AN156" s="5384"/>
      <c r="AO156" s="5379">
        <f>+AO149</f>
        <v>4176.9939999999988</v>
      </c>
      <c r="AP156" s="5383"/>
      <c r="AQ156" s="5378">
        <f>+AQ149</f>
        <v>13066.282599999999</v>
      </c>
      <c r="AR156" s="5382"/>
      <c r="AS156" s="5233">
        <f>+AS149</f>
        <v>1548.7090000000014</v>
      </c>
      <c r="AT156" s="5383"/>
      <c r="AU156" s="5378">
        <f>+AU149</f>
        <v>14614.991600000001</v>
      </c>
      <c r="AV156" s="5382"/>
      <c r="AW156" s="5233">
        <f>+AW149</f>
        <v>1466.8949999999988</v>
      </c>
      <c r="AX156" s="5383"/>
      <c r="AY156" s="5378">
        <f>+AY149</f>
        <v>16081.886599999998</v>
      </c>
      <c r="AZ156" s="5382"/>
      <c r="BA156" s="5233">
        <f>+BA149</f>
        <v>1719.3119999999913</v>
      </c>
      <c r="BB156" s="5384"/>
      <c r="BC156" s="5379">
        <f>+BC149</f>
        <v>4734.9159999999911</v>
      </c>
      <c r="BD156" s="5386"/>
      <c r="BE156" s="5381">
        <f>+BE149</f>
        <v>8911.9099999999889</v>
      </c>
      <c r="BF156" s="5383"/>
      <c r="BG156" s="5394">
        <f>+BG149</f>
        <v>17801.198599999989</v>
      </c>
      <c r="BH156" s="4234">
        <f t="shared" si="124"/>
        <v>0</v>
      </c>
      <c r="BI156" s="4234">
        <f t="shared" si="125"/>
        <v>0</v>
      </c>
      <c r="BJ156" s="25"/>
      <c r="BK156" s="25">
        <f t="shared" si="126"/>
        <v>0</v>
      </c>
      <c r="BL156" s="25">
        <f t="shared" si="127"/>
        <v>0</v>
      </c>
      <c r="BM156" s="25"/>
      <c r="BN156" s="1137"/>
    </row>
    <row r="157" spans="1:66" x14ac:dyDescent="0.25">
      <c r="B157" s="5395" t="s">
        <v>768</v>
      </c>
      <c r="C157" s="5377"/>
      <c r="D157" s="5377"/>
      <c r="E157" s="5171" t="s">
        <v>50</v>
      </c>
      <c r="F157" s="5382"/>
      <c r="G157" s="5233">
        <f>+G152</f>
        <v>836.92700000000002</v>
      </c>
      <c r="H157" s="5382"/>
      <c r="I157" s="5233">
        <f>+I152</f>
        <v>1166.4859999999996</v>
      </c>
      <c r="J157" s="5383"/>
      <c r="K157" s="5378">
        <f>+K152</f>
        <v>2003.4129999999996</v>
      </c>
      <c r="L157" s="5382"/>
      <c r="M157" s="5233">
        <f>+M152</f>
        <v>1204.0310000000004</v>
      </c>
      <c r="N157" s="5384"/>
      <c r="O157" s="5379">
        <f>+O152</f>
        <v>3207.444</v>
      </c>
      <c r="P157" s="5382"/>
      <c r="Q157" s="5233">
        <f>+Q152</f>
        <v>1118.3079999999998</v>
      </c>
      <c r="R157" s="5383"/>
      <c r="S157" s="5378">
        <f>+S152</f>
        <v>4325.7519999999995</v>
      </c>
      <c r="T157" s="5382"/>
      <c r="U157" s="5233">
        <f>+U152</f>
        <v>907.54300000000012</v>
      </c>
      <c r="V157" s="5383"/>
      <c r="W157" s="5378">
        <f>+W152</f>
        <v>5233.2950000000001</v>
      </c>
      <c r="X157" s="5382"/>
      <c r="Y157" s="5233">
        <f>+Y152</f>
        <v>976.91400000000021</v>
      </c>
      <c r="Z157" s="5384"/>
      <c r="AA157" s="5379">
        <f>+AA152</f>
        <v>3002.7650000000003</v>
      </c>
      <c r="AB157" s="5385"/>
      <c r="AC157" s="5380">
        <f>+AC152</f>
        <v>6210.2090000000007</v>
      </c>
      <c r="AD157" s="5382"/>
      <c r="AE157" s="5233">
        <f>+AE152</f>
        <v>515.43199999999979</v>
      </c>
      <c r="AF157" s="5383"/>
      <c r="AG157" s="5378">
        <f>+AG152</f>
        <v>6725.6410000000005</v>
      </c>
      <c r="AH157" s="5382"/>
      <c r="AI157" s="5233">
        <f>+AI152</f>
        <v>890.24199999999996</v>
      </c>
      <c r="AJ157" s="5383"/>
      <c r="AK157" s="5378">
        <f>+AK152</f>
        <v>7615.8830000000007</v>
      </c>
      <c r="AL157" s="5382"/>
      <c r="AM157" s="5233">
        <f>+AM152</f>
        <v>964.4580000000002</v>
      </c>
      <c r="AN157" s="5384"/>
      <c r="AO157" s="5379">
        <f>+AO152</f>
        <v>2370.1320000000001</v>
      </c>
      <c r="AP157" s="5383"/>
      <c r="AQ157" s="5378">
        <f>+AQ152</f>
        <v>8580.3410000000003</v>
      </c>
      <c r="AR157" s="5382"/>
      <c r="AS157" s="5233">
        <f>+AS152</f>
        <v>1009.8730000000003</v>
      </c>
      <c r="AT157" s="5383"/>
      <c r="AU157" s="5378">
        <f>+AU152</f>
        <v>9590.2139999999999</v>
      </c>
      <c r="AV157" s="5382"/>
      <c r="AW157" s="5233">
        <f>+AW152</f>
        <v>898.08999999999992</v>
      </c>
      <c r="AX157" s="5383"/>
      <c r="AY157" s="5378">
        <f>+AY152</f>
        <v>10488.304</v>
      </c>
      <c r="AZ157" s="5382"/>
      <c r="BA157" s="5233">
        <f>+BA152</f>
        <v>1001.3320000000001</v>
      </c>
      <c r="BB157" s="5384"/>
      <c r="BC157" s="5379">
        <f>+BC152</f>
        <v>2909.2950000000001</v>
      </c>
      <c r="BD157" s="5386"/>
      <c r="BE157" s="5381">
        <f>+BE152</f>
        <v>5279.4269999999997</v>
      </c>
      <c r="BF157" s="5383"/>
      <c r="BG157" s="5394">
        <f>+BG152</f>
        <v>11489.636</v>
      </c>
      <c r="BH157" s="4234">
        <f t="shared" si="124"/>
        <v>0</v>
      </c>
      <c r="BI157" s="4234">
        <f t="shared" si="125"/>
        <v>0</v>
      </c>
      <c r="BJ157" s="25"/>
      <c r="BK157" s="25">
        <f t="shared" si="126"/>
        <v>0</v>
      </c>
      <c r="BL157" s="25">
        <f t="shared" si="127"/>
        <v>0</v>
      </c>
      <c r="BM157" s="25"/>
      <c r="BN157" s="1137"/>
    </row>
    <row r="158" spans="1:66" x14ac:dyDescent="0.25">
      <c r="B158" s="5395" t="s">
        <v>1049</v>
      </c>
      <c r="C158" s="5377"/>
      <c r="D158" s="5377"/>
      <c r="E158" s="5171" t="s">
        <v>50</v>
      </c>
      <c r="F158" s="5377"/>
      <c r="G158" s="5233">
        <f>+G153</f>
        <v>853.49200000000019</v>
      </c>
      <c r="H158" s="5377"/>
      <c r="I158" s="5233">
        <f>+I153</f>
        <v>644.9369999999999</v>
      </c>
      <c r="J158" s="5388"/>
      <c r="K158" s="5241">
        <f>+G158+I158</f>
        <v>1498.4290000000001</v>
      </c>
      <c r="L158" s="5377"/>
      <c r="M158" s="5233">
        <f>+M153</f>
        <v>638.04100000000005</v>
      </c>
      <c r="N158" s="5389"/>
      <c r="O158" s="5249">
        <f>+G158+I158+M158</f>
        <v>2136.4700000000003</v>
      </c>
      <c r="P158" s="5377"/>
      <c r="Q158" s="5233">
        <f>+Q153</f>
        <v>699.32739999999978</v>
      </c>
      <c r="R158" s="5388"/>
      <c r="S158" s="5241">
        <f>+O158+Q158</f>
        <v>2835.7973999999999</v>
      </c>
      <c r="T158" s="5377"/>
      <c r="U158" s="5233">
        <f>+U153</f>
        <v>508.57100000000008</v>
      </c>
      <c r="V158" s="5388"/>
      <c r="W158" s="5241">
        <f>+S158+U158</f>
        <v>3344.3683999999998</v>
      </c>
      <c r="X158" s="5377"/>
      <c r="Y158" s="5233">
        <f>+Y153</f>
        <v>614.12900000000002</v>
      </c>
      <c r="Z158" s="5389"/>
      <c r="AA158" s="5249">
        <f>+Q158+U158+Y158</f>
        <v>1822.0273999999999</v>
      </c>
      <c r="AB158" s="5359"/>
      <c r="AC158" s="5360">
        <f>+AA158+O158</f>
        <v>3958.4974000000002</v>
      </c>
      <c r="AD158" s="5377"/>
      <c r="AE158" s="5233">
        <f>+AE153</f>
        <v>437.12600000000003</v>
      </c>
      <c r="AF158" s="5388"/>
      <c r="AG158" s="5241">
        <f>+AC158+AE158</f>
        <v>4395.6234000000004</v>
      </c>
      <c r="AH158" s="5377"/>
      <c r="AI158" s="5233">
        <f>+AI153</f>
        <v>682.73799999999983</v>
      </c>
      <c r="AJ158" s="5388"/>
      <c r="AK158" s="5241">
        <f>+AG158+AI158</f>
        <v>5078.3613999999998</v>
      </c>
      <c r="AL158" s="5377"/>
      <c r="AM158" s="5233">
        <f>+AM153</f>
        <v>735.96199999999988</v>
      </c>
      <c r="AN158" s="5389"/>
      <c r="AO158" s="5249">
        <f>+AE158+AI158+AM158</f>
        <v>1855.8259999999996</v>
      </c>
      <c r="AP158" s="5388"/>
      <c r="AQ158" s="5241">
        <f t="shared" ref="AQ158" si="191">AK158+AM158</f>
        <v>5814.3233999999993</v>
      </c>
      <c r="AR158" s="5377"/>
      <c r="AS158" s="5233">
        <f>+AS153</f>
        <v>800.71699999999998</v>
      </c>
      <c r="AT158" s="5388"/>
      <c r="AU158" s="5241">
        <f>+AQ158+AS158</f>
        <v>6615.040399999999</v>
      </c>
      <c r="AV158" s="5377"/>
      <c r="AW158" s="5233">
        <f>+AW153</f>
        <v>838.3889999999999</v>
      </c>
      <c r="AX158" s="5388"/>
      <c r="AY158" s="5241">
        <f>+AU158+AW158</f>
        <v>7453.4293999999991</v>
      </c>
      <c r="AZ158" s="5377"/>
      <c r="BA158" s="5233">
        <f>+BA153</f>
        <v>1029.347</v>
      </c>
      <c r="BB158" s="5389"/>
      <c r="BC158" s="5249">
        <f>+AS158+AW158+BA158</f>
        <v>2668.4529999999995</v>
      </c>
      <c r="BD158" s="5361"/>
      <c r="BE158" s="5362">
        <f>+BC158+AO158</f>
        <v>4524.2789999999986</v>
      </c>
      <c r="BF158" s="5388"/>
      <c r="BG158" s="5174">
        <f>+AY158+BA158</f>
        <v>8482.7763999999988</v>
      </c>
      <c r="BH158" s="4234">
        <f t="shared" si="124"/>
        <v>0</v>
      </c>
      <c r="BI158" s="4234">
        <f t="shared" si="125"/>
        <v>0</v>
      </c>
      <c r="BJ158" s="25"/>
      <c r="BK158" s="25">
        <f t="shared" si="126"/>
        <v>0</v>
      </c>
      <c r="BL158" s="25">
        <f t="shared" si="127"/>
        <v>0</v>
      </c>
      <c r="BM158" s="25"/>
      <c r="BN158" s="1137"/>
    </row>
    <row r="159" spans="1:66" x14ac:dyDescent="0.25">
      <c r="B159" s="5395" t="s">
        <v>794</v>
      </c>
      <c r="C159" s="5377"/>
      <c r="D159" s="5377"/>
      <c r="E159" s="5171" t="s">
        <v>50</v>
      </c>
      <c r="F159" s="5382"/>
      <c r="G159" s="5233">
        <f>+G121</f>
        <v>52732.112000000001</v>
      </c>
      <c r="H159" s="5382"/>
      <c r="I159" s="5233">
        <f>+I121</f>
        <v>57592.384000000013</v>
      </c>
      <c r="J159" s="5383"/>
      <c r="K159" s="5378">
        <f>+K121</f>
        <v>106139.76300000005</v>
      </c>
      <c r="L159" s="5382"/>
      <c r="M159" s="5233">
        <f>+M121</f>
        <v>58809.43299999999</v>
      </c>
      <c r="N159" s="5384"/>
      <c r="O159" s="5379">
        <f>+O121</f>
        <v>167304.37499999997</v>
      </c>
      <c r="P159" s="5382"/>
      <c r="Q159" s="5233">
        <f>+Q121</f>
        <v>57582.287000000004</v>
      </c>
      <c r="R159" s="5383"/>
      <c r="S159" s="5378">
        <f>+S121</f>
        <v>223627.79599999994</v>
      </c>
      <c r="T159" s="5382"/>
      <c r="U159" s="5233">
        <f>+U121</f>
        <v>44755.652999999991</v>
      </c>
      <c r="V159" s="5383"/>
      <c r="W159" s="5378">
        <f>+W121</f>
        <v>268383.44899999996</v>
      </c>
      <c r="X159" s="5382"/>
      <c r="Y159" s="5233">
        <f>+Y121</f>
        <v>50235.30599999999</v>
      </c>
      <c r="Z159" s="5384"/>
      <c r="AA159" s="5379">
        <f>+AA121</f>
        <v>152573.24599999998</v>
      </c>
      <c r="AB159" s="5385"/>
      <c r="AC159" s="5380">
        <f>+AC121</f>
        <v>319877.62100000004</v>
      </c>
      <c r="AD159" s="5382"/>
      <c r="AE159" s="5233">
        <f>+AE121</f>
        <v>29919.527000000009</v>
      </c>
      <c r="AF159" s="5383"/>
      <c r="AG159" s="5378">
        <f>+AG121</f>
        <v>349797.14800000004</v>
      </c>
      <c r="AH159" s="5382"/>
      <c r="AI159" s="5233">
        <f>+AI121</f>
        <v>49443.88400000002</v>
      </c>
      <c r="AJ159" s="5383"/>
      <c r="AK159" s="5378">
        <f>+AK121</f>
        <v>399241.03199999995</v>
      </c>
      <c r="AL159" s="5382"/>
      <c r="AM159" s="5233">
        <f>+AM121</f>
        <v>53389.06</v>
      </c>
      <c r="AN159" s="5384"/>
      <c r="AO159" s="5379">
        <f>+AO121</f>
        <v>132752.47099999993</v>
      </c>
      <c r="AP159" s="5383"/>
      <c r="AQ159" s="5378">
        <f>+AQ121</f>
        <v>452630.092</v>
      </c>
      <c r="AR159" s="5382"/>
      <c r="AS159" s="5233">
        <f>+AS121</f>
        <v>56882.247999999992</v>
      </c>
      <c r="AT159" s="5383"/>
      <c r="AU159" s="5378">
        <f>+AU121</f>
        <v>509512.34000000014</v>
      </c>
      <c r="AV159" s="5382"/>
      <c r="AW159" s="5233">
        <f>+AW121</f>
        <v>54332.608</v>
      </c>
      <c r="AX159" s="5383"/>
      <c r="AY159" s="5378">
        <f>+AY121</f>
        <v>563844.94799999986</v>
      </c>
      <c r="AZ159" s="5382"/>
      <c r="BA159" s="5233">
        <f>+BA121</f>
        <v>63294.635999999991</v>
      </c>
      <c r="BB159" s="5384"/>
      <c r="BC159" s="5379">
        <f>+BC121</f>
        <v>174509.49200000003</v>
      </c>
      <c r="BD159" s="5386"/>
      <c r="BE159" s="5381">
        <f>+BE121</f>
        <v>307261.96300000005</v>
      </c>
      <c r="BF159" s="5383"/>
      <c r="BG159" s="5394">
        <f>+BG121</f>
        <v>627139.58399999945</v>
      </c>
      <c r="BH159" s="4234">
        <f t="shared" si="124"/>
        <v>0</v>
      </c>
      <c r="BI159" s="4234">
        <f t="shared" si="125"/>
        <v>1829.5540000004694</v>
      </c>
      <c r="BJ159" s="25"/>
      <c r="BK159" s="25">
        <f t="shared" si="126"/>
        <v>0</v>
      </c>
      <c r="BL159" s="25">
        <f t="shared" si="127"/>
        <v>0</v>
      </c>
      <c r="BM159" s="25"/>
      <c r="BN159" s="1137"/>
    </row>
    <row r="160" spans="1:66" x14ac:dyDescent="0.25">
      <c r="B160" s="5395" t="s">
        <v>792</v>
      </c>
      <c r="C160" s="5377"/>
      <c r="D160" s="5377"/>
      <c r="E160" s="5171" t="s">
        <v>50</v>
      </c>
      <c r="F160" s="5382"/>
      <c r="G160" s="5233">
        <f>+G123</f>
        <v>215.98000000000002</v>
      </c>
      <c r="H160" s="5382"/>
      <c r="I160" s="5233">
        <f>+I123</f>
        <v>373.24</v>
      </c>
      <c r="J160" s="5383"/>
      <c r="K160" s="5378">
        <f>+K123</f>
        <v>588.61</v>
      </c>
      <c r="L160" s="5382"/>
      <c r="M160" s="5233">
        <f>+M123</f>
        <v>134.80000000000001</v>
      </c>
      <c r="N160" s="5384"/>
      <c r="O160" s="5379">
        <f>+O123</f>
        <v>724.02</v>
      </c>
      <c r="P160" s="5382"/>
      <c r="Q160" s="5233">
        <f>+Q123</f>
        <v>254.89999999999998</v>
      </c>
      <c r="R160" s="5383"/>
      <c r="S160" s="5378">
        <f>+S123</f>
        <v>978.31000000000006</v>
      </c>
      <c r="T160" s="5382"/>
      <c r="U160" s="5233">
        <f>+U123</f>
        <v>349.35999999999996</v>
      </c>
      <c r="V160" s="5383"/>
      <c r="W160" s="5378">
        <f>+W123</f>
        <v>1327.67</v>
      </c>
      <c r="X160" s="5382"/>
      <c r="Y160" s="5233">
        <f>+Y123</f>
        <v>238.58999999999997</v>
      </c>
      <c r="Z160" s="5384"/>
      <c r="AA160" s="5379">
        <f>+AA123</f>
        <v>842.85</v>
      </c>
      <c r="AB160" s="5385"/>
      <c r="AC160" s="5380">
        <f>+AC123</f>
        <v>1566.87</v>
      </c>
      <c r="AD160" s="5382"/>
      <c r="AE160" s="5233">
        <f>+AE123</f>
        <v>259.63000000000005</v>
      </c>
      <c r="AF160" s="5383"/>
      <c r="AG160" s="5378">
        <f>+AG123</f>
        <v>1826.4999999999998</v>
      </c>
      <c r="AH160" s="5382"/>
      <c r="AI160" s="5233">
        <f>+AI123</f>
        <v>383.84000000000003</v>
      </c>
      <c r="AJ160" s="5383"/>
      <c r="AK160" s="5378">
        <f>+AK123</f>
        <v>2210.3399999999997</v>
      </c>
      <c r="AL160" s="5382"/>
      <c r="AM160" s="5233">
        <f>+AM123</f>
        <v>401.87999999999994</v>
      </c>
      <c r="AN160" s="5384"/>
      <c r="AO160" s="5379">
        <f>+AO123</f>
        <v>1045.3499999999999</v>
      </c>
      <c r="AP160" s="5383"/>
      <c r="AQ160" s="5378">
        <f>+AQ123</f>
        <v>2612.2199999999998</v>
      </c>
      <c r="AR160" s="5382"/>
      <c r="AS160" s="5233">
        <f>+AS123</f>
        <v>712.26999999999987</v>
      </c>
      <c r="AT160" s="5383"/>
      <c r="AU160" s="5378">
        <f>+AU123</f>
        <v>3324.4900000000002</v>
      </c>
      <c r="AV160" s="5382"/>
      <c r="AW160" s="5233">
        <f>+AW123</f>
        <v>53.21</v>
      </c>
      <c r="AX160" s="5383"/>
      <c r="AY160" s="5378">
        <f>+AY123</f>
        <v>3377.6999999999994</v>
      </c>
      <c r="AZ160" s="5382"/>
      <c r="BA160" s="5233">
        <f>+BA123</f>
        <v>174.48999999999998</v>
      </c>
      <c r="BB160" s="5384"/>
      <c r="BC160" s="5379">
        <f>+BC123</f>
        <v>939.96999999999991</v>
      </c>
      <c r="BD160" s="5386"/>
      <c r="BE160" s="5381">
        <f>+BE123</f>
        <v>1985.3200000000004</v>
      </c>
      <c r="BF160" s="5383"/>
      <c r="BG160" s="5394">
        <f>+BG123</f>
        <v>3552.19</v>
      </c>
      <c r="BH160" s="4234">
        <f t="shared" si="124"/>
        <v>0</v>
      </c>
      <c r="BI160" s="4234">
        <f t="shared" si="125"/>
        <v>0</v>
      </c>
      <c r="BJ160" s="25"/>
      <c r="BK160" s="25">
        <f t="shared" si="126"/>
        <v>0</v>
      </c>
      <c r="BL160" s="25">
        <f t="shared" si="127"/>
        <v>0</v>
      </c>
      <c r="BM160" s="25"/>
      <c r="BN160" s="1137"/>
    </row>
    <row r="161" spans="2:64" ht="15.75" thickBot="1" x14ac:dyDescent="0.3">
      <c r="B161" s="5396" t="s">
        <v>1496</v>
      </c>
      <c r="C161" s="5397"/>
      <c r="D161" s="5397"/>
      <c r="E161" s="5184" t="s">
        <v>50</v>
      </c>
      <c r="F161" s="5398"/>
      <c r="G161" s="5399">
        <f>+G159-G160</f>
        <v>52516.131999999998</v>
      </c>
      <c r="H161" s="5398"/>
      <c r="I161" s="5399">
        <f>+I159-I160</f>
        <v>57219.144000000015</v>
      </c>
      <c r="J161" s="5400"/>
      <c r="K161" s="5401">
        <f>+K159-K160</f>
        <v>105551.15300000005</v>
      </c>
      <c r="L161" s="5398"/>
      <c r="M161" s="5399">
        <f>+M159-M160</f>
        <v>58674.632999999987</v>
      </c>
      <c r="N161" s="5402"/>
      <c r="O161" s="5403">
        <f>+O159-O160</f>
        <v>166580.35499999998</v>
      </c>
      <c r="P161" s="5398"/>
      <c r="Q161" s="5399">
        <f>+Q159-Q160</f>
        <v>57327.387000000002</v>
      </c>
      <c r="R161" s="5400"/>
      <c r="S161" s="5401">
        <f>+S159-S160</f>
        <v>222649.48599999995</v>
      </c>
      <c r="T161" s="5398"/>
      <c r="U161" s="5399">
        <f>+U159-U160</f>
        <v>44406.292999999991</v>
      </c>
      <c r="V161" s="5400"/>
      <c r="W161" s="5401">
        <f>+W159-W160</f>
        <v>267055.77899999998</v>
      </c>
      <c r="X161" s="5398"/>
      <c r="Y161" s="5399">
        <f>+Y159-Y160</f>
        <v>49996.715999999993</v>
      </c>
      <c r="Z161" s="5402"/>
      <c r="AA161" s="5403">
        <f>+AA159-AA160</f>
        <v>151730.39599999998</v>
      </c>
      <c r="AB161" s="5404"/>
      <c r="AC161" s="5405">
        <f>+AC159-AC160</f>
        <v>318310.75100000005</v>
      </c>
      <c r="AD161" s="5398"/>
      <c r="AE161" s="5399">
        <f>+AE159-AE160</f>
        <v>29659.897000000008</v>
      </c>
      <c r="AF161" s="5400"/>
      <c r="AG161" s="5401">
        <f>+AG159-AG160</f>
        <v>347970.64800000004</v>
      </c>
      <c r="AH161" s="5398"/>
      <c r="AI161" s="5399">
        <f>+AI159-AI160</f>
        <v>49060.044000000024</v>
      </c>
      <c r="AJ161" s="5400"/>
      <c r="AK161" s="5401">
        <f>+AK159-AK160</f>
        <v>397030.69199999992</v>
      </c>
      <c r="AL161" s="5398"/>
      <c r="AM161" s="5399">
        <f>+AM159-AM160</f>
        <v>52987.18</v>
      </c>
      <c r="AN161" s="5402"/>
      <c r="AO161" s="5403">
        <f>+AO159-AO160</f>
        <v>131707.12099999993</v>
      </c>
      <c r="AP161" s="5400"/>
      <c r="AQ161" s="5401">
        <f>+AQ159-AQ160</f>
        <v>450017.87200000003</v>
      </c>
      <c r="AR161" s="5398"/>
      <c r="AS161" s="5399">
        <f>+AS159-AS160</f>
        <v>56169.977999999996</v>
      </c>
      <c r="AT161" s="5400"/>
      <c r="AU161" s="5401">
        <f>+AU159-AU160</f>
        <v>506187.85000000015</v>
      </c>
      <c r="AV161" s="5398"/>
      <c r="AW161" s="5399">
        <f>+AW159-AW160</f>
        <v>54279.398000000001</v>
      </c>
      <c r="AX161" s="5400"/>
      <c r="AY161" s="5401">
        <f>+AY159-AY160</f>
        <v>560467.24799999991</v>
      </c>
      <c r="AZ161" s="5398"/>
      <c r="BA161" s="5399">
        <f>+BA159-BA160</f>
        <v>63120.145999999993</v>
      </c>
      <c r="BB161" s="5402"/>
      <c r="BC161" s="5403">
        <f>+BC159-BC160</f>
        <v>173569.52200000003</v>
      </c>
      <c r="BD161" s="5406"/>
      <c r="BE161" s="5407">
        <f>+BE159-BE160</f>
        <v>305276.64300000004</v>
      </c>
      <c r="BF161" s="5400"/>
      <c r="BG161" s="5408">
        <f>+BG159-BG160</f>
        <v>623587.39399999951</v>
      </c>
      <c r="BH161" s="4234">
        <f t="shared" si="124"/>
        <v>0</v>
      </c>
      <c r="BI161" s="4234">
        <f t="shared" si="125"/>
        <v>1829.5540000004694</v>
      </c>
      <c r="BJ161" s="25"/>
      <c r="BK161" s="25">
        <f t="shared" si="126"/>
        <v>0</v>
      </c>
      <c r="BL161" s="25">
        <f t="shared" si="127"/>
        <v>0</v>
      </c>
    </row>
    <row r="162" spans="2:64" x14ac:dyDescent="0.25"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144"/>
      <c r="BC162" s="144"/>
      <c r="BD162" s="144"/>
      <c r="BE162" s="144"/>
      <c r="BF162" s="144"/>
      <c r="BG162" s="144"/>
      <c r="BH162" s="4234">
        <f t="shared" si="124"/>
        <v>0</v>
      </c>
      <c r="BI162" s="4234">
        <f t="shared" si="125"/>
        <v>0</v>
      </c>
      <c r="BJ162" s="25"/>
      <c r="BK162" s="25">
        <f t="shared" si="126"/>
        <v>0</v>
      </c>
      <c r="BL162" s="25">
        <f t="shared" si="127"/>
        <v>0</v>
      </c>
    </row>
    <row r="163" spans="2:64" x14ac:dyDescent="0.25">
      <c r="H163" s="3115"/>
      <c r="I163" s="3115"/>
      <c r="L163" s="3130"/>
      <c r="M163" s="4487"/>
      <c r="P163" s="4233"/>
      <c r="Q163" s="4233"/>
      <c r="T163" s="4487"/>
      <c r="U163" s="4487"/>
      <c r="V163" s="4233"/>
      <c r="W163" s="4233"/>
      <c r="X163" s="4487"/>
      <c r="Y163" s="4487"/>
      <c r="AF163" s="2444"/>
      <c r="AG163" s="2444"/>
      <c r="AH163" s="4487"/>
      <c r="AI163" s="4487"/>
      <c r="AJ163" s="4487"/>
      <c r="AK163" s="4487"/>
      <c r="AL163" s="4487"/>
      <c r="AM163" s="4487"/>
      <c r="AN163" s="2551"/>
      <c r="AO163" s="2551"/>
      <c r="AP163" s="2551"/>
      <c r="AQ163" s="2551"/>
      <c r="AR163" s="4487"/>
      <c r="AS163" s="4487"/>
      <c r="AT163" s="2608"/>
      <c r="AU163" s="2608"/>
      <c r="AV163" s="4487"/>
      <c r="AW163" s="4487"/>
      <c r="AX163" s="4487"/>
      <c r="AY163" s="4487"/>
      <c r="AZ163" s="4487"/>
      <c r="BA163" s="4487"/>
      <c r="BF163" s="2819"/>
      <c r="BG163" s="2819"/>
      <c r="BH163" s="1137"/>
      <c r="BI163" s="25"/>
      <c r="BJ163" s="25"/>
      <c r="BK163" s="25"/>
      <c r="BL163" s="25"/>
    </row>
    <row r="164" spans="2:64" s="4487" customFormat="1" x14ac:dyDescent="0.25">
      <c r="BH164" s="1137"/>
      <c r="BI164" s="25"/>
      <c r="BJ164" s="25"/>
      <c r="BK164" s="25"/>
      <c r="BL164" s="25"/>
    </row>
    <row r="165" spans="2:64" x14ac:dyDescent="0.25">
      <c r="M165" s="4487"/>
      <c r="T165" s="4487"/>
      <c r="U165" s="4487"/>
      <c r="X165" s="4487"/>
      <c r="Y165" s="4487"/>
      <c r="AL165" s="4487"/>
      <c r="AM165" s="4487"/>
      <c r="AR165" s="25"/>
      <c r="AS165" s="25"/>
      <c r="AT165" s="25"/>
      <c r="AU165" s="25"/>
      <c r="AV165" s="25"/>
      <c r="AW165" s="25"/>
    </row>
    <row r="166" spans="2:64" x14ac:dyDescent="0.25">
      <c r="M166" s="4487"/>
      <c r="T166" s="4487"/>
      <c r="U166" s="4487"/>
      <c r="X166" s="4487"/>
      <c r="Y166" s="4487"/>
      <c r="AL166" s="4487"/>
      <c r="AM166" s="4487"/>
    </row>
    <row r="167" spans="2:64" x14ac:dyDescent="0.25">
      <c r="M167" s="4487"/>
      <c r="T167" s="4487"/>
      <c r="U167" s="4487"/>
      <c r="X167" s="4487"/>
      <c r="Y167" s="4487"/>
      <c r="AL167" s="4487"/>
      <c r="AM167" s="4487"/>
    </row>
    <row r="168" spans="2:64" x14ac:dyDescent="0.25">
      <c r="M168" s="4487"/>
      <c r="T168" s="4487"/>
      <c r="U168" s="4487"/>
      <c r="X168" s="4487"/>
      <c r="Y168" s="4487"/>
      <c r="AL168" s="4487"/>
      <c r="AM168" s="4487"/>
    </row>
    <row r="169" spans="2:64" x14ac:dyDescent="0.25">
      <c r="M169" s="4487"/>
      <c r="T169" s="4487"/>
      <c r="U169" s="4487"/>
      <c r="X169" s="4487"/>
      <c r="Y169" s="4487"/>
      <c r="AL169" s="4487"/>
      <c r="AM169" s="4487"/>
    </row>
    <row r="170" spans="2:64" x14ac:dyDescent="0.25">
      <c r="M170" s="4487"/>
      <c r="T170" s="4487"/>
      <c r="U170" s="4487"/>
      <c r="X170" s="4487"/>
      <c r="Y170" s="4487"/>
      <c r="AL170" s="4487"/>
      <c r="AM170" s="4487"/>
    </row>
    <row r="171" spans="2:64" hidden="1" x14ac:dyDescent="0.25">
      <c r="B171" t="s">
        <v>1134</v>
      </c>
      <c r="G171" s="25">
        <f t="shared" ref="G171:AL171" si="192">+SUM(G8:G60)</f>
        <v>35833.332999999999</v>
      </c>
      <c r="H171" s="25">
        <f t="shared" si="192"/>
        <v>0</v>
      </c>
      <c r="I171" s="25">
        <f t="shared" si="192"/>
        <v>44993.633999999998</v>
      </c>
      <c r="J171" s="25">
        <f t="shared" si="192"/>
        <v>0</v>
      </c>
      <c r="K171" s="25">
        <f t="shared" si="192"/>
        <v>80614.874000000011</v>
      </c>
      <c r="L171" s="25">
        <f t="shared" si="192"/>
        <v>0</v>
      </c>
      <c r="M171" s="25">
        <f t="shared" si="192"/>
        <v>41676.830999999998</v>
      </c>
      <c r="N171" s="25">
        <f t="shared" si="192"/>
        <v>0</v>
      </c>
      <c r="O171" s="25">
        <f t="shared" si="192"/>
        <v>122291.70499999999</v>
      </c>
      <c r="P171" s="25">
        <f t="shared" si="192"/>
        <v>0</v>
      </c>
      <c r="Q171" s="25">
        <f t="shared" si="192"/>
        <v>39505.72800000001</v>
      </c>
      <c r="R171" s="25">
        <f t="shared" si="192"/>
        <v>0</v>
      </c>
      <c r="S171" s="25">
        <f t="shared" si="192"/>
        <v>161797.43299999999</v>
      </c>
      <c r="T171" s="25">
        <f t="shared" si="192"/>
        <v>0</v>
      </c>
      <c r="U171" s="25">
        <f t="shared" si="192"/>
        <v>30061.677999999996</v>
      </c>
      <c r="V171" s="25">
        <f t="shared" si="192"/>
        <v>0</v>
      </c>
      <c r="W171" s="25">
        <f t="shared" si="192"/>
        <v>191859.111</v>
      </c>
      <c r="X171" s="25">
        <f t="shared" si="192"/>
        <v>0</v>
      </c>
      <c r="Y171" s="25">
        <f t="shared" si="192"/>
        <v>32261.593999999997</v>
      </c>
      <c r="Z171" s="25">
        <f t="shared" si="192"/>
        <v>0</v>
      </c>
      <c r="AA171" s="25">
        <f t="shared" si="192"/>
        <v>101829</v>
      </c>
      <c r="AB171" s="25">
        <f t="shared" si="192"/>
        <v>0</v>
      </c>
      <c r="AC171" s="25">
        <f t="shared" si="192"/>
        <v>224120.70500000005</v>
      </c>
      <c r="AD171" s="25">
        <f t="shared" si="192"/>
        <v>0</v>
      </c>
      <c r="AE171" s="25">
        <f t="shared" si="192"/>
        <v>26347.059000000005</v>
      </c>
      <c r="AF171" s="25">
        <f t="shared" si="192"/>
        <v>0</v>
      </c>
      <c r="AG171" s="25">
        <f t="shared" si="192"/>
        <v>250467.76400000002</v>
      </c>
      <c r="AH171" s="25">
        <f t="shared" si="192"/>
        <v>0</v>
      </c>
      <c r="AI171" s="25">
        <f t="shared" si="192"/>
        <v>33174.987000000001</v>
      </c>
      <c r="AJ171" s="25">
        <f t="shared" si="192"/>
        <v>0</v>
      </c>
      <c r="AK171" s="25">
        <f t="shared" si="192"/>
        <v>283642.75100000011</v>
      </c>
      <c r="AL171" s="25">
        <f t="shared" si="192"/>
        <v>0</v>
      </c>
      <c r="AM171" s="25">
        <f t="shared" ref="AM171:BG171" si="193">+SUM(AM8:AM60)</f>
        <v>34992.377999999997</v>
      </c>
      <c r="AN171" s="25">
        <f t="shared" si="193"/>
        <v>0</v>
      </c>
      <c r="AO171" s="25">
        <f t="shared" si="193"/>
        <v>94514.423999999999</v>
      </c>
      <c r="AP171" s="25">
        <f t="shared" si="193"/>
        <v>0</v>
      </c>
      <c r="AQ171" s="25">
        <f t="shared" si="193"/>
        <v>318635.12900000013</v>
      </c>
      <c r="AR171" s="25">
        <f t="shared" si="193"/>
        <v>0</v>
      </c>
      <c r="AS171" s="25">
        <f t="shared" si="193"/>
        <v>35829.667000000001</v>
      </c>
      <c r="AT171" s="25">
        <f t="shared" si="193"/>
        <v>0</v>
      </c>
      <c r="AU171" s="25">
        <f t="shared" si="193"/>
        <v>354464.79600000003</v>
      </c>
      <c r="AV171" s="25">
        <f t="shared" si="193"/>
        <v>0</v>
      </c>
      <c r="AW171" s="25">
        <f t="shared" si="193"/>
        <v>43359.470999999998</v>
      </c>
      <c r="AX171" s="25">
        <f t="shared" si="193"/>
        <v>0</v>
      </c>
      <c r="AY171" s="25">
        <f t="shared" si="193"/>
        <v>397824.26699999999</v>
      </c>
      <c r="AZ171" s="25">
        <f t="shared" si="193"/>
        <v>0</v>
      </c>
      <c r="BA171" s="25">
        <f t="shared" si="193"/>
        <v>50048.392999999989</v>
      </c>
      <c r="BB171" s="25">
        <f t="shared" si="193"/>
        <v>0</v>
      </c>
      <c r="BC171" s="25">
        <f t="shared" si="193"/>
        <v>129237.531</v>
      </c>
      <c r="BD171" s="25">
        <f t="shared" si="193"/>
        <v>0</v>
      </c>
      <c r="BE171" s="25">
        <f t="shared" si="193"/>
        <v>223751.95500000005</v>
      </c>
      <c r="BF171" s="25">
        <f t="shared" si="193"/>
        <v>0</v>
      </c>
      <c r="BG171" s="25">
        <f t="shared" si="193"/>
        <v>447872.66</v>
      </c>
      <c r="BH171" s="25"/>
      <c r="BI171" s="25"/>
      <c r="BJ171" s="25"/>
    </row>
    <row r="172" spans="2:64" hidden="1" x14ac:dyDescent="0.25">
      <c r="B172" t="s">
        <v>1135</v>
      </c>
      <c r="G172" s="25">
        <f t="shared" ref="G172:AL172" si="194">+SUM(G61:G74)</f>
        <v>8136.5259999999989</v>
      </c>
      <c r="H172" s="25">
        <f t="shared" si="194"/>
        <v>0</v>
      </c>
      <c r="I172" s="25">
        <f t="shared" si="194"/>
        <v>5159.0289999999995</v>
      </c>
      <c r="J172" s="25">
        <f t="shared" si="194"/>
        <v>0</v>
      </c>
      <c r="K172" s="25">
        <f t="shared" si="194"/>
        <v>12199.241999999997</v>
      </c>
      <c r="L172" s="25">
        <f t="shared" si="194"/>
        <v>0</v>
      </c>
      <c r="M172" s="25">
        <f t="shared" si="194"/>
        <v>5963.7650000000003</v>
      </c>
      <c r="N172" s="25">
        <f t="shared" si="194"/>
        <v>0</v>
      </c>
      <c r="O172" s="25">
        <f t="shared" si="194"/>
        <v>19259.319999999996</v>
      </c>
      <c r="P172" s="25">
        <f t="shared" si="194"/>
        <v>0</v>
      </c>
      <c r="Q172" s="25">
        <f t="shared" si="194"/>
        <v>6848.3829999999998</v>
      </c>
      <c r="R172" s="25">
        <f t="shared" si="194"/>
        <v>0</v>
      </c>
      <c r="S172" s="25">
        <f t="shared" si="194"/>
        <v>26107.702999999994</v>
      </c>
      <c r="T172" s="25">
        <f t="shared" si="194"/>
        <v>0</v>
      </c>
      <c r="U172" s="25">
        <f t="shared" si="194"/>
        <v>1438.2529999999997</v>
      </c>
      <c r="V172" s="25">
        <f t="shared" si="194"/>
        <v>0</v>
      </c>
      <c r="W172" s="25">
        <f t="shared" si="194"/>
        <v>27545.955999999991</v>
      </c>
      <c r="X172" s="25">
        <f t="shared" si="194"/>
        <v>0</v>
      </c>
      <c r="Y172" s="25">
        <f t="shared" si="194"/>
        <v>5720.8829999999998</v>
      </c>
      <c r="Z172" s="25">
        <f t="shared" si="194"/>
        <v>0</v>
      </c>
      <c r="AA172" s="25">
        <f t="shared" si="194"/>
        <v>14007.519</v>
      </c>
      <c r="AB172" s="25">
        <f t="shared" si="194"/>
        <v>0</v>
      </c>
      <c r="AC172" s="25">
        <f t="shared" si="194"/>
        <v>33266.838999999993</v>
      </c>
      <c r="AD172" s="25">
        <f t="shared" si="194"/>
        <v>0</v>
      </c>
      <c r="AE172" s="25">
        <f t="shared" si="194"/>
        <v>0</v>
      </c>
      <c r="AF172" s="25">
        <f t="shared" si="194"/>
        <v>0</v>
      </c>
      <c r="AG172" s="25">
        <f t="shared" si="194"/>
        <v>33266.838999999993</v>
      </c>
      <c r="AH172" s="25">
        <f t="shared" si="194"/>
        <v>0</v>
      </c>
      <c r="AI172" s="25">
        <f t="shared" si="194"/>
        <v>6170.5360000000001</v>
      </c>
      <c r="AJ172" s="25">
        <f t="shared" si="194"/>
        <v>0</v>
      </c>
      <c r="AK172" s="25">
        <f t="shared" si="194"/>
        <v>39437.375</v>
      </c>
      <c r="AL172" s="25">
        <f t="shared" si="194"/>
        <v>0</v>
      </c>
      <c r="AM172" s="25">
        <f t="shared" ref="AM172:BG172" si="195">+SUM(AM61:AM74)</f>
        <v>4072.8229999999994</v>
      </c>
      <c r="AN172" s="25">
        <f t="shared" si="195"/>
        <v>0</v>
      </c>
      <c r="AO172" s="25">
        <f t="shared" si="195"/>
        <v>10243.358999999999</v>
      </c>
      <c r="AP172" s="25">
        <f t="shared" si="195"/>
        <v>0</v>
      </c>
      <c r="AQ172" s="25">
        <f t="shared" si="195"/>
        <v>43510.197999999997</v>
      </c>
      <c r="AR172" s="25">
        <f t="shared" si="195"/>
        <v>0</v>
      </c>
      <c r="AS172" s="25">
        <f t="shared" si="195"/>
        <v>5596.3930000000018</v>
      </c>
      <c r="AT172" s="25">
        <f t="shared" si="195"/>
        <v>0</v>
      </c>
      <c r="AU172" s="25">
        <f t="shared" si="195"/>
        <v>49106.591</v>
      </c>
      <c r="AV172" s="25">
        <f t="shared" si="195"/>
        <v>0</v>
      </c>
      <c r="AW172" s="25">
        <f t="shared" si="195"/>
        <v>3073.86</v>
      </c>
      <c r="AX172" s="25">
        <f t="shared" si="195"/>
        <v>0</v>
      </c>
      <c r="AY172" s="25">
        <f t="shared" si="195"/>
        <v>52180.450999999994</v>
      </c>
      <c r="AZ172" s="25">
        <f t="shared" si="195"/>
        <v>0</v>
      </c>
      <c r="BA172" s="25">
        <f t="shared" si="195"/>
        <v>4775.8689999999997</v>
      </c>
      <c r="BB172" s="25">
        <f t="shared" si="195"/>
        <v>0</v>
      </c>
      <c r="BC172" s="25">
        <f t="shared" si="195"/>
        <v>13446.121999999999</v>
      </c>
      <c r="BD172" s="25">
        <f t="shared" si="195"/>
        <v>0</v>
      </c>
      <c r="BE172" s="25">
        <f t="shared" si="195"/>
        <v>23689.481</v>
      </c>
      <c r="BF172" s="25">
        <f t="shared" si="195"/>
        <v>0</v>
      </c>
      <c r="BG172" s="25">
        <f t="shared" si="195"/>
        <v>56956.319999999992</v>
      </c>
      <c r="BH172" s="25"/>
      <c r="BI172" s="25"/>
      <c r="BJ172" s="25"/>
    </row>
    <row r="173" spans="2:64" hidden="1" x14ac:dyDescent="0.25">
      <c r="B173" t="s">
        <v>897</v>
      </c>
      <c r="G173" s="25">
        <f t="shared" ref="G173:AL173" si="196">+SUM(G91:G103)</f>
        <v>3735.1699999999992</v>
      </c>
      <c r="H173" s="25">
        <f t="shared" si="196"/>
        <v>0</v>
      </c>
      <c r="I173" s="25">
        <f t="shared" si="196"/>
        <v>7066.4809999999998</v>
      </c>
      <c r="J173" s="25">
        <f t="shared" si="196"/>
        <v>0</v>
      </c>
      <c r="K173" s="25">
        <f t="shared" si="196"/>
        <v>9543.3949999999986</v>
      </c>
      <c r="L173" s="25">
        <f t="shared" si="196"/>
        <v>0</v>
      </c>
      <c r="M173" s="25">
        <f t="shared" si="196"/>
        <v>6391.5139999999974</v>
      </c>
      <c r="N173" s="25">
        <f t="shared" si="196"/>
        <v>0</v>
      </c>
      <c r="O173" s="25">
        <f t="shared" si="196"/>
        <v>17193.164999999997</v>
      </c>
      <c r="P173" s="25">
        <f t="shared" si="196"/>
        <v>0</v>
      </c>
      <c r="Q173" s="25">
        <f t="shared" si="196"/>
        <v>8126.5689999999968</v>
      </c>
      <c r="R173" s="25">
        <f t="shared" si="196"/>
        <v>0</v>
      </c>
      <c r="S173" s="25">
        <f t="shared" si="196"/>
        <v>24061.477999999992</v>
      </c>
      <c r="T173" s="25">
        <f t="shared" si="196"/>
        <v>0</v>
      </c>
      <c r="U173" s="25">
        <f t="shared" si="196"/>
        <v>9825.4939999999988</v>
      </c>
      <c r="V173" s="25">
        <f t="shared" si="196"/>
        <v>0</v>
      </c>
      <c r="W173" s="25">
        <f t="shared" si="196"/>
        <v>33886.971999999987</v>
      </c>
      <c r="X173" s="25">
        <f t="shared" si="196"/>
        <v>0</v>
      </c>
      <c r="Y173" s="25">
        <f t="shared" si="196"/>
        <v>9271.39</v>
      </c>
      <c r="Z173" s="25">
        <f t="shared" si="196"/>
        <v>0</v>
      </c>
      <c r="AA173" s="25">
        <f t="shared" si="196"/>
        <v>27223.452999999994</v>
      </c>
      <c r="AB173" s="25">
        <f t="shared" si="196"/>
        <v>0</v>
      </c>
      <c r="AC173" s="25">
        <f t="shared" si="196"/>
        <v>44416.617999999995</v>
      </c>
      <c r="AD173" s="25">
        <f t="shared" si="196"/>
        <v>0</v>
      </c>
      <c r="AE173" s="25">
        <f t="shared" si="196"/>
        <v>2320.6020000000003</v>
      </c>
      <c r="AF173" s="25">
        <f t="shared" si="196"/>
        <v>0</v>
      </c>
      <c r="AG173" s="25">
        <f t="shared" si="196"/>
        <v>46737.219999999994</v>
      </c>
      <c r="AH173" s="25">
        <f t="shared" si="196"/>
        <v>0</v>
      </c>
      <c r="AI173" s="25">
        <f t="shared" si="196"/>
        <v>6989.3249999999998</v>
      </c>
      <c r="AJ173" s="25">
        <f t="shared" si="196"/>
        <v>0</v>
      </c>
      <c r="AK173" s="25">
        <f t="shared" si="196"/>
        <v>53726.544999999998</v>
      </c>
      <c r="AL173" s="25">
        <f t="shared" si="196"/>
        <v>0</v>
      </c>
      <c r="AM173" s="25">
        <f t="shared" ref="AM173:BG173" si="197">+SUM(AM91:AM103)</f>
        <v>10163.959000000003</v>
      </c>
      <c r="AN173" s="25">
        <f t="shared" si="197"/>
        <v>0</v>
      </c>
      <c r="AO173" s="25">
        <f t="shared" si="197"/>
        <v>19473.886000000002</v>
      </c>
      <c r="AP173" s="25">
        <f t="shared" si="197"/>
        <v>0</v>
      </c>
      <c r="AQ173" s="25">
        <f t="shared" si="197"/>
        <v>63890.503999999994</v>
      </c>
      <c r="AR173" s="25">
        <f t="shared" si="197"/>
        <v>0</v>
      </c>
      <c r="AS173" s="25">
        <f t="shared" si="197"/>
        <v>7822.952000000003</v>
      </c>
      <c r="AT173" s="25">
        <f t="shared" si="197"/>
        <v>0</v>
      </c>
      <c r="AU173" s="25">
        <f t="shared" si="197"/>
        <v>71713.456000000006</v>
      </c>
      <c r="AV173" s="25">
        <f t="shared" si="197"/>
        <v>0</v>
      </c>
      <c r="AW173" s="25">
        <f t="shared" si="197"/>
        <v>7846.0670000000009</v>
      </c>
      <c r="AX173" s="25">
        <f t="shared" si="197"/>
        <v>0</v>
      </c>
      <c r="AY173" s="25">
        <f t="shared" si="197"/>
        <v>79559.522999999986</v>
      </c>
      <c r="AZ173" s="25">
        <f t="shared" si="197"/>
        <v>0</v>
      </c>
      <c r="BA173" s="25">
        <f t="shared" si="197"/>
        <v>4314.1299999999992</v>
      </c>
      <c r="BB173" s="25">
        <f t="shared" si="197"/>
        <v>0</v>
      </c>
      <c r="BC173" s="25">
        <f t="shared" si="197"/>
        <v>19983.149000000001</v>
      </c>
      <c r="BD173" s="25">
        <f t="shared" si="197"/>
        <v>0</v>
      </c>
      <c r="BE173" s="25">
        <f t="shared" si="197"/>
        <v>39457.035000000003</v>
      </c>
      <c r="BF173" s="25">
        <f t="shared" si="197"/>
        <v>0</v>
      </c>
      <c r="BG173" s="25">
        <f t="shared" si="197"/>
        <v>83873.652999999991</v>
      </c>
      <c r="BH173" s="25"/>
      <c r="BI173" s="25"/>
      <c r="BJ173" s="25"/>
    </row>
    <row r="174" spans="2:64" hidden="1" x14ac:dyDescent="0.25">
      <c r="B174" t="s">
        <v>654</v>
      </c>
      <c r="G174" s="25">
        <f t="shared" ref="G174:AL174" si="198">+SUM(G89:G90)</f>
        <v>2238.9240000000004</v>
      </c>
      <c r="H174" s="25">
        <f t="shared" si="198"/>
        <v>0</v>
      </c>
      <c r="I174" s="25">
        <f t="shared" si="198"/>
        <v>0</v>
      </c>
      <c r="J174" s="25">
        <f t="shared" si="198"/>
        <v>0</v>
      </c>
      <c r="K174" s="25">
        <f t="shared" si="198"/>
        <v>2238.9240000000004</v>
      </c>
      <c r="L174" s="25">
        <f t="shared" si="198"/>
        <v>0</v>
      </c>
      <c r="M174" s="25">
        <f t="shared" si="198"/>
        <v>1992.848</v>
      </c>
      <c r="N174" s="25">
        <f t="shared" si="198"/>
        <v>0</v>
      </c>
      <c r="O174" s="25">
        <f t="shared" si="198"/>
        <v>4231.7720000000008</v>
      </c>
      <c r="P174" s="25">
        <f t="shared" si="198"/>
        <v>0</v>
      </c>
      <c r="Q174" s="25">
        <f t="shared" si="198"/>
        <v>0</v>
      </c>
      <c r="R174" s="25">
        <f t="shared" si="198"/>
        <v>0</v>
      </c>
      <c r="S174" s="25">
        <f t="shared" si="198"/>
        <v>4231.7720000000008</v>
      </c>
      <c r="T174" s="25">
        <f t="shared" si="198"/>
        <v>0</v>
      </c>
      <c r="U174" s="25">
        <f t="shared" si="198"/>
        <v>468.21000000000004</v>
      </c>
      <c r="V174" s="25">
        <f t="shared" si="198"/>
        <v>0</v>
      </c>
      <c r="W174" s="25">
        <f t="shared" si="198"/>
        <v>4699.9820000000009</v>
      </c>
      <c r="X174" s="25">
        <f t="shared" si="198"/>
        <v>0</v>
      </c>
      <c r="Y174" s="25">
        <f t="shared" si="198"/>
        <v>0</v>
      </c>
      <c r="Z174" s="25">
        <f t="shared" si="198"/>
        <v>0</v>
      </c>
      <c r="AA174" s="25">
        <f t="shared" si="198"/>
        <v>468.21000000000004</v>
      </c>
      <c r="AB174" s="25">
        <f t="shared" si="198"/>
        <v>0</v>
      </c>
      <c r="AC174" s="25">
        <f t="shared" si="198"/>
        <v>4699.9820000000009</v>
      </c>
      <c r="AD174" s="25">
        <f t="shared" si="198"/>
        <v>0</v>
      </c>
      <c r="AE174" s="25">
        <f t="shared" si="198"/>
        <v>0</v>
      </c>
      <c r="AF174" s="25">
        <f t="shared" si="198"/>
        <v>0</v>
      </c>
      <c r="AG174" s="25">
        <f t="shared" si="198"/>
        <v>4699.9820000000009</v>
      </c>
      <c r="AH174" s="25">
        <f t="shared" si="198"/>
        <v>0</v>
      </c>
      <c r="AI174" s="25">
        <f t="shared" si="198"/>
        <v>0</v>
      </c>
      <c r="AJ174" s="25">
        <f t="shared" si="198"/>
        <v>0</v>
      </c>
      <c r="AK174" s="25">
        <f t="shared" si="198"/>
        <v>4699.9820000000009</v>
      </c>
      <c r="AL174" s="25">
        <f t="shared" si="198"/>
        <v>0</v>
      </c>
      <c r="AM174" s="25">
        <f t="shared" ref="AM174:BG174" si="199">+SUM(AM89:AM90)</f>
        <v>0</v>
      </c>
      <c r="AN174" s="25">
        <f t="shared" si="199"/>
        <v>0</v>
      </c>
      <c r="AO174" s="25">
        <f t="shared" si="199"/>
        <v>0</v>
      </c>
      <c r="AP174" s="25">
        <f t="shared" si="199"/>
        <v>0</v>
      </c>
      <c r="AQ174" s="25">
        <f t="shared" si="199"/>
        <v>4699.9820000000009</v>
      </c>
      <c r="AR174" s="25">
        <f t="shared" si="199"/>
        <v>0</v>
      </c>
      <c r="AS174" s="25">
        <f t="shared" si="199"/>
        <v>0</v>
      </c>
      <c r="AT174" s="25">
        <f t="shared" si="199"/>
        <v>0</v>
      </c>
      <c r="AU174" s="25">
        <f t="shared" si="199"/>
        <v>4699.9820000000009</v>
      </c>
      <c r="AV174" s="25">
        <f t="shared" si="199"/>
        <v>0</v>
      </c>
      <c r="AW174" s="25">
        <f t="shared" si="199"/>
        <v>0</v>
      </c>
      <c r="AX174" s="25">
        <f t="shared" si="199"/>
        <v>0</v>
      </c>
      <c r="AY174" s="25">
        <f t="shared" si="199"/>
        <v>4699.9820000000009</v>
      </c>
      <c r="AZ174" s="25">
        <f t="shared" si="199"/>
        <v>0</v>
      </c>
      <c r="BA174" s="25">
        <f t="shared" si="199"/>
        <v>0</v>
      </c>
      <c r="BB174" s="25">
        <f t="shared" si="199"/>
        <v>0</v>
      </c>
      <c r="BC174" s="25">
        <f t="shared" si="199"/>
        <v>0</v>
      </c>
      <c r="BD174" s="25">
        <f t="shared" si="199"/>
        <v>0</v>
      </c>
      <c r="BE174" s="25">
        <f t="shared" si="199"/>
        <v>0</v>
      </c>
      <c r="BF174" s="25">
        <f t="shared" si="199"/>
        <v>0</v>
      </c>
      <c r="BG174" s="25">
        <f t="shared" si="199"/>
        <v>4699.9820000000009</v>
      </c>
      <c r="BH174" s="25"/>
      <c r="BI174" s="25"/>
      <c r="BJ174" s="25"/>
    </row>
    <row r="175" spans="2:64" s="4487" customFormat="1" hidden="1" x14ac:dyDescent="0.25">
      <c r="B175" s="4487" t="s">
        <v>2012</v>
      </c>
      <c r="G175" s="25">
        <f t="shared" ref="G175:AL175" si="200">SUM(G79:G88)</f>
        <v>1617.4609999999998</v>
      </c>
      <c r="H175" s="25">
        <f t="shared" si="200"/>
        <v>0</v>
      </c>
      <c r="I175" s="25">
        <f t="shared" si="200"/>
        <v>0</v>
      </c>
      <c r="J175" s="25">
        <f t="shared" si="200"/>
        <v>0</v>
      </c>
      <c r="K175" s="25">
        <f t="shared" si="200"/>
        <v>0</v>
      </c>
      <c r="L175" s="25">
        <f t="shared" si="200"/>
        <v>0</v>
      </c>
      <c r="M175" s="25">
        <f t="shared" si="200"/>
        <v>0</v>
      </c>
      <c r="N175" s="25">
        <f t="shared" si="200"/>
        <v>0</v>
      </c>
      <c r="O175" s="25">
        <f t="shared" si="200"/>
        <v>0</v>
      </c>
      <c r="P175" s="25">
        <f t="shared" si="200"/>
        <v>0</v>
      </c>
      <c r="Q175" s="25">
        <f t="shared" si="200"/>
        <v>15.712999999999999</v>
      </c>
      <c r="R175" s="25">
        <f t="shared" si="200"/>
        <v>0</v>
      </c>
      <c r="S175" s="25">
        <f t="shared" si="200"/>
        <v>15.712999999999999</v>
      </c>
      <c r="T175" s="25">
        <f t="shared" si="200"/>
        <v>0</v>
      </c>
      <c r="U175" s="25">
        <f t="shared" si="200"/>
        <v>0</v>
      </c>
      <c r="V175" s="25">
        <f t="shared" si="200"/>
        <v>0</v>
      </c>
      <c r="W175" s="25">
        <f t="shared" si="200"/>
        <v>15.712999999999999</v>
      </c>
      <c r="X175" s="25">
        <f t="shared" si="200"/>
        <v>0</v>
      </c>
      <c r="Y175" s="25">
        <f t="shared" si="200"/>
        <v>1199.047</v>
      </c>
      <c r="Z175" s="25">
        <f t="shared" si="200"/>
        <v>0</v>
      </c>
      <c r="AA175" s="25">
        <f t="shared" si="200"/>
        <v>1214.7600000000002</v>
      </c>
      <c r="AB175" s="25">
        <f t="shared" si="200"/>
        <v>0</v>
      </c>
      <c r="AC175" s="25">
        <f t="shared" si="200"/>
        <v>1214.7600000000002</v>
      </c>
      <c r="AD175" s="25">
        <f t="shared" si="200"/>
        <v>0</v>
      </c>
      <c r="AE175" s="25">
        <f t="shared" si="200"/>
        <v>992.23599999999988</v>
      </c>
      <c r="AF175" s="25">
        <f t="shared" si="200"/>
        <v>0</v>
      </c>
      <c r="AG175" s="25">
        <f t="shared" si="200"/>
        <v>2206.9960000000001</v>
      </c>
      <c r="AH175" s="25">
        <f t="shared" si="200"/>
        <v>0</v>
      </c>
      <c r="AI175" s="25">
        <f t="shared" si="200"/>
        <v>1383.221</v>
      </c>
      <c r="AJ175" s="25">
        <f t="shared" si="200"/>
        <v>0</v>
      </c>
      <c r="AK175" s="25">
        <f t="shared" si="200"/>
        <v>3590.2170000000006</v>
      </c>
      <c r="AL175" s="25">
        <f t="shared" si="200"/>
        <v>0</v>
      </c>
      <c r="AM175" s="25">
        <f t="shared" ref="AM175:BG175" si="201">SUM(AM79:AM88)</f>
        <v>3758.0199999999995</v>
      </c>
      <c r="AN175" s="25">
        <f t="shared" si="201"/>
        <v>0</v>
      </c>
      <c r="AO175" s="25">
        <f t="shared" si="201"/>
        <v>6133.4770000000008</v>
      </c>
      <c r="AP175" s="25">
        <f t="shared" si="201"/>
        <v>0</v>
      </c>
      <c r="AQ175" s="25">
        <f t="shared" si="201"/>
        <v>7348.2369999999992</v>
      </c>
      <c r="AR175" s="25">
        <f t="shared" si="201"/>
        <v>0</v>
      </c>
      <c r="AS175" s="25">
        <f t="shared" si="201"/>
        <v>2622.34</v>
      </c>
      <c r="AT175" s="25">
        <f t="shared" si="201"/>
        <v>0</v>
      </c>
      <c r="AU175" s="25">
        <f t="shared" si="201"/>
        <v>9970.5769999999993</v>
      </c>
      <c r="AV175" s="25">
        <f t="shared" si="201"/>
        <v>0</v>
      </c>
      <c r="AW175" s="25">
        <f t="shared" si="201"/>
        <v>0</v>
      </c>
      <c r="AX175" s="25">
        <f t="shared" si="201"/>
        <v>0</v>
      </c>
      <c r="AY175" s="25">
        <f t="shared" si="201"/>
        <v>9970.5769999999993</v>
      </c>
      <c r="AZ175" s="25">
        <f t="shared" si="201"/>
        <v>0</v>
      </c>
      <c r="BA175" s="25">
        <f t="shared" si="201"/>
        <v>1750.001</v>
      </c>
      <c r="BB175" s="25">
        <f t="shared" si="201"/>
        <v>0</v>
      </c>
      <c r="BC175" s="25">
        <f t="shared" si="201"/>
        <v>4372.3410000000003</v>
      </c>
      <c r="BD175" s="25">
        <f t="shared" si="201"/>
        <v>0</v>
      </c>
      <c r="BE175" s="25">
        <f t="shared" si="201"/>
        <v>10505.818000000001</v>
      </c>
      <c r="BF175" s="25">
        <f t="shared" si="201"/>
        <v>0</v>
      </c>
      <c r="BG175" s="25">
        <f t="shared" si="201"/>
        <v>11720.578</v>
      </c>
      <c r="BH175" s="25"/>
      <c r="BI175" s="25"/>
      <c r="BJ175" s="25"/>
    </row>
    <row r="176" spans="2:64" s="4487" customFormat="1" hidden="1" x14ac:dyDescent="0.25">
      <c r="B176" t="s">
        <v>1993</v>
      </c>
      <c r="G176" s="25">
        <f t="shared" ref="G176:AL176" si="202">SUM(G75:G78)</f>
        <v>954.71799999999985</v>
      </c>
      <c r="H176" s="25">
        <f t="shared" si="202"/>
        <v>0</v>
      </c>
      <c r="I176" s="25">
        <f t="shared" si="202"/>
        <v>0</v>
      </c>
      <c r="J176" s="25">
        <f t="shared" si="202"/>
        <v>0</v>
      </c>
      <c r="K176" s="25">
        <f t="shared" si="202"/>
        <v>954.71799999999985</v>
      </c>
      <c r="L176" s="25">
        <f t="shared" si="202"/>
        <v>0</v>
      </c>
      <c r="M176" s="25">
        <f t="shared" si="202"/>
        <v>2649.6750000000002</v>
      </c>
      <c r="N176" s="25">
        <f t="shared" si="202"/>
        <v>0</v>
      </c>
      <c r="O176" s="25">
        <f t="shared" si="202"/>
        <v>3604.393</v>
      </c>
      <c r="P176" s="25">
        <f t="shared" si="202"/>
        <v>0</v>
      </c>
      <c r="Q176" s="25">
        <f t="shared" si="202"/>
        <v>2830.9939999999997</v>
      </c>
      <c r="R176" s="25">
        <f t="shared" si="202"/>
        <v>0</v>
      </c>
      <c r="S176" s="25">
        <f t="shared" si="202"/>
        <v>6435.3870000000006</v>
      </c>
      <c r="T176" s="25">
        <f t="shared" si="202"/>
        <v>0</v>
      </c>
      <c r="U176" s="25">
        <f t="shared" si="202"/>
        <v>2612.6579999999994</v>
      </c>
      <c r="V176" s="25">
        <f t="shared" si="202"/>
        <v>0</v>
      </c>
      <c r="W176" s="25">
        <f t="shared" si="202"/>
        <v>9048.0449999999983</v>
      </c>
      <c r="X176" s="25">
        <f t="shared" si="202"/>
        <v>0</v>
      </c>
      <c r="Y176" s="25">
        <f t="shared" si="202"/>
        <v>1543.8019999999997</v>
      </c>
      <c r="Z176" s="25">
        <f t="shared" si="202"/>
        <v>0</v>
      </c>
      <c r="AA176" s="25">
        <f t="shared" si="202"/>
        <v>6987.4540000000006</v>
      </c>
      <c r="AB176" s="25">
        <f t="shared" si="202"/>
        <v>0</v>
      </c>
      <c r="AC176" s="25">
        <f t="shared" si="202"/>
        <v>10591.847000000002</v>
      </c>
      <c r="AD176" s="25">
        <f t="shared" si="202"/>
        <v>0</v>
      </c>
      <c r="AE176" s="25">
        <f t="shared" si="202"/>
        <v>0</v>
      </c>
      <c r="AF176" s="25">
        <f t="shared" si="202"/>
        <v>0</v>
      </c>
      <c r="AG176" s="25">
        <f t="shared" si="202"/>
        <v>10591.847000000002</v>
      </c>
      <c r="AH176" s="25">
        <f t="shared" si="202"/>
        <v>0</v>
      </c>
      <c r="AI176" s="25">
        <f t="shared" si="202"/>
        <v>1341.9749999999999</v>
      </c>
      <c r="AJ176" s="25">
        <f t="shared" si="202"/>
        <v>0</v>
      </c>
      <c r="AK176" s="25">
        <f t="shared" si="202"/>
        <v>11933.822</v>
      </c>
      <c r="AL176" s="25">
        <f t="shared" si="202"/>
        <v>0</v>
      </c>
      <c r="AM176" s="25">
        <f t="shared" ref="AM176:BG176" si="203">SUM(AM75:AM78)</f>
        <v>0</v>
      </c>
      <c r="AN176" s="25">
        <f t="shared" si="203"/>
        <v>0</v>
      </c>
      <c r="AO176" s="25">
        <f t="shared" si="203"/>
        <v>1341.9749999999999</v>
      </c>
      <c r="AP176" s="25">
        <f t="shared" si="203"/>
        <v>0</v>
      </c>
      <c r="AQ176" s="25">
        <f t="shared" si="203"/>
        <v>11933.822</v>
      </c>
      <c r="AR176" s="25">
        <f t="shared" si="203"/>
        <v>0</v>
      </c>
      <c r="AS176" s="25">
        <f t="shared" si="203"/>
        <v>4298.6260000000002</v>
      </c>
      <c r="AT176" s="25">
        <f t="shared" si="203"/>
        <v>0</v>
      </c>
      <c r="AU176" s="25">
        <f t="shared" si="203"/>
        <v>16232.448</v>
      </c>
      <c r="AV176" s="25">
        <f t="shared" si="203"/>
        <v>0</v>
      </c>
      <c r="AW176" s="25">
        <f t="shared" si="203"/>
        <v>0</v>
      </c>
      <c r="AX176" s="25">
        <f t="shared" si="203"/>
        <v>0</v>
      </c>
      <c r="AY176" s="25">
        <f t="shared" si="203"/>
        <v>16232.448</v>
      </c>
      <c r="AZ176" s="25">
        <f t="shared" si="203"/>
        <v>0</v>
      </c>
      <c r="BA176" s="25">
        <f t="shared" si="203"/>
        <v>2231.7529999999997</v>
      </c>
      <c r="BB176" s="25">
        <f t="shared" si="203"/>
        <v>0</v>
      </c>
      <c r="BC176" s="25">
        <f t="shared" si="203"/>
        <v>6530.3789999999999</v>
      </c>
      <c r="BD176" s="25">
        <f t="shared" si="203"/>
        <v>0</v>
      </c>
      <c r="BE176" s="25">
        <f t="shared" si="203"/>
        <v>7872.3539999999994</v>
      </c>
      <c r="BF176" s="25">
        <f t="shared" si="203"/>
        <v>0</v>
      </c>
      <c r="BG176" s="25">
        <f t="shared" si="203"/>
        <v>18464.201000000001</v>
      </c>
      <c r="BH176" s="25"/>
      <c r="BI176" s="25"/>
      <c r="BJ176" s="25"/>
    </row>
    <row r="177" spans="7:70" hidden="1" x14ac:dyDescent="0.25">
      <c r="G177" s="25">
        <f t="shared" ref="G177:AD177" si="204">SUM(G171:G176)</f>
        <v>52516.131999999998</v>
      </c>
      <c r="H177" s="25">
        <f t="shared" si="204"/>
        <v>0</v>
      </c>
      <c r="I177" s="25">
        <f t="shared" si="204"/>
        <v>57219.144</v>
      </c>
      <c r="J177" s="25">
        <f t="shared" si="204"/>
        <v>0</v>
      </c>
      <c r="K177" s="25">
        <f t="shared" si="204"/>
        <v>105551.15300000001</v>
      </c>
      <c r="L177" s="25">
        <f t="shared" si="204"/>
        <v>0</v>
      </c>
      <c r="M177" s="25">
        <f t="shared" si="204"/>
        <v>58674.632999999994</v>
      </c>
      <c r="N177" s="25">
        <f t="shared" si="204"/>
        <v>0</v>
      </c>
      <c r="O177" s="25">
        <f t="shared" si="204"/>
        <v>166580.35500000001</v>
      </c>
      <c r="P177" s="25">
        <f t="shared" si="204"/>
        <v>0</v>
      </c>
      <c r="Q177" s="25">
        <f t="shared" si="204"/>
        <v>57327.38700000001</v>
      </c>
      <c r="R177" s="25">
        <f t="shared" si="204"/>
        <v>0</v>
      </c>
      <c r="S177" s="25">
        <f t="shared" si="204"/>
        <v>222649.48599999998</v>
      </c>
      <c r="T177" s="25">
        <f t="shared" si="204"/>
        <v>0</v>
      </c>
      <c r="U177" s="25">
        <f t="shared" si="204"/>
        <v>44406.292999999991</v>
      </c>
      <c r="V177" s="25">
        <f t="shared" si="204"/>
        <v>0</v>
      </c>
      <c r="W177" s="25">
        <f t="shared" si="204"/>
        <v>267055.77899999992</v>
      </c>
      <c r="X177" s="25">
        <f t="shared" si="204"/>
        <v>0</v>
      </c>
      <c r="Y177" s="25">
        <f t="shared" si="204"/>
        <v>49996.716</v>
      </c>
      <c r="Z177" s="25">
        <f t="shared" si="204"/>
        <v>0</v>
      </c>
      <c r="AA177" s="25">
        <f t="shared" si="204"/>
        <v>151730.39600000001</v>
      </c>
      <c r="AB177" s="25">
        <f t="shared" si="204"/>
        <v>0</v>
      </c>
      <c r="AC177" s="25">
        <f t="shared" si="204"/>
        <v>318310.75100000011</v>
      </c>
      <c r="AD177" s="25">
        <f t="shared" si="204"/>
        <v>0</v>
      </c>
      <c r="AE177" s="25">
        <f t="shared" ref="AE177" si="205">SUM(AE171:AE176)</f>
        <v>29659.897000000004</v>
      </c>
      <c r="AF177" s="25">
        <f t="shared" ref="AF177:BG177" si="206">SUM(AF171:AF176)</f>
        <v>0</v>
      </c>
      <c r="AG177" s="25">
        <f t="shared" si="206"/>
        <v>347970.64799999999</v>
      </c>
      <c r="AH177" s="25">
        <f t="shared" si="206"/>
        <v>0</v>
      </c>
      <c r="AI177" s="25">
        <f t="shared" si="206"/>
        <v>49060.043999999994</v>
      </c>
      <c r="AJ177" s="25">
        <f t="shared" si="206"/>
        <v>0</v>
      </c>
      <c r="AK177" s="25">
        <f t="shared" si="206"/>
        <v>397030.6920000001</v>
      </c>
      <c r="AL177" s="25">
        <f t="shared" ref="AL177:AM177" si="207">SUM(AL171:AL176)</f>
        <v>0</v>
      </c>
      <c r="AM177" s="25">
        <f t="shared" si="207"/>
        <v>52987.179999999993</v>
      </c>
      <c r="AN177" s="25">
        <f t="shared" si="206"/>
        <v>0</v>
      </c>
      <c r="AO177" s="25">
        <f t="shared" si="206"/>
        <v>131707.12099999998</v>
      </c>
      <c r="AP177" s="25">
        <f t="shared" si="206"/>
        <v>0</v>
      </c>
      <c r="AQ177" s="25">
        <f t="shared" si="206"/>
        <v>450017.87200000015</v>
      </c>
      <c r="AR177" s="25">
        <f t="shared" si="206"/>
        <v>0</v>
      </c>
      <c r="AS177" s="25">
        <f t="shared" si="206"/>
        <v>56169.978000000017</v>
      </c>
      <c r="AT177" s="25">
        <f t="shared" si="206"/>
        <v>0</v>
      </c>
      <c r="AU177" s="25">
        <f t="shared" si="206"/>
        <v>506187.85000000003</v>
      </c>
      <c r="AV177" s="25">
        <f t="shared" si="206"/>
        <v>0</v>
      </c>
      <c r="AW177" s="25">
        <f t="shared" si="206"/>
        <v>54279.398000000001</v>
      </c>
      <c r="AX177" s="25">
        <f t="shared" si="206"/>
        <v>0</v>
      </c>
      <c r="AY177" s="25">
        <f t="shared" si="206"/>
        <v>560467.24799999991</v>
      </c>
      <c r="AZ177" s="25">
        <f t="shared" si="206"/>
        <v>0</v>
      </c>
      <c r="BA177" s="25">
        <f t="shared" si="206"/>
        <v>63120.145999999979</v>
      </c>
      <c r="BB177" s="25">
        <f t="shared" si="206"/>
        <v>0</v>
      </c>
      <c r="BC177" s="25">
        <f t="shared" si="206"/>
        <v>173569.52199999997</v>
      </c>
      <c r="BD177" s="25">
        <f t="shared" si="206"/>
        <v>0</v>
      </c>
      <c r="BE177" s="25">
        <f t="shared" si="206"/>
        <v>305276.64300000004</v>
      </c>
      <c r="BF177" s="25">
        <f t="shared" si="206"/>
        <v>0</v>
      </c>
      <c r="BG177" s="25">
        <f t="shared" si="206"/>
        <v>623587.39399999985</v>
      </c>
      <c r="BH177" s="25"/>
      <c r="BI177" s="25"/>
      <c r="BR177">
        <v>50899</v>
      </c>
    </row>
    <row r="178" spans="7:70" hidden="1" x14ac:dyDescent="0.25">
      <c r="T178" s="4487"/>
      <c r="U178" s="4487"/>
      <c r="X178" s="4487"/>
      <c r="Y178" s="4487"/>
      <c r="AL178" s="4487"/>
      <c r="AM178" s="4487"/>
      <c r="BR178" s="25">
        <f>G177-BR177</f>
        <v>1617.1319999999978</v>
      </c>
    </row>
    <row r="179" spans="7:70" hidden="1" x14ac:dyDescent="0.25"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</row>
    <row r="180" spans="7:70" hidden="1" x14ac:dyDescent="0.25">
      <c r="T180" s="4487"/>
      <c r="U180" s="4487"/>
      <c r="X180" s="4487"/>
      <c r="Y180" s="4487"/>
      <c r="AL180" s="4487"/>
      <c r="AM180" s="4487"/>
    </row>
    <row r="181" spans="7:70" x14ac:dyDescent="0.25">
      <c r="X181" s="4487"/>
      <c r="Y181" s="4487"/>
      <c r="AL181" s="4487"/>
      <c r="AM181" s="4487"/>
    </row>
    <row r="182" spans="7:70" x14ac:dyDescent="0.25">
      <c r="X182" s="4487"/>
      <c r="Y182" s="4487"/>
      <c r="AL182" s="4487"/>
      <c r="AM182" s="4487"/>
    </row>
    <row r="183" spans="7:70" x14ac:dyDescent="0.25">
      <c r="X183" s="4487"/>
      <c r="Y183" s="4487"/>
      <c r="AL183" s="4487"/>
      <c r="AM183" s="4487"/>
    </row>
    <row r="184" spans="7:70" x14ac:dyDescent="0.25">
      <c r="X184" s="4487"/>
      <c r="Y184" s="4487"/>
      <c r="AL184" s="4487"/>
      <c r="AM184" s="4487"/>
    </row>
    <row r="185" spans="7:70" x14ac:dyDescent="0.25">
      <c r="X185" s="4487"/>
      <c r="Y185" s="4487"/>
      <c r="AL185" s="4487"/>
      <c r="AM185" s="4487"/>
    </row>
    <row r="186" spans="7:70" x14ac:dyDescent="0.25">
      <c r="X186" s="4487"/>
      <c r="Y186" s="4487"/>
      <c r="AL186" s="4487"/>
      <c r="AM186" s="4487"/>
    </row>
    <row r="187" spans="7:70" x14ac:dyDescent="0.25">
      <c r="X187" s="4487"/>
      <c r="Y187" s="4487"/>
      <c r="AL187" s="4487"/>
      <c r="AM187" s="4487"/>
    </row>
    <row r="188" spans="7:70" x14ac:dyDescent="0.25">
      <c r="X188" s="4487"/>
      <c r="Y188" s="4487"/>
      <c r="AL188" s="4487"/>
      <c r="AM188" s="4487"/>
    </row>
    <row r="189" spans="7:70" x14ac:dyDescent="0.25">
      <c r="X189" s="4487"/>
      <c r="Y189" s="4487"/>
      <c r="AL189" s="4487"/>
      <c r="AM189" s="4487"/>
    </row>
    <row r="190" spans="7:70" x14ac:dyDescent="0.25">
      <c r="X190" s="4487"/>
      <c r="Y190" s="4487"/>
      <c r="AL190" s="4487"/>
      <c r="AM190" s="4487"/>
    </row>
    <row r="191" spans="7:70" x14ac:dyDescent="0.25">
      <c r="X191" s="4487"/>
      <c r="Y191" s="4487"/>
      <c r="AL191" s="4487"/>
      <c r="AM191" s="4487"/>
    </row>
    <row r="192" spans="7:70" x14ac:dyDescent="0.25">
      <c r="X192" s="4487"/>
      <c r="Y192" s="4487"/>
      <c r="AL192" s="4487"/>
      <c r="AM192" s="4487"/>
    </row>
    <row r="193" spans="24:39" x14ac:dyDescent="0.25">
      <c r="X193" s="4487"/>
      <c r="Y193" s="4487"/>
      <c r="AL193" s="4487"/>
      <c r="AM193" s="4487"/>
    </row>
    <row r="194" spans="24:39" x14ac:dyDescent="0.25">
      <c r="X194" s="4487"/>
      <c r="Y194" s="4487"/>
      <c r="AL194" s="4487"/>
      <c r="AM194" s="4487"/>
    </row>
    <row r="195" spans="24:39" x14ac:dyDescent="0.25">
      <c r="X195" s="4487"/>
      <c r="Y195" s="4487"/>
      <c r="AL195" s="4487"/>
      <c r="AM195" s="4487"/>
    </row>
    <row r="196" spans="24:39" x14ac:dyDescent="0.25">
      <c r="X196" s="4487"/>
      <c r="Y196" s="4487"/>
      <c r="AL196" s="4487"/>
      <c r="AM196" s="4487"/>
    </row>
    <row r="197" spans="24:39" x14ac:dyDescent="0.25">
      <c r="X197" s="4487"/>
      <c r="Y197" s="4487"/>
      <c r="AL197" s="4487"/>
      <c r="AM197" s="4487"/>
    </row>
    <row r="198" spans="24:39" x14ac:dyDescent="0.25">
      <c r="X198" s="4487"/>
      <c r="Y198" s="4487"/>
      <c r="AL198" s="4487"/>
      <c r="AM198" s="4487"/>
    </row>
    <row r="199" spans="24:39" x14ac:dyDescent="0.25">
      <c r="X199" s="4487"/>
      <c r="Y199" s="4487"/>
      <c r="AL199" s="4487"/>
      <c r="AM199" s="4487"/>
    </row>
    <row r="200" spans="24:39" x14ac:dyDescent="0.25">
      <c r="X200" s="4487"/>
      <c r="Y200" s="4487"/>
      <c r="AL200" s="4487"/>
      <c r="AM200" s="4487"/>
    </row>
    <row r="201" spans="24:39" x14ac:dyDescent="0.25">
      <c r="X201" s="4487"/>
      <c r="Y201" s="4487"/>
      <c r="AL201" s="4487"/>
      <c r="AM201" s="4487"/>
    </row>
    <row r="202" spans="24:39" x14ac:dyDescent="0.25">
      <c r="X202" s="4487"/>
      <c r="Y202" s="4487"/>
      <c r="AL202" s="4487"/>
      <c r="AM202" s="4487"/>
    </row>
    <row r="203" spans="24:39" x14ac:dyDescent="0.25">
      <c r="X203" s="4487"/>
      <c r="Y203" s="4487"/>
      <c r="AL203" s="4487"/>
      <c r="AM203" s="4487"/>
    </row>
    <row r="204" spans="24:39" x14ac:dyDescent="0.25">
      <c r="X204" s="4487"/>
      <c r="Y204" s="4487"/>
      <c r="AL204" s="4487"/>
      <c r="AM204" s="4487"/>
    </row>
    <row r="205" spans="24:39" x14ac:dyDescent="0.25">
      <c r="X205" s="4487"/>
      <c r="Y205" s="4487"/>
      <c r="AL205" s="4487"/>
      <c r="AM205" s="4487"/>
    </row>
    <row r="206" spans="24:39" x14ac:dyDescent="0.25">
      <c r="X206" s="4487"/>
      <c r="Y206" s="4487"/>
      <c r="AL206" s="4487"/>
      <c r="AM206" s="4487"/>
    </row>
    <row r="207" spans="24:39" x14ac:dyDescent="0.25">
      <c r="X207" s="4487"/>
      <c r="Y207" s="4487"/>
      <c r="AL207" s="4487"/>
      <c r="AM207" s="4487"/>
    </row>
    <row r="208" spans="24:39" x14ac:dyDescent="0.25">
      <c r="X208" s="4487"/>
      <c r="Y208" s="4487"/>
      <c r="AL208" s="4487"/>
      <c r="AM208" s="4487"/>
    </row>
    <row r="209" spans="24:39" x14ac:dyDescent="0.25">
      <c r="X209" s="4487"/>
      <c r="Y209" s="4487"/>
      <c r="AL209" s="4487"/>
      <c r="AM209" s="4487"/>
    </row>
    <row r="210" spans="24:39" x14ac:dyDescent="0.25">
      <c r="X210" s="4487"/>
      <c r="Y210" s="4487"/>
      <c r="AL210" s="4487"/>
      <c r="AM210" s="4487"/>
    </row>
    <row r="211" spans="24:39" x14ac:dyDescent="0.25">
      <c r="X211" s="4487"/>
      <c r="Y211" s="4487"/>
      <c r="AL211" s="4487"/>
      <c r="AM211" s="4487"/>
    </row>
    <row r="212" spans="24:39" x14ac:dyDescent="0.25">
      <c r="X212" s="4487"/>
      <c r="Y212" s="4487"/>
      <c r="AL212" s="4487"/>
      <c r="AM212" s="4487"/>
    </row>
    <row r="213" spans="24:39" x14ac:dyDescent="0.25">
      <c r="X213" s="4487"/>
      <c r="Y213" s="4487"/>
      <c r="AL213" s="4487"/>
      <c r="AM213" s="4487"/>
    </row>
    <row r="214" spans="24:39" x14ac:dyDescent="0.25">
      <c r="X214" s="4487"/>
      <c r="Y214" s="4487"/>
      <c r="AL214" s="4487"/>
      <c r="AM214" s="4487"/>
    </row>
    <row r="215" spans="24:39" x14ac:dyDescent="0.25">
      <c r="X215" s="4487"/>
      <c r="Y215" s="4487"/>
      <c r="AL215" s="4487"/>
      <c r="AM215" s="4487"/>
    </row>
    <row r="216" spans="24:39" x14ac:dyDescent="0.25">
      <c r="X216" s="4487"/>
      <c r="Y216" s="4487"/>
      <c r="AL216" s="4487"/>
      <c r="AM216" s="4487"/>
    </row>
    <row r="217" spans="24:39" x14ac:dyDescent="0.25">
      <c r="X217" s="4487"/>
      <c r="Y217" s="4487"/>
      <c r="AL217" s="4487"/>
      <c r="AM217" s="4487"/>
    </row>
    <row r="218" spans="24:39" x14ac:dyDescent="0.25">
      <c r="X218" s="4487"/>
      <c r="Y218" s="4487"/>
      <c r="AL218" s="4487"/>
      <c r="AM218" s="4487"/>
    </row>
    <row r="219" spans="24:39" x14ac:dyDescent="0.25">
      <c r="X219" s="4487"/>
      <c r="Y219" s="4487"/>
    </row>
    <row r="220" spans="24:39" x14ac:dyDescent="0.25">
      <c r="X220" s="4487"/>
      <c r="Y220" s="4487"/>
    </row>
    <row r="221" spans="24:39" x14ac:dyDescent="0.25">
      <c r="X221" s="4487"/>
      <c r="Y221" s="4487"/>
    </row>
    <row r="222" spans="24:39" x14ac:dyDescent="0.25">
      <c r="X222" s="4487"/>
      <c r="Y222" s="4487"/>
    </row>
    <row r="223" spans="24:39" x14ac:dyDescent="0.25">
      <c r="X223" s="4487"/>
      <c r="Y223" s="4487"/>
    </row>
    <row r="224" spans="24:39" x14ac:dyDescent="0.25">
      <c r="X224" s="4487"/>
      <c r="Y224" s="4487"/>
    </row>
    <row r="225" spans="24:25" x14ac:dyDescent="0.25">
      <c r="X225" s="4487"/>
      <c r="Y225" s="4487"/>
    </row>
    <row r="226" spans="24:25" x14ac:dyDescent="0.25">
      <c r="X226" s="4487"/>
      <c r="Y226" s="4487"/>
    </row>
    <row r="227" spans="24:25" x14ac:dyDescent="0.25">
      <c r="X227" s="4487"/>
      <c r="Y227" s="4487"/>
    </row>
    <row r="228" spans="24:25" x14ac:dyDescent="0.25">
      <c r="X228" s="4487"/>
      <c r="Y228" s="4487"/>
    </row>
    <row r="229" spans="24:25" x14ac:dyDescent="0.25">
      <c r="X229" s="4487"/>
      <c r="Y229" s="4487"/>
    </row>
    <row r="230" spans="24:25" x14ac:dyDescent="0.25">
      <c r="X230" s="4487"/>
      <c r="Y230" s="4487"/>
    </row>
    <row r="231" spans="24:25" x14ac:dyDescent="0.25">
      <c r="X231" s="4487"/>
      <c r="Y231" s="4487"/>
    </row>
    <row r="232" spans="24:25" x14ac:dyDescent="0.25">
      <c r="X232" s="4487"/>
      <c r="Y232" s="4487"/>
    </row>
    <row r="233" spans="24:25" x14ac:dyDescent="0.25">
      <c r="X233" s="4487"/>
      <c r="Y233" s="4487"/>
    </row>
    <row r="234" spans="24:25" x14ac:dyDescent="0.25">
      <c r="X234" s="4487"/>
      <c r="Y234" s="4487"/>
    </row>
    <row r="235" spans="24:25" x14ac:dyDescent="0.25">
      <c r="X235" s="4487"/>
      <c r="Y235" s="4487"/>
    </row>
    <row r="236" spans="24:25" x14ac:dyDescent="0.25">
      <c r="X236" s="4487"/>
      <c r="Y236" s="4487"/>
    </row>
    <row r="237" spans="24:25" x14ac:dyDescent="0.25">
      <c r="X237" s="4487"/>
      <c r="Y237" s="4487"/>
    </row>
    <row r="238" spans="24:25" x14ac:dyDescent="0.25">
      <c r="X238" s="4487"/>
      <c r="Y238" s="4487"/>
    </row>
    <row r="239" spans="24:25" x14ac:dyDescent="0.25">
      <c r="X239" s="4487"/>
      <c r="Y239" s="4487"/>
    </row>
    <row r="240" spans="24:25" x14ac:dyDescent="0.25">
      <c r="X240" s="4487"/>
      <c r="Y240" s="4487"/>
    </row>
    <row r="241" spans="24:25" x14ac:dyDescent="0.25">
      <c r="X241" s="4487"/>
      <c r="Y241" s="4487"/>
    </row>
    <row r="242" spans="24:25" x14ac:dyDescent="0.25">
      <c r="X242" s="4487"/>
      <c r="Y242" s="4487"/>
    </row>
    <row r="243" spans="24:25" x14ac:dyDescent="0.25">
      <c r="X243" s="4487"/>
      <c r="Y243" s="4487"/>
    </row>
    <row r="244" spans="24:25" x14ac:dyDescent="0.25">
      <c r="X244" s="4487"/>
      <c r="Y244" s="4487"/>
    </row>
    <row r="245" spans="24:25" x14ac:dyDescent="0.25">
      <c r="X245" s="4487"/>
      <c r="Y245" s="4487"/>
    </row>
    <row r="246" spans="24:25" x14ac:dyDescent="0.25">
      <c r="X246" s="4487"/>
      <c r="Y246" s="4487"/>
    </row>
  </sheetData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7"/>
  <sheetViews>
    <sheetView topLeftCell="E1" zoomScale="115" zoomScaleNormal="115" workbookViewId="0">
      <pane xSplit="1" topLeftCell="F1" activePane="topRight" state="frozen"/>
      <selection activeCell="G62" sqref="G62"/>
      <selection pane="topRight" activeCell="CW25" sqref="CW25"/>
    </sheetView>
  </sheetViews>
  <sheetFormatPr defaultColWidth="9.140625" defaultRowHeight="15.75" x14ac:dyDescent="0.25"/>
  <cols>
    <col min="1" max="4" width="9.140625" style="1074"/>
    <col min="5" max="5" width="55.140625" style="1074" bestFit="1" customWidth="1"/>
    <col min="6" max="6" width="15.5703125" style="1074" customWidth="1"/>
    <col min="7" max="7" width="11.85546875" style="1074" hidden="1" customWidth="1"/>
    <col min="8" max="8" width="10.42578125" style="1074" hidden="1" customWidth="1"/>
    <col min="9" max="10" width="9.7109375" style="1074" hidden="1" customWidth="1"/>
    <col min="11" max="12" width="8.42578125" style="1074" hidden="1" customWidth="1"/>
    <col min="13" max="14" width="7.85546875" style="1074" hidden="1" customWidth="1"/>
    <col min="15" max="15" width="8.42578125" style="1074" hidden="1" customWidth="1"/>
    <col min="16" max="16" width="9.85546875" style="1074" hidden="1" customWidth="1"/>
    <col min="17" max="17" width="8.42578125" style="1074" hidden="1" customWidth="1"/>
    <col min="18" max="23" width="9.85546875" style="1074" hidden="1" customWidth="1"/>
    <col min="24" max="24" width="12" style="1074" hidden="1" customWidth="1"/>
    <col min="25" max="25" width="12" style="1074" customWidth="1"/>
    <col min="26" max="26" width="9.140625" style="1074" hidden="1" customWidth="1"/>
    <col min="27" max="29" width="8.28515625" style="1074" hidden="1" customWidth="1"/>
    <col min="30" max="30" width="8.7109375" style="1074" hidden="1" customWidth="1"/>
    <col min="31" max="34" width="8.28515625" style="1074" hidden="1" customWidth="1"/>
    <col min="35" max="35" width="8.85546875" style="1074" hidden="1" customWidth="1"/>
    <col min="36" max="38" width="8.28515625" style="1074" hidden="1" customWidth="1"/>
    <col min="39" max="39" width="8.140625" style="1074" hidden="1" customWidth="1"/>
    <col min="40" max="40" width="9.42578125" style="1074" hidden="1" customWidth="1"/>
    <col min="41" max="42" width="8.28515625" style="1074" hidden="1" customWidth="1"/>
    <col min="43" max="43" width="9" style="1074" hidden="1" customWidth="1"/>
    <col min="44" max="44" width="13.28515625" style="1074" hidden="1" customWidth="1"/>
    <col min="45" max="45" width="13.28515625" style="4462" hidden="1" customWidth="1"/>
    <col min="46" max="46" width="5.42578125" style="1074" hidden="1" customWidth="1"/>
    <col min="47" max="47" width="16" style="1074" customWidth="1"/>
    <col min="48" max="48" width="16" style="1074" hidden="1" customWidth="1"/>
    <col min="49" max="49" width="11.42578125" style="1074" hidden="1" customWidth="1"/>
    <col min="50" max="52" width="18.140625" style="1074" hidden="1" customWidth="1"/>
    <col min="53" max="98" width="10.140625" style="1074" hidden="1" customWidth="1"/>
    <col min="99" max="99" width="10.7109375" style="1074" hidden="1" customWidth="1"/>
    <col min="100" max="100" width="10.7109375" style="1074" customWidth="1"/>
    <col min="101" max="101" width="51.140625" style="1074" bestFit="1" customWidth="1"/>
    <col min="102" max="102" width="9.140625" style="1074" customWidth="1"/>
    <col min="103" max="103" width="44.42578125" style="1074" customWidth="1"/>
    <col min="104" max="104" width="9.140625" style="1074" customWidth="1"/>
    <col min="105" max="105" width="12" style="1074" customWidth="1"/>
    <col min="106" max="16384" width="9.140625" style="1074"/>
  </cols>
  <sheetData>
    <row r="1" spans="1:101" x14ac:dyDescent="0.25">
      <c r="A1" s="4450"/>
      <c r="B1" s="4450"/>
      <c r="C1" s="4450"/>
      <c r="D1" s="4450"/>
      <c r="E1" s="4449" t="s">
        <v>1971</v>
      </c>
      <c r="F1" s="4450"/>
      <c r="G1" s="4450"/>
      <c r="H1" s="4450"/>
      <c r="I1" s="4450"/>
      <c r="J1" s="4450"/>
      <c r="K1" s="4450"/>
      <c r="L1" s="4450"/>
      <c r="M1" s="4450"/>
      <c r="N1" s="4450"/>
      <c r="O1" s="4450"/>
      <c r="P1" s="4450"/>
      <c r="Q1" s="4450"/>
      <c r="R1" s="4450"/>
      <c r="S1" s="4448"/>
      <c r="T1" s="4448"/>
      <c r="U1" s="4448"/>
      <c r="V1" s="4448"/>
      <c r="W1" s="4448"/>
      <c r="X1" s="4450"/>
      <c r="Y1" s="4450"/>
      <c r="Z1" s="4450"/>
      <c r="AA1" s="4450"/>
      <c r="AB1" s="4450"/>
      <c r="AC1" s="4450"/>
      <c r="AD1" s="4450"/>
      <c r="AE1" s="4450"/>
      <c r="AF1" s="4450"/>
      <c r="AG1" s="4450"/>
      <c r="AH1" s="4450"/>
      <c r="AI1" s="4450"/>
      <c r="AJ1" s="4450"/>
      <c r="AK1" s="4450"/>
      <c r="AL1" s="4448"/>
      <c r="AM1" s="4448"/>
      <c r="AN1" s="4448"/>
      <c r="AO1" s="4448"/>
      <c r="AP1" s="4448"/>
      <c r="AQ1" s="4448"/>
      <c r="AR1" s="4450"/>
      <c r="AS1" s="4450"/>
      <c r="AT1" s="4450"/>
      <c r="AU1" s="4450"/>
      <c r="AV1" s="4450"/>
      <c r="AW1" s="4450"/>
      <c r="AX1" s="4450"/>
      <c r="AY1" s="4450"/>
      <c r="AZ1" s="4450"/>
      <c r="BA1" s="4450"/>
      <c r="BB1" s="4450"/>
      <c r="BC1" s="4450"/>
      <c r="BD1" s="4450"/>
      <c r="BE1" s="4450"/>
      <c r="BF1" s="4450"/>
      <c r="BG1" s="4450"/>
      <c r="BH1" s="4450"/>
      <c r="BI1" s="4450"/>
      <c r="BJ1" s="4450"/>
      <c r="BK1" s="4450"/>
      <c r="BL1" s="4450"/>
      <c r="BM1" s="4450"/>
      <c r="BN1" s="4450"/>
      <c r="BO1" s="4450"/>
      <c r="BP1" s="4450"/>
      <c r="BQ1" s="4450"/>
      <c r="BR1" s="4450"/>
      <c r="BS1" s="4450"/>
      <c r="BT1" s="4450"/>
      <c r="BU1" s="4450"/>
      <c r="BV1" s="4450"/>
      <c r="BW1" s="4450"/>
      <c r="BX1" s="4450"/>
      <c r="BY1" s="4450"/>
      <c r="BZ1" s="4450"/>
      <c r="CA1" s="4450"/>
      <c r="CB1" s="4450"/>
      <c r="CC1" s="4450"/>
      <c r="CD1" s="4450"/>
      <c r="CE1" s="4450"/>
      <c r="CF1" s="4450"/>
      <c r="CG1" s="4450"/>
      <c r="CH1" s="4450"/>
      <c r="CI1" s="4450"/>
      <c r="CJ1" s="4450"/>
      <c r="CK1" s="4450"/>
      <c r="CL1" s="4450"/>
      <c r="CM1" s="4450"/>
      <c r="CN1" s="4450"/>
      <c r="CO1" s="4450"/>
      <c r="CP1" s="4450"/>
      <c r="CQ1" s="4450"/>
      <c r="CR1" s="4450"/>
      <c r="CS1" s="4450"/>
      <c r="CT1" s="4450"/>
      <c r="CU1" s="4450"/>
      <c r="CV1" s="4450"/>
    </row>
    <row r="2" spans="1:101" ht="18.75" x14ac:dyDescent="0.25">
      <c r="A2" s="4450"/>
      <c r="B2" s="4450"/>
      <c r="C2" s="4450"/>
      <c r="D2" s="4450"/>
      <c r="E2" s="8129" t="s">
        <v>1938</v>
      </c>
      <c r="F2" s="8129"/>
      <c r="G2" s="8129"/>
      <c r="H2" s="8129"/>
      <c r="I2" s="8129"/>
      <c r="J2" s="8129"/>
      <c r="K2" s="8129"/>
      <c r="L2" s="8129"/>
      <c r="M2" s="8129"/>
      <c r="N2" s="8129"/>
      <c r="O2" s="8129"/>
      <c r="P2" s="8129"/>
      <c r="Q2" s="8129"/>
      <c r="R2" s="8129"/>
      <c r="S2" s="8129"/>
      <c r="T2" s="8129"/>
      <c r="U2" s="8129"/>
      <c r="V2" s="8129"/>
      <c r="W2" s="8129"/>
      <c r="X2" s="8129"/>
      <c r="Y2" s="8129"/>
      <c r="Z2" s="8129"/>
      <c r="AA2" s="8129"/>
      <c r="AB2" s="8129"/>
      <c r="AC2" s="8129"/>
      <c r="AD2" s="8129"/>
      <c r="AE2" s="8129"/>
      <c r="AF2" s="8129"/>
      <c r="AG2" s="8129"/>
      <c r="AH2" s="8129"/>
      <c r="AI2" s="8129"/>
      <c r="AJ2" s="8129"/>
      <c r="AK2" s="8129"/>
      <c r="AL2" s="8129"/>
      <c r="AM2" s="8129"/>
      <c r="AN2" s="8129"/>
      <c r="AO2" s="8129"/>
      <c r="AP2" s="8129"/>
      <c r="AQ2" s="8129"/>
      <c r="AR2" s="8129"/>
      <c r="AS2" s="8129"/>
      <c r="AT2" s="8129"/>
      <c r="AU2" s="8129"/>
      <c r="AV2" s="8129"/>
      <c r="AW2" s="8129"/>
      <c r="AX2" s="8129"/>
      <c r="AY2" s="8129"/>
      <c r="AZ2" s="8129"/>
      <c r="BA2" s="8129"/>
      <c r="BB2" s="8129"/>
      <c r="BC2" s="8129"/>
      <c r="BD2" s="8129"/>
      <c r="BE2" s="8129"/>
      <c r="BF2" s="8129"/>
      <c r="BG2" s="8129"/>
      <c r="BH2" s="8129"/>
      <c r="BI2" s="8129"/>
      <c r="BJ2" s="8129"/>
      <c r="BK2" s="8129"/>
      <c r="BL2" s="8129"/>
      <c r="BM2" s="8129"/>
      <c r="BN2" s="8129"/>
      <c r="BO2" s="8129"/>
      <c r="BP2" s="8129"/>
      <c r="BQ2" s="8129"/>
      <c r="BR2" s="8129"/>
      <c r="BS2" s="8129"/>
      <c r="BT2" s="8129"/>
      <c r="BU2" s="8129"/>
      <c r="BV2" s="8129"/>
      <c r="BW2" s="8129"/>
      <c r="BX2" s="8129"/>
      <c r="BY2" s="8129"/>
      <c r="BZ2" s="8129"/>
      <c r="CA2" s="8129"/>
      <c r="CB2" s="8129"/>
      <c r="CC2" s="8129"/>
      <c r="CD2" s="8129"/>
      <c r="CE2" s="8129"/>
      <c r="CF2" s="8129"/>
      <c r="CG2" s="8129"/>
      <c r="CH2" s="8129"/>
      <c r="CI2" s="8129"/>
      <c r="CJ2" s="8129"/>
      <c r="CK2" s="8129"/>
      <c r="CL2" s="8129"/>
      <c r="CM2" s="8129"/>
      <c r="CN2" s="8129"/>
      <c r="CO2" s="8129"/>
      <c r="CP2" s="8129"/>
      <c r="CQ2" s="8129"/>
      <c r="CR2" s="8129"/>
      <c r="CS2" s="8129"/>
      <c r="CT2" s="8129"/>
      <c r="CU2" s="8129"/>
      <c r="CV2" s="4486"/>
    </row>
    <row r="3" spans="1:101" ht="16.5" thickBot="1" x14ac:dyDescent="0.3">
      <c r="A3" s="4450"/>
      <c r="B3" s="4450"/>
      <c r="C3" s="4450"/>
      <c r="D3" s="4450"/>
      <c r="E3" s="4449"/>
      <c r="F3" s="4450"/>
      <c r="G3" s="4450"/>
      <c r="H3" s="4450"/>
      <c r="I3" s="4450"/>
      <c r="J3" s="4450"/>
      <c r="K3" s="4450"/>
      <c r="L3" s="4450"/>
      <c r="M3" s="4450"/>
      <c r="N3" s="4450"/>
      <c r="O3" s="4450"/>
      <c r="P3" s="4450"/>
      <c r="Q3" s="4450"/>
      <c r="R3" s="4450"/>
      <c r="S3" s="4450"/>
      <c r="T3" s="4450"/>
      <c r="U3" s="4450"/>
      <c r="V3" s="4450"/>
      <c r="W3" s="4450"/>
      <c r="X3" s="4450"/>
      <c r="Y3" s="4450"/>
      <c r="Z3" s="4450"/>
      <c r="AA3" s="4450"/>
      <c r="AB3" s="4450"/>
      <c r="AC3" s="4450"/>
      <c r="AD3" s="4450"/>
      <c r="AE3" s="4450"/>
      <c r="AF3" s="4450"/>
      <c r="AG3" s="4450"/>
      <c r="AH3" s="4450"/>
      <c r="AI3" s="4450"/>
      <c r="AJ3" s="4450"/>
      <c r="AK3" s="4450"/>
      <c r="AL3" s="4450"/>
      <c r="AM3" s="4450"/>
      <c r="AN3" s="4450"/>
      <c r="AO3" s="4450"/>
      <c r="AP3" s="4450"/>
      <c r="AQ3" s="4450"/>
      <c r="AR3" s="4450"/>
      <c r="AS3" s="4450"/>
      <c r="AT3" s="4450"/>
      <c r="AU3" s="4450"/>
      <c r="AV3" s="4450"/>
      <c r="AW3" s="4450"/>
      <c r="AX3" s="4450"/>
      <c r="AY3" s="4450"/>
      <c r="AZ3" s="4450"/>
      <c r="BA3" s="4450"/>
      <c r="BB3" s="4450"/>
      <c r="BC3" s="4450"/>
      <c r="BD3" s="4450"/>
      <c r="BE3" s="4450"/>
      <c r="BF3" s="4450"/>
      <c r="BG3" s="4450"/>
      <c r="BH3" s="4450"/>
      <c r="BI3" s="4450"/>
      <c r="BJ3" s="4450"/>
      <c r="BK3" s="4450"/>
      <c r="BL3" s="4450"/>
      <c r="BM3" s="4448"/>
      <c r="BN3" s="4448"/>
      <c r="BO3" s="4448"/>
      <c r="BP3" s="4448"/>
      <c r="BQ3" s="4448"/>
      <c r="BR3" s="4448"/>
      <c r="BS3" s="4450"/>
      <c r="BT3" s="4450"/>
      <c r="BU3" s="4450"/>
      <c r="BV3" s="4450"/>
      <c r="BW3" s="4450"/>
      <c r="BX3" s="4450"/>
      <c r="BY3" s="4450"/>
      <c r="BZ3" s="4450"/>
      <c r="CA3" s="4450"/>
      <c r="CB3" s="4450"/>
      <c r="CC3" s="4450"/>
      <c r="CD3" s="4450"/>
      <c r="CE3" s="4450"/>
      <c r="CF3" s="4450"/>
      <c r="CG3" s="4450"/>
      <c r="CH3" s="4450"/>
      <c r="CI3" s="4450"/>
      <c r="CJ3" s="4450"/>
      <c r="CK3" s="4450"/>
      <c r="CL3" s="4450"/>
      <c r="CM3" s="4450"/>
      <c r="CN3" s="4450"/>
      <c r="CO3" s="4450"/>
      <c r="CP3" s="4450"/>
      <c r="CQ3" s="4450"/>
      <c r="CR3" s="4450"/>
      <c r="CS3" s="4450"/>
      <c r="CT3" s="4450"/>
      <c r="CU3" s="4450"/>
      <c r="CV3" s="4447"/>
    </row>
    <row r="4" spans="1:101" ht="16.5" thickBot="1" x14ac:dyDescent="0.3">
      <c r="A4" s="4485"/>
      <c r="B4" s="4485"/>
      <c r="C4" s="4485"/>
      <c r="D4" s="4485"/>
      <c r="E4" s="4484"/>
      <c r="F4" s="8130" t="s">
        <v>608</v>
      </c>
      <c r="G4" s="8131"/>
      <c r="H4" s="8131"/>
      <c r="I4" s="8131"/>
      <c r="J4" s="8131"/>
      <c r="K4" s="8131"/>
      <c r="L4" s="8131"/>
      <c r="M4" s="8131"/>
      <c r="N4" s="8131"/>
      <c r="O4" s="8131"/>
      <c r="P4" s="8131"/>
      <c r="Q4" s="8131"/>
      <c r="R4" s="8131"/>
      <c r="S4" s="8131"/>
      <c r="T4" s="8131"/>
      <c r="U4" s="8131"/>
      <c r="V4" s="8131"/>
      <c r="W4" s="8131"/>
      <c r="X4" s="8132"/>
      <c r="Y4" s="8133" t="s">
        <v>609</v>
      </c>
      <c r="Z4" s="8134"/>
      <c r="AA4" s="8134"/>
      <c r="AB4" s="8135"/>
      <c r="AC4" s="8135"/>
      <c r="AD4" s="8135"/>
      <c r="AE4" s="8135"/>
      <c r="AF4" s="8135"/>
      <c r="AG4" s="8135"/>
      <c r="AH4" s="8135"/>
      <c r="AI4" s="8135"/>
      <c r="AJ4" s="8135"/>
      <c r="AK4" s="8135"/>
      <c r="AL4" s="8135"/>
      <c r="AM4" s="8135"/>
      <c r="AN4" s="8135"/>
      <c r="AO4" s="8135"/>
      <c r="AP4" s="8135"/>
      <c r="AQ4" s="8135"/>
      <c r="AR4" s="4483" t="s">
        <v>126</v>
      </c>
      <c r="AS4" s="4441"/>
      <c r="AT4" s="8136" t="s">
        <v>2319</v>
      </c>
      <c r="AU4" s="8137"/>
      <c r="AV4" s="8127" t="s">
        <v>1956</v>
      </c>
      <c r="AW4" s="8122"/>
      <c r="AX4" s="8125" t="s">
        <v>14</v>
      </c>
      <c r="AY4" s="8126"/>
      <c r="AZ4" s="8138" t="s">
        <v>1986</v>
      </c>
      <c r="BA4" s="8139"/>
      <c r="BB4" s="8140" t="s">
        <v>607</v>
      </c>
      <c r="BC4" s="8141"/>
      <c r="BD4" s="8121" t="s">
        <v>2008</v>
      </c>
      <c r="BE4" s="8122"/>
      <c r="BF4" s="8125" t="s">
        <v>17</v>
      </c>
      <c r="BG4" s="8126"/>
      <c r="BH4" s="8121" t="s">
        <v>2011</v>
      </c>
      <c r="BI4" s="8122"/>
      <c r="BJ4" s="8125" t="s">
        <v>18</v>
      </c>
      <c r="BK4" s="8126"/>
      <c r="BL4" s="8127" t="s">
        <v>2042</v>
      </c>
      <c r="BM4" s="8128"/>
      <c r="BN4" s="8123" t="s">
        <v>801</v>
      </c>
      <c r="BO4" s="8123"/>
      <c r="BP4" s="8124" t="s">
        <v>626</v>
      </c>
      <c r="BQ4" s="8124"/>
      <c r="BR4" s="8121" t="s">
        <v>2067</v>
      </c>
      <c r="BS4" s="8122"/>
      <c r="BT4" s="8125" t="s">
        <v>24</v>
      </c>
      <c r="BU4" s="8126"/>
      <c r="BV4" s="8121" t="s">
        <v>2170</v>
      </c>
      <c r="BW4" s="8122"/>
      <c r="BX4" s="8125" t="s">
        <v>27</v>
      </c>
      <c r="BY4" s="8126"/>
      <c r="BZ4" s="8127" t="s">
        <v>2194</v>
      </c>
      <c r="CA4" s="8128"/>
      <c r="CB4" s="8123" t="s">
        <v>1574</v>
      </c>
      <c r="CC4" s="8123"/>
      <c r="CD4" s="8125" t="s">
        <v>1575</v>
      </c>
      <c r="CE4" s="8126"/>
      <c r="CF4" s="8121" t="s">
        <v>2206</v>
      </c>
      <c r="CG4" s="8122"/>
      <c r="CH4" s="8125" t="s">
        <v>28</v>
      </c>
      <c r="CI4" s="8126"/>
      <c r="CJ4" s="8121" t="s">
        <v>2243</v>
      </c>
      <c r="CK4" s="8122"/>
      <c r="CL4" s="8125" t="s">
        <v>30</v>
      </c>
      <c r="CM4" s="8126"/>
      <c r="CN4" s="8121" t="s">
        <v>2261</v>
      </c>
      <c r="CO4" s="8122"/>
      <c r="CP4" s="8123" t="s">
        <v>1610</v>
      </c>
      <c r="CQ4" s="8123"/>
      <c r="CR4" s="8124" t="s">
        <v>638</v>
      </c>
      <c r="CS4" s="8124"/>
      <c r="CT4" s="8125" t="s">
        <v>1984</v>
      </c>
      <c r="CU4" s="8126"/>
      <c r="CV4" s="4447"/>
    </row>
    <row r="5" spans="1:101" ht="16.5" thickBot="1" x14ac:dyDescent="0.3">
      <c r="A5" s="4485"/>
      <c r="B5" s="4485"/>
      <c r="C5" s="4485"/>
      <c r="D5" s="4485" t="s">
        <v>1343</v>
      </c>
      <c r="E5" s="4446"/>
      <c r="F5" s="4445" t="s">
        <v>2342</v>
      </c>
      <c r="G5" s="4444" t="s">
        <v>1963</v>
      </c>
      <c r="H5" s="4444" t="s">
        <v>1973</v>
      </c>
      <c r="I5" s="4482" t="s">
        <v>607</v>
      </c>
      <c r="J5" s="4443" t="s">
        <v>1974</v>
      </c>
      <c r="K5" s="4443" t="s">
        <v>1975</v>
      </c>
      <c r="L5" s="4443" t="s">
        <v>1976</v>
      </c>
      <c r="M5" s="4482" t="s">
        <v>629</v>
      </c>
      <c r="N5" s="4481" t="s">
        <v>487</v>
      </c>
      <c r="O5" s="4443" t="s">
        <v>1977</v>
      </c>
      <c r="P5" s="4443" t="s">
        <v>1978</v>
      </c>
      <c r="Q5" s="4443" t="s">
        <v>1979</v>
      </c>
      <c r="R5" s="4482" t="s">
        <v>631</v>
      </c>
      <c r="S5" s="4480" t="s">
        <v>1980</v>
      </c>
      <c r="T5" s="4480" t="s">
        <v>1981</v>
      </c>
      <c r="U5" s="4480" t="s">
        <v>1982</v>
      </c>
      <c r="V5" s="4482" t="s">
        <v>632</v>
      </c>
      <c r="W5" s="4482" t="s">
        <v>525</v>
      </c>
      <c r="X5" s="4479" t="s">
        <v>1984</v>
      </c>
      <c r="Y5" s="4467" t="s">
        <v>2342</v>
      </c>
      <c r="Z5" s="4442" t="s">
        <v>1963</v>
      </c>
      <c r="AA5" s="4442" t="s">
        <v>1973</v>
      </c>
      <c r="AB5" s="4442" t="s">
        <v>607</v>
      </c>
      <c r="AC5" s="4442" t="s">
        <v>1974</v>
      </c>
      <c r="AD5" s="4442" t="s">
        <v>1975</v>
      </c>
      <c r="AE5" s="4478" t="s">
        <v>1976</v>
      </c>
      <c r="AF5" s="4477" t="s">
        <v>629</v>
      </c>
      <c r="AG5" s="4481" t="s">
        <v>487</v>
      </c>
      <c r="AH5" s="4478" t="s">
        <v>1977</v>
      </c>
      <c r="AI5" s="4478" t="s">
        <v>1978</v>
      </c>
      <c r="AJ5" s="4478" t="s">
        <v>1979</v>
      </c>
      <c r="AK5" s="4477" t="s">
        <v>631</v>
      </c>
      <c r="AL5" s="4478" t="s">
        <v>1980</v>
      </c>
      <c r="AM5" s="4478" t="s">
        <v>1981</v>
      </c>
      <c r="AN5" s="4476" t="s">
        <v>1982</v>
      </c>
      <c r="AO5" s="4477" t="s">
        <v>632</v>
      </c>
      <c r="AP5" s="4481" t="s">
        <v>525</v>
      </c>
      <c r="AQ5" s="4464" t="s">
        <v>1984</v>
      </c>
      <c r="AR5" s="4475" t="s">
        <v>1984</v>
      </c>
      <c r="AS5" s="4474"/>
      <c r="AT5" s="3363" t="s">
        <v>173</v>
      </c>
      <c r="AU5" s="2672" t="s">
        <v>174</v>
      </c>
      <c r="AV5" s="3364" t="s">
        <v>173</v>
      </c>
      <c r="AW5" s="3365" t="s">
        <v>174</v>
      </c>
      <c r="AX5" s="3366" t="s">
        <v>173</v>
      </c>
      <c r="AY5" s="3367" t="s">
        <v>174</v>
      </c>
      <c r="AZ5" s="3368" t="s">
        <v>173</v>
      </c>
      <c r="BA5" s="3369" t="s">
        <v>174</v>
      </c>
      <c r="BB5" s="3370" t="s">
        <v>173</v>
      </c>
      <c r="BC5" s="3371" t="s">
        <v>174</v>
      </c>
      <c r="BD5" s="3368" t="s">
        <v>173</v>
      </c>
      <c r="BE5" s="3365" t="s">
        <v>174</v>
      </c>
      <c r="BF5" s="3366" t="s">
        <v>173</v>
      </c>
      <c r="BG5" s="3367" t="s">
        <v>174</v>
      </c>
      <c r="BH5" s="3368" t="s">
        <v>173</v>
      </c>
      <c r="BI5" s="3365" t="s">
        <v>174</v>
      </c>
      <c r="BJ5" s="3366" t="s">
        <v>173</v>
      </c>
      <c r="BK5" s="3367" t="s">
        <v>174</v>
      </c>
      <c r="BL5" s="3373" t="s">
        <v>173</v>
      </c>
      <c r="BM5" s="753" t="s">
        <v>174</v>
      </c>
      <c r="BN5" s="3374" t="s">
        <v>173</v>
      </c>
      <c r="BO5" s="3374" t="s">
        <v>174</v>
      </c>
      <c r="BP5" s="3375" t="s">
        <v>173</v>
      </c>
      <c r="BQ5" s="3375" t="s">
        <v>174</v>
      </c>
      <c r="BR5" s="3372" t="s">
        <v>173</v>
      </c>
      <c r="BS5" s="3365" t="s">
        <v>174</v>
      </c>
      <c r="BT5" s="3366" t="s">
        <v>173</v>
      </c>
      <c r="BU5" s="3367" t="s">
        <v>174</v>
      </c>
      <c r="BV5" s="3372" t="s">
        <v>173</v>
      </c>
      <c r="BW5" s="3365" t="s">
        <v>174</v>
      </c>
      <c r="BX5" s="3366" t="s">
        <v>173</v>
      </c>
      <c r="BY5" s="3367" t="s">
        <v>174</v>
      </c>
      <c r="BZ5" s="3373" t="s">
        <v>173</v>
      </c>
      <c r="CA5" s="753" t="s">
        <v>174</v>
      </c>
      <c r="CB5" s="3374" t="s">
        <v>173</v>
      </c>
      <c r="CC5" s="3374" t="s">
        <v>174</v>
      </c>
      <c r="CD5" s="3366" t="s">
        <v>173</v>
      </c>
      <c r="CE5" s="3367" t="s">
        <v>174</v>
      </c>
      <c r="CF5" s="3372" t="s">
        <v>173</v>
      </c>
      <c r="CG5" s="3365" t="s">
        <v>174</v>
      </c>
      <c r="CH5" s="3366" t="s">
        <v>173</v>
      </c>
      <c r="CI5" s="3367" t="s">
        <v>174</v>
      </c>
      <c r="CJ5" s="3372" t="s">
        <v>173</v>
      </c>
      <c r="CK5" s="3365" t="s">
        <v>174</v>
      </c>
      <c r="CL5" s="3366" t="s">
        <v>173</v>
      </c>
      <c r="CM5" s="3367" t="s">
        <v>174</v>
      </c>
      <c r="CN5" s="3372" t="s">
        <v>173</v>
      </c>
      <c r="CO5" s="3365" t="s">
        <v>174</v>
      </c>
      <c r="CP5" s="3374" t="s">
        <v>173</v>
      </c>
      <c r="CQ5" s="3374" t="s">
        <v>174</v>
      </c>
      <c r="CR5" s="3375" t="s">
        <v>173</v>
      </c>
      <c r="CS5" s="3375" t="s">
        <v>174</v>
      </c>
      <c r="CT5" s="3366" t="s">
        <v>173</v>
      </c>
      <c r="CU5" s="3367" t="s">
        <v>174</v>
      </c>
      <c r="CV5" s="4447"/>
    </row>
    <row r="6" spans="1:101" x14ac:dyDescent="0.25">
      <c r="A6" s="4485"/>
      <c r="B6" s="4485"/>
      <c r="C6" s="4485"/>
      <c r="D6" s="4485"/>
      <c r="E6" s="5304" t="s">
        <v>1348</v>
      </c>
      <c r="F6" s="4466">
        <v>10088</v>
      </c>
      <c r="G6" s="4428"/>
      <c r="H6" s="4428"/>
      <c r="I6" s="4473"/>
      <c r="J6" s="4428"/>
      <c r="K6" s="4428"/>
      <c r="L6" s="4428"/>
      <c r="M6" s="4473"/>
      <c r="N6" s="4472"/>
      <c r="O6" s="4424"/>
      <c r="P6" s="4424"/>
      <c r="Q6" s="4428"/>
      <c r="R6" s="4473"/>
      <c r="S6" s="4428"/>
      <c r="T6" s="4428"/>
      <c r="U6" s="4471"/>
      <c r="V6" s="4473"/>
      <c r="W6" s="4472"/>
      <c r="X6" s="4440"/>
      <c r="Y6" s="4439"/>
      <c r="Z6" s="4428">
        <v>0</v>
      </c>
      <c r="AA6" s="4428"/>
      <c r="AB6" s="4473">
        <f t="shared" ref="AB6:AB60" si="0">+Y6+Z6+AA6</f>
        <v>0</v>
      </c>
      <c r="AC6" s="4428"/>
      <c r="AD6" s="4428"/>
      <c r="AE6" s="4428"/>
      <c r="AF6" s="4438">
        <f t="shared" ref="AF6:AF56" si="1">SUM(AC6:AE6)</f>
        <v>0</v>
      </c>
      <c r="AG6" s="4472">
        <f t="shared" ref="AG6:AG55" si="2">+AB6+AF6</f>
        <v>0</v>
      </c>
      <c r="AH6" s="4424"/>
      <c r="AI6" s="4424"/>
      <c r="AJ6" s="4424"/>
      <c r="AK6" s="4473">
        <f t="shared" ref="AK6:AK60" si="3">SUM(AH6:AJ6)</f>
        <v>0</v>
      </c>
      <c r="AL6" s="4428"/>
      <c r="AM6" s="4428"/>
      <c r="AN6" s="4471"/>
      <c r="AO6" s="4473">
        <f t="shared" ref="AO6" si="4">+AL6+AM6+AN6</f>
        <v>0</v>
      </c>
      <c r="AP6" s="4472">
        <f t="shared" ref="AP6" si="5">+AK6+AO6</f>
        <v>0</v>
      </c>
      <c r="AQ6" s="4437">
        <f>+AB6+AF6+AK6+AO6</f>
        <v>0</v>
      </c>
      <c r="AR6" s="4427">
        <f t="shared" ref="AR6:AR56" si="6">+X6+AQ6</f>
        <v>0</v>
      </c>
      <c r="AS6" s="4470"/>
      <c r="AT6" s="4430"/>
      <c r="AU6" s="4436">
        <f>+F6+Y6</f>
        <v>10088</v>
      </c>
      <c r="AV6" s="4435"/>
      <c r="AW6" s="4434">
        <f>+G6+Z6</f>
        <v>0</v>
      </c>
      <c r="AX6" s="4433"/>
      <c r="AY6" s="4433">
        <f>AU6+AW6</f>
        <v>10088</v>
      </c>
      <c r="AZ6" s="4433"/>
      <c r="BA6" s="4434">
        <f t="shared" ref="BA6:BA56" si="7">+H6+AA6</f>
        <v>0</v>
      </c>
      <c r="BB6" s="4432"/>
      <c r="BC6" s="4432">
        <f t="shared" ref="BC6:BC56" si="8">AU6+AW6+BA6</f>
        <v>10088</v>
      </c>
      <c r="BD6" s="4433"/>
      <c r="BE6" s="4434">
        <f t="shared" ref="BE6:BE56" si="9">+J6+AC6</f>
        <v>0</v>
      </c>
      <c r="BF6" s="4431"/>
      <c r="BG6" s="4431">
        <f t="shared" ref="BG6:BG56" si="10">+BC6+BE6</f>
        <v>10088</v>
      </c>
      <c r="BH6" s="4433"/>
      <c r="BI6" s="4434">
        <f t="shared" ref="BI6:BI56" si="11">K6+AD6</f>
        <v>0</v>
      </c>
      <c r="BJ6" s="4431"/>
      <c r="BK6" s="4431">
        <f t="shared" ref="BK6:BK56" si="12">+BG6+BI6</f>
        <v>10088</v>
      </c>
      <c r="BL6" s="4433"/>
      <c r="BM6" s="4434">
        <f t="shared" ref="BM6:BM56" si="13">+L6+AE6</f>
        <v>0</v>
      </c>
      <c r="BN6" s="4433"/>
      <c r="BO6" s="4432">
        <f t="shared" ref="BO6:BO56" si="14">BE6+BI6+BM6</f>
        <v>0</v>
      </c>
      <c r="BP6" s="4433"/>
      <c r="BQ6" s="4455">
        <f t="shared" ref="BQ6:BQ56" si="15">BC6+BO6</f>
        <v>10088</v>
      </c>
      <c r="BR6" s="4433"/>
      <c r="BS6" s="4434">
        <f t="shared" ref="BS6:BS56" si="16">+O6+AH6</f>
        <v>0</v>
      </c>
      <c r="BT6" s="4431"/>
      <c r="BU6" s="4431">
        <f t="shared" ref="BU6:BU56" si="17">BQ6+BS6</f>
        <v>10088</v>
      </c>
      <c r="BV6" s="4433"/>
      <c r="BW6" s="4434">
        <f t="shared" ref="BW6:BW56" si="18">+P6+AI6</f>
        <v>0</v>
      </c>
      <c r="BX6" s="4433"/>
      <c r="BY6" s="4433">
        <f t="shared" ref="BY6:BY56" si="19">BU6+BW6</f>
        <v>10088</v>
      </c>
      <c r="BZ6" s="4433"/>
      <c r="CA6" s="4434">
        <f t="shared" ref="CA6:CA56" si="20">+Q6+AJ6</f>
        <v>0</v>
      </c>
      <c r="CB6" s="4433"/>
      <c r="CC6" s="4432">
        <f t="shared" ref="CC6:CC56" si="21">BS6+BW6+CA6</f>
        <v>0</v>
      </c>
      <c r="CD6" s="4431"/>
      <c r="CE6" s="4431">
        <f t="shared" ref="CE6:CE56" si="22">BY6+CA6</f>
        <v>10088</v>
      </c>
      <c r="CF6" s="4433"/>
      <c r="CG6" s="4434">
        <f t="shared" ref="CG6:CG56" si="23">+S6+AL6</f>
        <v>0</v>
      </c>
      <c r="CH6" s="4433"/>
      <c r="CI6" s="4433">
        <f t="shared" ref="CI6:CI59" si="24">CG6+CE6</f>
        <v>10088</v>
      </c>
      <c r="CJ6" s="4433"/>
      <c r="CK6" s="4434">
        <f t="shared" ref="CK6:CK56" si="25">+T6+AM6</f>
        <v>0</v>
      </c>
      <c r="CL6" s="4431"/>
      <c r="CM6" s="4431">
        <f t="shared" ref="CM6:CM56" si="26">CI6+CK6</f>
        <v>10088</v>
      </c>
      <c r="CN6" s="4433"/>
      <c r="CO6" s="4434">
        <f t="shared" ref="CO6:CO56" si="27">+U6+AN6</f>
        <v>0</v>
      </c>
      <c r="CP6" s="4433"/>
      <c r="CQ6" s="4432">
        <f t="shared" ref="CQ6:CQ56" si="28">CG6+CK6+CO6</f>
        <v>0</v>
      </c>
      <c r="CR6" s="4433"/>
      <c r="CS6" s="4455">
        <f t="shared" ref="CS6:CS56" si="29">CC6+CQ6</f>
        <v>0</v>
      </c>
      <c r="CT6" s="4431"/>
      <c r="CU6" s="4457">
        <f t="shared" ref="CU6:CU56" si="30">SUM(AU6,AW6,BA6,BE6,BI6,BM6,BS6,BW6,CA6,CG6,CK6,CO6)</f>
        <v>10088</v>
      </c>
      <c r="CV6" s="6719"/>
      <c r="CW6" s="6719"/>
    </row>
    <row r="7" spans="1:101" x14ac:dyDescent="0.25">
      <c r="A7" s="4485"/>
      <c r="B7" s="4485"/>
      <c r="C7" s="4485"/>
      <c r="D7" s="4485"/>
      <c r="E7" s="5304" t="s">
        <v>1159</v>
      </c>
      <c r="F7" s="4466">
        <v>11940</v>
      </c>
      <c r="G7" s="4428"/>
      <c r="H7" s="4428"/>
      <c r="I7" s="4473"/>
      <c r="J7" s="4428"/>
      <c r="K7" s="4428"/>
      <c r="L7" s="4428"/>
      <c r="M7" s="4473"/>
      <c r="N7" s="4472"/>
      <c r="O7" s="4424"/>
      <c r="P7" s="4424"/>
      <c r="Q7" s="4428"/>
      <c r="R7" s="4473"/>
      <c r="S7" s="4428"/>
      <c r="T7" s="4428"/>
      <c r="U7" s="4471"/>
      <c r="V7" s="4473"/>
      <c r="W7" s="4472"/>
      <c r="X7" s="4440"/>
      <c r="Y7" s="4439"/>
      <c r="Z7" s="4428">
        <v>0</v>
      </c>
      <c r="AA7" s="4428"/>
      <c r="AB7" s="4473">
        <f t="shared" si="0"/>
        <v>0</v>
      </c>
      <c r="AC7" s="4428"/>
      <c r="AD7" s="4428"/>
      <c r="AE7" s="4428"/>
      <c r="AF7" s="4438">
        <f t="shared" si="1"/>
        <v>0</v>
      </c>
      <c r="AG7" s="4472">
        <f t="shared" si="2"/>
        <v>0</v>
      </c>
      <c r="AH7" s="4424"/>
      <c r="AI7" s="4424"/>
      <c r="AJ7" s="4424"/>
      <c r="AK7" s="4473">
        <f t="shared" si="3"/>
        <v>0</v>
      </c>
      <c r="AL7" s="4428"/>
      <c r="AM7" s="4428"/>
      <c r="AN7" s="4471"/>
      <c r="AO7" s="4473">
        <f t="shared" ref="AO7:AO55" si="31">+AL7+AM7+AN7</f>
        <v>0</v>
      </c>
      <c r="AP7" s="4472">
        <f t="shared" ref="AP7:AP55" si="32">+AK7+AO7</f>
        <v>0</v>
      </c>
      <c r="AQ7" s="4437">
        <f t="shared" ref="AQ7:AQ55" si="33">+AB7+AF7+AK7+AO7</f>
        <v>0</v>
      </c>
      <c r="AR7" s="4427">
        <f t="shared" si="6"/>
        <v>0</v>
      </c>
      <c r="AS7" s="4470"/>
      <c r="AT7" s="4430"/>
      <c r="AU7" s="4436">
        <f t="shared" ref="AU7:AU60" si="34">+F7+Y7</f>
        <v>11940</v>
      </c>
      <c r="AV7" s="4435"/>
      <c r="AW7" s="4434">
        <f t="shared" ref="AW7:AW60" si="35">+G7+Z7</f>
        <v>0</v>
      </c>
      <c r="AX7" s="4433"/>
      <c r="AY7" s="4433">
        <f t="shared" ref="AY7:AY60" si="36">AU7+AW7</f>
        <v>11940</v>
      </c>
      <c r="AZ7" s="4433"/>
      <c r="BA7" s="4434">
        <f t="shared" si="7"/>
        <v>0</v>
      </c>
      <c r="BB7" s="4432"/>
      <c r="BC7" s="4432">
        <f t="shared" si="8"/>
        <v>11940</v>
      </c>
      <c r="BD7" s="4433"/>
      <c r="BE7" s="4434">
        <f t="shared" si="9"/>
        <v>0</v>
      </c>
      <c r="BF7" s="4431"/>
      <c r="BG7" s="4431">
        <f t="shared" si="10"/>
        <v>11940</v>
      </c>
      <c r="BH7" s="4433"/>
      <c r="BI7" s="4434">
        <f t="shared" si="11"/>
        <v>0</v>
      </c>
      <c r="BJ7" s="4431"/>
      <c r="BK7" s="4431">
        <f t="shared" si="12"/>
        <v>11940</v>
      </c>
      <c r="BL7" s="4433"/>
      <c r="BM7" s="4434">
        <f t="shared" si="13"/>
        <v>0</v>
      </c>
      <c r="BN7" s="4433"/>
      <c r="BO7" s="4432">
        <f t="shared" si="14"/>
        <v>0</v>
      </c>
      <c r="BP7" s="4433"/>
      <c r="BQ7" s="4455">
        <f t="shared" si="15"/>
        <v>11940</v>
      </c>
      <c r="BR7" s="4433"/>
      <c r="BS7" s="4434">
        <f t="shared" si="16"/>
        <v>0</v>
      </c>
      <c r="BT7" s="4431"/>
      <c r="BU7" s="4431">
        <f t="shared" si="17"/>
        <v>11940</v>
      </c>
      <c r="BV7" s="4433"/>
      <c r="BW7" s="4434">
        <f t="shared" si="18"/>
        <v>0</v>
      </c>
      <c r="BX7" s="4433"/>
      <c r="BY7" s="4433">
        <f t="shared" si="19"/>
        <v>11940</v>
      </c>
      <c r="BZ7" s="4433"/>
      <c r="CA7" s="4434">
        <f t="shared" si="20"/>
        <v>0</v>
      </c>
      <c r="CB7" s="4433"/>
      <c r="CC7" s="4432">
        <f t="shared" si="21"/>
        <v>0</v>
      </c>
      <c r="CD7" s="4431"/>
      <c r="CE7" s="4431">
        <f t="shared" si="22"/>
        <v>11940</v>
      </c>
      <c r="CF7" s="4433"/>
      <c r="CG7" s="4434">
        <f t="shared" si="23"/>
        <v>0</v>
      </c>
      <c r="CH7" s="4433"/>
      <c r="CI7" s="4433">
        <f t="shared" si="24"/>
        <v>11940</v>
      </c>
      <c r="CJ7" s="4433"/>
      <c r="CK7" s="4434">
        <f t="shared" si="25"/>
        <v>0</v>
      </c>
      <c r="CL7" s="4431"/>
      <c r="CM7" s="4431">
        <f t="shared" si="26"/>
        <v>11940</v>
      </c>
      <c r="CN7" s="4433"/>
      <c r="CO7" s="4434">
        <f t="shared" si="27"/>
        <v>0</v>
      </c>
      <c r="CP7" s="4433"/>
      <c r="CQ7" s="4432">
        <f t="shared" si="28"/>
        <v>0</v>
      </c>
      <c r="CR7" s="4433"/>
      <c r="CS7" s="4455">
        <f t="shared" si="29"/>
        <v>0</v>
      </c>
      <c r="CT7" s="4431"/>
      <c r="CU7" s="4457">
        <f t="shared" si="30"/>
        <v>11940</v>
      </c>
      <c r="CV7" s="6719"/>
      <c r="CW7" s="6719"/>
    </row>
    <row r="8" spans="1:101" x14ac:dyDescent="0.25">
      <c r="A8" s="4485"/>
      <c r="B8" s="4485"/>
      <c r="C8" s="4485"/>
      <c r="D8" s="4485"/>
      <c r="E8" s="5304" t="s">
        <v>1853</v>
      </c>
      <c r="F8" s="4466"/>
      <c r="G8" s="4428"/>
      <c r="H8" s="4428"/>
      <c r="I8" s="4473"/>
      <c r="J8" s="4428"/>
      <c r="K8" s="4428"/>
      <c r="L8" s="4428"/>
      <c r="M8" s="4473"/>
      <c r="N8" s="4472"/>
      <c r="O8" s="4424"/>
      <c r="P8" s="4424"/>
      <c r="Q8" s="4428"/>
      <c r="R8" s="4473"/>
      <c r="S8" s="4428"/>
      <c r="T8" s="4428"/>
      <c r="U8" s="4471"/>
      <c r="V8" s="4473"/>
      <c r="W8" s="4472"/>
      <c r="X8" s="4440"/>
      <c r="Y8" s="4439"/>
      <c r="Z8" s="4428">
        <v>0</v>
      </c>
      <c r="AA8" s="4428"/>
      <c r="AB8" s="4473">
        <f t="shared" si="0"/>
        <v>0</v>
      </c>
      <c r="AC8" s="4428"/>
      <c r="AD8" s="4428"/>
      <c r="AE8" s="4428"/>
      <c r="AF8" s="4438">
        <f t="shared" si="1"/>
        <v>0</v>
      </c>
      <c r="AG8" s="4472">
        <f t="shared" si="2"/>
        <v>0</v>
      </c>
      <c r="AH8" s="4424"/>
      <c r="AI8" s="4424"/>
      <c r="AJ8" s="4424"/>
      <c r="AK8" s="4473">
        <f t="shared" si="3"/>
        <v>0</v>
      </c>
      <c r="AL8" s="4428"/>
      <c r="AM8" s="4428"/>
      <c r="AN8" s="4471"/>
      <c r="AO8" s="4473">
        <f t="shared" si="31"/>
        <v>0</v>
      </c>
      <c r="AP8" s="4472">
        <f t="shared" si="32"/>
        <v>0</v>
      </c>
      <c r="AQ8" s="4437">
        <f t="shared" si="33"/>
        <v>0</v>
      </c>
      <c r="AR8" s="4427">
        <f t="shared" si="6"/>
        <v>0</v>
      </c>
      <c r="AS8" s="4470"/>
      <c r="AT8" s="4430"/>
      <c r="AU8" s="4436">
        <f t="shared" si="34"/>
        <v>0</v>
      </c>
      <c r="AV8" s="5462"/>
      <c r="AW8" s="4434">
        <f t="shared" si="35"/>
        <v>0</v>
      </c>
      <c r="AX8" s="5666"/>
      <c r="AY8" s="4433">
        <f t="shared" si="36"/>
        <v>0</v>
      </c>
      <c r="AZ8" s="5666"/>
      <c r="BA8" s="4434">
        <f t="shared" si="7"/>
        <v>0</v>
      </c>
      <c r="BB8" s="5667"/>
      <c r="BC8" s="4432">
        <f t="shared" si="8"/>
        <v>0</v>
      </c>
      <c r="BD8" s="5666"/>
      <c r="BE8" s="4434">
        <f t="shared" si="9"/>
        <v>0</v>
      </c>
      <c r="BF8" s="5668"/>
      <c r="BG8" s="4431">
        <f t="shared" si="10"/>
        <v>0</v>
      </c>
      <c r="BH8" s="5666"/>
      <c r="BI8" s="4434">
        <f t="shared" si="11"/>
        <v>0</v>
      </c>
      <c r="BJ8" s="5668"/>
      <c r="BK8" s="4431">
        <f t="shared" si="12"/>
        <v>0</v>
      </c>
      <c r="BL8" s="5666"/>
      <c r="BM8" s="4434">
        <f t="shared" si="13"/>
        <v>0</v>
      </c>
      <c r="BN8" s="5666"/>
      <c r="BO8" s="4432">
        <f t="shared" si="14"/>
        <v>0</v>
      </c>
      <c r="BP8" s="5666"/>
      <c r="BQ8" s="4455">
        <f t="shared" si="15"/>
        <v>0</v>
      </c>
      <c r="BR8" s="5666"/>
      <c r="BS8" s="4434">
        <f t="shared" si="16"/>
        <v>0</v>
      </c>
      <c r="BT8" s="5668"/>
      <c r="BU8" s="4431">
        <f t="shared" si="17"/>
        <v>0</v>
      </c>
      <c r="BV8" s="5666"/>
      <c r="BW8" s="4434">
        <f t="shared" si="18"/>
        <v>0</v>
      </c>
      <c r="BX8" s="5666"/>
      <c r="BY8" s="4433">
        <f t="shared" si="19"/>
        <v>0</v>
      </c>
      <c r="BZ8" s="5666"/>
      <c r="CA8" s="4434">
        <f t="shared" si="20"/>
        <v>0</v>
      </c>
      <c r="CB8" s="5666"/>
      <c r="CC8" s="4432">
        <f t="shared" si="21"/>
        <v>0</v>
      </c>
      <c r="CD8" s="5668"/>
      <c r="CE8" s="4431">
        <f t="shared" si="22"/>
        <v>0</v>
      </c>
      <c r="CF8" s="5666"/>
      <c r="CG8" s="4434">
        <f t="shared" si="23"/>
        <v>0</v>
      </c>
      <c r="CH8" s="5666"/>
      <c r="CI8" s="4433">
        <f t="shared" si="24"/>
        <v>0</v>
      </c>
      <c r="CJ8" s="5666"/>
      <c r="CK8" s="5666">
        <f t="shared" si="25"/>
        <v>0</v>
      </c>
      <c r="CL8" s="5668"/>
      <c r="CM8" s="5668">
        <f t="shared" si="26"/>
        <v>0</v>
      </c>
      <c r="CN8" s="5666"/>
      <c r="CO8" s="4434">
        <f t="shared" si="27"/>
        <v>0</v>
      </c>
      <c r="CP8" s="5666"/>
      <c r="CQ8" s="4432">
        <f t="shared" si="28"/>
        <v>0</v>
      </c>
      <c r="CR8" s="5666"/>
      <c r="CS8" s="4455">
        <f t="shared" si="29"/>
        <v>0</v>
      </c>
      <c r="CT8" s="5668"/>
      <c r="CU8" s="4457">
        <f t="shared" si="30"/>
        <v>0</v>
      </c>
      <c r="CV8" s="6719"/>
      <c r="CW8" s="6719"/>
    </row>
    <row r="9" spans="1:101" x14ac:dyDescent="0.25">
      <c r="A9" s="4485"/>
      <c r="B9" s="4485"/>
      <c r="C9" s="4485"/>
      <c r="D9" s="4485"/>
      <c r="E9" s="5304" t="s">
        <v>1615</v>
      </c>
      <c r="F9" s="4466"/>
      <c r="G9" s="4428"/>
      <c r="H9" s="4428"/>
      <c r="I9" s="4473"/>
      <c r="J9" s="4428"/>
      <c r="K9" s="4428"/>
      <c r="L9" s="4428"/>
      <c r="M9" s="4473"/>
      <c r="N9" s="4472"/>
      <c r="O9" s="4424"/>
      <c r="P9" s="4424"/>
      <c r="Q9" s="4428"/>
      <c r="R9" s="4473"/>
      <c r="S9" s="4428"/>
      <c r="T9" s="4428"/>
      <c r="U9" s="4471"/>
      <c r="V9" s="4473"/>
      <c r="W9" s="4472"/>
      <c r="X9" s="4440"/>
      <c r="Y9" s="4439"/>
      <c r="Z9" s="4428">
        <v>0</v>
      </c>
      <c r="AA9" s="4428"/>
      <c r="AB9" s="4473">
        <f t="shared" si="0"/>
        <v>0</v>
      </c>
      <c r="AC9" s="4428"/>
      <c r="AD9" s="4428"/>
      <c r="AE9" s="4428"/>
      <c r="AF9" s="4438">
        <f t="shared" si="1"/>
        <v>0</v>
      </c>
      <c r="AG9" s="4472">
        <f t="shared" si="2"/>
        <v>0</v>
      </c>
      <c r="AH9" s="4424"/>
      <c r="AI9" s="4424"/>
      <c r="AJ9" s="4424"/>
      <c r="AK9" s="4473">
        <f t="shared" si="3"/>
        <v>0</v>
      </c>
      <c r="AL9" s="4428"/>
      <c r="AM9" s="4428"/>
      <c r="AN9" s="4471"/>
      <c r="AO9" s="4473">
        <f t="shared" si="31"/>
        <v>0</v>
      </c>
      <c r="AP9" s="4472">
        <f t="shared" si="32"/>
        <v>0</v>
      </c>
      <c r="AQ9" s="4437">
        <f t="shared" si="33"/>
        <v>0</v>
      </c>
      <c r="AR9" s="4427">
        <f t="shared" si="6"/>
        <v>0</v>
      </c>
      <c r="AS9" s="4470"/>
      <c r="AT9" s="4430"/>
      <c r="AU9" s="4436">
        <f t="shared" si="34"/>
        <v>0</v>
      </c>
      <c r="AV9" s="5462"/>
      <c r="AW9" s="4434">
        <f t="shared" si="35"/>
        <v>0</v>
      </c>
      <c r="AX9" s="5666"/>
      <c r="AY9" s="4433">
        <f t="shared" si="36"/>
        <v>0</v>
      </c>
      <c r="AZ9" s="5666"/>
      <c r="BA9" s="4434">
        <f t="shared" si="7"/>
        <v>0</v>
      </c>
      <c r="BB9" s="5667"/>
      <c r="BC9" s="4432">
        <f t="shared" si="8"/>
        <v>0</v>
      </c>
      <c r="BD9" s="5666"/>
      <c r="BE9" s="4434">
        <f t="shared" si="9"/>
        <v>0</v>
      </c>
      <c r="BF9" s="5668"/>
      <c r="BG9" s="4431">
        <f t="shared" si="10"/>
        <v>0</v>
      </c>
      <c r="BH9" s="5666"/>
      <c r="BI9" s="4434">
        <f t="shared" si="11"/>
        <v>0</v>
      </c>
      <c r="BJ9" s="5668"/>
      <c r="BK9" s="4431">
        <f t="shared" si="12"/>
        <v>0</v>
      </c>
      <c r="BL9" s="5666"/>
      <c r="BM9" s="4434">
        <f t="shared" si="13"/>
        <v>0</v>
      </c>
      <c r="BN9" s="5666"/>
      <c r="BO9" s="4432">
        <f t="shared" si="14"/>
        <v>0</v>
      </c>
      <c r="BP9" s="5666"/>
      <c r="BQ9" s="4455">
        <f t="shared" si="15"/>
        <v>0</v>
      </c>
      <c r="BR9" s="5666"/>
      <c r="BS9" s="4434">
        <f t="shared" si="16"/>
        <v>0</v>
      </c>
      <c r="BT9" s="5668"/>
      <c r="BU9" s="4431">
        <f t="shared" si="17"/>
        <v>0</v>
      </c>
      <c r="BV9" s="5666"/>
      <c r="BW9" s="4434">
        <f t="shared" si="18"/>
        <v>0</v>
      </c>
      <c r="BX9" s="5666"/>
      <c r="BY9" s="4433">
        <f t="shared" si="19"/>
        <v>0</v>
      </c>
      <c r="BZ9" s="5666"/>
      <c r="CA9" s="4434">
        <f t="shared" si="20"/>
        <v>0</v>
      </c>
      <c r="CB9" s="5666"/>
      <c r="CC9" s="4432">
        <f t="shared" si="21"/>
        <v>0</v>
      </c>
      <c r="CD9" s="5668"/>
      <c r="CE9" s="4431">
        <f t="shared" si="22"/>
        <v>0</v>
      </c>
      <c r="CF9" s="5666"/>
      <c r="CG9" s="4434">
        <f t="shared" si="23"/>
        <v>0</v>
      </c>
      <c r="CH9" s="5666"/>
      <c r="CI9" s="4433">
        <f t="shared" si="24"/>
        <v>0</v>
      </c>
      <c r="CJ9" s="5666"/>
      <c r="CK9" s="5666">
        <f t="shared" si="25"/>
        <v>0</v>
      </c>
      <c r="CL9" s="5668"/>
      <c r="CM9" s="5668">
        <f t="shared" si="26"/>
        <v>0</v>
      </c>
      <c r="CN9" s="5666"/>
      <c r="CO9" s="4434">
        <f t="shared" si="27"/>
        <v>0</v>
      </c>
      <c r="CP9" s="5666"/>
      <c r="CQ9" s="4432">
        <f t="shared" si="28"/>
        <v>0</v>
      </c>
      <c r="CR9" s="5666"/>
      <c r="CS9" s="4455">
        <f t="shared" si="29"/>
        <v>0</v>
      </c>
      <c r="CT9" s="5668"/>
      <c r="CU9" s="4457">
        <f t="shared" si="30"/>
        <v>0</v>
      </c>
      <c r="CV9" s="6719"/>
      <c r="CW9" s="6719"/>
    </row>
    <row r="10" spans="1:101" x14ac:dyDescent="0.25">
      <c r="A10" s="4485"/>
      <c r="B10" s="4485"/>
      <c r="C10" s="4485"/>
      <c r="D10" s="4485"/>
      <c r="E10" s="5304" t="s">
        <v>1352</v>
      </c>
      <c r="F10" s="4466">
        <v>952</v>
      </c>
      <c r="G10" s="4428"/>
      <c r="H10" s="4428"/>
      <c r="I10" s="4473"/>
      <c r="J10" s="4428"/>
      <c r="K10" s="4428"/>
      <c r="L10" s="4428"/>
      <c r="M10" s="4473"/>
      <c r="N10" s="4472"/>
      <c r="O10" s="4424"/>
      <c r="P10" s="4424"/>
      <c r="Q10" s="4428"/>
      <c r="R10" s="4473"/>
      <c r="S10" s="4428"/>
      <c r="T10" s="4428"/>
      <c r="U10" s="4471"/>
      <c r="V10" s="4473"/>
      <c r="W10" s="4472"/>
      <c r="X10" s="4440"/>
      <c r="Y10" s="4439"/>
      <c r="Z10" s="4428">
        <v>0</v>
      </c>
      <c r="AA10" s="4428"/>
      <c r="AB10" s="4473">
        <f t="shared" si="0"/>
        <v>0</v>
      </c>
      <c r="AC10" s="4428"/>
      <c r="AD10" s="4428"/>
      <c r="AE10" s="4428"/>
      <c r="AF10" s="4438">
        <f t="shared" si="1"/>
        <v>0</v>
      </c>
      <c r="AG10" s="4472">
        <f t="shared" si="2"/>
        <v>0</v>
      </c>
      <c r="AH10" s="4424"/>
      <c r="AI10" s="4424"/>
      <c r="AJ10" s="4424"/>
      <c r="AK10" s="4473">
        <f t="shared" si="3"/>
        <v>0</v>
      </c>
      <c r="AL10" s="4428"/>
      <c r="AM10" s="4428"/>
      <c r="AN10" s="4471"/>
      <c r="AO10" s="4473">
        <f t="shared" si="31"/>
        <v>0</v>
      </c>
      <c r="AP10" s="4472">
        <f t="shared" si="32"/>
        <v>0</v>
      </c>
      <c r="AQ10" s="4437">
        <f t="shared" si="33"/>
        <v>0</v>
      </c>
      <c r="AR10" s="4427">
        <f t="shared" si="6"/>
        <v>0</v>
      </c>
      <c r="AS10" s="4470"/>
      <c r="AT10" s="4430"/>
      <c r="AU10" s="4436">
        <f t="shared" si="34"/>
        <v>952</v>
      </c>
      <c r="AV10" s="5462"/>
      <c r="AW10" s="4434">
        <f t="shared" si="35"/>
        <v>0</v>
      </c>
      <c r="AX10" s="5666"/>
      <c r="AY10" s="4433">
        <f t="shared" si="36"/>
        <v>952</v>
      </c>
      <c r="AZ10" s="5666"/>
      <c r="BA10" s="4434">
        <f t="shared" si="7"/>
        <v>0</v>
      </c>
      <c r="BB10" s="5667"/>
      <c r="BC10" s="4432">
        <f t="shared" si="8"/>
        <v>952</v>
      </c>
      <c r="BD10" s="5666"/>
      <c r="BE10" s="4434">
        <f t="shared" si="9"/>
        <v>0</v>
      </c>
      <c r="BF10" s="5668"/>
      <c r="BG10" s="4431">
        <f t="shared" si="10"/>
        <v>952</v>
      </c>
      <c r="BH10" s="5666"/>
      <c r="BI10" s="4434">
        <f t="shared" si="11"/>
        <v>0</v>
      </c>
      <c r="BJ10" s="5668"/>
      <c r="BK10" s="4431">
        <f t="shared" si="12"/>
        <v>952</v>
      </c>
      <c r="BL10" s="5666"/>
      <c r="BM10" s="4434">
        <f t="shared" si="13"/>
        <v>0</v>
      </c>
      <c r="BN10" s="5666"/>
      <c r="BO10" s="4432">
        <f t="shared" si="14"/>
        <v>0</v>
      </c>
      <c r="BP10" s="5666"/>
      <c r="BQ10" s="4455">
        <f t="shared" si="15"/>
        <v>952</v>
      </c>
      <c r="BR10" s="5666"/>
      <c r="BS10" s="4434">
        <f t="shared" si="16"/>
        <v>0</v>
      </c>
      <c r="BT10" s="5668"/>
      <c r="BU10" s="4431">
        <f t="shared" si="17"/>
        <v>952</v>
      </c>
      <c r="BV10" s="5666"/>
      <c r="BW10" s="4434">
        <f t="shared" si="18"/>
        <v>0</v>
      </c>
      <c r="BX10" s="5666"/>
      <c r="BY10" s="4433">
        <f t="shared" si="19"/>
        <v>952</v>
      </c>
      <c r="BZ10" s="5666"/>
      <c r="CA10" s="4434">
        <f t="shared" si="20"/>
        <v>0</v>
      </c>
      <c r="CB10" s="5666"/>
      <c r="CC10" s="4432">
        <f t="shared" si="21"/>
        <v>0</v>
      </c>
      <c r="CD10" s="5668"/>
      <c r="CE10" s="4431">
        <f t="shared" si="22"/>
        <v>952</v>
      </c>
      <c r="CF10" s="5666"/>
      <c r="CG10" s="4434">
        <f t="shared" si="23"/>
        <v>0</v>
      </c>
      <c r="CH10" s="5666"/>
      <c r="CI10" s="4433">
        <f t="shared" si="24"/>
        <v>952</v>
      </c>
      <c r="CJ10" s="5666"/>
      <c r="CK10" s="5666">
        <f t="shared" si="25"/>
        <v>0</v>
      </c>
      <c r="CL10" s="5668"/>
      <c r="CM10" s="5668">
        <f t="shared" si="26"/>
        <v>952</v>
      </c>
      <c r="CN10" s="5666"/>
      <c r="CO10" s="4434">
        <f t="shared" si="27"/>
        <v>0</v>
      </c>
      <c r="CP10" s="5666"/>
      <c r="CQ10" s="4432">
        <f t="shared" si="28"/>
        <v>0</v>
      </c>
      <c r="CR10" s="5666"/>
      <c r="CS10" s="4455">
        <f t="shared" si="29"/>
        <v>0</v>
      </c>
      <c r="CT10" s="5668"/>
      <c r="CU10" s="4457">
        <f t="shared" si="30"/>
        <v>952</v>
      </c>
      <c r="CV10" s="6719"/>
      <c r="CW10" s="6719"/>
    </row>
    <row r="11" spans="1:101" x14ac:dyDescent="0.25">
      <c r="A11" s="4485"/>
      <c r="B11" s="4485"/>
      <c r="C11" s="4485"/>
      <c r="D11" s="4485"/>
      <c r="E11" s="5304" t="s">
        <v>1350</v>
      </c>
      <c r="F11" s="4466"/>
      <c r="G11" s="4428"/>
      <c r="H11" s="4428"/>
      <c r="I11" s="4473"/>
      <c r="J11" s="4428"/>
      <c r="K11" s="4428"/>
      <c r="L11" s="4428"/>
      <c r="M11" s="4473"/>
      <c r="N11" s="4472"/>
      <c r="O11" s="4424"/>
      <c r="P11" s="4424"/>
      <c r="Q11" s="4428"/>
      <c r="R11" s="4473"/>
      <c r="S11" s="4428"/>
      <c r="T11" s="4428"/>
      <c r="U11" s="4471"/>
      <c r="V11" s="4473"/>
      <c r="W11" s="4472"/>
      <c r="X11" s="4440"/>
      <c r="Y11" s="4439"/>
      <c r="Z11" s="4428"/>
      <c r="AA11" s="4428"/>
      <c r="AB11" s="4473">
        <f t="shared" si="0"/>
        <v>0</v>
      </c>
      <c r="AC11" s="4428"/>
      <c r="AD11" s="4428"/>
      <c r="AE11" s="4428"/>
      <c r="AF11" s="4438">
        <f t="shared" si="1"/>
        <v>0</v>
      </c>
      <c r="AG11" s="4472">
        <f t="shared" si="2"/>
        <v>0</v>
      </c>
      <c r="AH11" s="4424"/>
      <c r="AI11" s="4424"/>
      <c r="AJ11" s="4424"/>
      <c r="AK11" s="4473">
        <f t="shared" si="3"/>
        <v>0</v>
      </c>
      <c r="AL11" s="4428"/>
      <c r="AM11" s="4428"/>
      <c r="AN11" s="4471"/>
      <c r="AO11" s="4473">
        <f t="shared" si="31"/>
        <v>0</v>
      </c>
      <c r="AP11" s="4472">
        <f t="shared" si="32"/>
        <v>0</v>
      </c>
      <c r="AQ11" s="4437">
        <f t="shared" si="33"/>
        <v>0</v>
      </c>
      <c r="AR11" s="4427">
        <f t="shared" si="6"/>
        <v>0</v>
      </c>
      <c r="AS11" s="4470"/>
      <c r="AT11" s="4430"/>
      <c r="AU11" s="4436">
        <f t="shared" si="34"/>
        <v>0</v>
      </c>
      <c r="AV11" s="4435"/>
      <c r="AW11" s="4434">
        <f t="shared" si="35"/>
        <v>0</v>
      </c>
      <c r="AX11" s="4433"/>
      <c r="AY11" s="4433">
        <f t="shared" si="36"/>
        <v>0</v>
      </c>
      <c r="AZ11" s="4433"/>
      <c r="BA11" s="4434">
        <f t="shared" si="7"/>
        <v>0</v>
      </c>
      <c r="BB11" s="4432"/>
      <c r="BC11" s="4432">
        <f t="shared" si="8"/>
        <v>0</v>
      </c>
      <c r="BD11" s="4433"/>
      <c r="BE11" s="4434">
        <f t="shared" si="9"/>
        <v>0</v>
      </c>
      <c r="BF11" s="4431"/>
      <c r="BG11" s="4431">
        <f t="shared" si="10"/>
        <v>0</v>
      </c>
      <c r="BH11" s="4433"/>
      <c r="BI11" s="4434">
        <f t="shared" si="11"/>
        <v>0</v>
      </c>
      <c r="BJ11" s="4431"/>
      <c r="BK11" s="4431">
        <f t="shared" si="12"/>
        <v>0</v>
      </c>
      <c r="BL11" s="4433"/>
      <c r="BM11" s="4434">
        <f t="shared" si="13"/>
        <v>0</v>
      </c>
      <c r="BN11" s="4433"/>
      <c r="BO11" s="4432">
        <f t="shared" si="14"/>
        <v>0</v>
      </c>
      <c r="BP11" s="4433"/>
      <c r="BQ11" s="4455">
        <f t="shared" si="15"/>
        <v>0</v>
      </c>
      <c r="BR11" s="4433"/>
      <c r="BS11" s="4434">
        <f t="shared" si="16"/>
        <v>0</v>
      </c>
      <c r="BT11" s="4431"/>
      <c r="BU11" s="4431">
        <f t="shared" si="17"/>
        <v>0</v>
      </c>
      <c r="BV11" s="4433"/>
      <c r="BW11" s="4434">
        <f t="shared" si="18"/>
        <v>0</v>
      </c>
      <c r="BX11" s="4433"/>
      <c r="BY11" s="4433">
        <f t="shared" si="19"/>
        <v>0</v>
      </c>
      <c r="BZ11" s="4433"/>
      <c r="CA11" s="4434">
        <f t="shared" si="20"/>
        <v>0</v>
      </c>
      <c r="CB11" s="4433"/>
      <c r="CC11" s="4432">
        <f t="shared" si="21"/>
        <v>0</v>
      </c>
      <c r="CD11" s="4431"/>
      <c r="CE11" s="4431">
        <f t="shared" si="22"/>
        <v>0</v>
      </c>
      <c r="CF11" s="4433"/>
      <c r="CG11" s="4434">
        <f t="shared" si="23"/>
        <v>0</v>
      </c>
      <c r="CH11" s="4433"/>
      <c r="CI11" s="4433">
        <f t="shared" si="24"/>
        <v>0</v>
      </c>
      <c r="CJ11" s="4433"/>
      <c r="CK11" s="4434">
        <f t="shared" si="25"/>
        <v>0</v>
      </c>
      <c r="CL11" s="4431"/>
      <c r="CM11" s="4431">
        <f t="shared" si="26"/>
        <v>0</v>
      </c>
      <c r="CN11" s="4433"/>
      <c r="CO11" s="4434">
        <f t="shared" si="27"/>
        <v>0</v>
      </c>
      <c r="CP11" s="4433"/>
      <c r="CQ11" s="4432">
        <f t="shared" si="28"/>
        <v>0</v>
      </c>
      <c r="CR11" s="4433"/>
      <c r="CS11" s="4455">
        <f t="shared" si="29"/>
        <v>0</v>
      </c>
      <c r="CT11" s="4431"/>
      <c r="CU11" s="4457">
        <f t="shared" si="30"/>
        <v>0</v>
      </c>
      <c r="CV11" s="6719"/>
      <c r="CW11" s="6719"/>
    </row>
    <row r="12" spans="1:101" x14ac:dyDescent="0.25">
      <c r="A12" s="4485"/>
      <c r="B12" s="4485"/>
      <c r="C12" s="4485"/>
      <c r="D12" s="4485"/>
      <c r="E12" s="5304" t="s">
        <v>1874</v>
      </c>
      <c r="F12" s="4466">
        <v>2500</v>
      </c>
      <c r="G12" s="4428"/>
      <c r="H12" s="4428"/>
      <c r="I12" s="4473"/>
      <c r="J12" s="4428"/>
      <c r="K12" s="4428"/>
      <c r="L12" s="4428"/>
      <c r="M12" s="4473"/>
      <c r="N12" s="4472"/>
      <c r="O12" s="4424"/>
      <c r="P12" s="4424"/>
      <c r="Q12" s="4428"/>
      <c r="R12" s="4473"/>
      <c r="S12" s="4428"/>
      <c r="T12" s="4428"/>
      <c r="U12" s="4471"/>
      <c r="V12" s="4473"/>
      <c r="W12" s="4472"/>
      <c r="X12" s="4440"/>
      <c r="Y12" s="4439"/>
      <c r="Z12" s="4428">
        <v>0</v>
      </c>
      <c r="AA12" s="4428"/>
      <c r="AB12" s="4473">
        <f t="shared" si="0"/>
        <v>0</v>
      </c>
      <c r="AC12" s="4428"/>
      <c r="AD12" s="4428"/>
      <c r="AE12" s="4428"/>
      <c r="AF12" s="4438">
        <f t="shared" si="1"/>
        <v>0</v>
      </c>
      <c r="AG12" s="4472">
        <f t="shared" si="2"/>
        <v>0</v>
      </c>
      <c r="AH12" s="4424"/>
      <c r="AI12" s="4424"/>
      <c r="AJ12" s="4424"/>
      <c r="AK12" s="4473">
        <f t="shared" si="3"/>
        <v>0</v>
      </c>
      <c r="AL12" s="4428"/>
      <c r="AM12" s="4428"/>
      <c r="AN12" s="4471"/>
      <c r="AO12" s="4473">
        <f t="shared" si="31"/>
        <v>0</v>
      </c>
      <c r="AP12" s="4472">
        <f t="shared" si="32"/>
        <v>0</v>
      </c>
      <c r="AQ12" s="4437">
        <f t="shared" si="33"/>
        <v>0</v>
      </c>
      <c r="AR12" s="4427">
        <f t="shared" si="6"/>
        <v>0</v>
      </c>
      <c r="AS12" s="4470"/>
      <c r="AT12" s="4430"/>
      <c r="AU12" s="4436">
        <f t="shared" si="34"/>
        <v>2500</v>
      </c>
      <c r="AV12" s="4435"/>
      <c r="AW12" s="4434">
        <f t="shared" si="35"/>
        <v>0</v>
      </c>
      <c r="AX12" s="4433"/>
      <c r="AY12" s="4433">
        <f t="shared" si="36"/>
        <v>2500</v>
      </c>
      <c r="AZ12" s="4433"/>
      <c r="BA12" s="4434">
        <f t="shared" si="7"/>
        <v>0</v>
      </c>
      <c r="BB12" s="4432"/>
      <c r="BC12" s="4432">
        <f t="shared" si="8"/>
        <v>2500</v>
      </c>
      <c r="BD12" s="4433"/>
      <c r="BE12" s="4434">
        <f t="shared" si="9"/>
        <v>0</v>
      </c>
      <c r="BF12" s="4431"/>
      <c r="BG12" s="4431">
        <f t="shared" si="10"/>
        <v>2500</v>
      </c>
      <c r="BH12" s="4433"/>
      <c r="BI12" s="4434">
        <f t="shared" si="11"/>
        <v>0</v>
      </c>
      <c r="BJ12" s="4431"/>
      <c r="BK12" s="4431">
        <f t="shared" si="12"/>
        <v>2500</v>
      </c>
      <c r="BL12" s="4433"/>
      <c r="BM12" s="4434">
        <f t="shared" si="13"/>
        <v>0</v>
      </c>
      <c r="BN12" s="4433"/>
      <c r="BO12" s="4432">
        <f t="shared" si="14"/>
        <v>0</v>
      </c>
      <c r="BP12" s="4433"/>
      <c r="BQ12" s="4455">
        <f t="shared" si="15"/>
        <v>2500</v>
      </c>
      <c r="BR12" s="4433"/>
      <c r="BS12" s="4434">
        <f t="shared" si="16"/>
        <v>0</v>
      </c>
      <c r="BT12" s="4431"/>
      <c r="BU12" s="4431">
        <f t="shared" si="17"/>
        <v>2500</v>
      </c>
      <c r="BV12" s="4433"/>
      <c r="BW12" s="4434">
        <f t="shared" si="18"/>
        <v>0</v>
      </c>
      <c r="BX12" s="4433"/>
      <c r="BY12" s="4433">
        <f t="shared" si="19"/>
        <v>2500</v>
      </c>
      <c r="BZ12" s="4433"/>
      <c r="CA12" s="4434">
        <f t="shared" si="20"/>
        <v>0</v>
      </c>
      <c r="CB12" s="4433"/>
      <c r="CC12" s="4432">
        <f t="shared" si="21"/>
        <v>0</v>
      </c>
      <c r="CD12" s="4431"/>
      <c r="CE12" s="4431">
        <f t="shared" si="22"/>
        <v>2500</v>
      </c>
      <c r="CF12" s="4433"/>
      <c r="CG12" s="4434">
        <f t="shared" si="23"/>
        <v>0</v>
      </c>
      <c r="CH12" s="4433"/>
      <c r="CI12" s="4433">
        <f t="shared" si="24"/>
        <v>2500</v>
      </c>
      <c r="CJ12" s="4433"/>
      <c r="CK12" s="4434">
        <f t="shared" si="25"/>
        <v>0</v>
      </c>
      <c r="CL12" s="4431"/>
      <c r="CM12" s="4431">
        <f t="shared" si="26"/>
        <v>2500</v>
      </c>
      <c r="CN12" s="4433"/>
      <c r="CO12" s="4434">
        <f t="shared" si="27"/>
        <v>0</v>
      </c>
      <c r="CP12" s="4433"/>
      <c r="CQ12" s="4432">
        <f t="shared" si="28"/>
        <v>0</v>
      </c>
      <c r="CR12" s="4433"/>
      <c r="CS12" s="4455">
        <f t="shared" si="29"/>
        <v>0</v>
      </c>
      <c r="CT12" s="4431"/>
      <c r="CU12" s="4457">
        <f t="shared" si="30"/>
        <v>2500</v>
      </c>
      <c r="CV12" s="6719"/>
      <c r="CW12" s="6719"/>
    </row>
    <row r="13" spans="1:101" x14ac:dyDescent="0.25">
      <c r="A13" s="4485"/>
      <c r="B13" s="4485"/>
      <c r="C13" s="4485"/>
      <c r="D13" s="4485"/>
      <c r="E13" s="5304" t="s">
        <v>1351</v>
      </c>
      <c r="F13" s="4466"/>
      <c r="G13" s="4428"/>
      <c r="H13" s="4428"/>
      <c r="I13" s="4473"/>
      <c r="J13" s="4428"/>
      <c r="K13" s="4428"/>
      <c r="L13" s="4428"/>
      <c r="M13" s="4473"/>
      <c r="N13" s="4472"/>
      <c r="O13" s="4424"/>
      <c r="P13" s="4424"/>
      <c r="Q13" s="4428"/>
      <c r="R13" s="4473"/>
      <c r="S13" s="4428"/>
      <c r="T13" s="4428"/>
      <c r="U13" s="4471"/>
      <c r="V13" s="4473"/>
      <c r="W13" s="4472"/>
      <c r="X13" s="4440"/>
      <c r="Y13" s="4439"/>
      <c r="Z13" s="4428">
        <v>0</v>
      </c>
      <c r="AA13" s="4428"/>
      <c r="AB13" s="4473">
        <f t="shared" si="0"/>
        <v>0</v>
      </c>
      <c r="AC13" s="4428"/>
      <c r="AD13" s="4428"/>
      <c r="AE13" s="4428"/>
      <c r="AF13" s="4438">
        <f t="shared" si="1"/>
        <v>0</v>
      </c>
      <c r="AG13" s="4472">
        <f t="shared" si="2"/>
        <v>0</v>
      </c>
      <c r="AH13" s="4424"/>
      <c r="AI13" s="4424"/>
      <c r="AJ13" s="4424"/>
      <c r="AK13" s="4473">
        <f t="shared" si="3"/>
        <v>0</v>
      </c>
      <c r="AL13" s="4428"/>
      <c r="AM13" s="4428"/>
      <c r="AN13" s="4471"/>
      <c r="AO13" s="4473">
        <f t="shared" si="31"/>
        <v>0</v>
      </c>
      <c r="AP13" s="4472">
        <f t="shared" si="32"/>
        <v>0</v>
      </c>
      <c r="AQ13" s="4437">
        <f t="shared" si="33"/>
        <v>0</v>
      </c>
      <c r="AR13" s="4427">
        <f t="shared" si="6"/>
        <v>0</v>
      </c>
      <c r="AS13" s="4470"/>
      <c r="AT13" s="4430"/>
      <c r="AU13" s="4436">
        <f t="shared" si="34"/>
        <v>0</v>
      </c>
      <c r="AV13" s="5462"/>
      <c r="AW13" s="4434">
        <f t="shared" si="35"/>
        <v>0</v>
      </c>
      <c r="AX13" s="5666"/>
      <c r="AY13" s="4433">
        <f t="shared" si="36"/>
        <v>0</v>
      </c>
      <c r="AZ13" s="5666"/>
      <c r="BA13" s="4434">
        <f t="shared" si="7"/>
        <v>0</v>
      </c>
      <c r="BB13" s="5667"/>
      <c r="BC13" s="4432">
        <f t="shared" si="8"/>
        <v>0</v>
      </c>
      <c r="BD13" s="5666"/>
      <c r="BE13" s="4434">
        <f t="shared" si="9"/>
        <v>0</v>
      </c>
      <c r="BF13" s="5668"/>
      <c r="BG13" s="4431">
        <f t="shared" si="10"/>
        <v>0</v>
      </c>
      <c r="BH13" s="5666"/>
      <c r="BI13" s="4434">
        <f t="shared" si="11"/>
        <v>0</v>
      </c>
      <c r="BJ13" s="5668"/>
      <c r="BK13" s="4431">
        <f t="shared" si="12"/>
        <v>0</v>
      </c>
      <c r="BL13" s="5666"/>
      <c r="BM13" s="4434">
        <f t="shared" si="13"/>
        <v>0</v>
      </c>
      <c r="BN13" s="5666"/>
      <c r="BO13" s="4432">
        <f t="shared" si="14"/>
        <v>0</v>
      </c>
      <c r="BP13" s="5666"/>
      <c r="BQ13" s="4455">
        <f t="shared" si="15"/>
        <v>0</v>
      </c>
      <c r="BR13" s="5666"/>
      <c r="BS13" s="4434">
        <f t="shared" si="16"/>
        <v>0</v>
      </c>
      <c r="BT13" s="5668"/>
      <c r="BU13" s="4431">
        <f t="shared" si="17"/>
        <v>0</v>
      </c>
      <c r="BV13" s="5666"/>
      <c r="BW13" s="4434">
        <f t="shared" si="18"/>
        <v>0</v>
      </c>
      <c r="BX13" s="5666"/>
      <c r="BY13" s="4433">
        <f t="shared" si="19"/>
        <v>0</v>
      </c>
      <c r="BZ13" s="5666"/>
      <c r="CA13" s="4434">
        <f t="shared" si="20"/>
        <v>0</v>
      </c>
      <c r="CB13" s="5666"/>
      <c r="CC13" s="4432">
        <f t="shared" si="21"/>
        <v>0</v>
      </c>
      <c r="CD13" s="5668"/>
      <c r="CE13" s="4431">
        <f t="shared" si="22"/>
        <v>0</v>
      </c>
      <c r="CF13" s="5666"/>
      <c r="CG13" s="4434">
        <f t="shared" si="23"/>
        <v>0</v>
      </c>
      <c r="CH13" s="5666"/>
      <c r="CI13" s="4433">
        <f t="shared" si="24"/>
        <v>0</v>
      </c>
      <c r="CJ13" s="5666"/>
      <c r="CK13" s="5666">
        <f t="shared" si="25"/>
        <v>0</v>
      </c>
      <c r="CL13" s="5668"/>
      <c r="CM13" s="5668">
        <f t="shared" si="26"/>
        <v>0</v>
      </c>
      <c r="CN13" s="5666"/>
      <c r="CO13" s="4434">
        <f t="shared" si="27"/>
        <v>0</v>
      </c>
      <c r="CP13" s="5666"/>
      <c r="CQ13" s="4432">
        <f t="shared" si="28"/>
        <v>0</v>
      </c>
      <c r="CR13" s="5666"/>
      <c r="CS13" s="4455">
        <f t="shared" si="29"/>
        <v>0</v>
      </c>
      <c r="CT13" s="5668"/>
      <c r="CU13" s="4457">
        <f t="shared" si="30"/>
        <v>0</v>
      </c>
      <c r="CV13" s="6719"/>
      <c r="CW13" s="6719"/>
    </row>
    <row r="14" spans="1:101" x14ac:dyDescent="0.25">
      <c r="A14" s="4485"/>
      <c r="B14" s="4485"/>
      <c r="C14" s="4485"/>
      <c r="D14" s="4485"/>
      <c r="E14" s="5304" t="s">
        <v>1160</v>
      </c>
      <c r="F14" s="4466">
        <v>191</v>
      </c>
      <c r="G14" s="4428"/>
      <c r="H14" s="4428"/>
      <c r="I14" s="4473"/>
      <c r="J14" s="4428"/>
      <c r="K14" s="4428"/>
      <c r="L14" s="4428"/>
      <c r="M14" s="4473"/>
      <c r="N14" s="4472"/>
      <c r="O14" s="4424"/>
      <c r="P14" s="4424"/>
      <c r="Q14" s="4428"/>
      <c r="R14" s="4473"/>
      <c r="S14" s="4428"/>
      <c r="T14" s="4428"/>
      <c r="U14" s="4471"/>
      <c r="V14" s="4473"/>
      <c r="W14" s="4472"/>
      <c r="X14" s="4440"/>
      <c r="Y14" s="4439"/>
      <c r="Z14" s="4428">
        <v>0</v>
      </c>
      <c r="AA14" s="4428"/>
      <c r="AB14" s="4473">
        <f t="shared" si="0"/>
        <v>0</v>
      </c>
      <c r="AC14" s="4428"/>
      <c r="AD14" s="4428"/>
      <c r="AE14" s="4428"/>
      <c r="AF14" s="4438">
        <f t="shared" si="1"/>
        <v>0</v>
      </c>
      <c r="AG14" s="4472">
        <f t="shared" si="2"/>
        <v>0</v>
      </c>
      <c r="AH14" s="4424"/>
      <c r="AI14" s="4424"/>
      <c r="AJ14" s="4424"/>
      <c r="AK14" s="4473">
        <f t="shared" si="3"/>
        <v>0</v>
      </c>
      <c r="AL14" s="4428"/>
      <c r="AM14" s="4428"/>
      <c r="AN14" s="4471"/>
      <c r="AO14" s="4473">
        <f t="shared" si="31"/>
        <v>0</v>
      </c>
      <c r="AP14" s="4472">
        <f t="shared" si="32"/>
        <v>0</v>
      </c>
      <c r="AQ14" s="4437">
        <f t="shared" si="33"/>
        <v>0</v>
      </c>
      <c r="AR14" s="4427">
        <f t="shared" si="6"/>
        <v>0</v>
      </c>
      <c r="AS14" s="4470"/>
      <c r="AT14" s="4430"/>
      <c r="AU14" s="4436">
        <f t="shared" si="34"/>
        <v>191</v>
      </c>
      <c r="AV14" s="4435"/>
      <c r="AW14" s="4434">
        <f t="shared" si="35"/>
        <v>0</v>
      </c>
      <c r="AX14" s="4433"/>
      <c r="AY14" s="4433">
        <f t="shared" si="36"/>
        <v>191</v>
      </c>
      <c r="AZ14" s="4433"/>
      <c r="BA14" s="4434">
        <f t="shared" si="7"/>
        <v>0</v>
      </c>
      <c r="BB14" s="4432"/>
      <c r="BC14" s="4432">
        <f t="shared" si="8"/>
        <v>191</v>
      </c>
      <c r="BD14" s="4433"/>
      <c r="BE14" s="4434">
        <f t="shared" si="9"/>
        <v>0</v>
      </c>
      <c r="BF14" s="4431"/>
      <c r="BG14" s="4431">
        <f t="shared" si="10"/>
        <v>191</v>
      </c>
      <c r="BH14" s="4433"/>
      <c r="BI14" s="4434">
        <f t="shared" si="11"/>
        <v>0</v>
      </c>
      <c r="BJ14" s="4431"/>
      <c r="BK14" s="4431">
        <f t="shared" si="12"/>
        <v>191</v>
      </c>
      <c r="BL14" s="4433"/>
      <c r="BM14" s="4434">
        <f t="shared" si="13"/>
        <v>0</v>
      </c>
      <c r="BN14" s="4433"/>
      <c r="BO14" s="4432">
        <f t="shared" si="14"/>
        <v>0</v>
      </c>
      <c r="BP14" s="4433"/>
      <c r="BQ14" s="4455">
        <f t="shared" si="15"/>
        <v>191</v>
      </c>
      <c r="BR14" s="4433"/>
      <c r="BS14" s="4434">
        <f t="shared" si="16"/>
        <v>0</v>
      </c>
      <c r="BT14" s="4431"/>
      <c r="BU14" s="4431">
        <f t="shared" si="17"/>
        <v>191</v>
      </c>
      <c r="BV14" s="4433"/>
      <c r="BW14" s="4434">
        <f t="shared" si="18"/>
        <v>0</v>
      </c>
      <c r="BX14" s="4433"/>
      <c r="BY14" s="4433">
        <f t="shared" si="19"/>
        <v>191</v>
      </c>
      <c r="BZ14" s="4433"/>
      <c r="CA14" s="4434">
        <f t="shared" si="20"/>
        <v>0</v>
      </c>
      <c r="CB14" s="4433"/>
      <c r="CC14" s="4432">
        <f t="shared" si="21"/>
        <v>0</v>
      </c>
      <c r="CD14" s="4431"/>
      <c r="CE14" s="4431">
        <f t="shared" si="22"/>
        <v>191</v>
      </c>
      <c r="CF14" s="4433"/>
      <c r="CG14" s="4434">
        <f t="shared" si="23"/>
        <v>0</v>
      </c>
      <c r="CH14" s="4433"/>
      <c r="CI14" s="4433">
        <f t="shared" si="24"/>
        <v>191</v>
      </c>
      <c r="CJ14" s="4433"/>
      <c r="CK14" s="4434">
        <f t="shared" si="25"/>
        <v>0</v>
      </c>
      <c r="CL14" s="4431"/>
      <c r="CM14" s="4431">
        <f t="shared" si="26"/>
        <v>191</v>
      </c>
      <c r="CN14" s="4433"/>
      <c r="CO14" s="4434">
        <f t="shared" si="27"/>
        <v>0</v>
      </c>
      <c r="CP14" s="4433"/>
      <c r="CQ14" s="4432">
        <f t="shared" si="28"/>
        <v>0</v>
      </c>
      <c r="CR14" s="4433"/>
      <c r="CS14" s="4455">
        <f t="shared" si="29"/>
        <v>0</v>
      </c>
      <c r="CT14" s="4431"/>
      <c r="CU14" s="4457">
        <f t="shared" si="30"/>
        <v>191</v>
      </c>
      <c r="CV14" s="6719"/>
      <c r="CW14" s="6719"/>
    </row>
    <row r="15" spans="1:101" x14ac:dyDescent="0.25">
      <c r="A15" s="4485"/>
      <c r="B15" s="4485"/>
      <c r="C15" s="4485"/>
      <c r="D15" s="4485"/>
      <c r="E15" s="5304" t="s">
        <v>1162</v>
      </c>
      <c r="F15" s="4466">
        <v>3489</v>
      </c>
      <c r="G15" s="4428"/>
      <c r="H15" s="4428"/>
      <c r="I15" s="4473"/>
      <c r="J15" s="4428"/>
      <c r="K15" s="4428"/>
      <c r="L15" s="4428"/>
      <c r="M15" s="4473"/>
      <c r="N15" s="4472"/>
      <c r="O15" s="4424"/>
      <c r="P15" s="4424"/>
      <c r="Q15" s="4428"/>
      <c r="R15" s="4473"/>
      <c r="S15" s="4428"/>
      <c r="T15" s="4428"/>
      <c r="U15" s="4471"/>
      <c r="V15" s="4473"/>
      <c r="W15" s="4472"/>
      <c r="X15" s="4440"/>
      <c r="Y15" s="4439"/>
      <c r="Z15" s="4428">
        <v>0</v>
      </c>
      <c r="AA15" s="4428"/>
      <c r="AB15" s="4473">
        <f t="shared" si="0"/>
        <v>0</v>
      </c>
      <c r="AC15" s="4428"/>
      <c r="AD15" s="4428"/>
      <c r="AE15" s="4428"/>
      <c r="AF15" s="4438">
        <f t="shared" si="1"/>
        <v>0</v>
      </c>
      <c r="AG15" s="4472">
        <f t="shared" si="2"/>
        <v>0</v>
      </c>
      <c r="AH15" s="4424"/>
      <c r="AI15" s="4424"/>
      <c r="AJ15" s="4424"/>
      <c r="AK15" s="4473">
        <f t="shared" si="3"/>
        <v>0</v>
      </c>
      <c r="AL15" s="4428"/>
      <c r="AM15" s="4428"/>
      <c r="AN15" s="4471"/>
      <c r="AO15" s="4473">
        <f t="shared" si="31"/>
        <v>0</v>
      </c>
      <c r="AP15" s="4472">
        <f t="shared" si="32"/>
        <v>0</v>
      </c>
      <c r="AQ15" s="4437">
        <f t="shared" si="33"/>
        <v>0</v>
      </c>
      <c r="AR15" s="4427">
        <f t="shared" si="6"/>
        <v>0</v>
      </c>
      <c r="AS15" s="4470"/>
      <c r="AT15" s="4430"/>
      <c r="AU15" s="4436">
        <f t="shared" si="34"/>
        <v>3489</v>
      </c>
      <c r="AV15" s="4435"/>
      <c r="AW15" s="4434">
        <f t="shared" si="35"/>
        <v>0</v>
      </c>
      <c r="AX15" s="4433"/>
      <c r="AY15" s="4433">
        <f t="shared" si="36"/>
        <v>3489</v>
      </c>
      <c r="AZ15" s="4433"/>
      <c r="BA15" s="4434">
        <f t="shared" si="7"/>
        <v>0</v>
      </c>
      <c r="BB15" s="4432"/>
      <c r="BC15" s="4432">
        <f t="shared" si="8"/>
        <v>3489</v>
      </c>
      <c r="BD15" s="4433"/>
      <c r="BE15" s="4434">
        <f t="shared" si="9"/>
        <v>0</v>
      </c>
      <c r="BF15" s="4431"/>
      <c r="BG15" s="4431">
        <f t="shared" si="10"/>
        <v>3489</v>
      </c>
      <c r="BH15" s="4433"/>
      <c r="BI15" s="4434">
        <f t="shared" si="11"/>
        <v>0</v>
      </c>
      <c r="BJ15" s="4431"/>
      <c r="BK15" s="4431">
        <f t="shared" si="12"/>
        <v>3489</v>
      </c>
      <c r="BL15" s="4433"/>
      <c r="BM15" s="4434">
        <f t="shared" si="13"/>
        <v>0</v>
      </c>
      <c r="BN15" s="4433"/>
      <c r="BO15" s="4432">
        <f t="shared" si="14"/>
        <v>0</v>
      </c>
      <c r="BP15" s="4433"/>
      <c r="BQ15" s="4455">
        <f t="shared" si="15"/>
        <v>3489</v>
      </c>
      <c r="BR15" s="4433"/>
      <c r="BS15" s="4434">
        <f t="shared" si="16"/>
        <v>0</v>
      </c>
      <c r="BT15" s="4431"/>
      <c r="BU15" s="4431">
        <f t="shared" si="17"/>
        <v>3489</v>
      </c>
      <c r="BV15" s="4433"/>
      <c r="BW15" s="4434">
        <f t="shared" si="18"/>
        <v>0</v>
      </c>
      <c r="BX15" s="4433"/>
      <c r="BY15" s="4433">
        <f t="shared" si="19"/>
        <v>3489</v>
      </c>
      <c r="BZ15" s="4433"/>
      <c r="CA15" s="4434">
        <f t="shared" si="20"/>
        <v>0</v>
      </c>
      <c r="CB15" s="4433"/>
      <c r="CC15" s="4432">
        <f t="shared" si="21"/>
        <v>0</v>
      </c>
      <c r="CD15" s="4431"/>
      <c r="CE15" s="4431">
        <f t="shared" si="22"/>
        <v>3489</v>
      </c>
      <c r="CF15" s="4433"/>
      <c r="CG15" s="4434">
        <f t="shared" si="23"/>
        <v>0</v>
      </c>
      <c r="CH15" s="4433"/>
      <c r="CI15" s="4433">
        <f t="shared" si="24"/>
        <v>3489</v>
      </c>
      <c r="CJ15" s="4433"/>
      <c r="CK15" s="4434">
        <f t="shared" si="25"/>
        <v>0</v>
      </c>
      <c r="CL15" s="4431"/>
      <c r="CM15" s="4431">
        <f t="shared" si="26"/>
        <v>3489</v>
      </c>
      <c r="CN15" s="4433"/>
      <c r="CO15" s="4434">
        <f t="shared" si="27"/>
        <v>0</v>
      </c>
      <c r="CP15" s="4433"/>
      <c r="CQ15" s="4432">
        <f t="shared" si="28"/>
        <v>0</v>
      </c>
      <c r="CR15" s="4433"/>
      <c r="CS15" s="4455">
        <f t="shared" si="29"/>
        <v>0</v>
      </c>
      <c r="CT15" s="4431"/>
      <c r="CU15" s="4457">
        <f t="shared" si="30"/>
        <v>3489</v>
      </c>
      <c r="CV15" s="6719"/>
      <c r="CW15" s="6719"/>
    </row>
    <row r="16" spans="1:101" x14ac:dyDescent="0.25">
      <c r="A16" s="4485"/>
      <c r="B16" s="4485"/>
      <c r="C16" s="4485"/>
      <c r="D16" s="4485"/>
      <c r="E16" s="5304" t="s">
        <v>1875</v>
      </c>
      <c r="F16" s="4466"/>
      <c r="G16" s="4428"/>
      <c r="H16" s="4428"/>
      <c r="I16" s="4473"/>
      <c r="J16" s="4428"/>
      <c r="K16" s="4428"/>
      <c r="L16" s="4428"/>
      <c r="M16" s="4473"/>
      <c r="N16" s="4472"/>
      <c r="O16" s="4424"/>
      <c r="P16" s="4424"/>
      <c r="Q16" s="4428"/>
      <c r="R16" s="4473"/>
      <c r="S16" s="4428"/>
      <c r="T16" s="4428"/>
      <c r="U16" s="4471"/>
      <c r="V16" s="4473"/>
      <c r="W16" s="4472"/>
      <c r="X16" s="4440"/>
      <c r="Y16" s="4439"/>
      <c r="Z16" s="4428">
        <v>0</v>
      </c>
      <c r="AA16" s="4428"/>
      <c r="AB16" s="4473">
        <f t="shared" si="0"/>
        <v>0</v>
      </c>
      <c r="AC16" s="4428"/>
      <c r="AD16" s="4428"/>
      <c r="AE16" s="4428"/>
      <c r="AF16" s="4438">
        <f t="shared" si="1"/>
        <v>0</v>
      </c>
      <c r="AG16" s="4472">
        <f t="shared" si="2"/>
        <v>0</v>
      </c>
      <c r="AH16" s="4424"/>
      <c r="AI16" s="4424"/>
      <c r="AJ16" s="4424"/>
      <c r="AK16" s="4473">
        <f t="shared" si="3"/>
        <v>0</v>
      </c>
      <c r="AL16" s="4428"/>
      <c r="AM16" s="4428"/>
      <c r="AN16" s="4471"/>
      <c r="AO16" s="4473">
        <f t="shared" si="31"/>
        <v>0</v>
      </c>
      <c r="AP16" s="4472">
        <f t="shared" si="32"/>
        <v>0</v>
      </c>
      <c r="AQ16" s="4437">
        <f t="shared" si="33"/>
        <v>0</v>
      </c>
      <c r="AR16" s="4427">
        <f t="shared" si="6"/>
        <v>0</v>
      </c>
      <c r="AS16" s="4470"/>
      <c r="AT16" s="4430"/>
      <c r="AU16" s="4436">
        <f t="shared" si="34"/>
        <v>0</v>
      </c>
      <c r="AV16" s="4435"/>
      <c r="AW16" s="4434">
        <f t="shared" si="35"/>
        <v>0</v>
      </c>
      <c r="AX16" s="4433"/>
      <c r="AY16" s="4433">
        <f t="shared" si="36"/>
        <v>0</v>
      </c>
      <c r="AZ16" s="4433"/>
      <c r="BA16" s="4434">
        <f t="shared" si="7"/>
        <v>0</v>
      </c>
      <c r="BB16" s="4432"/>
      <c r="BC16" s="4432">
        <f t="shared" si="8"/>
        <v>0</v>
      </c>
      <c r="BD16" s="4433"/>
      <c r="BE16" s="4434">
        <f t="shared" si="9"/>
        <v>0</v>
      </c>
      <c r="BF16" s="4431"/>
      <c r="BG16" s="4431">
        <f t="shared" si="10"/>
        <v>0</v>
      </c>
      <c r="BH16" s="4433"/>
      <c r="BI16" s="4434">
        <f t="shared" si="11"/>
        <v>0</v>
      </c>
      <c r="BJ16" s="4431"/>
      <c r="BK16" s="4431">
        <f t="shared" si="12"/>
        <v>0</v>
      </c>
      <c r="BL16" s="4433"/>
      <c r="BM16" s="4434">
        <f t="shared" si="13"/>
        <v>0</v>
      </c>
      <c r="BN16" s="4433"/>
      <c r="BO16" s="4432">
        <f t="shared" si="14"/>
        <v>0</v>
      </c>
      <c r="BP16" s="4433"/>
      <c r="BQ16" s="4455">
        <f t="shared" si="15"/>
        <v>0</v>
      </c>
      <c r="BR16" s="4433"/>
      <c r="BS16" s="4434">
        <f t="shared" si="16"/>
        <v>0</v>
      </c>
      <c r="BT16" s="4431"/>
      <c r="BU16" s="4431">
        <f t="shared" si="17"/>
        <v>0</v>
      </c>
      <c r="BV16" s="4433"/>
      <c r="BW16" s="4434">
        <f t="shared" si="18"/>
        <v>0</v>
      </c>
      <c r="BX16" s="4433"/>
      <c r="BY16" s="4433">
        <f t="shared" si="19"/>
        <v>0</v>
      </c>
      <c r="BZ16" s="4433"/>
      <c r="CA16" s="4434">
        <f t="shared" si="20"/>
        <v>0</v>
      </c>
      <c r="CB16" s="4433"/>
      <c r="CC16" s="4432">
        <f t="shared" si="21"/>
        <v>0</v>
      </c>
      <c r="CD16" s="4431"/>
      <c r="CE16" s="4431">
        <f t="shared" si="22"/>
        <v>0</v>
      </c>
      <c r="CF16" s="4433"/>
      <c r="CG16" s="4434">
        <f t="shared" si="23"/>
        <v>0</v>
      </c>
      <c r="CH16" s="4433"/>
      <c r="CI16" s="4433">
        <f t="shared" si="24"/>
        <v>0</v>
      </c>
      <c r="CJ16" s="4433"/>
      <c r="CK16" s="4434">
        <f t="shared" si="25"/>
        <v>0</v>
      </c>
      <c r="CL16" s="4431"/>
      <c r="CM16" s="4431">
        <f t="shared" si="26"/>
        <v>0</v>
      </c>
      <c r="CN16" s="4433"/>
      <c r="CO16" s="4434">
        <f t="shared" si="27"/>
        <v>0</v>
      </c>
      <c r="CP16" s="4433"/>
      <c r="CQ16" s="4432">
        <f t="shared" si="28"/>
        <v>0</v>
      </c>
      <c r="CR16" s="4433"/>
      <c r="CS16" s="4455">
        <f t="shared" si="29"/>
        <v>0</v>
      </c>
      <c r="CT16" s="4431"/>
      <c r="CU16" s="4457">
        <f t="shared" si="30"/>
        <v>0</v>
      </c>
      <c r="CV16" s="6719"/>
      <c r="CW16" s="6719"/>
    </row>
    <row r="17" spans="1:105" x14ac:dyDescent="0.25">
      <c r="A17" s="4485"/>
      <c r="B17" s="4485"/>
      <c r="C17" s="4485"/>
      <c r="D17" s="4485"/>
      <c r="E17" s="5304" t="s">
        <v>1877</v>
      </c>
      <c r="F17" s="4466"/>
      <c r="G17" s="4428"/>
      <c r="H17" s="4428"/>
      <c r="I17" s="4473"/>
      <c r="J17" s="4428"/>
      <c r="K17" s="4428"/>
      <c r="L17" s="4428"/>
      <c r="M17" s="4473"/>
      <c r="N17" s="4472"/>
      <c r="O17" s="4424"/>
      <c r="P17" s="4424"/>
      <c r="Q17" s="4428"/>
      <c r="R17" s="4473"/>
      <c r="S17" s="4428"/>
      <c r="T17" s="4428"/>
      <c r="U17" s="4471"/>
      <c r="V17" s="4473"/>
      <c r="W17" s="4472"/>
      <c r="X17" s="4440"/>
      <c r="Y17" s="4439"/>
      <c r="Z17" s="4428"/>
      <c r="AA17" s="4428"/>
      <c r="AB17" s="4473">
        <f t="shared" si="0"/>
        <v>0</v>
      </c>
      <c r="AC17" s="4428">
        <v>207</v>
      </c>
      <c r="AD17" s="4428"/>
      <c r="AE17" s="4428"/>
      <c r="AF17" s="4438">
        <f t="shared" si="1"/>
        <v>207</v>
      </c>
      <c r="AG17" s="4472">
        <f t="shared" si="2"/>
        <v>207</v>
      </c>
      <c r="AH17" s="4424"/>
      <c r="AI17" s="4424"/>
      <c r="AJ17" s="4424"/>
      <c r="AK17" s="4473">
        <f t="shared" si="3"/>
        <v>0</v>
      </c>
      <c r="AL17" s="4428"/>
      <c r="AM17" s="4428"/>
      <c r="AN17" s="4471"/>
      <c r="AO17" s="4473">
        <f t="shared" si="31"/>
        <v>0</v>
      </c>
      <c r="AP17" s="4472">
        <f t="shared" si="32"/>
        <v>0</v>
      </c>
      <c r="AQ17" s="4437">
        <f t="shared" si="33"/>
        <v>207</v>
      </c>
      <c r="AR17" s="4427">
        <f t="shared" si="6"/>
        <v>207</v>
      </c>
      <c r="AS17" s="4470"/>
      <c r="AT17" s="4430"/>
      <c r="AU17" s="5878"/>
      <c r="AV17" s="5879"/>
      <c r="AW17" s="5666"/>
      <c r="AX17" s="5666"/>
      <c r="AY17" s="5666"/>
      <c r="AZ17" s="5666"/>
      <c r="BA17" s="5666"/>
      <c r="BB17" s="5667"/>
      <c r="BC17" s="4432">
        <f t="shared" si="8"/>
        <v>0</v>
      </c>
      <c r="BD17" s="5666"/>
      <c r="BE17" s="4434">
        <f t="shared" si="9"/>
        <v>207</v>
      </c>
      <c r="BF17" s="5668"/>
      <c r="BG17" s="4431">
        <f t="shared" si="10"/>
        <v>207</v>
      </c>
      <c r="BH17" s="5666"/>
      <c r="BI17" s="4434">
        <f t="shared" si="11"/>
        <v>0</v>
      </c>
      <c r="BJ17" s="5668"/>
      <c r="BK17" s="4431">
        <f t="shared" si="12"/>
        <v>207</v>
      </c>
      <c r="BL17" s="5666"/>
      <c r="BM17" s="4434">
        <f t="shared" si="13"/>
        <v>0</v>
      </c>
      <c r="BN17" s="5666"/>
      <c r="BO17" s="4432">
        <f t="shared" si="14"/>
        <v>207</v>
      </c>
      <c r="BP17" s="5666"/>
      <c r="BQ17" s="4455">
        <f t="shared" si="15"/>
        <v>207</v>
      </c>
      <c r="BR17" s="5666"/>
      <c r="BS17" s="4434">
        <f t="shared" si="16"/>
        <v>0</v>
      </c>
      <c r="BT17" s="5668"/>
      <c r="BU17" s="4431">
        <f t="shared" si="17"/>
        <v>207</v>
      </c>
      <c r="BV17" s="5666"/>
      <c r="BW17" s="4434">
        <f t="shared" si="18"/>
        <v>0</v>
      </c>
      <c r="BX17" s="5666"/>
      <c r="BY17" s="4433">
        <f t="shared" si="19"/>
        <v>207</v>
      </c>
      <c r="BZ17" s="5666"/>
      <c r="CA17" s="4434">
        <f t="shared" si="20"/>
        <v>0</v>
      </c>
      <c r="CB17" s="5666"/>
      <c r="CC17" s="4432">
        <f t="shared" si="21"/>
        <v>0</v>
      </c>
      <c r="CD17" s="5668"/>
      <c r="CE17" s="4431">
        <f t="shared" si="22"/>
        <v>207</v>
      </c>
      <c r="CF17" s="5666"/>
      <c r="CG17" s="4434">
        <f t="shared" si="23"/>
        <v>0</v>
      </c>
      <c r="CH17" s="5666"/>
      <c r="CI17" s="4433">
        <f t="shared" si="24"/>
        <v>207</v>
      </c>
      <c r="CJ17" s="5666"/>
      <c r="CK17" s="5666">
        <f t="shared" si="25"/>
        <v>0</v>
      </c>
      <c r="CL17" s="5668"/>
      <c r="CM17" s="5668">
        <f t="shared" si="26"/>
        <v>207</v>
      </c>
      <c r="CN17" s="5666"/>
      <c r="CO17" s="4434">
        <f t="shared" si="27"/>
        <v>0</v>
      </c>
      <c r="CP17" s="5666"/>
      <c r="CQ17" s="4432">
        <f t="shared" si="28"/>
        <v>0</v>
      </c>
      <c r="CR17" s="5666"/>
      <c r="CS17" s="4455">
        <f t="shared" si="29"/>
        <v>0</v>
      </c>
      <c r="CT17" s="5668"/>
      <c r="CU17" s="4457">
        <f t="shared" si="30"/>
        <v>207</v>
      </c>
      <c r="CV17" s="6719"/>
      <c r="CW17" s="6719"/>
    </row>
    <row r="18" spans="1:105" x14ac:dyDescent="0.25">
      <c r="A18" s="4485"/>
      <c r="B18" s="4485"/>
      <c r="C18" s="4485"/>
      <c r="D18" s="4485"/>
      <c r="E18" s="5304" t="s">
        <v>1876</v>
      </c>
      <c r="F18" s="4466">
        <v>317</v>
      </c>
      <c r="G18" s="4428"/>
      <c r="H18" s="4428"/>
      <c r="I18" s="4473"/>
      <c r="J18" s="4428"/>
      <c r="K18" s="4428"/>
      <c r="L18" s="4428"/>
      <c r="M18" s="4473"/>
      <c r="N18" s="4472"/>
      <c r="O18" s="4424"/>
      <c r="P18" s="4424"/>
      <c r="Q18" s="4428"/>
      <c r="R18" s="4473"/>
      <c r="S18" s="4428"/>
      <c r="T18" s="4428"/>
      <c r="U18" s="4471"/>
      <c r="V18" s="4473"/>
      <c r="W18" s="4472"/>
      <c r="X18" s="4440"/>
      <c r="Y18" s="4439"/>
      <c r="Z18" s="4428">
        <v>0</v>
      </c>
      <c r="AA18" s="4428"/>
      <c r="AB18" s="4473">
        <f t="shared" si="0"/>
        <v>0</v>
      </c>
      <c r="AC18" s="4428"/>
      <c r="AD18" s="4428"/>
      <c r="AE18" s="4428"/>
      <c r="AF18" s="4438">
        <f t="shared" si="1"/>
        <v>0</v>
      </c>
      <c r="AG18" s="4472">
        <f t="shared" si="2"/>
        <v>0</v>
      </c>
      <c r="AH18" s="4424"/>
      <c r="AI18" s="4424"/>
      <c r="AJ18" s="4424"/>
      <c r="AK18" s="4473">
        <f t="shared" si="3"/>
        <v>0</v>
      </c>
      <c r="AL18" s="4428"/>
      <c r="AM18" s="4428"/>
      <c r="AN18" s="4471"/>
      <c r="AO18" s="4473">
        <f t="shared" si="31"/>
        <v>0</v>
      </c>
      <c r="AP18" s="4472">
        <f t="shared" si="32"/>
        <v>0</v>
      </c>
      <c r="AQ18" s="4437">
        <f t="shared" si="33"/>
        <v>0</v>
      </c>
      <c r="AR18" s="4427">
        <f t="shared" si="6"/>
        <v>0</v>
      </c>
      <c r="AS18" s="4470"/>
      <c r="AT18" s="4430"/>
      <c r="AU18" s="4436">
        <f t="shared" si="34"/>
        <v>317</v>
      </c>
      <c r="AV18" s="4435"/>
      <c r="AW18" s="4434">
        <f t="shared" si="35"/>
        <v>0</v>
      </c>
      <c r="AX18" s="4433"/>
      <c r="AY18" s="4433">
        <f t="shared" si="36"/>
        <v>317</v>
      </c>
      <c r="AZ18" s="4433"/>
      <c r="BA18" s="4434">
        <f t="shared" si="7"/>
        <v>0</v>
      </c>
      <c r="BB18" s="4432"/>
      <c r="BC18" s="4432">
        <f t="shared" si="8"/>
        <v>317</v>
      </c>
      <c r="BD18" s="4433"/>
      <c r="BE18" s="4434">
        <f t="shared" si="9"/>
        <v>0</v>
      </c>
      <c r="BF18" s="4431"/>
      <c r="BG18" s="4431">
        <f t="shared" si="10"/>
        <v>317</v>
      </c>
      <c r="BH18" s="4433"/>
      <c r="BI18" s="4434">
        <f t="shared" si="11"/>
        <v>0</v>
      </c>
      <c r="BJ18" s="4431"/>
      <c r="BK18" s="4431">
        <f t="shared" si="12"/>
        <v>317</v>
      </c>
      <c r="BL18" s="4433"/>
      <c r="BM18" s="4434">
        <f t="shared" si="13"/>
        <v>0</v>
      </c>
      <c r="BN18" s="4433"/>
      <c r="BO18" s="4432">
        <f t="shared" si="14"/>
        <v>0</v>
      </c>
      <c r="BP18" s="4433"/>
      <c r="BQ18" s="4455">
        <f t="shared" si="15"/>
        <v>317</v>
      </c>
      <c r="BR18" s="4433"/>
      <c r="BS18" s="4434">
        <f t="shared" si="16"/>
        <v>0</v>
      </c>
      <c r="BT18" s="4431"/>
      <c r="BU18" s="4431">
        <f t="shared" si="17"/>
        <v>317</v>
      </c>
      <c r="BV18" s="4433"/>
      <c r="BW18" s="4434">
        <f t="shared" si="18"/>
        <v>0</v>
      </c>
      <c r="BX18" s="4433"/>
      <c r="BY18" s="4433">
        <f t="shared" si="19"/>
        <v>317</v>
      </c>
      <c r="BZ18" s="4433"/>
      <c r="CA18" s="4434">
        <f t="shared" si="20"/>
        <v>0</v>
      </c>
      <c r="CB18" s="4433"/>
      <c r="CC18" s="4432">
        <f t="shared" si="21"/>
        <v>0</v>
      </c>
      <c r="CD18" s="4431"/>
      <c r="CE18" s="4431">
        <f t="shared" si="22"/>
        <v>317</v>
      </c>
      <c r="CF18" s="4433"/>
      <c r="CG18" s="4434">
        <f t="shared" si="23"/>
        <v>0</v>
      </c>
      <c r="CH18" s="4433"/>
      <c r="CI18" s="4433">
        <f t="shared" si="24"/>
        <v>317</v>
      </c>
      <c r="CJ18" s="4433"/>
      <c r="CK18" s="4434">
        <f t="shared" si="25"/>
        <v>0</v>
      </c>
      <c r="CL18" s="4431"/>
      <c r="CM18" s="4431">
        <f t="shared" si="26"/>
        <v>317</v>
      </c>
      <c r="CN18" s="4433"/>
      <c r="CO18" s="4434">
        <f t="shared" si="27"/>
        <v>0</v>
      </c>
      <c r="CP18" s="4433"/>
      <c r="CQ18" s="4432">
        <f t="shared" si="28"/>
        <v>0</v>
      </c>
      <c r="CR18" s="4433"/>
      <c r="CS18" s="4455">
        <f t="shared" si="29"/>
        <v>0</v>
      </c>
      <c r="CT18" s="4431"/>
      <c r="CU18" s="4457">
        <f t="shared" si="30"/>
        <v>317</v>
      </c>
      <c r="CV18" s="6719"/>
      <c r="CW18" s="6719"/>
    </row>
    <row r="19" spans="1:105" x14ac:dyDescent="0.25">
      <c r="A19" s="4485"/>
      <c r="B19" s="4485"/>
      <c r="C19" s="4485"/>
      <c r="D19" s="4485"/>
      <c r="E19" s="5304" t="s">
        <v>1807</v>
      </c>
      <c r="F19" s="4466"/>
      <c r="G19" s="4428"/>
      <c r="H19" s="4428"/>
      <c r="I19" s="4473"/>
      <c r="J19" s="4428"/>
      <c r="K19" s="4428"/>
      <c r="L19" s="4428"/>
      <c r="M19" s="4473"/>
      <c r="N19" s="4472"/>
      <c r="O19" s="4424"/>
      <c r="P19" s="4424"/>
      <c r="Q19" s="4428"/>
      <c r="R19" s="4473"/>
      <c r="S19" s="4428"/>
      <c r="T19" s="4428"/>
      <c r="U19" s="4471"/>
      <c r="V19" s="4473"/>
      <c r="W19" s="4472"/>
      <c r="X19" s="4440"/>
      <c r="Y19" s="4439"/>
      <c r="Z19" s="4428"/>
      <c r="AA19" s="4428"/>
      <c r="AB19" s="4473">
        <f t="shared" si="0"/>
        <v>0</v>
      </c>
      <c r="AC19" s="4428"/>
      <c r="AD19" s="4428"/>
      <c r="AE19" s="4428"/>
      <c r="AF19" s="4438">
        <f t="shared" si="1"/>
        <v>0</v>
      </c>
      <c r="AG19" s="4472">
        <f t="shared" si="2"/>
        <v>0</v>
      </c>
      <c r="AH19" s="4424"/>
      <c r="AI19" s="4424"/>
      <c r="AJ19" s="4424"/>
      <c r="AK19" s="4473">
        <f t="shared" si="3"/>
        <v>0</v>
      </c>
      <c r="AL19" s="4428"/>
      <c r="AM19" s="4428"/>
      <c r="AN19" s="4471"/>
      <c r="AO19" s="4473">
        <f t="shared" si="31"/>
        <v>0</v>
      </c>
      <c r="AP19" s="4472">
        <f t="shared" si="32"/>
        <v>0</v>
      </c>
      <c r="AQ19" s="4437">
        <f t="shared" si="33"/>
        <v>0</v>
      </c>
      <c r="AR19" s="4427">
        <f t="shared" si="6"/>
        <v>0</v>
      </c>
      <c r="AS19" s="4470"/>
      <c r="AT19" s="4430"/>
      <c r="AU19" s="4436">
        <f t="shared" si="34"/>
        <v>0</v>
      </c>
      <c r="AV19" s="5879"/>
      <c r="AW19" s="4434">
        <f t="shared" si="35"/>
        <v>0</v>
      </c>
      <c r="AX19" s="5666"/>
      <c r="AY19" s="5666"/>
      <c r="AZ19" s="5666"/>
      <c r="BA19" s="4434">
        <f t="shared" si="7"/>
        <v>0</v>
      </c>
      <c r="BB19" s="5667"/>
      <c r="BC19" s="4432">
        <f t="shared" si="8"/>
        <v>0</v>
      </c>
      <c r="BD19" s="5666"/>
      <c r="BE19" s="4434">
        <f t="shared" si="9"/>
        <v>0</v>
      </c>
      <c r="BF19" s="5668"/>
      <c r="BG19" s="4431">
        <f t="shared" si="10"/>
        <v>0</v>
      </c>
      <c r="BH19" s="5666"/>
      <c r="BI19" s="4434">
        <f t="shared" si="11"/>
        <v>0</v>
      </c>
      <c r="BJ19" s="5668"/>
      <c r="BK19" s="4431">
        <f t="shared" si="12"/>
        <v>0</v>
      </c>
      <c r="BL19" s="5666"/>
      <c r="BM19" s="4434">
        <f t="shared" si="13"/>
        <v>0</v>
      </c>
      <c r="BN19" s="5666"/>
      <c r="BO19" s="4432">
        <f t="shared" si="14"/>
        <v>0</v>
      </c>
      <c r="BP19" s="5666"/>
      <c r="BQ19" s="4455">
        <f t="shared" si="15"/>
        <v>0</v>
      </c>
      <c r="BR19" s="5666"/>
      <c r="BS19" s="4434">
        <f t="shared" si="16"/>
        <v>0</v>
      </c>
      <c r="BT19" s="5668"/>
      <c r="BU19" s="4431">
        <f t="shared" si="17"/>
        <v>0</v>
      </c>
      <c r="BV19" s="5666"/>
      <c r="BW19" s="4434">
        <f t="shared" si="18"/>
        <v>0</v>
      </c>
      <c r="BX19" s="5666"/>
      <c r="BY19" s="4433">
        <f t="shared" si="19"/>
        <v>0</v>
      </c>
      <c r="BZ19" s="5666"/>
      <c r="CA19" s="4434">
        <f t="shared" si="20"/>
        <v>0</v>
      </c>
      <c r="CB19" s="5666"/>
      <c r="CC19" s="4432">
        <f t="shared" si="21"/>
        <v>0</v>
      </c>
      <c r="CD19" s="5668"/>
      <c r="CE19" s="4431">
        <f t="shared" si="22"/>
        <v>0</v>
      </c>
      <c r="CF19" s="5666"/>
      <c r="CG19" s="4434">
        <f t="shared" si="23"/>
        <v>0</v>
      </c>
      <c r="CH19" s="5666"/>
      <c r="CI19" s="4433">
        <f t="shared" si="24"/>
        <v>0</v>
      </c>
      <c r="CJ19" s="5666"/>
      <c r="CK19" s="5666">
        <f t="shared" si="25"/>
        <v>0</v>
      </c>
      <c r="CL19" s="5668"/>
      <c r="CM19" s="5668">
        <f t="shared" si="26"/>
        <v>0</v>
      </c>
      <c r="CN19" s="5666"/>
      <c r="CO19" s="4434">
        <f t="shared" si="27"/>
        <v>0</v>
      </c>
      <c r="CP19" s="5666"/>
      <c r="CQ19" s="4432">
        <f t="shared" si="28"/>
        <v>0</v>
      </c>
      <c r="CR19" s="5666"/>
      <c r="CS19" s="4455">
        <f t="shared" si="29"/>
        <v>0</v>
      </c>
      <c r="CT19" s="5668"/>
      <c r="CU19" s="4457">
        <f t="shared" si="30"/>
        <v>0</v>
      </c>
      <c r="CV19" s="6719"/>
      <c r="CW19" s="6719"/>
    </row>
    <row r="20" spans="1:105" x14ac:dyDescent="0.25">
      <c r="A20" s="4485"/>
      <c r="B20" s="4485"/>
      <c r="C20" s="4485"/>
      <c r="D20" s="4485"/>
      <c r="E20" s="5304" t="s">
        <v>1983</v>
      </c>
      <c r="F20" s="4466"/>
      <c r="G20" s="4428"/>
      <c r="H20" s="4428"/>
      <c r="I20" s="4473"/>
      <c r="J20" s="4428"/>
      <c r="K20" s="4428"/>
      <c r="L20" s="4428"/>
      <c r="M20" s="4473"/>
      <c r="N20" s="4472"/>
      <c r="O20" s="4424"/>
      <c r="P20" s="4424"/>
      <c r="Q20" s="4428"/>
      <c r="R20" s="4473"/>
      <c r="S20" s="4428"/>
      <c r="T20" s="4428"/>
      <c r="U20" s="4471"/>
      <c r="V20" s="4473"/>
      <c r="W20" s="4472"/>
      <c r="X20" s="4440"/>
      <c r="Y20" s="4439"/>
      <c r="Z20" s="4428">
        <v>0</v>
      </c>
      <c r="AA20" s="4428"/>
      <c r="AB20" s="4473">
        <f t="shared" si="0"/>
        <v>0</v>
      </c>
      <c r="AC20" s="4428"/>
      <c r="AD20" s="4428"/>
      <c r="AE20" s="4428"/>
      <c r="AF20" s="4438">
        <f t="shared" si="1"/>
        <v>0</v>
      </c>
      <c r="AG20" s="4472">
        <f t="shared" si="2"/>
        <v>0</v>
      </c>
      <c r="AH20" s="4424"/>
      <c r="AI20" s="4424"/>
      <c r="AJ20" s="4424"/>
      <c r="AK20" s="4473">
        <f t="shared" si="3"/>
        <v>0</v>
      </c>
      <c r="AL20" s="4428"/>
      <c r="AM20" s="4428"/>
      <c r="AN20" s="4471"/>
      <c r="AO20" s="4473">
        <f t="shared" si="31"/>
        <v>0</v>
      </c>
      <c r="AP20" s="4472">
        <f t="shared" si="32"/>
        <v>0</v>
      </c>
      <c r="AQ20" s="4437">
        <f t="shared" si="33"/>
        <v>0</v>
      </c>
      <c r="AR20" s="4427">
        <f t="shared" si="6"/>
        <v>0</v>
      </c>
      <c r="AS20" s="4470"/>
      <c r="AT20" s="4430"/>
      <c r="AU20" s="4436">
        <f t="shared" si="34"/>
        <v>0</v>
      </c>
      <c r="AV20" s="4435"/>
      <c r="AW20" s="4434">
        <f t="shared" si="35"/>
        <v>0</v>
      </c>
      <c r="AX20" s="4433"/>
      <c r="AY20" s="4433">
        <f t="shared" si="36"/>
        <v>0</v>
      </c>
      <c r="AZ20" s="4433"/>
      <c r="BA20" s="4434">
        <f t="shared" si="7"/>
        <v>0</v>
      </c>
      <c r="BB20" s="4432"/>
      <c r="BC20" s="4432">
        <f t="shared" si="8"/>
        <v>0</v>
      </c>
      <c r="BD20" s="4433"/>
      <c r="BE20" s="4434">
        <f t="shared" si="9"/>
        <v>0</v>
      </c>
      <c r="BF20" s="4431"/>
      <c r="BG20" s="4431">
        <f t="shared" si="10"/>
        <v>0</v>
      </c>
      <c r="BH20" s="4433"/>
      <c r="BI20" s="4434">
        <f t="shared" si="11"/>
        <v>0</v>
      </c>
      <c r="BJ20" s="4431"/>
      <c r="BK20" s="4431">
        <f t="shared" si="12"/>
        <v>0</v>
      </c>
      <c r="BL20" s="4433"/>
      <c r="BM20" s="4434">
        <f t="shared" si="13"/>
        <v>0</v>
      </c>
      <c r="BN20" s="4433"/>
      <c r="BO20" s="4432">
        <f t="shared" si="14"/>
        <v>0</v>
      </c>
      <c r="BP20" s="4433"/>
      <c r="BQ20" s="4455">
        <f t="shared" si="15"/>
        <v>0</v>
      </c>
      <c r="BR20" s="4433"/>
      <c r="BS20" s="4434">
        <f t="shared" si="16"/>
        <v>0</v>
      </c>
      <c r="BT20" s="4431"/>
      <c r="BU20" s="4431">
        <f t="shared" si="17"/>
        <v>0</v>
      </c>
      <c r="BV20" s="4433"/>
      <c r="BW20" s="4434">
        <f t="shared" si="18"/>
        <v>0</v>
      </c>
      <c r="BX20" s="4433"/>
      <c r="BY20" s="4433">
        <f t="shared" si="19"/>
        <v>0</v>
      </c>
      <c r="BZ20" s="4433"/>
      <c r="CA20" s="4434">
        <f t="shared" si="20"/>
        <v>0</v>
      </c>
      <c r="CB20" s="4433"/>
      <c r="CC20" s="4432">
        <f t="shared" si="21"/>
        <v>0</v>
      </c>
      <c r="CD20" s="4431"/>
      <c r="CE20" s="4431">
        <f t="shared" si="22"/>
        <v>0</v>
      </c>
      <c r="CF20" s="4433"/>
      <c r="CG20" s="4434">
        <f t="shared" si="23"/>
        <v>0</v>
      </c>
      <c r="CH20" s="4433"/>
      <c r="CI20" s="4433">
        <f t="shared" si="24"/>
        <v>0</v>
      </c>
      <c r="CJ20" s="4433"/>
      <c r="CK20" s="4434">
        <f t="shared" si="25"/>
        <v>0</v>
      </c>
      <c r="CL20" s="4431"/>
      <c r="CM20" s="4431">
        <f t="shared" si="26"/>
        <v>0</v>
      </c>
      <c r="CN20" s="4433"/>
      <c r="CO20" s="4434">
        <f t="shared" si="27"/>
        <v>0</v>
      </c>
      <c r="CP20" s="4433"/>
      <c r="CQ20" s="4432">
        <f t="shared" si="28"/>
        <v>0</v>
      </c>
      <c r="CR20" s="4433"/>
      <c r="CS20" s="4455">
        <f t="shared" si="29"/>
        <v>0</v>
      </c>
      <c r="CT20" s="4431"/>
      <c r="CU20" s="4457">
        <f t="shared" si="30"/>
        <v>0</v>
      </c>
      <c r="CV20" s="6719"/>
      <c r="CW20" s="6719"/>
    </row>
    <row r="21" spans="1:105" x14ac:dyDescent="0.25">
      <c r="A21" s="4485"/>
      <c r="B21" s="4485"/>
      <c r="C21" s="4485"/>
      <c r="D21" s="4485"/>
      <c r="E21" s="5304" t="s">
        <v>1939</v>
      </c>
      <c r="F21" s="4466"/>
      <c r="G21" s="4428"/>
      <c r="H21" s="4428"/>
      <c r="I21" s="4473"/>
      <c r="J21" s="4428"/>
      <c r="K21" s="4428"/>
      <c r="L21" s="4428"/>
      <c r="M21" s="4473"/>
      <c r="N21" s="4472"/>
      <c r="O21" s="4424"/>
      <c r="P21" s="4424"/>
      <c r="Q21" s="4428"/>
      <c r="R21" s="4473"/>
      <c r="S21" s="4428"/>
      <c r="T21" s="4428"/>
      <c r="U21" s="4471"/>
      <c r="V21" s="4473"/>
      <c r="W21" s="4472"/>
      <c r="X21" s="4440"/>
      <c r="Y21" s="4439"/>
      <c r="Z21" s="4428"/>
      <c r="AA21" s="4428"/>
      <c r="AB21" s="4473">
        <f t="shared" si="0"/>
        <v>0</v>
      </c>
      <c r="AC21" s="4428"/>
      <c r="AD21" s="4428"/>
      <c r="AE21" s="4428"/>
      <c r="AF21" s="4438">
        <f t="shared" si="1"/>
        <v>0</v>
      </c>
      <c r="AG21" s="4472">
        <f t="shared" si="2"/>
        <v>0</v>
      </c>
      <c r="AH21" s="4424"/>
      <c r="AI21" s="4424"/>
      <c r="AJ21" s="4424"/>
      <c r="AK21" s="4473">
        <f t="shared" si="3"/>
        <v>0</v>
      </c>
      <c r="AL21" s="4428"/>
      <c r="AM21" s="4428"/>
      <c r="AN21" s="4471"/>
      <c r="AO21" s="4473">
        <f t="shared" si="31"/>
        <v>0</v>
      </c>
      <c r="AP21" s="4472">
        <f t="shared" si="32"/>
        <v>0</v>
      </c>
      <c r="AQ21" s="4437">
        <f t="shared" si="33"/>
        <v>0</v>
      </c>
      <c r="AR21" s="4427">
        <f t="shared" si="6"/>
        <v>0</v>
      </c>
      <c r="AS21" s="4470"/>
      <c r="AT21" s="4430"/>
      <c r="AU21" s="4436">
        <f t="shared" si="34"/>
        <v>0</v>
      </c>
      <c r="AV21" s="4435"/>
      <c r="AW21" s="4434">
        <f t="shared" si="35"/>
        <v>0</v>
      </c>
      <c r="AX21" s="4433"/>
      <c r="AY21" s="4433">
        <f t="shared" si="36"/>
        <v>0</v>
      </c>
      <c r="AZ21" s="4433"/>
      <c r="BA21" s="4434">
        <f t="shared" si="7"/>
        <v>0</v>
      </c>
      <c r="BB21" s="4432"/>
      <c r="BC21" s="4432">
        <f t="shared" si="8"/>
        <v>0</v>
      </c>
      <c r="BD21" s="4433"/>
      <c r="BE21" s="4434">
        <f t="shared" si="9"/>
        <v>0</v>
      </c>
      <c r="BF21" s="4431"/>
      <c r="BG21" s="4431">
        <f t="shared" si="10"/>
        <v>0</v>
      </c>
      <c r="BH21" s="4433"/>
      <c r="BI21" s="4434">
        <f t="shared" si="11"/>
        <v>0</v>
      </c>
      <c r="BJ21" s="4431"/>
      <c r="BK21" s="4431">
        <f t="shared" si="12"/>
        <v>0</v>
      </c>
      <c r="BL21" s="4433"/>
      <c r="BM21" s="4434">
        <f t="shared" si="13"/>
        <v>0</v>
      </c>
      <c r="BN21" s="4433"/>
      <c r="BO21" s="4432">
        <f t="shared" si="14"/>
        <v>0</v>
      </c>
      <c r="BP21" s="4433"/>
      <c r="BQ21" s="4455">
        <f t="shared" si="15"/>
        <v>0</v>
      </c>
      <c r="BR21" s="4433"/>
      <c r="BS21" s="4434">
        <f t="shared" si="16"/>
        <v>0</v>
      </c>
      <c r="BT21" s="4431"/>
      <c r="BU21" s="4431">
        <f t="shared" si="17"/>
        <v>0</v>
      </c>
      <c r="BV21" s="4433"/>
      <c r="BW21" s="4434">
        <f t="shared" si="18"/>
        <v>0</v>
      </c>
      <c r="BX21" s="4433"/>
      <c r="BY21" s="4433">
        <f t="shared" si="19"/>
        <v>0</v>
      </c>
      <c r="BZ21" s="4433"/>
      <c r="CA21" s="4434">
        <f t="shared" si="20"/>
        <v>0</v>
      </c>
      <c r="CB21" s="4433"/>
      <c r="CC21" s="4432">
        <f t="shared" si="21"/>
        <v>0</v>
      </c>
      <c r="CD21" s="4431"/>
      <c r="CE21" s="4431">
        <f t="shared" si="22"/>
        <v>0</v>
      </c>
      <c r="CF21" s="4433"/>
      <c r="CG21" s="4434">
        <f t="shared" si="23"/>
        <v>0</v>
      </c>
      <c r="CH21" s="4433"/>
      <c r="CI21" s="4433">
        <f t="shared" si="24"/>
        <v>0</v>
      </c>
      <c r="CJ21" s="4433"/>
      <c r="CK21" s="4434">
        <f t="shared" si="25"/>
        <v>0</v>
      </c>
      <c r="CL21" s="4431"/>
      <c r="CM21" s="4431">
        <f t="shared" si="26"/>
        <v>0</v>
      </c>
      <c r="CN21" s="4433"/>
      <c r="CO21" s="4434">
        <f t="shared" si="27"/>
        <v>0</v>
      </c>
      <c r="CP21" s="4433"/>
      <c r="CQ21" s="4432">
        <f t="shared" si="28"/>
        <v>0</v>
      </c>
      <c r="CR21" s="4433"/>
      <c r="CS21" s="4455">
        <f t="shared" si="29"/>
        <v>0</v>
      </c>
      <c r="CT21" s="4431"/>
      <c r="CU21" s="4457">
        <f t="shared" si="30"/>
        <v>0</v>
      </c>
      <c r="CV21" s="6719"/>
      <c r="CW21" s="6719"/>
    </row>
    <row r="22" spans="1:105" x14ac:dyDescent="0.25">
      <c r="A22" s="4485"/>
      <c r="B22" s="4485"/>
      <c r="C22" s="4485"/>
      <c r="D22" s="4485"/>
      <c r="E22" s="5304" t="s">
        <v>1880</v>
      </c>
      <c r="F22" s="4466">
        <v>4494</v>
      </c>
      <c r="G22" s="4428"/>
      <c r="H22" s="4428"/>
      <c r="I22" s="4473"/>
      <c r="J22" s="4428"/>
      <c r="K22" s="4428"/>
      <c r="L22" s="4428"/>
      <c r="M22" s="4473"/>
      <c r="N22" s="4472"/>
      <c r="O22" s="4424"/>
      <c r="P22" s="4424"/>
      <c r="Q22" s="4428"/>
      <c r="R22" s="4473"/>
      <c r="S22" s="4428"/>
      <c r="T22" s="4428"/>
      <c r="U22" s="4471"/>
      <c r="V22" s="4473"/>
      <c r="W22" s="4472"/>
      <c r="X22" s="4440"/>
      <c r="Y22" s="4439">
        <v>100</v>
      </c>
      <c r="Z22" s="4428">
        <v>725</v>
      </c>
      <c r="AA22" s="4428">
        <v>3211</v>
      </c>
      <c r="AB22" s="4473">
        <f t="shared" si="0"/>
        <v>4036</v>
      </c>
      <c r="AC22" s="4428"/>
      <c r="AD22" s="4428">
        <v>2648.8420000000001</v>
      </c>
      <c r="AE22" s="4428"/>
      <c r="AF22" s="4438">
        <f t="shared" si="1"/>
        <v>2648.8420000000001</v>
      </c>
      <c r="AG22" s="4472">
        <f t="shared" si="2"/>
        <v>6684.8420000000006</v>
      </c>
      <c r="AH22" s="4424"/>
      <c r="AI22" s="4424">
        <v>1787.8050000000001</v>
      </c>
      <c r="AJ22" s="4424">
        <v>2864</v>
      </c>
      <c r="AK22" s="4473">
        <f t="shared" si="3"/>
        <v>4651.8050000000003</v>
      </c>
      <c r="AL22" s="4428"/>
      <c r="AM22" s="4428"/>
      <c r="AN22" s="4471">
        <v>888.66800000000001</v>
      </c>
      <c r="AO22" s="4473">
        <f t="shared" si="31"/>
        <v>888.66800000000001</v>
      </c>
      <c r="AP22" s="4472">
        <f t="shared" si="32"/>
        <v>5540.473</v>
      </c>
      <c r="AQ22" s="4437">
        <f t="shared" si="33"/>
        <v>12225.315000000001</v>
      </c>
      <c r="AR22" s="4427">
        <f t="shared" si="6"/>
        <v>12225.315000000001</v>
      </c>
      <c r="AS22" s="4470"/>
      <c r="AT22" s="4430"/>
      <c r="AU22" s="4436">
        <f>+F22+Y22</f>
        <v>4594</v>
      </c>
      <c r="AV22" s="4435"/>
      <c r="AW22" s="4434">
        <f t="shared" si="35"/>
        <v>725</v>
      </c>
      <c r="AX22" s="4433"/>
      <c r="AY22" s="4433">
        <f t="shared" si="36"/>
        <v>5319</v>
      </c>
      <c r="AZ22" s="4433"/>
      <c r="BA22" s="4434">
        <f t="shared" si="7"/>
        <v>3211</v>
      </c>
      <c r="BB22" s="4432"/>
      <c r="BC22" s="4432">
        <f t="shared" si="8"/>
        <v>8530</v>
      </c>
      <c r="BD22" s="4433"/>
      <c r="BE22" s="4434">
        <f t="shared" si="9"/>
        <v>0</v>
      </c>
      <c r="BF22" s="4431"/>
      <c r="BG22" s="4431">
        <f t="shared" si="10"/>
        <v>8530</v>
      </c>
      <c r="BH22" s="4433"/>
      <c r="BI22" s="4434">
        <f t="shared" si="11"/>
        <v>2648.8420000000001</v>
      </c>
      <c r="BJ22" s="4431"/>
      <c r="BK22" s="4431">
        <f t="shared" si="12"/>
        <v>11178.842000000001</v>
      </c>
      <c r="BL22" s="4433"/>
      <c r="BM22" s="4434">
        <f t="shared" si="13"/>
        <v>0</v>
      </c>
      <c r="BN22" s="4433"/>
      <c r="BO22" s="4432">
        <f t="shared" si="14"/>
        <v>2648.8420000000001</v>
      </c>
      <c r="BP22" s="4433"/>
      <c r="BQ22" s="4455">
        <f t="shared" si="15"/>
        <v>11178.842000000001</v>
      </c>
      <c r="BR22" s="4433"/>
      <c r="BS22" s="4434">
        <f t="shared" si="16"/>
        <v>0</v>
      </c>
      <c r="BT22" s="4431"/>
      <c r="BU22" s="4431">
        <f t="shared" si="17"/>
        <v>11178.842000000001</v>
      </c>
      <c r="BV22" s="4433"/>
      <c r="BW22" s="4434">
        <f t="shared" si="18"/>
        <v>1787.8050000000001</v>
      </c>
      <c r="BX22" s="4433"/>
      <c r="BY22" s="4433">
        <f t="shared" si="19"/>
        <v>12966.647000000001</v>
      </c>
      <c r="BZ22" s="4433"/>
      <c r="CA22" s="4434">
        <f t="shared" si="20"/>
        <v>2864</v>
      </c>
      <c r="CB22" s="4433"/>
      <c r="CC22" s="4432">
        <f t="shared" si="21"/>
        <v>4651.8050000000003</v>
      </c>
      <c r="CD22" s="4431"/>
      <c r="CE22" s="4431">
        <f t="shared" si="22"/>
        <v>15830.647000000001</v>
      </c>
      <c r="CF22" s="4433"/>
      <c r="CG22" s="4434">
        <f t="shared" si="23"/>
        <v>0</v>
      </c>
      <c r="CH22" s="4433"/>
      <c r="CI22" s="4433">
        <f t="shared" si="24"/>
        <v>15830.647000000001</v>
      </c>
      <c r="CJ22" s="4433"/>
      <c r="CK22" s="4434">
        <f t="shared" si="25"/>
        <v>0</v>
      </c>
      <c r="CL22" s="4431"/>
      <c r="CM22" s="4431">
        <f t="shared" si="26"/>
        <v>15830.647000000001</v>
      </c>
      <c r="CN22" s="4433"/>
      <c r="CO22" s="4434">
        <f t="shared" si="27"/>
        <v>888.66800000000001</v>
      </c>
      <c r="CP22" s="4433"/>
      <c r="CQ22" s="4432">
        <f t="shared" si="28"/>
        <v>888.66800000000001</v>
      </c>
      <c r="CR22" s="4433"/>
      <c r="CS22" s="4455">
        <f t="shared" si="29"/>
        <v>5540.473</v>
      </c>
      <c r="CT22" s="4431"/>
      <c r="CU22" s="4457">
        <f t="shared" si="30"/>
        <v>16719.315000000002</v>
      </c>
      <c r="CV22" s="6719"/>
      <c r="CW22" s="6719"/>
      <c r="CY22" s="4462"/>
      <c r="CZ22" s="4462"/>
      <c r="DA22" s="4462"/>
    </row>
    <row r="23" spans="1:105" x14ac:dyDescent="0.25">
      <c r="A23" s="4485"/>
      <c r="B23" s="4485"/>
      <c r="C23" s="4485"/>
      <c r="D23" s="4485"/>
      <c r="E23" s="5304" t="s">
        <v>1881</v>
      </c>
      <c r="F23" s="4466"/>
      <c r="G23" s="4428"/>
      <c r="H23" s="4428"/>
      <c r="I23" s="4473"/>
      <c r="J23" s="4428"/>
      <c r="K23" s="4428"/>
      <c r="L23" s="4428"/>
      <c r="M23" s="4473"/>
      <c r="N23" s="4472"/>
      <c r="O23" s="4424"/>
      <c r="P23" s="4424"/>
      <c r="Q23" s="4428"/>
      <c r="R23" s="4473"/>
      <c r="S23" s="4428"/>
      <c r="T23" s="4428"/>
      <c r="U23" s="4471"/>
      <c r="V23" s="4473"/>
      <c r="W23" s="4472"/>
      <c r="X23" s="4440"/>
      <c r="Y23" s="4439"/>
      <c r="Z23" s="4428"/>
      <c r="AA23" s="4428"/>
      <c r="AB23" s="4473">
        <f t="shared" si="0"/>
        <v>0</v>
      </c>
      <c r="AC23" s="4428"/>
      <c r="AD23" s="4428"/>
      <c r="AE23" s="4428"/>
      <c r="AF23" s="4438">
        <f t="shared" si="1"/>
        <v>0</v>
      </c>
      <c r="AG23" s="4472">
        <f t="shared" si="2"/>
        <v>0</v>
      </c>
      <c r="AH23" s="4424"/>
      <c r="AI23" s="4424"/>
      <c r="AJ23" s="4424"/>
      <c r="AK23" s="4473">
        <f t="shared" si="3"/>
        <v>0</v>
      </c>
      <c r="AL23" s="4428">
        <v>108</v>
      </c>
      <c r="AM23" s="4428"/>
      <c r="AN23" s="4471"/>
      <c r="AO23" s="4473">
        <f t="shared" ref="AO23" si="37">+AL23+AM23+AN23</f>
        <v>108</v>
      </c>
      <c r="AP23" s="4472">
        <f t="shared" ref="AP23" si="38">+AK23+AO23</f>
        <v>108</v>
      </c>
      <c r="AQ23" s="4437">
        <f t="shared" si="33"/>
        <v>108</v>
      </c>
      <c r="AR23" s="4427">
        <f t="shared" si="6"/>
        <v>108</v>
      </c>
      <c r="AS23" s="4470"/>
      <c r="AT23" s="4430"/>
      <c r="AU23" s="4436">
        <f t="shared" ref="AU23" si="39">+F23+Y23</f>
        <v>0</v>
      </c>
      <c r="AV23" s="4435"/>
      <c r="AW23" s="4434">
        <f t="shared" ref="AW23" si="40">+G23+Z23</f>
        <v>0</v>
      </c>
      <c r="AX23" s="4433"/>
      <c r="AY23" s="4433">
        <f t="shared" ref="AY23" si="41">AU23+AW23</f>
        <v>0</v>
      </c>
      <c r="AZ23" s="4433"/>
      <c r="BA23" s="4434">
        <f t="shared" ref="BA23" si="42">+H23+AA23</f>
        <v>0</v>
      </c>
      <c r="BB23" s="4432"/>
      <c r="BC23" s="4432">
        <f t="shared" ref="BC23" si="43">AU23+AW23+BA23</f>
        <v>0</v>
      </c>
      <c r="BD23" s="4433"/>
      <c r="BE23" s="4434">
        <f t="shared" ref="BE23" si="44">+J23+AC23</f>
        <v>0</v>
      </c>
      <c r="BF23" s="4431"/>
      <c r="BG23" s="4431">
        <f t="shared" ref="BG23" si="45">+BC23+BE23</f>
        <v>0</v>
      </c>
      <c r="BH23" s="4433"/>
      <c r="BI23" s="4434">
        <f t="shared" ref="BI23" si="46">K23+AD23</f>
        <v>0</v>
      </c>
      <c r="BJ23" s="4431"/>
      <c r="BK23" s="4431">
        <f t="shared" ref="BK23" si="47">+BG23+BI23</f>
        <v>0</v>
      </c>
      <c r="BL23" s="4433"/>
      <c r="BM23" s="4434">
        <f t="shared" ref="BM23" si="48">+L23+AE23</f>
        <v>0</v>
      </c>
      <c r="BN23" s="4433"/>
      <c r="BO23" s="4432">
        <f t="shared" ref="BO23" si="49">BE23+BI23+BM23</f>
        <v>0</v>
      </c>
      <c r="BP23" s="4433"/>
      <c r="BQ23" s="4455">
        <f t="shared" ref="BQ23" si="50">BC23+BO23</f>
        <v>0</v>
      </c>
      <c r="BR23" s="4433"/>
      <c r="BS23" s="4434">
        <f t="shared" ref="BS23" si="51">+O23+AH23</f>
        <v>0</v>
      </c>
      <c r="BT23" s="4431"/>
      <c r="BU23" s="4431">
        <f t="shared" ref="BU23" si="52">BQ23+BS23</f>
        <v>0</v>
      </c>
      <c r="BV23" s="4433"/>
      <c r="BW23" s="4434">
        <f t="shared" ref="BW23" si="53">+P23+AI23</f>
        <v>0</v>
      </c>
      <c r="BX23" s="4433"/>
      <c r="BY23" s="4433">
        <f t="shared" ref="BY23" si="54">BU23+BW23</f>
        <v>0</v>
      </c>
      <c r="BZ23" s="4433"/>
      <c r="CA23" s="4434">
        <f t="shared" ref="CA23" si="55">+Q23+AJ23</f>
        <v>0</v>
      </c>
      <c r="CB23" s="4433"/>
      <c r="CC23" s="4432">
        <f t="shared" ref="CC23" si="56">BS23+BW23+CA23</f>
        <v>0</v>
      </c>
      <c r="CD23" s="4431"/>
      <c r="CE23" s="4431">
        <f t="shared" ref="CE23" si="57">BY23+CA23</f>
        <v>0</v>
      </c>
      <c r="CF23" s="4433"/>
      <c r="CG23" s="4434">
        <f t="shared" si="23"/>
        <v>108</v>
      </c>
      <c r="CH23" s="4433"/>
      <c r="CI23" s="4433">
        <f t="shared" si="24"/>
        <v>108</v>
      </c>
      <c r="CJ23" s="4433"/>
      <c r="CK23" s="4434">
        <f t="shared" si="25"/>
        <v>0</v>
      </c>
      <c r="CL23" s="4431"/>
      <c r="CM23" s="4431">
        <f t="shared" si="26"/>
        <v>108</v>
      </c>
      <c r="CN23" s="4433"/>
      <c r="CO23" s="4434">
        <f t="shared" si="27"/>
        <v>0</v>
      </c>
      <c r="CP23" s="4433"/>
      <c r="CQ23" s="4432">
        <f t="shared" si="28"/>
        <v>108</v>
      </c>
      <c r="CR23" s="4433"/>
      <c r="CS23" s="4455">
        <f t="shared" si="29"/>
        <v>108</v>
      </c>
      <c r="CT23" s="4431"/>
      <c r="CU23" s="4457">
        <f t="shared" ref="CU23" si="58">SUM(AU23,AW23,BA23,BE23,BI23,BM23,BS23,BW23,CA23,CG23,CK23,CO23)</f>
        <v>108</v>
      </c>
      <c r="CV23" s="6719"/>
      <c r="CW23" s="6719"/>
      <c r="CY23" s="4462"/>
      <c r="CZ23" s="4462"/>
      <c r="DA23" s="4462"/>
    </row>
    <row r="24" spans="1:105" x14ac:dyDescent="0.25">
      <c r="A24" s="4485"/>
      <c r="B24" s="4485"/>
      <c r="C24" s="4485"/>
      <c r="D24" s="4485"/>
      <c r="E24" s="5304" t="s">
        <v>1359</v>
      </c>
      <c r="F24" s="4466">
        <v>1286</v>
      </c>
      <c r="G24" s="4428"/>
      <c r="H24" s="4428"/>
      <c r="I24" s="4473"/>
      <c r="J24" s="4428"/>
      <c r="K24" s="4428"/>
      <c r="L24" s="4428"/>
      <c r="M24" s="4473"/>
      <c r="N24" s="4472"/>
      <c r="O24" s="4424"/>
      <c r="P24" s="4424"/>
      <c r="Q24" s="4428"/>
      <c r="R24" s="4473"/>
      <c r="S24" s="4428"/>
      <c r="T24" s="4428"/>
      <c r="U24" s="4471"/>
      <c r="V24" s="4473"/>
      <c r="W24" s="4472"/>
      <c r="X24" s="4440"/>
      <c r="Y24" s="4439"/>
      <c r="Z24" s="4428">
        <v>0</v>
      </c>
      <c r="AA24" s="4428"/>
      <c r="AB24" s="4473">
        <f t="shared" si="0"/>
        <v>0</v>
      </c>
      <c r="AC24" s="4428"/>
      <c r="AD24" s="4428"/>
      <c r="AE24" s="4428"/>
      <c r="AF24" s="4438">
        <f t="shared" si="1"/>
        <v>0</v>
      </c>
      <c r="AG24" s="4472">
        <f t="shared" si="2"/>
        <v>0</v>
      </c>
      <c r="AH24" s="4424"/>
      <c r="AI24" s="4424"/>
      <c r="AJ24" s="4424"/>
      <c r="AK24" s="4473">
        <f t="shared" si="3"/>
        <v>0</v>
      </c>
      <c r="AL24" s="4428"/>
      <c r="AM24" s="4428"/>
      <c r="AN24" s="4471"/>
      <c r="AO24" s="4473">
        <f t="shared" si="31"/>
        <v>0</v>
      </c>
      <c r="AP24" s="4472">
        <f t="shared" si="32"/>
        <v>0</v>
      </c>
      <c r="AQ24" s="4437">
        <f t="shared" si="33"/>
        <v>0</v>
      </c>
      <c r="AR24" s="4427">
        <f t="shared" si="6"/>
        <v>0</v>
      </c>
      <c r="AS24" s="4470"/>
      <c r="AT24" s="4430"/>
      <c r="AU24" s="4436">
        <f t="shared" si="34"/>
        <v>1286</v>
      </c>
      <c r="AV24" s="4435"/>
      <c r="AW24" s="4434">
        <f t="shared" si="35"/>
        <v>0</v>
      </c>
      <c r="AX24" s="4433"/>
      <c r="AY24" s="4433">
        <f t="shared" si="36"/>
        <v>1286</v>
      </c>
      <c r="AZ24" s="4433"/>
      <c r="BA24" s="4434">
        <f t="shared" si="7"/>
        <v>0</v>
      </c>
      <c r="BB24" s="4432"/>
      <c r="BC24" s="4432">
        <f t="shared" si="8"/>
        <v>1286</v>
      </c>
      <c r="BD24" s="4433"/>
      <c r="BE24" s="4434">
        <f t="shared" si="9"/>
        <v>0</v>
      </c>
      <c r="BF24" s="4431"/>
      <c r="BG24" s="4431">
        <f t="shared" si="10"/>
        <v>1286</v>
      </c>
      <c r="BH24" s="4433"/>
      <c r="BI24" s="4434">
        <f t="shared" si="11"/>
        <v>0</v>
      </c>
      <c r="BJ24" s="4431"/>
      <c r="BK24" s="4431">
        <f t="shared" si="12"/>
        <v>1286</v>
      </c>
      <c r="BL24" s="4433"/>
      <c r="BM24" s="4434">
        <f t="shared" si="13"/>
        <v>0</v>
      </c>
      <c r="BN24" s="4433"/>
      <c r="BO24" s="4432">
        <f t="shared" si="14"/>
        <v>0</v>
      </c>
      <c r="BP24" s="4433"/>
      <c r="BQ24" s="4455">
        <f t="shared" si="15"/>
        <v>1286</v>
      </c>
      <c r="BR24" s="4433"/>
      <c r="BS24" s="4434">
        <f t="shared" si="16"/>
        <v>0</v>
      </c>
      <c r="BT24" s="4431"/>
      <c r="BU24" s="4431">
        <f t="shared" si="17"/>
        <v>1286</v>
      </c>
      <c r="BV24" s="4433"/>
      <c r="BW24" s="4434">
        <f t="shared" si="18"/>
        <v>0</v>
      </c>
      <c r="BX24" s="4433"/>
      <c r="BY24" s="4433">
        <f t="shared" si="19"/>
        <v>1286</v>
      </c>
      <c r="BZ24" s="4433"/>
      <c r="CA24" s="4434">
        <f t="shared" si="20"/>
        <v>0</v>
      </c>
      <c r="CB24" s="4433"/>
      <c r="CC24" s="4432">
        <f t="shared" si="21"/>
        <v>0</v>
      </c>
      <c r="CD24" s="4431"/>
      <c r="CE24" s="4431">
        <f t="shared" si="22"/>
        <v>1286</v>
      </c>
      <c r="CF24" s="4433"/>
      <c r="CG24" s="4434">
        <f t="shared" si="23"/>
        <v>0</v>
      </c>
      <c r="CH24" s="4433"/>
      <c r="CI24" s="4433">
        <f t="shared" si="24"/>
        <v>1286</v>
      </c>
      <c r="CJ24" s="4433"/>
      <c r="CK24" s="4434">
        <f t="shared" si="25"/>
        <v>0</v>
      </c>
      <c r="CL24" s="4431"/>
      <c r="CM24" s="4431">
        <f t="shared" si="26"/>
        <v>1286</v>
      </c>
      <c r="CN24" s="4433"/>
      <c r="CO24" s="4434">
        <f t="shared" si="27"/>
        <v>0</v>
      </c>
      <c r="CP24" s="4433"/>
      <c r="CQ24" s="4432">
        <f t="shared" si="28"/>
        <v>0</v>
      </c>
      <c r="CR24" s="4433"/>
      <c r="CS24" s="4455">
        <f t="shared" si="29"/>
        <v>0</v>
      </c>
      <c r="CT24" s="4431"/>
      <c r="CU24" s="4457">
        <f t="shared" si="30"/>
        <v>1286</v>
      </c>
      <c r="CV24" s="6719"/>
      <c r="CW24" s="6719"/>
    </row>
    <row r="25" spans="1:105" x14ac:dyDescent="0.25">
      <c r="A25" s="4485"/>
      <c r="B25" s="4485"/>
      <c r="C25" s="4485"/>
      <c r="D25" s="4485"/>
      <c r="E25" s="5304" t="s">
        <v>1358</v>
      </c>
      <c r="F25" s="4466"/>
      <c r="G25" s="4428"/>
      <c r="H25" s="4428"/>
      <c r="I25" s="4473"/>
      <c r="J25" s="4428"/>
      <c r="K25" s="4428"/>
      <c r="L25" s="4428"/>
      <c r="M25" s="4473"/>
      <c r="N25" s="4472"/>
      <c r="O25" s="4424"/>
      <c r="P25" s="4424"/>
      <c r="Q25" s="4428"/>
      <c r="R25" s="4473"/>
      <c r="S25" s="4428"/>
      <c r="T25" s="4428"/>
      <c r="U25" s="4471"/>
      <c r="V25" s="4473"/>
      <c r="W25" s="4472"/>
      <c r="X25" s="4440"/>
      <c r="Y25" s="4439"/>
      <c r="Z25" s="4428">
        <v>0</v>
      </c>
      <c r="AA25" s="4428"/>
      <c r="AB25" s="4473">
        <f t="shared" si="0"/>
        <v>0</v>
      </c>
      <c r="AC25" s="4428"/>
      <c r="AD25" s="4428"/>
      <c r="AE25" s="4428"/>
      <c r="AF25" s="4438">
        <f t="shared" si="1"/>
        <v>0</v>
      </c>
      <c r="AG25" s="4472">
        <f t="shared" si="2"/>
        <v>0</v>
      </c>
      <c r="AH25" s="4424"/>
      <c r="AI25" s="4424"/>
      <c r="AJ25" s="4424"/>
      <c r="AK25" s="4473">
        <f t="shared" si="3"/>
        <v>0</v>
      </c>
      <c r="AL25" s="4428"/>
      <c r="AM25" s="4428"/>
      <c r="AN25" s="4471"/>
      <c r="AO25" s="4473">
        <f t="shared" si="31"/>
        <v>0</v>
      </c>
      <c r="AP25" s="4472">
        <f t="shared" si="32"/>
        <v>0</v>
      </c>
      <c r="AQ25" s="4437">
        <f t="shared" si="33"/>
        <v>0</v>
      </c>
      <c r="AR25" s="4427">
        <f t="shared" si="6"/>
        <v>0</v>
      </c>
      <c r="AS25" s="4470"/>
      <c r="AT25" s="4430"/>
      <c r="AU25" s="4436">
        <f t="shared" si="34"/>
        <v>0</v>
      </c>
      <c r="AV25" s="4435"/>
      <c r="AW25" s="4434">
        <f t="shared" si="35"/>
        <v>0</v>
      </c>
      <c r="AX25" s="4433"/>
      <c r="AY25" s="4433">
        <f t="shared" si="36"/>
        <v>0</v>
      </c>
      <c r="AZ25" s="4433"/>
      <c r="BA25" s="4434">
        <f t="shared" si="7"/>
        <v>0</v>
      </c>
      <c r="BB25" s="4432"/>
      <c r="BC25" s="4432">
        <f t="shared" si="8"/>
        <v>0</v>
      </c>
      <c r="BD25" s="4433"/>
      <c r="BE25" s="4434">
        <f t="shared" si="9"/>
        <v>0</v>
      </c>
      <c r="BF25" s="4431"/>
      <c r="BG25" s="4431">
        <f t="shared" si="10"/>
        <v>0</v>
      </c>
      <c r="BH25" s="4433"/>
      <c r="BI25" s="4434">
        <f t="shared" si="11"/>
        <v>0</v>
      </c>
      <c r="BJ25" s="4431"/>
      <c r="BK25" s="4431">
        <f t="shared" si="12"/>
        <v>0</v>
      </c>
      <c r="BL25" s="4433"/>
      <c r="BM25" s="4434">
        <f t="shared" si="13"/>
        <v>0</v>
      </c>
      <c r="BN25" s="4433"/>
      <c r="BO25" s="4432">
        <f t="shared" si="14"/>
        <v>0</v>
      </c>
      <c r="BP25" s="4433"/>
      <c r="BQ25" s="4455">
        <f t="shared" si="15"/>
        <v>0</v>
      </c>
      <c r="BR25" s="4433"/>
      <c r="BS25" s="4434">
        <f t="shared" si="16"/>
        <v>0</v>
      </c>
      <c r="BT25" s="4431"/>
      <c r="BU25" s="4431">
        <f t="shared" si="17"/>
        <v>0</v>
      </c>
      <c r="BV25" s="4433"/>
      <c r="BW25" s="4434">
        <f t="shared" si="18"/>
        <v>0</v>
      </c>
      <c r="BX25" s="4433"/>
      <c r="BY25" s="4433">
        <f t="shared" si="19"/>
        <v>0</v>
      </c>
      <c r="BZ25" s="4433"/>
      <c r="CA25" s="4434">
        <f t="shared" si="20"/>
        <v>0</v>
      </c>
      <c r="CB25" s="4433"/>
      <c r="CC25" s="4432">
        <f t="shared" si="21"/>
        <v>0</v>
      </c>
      <c r="CD25" s="4431"/>
      <c r="CE25" s="4431">
        <f t="shared" si="22"/>
        <v>0</v>
      </c>
      <c r="CF25" s="4433"/>
      <c r="CG25" s="4434">
        <f t="shared" si="23"/>
        <v>0</v>
      </c>
      <c r="CH25" s="4433"/>
      <c r="CI25" s="4433">
        <f t="shared" si="24"/>
        <v>0</v>
      </c>
      <c r="CJ25" s="4433"/>
      <c r="CK25" s="4434">
        <f t="shared" si="25"/>
        <v>0</v>
      </c>
      <c r="CL25" s="4431"/>
      <c r="CM25" s="4431">
        <f t="shared" si="26"/>
        <v>0</v>
      </c>
      <c r="CN25" s="4433"/>
      <c r="CO25" s="4434">
        <f t="shared" si="27"/>
        <v>0</v>
      </c>
      <c r="CP25" s="4433"/>
      <c r="CQ25" s="4432">
        <f t="shared" si="28"/>
        <v>0</v>
      </c>
      <c r="CR25" s="4433"/>
      <c r="CS25" s="4455">
        <f t="shared" si="29"/>
        <v>0</v>
      </c>
      <c r="CT25" s="4431"/>
      <c r="CU25" s="4457">
        <f t="shared" si="30"/>
        <v>0</v>
      </c>
      <c r="CV25" s="6719"/>
      <c r="CW25" s="6719"/>
    </row>
    <row r="26" spans="1:105" x14ac:dyDescent="0.25">
      <c r="A26" s="4485"/>
      <c r="B26" s="4485"/>
      <c r="C26" s="4485"/>
      <c r="D26" s="4485"/>
      <c r="E26" s="5304" t="s">
        <v>1879</v>
      </c>
      <c r="F26" s="4466"/>
      <c r="G26" s="4428"/>
      <c r="H26" s="4428"/>
      <c r="I26" s="4473"/>
      <c r="J26" s="4428"/>
      <c r="K26" s="4428"/>
      <c r="L26" s="4428"/>
      <c r="M26" s="4473"/>
      <c r="N26" s="4472"/>
      <c r="O26" s="4424"/>
      <c r="P26" s="4424"/>
      <c r="Q26" s="4428"/>
      <c r="R26" s="4473"/>
      <c r="S26" s="4428"/>
      <c r="T26" s="4428"/>
      <c r="U26" s="4471"/>
      <c r="V26" s="4473"/>
      <c r="W26" s="4472"/>
      <c r="X26" s="4440"/>
      <c r="Y26" s="4439"/>
      <c r="Z26" s="4428"/>
      <c r="AA26" s="4428"/>
      <c r="AB26" s="4473">
        <f t="shared" si="0"/>
        <v>0</v>
      </c>
      <c r="AC26" s="4428"/>
      <c r="AD26" s="4428"/>
      <c r="AE26" s="4428"/>
      <c r="AF26" s="4438">
        <f t="shared" si="1"/>
        <v>0</v>
      </c>
      <c r="AG26" s="4472">
        <f t="shared" si="2"/>
        <v>0</v>
      </c>
      <c r="AH26" s="4424"/>
      <c r="AI26" s="4424"/>
      <c r="AJ26" s="4424"/>
      <c r="AK26" s="4473">
        <f t="shared" si="3"/>
        <v>0</v>
      </c>
      <c r="AL26" s="4428"/>
      <c r="AM26" s="4428"/>
      <c r="AN26" s="4471"/>
      <c r="AO26" s="4473">
        <f t="shared" si="31"/>
        <v>0</v>
      </c>
      <c r="AP26" s="4472">
        <f t="shared" si="32"/>
        <v>0</v>
      </c>
      <c r="AQ26" s="4437">
        <f t="shared" si="33"/>
        <v>0</v>
      </c>
      <c r="AR26" s="4427">
        <f t="shared" si="6"/>
        <v>0</v>
      </c>
      <c r="AS26" s="4470"/>
      <c r="AT26" s="4430"/>
      <c r="AU26" s="4436">
        <f t="shared" si="34"/>
        <v>0</v>
      </c>
      <c r="AV26" s="4435"/>
      <c r="AW26" s="4434">
        <f t="shared" si="35"/>
        <v>0</v>
      </c>
      <c r="AX26" s="4433"/>
      <c r="AY26" s="4433">
        <f t="shared" si="36"/>
        <v>0</v>
      </c>
      <c r="AZ26" s="4433"/>
      <c r="BA26" s="4434">
        <f t="shared" si="7"/>
        <v>0</v>
      </c>
      <c r="BB26" s="4432"/>
      <c r="BC26" s="4432">
        <f t="shared" si="8"/>
        <v>0</v>
      </c>
      <c r="BD26" s="4433"/>
      <c r="BE26" s="4434">
        <f t="shared" si="9"/>
        <v>0</v>
      </c>
      <c r="BF26" s="4431"/>
      <c r="BG26" s="4431">
        <f t="shared" si="10"/>
        <v>0</v>
      </c>
      <c r="BH26" s="4433"/>
      <c r="BI26" s="4434">
        <f t="shared" si="11"/>
        <v>0</v>
      </c>
      <c r="BJ26" s="4431"/>
      <c r="BK26" s="4431">
        <f t="shared" si="12"/>
        <v>0</v>
      </c>
      <c r="BL26" s="4433"/>
      <c r="BM26" s="4434">
        <f t="shared" si="13"/>
        <v>0</v>
      </c>
      <c r="BN26" s="4433"/>
      <c r="BO26" s="4432">
        <f t="shared" si="14"/>
        <v>0</v>
      </c>
      <c r="BP26" s="4433"/>
      <c r="BQ26" s="4455">
        <f t="shared" si="15"/>
        <v>0</v>
      </c>
      <c r="BR26" s="4433"/>
      <c r="BS26" s="4434">
        <f t="shared" si="16"/>
        <v>0</v>
      </c>
      <c r="BT26" s="4431"/>
      <c r="BU26" s="4431">
        <f t="shared" si="17"/>
        <v>0</v>
      </c>
      <c r="BV26" s="4433"/>
      <c r="BW26" s="4434">
        <f t="shared" si="18"/>
        <v>0</v>
      </c>
      <c r="BX26" s="4433"/>
      <c r="BY26" s="4433">
        <f t="shared" si="19"/>
        <v>0</v>
      </c>
      <c r="BZ26" s="4433"/>
      <c r="CA26" s="4434">
        <f t="shared" si="20"/>
        <v>0</v>
      </c>
      <c r="CB26" s="4433"/>
      <c r="CC26" s="4432">
        <f t="shared" si="21"/>
        <v>0</v>
      </c>
      <c r="CD26" s="4431"/>
      <c r="CE26" s="4431">
        <f t="shared" si="22"/>
        <v>0</v>
      </c>
      <c r="CF26" s="4433"/>
      <c r="CG26" s="4434">
        <f t="shared" si="23"/>
        <v>0</v>
      </c>
      <c r="CH26" s="4433"/>
      <c r="CI26" s="4433">
        <f t="shared" si="24"/>
        <v>0</v>
      </c>
      <c r="CJ26" s="4433"/>
      <c r="CK26" s="4434">
        <f t="shared" si="25"/>
        <v>0</v>
      </c>
      <c r="CL26" s="4431"/>
      <c r="CM26" s="4431">
        <f t="shared" si="26"/>
        <v>0</v>
      </c>
      <c r="CN26" s="4433"/>
      <c r="CO26" s="4434">
        <f t="shared" si="27"/>
        <v>0</v>
      </c>
      <c r="CP26" s="4433"/>
      <c r="CQ26" s="4432">
        <f t="shared" si="28"/>
        <v>0</v>
      </c>
      <c r="CR26" s="4433"/>
      <c r="CS26" s="4455">
        <f t="shared" si="29"/>
        <v>0</v>
      </c>
      <c r="CT26" s="4431"/>
      <c r="CU26" s="4457">
        <f t="shared" si="30"/>
        <v>0</v>
      </c>
      <c r="CV26" s="6719"/>
      <c r="CW26" s="6719"/>
    </row>
    <row r="27" spans="1:105" x14ac:dyDescent="0.25">
      <c r="A27" s="4485"/>
      <c r="B27" s="4485"/>
      <c r="C27" s="4485"/>
      <c r="D27" s="4485"/>
      <c r="E27" s="5304" t="s">
        <v>1357</v>
      </c>
      <c r="F27" s="4466">
        <v>2711</v>
      </c>
      <c r="G27" s="4428"/>
      <c r="H27" s="4428"/>
      <c r="I27" s="4473"/>
      <c r="J27" s="4428"/>
      <c r="K27" s="4428"/>
      <c r="L27" s="4428"/>
      <c r="M27" s="4473"/>
      <c r="N27" s="4472"/>
      <c r="O27" s="4424"/>
      <c r="P27" s="4424"/>
      <c r="Q27" s="4428"/>
      <c r="R27" s="4473"/>
      <c r="S27" s="4428"/>
      <c r="T27" s="4428"/>
      <c r="U27" s="4471"/>
      <c r="V27" s="4473"/>
      <c r="W27" s="4472"/>
      <c r="X27" s="4440"/>
      <c r="Y27" s="4439"/>
      <c r="Z27" s="4428">
        <v>0</v>
      </c>
      <c r="AA27" s="4428"/>
      <c r="AB27" s="4473">
        <f t="shared" si="0"/>
        <v>0</v>
      </c>
      <c r="AC27" s="4428"/>
      <c r="AD27" s="4428"/>
      <c r="AE27" s="4428"/>
      <c r="AF27" s="4438">
        <f t="shared" si="1"/>
        <v>0</v>
      </c>
      <c r="AG27" s="4472">
        <f t="shared" si="2"/>
        <v>0</v>
      </c>
      <c r="AH27" s="4424"/>
      <c r="AI27" s="4424"/>
      <c r="AJ27" s="4424"/>
      <c r="AK27" s="4473">
        <f t="shared" si="3"/>
        <v>0</v>
      </c>
      <c r="AL27" s="4428"/>
      <c r="AM27" s="4428"/>
      <c r="AN27" s="4471"/>
      <c r="AO27" s="4473">
        <f t="shared" si="31"/>
        <v>0</v>
      </c>
      <c r="AP27" s="4472">
        <f t="shared" si="32"/>
        <v>0</v>
      </c>
      <c r="AQ27" s="4437">
        <f t="shared" si="33"/>
        <v>0</v>
      </c>
      <c r="AR27" s="4427">
        <f t="shared" si="6"/>
        <v>0</v>
      </c>
      <c r="AS27" s="4470"/>
      <c r="AT27" s="4430"/>
      <c r="AU27" s="4436">
        <f t="shared" si="34"/>
        <v>2711</v>
      </c>
      <c r="AV27" s="4435"/>
      <c r="AW27" s="4434">
        <f t="shared" si="35"/>
        <v>0</v>
      </c>
      <c r="AX27" s="4433"/>
      <c r="AY27" s="4433">
        <f t="shared" si="36"/>
        <v>2711</v>
      </c>
      <c r="AZ27" s="4433"/>
      <c r="BA27" s="4434">
        <f t="shared" si="7"/>
        <v>0</v>
      </c>
      <c r="BB27" s="4432"/>
      <c r="BC27" s="4432">
        <f t="shared" si="8"/>
        <v>2711</v>
      </c>
      <c r="BD27" s="4433"/>
      <c r="BE27" s="4434">
        <f t="shared" si="9"/>
        <v>0</v>
      </c>
      <c r="BF27" s="4431"/>
      <c r="BG27" s="4431">
        <f t="shared" si="10"/>
        <v>2711</v>
      </c>
      <c r="BH27" s="4433"/>
      <c r="BI27" s="4434">
        <f t="shared" si="11"/>
        <v>0</v>
      </c>
      <c r="BJ27" s="4431"/>
      <c r="BK27" s="4431">
        <f t="shared" si="12"/>
        <v>2711</v>
      </c>
      <c r="BL27" s="4433"/>
      <c r="BM27" s="4434">
        <f t="shared" si="13"/>
        <v>0</v>
      </c>
      <c r="BN27" s="4433"/>
      <c r="BO27" s="4432">
        <f t="shared" si="14"/>
        <v>0</v>
      </c>
      <c r="BP27" s="4433"/>
      <c r="BQ27" s="4455">
        <f t="shared" si="15"/>
        <v>2711</v>
      </c>
      <c r="BR27" s="4433"/>
      <c r="BS27" s="4434">
        <f t="shared" si="16"/>
        <v>0</v>
      </c>
      <c r="BT27" s="4431"/>
      <c r="BU27" s="4431">
        <f t="shared" si="17"/>
        <v>2711</v>
      </c>
      <c r="BV27" s="4433"/>
      <c r="BW27" s="4434">
        <f t="shared" si="18"/>
        <v>0</v>
      </c>
      <c r="BX27" s="4433"/>
      <c r="BY27" s="4433">
        <f t="shared" si="19"/>
        <v>2711</v>
      </c>
      <c r="BZ27" s="4433"/>
      <c r="CA27" s="4434">
        <f t="shared" si="20"/>
        <v>0</v>
      </c>
      <c r="CB27" s="4433"/>
      <c r="CC27" s="4432">
        <f t="shared" si="21"/>
        <v>0</v>
      </c>
      <c r="CD27" s="4431"/>
      <c r="CE27" s="4431">
        <f t="shared" si="22"/>
        <v>2711</v>
      </c>
      <c r="CF27" s="4433"/>
      <c r="CG27" s="4434">
        <f t="shared" si="23"/>
        <v>0</v>
      </c>
      <c r="CH27" s="4433"/>
      <c r="CI27" s="4433">
        <f t="shared" si="24"/>
        <v>2711</v>
      </c>
      <c r="CJ27" s="4433"/>
      <c r="CK27" s="4434">
        <f t="shared" si="25"/>
        <v>0</v>
      </c>
      <c r="CL27" s="4431"/>
      <c r="CM27" s="4431">
        <f t="shared" si="26"/>
        <v>2711</v>
      </c>
      <c r="CN27" s="4433"/>
      <c r="CO27" s="4434">
        <f t="shared" si="27"/>
        <v>0</v>
      </c>
      <c r="CP27" s="4433"/>
      <c r="CQ27" s="4432">
        <f t="shared" si="28"/>
        <v>0</v>
      </c>
      <c r="CR27" s="4433"/>
      <c r="CS27" s="4455">
        <f t="shared" si="29"/>
        <v>0</v>
      </c>
      <c r="CT27" s="4431"/>
      <c r="CU27" s="4457">
        <f t="shared" si="30"/>
        <v>2711</v>
      </c>
      <c r="CV27" s="6719"/>
      <c r="CW27" s="6719"/>
    </row>
    <row r="28" spans="1:105" x14ac:dyDescent="0.25">
      <c r="A28" s="4485"/>
      <c r="B28" s="4485"/>
      <c r="C28" s="4485"/>
      <c r="D28" s="4485"/>
      <c r="E28" s="5304" t="s">
        <v>1356</v>
      </c>
      <c r="F28" s="4466">
        <v>663</v>
      </c>
      <c r="G28" s="4428"/>
      <c r="H28" s="4428"/>
      <c r="I28" s="4473"/>
      <c r="J28" s="4428"/>
      <c r="K28" s="4428"/>
      <c r="L28" s="4428"/>
      <c r="M28" s="4473"/>
      <c r="N28" s="4472"/>
      <c r="O28" s="4424"/>
      <c r="P28" s="4424"/>
      <c r="Q28" s="4428"/>
      <c r="R28" s="4473"/>
      <c r="S28" s="4428"/>
      <c r="T28" s="4428"/>
      <c r="U28" s="4471"/>
      <c r="V28" s="4473"/>
      <c r="W28" s="4472"/>
      <c r="X28" s="4440"/>
      <c r="Y28" s="4439"/>
      <c r="Z28" s="4428">
        <v>0</v>
      </c>
      <c r="AA28" s="4428"/>
      <c r="AB28" s="4473">
        <f t="shared" si="0"/>
        <v>0</v>
      </c>
      <c r="AC28" s="4428"/>
      <c r="AD28" s="4428"/>
      <c r="AE28" s="4428"/>
      <c r="AF28" s="4438">
        <f t="shared" si="1"/>
        <v>0</v>
      </c>
      <c r="AG28" s="4472">
        <f t="shared" si="2"/>
        <v>0</v>
      </c>
      <c r="AH28" s="4424"/>
      <c r="AI28" s="4424"/>
      <c r="AJ28" s="4424"/>
      <c r="AK28" s="4473">
        <f t="shared" si="3"/>
        <v>0</v>
      </c>
      <c r="AL28" s="4428"/>
      <c r="AM28" s="4428"/>
      <c r="AN28" s="4471"/>
      <c r="AO28" s="4473">
        <f t="shared" si="31"/>
        <v>0</v>
      </c>
      <c r="AP28" s="4472">
        <f t="shared" si="32"/>
        <v>0</v>
      </c>
      <c r="AQ28" s="4437">
        <f t="shared" si="33"/>
        <v>0</v>
      </c>
      <c r="AR28" s="4427">
        <f t="shared" si="6"/>
        <v>0</v>
      </c>
      <c r="AS28" s="4470"/>
      <c r="AT28" s="4430"/>
      <c r="AU28" s="4436">
        <f t="shared" si="34"/>
        <v>663</v>
      </c>
      <c r="AV28" s="4435"/>
      <c r="AW28" s="4434">
        <f t="shared" si="35"/>
        <v>0</v>
      </c>
      <c r="AX28" s="4433"/>
      <c r="AY28" s="4433">
        <f t="shared" si="36"/>
        <v>663</v>
      </c>
      <c r="AZ28" s="4433"/>
      <c r="BA28" s="4434">
        <f t="shared" si="7"/>
        <v>0</v>
      </c>
      <c r="BB28" s="4432"/>
      <c r="BC28" s="4432">
        <f t="shared" si="8"/>
        <v>663</v>
      </c>
      <c r="BD28" s="4433"/>
      <c r="BE28" s="4434">
        <f t="shared" si="9"/>
        <v>0</v>
      </c>
      <c r="BF28" s="4431"/>
      <c r="BG28" s="4431">
        <f t="shared" si="10"/>
        <v>663</v>
      </c>
      <c r="BH28" s="4433"/>
      <c r="BI28" s="4434">
        <f t="shared" si="11"/>
        <v>0</v>
      </c>
      <c r="BJ28" s="4431"/>
      <c r="BK28" s="4431">
        <f t="shared" si="12"/>
        <v>663</v>
      </c>
      <c r="BL28" s="4433"/>
      <c r="BM28" s="4434">
        <f t="shared" si="13"/>
        <v>0</v>
      </c>
      <c r="BN28" s="4433"/>
      <c r="BO28" s="4432">
        <f t="shared" si="14"/>
        <v>0</v>
      </c>
      <c r="BP28" s="4433"/>
      <c r="BQ28" s="4455">
        <f t="shared" si="15"/>
        <v>663</v>
      </c>
      <c r="BR28" s="4433"/>
      <c r="BS28" s="4434">
        <f t="shared" si="16"/>
        <v>0</v>
      </c>
      <c r="BT28" s="4431"/>
      <c r="BU28" s="4431">
        <f t="shared" si="17"/>
        <v>663</v>
      </c>
      <c r="BV28" s="4433"/>
      <c r="BW28" s="4434">
        <f t="shared" si="18"/>
        <v>0</v>
      </c>
      <c r="BX28" s="4433"/>
      <c r="BY28" s="4433">
        <f t="shared" si="19"/>
        <v>663</v>
      </c>
      <c r="BZ28" s="4433"/>
      <c r="CA28" s="4434">
        <f t="shared" si="20"/>
        <v>0</v>
      </c>
      <c r="CB28" s="4433"/>
      <c r="CC28" s="4432">
        <f t="shared" si="21"/>
        <v>0</v>
      </c>
      <c r="CD28" s="4431"/>
      <c r="CE28" s="4431">
        <f t="shared" si="22"/>
        <v>663</v>
      </c>
      <c r="CF28" s="4433"/>
      <c r="CG28" s="4434">
        <f t="shared" si="23"/>
        <v>0</v>
      </c>
      <c r="CH28" s="4433"/>
      <c r="CI28" s="4433">
        <f t="shared" si="24"/>
        <v>663</v>
      </c>
      <c r="CJ28" s="4433"/>
      <c r="CK28" s="4434">
        <f t="shared" si="25"/>
        <v>0</v>
      </c>
      <c r="CL28" s="4431"/>
      <c r="CM28" s="4431">
        <f t="shared" si="26"/>
        <v>663</v>
      </c>
      <c r="CN28" s="4433"/>
      <c r="CO28" s="4434">
        <f t="shared" si="27"/>
        <v>0</v>
      </c>
      <c r="CP28" s="4433"/>
      <c r="CQ28" s="4432">
        <f t="shared" si="28"/>
        <v>0</v>
      </c>
      <c r="CR28" s="4433"/>
      <c r="CS28" s="4455">
        <f t="shared" si="29"/>
        <v>0</v>
      </c>
      <c r="CT28" s="4431"/>
      <c r="CU28" s="4457">
        <f t="shared" si="30"/>
        <v>663</v>
      </c>
      <c r="CV28" s="6719"/>
      <c r="CW28" s="6719"/>
    </row>
    <row r="29" spans="1:105" x14ac:dyDescent="0.25">
      <c r="A29" s="4485"/>
      <c r="B29" s="4485"/>
      <c r="C29" s="4485"/>
      <c r="D29" s="4485"/>
      <c r="E29" s="5304" t="s">
        <v>1355</v>
      </c>
      <c r="F29" s="4466">
        <v>2415</v>
      </c>
      <c r="G29" s="4428"/>
      <c r="H29" s="4428"/>
      <c r="I29" s="4473"/>
      <c r="J29" s="4428"/>
      <c r="K29" s="4428"/>
      <c r="L29" s="4428"/>
      <c r="M29" s="4473"/>
      <c r="N29" s="4472"/>
      <c r="O29" s="4424"/>
      <c r="P29" s="4424"/>
      <c r="Q29" s="4428"/>
      <c r="R29" s="4473"/>
      <c r="S29" s="4428"/>
      <c r="T29" s="4428"/>
      <c r="U29" s="4471"/>
      <c r="V29" s="4473"/>
      <c r="W29" s="4472"/>
      <c r="X29" s="4440"/>
      <c r="Y29" s="4439"/>
      <c r="Z29" s="4428">
        <v>0</v>
      </c>
      <c r="AA29" s="4428"/>
      <c r="AB29" s="4473">
        <f t="shared" si="0"/>
        <v>0</v>
      </c>
      <c r="AC29" s="4428"/>
      <c r="AD29" s="4428"/>
      <c r="AE29" s="4428"/>
      <c r="AF29" s="4438">
        <f t="shared" si="1"/>
        <v>0</v>
      </c>
      <c r="AG29" s="4472">
        <f t="shared" si="2"/>
        <v>0</v>
      </c>
      <c r="AH29" s="4424"/>
      <c r="AI29" s="4424"/>
      <c r="AJ29" s="4424"/>
      <c r="AK29" s="4473">
        <f t="shared" si="3"/>
        <v>0</v>
      </c>
      <c r="AL29" s="4428"/>
      <c r="AM29" s="4428"/>
      <c r="AN29" s="4471"/>
      <c r="AO29" s="4473">
        <f t="shared" si="31"/>
        <v>0</v>
      </c>
      <c r="AP29" s="4472">
        <f t="shared" si="32"/>
        <v>0</v>
      </c>
      <c r="AQ29" s="4437">
        <f t="shared" si="33"/>
        <v>0</v>
      </c>
      <c r="AR29" s="4427">
        <f t="shared" si="6"/>
        <v>0</v>
      </c>
      <c r="AS29" s="4470"/>
      <c r="AT29" s="4430"/>
      <c r="AU29" s="4436">
        <f t="shared" si="34"/>
        <v>2415</v>
      </c>
      <c r="AV29" s="4435"/>
      <c r="AW29" s="4434">
        <f t="shared" si="35"/>
        <v>0</v>
      </c>
      <c r="AX29" s="4433"/>
      <c r="AY29" s="4433">
        <f t="shared" si="36"/>
        <v>2415</v>
      </c>
      <c r="AZ29" s="4433"/>
      <c r="BA29" s="4434">
        <f t="shared" si="7"/>
        <v>0</v>
      </c>
      <c r="BB29" s="4432"/>
      <c r="BC29" s="4432">
        <f t="shared" si="8"/>
        <v>2415</v>
      </c>
      <c r="BD29" s="4433"/>
      <c r="BE29" s="4434">
        <f t="shared" si="9"/>
        <v>0</v>
      </c>
      <c r="BF29" s="4431"/>
      <c r="BG29" s="4431">
        <f t="shared" si="10"/>
        <v>2415</v>
      </c>
      <c r="BH29" s="4433"/>
      <c r="BI29" s="4434">
        <f t="shared" si="11"/>
        <v>0</v>
      </c>
      <c r="BJ29" s="4431"/>
      <c r="BK29" s="4431">
        <f t="shared" si="12"/>
        <v>2415</v>
      </c>
      <c r="BL29" s="4433"/>
      <c r="BM29" s="4434">
        <f t="shared" si="13"/>
        <v>0</v>
      </c>
      <c r="BN29" s="4433"/>
      <c r="BO29" s="4432">
        <f t="shared" si="14"/>
        <v>0</v>
      </c>
      <c r="BP29" s="4433"/>
      <c r="BQ29" s="4455">
        <f t="shared" si="15"/>
        <v>2415</v>
      </c>
      <c r="BR29" s="4433"/>
      <c r="BS29" s="4434">
        <f t="shared" si="16"/>
        <v>0</v>
      </c>
      <c r="BT29" s="4431"/>
      <c r="BU29" s="4431">
        <f t="shared" si="17"/>
        <v>2415</v>
      </c>
      <c r="BV29" s="4433"/>
      <c r="BW29" s="4434">
        <f t="shared" si="18"/>
        <v>0</v>
      </c>
      <c r="BX29" s="4433"/>
      <c r="BY29" s="4433">
        <f t="shared" si="19"/>
        <v>2415</v>
      </c>
      <c r="BZ29" s="4433"/>
      <c r="CA29" s="4434">
        <f t="shared" si="20"/>
        <v>0</v>
      </c>
      <c r="CB29" s="4433"/>
      <c r="CC29" s="4432">
        <f t="shared" si="21"/>
        <v>0</v>
      </c>
      <c r="CD29" s="4431"/>
      <c r="CE29" s="4431">
        <f t="shared" si="22"/>
        <v>2415</v>
      </c>
      <c r="CF29" s="4433"/>
      <c r="CG29" s="4434">
        <f t="shared" si="23"/>
        <v>0</v>
      </c>
      <c r="CH29" s="4433"/>
      <c r="CI29" s="4433">
        <f t="shared" si="24"/>
        <v>2415</v>
      </c>
      <c r="CJ29" s="4433"/>
      <c r="CK29" s="4434">
        <f t="shared" si="25"/>
        <v>0</v>
      </c>
      <c r="CL29" s="4431"/>
      <c r="CM29" s="4431">
        <f t="shared" si="26"/>
        <v>2415</v>
      </c>
      <c r="CN29" s="4433"/>
      <c r="CO29" s="4434">
        <f t="shared" si="27"/>
        <v>0</v>
      </c>
      <c r="CP29" s="4433"/>
      <c r="CQ29" s="4432">
        <f t="shared" si="28"/>
        <v>0</v>
      </c>
      <c r="CR29" s="4433"/>
      <c r="CS29" s="4455">
        <f t="shared" si="29"/>
        <v>0</v>
      </c>
      <c r="CT29" s="4431"/>
      <c r="CU29" s="4457">
        <f t="shared" si="30"/>
        <v>2415</v>
      </c>
      <c r="CV29" s="6719"/>
      <c r="CW29" s="6719"/>
      <c r="CX29" s="1074">
        <f>CX27+CX26</f>
        <v>0</v>
      </c>
    </row>
    <row r="30" spans="1:105" x14ac:dyDescent="0.25">
      <c r="A30" s="4485"/>
      <c r="B30" s="4485"/>
      <c r="C30" s="4485"/>
      <c r="D30" s="4485"/>
      <c r="E30" s="5304" t="s">
        <v>1354</v>
      </c>
      <c r="F30" s="4466"/>
      <c r="G30" s="4428"/>
      <c r="H30" s="4428"/>
      <c r="I30" s="4473"/>
      <c r="J30" s="4428"/>
      <c r="K30" s="4428"/>
      <c r="L30" s="4428"/>
      <c r="M30" s="4473"/>
      <c r="N30" s="4472"/>
      <c r="O30" s="4424"/>
      <c r="P30" s="4424"/>
      <c r="Q30" s="4428"/>
      <c r="R30" s="4473"/>
      <c r="S30" s="4428"/>
      <c r="T30" s="4428"/>
      <c r="U30" s="4471"/>
      <c r="V30" s="4473"/>
      <c r="W30" s="4472"/>
      <c r="X30" s="4440"/>
      <c r="Y30" s="4439"/>
      <c r="Z30" s="4428"/>
      <c r="AA30" s="4428"/>
      <c r="AB30" s="4473"/>
      <c r="AC30" s="4428"/>
      <c r="AD30" s="4428"/>
      <c r="AE30" s="4428"/>
      <c r="AF30" s="4438"/>
      <c r="AG30" s="4472"/>
      <c r="AH30" s="4424"/>
      <c r="AI30" s="4424"/>
      <c r="AJ30" s="4424"/>
      <c r="AK30" s="4473"/>
      <c r="AL30" s="4428"/>
      <c r="AM30" s="4428"/>
      <c r="AN30" s="4471"/>
      <c r="AO30" s="4473"/>
      <c r="AP30" s="4472"/>
      <c r="AQ30" s="4437"/>
      <c r="AR30" s="4427"/>
      <c r="AS30" s="4470"/>
      <c r="AT30" s="4430"/>
      <c r="AU30" s="5878"/>
      <c r="AV30" s="6911"/>
      <c r="AW30" s="6912"/>
      <c r="AX30" s="6912"/>
      <c r="AY30" s="6912"/>
      <c r="AZ30" s="6912"/>
      <c r="BA30" s="6912"/>
      <c r="BB30" s="6913"/>
      <c r="BC30" s="6913"/>
      <c r="BD30" s="6912"/>
      <c r="BE30" s="6912"/>
      <c r="BF30" s="6914"/>
      <c r="BG30" s="6914"/>
      <c r="BH30" s="6912"/>
      <c r="BI30" s="6912"/>
      <c r="BJ30" s="6914"/>
      <c r="BK30" s="6914"/>
      <c r="BL30" s="6912"/>
      <c r="BM30" s="6912"/>
      <c r="BN30" s="6912"/>
      <c r="BO30" s="6913"/>
      <c r="BP30" s="6912"/>
      <c r="BQ30" s="6915"/>
      <c r="BR30" s="6912"/>
      <c r="BS30" s="6912"/>
      <c r="BT30" s="6914"/>
      <c r="BU30" s="6914"/>
      <c r="BV30" s="6912"/>
      <c r="BW30" s="6912"/>
      <c r="BX30" s="6912"/>
      <c r="BY30" s="6912"/>
      <c r="BZ30" s="6912"/>
      <c r="CA30" s="6912"/>
      <c r="CB30" s="6912"/>
      <c r="CC30" s="6913"/>
      <c r="CD30" s="6914"/>
      <c r="CE30" s="6914"/>
      <c r="CF30" s="6912"/>
      <c r="CG30" s="6912"/>
      <c r="CH30" s="6912"/>
      <c r="CI30" s="6912"/>
      <c r="CJ30" s="6912"/>
      <c r="CK30" s="4434">
        <f t="shared" si="25"/>
        <v>0</v>
      </c>
      <c r="CL30" s="6914"/>
      <c r="CM30" s="4431">
        <f t="shared" si="26"/>
        <v>0</v>
      </c>
      <c r="CN30" s="6912"/>
      <c r="CO30" s="4434">
        <f t="shared" si="27"/>
        <v>0</v>
      </c>
      <c r="CP30" s="6912"/>
      <c r="CQ30" s="4432">
        <f t="shared" si="28"/>
        <v>0</v>
      </c>
      <c r="CR30" s="6912"/>
      <c r="CS30" s="4455">
        <f t="shared" si="29"/>
        <v>0</v>
      </c>
      <c r="CT30" s="6914"/>
      <c r="CU30" s="4457">
        <f t="shared" si="30"/>
        <v>0</v>
      </c>
      <c r="CV30" s="6719"/>
      <c r="CW30" s="6719"/>
    </row>
    <row r="31" spans="1:105" x14ac:dyDescent="0.25">
      <c r="A31" s="4485"/>
      <c r="B31" s="4485"/>
      <c r="C31" s="4485"/>
      <c r="D31" s="4485"/>
      <c r="E31" s="5304" t="s">
        <v>1242</v>
      </c>
      <c r="F31" s="4466"/>
      <c r="G31" s="4428"/>
      <c r="H31" s="4428"/>
      <c r="I31" s="4473"/>
      <c r="J31" s="4428"/>
      <c r="K31" s="4428"/>
      <c r="L31" s="4428"/>
      <c r="M31" s="4473"/>
      <c r="N31" s="4472"/>
      <c r="O31" s="4424"/>
      <c r="P31" s="4424"/>
      <c r="Q31" s="4428"/>
      <c r="R31" s="4473"/>
      <c r="S31" s="4428"/>
      <c r="T31" s="4428"/>
      <c r="U31" s="4471"/>
      <c r="V31" s="4473"/>
      <c r="W31" s="4472"/>
      <c r="X31" s="4440"/>
      <c r="Y31" s="4439"/>
      <c r="Z31" s="4428"/>
      <c r="AA31" s="4428"/>
      <c r="AB31" s="4473">
        <f t="shared" si="0"/>
        <v>0</v>
      </c>
      <c r="AC31" s="4428"/>
      <c r="AD31" s="4428"/>
      <c r="AE31" s="4428"/>
      <c r="AF31" s="4438">
        <f t="shared" si="1"/>
        <v>0</v>
      </c>
      <c r="AG31" s="4472">
        <f t="shared" si="2"/>
        <v>0</v>
      </c>
      <c r="AH31" s="4424"/>
      <c r="AI31" s="4424"/>
      <c r="AJ31" s="4424"/>
      <c r="AK31" s="4473">
        <f t="shared" si="3"/>
        <v>0</v>
      </c>
      <c r="AL31" s="4428"/>
      <c r="AM31" s="4428"/>
      <c r="AN31" s="4471"/>
      <c r="AO31" s="4473">
        <f t="shared" ref="AO31" si="59">+AL31+AM31+AN31</f>
        <v>0</v>
      </c>
      <c r="AP31" s="4472">
        <f t="shared" ref="AP31" si="60">+AK31+AO31</f>
        <v>0</v>
      </c>
      <c r="AQ31" s="4437">
        <f t="shared" si="33"/>
        <v>0</v>
      </c>
      <c r="AR31" s="4427">
        <f t="shared" si="6"/>
        <v>0</v>
      </c>
      <c r="AS31" s="4470"/>
      <c r="AT31" s="4430"/>
      <c r="AU31" s="5878"/>
      <c r="AV31" s="6339"/>
      <c r="AW31" s="6340"/>
      <c r="AX31" s="6340"/>
      <c r="AY31" s="6340"/>
      <c r="AZ31" s="6340"/>
      <c r="BA31" s="6340"/>
      <c r="BB31" s="6341"/>
      <c r="BC31" s="6341"/>
      <c r="BD31" s="6340"/>
      <c r="BE31" s="6340"/>
      <c r="BF31" s="6342"/>
      <c r="BG31" s="6342"/>
      <c r="BH31" s="6340"/>
      <c r="BI31" s="6340"/>
      <c r="BJ31" s="6342"/>
      <c r="BK31" s="6342"/>
      <c r="BL31" s="6340"/>
      <c r="BM31" s="6340"/>
      <c r="BN31" s="6340"/>
      <c r="BO31" s="6341"/>
      <c r="BP31" s="6340"/>
      <c r="BQ31" s="6343"/>
      <c r="BR31" s="6340"/>
      <c r="BS31" s="6340"/>
      <c r="BT31" s="6342"/>
      <c r="BU31" s="4431">
        <f t="shared" si="17"/>
        <v>0</v>
      </c>
      <c r="BV31" s="6340"/>
      <c r="BW31" s="4434">
        <f t="shared" ref="BW31" si="61">+P31+AI31</f>
        <v>0</v>
      </c>
      <c r="BX31" s="4433"/>
      <c r="BY31" s="4433">
        <f t="shared" ref="BY31" si="62">BU31+BW31</f>
        <v>0</v>
      </c>
      <c r="BZ31" s="6340"/>
      <c r="CA31" s="4434">
        <f t="shared" si="20"/>
        <v>0</v>
      </c>
      <c r="CB31" s="6340"/>
      <c r="CC31" s="4432">
        <f t="shared" si="21"/>
        <v>0</v>
      </c>
      <c r="CD31" s="6342"/>
      <c r="CE31" s="4431">
        <f t="shared" si="22"/>
        <v>0</v>
      </c>
      <c r="CF31" s="6340"/>
      <c r="CG31" s="4434">
        <f t="shared" si="23"/>
        <v>0</v>
      </c>
      <c r="CH31" s="6340"/>
      <c r="CI31" s="4433">
        <f t="shared" si="24"/>
        <v>0</v>
      </c>
      <c r="CJ31" s="6340"/>
      <c r="CK31" s="6340">
        <f t="shared" si="25"/>
        <v>0</v>
      </c>
      <c r="CL31" s="6342"/>
      <c r="CM31" s="6342">
        <f t="shared" si="26"/>
        <v>0</v>
      </c>
      <c r="CN31" s="6340"/>
      <c r="CO31" s="4434">
        <f t="shared" si="27"/>
        <v>0</v>
      </c>
      <c r="CP31" s="6340"/>
      <c r="CQ31" s="4432">
        <f t="shared" si="28"/>
        <v>0</v>
      </c>
      <c r="CR31" s="6340"/>
      <c r="CS31" s="4455">
        <f t="shared" si="29"/>
        <v>0</v>
      </c>
      <c r="CT31" s="6342"/>
      <c r="CU31" s="4457">
        <f t="shared" si="30"/>
        <v>0</v>
      </c>
      <c r="CV31" s="6719"/>
      <c r="CW31" s="6719"/>
    </row>
    <row r="32" spans="1:105" x14ac:dyDescent="0.25">
      <c r="A32" s="4485"/>
      <c r="B32" s="4485"/>
      <c r="C32" s="4485"/>
      <c r="D32" s="4485"/>
      <c r="E32" s="5304" t="s">
        <v>808</v>
      </c>
      <c r="F32" s="4466">
        <v>14646</v>
      </c>
      <c r="G32" s="4428"/>
      <c r="H32" s="4428"/>
      <c r="I32" s="4473"/>
      <c r="J32" s="4428"/>
      <c r="K32" s="4428"/>
      <c r="L32" s="4428"/>
      <c r="M32" s="4473"/>
      <c r="N32" s="4472"/>
      <c r="O32" s="4424"/>
      <c r="P32" s="4424"/>
      <c r="Q32" s="4428"/>
      <c r="R32" s="4473"/>
      <c r="S32" s="4428"/>
      <c r="T32" s="4428"/>
      <c r="U32" s="4471"/>
      <c r="V32" s="4473"/>
      <c r="W32" s="4472"/>
      <c r="X32" s="4440"/>
      <c r="Y32" s="4439"/>
      <c r="Z32" s="4428">
        <v>0</v>
      </c>
      <c r="AA32" s="4428"/>
      <c r="AB32" s="4473">
        <f t="shared" si="0"/>
        <v>0</v>
      </c>
      <c r="AC32" s="4428"/>
      <c r="AD32" s="4428"/>
      <c r="AE32" s="4428"/>
      <c r="AF32" s="4438">
        <f t="shared" si="1"/>
        <v>0</v>
      </c>
      <c r="AG32" s="4472">
        <f t="shared" si="2"/>
        <v>0</v>
      </c>
      <c r="AH32" s="4424"/>
      <c r="AI32" s="4424"/>
      <c r="AJ32" s="4424"/>
      <c r="AK32" s="4473">
        <f t="shared" si="3"/>
        <v>0</v>
      </c>
      <c r="AL32" s="4428"/>
      <c r="AM32" s="4428"/>
      <c r="AN32" s="4471"/>
      <c r="AO32" s="4473">
        <f t="shared" si="31"/>
        <v>0</v>
      </c>
      <c r="AP32" s="4472">
        <f t="shared" si="32"/>
        <v>0</v>
      </c>
      <c r="AQ32" s="4437">
        <f t="shared" si="33"/>
        <v>0</v>
      </c>
      <c r="AR32" s="4427">
        <f t="shared" si="6"/>
        <v>0</v>
      </c>
      <c r="AS32" s="4470"/>
      <c r="AT32" s="4430"/>
      <c r="AU32" s="4436">
        <f t="shared" si="34"/>
        <v>14646</v>
      </c>
      <c r="AV32" s="4435"/>
      <c r="AW32" s="4434">
        <f t="shared" si="35"/>
        <v>0</v>
      </c>
      <c r="AX32" s="4433"/>
      <c r="AY32" s="4433">
        <f t="shared" si="36"/>
        <v>14646</v>
      </c>
      <c r="AZ32" s="4433"/>
      <c r="BA32" s="4434">
        <f t="shared" si="7"/>
        <v>0</v>
      </c>
      <c r="BB32" s="4432"/>
      <c r="BC32" s="4432">
        <f t="shared" si="8"/>
        <v>14646</v>
      </c>
      <c r="BD32" s="4433"/>
      <c r="BE32" s="4434">
        <f t="shared" si="9"/>
        <v>0</v>
      </c>
      <c r="BF32" s="4431"/>
      <c r="BG32" s="4431">
        <f t="shared" si="10"/>
        <v>14646</v>
      </c>
      <c r="BH32" s="4433"/>
      <c r="BI32" s="4434">
        <f t="shared" si="11"/>
        <v>0</v>
      </c>
      <c r="BJ32" s="4431"/>
      <c r="BK32" s="4431">
        <f t="shared" si="12"/>
        <v>14646</v>
      </c>
      <c r="BL32" s="4433"/>
      <c r="BM32" s="4434">
        <f t="shared" si="13"/>
        <v>0</v>
      </c>
      <c r="BN32" s="4433"/>
      <c r="BO32" s="4432">
        <f t="shared" si="14"/>
        <v>0</v>
      </c>
      <c r="BP32" s="4433"/>
      <c r="BQ32" s="4455">
        <f t="shared" si="15"/>
        <v>14646</v>
      </c>
      <c r="BR32" s="4433"/>
      <c r="BS32" s="4434">
        <f t="shared" si="16"/>
        <v>0</v>
      </c>
      <c r="BT32" s="4431"/>
      <c r="BU32" s="4431">
        <f t="shared" si="17"/>
        <v>14646</v>
      </c>
      <c r="BV32" s="4433"/>
      <c r="BW32" s="4434">
        <f t="shared" si="18"/>
        <v>0</v>
      </c>
      <c r="BX32" s="4433"/>
      <c r="BY32" s="4433">
        <f t="shared" si="19"/>
        <v>14646</v>
      </c>
      <c r="BZ32" s="4433"/>
      <c r="CA32" s="4434">
        <f t="shared" si="20"/>
        <v>0</v>
      </c>
      <c r="CB32" s="4433"/>
      <c r="CC32" s="4432">
        <f t="shared" si="21"/>
        <v>0</v>
      </c>
      <c r="CD32" s="4431"/>
      <c r="CE32" s="4431">
        <f t="shared" si="22"/>
        <v>14646</v>
      </c>
      <c r="CF32" s="4433"/>
      <c r="CG32" s="4434">
        <f t="shared" si="23"/>
        <v>0</v>
      </c>
      <c r="CH32" s="4433"/>
      <c r="CI32" s="4433">
        <f t="shared" si="24"/>
        <v>14646</v>
      </c>
      <c r="CJ32" s="4433"/>
      <c r="CK32" s="4434">
        <f t="shared" si="25"/>
        <v>0</v>
      </c>
      <c r="CL32" s="4431"/>
      <c r="CM32" s="4431">
        <f t="shared" si="26"/>
        <v>14646</v>
      </c>
      <c r="CN32" s="4433"/>
      <c r="CO32" s="4434">
        <f t="shared" si="27"/>
        <v>0</v>
      </c>
      <c r="CP32" s="4433"/>
      <c r="CQ32" s="4432">
        <f t="shared" si="28"/>
        <v>0</v>
      </c>
      <c r="CR32" s="4433"/>
      <c r="CS32" s="4455">
        <f t="shared" si="29"/>
        <v>0</v>
      </c>
      <c r="CT32" s="4431"/>
      <c r="CU32" s="4457">
        <f t="shared" si="30"/>
        <v>14646</v>
      </c>
      <c r="CV32" s="6719"/>
      <c r="CW32" s="6719"/>
    </row>
    <row r="33" spans="1:101" x14ac:dyDescent="0.25">
      <c r="A33" s="4485"/>
      <c r="B33" s="4485"/>
      <c r="C33" s="4485"/>
      <c r="D33" s="4485"/>
      <c r="E33" s="5304" t="s">
        <v>1940</v>
      </c>
      <c r="F33" s="4466">
        <v>510</v>
      </c>
      <c r="G33" s="4428"/>
      <c r="H33" s="4428"/>
      <c r="I33" s="4473"/>
      <c r="J33" s="4428"/>
      <c r="K33" s="4428"/>
      <c r="L33" s="4428"/>
      <c r="M33" s="4473"/>
      <c r="N33" s="4472"/>
      <c r="O33" s="4424"/>
      <c r="P33" s="4424"/>
      <c r="Q33" s="4428"/>
      <c r="R33" s="4473"/>
      <c r="S33" s="4428"/>
      <c r="T33" s="4428"/>
      <c r="U33" s="4471"/>
      <c r="V33" s="4473"/>
      <c r="W33" s="4472"/>
      <c r="X33" s="4440"/>
      <c r="Y33" s="4439"/>
      <c r="Z33" s="4428"/>
      <c r="AA33" s="4428"/>
      <c r="AB33" s="4473">
        <f t="shared" si="0"/>
        <v>0</v>
      </c>
      <c r="AC33" s="4428"/>
      <c r="AD33" s="4428"/>
      <c r="AE33" s="4428"/>
      <c r="AF33" s="4438">
        <f t="shared" si="1"/>
        <v>0</v>
      </c>
      <c r="AG33" s="4472">
        <f t="shared" si="2"/>
        <v>0</v>
      </c>
      <c r="AH33" s="4424"/>
      <c r="AI33" s="4424"/>
      <c r="AJ33" s="4424"/>
      <c r="AK33" s="4473">
        <f t="shared" si="3"/>
        <v>0</v>
      </c>
      <c r="AL33" s="4428"/>
      <c r="AM33" s="4428"/>
      <c r="AN33" s="4471"/>
      <c r="AO33" s="4473">
        <f t="shared" si="31"/>
        <v>0</v>
      </c>
      <c r="AP33" s="4472">
        <f t="shared" si="32"/>
        <v>0</v>
      </c>
      <c r="AQ33" s="4437">
        <f t="shared" si="33"/>
        <v>0</v>
      </c>
      <c r="AR33" s="4427">
        <f t="shared" si="6"/>
        <v>0</v>
      </c>
      <c r="AS33" s="4470"/>
      <c r="AT33" s="4430"/>
      <c r="AU33" s="4436">
        <f t="shared" si="34"/>
        <v>510</v>
      </c>
      <c r="AV33" s="4435"/>
      <c r="AW33" s="4434">
        <f t="shared" si="35"/>
        <v>0</v>
      </c>
      <c r="AX33" s="4433"/>
      <c r="AY33" s="4433">
        <f t="shared" si="36"/>
        <v>510</v>
      </c>
      <c r="AZ33" s="4433"/>
      <c r="BA33" s="4434">
        <f t="shared" si="7"/>
        <v>0</v>
      </c>
      <c r="BB33" s="4432"/>
      <c r="BC33" s="4432">
        <f t="shared" si="8"/>
        <v>510</v>
      </c>
      <c r="BD33" s="4433"/>
      <c r="BE33" s="4434">
        <f t="shared" si="9"/>
        <v>0</v>
      </c>
      <c r="BF33" s="4431"/>
      <c r="BG33" s="4431">
        <f t="shared" si="10"/>
        <v>510</v>
      </c>
      <c r="BH33" s="4433"/>
      <c r="BI33" s="4434">
        <f t="shared" si="11"/>
        <v>0</v>
      </c>
      <c r="BJ33" s="4431"/>
      <c r="BK33" s="4431">
        <f t="shared" si="12"/>
        <v>510</v>
      </c>
      <c r="BL33" s="4433"/>
      <c r="BM33" s="4434">
        <f t="shared" si="13"/>
        <v>0</v>
      </c>
      <c r="BN33" s="4433"/>
      <c r="BO33" s="4432">
        <f t="shared" si="14"/>
        <v>0</v>
      </c>
      <c r="BP33" s="4433"/>
      <c r="BQ33" s="4455">
        <f t="shared" si="15"/>
        <v>510</v>
      </c>
      <c r="BR33" s="4433"/>
      <c r="BS33" s="4434">
        <f t="shared" si="16"/>
        <v>0</v>
      </c>
      <c r="BT33" s="4431"/>
      <c r="BU33" s="4431">
        <f t="shared" si="17"/>
        <v>510</v>
      </c>
      <c r="BV33" s="4433"/>
      <c r="BW33" s="4434">
        <f t="shared" si="18"/>
        <v>0</v>
      </c>
      <c r="BX33" s="4433"/>
      <c r="BY33" s="4433">
        <f t="shared" si="19"/>
        <v>510</v>
      </c>
      <c r="BZ33" s="4433"/>
      <c r="CA33" s="4434">
        <f t="shared" si="20"/>
        <v>0</v>
      </c>
      <c r="CB33" s="4433"/>
      <c r="CC33" s="4432">
        <f t="shared" si="21"/>
        <v>0</v>
      </c>
      <c r="CD33" s="4431"/>
      <c r="CE33" s="4431">
        <f t="shared" si="22"/>
        <v>510</v>
      </c>
      <c r="CF33" s="4433"/>
      <c r="CG33" s="4434">
        <f t="shared" si="23"/>
        <v>0</v>
      </c>
      <c r="CH33" s="4433"/>
      <c r="CI33" s="4433">
        <f t="shared" si="24"/>
        <v>510</v>
      </c>
      <c r="CJ33" s="4433"/>
      <c r="CK33" s="4434">
        <f t="shared" si="25"/>
        <v>0</v>
      </c>
      <c r="CL33" s="4431"/>
      <c r="CM33" s="4431">
        <f t="shared" si="26"/>
        <v>510</v>
      </c>
      <c r="CN33" s="4433"/>
      <c r="CO33" s="4434">
        <f t="shared" si="27"/>
        <v>0</v>
      </c>
      <c r="CP33" s="4433"/>
      <c r="CQ33" s="4432">
        <f t="shared" si="28"/>
        <v>0</v>
      </c>
      <c r="CR33" s="4433"/>
      <c r="CS33" s="4455">
        <f t="shared" si="29"/>
        <v>0</v>
      </c>
      <c r="CT33" s="4431"/>
      <c r="CU33" s="4457">
        <f t="shared" si="30"/>
        <v>510</v>
      </c>
      <c r="CV33" s="6719"/>
      <c r="CW33" s="6719"/>
    </row>
    <row r="34" spans="1:101" x14ac:dyDescent="0.25">
      <c r="A34" s="4485"/>
      <c r="B34" s="4485"/>
      <c r="C34" s="4485"/>
      <c r="D34" s="4485"/>
      <c r="E34" s="5304" t="s">
        <v>2029</v>
      </c>
      <c r="F34" s="4466"/>
      <c r="G34" s="4428"/>
      <c r="H34" s="4428"/>
      <c r="I34" s="4473"/>
      <c r="J34" s="4428"/>
      <c r="K34" s="4428"/>
      <c r="L34" s="4428"/>
      <c r="M34" s="4473"/>
      <c r="N34" s="4472"/>
      <c r="O34" s="4424"/>
      <c r="P34" s="4424"/>
      <c r="Q34" s="4428"/>
      <c r="R34" s="4473"/>
      <c r="S34" s="4428"/>
      <c r="T34" s="4428"/>
      <c r="U34" s="4471"/>
      <c r="V34" s="4473"/>
      <c r="W34" s="4472"/>
      <c r="X34" s="4440"/>
      <c r="Y34" s="4439"/>
      <c r="Z34" s="4428"/>
      <c r="AA34" s="4428"/>
      <c r="AB34" s="4473">
        <f t="shared" si="0"/>
        <v>0</v>
      </c>
      <c r="AC34" s="4428"/>
      <c r="AD34" s="4428"/>
      <c r="AE34" s="4428"/>
      <c r="AF34" s="4438">
        <f t="shared" si="1"/>
        <v>0</v>
      </c>
      <c r="AG34" s="4472">
        <f t="shared" si="2"/>
        <v>0</v>
      </c>
      <c r="AH34" s="4424"/>
      <c r="AI34" s="4424"/>
      <c r="AJ34" s="4424"/>
      <c r="AK34" s="4473">
        <f t="shared" si="3"/>
        <v>0</v>
      </c>
      <c r="AL34" s="4428"/>
      <c r="AM34" s="4428"/>
      <c r="AN34" s="4471"/>
      <c r="AO34" s="4473">
        <f t="shared" si="31"/>
        <v>0</v>
      </c>
      <c r="AP34" s="4472">
        <f t="shared" si="32"/>
        <v>0</v>
      </c>
      <c r="AQ34" s="4437">
        <f t="shared" si="33"/>
        <v>0</v>
      </c>
      <c r="AR34" s="4427">
        <f t="shared" si="6"/>
        <v>0</v>
      </c>
      <c r="AS34" s="4470"/>
      <c r="AT34" s="4430"/>
      <c r="AU34" s="4436">
        <f t="shared" ref="AU34" si="63">+F34+Y34</f>
        <v>0</v>
      </c>
      <c r="AV34" s="4435"/>
      <c r="AW34" s="4434">
        <f t="shared" ref="AW34" si="64">+G34+Z34</f>
        <v>0</v>
      </c>
      <c r="AX34" s="4433"/>
      <c r="AY34" s="4433">
        <f t="shared" ref="AY34" si="65">AU34+AW34</f>
        <v>0</v>
      </c>
      <c r="AZ34" s="4433"/>
      <c r="BA34" s="4434">
        <f t="shared" ref="BA34" si="66">+H34+AA34</f>
        <v>0</v>
      </c>
      <c r="BB34" s="4432"/>
      <c r="BC34" s="4432">
        <f t="shared" ref="BC34" si="67">AU34+AW34+BA34</f>
        <v>0</v>
      </c>
      <c r="BD34" s="4433"/>
      <c r="BE34" s="4434">
        <f t="shared" ref="BE34" si="68">+J34+AC34</f>
        <v>0</v>
      </c>
      <c r="BF34" s="4431"/>
      <c r="BG34" s="4431">
        <f t="shared" ref="BG34" si="69">+BC34+BE34</f>
        <v>0</v>
      </c>
      <c r="BH34" s="4433"/>
      <c r="BI34" s="4434">
        <f t="shared" ref="BI34" si="70">K34+AD34</f>
        <v>0</v>
      </c>
      <c r="BJ34" s="4431"/>
      <c r="BK34" s="4431">
        <f t="shared" ref="BK34" si="71">+BG34+BI34</f>
        <v>0</v>
      </c>
      <c r="BL34" s="4433"/>
      <c r="BM34" s="4434">
        <f t="shared" si="13"/>
        <v>0</v>
      </c>
      <c r="BN34" s="4433"/>
      <c r="BO34" s="4432">
        <f t="shared" si="14"/>
        <v>0</v>
      </c>
      <c r="BP34" s="4433"/>
      <c r="BQ34" s="4455">
        <f t="shared" si="15"/>
        <v>0</v>
      </c>
      <c r="BR34" s="4433"/>
      <c r="BS34" s="4434">
        <f t="shared" si="16"/>
        <v>0</v>
      </c>
      <c r="BT34" s="4431"/>
      <c r="BU34" s="4431">
        <f t="shared" si="17"/>
        <v>0</v>
      </c>
      <c r="BV34" s="4433"/>
      <c r="BW34" s="4434">
        <f t="shared" si="18"/>
        <v>0</v>
      </c>
      <c r="BX34" s="4433"/>
      <c r="BY34" s="4433">
        <f t="shared" si="19"/>
        <v>0</v>
      </c>
      <c r="BZ34" s="4433"/>
      <c r="CA34" s="4434">
        <f t="shared" si="20"/>
        <v>0</v>
      </c>
      <c r="CB34" s="4433"/>
      <c r="CC34" s="4432">
        <f t="shared" si="21"/>
        <v>0</v>
      </c>
      <c r="CD34" s="4431"/>
      <c r="CE34" s="4431">
        <f t="shared" si="22"/>
        <v>0</v>
      </c>
      <c r="CF34" s="4433"/>
      <c r="CG34" s="4434">
        <f t="shared" si="23"/>
        <v>0</v>
      </c>
      <c r="CH34" s="4433"/>
      <c r="CI34" s="4433">
        <f t="shared" si="24"/>
        <v>0</v>
      </c>
      <c r="CJ34" s="4433"/>
      <c r="CK34" s="4434">
        <f t="shared" si="25"/>
        <v>0</v>
      </c>
      <c r="CL34" s="4431"/>
      <c r="CM34" s="4431">
        <f t="shared" si="26"/>
        <v>0</v>
      </c>
      <c r="CN34" s="4433"/>
      <c r="CO34" s="4434">
        <f t="shared" si="27"/>
        <v>0</v>
      </c>
      <c r="CP34" s="4433"/>
      <c r="CQ34" s="4432">
        <f t="shared" si="28"/>
        <v>0</v>
      </c>
      <c r="CR34" s="4433"/>
      <c r="CS34" s="4455">
        <f t="shared" si="29"/>
        <v>0</v>
      </c>
      <c r="CT34" s="4431"/>
      <c r="CU34" s="4457">
        <f t="shared" si="30"/>
        <v>0</v>
      </c>
      <c r="CV34" s="6719"/>
      <c r="CW34" s="6719"/>
    </row>
    <row r="35" spans="1:101" x14ac:dyDescent="0.25">
      <c r="A35" s="4485"/>
      <c r="B35" s="4485"/>
      <c r="C35" s="4485"/>
      <c r="D35" s="4485"/>
      <c r="E35" s="5304" t="s">
        <v>1603</v>
      </c>
      <c r="F35" s="4466">
        <v>334</v>
      </c>
      <c r="G35" s="4428"/>
      <c r="H35" s="4428"/>
      <c r="I35" s="4473"/>
      <c r="J35" s="4428"/>
      <c r="K35" s="4428"/>
      <c r="L35" s="4428"/>
      <c r="M35" s="4473"/>
      <c r="N35" s="4472"/>
      <c r="O35" s="4424"/>
      <c r="P35" s="4424"/>
      <c r="Q35" s="4428"/>
      <c r="R35" s="4473"/>
      <c r="S35" s="4428"/>
      <c r="T35" s="4428"/>
      <c r="U35" s="4471"/>
      <c r="V35" s="4473"/>
      <c r="W35" s="4472"/>
      <c r="X35" s="4440"/>
      <c r="Y35" s="4439"/>
      <c r="Z35" s="4428">
        <v>0</v>
      </c>
      <c r="AA35" s="4428"/>
      <c r="AB35" s="4473">
        <f t="shared" si="0"/>
        <v>0</v>
      </c>
      <c r="AC35" s="4428"/>
      <c r="AD35" s="4428"/>
      <c r="AE35" s="4428"/>
      <c r="AF35" s="4438">
        <f t="shared" si="1"/>
        <v>0</v>
      </c>
      <c r="AG35" s="4472">
        <f t="shared" si="2"/>
        <v>0</v>
      </c>
      <c r="AH35" s="4424"/>
      <c r="AI35" s="4424"/>
      <c r="AJ35" s="4424"/>
      <c r="AK35" s="4473">
        <f t="shared" si="3"/>
        <v>0</v>
      </c>
      <c r="AL35" s="4428"/>
      <c r="AM35" s="4428"/>
      <c r="AN35" s="4471"/>
      <c r="AO35" s="4473">
        <f t="shared" si="31"/>
        <v>0</v>
      </c>
      <c r="AP35" s="4472">
        <f t="shared" si="32"/>
        <v>0</v>
      </c>
      <c r="AQ35" s="4437">
        <f t="shared" si="33"/>
        <v>0</v>
      </c>
      <c r="AR35" s="4427">
        <f t="shared" si="6"/>
        <v>0</v>
      </c>
      <c r="AS35" s="4470"/>
      <c r="AT35" s="4430"/>
      <c r="AU35" s="4436">
        <f t="shared" si="34"/>
        <v>334</v>
      </c>
      <c r="AV35" s="4435"/>
      <c r="AW35" s="4434">
        <f t="shared" si="35"/>
        <v>0</v>
      </c>
      <c r="AX35" s="4433"/>
      <c r="AY35" s="4433">
        <f t="shared" si="36"/>
        <v>334</v>
      </c>
      <c r="AZ35" s="4433"/>
      <c r="BA35" s="4434">
        <f t="shared" si="7"/>
        <v>0</v>
      </c>
      <c r="BB35" s="4432"/>
      <c r="BC35" s="4432">
        <f t="shared" si="8"/>
        <v>334</v>
      </c>
      <c r="BD35" s="4433"/>
      <c r="BE35" s="4434">
        <f t="shared" si="9"/>
        <v>0</v>
      </c>
      <c r="BF35" s="4431"/>
      <c r="BG35" s="4431">
        <f t="shared" si="10"/>
        <v>334</v>
      </c>
      <c r="BH35" s="4433"/>
      <c r="BI35" s="4434">
        <f t="shared" si="11"/>
        <v>0</v>
      </c>
      <c r="BJ35" s="4431"/>
      <c r="BK35" s="4431">
        <f t="shared" si="12"/>
        <v>334</v>
      </c>
      <c r="BL35" s="4433"/>
      <c r="BM35" s="4434">
        <f t="shared" si="13"/>
        <v>0</v>
      </c>
      <c r="BN35" s="4433"/>
      <c r="BO35" s="4432">
        <f t="shared" si="14"/>
        <v>0</v>
      </c>
      <c r="BP35" s="4433"/>
      <c r="BQ35" s="4455">
        <f t="shared" si="15"/>
        <v>334</v>
      </c>
      <c r="BR35" s="4433"/>
      <c r="BS35" s="4434">
        <f t="shared" si="16"/>
        <v>0</v>
      </c>
      <c r="BT35" s="4431"/>
      <c r="BU35" s="4431">
        <f t="shared" si="17"/>
        <v>334</v>
      </c>
      <c r="BV35" s="4433"/>
      <c r="BW35" s="4434">
        <f t="shared" si="18"/>
        <v>0</v>
      </c>
      <c r="BX35" s="4433"/>
      <c r="BY35" s="4433">
        <f t="shared" si="19"/>
        <v>334</v>
      </c>
      <c r="BZ35" s="4433"/>
      <c r="CA35" s="4434">
        <f t="shared" si="20"/>
        <v>0</v>
      </c>
      <c r="CB35" s="4433"/>
      <c r="CC35" s="4432">
        <f t="shared" si="21"/>
        <v>0</v>
      </c>
      <c r="CD35" s="4431"/>
      <c r="CE35" s="4431">
        <f t="shared" si="22"/>
        <v>334</v>
      </c>
      <c r="CF35" s="4433"/>
      <c r="CG35" s="4434">
        <f t="shared" si="23"/>
        <v>0</v>
      </c>
      <c r="CH35" s="4433"/>
      <c r="CI35" s="4433">
        <f t="shared" si="24"/>
        <v>334</v>
      </c>
      <c r="CJ35" s="4433"/>
      <c r="CK35" s="4434">
        <f t="shared" si="25"/>
        <v>0</v>
      </c>
      <c r="CL35" s="4431"/>
      <c r="CM35" s="4431">
        <f t="shared" si="26"/>
        <v>334</v>
      </c>
      <c r="CN35" s="4433"/>
      <c r="CO35" s="4434">
        <f t="shared" si="27"/>
        <v>0</v>
      </c>
      <c r="CP35" s="4433"/>
      <c r="CQ35" s="4432">
        <f t="shared" si="28"/>
        <v>0</v>
      </c>
      <c r="CR35" s="4433"/>
      <c r="CS35" s="4455">
        <f t="shared" si="29"/>
        <v>0</v>
      </c>
      <c r="CT35" s="4431"/>
      <c r="CU35" s="4457">
        <f t="shared" si="30"/>
        <v>334</v>
      </c>
      <c r="CV35" s="6719"/>
      <c r="CW35" s="6719"/>
    </row>
    <row r="36" spans="1:101" x14ac:dyDescent="0.25">
      <c r="A36" s="4485"/>
      <c r="B36" s="4485"/>
      <c r="C36" s="4485"/>
      <c r="D36" s="4485"/>
      <c r="E36" s="5304" t="s">
        <v>1792</v>
      </c>
      <c r="F36" s="4466"/>
      <c r="G36" s="4428"/>
      <c r="H36" s="4428"/>
      <c r="I36" s="4473"/>
      <c r="J36" s="4428"/>
      <c r="K36" s="4428"/>
      <c r="L36" s="4428"/>
      <c r="M36" s="4473"/>
      <c r="N36" s="4472"/>
      <c r="O36" s="4424"/>
      <c r="P36" s="4424"/>
      <c r="Q36" s="4428"/>
      <c r="R36" s="4473"/>
      <c r="S36" s="4428"/>
      <c r="T36" s="4428"/>
      <c r="U36" s="4471"/>
      <c r="V36" s="4473"/>
      <c r="W36" s="4472"/>
      <c r="X36" s="4440"/>
      <c r="Y36" s="4439"/>
      <c r="Z36" s="4428">
        <v>0</v>
      </c>
      <c r="AA36" s="4428"/>
      <c r="AB36" s="4473">
        <f t="shared" si="0"/>
        <v>0</v>
      </c>
      <c r="AC36" s="4428"/>
      <c r="AD36" s="4428"/>
      <c r="AE36" s="4428"/>
      <c r="AF36" s="4438">
        <f t="shared" si="1"/>
        <v>0</v>
      </c>
      <c r="AG36" s="4472">
        <f t="shared" si="2"/>
        <v>0</v>
      </c>
      <c r="AH36" s="4424"/>
      <c r="AI36" s="4424"/>
      <c r="AJ36" s="4424"/>
      <c r="AK36" s="4473">
        <f t="shared" si="3"/>
        <v>0</v>
      </c>
      <c r="AL36" s="4428"/>
      <c r="AM36" s="4428"/>
      <c r="AN36" s="4471"/>
      <c r="AO36" s="4473">
        <f t="shared" si="31"/>
        <v>0</v>
      </c>
      <c r="AP36" s="4472">
        <f t="shared" si="32"/>
        <v>0</v>
      </c>
      <c r="AQ36" s="4437">
        <f t="shared" si="33"/>
        <v>0</v>
      </c>
      <c r="AR36" s="4427">
        <f t="shared" si="6"/>
        <v>0</v>
      </c>
      <c r="AS36" s="4470"/>
      <c r="AT36" s="4430"/>
      <c r="AU36" s="4436">
        <f t="shared" si="34"/>
        <v>0</v>
      </c>
      <c r="AV36" s="4435"/>
      <c r="AW36" s="4434">
        <f t="shared" si="35"/>
        <v>0</v>
      </c>
      <c r="AX36" s="4433"/>
      <c r="AY36" s="4433">
        <f t="shared" si="36"/>
        <v>0</v>
      </c>
      <c r="AZ36" s="4433"/>
      <c r="BA36" s="4434">
        <f t="shared" si="7"/>
        <v>0</v>
      </c>
      <c r="BB36" s="4432"/>
      <c r="BC36" s="4432">
        <f t="shared" si="8"/>
        <v>0</v>
      </c>
      <c r="BD36" s="4433"/>
      <c r="BE36" s="4434">
        <f t="shared" si="9"/>
        <v>0</v>
      </c>
      <c r="BF36" s="4431"/>
      <c r="BG36" s="4431">
        <f t="shared" si="10"/>
        <v>0</v>
      </c>
      <c r="BH36" s="4433"/>
      <c r="BI36" s="4434">
        <f t="shared" si="11"/>
        <v>0</v>
      </c>
      <c r="BJ36" s="4431"/>
      <c r="BK36" s="4431">
        <f t="shared" si="12"/>
        <v>0</v>
      </c>
      <c r="BL36" s="4433"/>
      <c r="BM36" s="4434">
        <f t="shared" si="13"/>
        <v>0</v>
      </c>
      <c r="BN36" s="4433"/>
      <c r="BO36" s="4432">
        <f t="shared" si="14"/>
        <v>0</v>
      </c>
      <c r="BP36" s="4433"/>
      <c r="BQ36" s="4455">
        <f t="shared" si="15"/>
        <v>0</v>
      </c>
      <c r="BR36" s="4433"/>
      <c r="BS36" s="4434">
        <f t="shared" si="16"/>
        <v>0</v>
      </c>
      <c r="BT36" s="4431"/>
      <c r="BU36" s="4431">
        <f t="shared" si="17"/>
        <v>0</v>
      </c>
      <c r="BV36" s="4433"/>
      <c r="BW36" s="4434">
        <f t="shared" si="18"/>
        <v>0</v>
      </c>
      <c r="BX36" s="4433"/>
      <c r="BY36" s="4433">
        <f t="shared" si="19"/>
        <v>0</v>
      </c>
      <c r="BZ36" s="4433"/>
      <c r="CA36" s="4434">
        <f t="shared" si="20"/>
        <v>0</v>
      </c>
      <c r="CB36" s="4433"/>
      <c r="CC36" s="4432">
        <f t="shared" si="21"/>
        <v>0</v>
      </c>
      <c r="CD36" s="4431"/>
      <c r="CE36" s="4431">
        <f t="shared" si="22"/>
        <v>0</v>
      </c>
      <c r="CF36" s="4433"/>
      <c r="CG36" s="4434">
        <f t="shared" si="23"/>
        <v>0</v>
      </c>
      <c r="CH36" s="4433"/>
      <c r="CI36" s="4433">
        <f t="shared" si="24"/>
        <v>0</v>
      </c>
      <c r="CJ36" s="4433"/>
      <c r="CK36" s="4434">
        <f t="shared" si="25"/>
        <v>0</v>
      </c>
      <c r="CL36" s="4431"/>
      <c r="CM36" s="4431">
        <f t="shared" si="26"/>
        <v>0</v>
      </c>
      <c r="CN36" s="4433"/>
      <c r="CO36" s="4434">
        <f t="shared" si="27"/>
        <v>0</v>
      </c>
      <c r="CP36" s="4433"/>
      <c r="CQ36" s="4432">
        <f t="shared" si="28"/>
        <v>0</v>
      </c>
      <c r="CR36" s="4433"/>
      <c r="CS36" s="4455">
        <f t="shared" si="29"/>
        <v>0</v>
      </c>
      <c r="CT36" s="4431"/>
      <c r="CU36" s="4457">
        <f t="shared" si="30"/>
        <v>0</v>
      </c>
      <c r="CV36" s="6719"/>
      <c r="CW36" s="6719"/>
    </row>
    <row r="37" spans="1:101" x14ac:dyDescent="0.25">
      <c r="A37" s="4485"/>
      <c r="B37" s="4485"/>
      <c r="C37" s="4485"/>
      <c r="D37" s="4485"/>
      <c r="E37" s="5304" t="s">
        <v>1482</v>
      </c>
      <c r="F37" s="4466"/>
      <c r="G37" s="4428"/>
      <c r="H37" s="4428"/>
      <c r="I37" s="4473"/>
      <c r="J37" s="4428"/>
      <c r="K37" s="4428"/>
      <c r="L37" s="4428"/>
      <c r="M37" s="4473"/>
      <c r="N37" s="4472"/>
      <c r="O37" s="4424"/>
      <c r="P37" s="4424"/>
      <c r="Q37" s="4428"/>
      <c r="R37" s="4473"/>
      <c r="S37" s="4428"/>
      <c r="T37" s="4428"/>
      <c r="U37" s="4471"/>
      <c r="V37" s="4473"/>
      <c r="W37" s="4472"/>
      <c r="X37" s="4440"/>
      <c r="Y37" s="4439"/>
      <c r="Z37" s="4428">
        <v>0</v>
      </c>
      <c r="AA37" s="4428"/>
      <c r="AB37" s="4473">
        <f t="shared" si="0"/>
        <v>0</v>
      </c>
      <c r="AC37" s="4428"/>
      <c r="AD37" s="4428"/>
      <c r="AE37" s="4428"/>
      <c r="AF37" s="4438">
        <f t="shared" si="1"/>
        <v>0</v>
      </c>
      <c r="AG37" s="4472">
        <f t="shared" si="2"/>
        <v>0</v>
      </c>
      <c r="AH37" s="4424"/>
      <c r="AI37" s="4424"/>
      <c r="AJ37" s="4424"/>
      <c r="AK37" s="4473">
        <f t="shared" si="3"/>
        <v>0</v>
      </c>
      <c r="AL37" s="4428"/>
      <c r="AM37" s="4428"/>
      <c r="AN37" s="4471"/>
      <c r="AO37" s="4473">
        <f t="shared" si="31"/>
        <v>0</v>
      </c>
      <c r="AP37" s="4472">
        <f t="shared" si="32"/>
        <v>0</v>
      </c>
      <c r="AQ37" s="4437">
        <f t="shared" si="33"/>
        <v>0</v>
      </c>
      <c r="AR37" s="4427">
        <f t="shared" si="6"/>
        <v>0</v>
      </c>
      <c r="AS37" s="4470"/>
      <c r="AT37" s="4430"/>
      <c r="AU37" s="4436">
        <f t="shared" si="34"/>
        <v>0</v>
      </c>
      <c r="AV37" s="4435"/>
      <c r="AW37" s="4434">
        <f t="shared" si="35"/>
        <v>0</v>
      </c>
      <c r="AX37" s="4433"/>
      <c r="AY37" s="4433">
        <f t="shared" si="36"/>
        <v>0</v>
      </c>
      <c r="AZ37" s="4433"/>
      <c r="BA37" s="4434">
        <f t="shared" si="7"/>
        <v>0</v>
      </c>
      <c r="BB37" s="4432"/>
      <c r="BC37" s="4432">
        <f t="shared" si="8"/>
        <v>0</v>
      </c>
      <c r="BD37" s="4433"/>
      <c r="BE37" s="4434">
        <f t="shared" si="9"/>
        <v>0</v>
      </c>
      <c r="BF37" s="4431"/>
      <c r="BG37" s="4431">
        <f t="shared" si="10"/>
        <v>0</v>
      </c>
      <c r="BH37" s="4433"/>
      <c r="BI37" s="4434">
        <f t="shared" si="11"/>
        <v>0</v>
      </c>
      <c r="BJ37" s="4431"/>
      <c r="BK37" s="4431">
        <f t="shared" si="12"/>
        <v>0</v>
      </c>
      <c r="BL37" s="4433"/>
      <c r="BM37" s="4434">
        <f t="shared" si="13"/>
        <v>0</v>
      </c>
      <c r="BN37" s="4433"/>
      <c r="BO37" s="4432">
        <f t="shared" si="14"/>
        <v>0</v>
      </c>
      <c r="BP37" s="4433"/>
      <c r="BQ37" s="4455">
        <f t="shared" si="15"/>
        <v>0</v>
      </c>
      <c r="BR37" s="4433"/>
      <c r="BS37" s="4434">
        <f t="shared" si="16"/>
        <v>0</v>
      </c>
      <c r="BT37" s="4431"/>
      <c r="BU37" s="4431">
        <f t="shared" si="17"/>
        <v>0</v>
      </c>
      <c r="BV37" s="4433"/>
      <c r="BW37" s="4434">
        <f t="shared" si="18"/>
        <v>0</v>
      </c>
      <c r="BX37" s="4433"/>
      <c r="BY37" s="4433">
        <f t="shared" si="19"/>
        <v>0</v>
      </c>
      <c r="BZ37" s="4433"/>
      <c r="CA37" s="4434">
        <f t="shared" si="20"/>
        <v>0</v>
      </c>
      <c r="CB37" s="4433"/>
      <c r="CC37" s="4432">
        <f t="shared" si="21"/>
        <v>0</v>
      </c>
      <c r="CD37" s="4431"/>
      <c r="CE37" s="4431">
        <f t="shared" si="22"/>
        <v>0</v>
      </c>
      <c r="CF37" s="4433"/>
      <c r="CG37" s="4434">
        <f t="shared" si="23"/>
        <v>0</v>
      </c>
      <c r="CH37" s="4433"/>
      <c r="CI37" s="4433">
        <f t="shared" si="24"/>
        <v>0</v>
      </c>
      <c r="CJ37" s="4433"/>
      <c r="CK37" s="4434">
        <f t="shared" si="25"/>
        <v>0</v>
      </c>
      <c r="CL37" s="4431"/>
      <c r="CM37" s="4431">
        <f t="shared" si="26"/>
        <v>0</v>
      </c>
      <c r="CN37" s="4433"/>
      <c r="CO37" s="4434">
        <f t="shared" si="27"/>
        <v>0</v>
      </c>
      <c r="CP37" s="4433"/>
      <c r="CQ37" s="4432">
        <f t="shared" si="28"/>
        <v>0</v>
      </c>
      <c r="CR37" s="4433"/>
      <c r="CS37" s="4455">
        <f t="shared" si="29"/>
        <v>0</v>
      </c>
      <c r="CT37" s="4431"/>
      <c r="CU37" s="4457">
        <f t="shared" si="30"/>
        <v>0</v>
      </c>
      <c r="CV37" s="6719"/>
      <c r="CW37" s="6719"/>
    </row>
    <row r="38" spans="1:101" x14ac:dyDescent="0.25">
      <c r="A38" s="4485"/>
      <c r="B38" s="4485"/>
      <c r="C38" s="4485"/>
      <c r="D38" s="4485"/>
      <c r="E38" s="5304" t="s">
        <v>1791</v>
      </c>
      <c r="F38" s="4466"/>
      <c r="G38" s="4428"/>
      <c r="H38" s="4428"/>
      <c r="I38" s="4473"/>
      <c r="J38" s="4428"/>
      <c r="K38" s="4428"/>
      <c r="L38" s="4428"/>
      <c r="M38" s="4473"/>
      <c r="N38" s="4472"/>
      <c r="O38" s="4424"/>
      <c r="P38" s="4424"/>
      <c r="Q38" s="4428"/>
      <c r="R38" s="4473"/>
      <c r="S38" s="4428"/>
      <c r="T38" s="4428"/>
      <c r="U38" s="4471"/>
      <c r="V38" s="4473"/>
      <c r="W38" s="4472"/>
      <c r="X38" s="4440"/>
      <c r="Y38" s="4439"/>
      <c r="Z38" s="4428">
        <v>0</v>
      </c>
      <c r="AA38" s="4428"/>
      <c r="AB38" s="4473">
        <f t="shared" si="0"/>
        <v>0</v>
      </c>
      <c r="AC38" s="4428"/>
      <c r="AD38" s="4428"/>
      <c r="AE38" s="4428"/>
      <c r="AF38" s="4438">
        <f t="shared" si="1"/>
        <v>0</v>
      </c>
      <c r="AG38" s="4472">
        <f t="shared" si="2"/>
        <v>0</v>
      </c>
      <c r="AH38" s="4424"/>
      <c r="AI38" s="4424"/>
      <c r="AJ38" s="4424"/>
      <c r="AK38" s="4473">
        <f t="shared" si="3"/>
        <v>0</v>
      </c>
      <c r="AL38" s="4428"/>
      <c r="AM38" s="4428"/>
      <c r="AN38" s="4471"/>
      <c r="AO38" s="4473">
        <f t="shared" si="31"/>
        <v>0</v>
      </c>
      <c r="AP38" s="4472">
        <f t="shared" si="32"/>
        <v>0</v>
      </c>
      <c r="AQ38" s="4437">
        <f t="shared" si="33"/>
        <v>0</v>
      </c>
      <c r="AR38" s="4427">
        <f t="shared" si="6"/>
        <v>0</v>
      </c>
      <c r="AS38" s="4470"/>
      <c r="AT38" s="4430"/>
      <c r="AU38" s="4436">
        <f t="shared" si="34"/>
        <v>0</v>
      </c>
      <c r="AV38" s="4435"/>
      <c r="AW38" s="4434">
        <f t="shared" si="35"/>
        <v>0</v>
      </c>
      <c r="AX38" s="4433"/>
      <c r="AY38" s="4433">
        <f t="shared" si="36"/>
        <v>0</v>
      </c>
      <c r="AZ38" s="4433"/>
      <c r="BA38" s="4434">
        <f t="shared" si="7"/>
        <v>0</v>
      </c>
      <c r="BB38" s="4432"/>
      <c r="BC38" s="4432">
        <f t="shared" si="8"/>
        <v>0</v>
      </c>
      <c r="BD38" s="4433"/>
      <c r="BE38" s="4434">
        <f t="shared" si="9"/>
        <v>0</v>
      </c>
      <c r="BF38" s="4431"/>
      <c r="BG38" s="4431">
        <f t="shared" si="10"/>
        <v>0</v>
      </c>
      <c r="BH38" s="4433"/>
      <c r="BI38" s="4434">
        <f t="shared" si="11"/>
        <v>0</v>
      </c>
      <c r="BJ38" s="4431"/>
      <c r="BK38" s="4431">
        <f t="shared" si="12"/>
        <v>0</v>
      </c>
      <c r="BL38" s="4433"/>
      <c r="BM38" s="4434">
        <f t="shared" si="13"/>
        <v>0</v>
      </c>
      <c r="BN38" s="4433"/>
      <c r="BO38" s="4432">
        <f t="shared" si="14"/>
        <v>0</v>
      </c>
      <c r="BP38" s="4433"/>
      <c r="BQ38" s="4455">
        <f t="shared" si="15"/>
        <v>0</v>
      </c>
      <c r="BR38" s="4433"/>
      <c r="BS38" s="4434">
        <f t="shared" si="16"/>
        <v>0</v>
      </c>
      <c r="BT38" s="4431"/>
      <c r="BU38" s="4431">
        <f t="shared" si="17"/>
        <v>0</v>
      </c>
      <c r="BV38" s="4433"/>
      <c r="BW38" s="4434">
        <f t="shared" si="18"/>
        <v>0</v>
      </c>
      <c r="BX38" s="4433"/>
      <c r="BY38" s="4433">
        <f t="shared" si="19"/>
        <v>0</v>
      </c>
      <c r="BZ38" s="4433"/>
      <c r="CA38" s="4434">
        <f t="shared" si="20"/>
        <v>0</v>
      </c>
      <c r="CB38" s="4433"/>
      <c r="CC38" s="4432">
        <f t="shared" si="21"/>
        <v>0</v>
      </c>
      <c r="CD38" s="4431"/>
      <c r="CE38" s="4431">
        <f t="shared" si="22"/>
        <v>0</v>
      </c>
      <c r="CF38" s="4433"/>
      <c r="CG38" s="4434">
        <f t="shared" si="23"/>
        <v>0</v>
      </c>
      <c r="CH38" s="4433"/>
      <c r="CI38" s="4433">
        <f t="shared" si="24"/>
        <v>0</v>
      </c>
      <c r="CJ38" s="4433"/>
      <c r="CK38" s="4434">
        <f t="shared" si="25"/>
        <v>0</v>
      </c>
      <c r="CL38" s="4431"/>
      <c r="CM38" s="4431">
        <f t="shared" si="26"/>
        <v>0</v>
      </c>
      <c r="CN38" s="4433"/>
      <c r="CO38" s="4434">
        <f t="shared" si="27"/>
        <v>0</v>
      </c>
      <c r="CP38" s="4433"/>
      <c r="CQ38" s="4432">
        <f t="shared" si="28"/>
        <v>0</v>
      </c>
      <c r="CR38" s="4433"/>
      <c r="CS38" s="4455">
        <f t="shared" si="29"/>
        <v>0</v>
      </c>
      <c r="CT38" s="4431"/>
      <c r="CU38" s="4457">
        <f t="shared" si="30"/>
        <v>0</v>
      </c>
      <c r="CV38" s="6719"/>
      <c r="CW38" s="6719"/>
    </row>
    <row r="39" spans="1:101" x14ac:dyDescent="0.25">
      <c r="A39" s="4485"/>
      <c r="B39" s="4485"/>
      <c r="C39" s="4485"/>
      <c r="D39" s="4485"/>
      <c r="E39" s="5304" t="s">
        <v>1400</v>
      </c>
      <c r="F39" s="4466"/>
      <c r="G39" s="4428"/>
      <c r="H39" s="4428"/>
      <c r="I39" s="4473"/>
      <c r="J39" s="4428"/>
      <c r="K39" s="4428"/>
      <c r="L39" s="4428"/>
      <c r="M39" s="4473"/>
      <c r="N39" s="4472"/>
      <c r="O39" s="4424"/>
      <c r="P39" s="4424"/>
      <c r="Q39" s="4428"/>
      <c r="R39" s="4473"/>
      <c r="S39" s="4428"/>
      <c r="T39" s="4428"/>
      <c r="U39" s="4471"/>
      <c r="V39" s="4473"/>
      <c r="W39" s="4472"/>
      <c r="X39" s="4440"/>
      <c r="Y39" s="4439"/>
      <c r="Z39" s="4428">
        <v>0</v>
      </c>
      <c r="AA39" s="4428"/>
      <c r="AB39" s="4473">
        <f t="shared" si="0"/>
        <v>0</v>
      </c>
      <c r="AC39" s="4428"/>
      <c r="AD39" s="4428"/>
      <c r="AE39" s="4428"/>
      <c r="AF39" s="4438">
        <f t="shared" si="1"/>
        <v>0</v>
      </c>
      <c r="AG39" s="4472">
        <f t="shared" si="2"/>
        <v>0</v>
      </c>
      <c r="AH39" s="4424"/>
      <c r="AI39" s="4424"/>
      <c r="AJ39" s="4424"/>
      <c r="AK39" s="4473">
        <f t="shared" si="3"/>
        <v>0</v>
      </c>
      <c r="AL39" s="4428"/>
      <c r="AM39" s="4428"/>
      <c r="AN39" s="4471"/>
      <c r="AO39" s="4473">
        <f t="shared" si="31"/>
        <v>0</v>
      </c>
      <c r="AP39" s="4472">
        <f t="shared" si="32"/>
        <v>0</v>
      </c>
      <c r="AQ39" s="4437">
        <f t="shared" si="33"/>
        <v>0</v>
      </c>
      <c r="AR39" s="4427">
        <f t="shared" si="6"/>
        <v>0</v>
      </c>
      <c r="AS39" s="4470"/>
      <c r="AT39" s="4430"/>
      <c r="AU39" s="4436">
        <f t="shared" si="34"/>
        <v>0</v>
      </c>
      <c r="AV39" s="4435"/>
      <c r="AW39" s="4434">
        <f t="shared" si="35"/>
        <v>0</v>
      </c>
      <c r="AX39" s="4433"/>
      <c r="AY39" s="4433">
        <f t="shared" si="36"/>
        <v>0</v>
      </c>
      <c r="AZ39" s="4433"/>
      <c r="BA39" s="4434">
        <f t="shared" si="7"/>
        <v>0</v>
      </c>
      <c r="BB39" s="4432"/>
      <c r="BC39" s="4432">
        <f t="shared" si="8"/>
        <v>0</v>
      </c>
      <c r="BD39" s="4433"/>
      <c r="BE39" s="4434">
        <f t="shared" si="9"/>
        <v>0</v>
      </c>
      <c r="BF39" s="4431"/>
      <c r="BG39" s="4431">
        <f t="shared" si="10"/>
        <v>0</v>
      </c>
      <c r="BH39" s="4433"/>
      <c r="BI39" s="4434">
        <f t="shared" si="11"/>
        <v>0</v>
      </c>
      <c r="BJ39" s="4431"/>
      <c r="BK39" s="4431">
        <f t="shared" si="12"/>
        <v>0</v>
      </c>
      <c r="BL39" s="4433"/>
      <c r="BM39" s="4434">
        <f t="shared" si="13"/>
        <v>0</v>
      </c>
      <c r="BN39" s="4433"/>
      <c r="BO39" s="4432">
        <f t="shared" si="14"/>
        <v>0</v>
      </c>
      <c r="BP39" s="4433"/>
      <c r="BQ39" s="4455">
        <f t="shared" si="15"/>
        <v>0</v>
      </c>
      <c r="BR39" s="4433"/>
      <c r="BS39" s="4434">
        <f t="shared" si="16"/>
        <v>0</v>
      </c>
      <c r="BT39" s="4431"/>
      <c r="BU39" s="4431">
        <f t="shared" si="17"/>
        <v>0</v>
      </c>
      <c r="BV39" s="4433"/>
      <c r="BW39" s="4434">
        <f t="shared" si="18"/>
        <v>0</v>
      </c>
      <c r="BX39" s="4433"/>
      <c r="BY39" s="4433">
        <f t="shared" si="19"/>
        <v>0</v>
      </c>
      <c r="BZ39" s="4433"/>
      <c r="CA39" s="4434">
        <f t="shared" si="20"/>
        <v>0</v>
      </c>
      <c r="CB39" s="4433"/>
      <c r="CC39" s="4432">
        <f t="shared" si="21"/>
        <v>0</v>
      </c>
      <c r="CD39" s="4431"/>
      <c r="CE39" s="4431">
        <f t="shared" si="22"/>
        <v>0</v>
      </c>
      <c r="CF39" s="4433"/>
      <c r="CG39" s="4434">
        <f t="shared" si="23"/>
        <v>0</v>
      </c>
      <c r="CH39" s="4433"/>
      <c r="CI39" s="4433">
        <f t="shared" si="24"/>
        <v>0</v>
      </c>
      <c r="CJ39" s="4433"/>
      <c r="CK39" s="4434">
        <f t="shared" si="25"/>
        <v>0</v>
      </c>
      <c r="CL39" s="4431"/>
      <c r="CM39" s="4431">
        <f t="shared" si="26"/>
        <v>0</v>
      </c>
      <c r="CN39" s="4433"/>
      <c r="CO39" s="4434">
        <f t="shared" si="27"/>
        <v>0</v>
      </c>
      <c r="CP39" s="4433"/>
      <c r="CQ39" s="4432">
        <f t="shared" si="28"/>
        <v>0</v>
      </c>
      <c r="CR39" s="4433"/>
      <c r="CS39" s="4455">
        <f t="shared" si="29"/>
        <v>0</v>
      </c>
      <c r="CT39" s="4431"/>
      <c r="CU39" s="4457">
        <f t="shared" si="30"/>
        <v>0</v>
      </c>
      <c r="CV39" s="6719"/>
      <c r="CW39" s="6719"/>
    </row>
    <row r="40" spans="1:101" x14ac:dyDescent="0.25">
      <c r="A40" s="4485"/>
      <c r="B40" s="4485"/>
      <c r="C40" s="4485"/>
      <c r="D40" s="4485"/>
      <c r="E40" s="5304" t="s">
        <v>1401</v>
      </c>
      <c r="F40" s="4466"/>
      <c r="G40" s="4428"/>
      <c r="H40" s="4428"/>
      <c r="I40" s="4473"/>
      <c r="J40" s="4428"/>
      <c r="K40" s="4428"/>
      <c r="L40" s="4428"/>
      <c r="M40" s="4473"/>
      <c r="N40" s="4472"/>
      <c r="O40" s="4424"/>
      <c r="P40" s="4424"/>
      <c r="Q40" s="4428"/>
      <c r="R40" s="4473"/>
      <c r="S40" s="4428"/>
      <c r="T40" s="4428"/>
      <c r="U40" s="4471"/>
      <c r="V40" s="4473"/>
      <c r="W40" s="4472"/>
      <c r="X40" s="4440"/>
      <c r="Y40" s="4439"/>
      <c r="Z40" s="4428">
        <v>0</v>
      </c>
      <c r="AA40" s="4428"/>
      <c r="AB40" s="4473">
        <f t="shared" si="0"/>
        <v>0</v>
      </c>
      <c r="AC40" s="4428"/>
      <c r="AD40" s="4428"/>
      <c r="AE40" s="4428"/>
      <c r="AF40" s="4438">
        <f t="shared" si="1"/>
        <v>0</v>
      </c>
      <c r="AG40" s="4472">
        <f t="shared" si="2"/>
        <v>0</v>
      </c>
      <c r="AH40" s="4424"/>
      <c r="AI40" s="4424"/>
      <c r="AJ40" s="4424"/>
      <c r="AK40" s="4473">
        <f t="shared" si="3"/>
        <v>0</v>
      </c>
      <c r="AL40" s="4428"/>
      <c r="AM40" s="4428"/>
      <c r="AN40" s="4471"/>
      <c r="AO40" s="4473">
        <f t="shared" si="31"/>
        <v>0</v>
      </c>
      <c r="AP40" s="4472">
        <f t="shared" si="32"/>
        <v>0</v>
      </c>
      <c r="AQ40" s="4437">
        <f t="shared" si="33"/>
        <v>0</v>
      </c>
      <c r="AR40" s="4427">
        <f t="shared" si="6"/>
        <v>0</v>
      </c>
      <c r="AS40" s="4470"/>
      <c r="AT40" s="4430"/>
      <c r="AU40" s="4436">
        <f t="shared" si="34"/>
        <v>0</v>
      </c>
      <c r="AV40" s="4435"/>
      <c r="AW40" s="4434">
        <f t="shared" si="35"/>
        <v>0</v>
      </c>
      <c r="AX40" s="4433"/>
      <c r="AY40" s="4433">
        <f t="shared" si="36"/>
        <v>0</v>
      </c>
      <c r="AZ40" s="4433"/>
      <c r="BA40" s="4434">
        <f t="shared" si="7"/>
        <v>0</v>
      </c>
      <c r="BB40" s="4432"/>
      <c r="BC40" s="4432">
        <f t="shared" si="8"/>
        <v>0</v>
      </c>
      <c r="BD40" s="4433"/>
      <c r="BE40" s="4434">
        <f t="shared" si="9"/>
        <v>0</v>
      </c>
      <c r="BF40" s="4431"/>
      <c r="BG40" s="4431">
        <f t="shared" si="10"/>
        <v>0</v>
      </c>
      <c r="BH40" s="4433"/>
      <c r="BI40" s="4434">
        <f t="shared" si="11"/>
        <v>0</v>
      </c>
      <c r="BJ40" s="4431"/>
      <c r="BK40" s="4431">
        <f t="shared" si="12"/>
        <v>0</v>
      </c>
      <c r="BL40" s="4433"/>
      <c r="BM40" s="4434">
        <f t="shared" si="13"/>
        <v>0</v>
      </c>
      <c r="BN40" s="4433"/>
      <c r="BO40" s="4432">
        <f t="shared" si="14"/>
        <v>0</v>
      </c>
      <c r="BP40" s="4433"/>
      <c r="BQ40" s="4455">
        <f t="shared" si="15"/>
        <v>0</v>
      </c>
      <c r="BR40" s="4433"/>
      <c r="BS40" s="4434">
        <f t="shared" si="16"/>
        <v>0</v>
      </c>
      <c r="BT40" s="4431"/>
      <c r="BU40" s="4431">
        <f t="shared" si="17"/>
        <v>0</v>
      </c>
      <c r="BV40" s="4433"/>
      <c r="BW40" s="4434">
        <f t="shared" si="18"/>
        <v>0</v>
      </c>
      <c r="BX40" s="4433"/>
      <c r="BY40" s="4433">
        <f t="shared" si="19"/>
        <v>0</v>
      </c>
      <c r="BZ40" s="4433"/>
      <c r="CA40" s="4434">
        <f t="shared" si="20"/>
        <v>0</v>
      </c>
      <c r="CB40" s="4433"/>
      <c r="CC40" s="4432">
        <f t="shared" si="21"/>
        <v>0</v>
      </c>
      <c r="CD40" s="4431"/>
      <c r="CE40" s="4431">
        <f t="shared" si="22"/>
        <v>0</v>
      </c>
      <c r="CF40" s="4433"/>
      <c r="CG40" s="4434">
        <f t="shared" si="23"/>
        <v>0</v>
      </c>
      <c r="CH40" s="4433"/>
      <c r="CI40" s="4433">
        <f t="shared" si="24"/>
        <v>0</v>
      </c>
      <c r="CJ40" s="4433"/>
      <c r="CK40" s="4434">
        <f t="shared" si="25"/>
        <v>0</v>
      </c>
      <c r="CL40" s="4431"/>
      <c r="CM40" s="4431">
        <f t="shared" si="26"/>
        <v>0</v>
      </c>
      <c r="CN40" s="4433"/>
      <c r="CO40" s="4434">
        <f t="shared" si="27"/>
        <v>0</v>
      </c>
      <c r="CP40" s="4433"/>
      <c r="CQ40" s="4432">
        <f t="shared" si="28"/>
        <v>0</v>
      </c>
      <c r="CR40" s="4433"/>
      <c r="CS40" s="4455">
        <f t="shared" si="29"/>
        <v>0</v>
      </c>
      <c r="CT40" s="4431"/>
      <c r="CU40" s="4457">
        <f t="shared" si="30"/>
        <v>0</v>
      </c>
      <c r="CV40" s="6719"/>
      <c r="CW40" s="6719"/>
    </row>
    <row r="41" spans="1:101" x14ac:dyDescent="0.25">
      <c r="A41" s="4485"/>
      <c r="B41" s="4485"/>
      <c r="C41" s="4485"/>
      <c r="D41" s="4485"/>
      <c r="E41" s="6749" t="s">
        <v>1884</v>
      </c>
      <c r="F41" s="4466"/>
      <c r="G41" s="4428"/>
      <c r="H41" s="4428"/>
      <c r="I41" s="4473"/>
      <c r="J41" s="4428"/>
      <c r="K41" s="4428"/>
      <c r="L41" s="4428"/>
      <c r="M41" s="4473"/>
      <c r="N41" s="4472"/>
      <c r="O41" s="4424"/>
      <c r="P41" s="4424"/>
      <c r="Q41" s="4428"/>
      <c r="R41" s="4473"/>
      <c r="S41" s="4428"/>
      <c r="T41" s="4428"/>
      <c r="U41" s="4471"/>
      <c r="V41" s="4473"/>
      <c r="W41" s="4472"/>
      <c r="X41" s="4440"/>
      <c r="Y41" s="4439"/>
      <c r="Z41" s="4428">
        <v>0</v>
      </c>
      <c r="AA41" s="4428"/>
      <c r="AB41" s="4473">
        <f t="shared" si="0"/>
        <v>0</v>
      </c>
      <c r="AC41" s="4428"/>
      <c r="AD41" s="4428"/>
      <c r="AE41" s="4428"/>
      <c r="AF41" s="4438">
        <f t="shared" si="1"/>
        <v>0</v>
      </c>
      <c r="AG41" s="4472">
        <f t="shared" si="2"/>
        <v>0</v>
      </c>
      <c r="AH41" s="4424"/>
      <c r="AI41" s="4424"/>
      <c r="AJ41" s="4424"/>
      <c r="AK41" s="4473">
        <f t="shared" si="3"/>
        <v>0</v>
      </c>
      <c r="AL41" s="4428"/>
      <c r="AM41" s="4428"/>
      <c r="AN41" s="4471"/>
      <c r="AO41" s="4473">
        <f t="shared" si="31"/>
        <v>0</v>
      </c>
      <c r="AP41" s="4472">
        <f t="shared" si="32"/>
        <v>0</v>
      </c>
      <c r="AQ41" s="4437">
        <f t="shared" si="33"/>
        <v>0</v>
      </c>
      <c r="AR41" s="4427">
        <f t="shared" si="6"/>
        <v>0</v>
      </c>
      <c r="AS41" s="4470"/>
      <c r="AT41" s="4430"/>
      <c r="AU41" s="4436">
        <f t="shared" si="34"/>
        <v>0</v>
      </c>
      <c r="AV41" s="4435"/>
      <c r="AW41" s="4434">
        <f t="shared" si="35"/>
        <v>0</v>
      </c>
      <c r="AX41" s="4433"/>
      <c r="AY41" s="4433">
        <f t="shared" si="36"/>
        <v>0</v>
      </c>
      <c r="AZ41" s="5463"/>
      <c r="BA41" s="4434">
        <f t="shared" si="7"/>
        <v>0</v>
      </c>
      <c r="BB41" s="5464"/>
      <c r="BC41" s="4432">
        <f t="shared" si="8"/>
        <v>0</v>
      </c>
      <c r="BD41" s="5463"/>
      <c r="BE41" s="4434">
        <f t="shared" si="9"/>
        <v>0</v>
      </c>
      <c r="BF41" s="5465"/>
      <c r="BG41" s="4431">
        <f t="shared" si="10"/>
        <v>0</v>
      </c>
      <c r="BH41" s="5463"/>
      <c r="BI41" s="4434">
        <f t="shared" si="11"/>
        <v>0</v>
      </c>
      <c r="BJ41" s="5465"/>
      <c r="BK41" s="4431">
        <f t="shared" si="12"/>
        <v>0</v>
      </c>
      <c r="BL41" s="5463"/>
      <c r="BM41" s="4434">
        <f t="shared" si="13"/>
        <v>0</v>
      </c>
      <c r="BN41" s="5463"/>
      <c r="BO41" s="4432">
        <f t="shared" si="14"/>
        <v>0</v>
      </c>
      <c r="BP41" s="5463"/>
      <c r="BQ41" s="4455">
        <f t="shared" si="15"/>
        <v>0</v>
      </c>
      <c r="BR41" s="5463"/>
      <c r="BS41" s="4434">
        <f t="shared" si="16"/>
        <v>0</v>
      </c>
      <c r="BT41" s="5465"/>
      <c r="BU41" s="4431">
        <f t="shared" si="17"/>
        <v>0</v>
      </c>
      <c r="BV41" s="5463"/>
      <c r="BW41" s="4434">
        <f t="shared" si="18"/>
        <v>0</v>
      </c>
      <c r="BX41" s="5463"/>
      <c r="BY41" s="4433">
        <f t="shared" si="19"/>
        <v>0</v>
      </c>
      <c r="BZ41" s="5463"/>
      <c r="CA41" s="4434">
        <f t="shared" si="20"/>
        <v>0</v>
      </c>
      <c r="CB41" s="5463"/>
      <c r="CC41" s="4432">
        <f t="shared" si="21"/>
        <v>0</v>
      </c>
      <c r="CD41" s="5465"/>
      <c r="CE41" s="4431">
        <f t="shared" si="22"/>
        <v>0</v>
      </c>
      <c r="CF41" s="5463"/>
      <c r="CG41" s="4434">
        <f t="shared" si="23"/>
        <v>0</v>
      </c>
      <c r="CH41" s="5463"/>
      <c r="CI41" s="4433">
        <f t="shared" si="24"/>
        <v>0</v>
      </c>
      <c r="CJ41" s="5463"/>
      <c r="CK41" s="5463">
        <f t="shared" si="25"/>
        <v>0</v>
      </c>
      <c r="CL41" s="5465"/>
      <c r="CM41" s="5465">
        <f t="shared" si="26"/>
        <v>0</v>
      </c>
      <c r="CN41" s="5463"/>
      <c r="CO41" s="4434">
        <f t="shared" si="27"/>
        <v>0</v>
      </c>
      <c r="CP41" s="5463"/>
      <c r="CQ41" s="4432">
        <f t="shared" si="28"/>
        <v>0</v>
      </c>
      <c r="CR41" s="5463"/>
      <c r="CS41" s="4455">
        <f t="shared" si="29"/>
        <v>0</v>
      </c>
      <c r="CT41" s="5465"/>
      <c r="CU41" s="4457">
        <f t="shared" si="30"/>
        <v>0</v>
      </c>
      <c r="CV41" s="6719"/>
      <c r="CW41" s="6719"/>
    </row>
    <row r="42" spans="1:101" x14ac:dyDescent="0.25">
      <c r="A42" s="4485"/>
      <c r="B42" s="4485"/>
      <c r="C42" s="4485"/>
      <c r="D42" s="4485"/>
      <c r="E42" s="6749" t="s">
        <v>1164</v>
      </c>
      <c r="F42" s="4466">
        <v>3712</v>
      </c>
      <c r="G42" s="4428"/>
      <c r="H42" s="4428"/>
      <c r="I42" s="4473"/>
      <c r="J42" s="4428"/>
      <c r="K42" s="4428"/>
      <c r="L42" s="4428"/>
      <c r="M42" s="4473"/>
      <c r="N42" s="4472"/>
      <c r="O42" s="4424"/>
      <c r="P42" s="4424"/>
      <c r="Q42" s="4428"/>
      <c r="R42" s="4473"/>
      <c r="S42" s="4428"/>
      <c r="T42" s="4428"/>
      <c r="U42" s="4471"/>
      <c r="V42" s="4473"/>
      <c r="W42" s="4472"/>
      <c r="X42" s="4440"/>
      <c r="Y42" s="4439"/>
      <c r="Z42" s="4428"/>
      <c r="AA42" s="4428"/>
      <c r="AB42" s="4473">
        <f t="shared" si="0"/>
        <v>0</v>
      </c>
      <c r="AC42" s="4428">
        <v>116</v>
      </c>
      <c r="AD42" s="4428"/>
      <c r="AE42" s="4428"/>
      <c r="AF42" s="4438">
        <f t="shared" si="1"/>
        <v>116</v>
      </c>
      <c r="AG42" s="4472">
        <f t="shared" si="2"/>
        <v>116</v>
      </c>
      <c r="AH42" s="4424"/>
      <c r="AI42" s="4424">
        <v>2811.6729999999998</v>
      </c>
      <c r="AJ42" s="4424">
        <v>4018</v>
      </c>
      <c r="AK42" s="4473">
        <f t="shared" si="3"/>
        <v>6829.6729999999998</v>
      </c>
      <c r="AL42" s="4428">
        <v>2120</v>
      </c>
      <c r="AM42" s="4428"/>
      <c r="AN42" s="4471">
        <v>1239.4580000000001</v>
      </c>
      <c r="AO42" s="4473">
        <f t="shared" si="31"/>
        <v>3359.4580000000001</v>
      </c>
      <c r="AP42" s="4472">
        <f t="shared" si="32"/>
        <v>10189.130999999999</v>
      </c>
      <c r="AQ42" s="4437">
        <f t="shared" si="33"/>
        <v>10305.130999999999</v>
      </c>
      <c r="AR42" s="4427">
        <f t="shared" si="6"/>
        <v>10305.130999999999</v>
      </c>
      <c r="AS42" s="4470"/>
      <c r="AT42" s="4430"/>
      <c r="AU42" s="4436">
        <f t="shared" si="34"/>
        <v>3712</v>
      </c>
      <c r="AV42" s="4435"/>
      <c r="AW42" s="4434">
        <f t="shared" si="35"/>
        <v>0</v>
      </c>
      <c r="AX42" s="4433"/>
      <c r="AY42" s="4433">
        <f t="shared" si="36"/>
        <v>3712</v>
      </c>
      <c r="AZ42" s="4433"/>
      <c r="BA42" s="4434">
        <f t="shared" si="7"/>
        <v>0</v>
      </c>
      <c r="BB42" s="4432"/>
      <c r="BC42" s="4432">
        <f t="shared" si="8"/>
        <v>3712</v>
      </c>
      <c r="BD42" s="4433"/>
      <c r="BE42" s="4434">
        <f t="shared" si="9"/>
        <v>116</v>
      </c>
      <c r="BF42" s="4431"/>
      <c r="BG42" s="4431">
        <f t="shared" si="10"/>
        <v>3828</v>
      </c>
      <c r="BH42" s="4433"/>
      <c r="BI42" s="4434">
        <f t="shared" si="11"/>
        <v>0</v>
      </c>
      <c r="BJ42" s="4431"/>
      <c r="BK42" s="4431">
        <f t="shared" si="12"/>
        <v>3828</v>
      </c>
      <c r="BL42" s="4433"/>
      <c r="BM42" s="4434">
        <f t="shared" si="13"/>
        <v>0</v>
      </c>
      <c r="BN42" s="4433"/>
      <c r="BO42" s="4432">
        <f t="shared" si="14"/>
        <v>116</v>
      </c>
      <c r="BP42" s="4433"/>
      <c r="BQ42" s="4455">
        <f t="shared" si="15"/>
        <v>3828</v>
      </c>
      <c r="BR42" s="4433"/>
      <c r="BS42" s="4434">
        <f t="shared" si="16"/>
        <v>0</v>
      </c>
      <c r="BT42" s="4431"/>
      <c r="BU42" s="4431">
        <f t="shared" si="17"/>
        <v>3828</v>
      </c>
      <c r="BV42" s="4433"/>
      <c r="BW42" s="4434">
        <f t="shared" si="18"/>
        <v>2811.6729999999998</v>
      </c>
      <c r="BX42" s="4433"/>
      <c r="BY42" s="4433">
        <f t="shared" si="19"/>
        <v>6639.6729999999998</v>
      </c>
      <c r="BZ42" s="4433"/>
      <c r="CA42" s="4434">
        <f t="shared" si="20"/>
        <v>4018</v>
      </c>
      <c r="CB42" s="4433"/>
      <c r="CC42" s="4432">
        <f t="shared" si="21"/>
        <v>6829.6729999999998</v>
      </c>
      <c r="CD42" s="4431"/>
      <c r="CE42" s="4431">
        <f t="shared" si="22"/>
        <v>10657.672999999999</v>
      </c>
      <c r="CF42" s="4433"/>
      <c r="CG42" s="4434">
        <f t="shared" si="23"/>
        <v>2120</v>
      </c>
      <c r="CH42" s="4433"/>
      <c r="CI42" s="4433">
        <f t="shared" si="24"/>
        <v>12777.672999999999</v>
      </c>
      <c r="CJ42" s="4433"/>
      <c r="CK42" s="4434">
        <f t="shared" si="25"/>
        <v>0</v>
      </c>
      <c r="CL42" s="4431"/>
      <c r="CM42" s="4431">
        <f t="shared" si="26"/>
        <v>12777.672999999999</v>
      </c>
      <c r="CN42" s="4433"/>
      <c r="CO42" s="4434">
        <f t="shared" si="27"/>
        <v>1239.4580000000001</v>
      </c>
      <c r="CP42" s="4433"/>
      <c r="CQ42" s="4432">
        <f t="shared" si="28"/>
        <v>3359.4580000000001</v>
      </c>
      <c r="CR42" s="4433"/>
      <c r="CS42" s="4455">
        <f t="shared" si="29"/>
        <v>10189.130999999999</v>
      </c>
      <c r="CT42" s="4431"/>
      <c r="CU42" s="4457">
        <f t="shared" si="30"/>
        <v>14017.130999999999</v>
      </c>
      <c r="CV42" s="6719"/>
      <c r="CW42" s="6719"/>
    </row>
    <row r="43" spans="1:101" x14ac:dyDescent="0.25">
      <c r="A43" s="4485"/>
      <c r="B43" s="4485"/>
      <c r="C43" s="4485"/>
      <c r="D43" s="4485"/>
      <c r="E43" s="6749" t="s">
        <v>1253</v>
      </c>
      <c r="F43" s="4466"/>
      <c r="G43" s="4428"/>
      <c r="H43" s="4428"/>
      <c r="I43" s="4473"/>
      <c r="J43" s="4428"/>
      <c r="K43" s="4428"/>
      <c r="L43" s="4428"/>
      <c r="M43" s="4473"/>
      <c r="N43" s="4472"/>
      <c r="O43" s="4424"/>
      <c r="P43" s="4424"/>
      <c r="Q43" s="4428"/>
      <c r="R43" s="4473"/>
      <c r="S43" s="4428"/>
      <c r="T43" s="4428"/>
      <c r="U43" s="4471"/>
      <c r="V43" s="4473"/>
      <c r="W43" s="4472"/>
      <c r="X43" s="4440"/>
      <c r="Y43" s="4439"/>
      <c r="Z43" s="4428"/>
      <c r="AA43" s="4428"/>
      <c r="AB43" s="4473">
        <f t="shared" si="0"/>
        <v>0</v>
      </c>
      <c r="AC43" s="4428"/>
      <c r="AD43" s="4428"/>
      <c r="AE43" s="4428"/>
      <c r="AF43" s="4438">
        <f t="shared" si="1"/>
        <v>0</v>
      </c>
      <c r="AG43" s="4472">
        <f t="shared" si="2"/>
        <v>0</v>
      </c>
      <c r="AH43" s="4424"/>
      <c r="AI43" s="4424"/>
      <c r="AJ43" s="4424"/>
      <c r="AK43" s="4473">
        <f t="shared" si="3"/>
        <v>0</v>
      </c>
      <c r="AL43" s="4428"/>
      <c r="AM43" s="4428"/>
      <c r="AN43" s="4471"/>
      <c r="AO43" s="4473"/>
      <c r="AP43" s="4472"/>
      <c r="AQ43" s="4437">
        <f t="shared" si="33"/>
        <v>0</v>
      </c>
      <c r="AR43" s="4427">
        <f t="shared" si="6"/>
        <v>0</v>
      </c>
      <c r="AS43" s="4470"/>
      <c r="AT43" s="4430"/>
      <c r="AU43" s="4436">
        <f t="shared" ref="AU43" si="72">+F43+Y43</f>
        <v>0</v>
      </c>
      <c r="AV43" s="4435"/>
      <c r="AW43" s="4434">
        <f t="shared" ref="AW43" si="73">+G43+Z43</f>
        <v>0</v>
      </c>
      <c r="AX43" s="4433"/>
      <c r="AY43" s="4433">
        <f t="shared" ref="AY43" si="74">AU43+AW43</f>
        <v>0</v>
      </c>
      <c r="AZ43" s="4433"/>
      <c r="BA43" s="4434">
        <f t="shared" ref="BA43" si="75">+H43+AA43</f>
        <v>0</v>
      </c>
      <c r="BB43" s="4432"/>
      <c r="BC43" s="4432">
        <f t="shared" ref="BC43" si="76">AU43+AW43+BA43</f>
        <v>0</v>
      </c>
      <c r="BD43" s="4433"/>
      <c r="BE43" s="4434">
        <f t="shared" ref="BE43" si="77">+J43+AC43</f>
        <v>0</v>
      </c>
      <c r="BF43" s="4431"/>
      <c r="BG43" s="4431">
        <f t="shared" ref="BG43" si="78">+BC43+BE43</f>
        <v>0</v>
      </c>
      <c r="BH43" s="4433"/>
      <c r="BI43" s="4434">
        <f t="shared" ref="BI43" si="79">K43+AD43</f>
        <v>0</v>
      </c>
      <c r="BJ43" s="4431"/>
      <c r="BK43" s="4431">
        <f t="shared" ref="BK43" si="80">+BG43+BI43</f>
        <v>0</v>
      </c>
      <c r="BL43" s="4433"/>
      <c r="BM43" s="4434">
        <f t="shared" ref="BM43" si="81">+L43+AE43</f>
        <v>0</v>
      </c>
      <c r="BN43" s="4433"/>
      <c r="BO43" s="4432">
        <f t="shared" ref="BO43" si="82">BE43+BI43+BM43</f>
        <v>0</v>
      </c>
      <c r="BP43" s="4433"/>
      <c r="BQ43" s="4455">
        <f t="shared" ref="BQ43" si="83">BC43+BO43</f>
        <v>0</v>
      </c>
      <c r="BR43" s="4433"/>
      <c r="BS43" s="4434">
        <f t="shared" ref="BS43" si="84">+O43+AH43</f>
        <v>0</v>
      </c>
      <c r="BT43" s="4431"/>
      <c r="BU43" s="4431">
        <f t="shared" ref="BU43" si="85">BQ43+BS43</f>
        <v>0</v>
      </c>
      <c r="BV43" s="4433"/>
      <c r="BW43" s="4434">
        <f t="shared" ref="BW43" si="86">+P43+AI43</f>
        <v>0</v>
      </c>
      <c r="BX43" s="4433"/>
      <c r="BY43" s="4433">
        <f t="shared" ref="BY43" si="87">BU43+BW43</f>
        <v>0</v>
      </c>
      <c r="BZ43" s="4433"/>
      <c r="CA43" s="4434">
        <f t="shared" ref="CA43" si="88">+Q43+AJ43</f>
        <v>0</v>
      </c>
      <c r="CB43" s="4433"/>
      <c r="CC43" s="4432">
        <f t="shared" ref="CC43" si="89">BS43+BW43+CA43</f>
        <v>0</v>
      </c>
      <c r="CD43" s="4431"/>
      <c r="CE43" s="4431">
        <f t="shared" ref="CE43" si="90">BY43+CA43</f>
        <v>0</v>
      </c>
      <c r="CF43" s="4433"/>
      <c r="CG43" s="4434">
        <f t="shared" si="23"/>
        <v>0</v>
      </c>
      <c r="CH43" s="4433"/>
      <c r="CI43" s="4433">
        <f t="shared" si="24"/>
        <v>0</v>
      </c>
      <c r="CJ43" s="4433"/>
      <c r="CK43" s="4434">
        <f t="shared" si="25"/>
        <v>0</v>
      </c>
      <c r="CL43" s="4431"/>
      <c r="CM43" s="4431">
        <f t="shared" si="26"/>
        <v>0</v>
      </c>
      <c r="CN43" s="4433"/>
      <c r="CO43" s="4434">
        <f t="shared" si="27"/>
        <v>0</v>
      </c>
      <c r="CP43" s="4433"/>
      <c r="CQ43" s="4432">
        <f t="shared" si="28"/>
        <v>0</v>
      </c>
      <c r="CR43" s="4433"/>
      <c r="CS43" s="4455">
        <f t="shared" si="29"/>
        <v>0</v>
      </c>
      <c r="CT43" s="4431"/>
      <c r="CU43" s="4457">
        <f t="shared" ref="CU43" si="91">SUM(AU43,AW43,BA43,BE43,BI43,BM43,BS43,BW43,CA43,CG43,CK43,CO43)</f>
        <v>0</v>
      </c>
      <c r="CV43" s="6719"/>
      <c r="CW43" s="6719"/>
    </row>
    <row r="44" spans="1:101" x14ac:dyDescent="0.25">
      <c r="A44" s="4485"/>
      <c r="B44" s="4485"/>
      <c r="C44" s="4485"/>
      <c r="D44" s="4485"/>
      <c r="E44" s="6749" t="s">
        <v>1163</v>
      </c>
      <c r="F44" s="4466"/>
      <c r="G44" s="4428"/>
      <c r="H44" s="4428"/>
      <c r="I44" s="4473"/>
      <c r="J44" s="4428"/>
      <c r="K44" s="4428"/>
      <c r="L44" s="4428"/>
      <c r="M44" s="4473"/>
      <c r="N44" s="4472"/>
      <c r="O44" s="4424"/>
      <c r="P44" s="4424"/>
      <c r="Q44" s="4428"/>
      <c r="R44" s="4473"/>
      <c r="S44" s="4428"/>
      <c r="T44" s="4428"/>
      <c r="U44" s="4471"/>
      <c r="V44" s="4473"/>
      <c r="W44" s="4472"/>
      <c r="X44" s="4440"/>
      <c r="Y44" s="4439"/>
      <c r="Z44" s="4428"/>
      <c r="AA44" s="4428">
        <v>5439</v>
      </c>
      <c r="AB44" s="4473">
        <f t="shared" si="0"/>
        <v>5439</v>
      </c>
      <c r="AC44" s="4428"/>
      <c r="AD44" s="4428">
        <v>6337.7719999999999</v>
      </c>
      <c r="AE44" s="4428">
        <v>4135</v>
      </c>
      <c r="AF44" s="4438">
        <f t="shared" si="1"/>
        <v>10472.772000000001</v>
      </c>
      <c r="AG44" s="4472">
        <f t="shared" si="2"/>
        <v>15911.772000000001</v>
      </c>
      <c r="AH44" s="4424">
        <v>6917</v>
      </c>
      <c r="AI44" s="4424"/>
      <c r="AJ44" s="4424"/>
      <c r="AK44" s="4473">
        <f t="shared" si="3"/>
        <v>6917</v>
      </c>
      <c r="AL44" s="4428"/>
      <c r="AM44" s="4428"/>
      <c r="AN44" s="4471"/>
      <c r="AO44" s="4473">
        <f t="shared" si="31"/>
        <v>0</v>
      </c>
      <c r="AP44" s="4472">
        <f t="shared" si="32"/>
        <v>6917</v>
      </c>
      <c r="AQ44" s="4437">
        <f t="shared" si="33"/>
        <v>22828.772000000001</v>
      </c>
      <c r="AR44" s="4427">
        <f t="shared" si="6"/>
        <v>22828.772000000001</v>
      </c>
      <c r="AS44" s="4470"/>
      <c r="AT44" s="4430"/>
      <c r="AU44" s="4436">
        <f t="shared" si="34"/>
        <v>0</v>
      </c>
      <c r="AV44" s="4435"/>
      <c r="AW44" s="4434">
        <f t="shared" si="35"/>
        <v>0</v>
      </c>
      <c r="AX44" s="4433"/>
      <c r="AY44" s="4433">
        <f t="shared" si="36"/>
        <v>0</v>
      </c>
      <c r="AZ44" s="4433"/>
      <c r="BA44" s="4434">
        <f t="shared" si="7"/>
        <v>5439</v>
      </c>
      <c r="BB44" s="4432"/>
      <c r="BC44" s="4432">
        <f t="shared" si="8"/>
        <v>5439</v>
      </c>
      <c r="BD44" s="4433"/>
      <c r="BE44" s="4434">
        <f t="shared" si="9"/>
        <v>0</v>
      </c>
      <c r="BF44" s="4431"/>
      <c r="BG44" s="4431">
        <f t="shared" si="10"/>
        <v>5439</v>
      </c>
      <c r="BH44" s="4433"/>
      <c r="BI44" s="4434">
        <f t="shared" si="11"/>
        <v>6337.7719999999999</v>
      </c>
      <c r="BJ44" s="4431"/>
      <c r="BK44" s="4431">
        <f t="shared" si="12"/>
        <v>11776.772000000001</v>
      </c>
      <c r="BL44" s="4433"/>
      <c r="BM44" s="4434">
        <f t="shared" si="13"/>
        <v>4135</v>
      </c>
      <c r="BN44" s="4433"/>
      <c r="BO44" s="4432">
        <f t="shared" si="14"/>
        <v>10472.772000000001</v>
      </c>
      <c r="BP44" s="4433"/>
      <c r="BQ44" s="4455">
        <f t="shared" si="15"/>
        <v>15911.772000000001</v>
      </c>
      <c r="BR44" s="4433"/>
      <c r="BS44" s="4434">
        <f t="shared" si="16"/>
        <v>6917</v>
      </c>
      <c r="BT44" s="4431"/>
      <c r="BU44" s="4431">
        <f t="shared" si="17"/>
        <v>22828.772000000001</v>
      </c>
      <c r="BV44" s="4433"/>
      <c r="BW44" s="4434">
        <f t="shared" si="18"/>
        <v>0</v>
      </c>
      <c r="BX44" s="4433"/>
      <c r="BY44" s="4433">
        <f t="shared" si="19"/>
        <v>22828.772000000001</v>
      </c>
      <c r="BZ44" s="4433"/>
      <c r="CA44" s="4434">
        <f t="shared" si="20"/>
        <v>0</v>
      </c>
      <c r="CB44" s="4433"/>
      <c r="CC44" s="4432">
        <f t="shared" si="21"/>
        <v>6917</v>
      </c>
      <c r="CD44" s="4431"/>
      <c r="CE44" s="4431">
        <f t="shared" si="22"/>
        <v>22828.772000000001</v>
      </c>
      <c r="CF44" s="4433"/>
      <c r="CG44" s="4434">
        <f t="shared" si="23"/>
        <v>0</v>
      </c>
      <c r="CH44" s="4433"/>
      <c r="CI44" s="4433">
        <f t="shared" si="24"/>
        <v>22828.772000000001</v>
      </c>
      <c r="CJ44" s="4433"/>
      <c r="CK44" s="4434">
        <f t="shared" si="25"/>
        <v>0</v>
      </c>
      <c r="CL44" s="4431"/>
      <c r="CM44" s="4431">
        <f t="shared" si="26"/>
        <v>22828.772000000001</v>
      </c>
      <c r="CN44" s="4433"/>
      <c r="CO44" s="4434">
        <f t="shared" si="27"/>
        <v>0</v>
      </c>
      <c r="CP44" s="4433"/>
      <c r="CQ44" s="4432">
        <f t="shared" si="28"/>
        <v>0</v>
      </c>
      <c r="CR44" s="4433"/>
      <c r="CS44" s="4455">
        <f t="shared" si="29"/>
        <v>6917</v>
      </c>
      <c r="CT44" s="4431"/>
      <c r="CU44" s="4457">
        <f t="shared" si="30"/>
        <v>22828.772000000001</v>
      </c>
      <c r="CV44" s="6719"/>
      <c r="CW44" s="6719"/>
    </row>
    <row r="45" spans="1:101" x14ac:dyDescent="0.25">
      <c r="A45" s="4485"/>
      <c r="B45" s="4485"/>
      <c r="C45" s="4485"/>
      <c r="D45" s="4485"/>
      <c r="E45" s="5304" t="s">
        <v>1877</v>
      </c>
      <c r="F45" s="4466"/>
      <c r="G45" s="4428"/>
      <c r="H45" s="4428"/>
      <c r="I45" s="4473"/>
      <c r="J45" s="4428"/>
      <c r="K45" s="4428"/>
      <c r="L45" s="4428"/>
      <c r="M45" s="4473"/>
      <c r="N45" s="4472"/>
      <c r="O45" s="4424"/>
      <c r="P45" s="4424"/>
      <c r="Q45" s="4428"/>
      <c r="R45" s="4473"/>
      <c r="S45" s="4428"/>
      <c r="T45" s="4428"/>
      <c r="U45" s="4471"/>
      <c r="V45" s="4473"/>
      <c r="W45" s="4472"/>
      <c r="X45" s="4440"/>
      <c r="Y45" s="4439"/>
      <c r="Z45" s="4428">
        <v>0</v>
      </c>
      <c r="AA45" s="4428"/>
      <c r="AB45" s="4473">
        <f t="shared" si="0"/>
        <v>0</v>
      </c>
      <c r="AC45" s="4428"/>
      <c r="AD45" s="4428"/>
      <c r="AE45" s="4428"/>
      <c r="AF45" s="4438">
        <f t="shared" si="1"/>
        <v>0</v>
      </c>
      <c r="AG45" s="4472">
        <f t="shared" si="2"/>
        <v>0</v>
      </c>
      <c r="AH45" s="4424"/>
      <c r="AI45" s="4424"/>
      <c r="AJ45" s="4424"/>
      <c r="AK45" s="4473">
        <f t="shared" si="3"/>
        <v>0</v>
      </c>
      <c r="AL45" s="4428"/>
      <c r="AM45" s="4428"/>
      <c r="AN45" s="4471"/>
      <c r="AO45" s="4473">
        <f t="shared" si="31"/>
        <v>0</v>
      </c>
      <c r="AP45" s="4472">
        <f t="shared" si="32"/>
        <v>0</v>
      </c>
      <c r="AQ45" s="4437">
        <f t="shared" si="33"/>
        <v>0</v>
      </c>
      <c r="AR45" s="4427">
        <f t="shared" si="6"/>
        <v>0</v>
      </c>
      <c r="AS45" s="4470"/>
      <c r="AT45" s="4430"/>
      <c r="AU45" s="4436">
        <f t="shared" si="34"/>
        <v>0</v>
      </c>
      <c r="AV45" s="4435"/>
      <c r="AW45" s="4434">
        <f t="shared" si="35"/>
        <v>0</v>
      </c>
      <c r="AX45" s="4433"/>
      <c r="AY45" s="4433">
        <f t="shared" si="36"/>
        <v>0</v>
      </c>
      <c r="AZ45" s="4433"/>
      <c r="BA45" s="4434">
        <f t="shared" si="7"/>
        <v>0</v>
      </c>
      <c r="BB45" s="4432"/>
      <c r="BC45" s="4432">
        <f t="shared" si="8"/>
        <v>0</v>
      </c>
      <c r="BD45" s="4433"/>
      <c r="BE45" s="4434">
        <f t="shared" si="9"/>
        <v>0</v>
      </c>
      <c r="BF45" s="4431"/>
      <c r="BG45" s="4431">
        <f t="shared" si="10"/>
        <v>0</v>
      </c>
      <c r="BH45" s="4433"/>
      <c r="BI45" s="4434">
        <f t="shared" si="11"/>
        <v>0</v>
      </c>
      <c r="BJ45" s="4431"/>
      <c r="BK45" s="4431">
        <f t="shared" si="12"/>
        <v>0</v>
      </c>
      <c r="BL45" s="4433"/>
      <c r="BM45" s="4434">
        <f t="shared" si="13"/>
        <v>0</v>
      </c>
      <c r="BN45" s="4433"/>
      <c r="BO45" s="4432">
        <f t="shared" si="14"/>
        <v>0</v>
      </c>
      <c r="BP45" s="4433"/>
      <c r="BQ45" s="4455">
        <f t="shared" si="15"/>
        <v>0</v>
      </c>
      <c r="BR45" s="4433"/>
      <c r="BS45" s="4434">
        <f t="shared" si="16"/>
        <v>0</v>
      </c>
      <c r="BT45" s="4431"/>
      <c r="BU45" s="4431">
        <f t="shared" si="17"/>
        <v>0</v>
      </c>
      <c r="BV45" s="4433"/>
      <c r="BW45" s="4434">
        <f t="shared" si="18"/>
        <v>0</v>
      </c>
      <c r="BX45" s="4433"/>
      <c r="BY45" s="4433">
        <f t="shared" si="19"/>
        <v>0</v>
      </c>
      <c r="BZ45" s="4433"/>
      <c r="CA45" s="4434">
        <f t="shared" si="20"/>
        <v>0</v>
      </c>
      <c r="CB45" s="4433"/>
      <c r="CC45" s="4432">
        <f t="shared" si="21"/>
        <v>0</v>
      </c>
      <c r="CD45" s="4431"/>
      <c r="CE45" s="4431">
        <f t="shared" si="22"/>
        <v>0</v>
      </c>
      <c r="CF45" s="4433"/>
      <c r="CG45" s="4434">
        <f t="shared" si="23"/>
        <v>0</v>
      </c>
      <c r="CH45" s="4433"/>
      <c r="CI45" s="4433">
        <f t="shared" si="24"/>
        <v>0</v>
      </c>
      <c r="CJ45" s="4433"/>
      <c r="CK45" s="4434">
        <f t="shared" si="25"/>
        <v>0</v>
      </c>
      <c r="CL45" s="4431"/>
      <c r="CM45" s="4431">
        <f t="shared" si="26"/>
        <v>0</v>
      </c>
      <c r="CN45" s="4433"/>
      <c r="CO45" s="4434">
        <f t="shared" si="27"/>
        <v>0</v>
      </c>
      <c r="CP45" s="4433"/>
      <c r="CQ45" s="4432">
        <f t="shared" si="28"/>
        <v>0</v>
      </c>
      <c r="CR45" s="4433"/>
      <c r="CS45" s="4455">
        <f t="shared" si="29"/>
        <v>0</v>
      </c>
      <c r="CT45" s="4431"/>
      <c r="CU45" s="4457">
        <f t="shared" si="30"/>
        <v>0</v>
      </c>
      <c r="CV45" s="6719"/>
      <c r="CW45" s="6719"/>
    </row>
    <row r="46" spans="1:101" x14ac:dyDescent="0.25">
      <c r="A46" s="4485"/>
      <c r="B46" s="4485"/>
      <c r="C46" s="4485"/>
      <c r="D46" s="4485"/>
      <c r="E46" s="5304" t="s">
        <v>1878</v>
      </c>
      <c r="F46" s="4466"/>
      <c r="G46" s="4428"/>
      <c r="H46" s="4428"/>
      <c r="I46" s="4473"/>
      <c r="J46" s="4428"/>
      <c r="K46" s="4428"/>
      <c r="L46" s="4428"/>
      <c r="M46" s="4473"/>
      <c r="N46" s="4472"/>
      <c r="O46" s="4424"/>
      <c r="P46" s="4424"/>
      <c r="Q46" s="4428"/>
      <c r="R46" s="4473"/>
      <c r="S46" s="4428"/>
      <c r="T46" s="4428"/>
      <c r="U46" s="4471"/>
      <c r="V46" s="4473"/>
      <c r="W46" s="4472"/>
      <c r="X46" s="4440"/>
      <c r="Y46" s="4439"/>
      <c r="Z46" s="4428">
        <v>95</v>
      </c>
      <c r="AA46" s="4428"/>
      <c r="AB46" s="4473">
        <f t="shared" si="0"/>
        <v>95</v>
      </c>
      <c r="AC46" s="4428"/>
      <c r="AD46" s="4428"/>
      <c r="AE46" s="4428"/>
      <c r="AF46" s="4438">
        <f t="shared" si="1"/>
        <v>0</v>
      </c>
      <c r="AG46" s="4472">
        <f t="shared" si="2"/>
        <v>95</v>
      </c>
      <c r="AH46" s="4424"/>
      <c r="AI46" s="4424"/>
      <c r="AJ46" s="4424"/>
      <c r="AK46" s="4473">
        <f t="shared" si="3"/>
        <v>0</v>
      </c>
      <c r="AL46" s="4428">
        <v>104</v>
      </c>
      <c r="AM46" s="4428"/>
      <c r="AN46" s="4471"/>
      <c r="AO46" s="4473">
        <f t="shared" si="31"/>
        <v>104</v>
      </c>
      <c r="AP46" s="4472">
        <f t="shared" si="32"/>
        <v>104</v>
      </c>
      <c r="AQ46" s="4437">
        <f t="shared" si="33"/>
        <v>199</v>
      </c>
      <c r="AR46" s="4427">
        <f t="shared" si="6"/>
        <v>199</v>
      </c>
      <c r="AS46" s="4470"/>
      <c r="AT46" s="4430"/>
      <c r="AU46" s="4436">
        <f t="shared" si="34"/>
        <v>0</v>
      </c>
      <c r="AV46" s="5462"/>
      <c r="AW46" s="4434">
        <f t="shared" si="35"/>
        <v>95</v>
      </c>
      <c r="AX46" s="5666"/>
      <c r="AY46" s="4433">
        <f t="shared" si="36"/>
        <v>95</v>
      </c>
      <c r="AZ46" s="5666"/>
      <c r="BA46" s="4434">
        <f t="shared" si="7"/>
        <v>0</v>
      </c>
      <c r="BB46" s="5667"/>
      <c r="BC46" s="4432">
        <f t="shared" si="8"/>
        <v>95</v>
      </c>
      <c r="BD46" s="5666"/>
      <c r="BE46" s="4434">
        <f t="shared" si="9"/>
        <v>0</v>
      </c>
      <c r="BF46" s="5668"/>
      <c r="BG46" s="4431">
        <f t="shared" si="10"/>
        <v>95</v>
      </c>
      <c r="BH46" s="5666"/>
      <c r="BI46" s="4434">
        <f t="shared" si="11"/>
        <v>0</v>
      </c>
      <c r="BJ46" s="5668"/>
      <c r="BK46" s="4431">
        <f t="shared" si="12"/>
        <v>95</v>
      </c>
      <c r="BL46" s="5666"/>
      <c r="BM46" s="4434">
        <f t="shared" si="13"/>
        <v>0</v>
      </c>
      <c r="BN46" s="5666"/>
      <c r="BO46" s="4432">
        <f t="shared" si="14"/>
        <v>0</v>
      </c>
      <c r="BP46" s="5666"/>
      <c r="BQ46" s="4455">
        <f t="shared" si="15"/>
        <v>95</v>
      </c>
      <c r="BR46" s="5666"/>
      <c r="BS46" s="4434">
        <f t="shared" si="16"/>
        <v>0</v>
      </c>
      <c r="BT46" s="5668"/>
      <c r="BU46" s="4431">
        <f t="shared" si="17"/>
        <v>95</v>
      </c>
      <c r="BV46" s="5666"/>
      <c r="BW46" s="4434">
        <f t="shared" si="18"/>
        <v>0</v>
      </c>
      <c r="BX46" s="5666"/>
      <c r="BY46" s="4433">
        <f t="shared" si="19"/>
        <v>95</v>
      </c>
      <c r="BZ46" s="5666"/>
      <c r="CA46" s="4434">
        <f t="shared" si="20"/>
        <v>0</v>
      </c>
      <c r="CB46" s="5666"/>
      <c r="CC46" s="4432">
        <f t="shared" si="21"/>
        <v>0</v>
      </c>
      <c r="CD46" s="5668"/>
      <c r="CE46" s="4431">
        <f t="shared" si="22"/>
        <v>95</v>
      </c>
      <c r="CF46" s="5666"/>
      <c r="CG46" s="4434">
        <f t="shared" si="23"/>
        <v>104</v>
      </c>
      <c r="CH46" s="5666"/>
      <c r="CI46" s="4433">
        <f t="shared" si="24"/>
        <v>199</v>
      </c>
      <c r="CJ46" s="5666"/>
      <c r="CK46" s="5666">
        <f t="shared" si="25"/>
        <v>0</v>
      </c>
      <c r="CL46" s="5668"/>
      <c r="CM46" s="5668">
        <f t="shared" si="26"/>
        <v>199</v>
      </c>
      <c r="CN46" s="5666"/>
      <c r="CO46" s="4434">
        <f t="shared" si="27"/>
        <v>0</v>
      </c>
      <c r="CP46" s="5666"/>
      <c r="CQ46" s="4432">
        <f t="shared" si="28"/>
        <v>104</v>
      </c>
      <c r="CR46" s="5666"/>
      <c r="CS46" s="4455">
        <f t="shared" si="29"/>
        <v>104</v>
      </c>
      <c r="CT46" s="5668"/>
      <c r="CU46" s="4457">
        <f t="shared" si="30"/>
        <v>199</v>
      </c>
      <c r="CV46" s="6719"/>
      <c r="CW46" s="6719"/>
    </row>
    <row r="47" spans="1:101" x14ac:dyDescent="0.25">
      <c r="A47" s="4485"/>
      <c r="B47" s="4485"/>
      <c r="C47" s="4485"/>
      <c r="D47" s="4485"/>
      <c r="E47" s="6749" t="s">
        <v>1163</v>
      </c>
      <c r="F47" s="4466"/>
      <c r="G47" s="4428"/>
      <c r="H47" s="4428"/>
      <c r="I47" s="4473"/>
      <c r="J47" s="4428"/>
      <c r="K47" s="4428"/>
      <c r="L47" s="4428"/>
      <c r="M47" s="4473"/>
      <c r="N47" s="4472"/>
      <c r="O47" s="4424"/>
      <c r="P47" s="4424"/>
      <c r="Q47" s="4428"/>
      <c r="R47" s="4473"/>
      <c r="S47" s="4428"/>
      <c r="T47" s="4428"/>
      <c r="U47" s="4471"/>
      <c r="V47" s="4473"/>
      <c r="W47" s="4472"/>
      <c r="X47" s="4440"/>
      <c r="Y47" s="4439"/>
      <c r="Z47" s="4428">
        <v>4524</v>
      </c>
      <c r="AA47" s="4428"/>
      <c r="AB47" s="4473">
        <f t="shared" si="0"/>
        <v>4524</v>
      </c>
      <c r="AC47" s="4428"/>
      <c r="AD47" s="4428"/>
      <c r="AE47" s="4428"/>
      <c r="AF47" s="4438">
        <f t="shared" si="1"/>
        <v>0</v>
      </c>
      <c r="AG47" s="4472">
        <f t="shared" si="2"/>
        <v>4524</v>
      </c>
      <c r="AH47" s="4424"/>
      <c r="AI47" s="4424"/>
      <c r="AJ47" s="4424"/>
      <c r="AK47" s="4473">
        <f t="shared" si="3"/>
        <v>0</v>
      </c>
      <c r="AL47" s="4428"/>
      <c r="AM47" s="4428"/>
      <c r="AN47" s="4471"/>
      <c r="AO47" s="4473">
        <f t="shared" si="31"/>
        <v>0</v>
      </c>
      <c r="AP47" s="4472">
        <f t="shared" si="32"/>
        <v>0</v>
      </c>
      <c r="AQ47" s="4437">
        <f t="shared" si="33"/>
        <v>4524</v>
      </c>
      <c r="AR47" s="4427">
        <f t="shared" si="6"/>
        <v>4524</v>
      </c>
      <c r="AS47" s="4470"/>
      <c r="AT47" s="4430"/>
      <c r="AU47" s="4436">
        <f t="shared" si="34"/>
        <v>0</v>
      </c>
      <c r="AV47" s="5462"/>
      <c r="AW47" s="4434">
        <f t="shared" si="35"/>
        <v>4524</v>
      </c>
      <c r="AX47" s="5666"/>
      <c r="AY47" s="4433">
        <f t="shared" si="36"/>
        <v>4524</v>
      </c>
      <c r="AZ47" s="5666"/>
      <c r="BA47" s="4434">
        <f t="shared" si="7"/>
        <v>0</v>
      </c>
      <c r="BB47" s="5667"/>
      <c r="BC47" s="4432">
        <f t="shared" si="8"/>
        <v>4524</v>
      </c>
      <c r="BD47" s="5666"/>
      <c r="BE47" s="4434">
        <f t="shared" si="9"/>
        <v>0</v>
      </c>
      <c r="BF47" s="5668"/>
      <c r="BG47" s="4431">
        <f t="shared" si="10"/>
        <v>4524</v>
      </c>
      <c r="BH47" s="5666"/>
      <c r="BI47" s="4434">
        <f t="shared" si="11"/>
        <v>0</v>
      </c>
      <c r="BJ47" s="5668"/>
      <c r="BK47" s="4431">
        <f t="shared" si="12"/>
        <v>4524</v>
      </c>
      <c r="BL47" s="5666"/>
      <c r="BM47" s="4434">
        <f t="shared" si="13"/>
        <v>0</v>
      </c>
      <c r="BN47" s="5666"/>
      <c r="BO47" s="4432">
        <f t="shared" si="14"/>
        <v>0</v>
      </c>
      <c r="BP47" s="5666"/>
      <c r="BQ47" s="4455">
        <f t="shared" si="15"/>
        <v>4524</v>
      </c>
      <c r="BR47" s="5666"/>
      <c r="BS47" s="4434">
        <f t="shared" si="16"/>
        <v>0</v>
      </c>
      <c r="BT47" s="5668"/>
      <c r="BU47" s="4431">
        <f t="shared" si="17"/>
        <v>4524</v>
      </c>
      <c r="BV47" s="5666"/>
      <c r="BW47" s="4434">
        <f t="shared" si="18"/>
        <v>0</v>
      </c>
      <c r="BX47" s="5666"/>
      <c r="BY47" s="4433">
        <f t="shared" si="19"/>
        <v>4524</v>
      </c>
      <c r="BZ47" s="5666"/>
      <c r="CA47" s="4434">
        <f t="shared" si="20"/>
        <v>0</v>
      </c>
      <c r="CB47" s="5666"/>
      <c r="CC47" s="4432">
        <f t="shared" si="21"/>
        <v>0</v>
      </c>
      <c r="CD47" s="5668"/>
      <c r="CE47" s="4431">
        <f t="shared" si="22"/>
        <v>4524</v>
      </c>
      <c r="CF47" s="5666"/>
      <c r="CG47" s="4434">
        <f t="shared" si="23"/>
        <v>0</v>
      </c>
      <c r="CH47" s="5666"/>
      <c r="CI47" s="4433">
        <f t="shared" si="24"/>
        <v>4524</v>
      </c>
      <c r="CJ47" s="5666"/>
      <c r="CK47" s="5666">
        <f t="shared" si="25"/>
        <v>0</v>
      </c>
      <c r="CL47" s="5668"/>
      <c r="CM47" s="5668">
        <f t="shared" si="26"/>
        <v>4524</v>
      </c>
      <c r="CN47" s="5666"/>
      <c r="CO47" s="4434">
        <f t="shared" si="27"/>
        <v>0</v>
      </c>
      <c r="CP47" s="5666"/>
      <c r="CQ47" s="4432">
        <f t="shared" si="28"/>
        <v>0</v>
      </c>
      <c r="CR47" s="5666"/>
      <c r="CS47" s="4455">
        <f t="shared" si="29"/>
        <v>0</v>
      </c>
      <c r="CT47" s="5668"/>
      <c r="CU47" s="4457">
        <f t="shared" si="30"/>
        <v>4524</v>
      </c>
      <c r="CV47" s="6719"/>
      <c r="CW47" s="6719"/>
    </row>
    <row r="48" spans="1:101" x14ac:dyDescent="0.25">
      <c r="A48" s="4485"/>
      <c r="B48" s="4485"/>
      <c r="C48" s="4485"/>
      <c r="D48" s="4485"/>
      <c r="E48" s="5304" t="s">
        <v>1883</v>
      </c>
      <c r="F48" s="4466">
        <v>1424</v>
      </c>
      <c r="G48" s="4428"/>
      <c r="H48" s="4428"/>
      <c r="I48" s="4473"/>
      <c r="J48" s="4428"/>
      <c r="K48" s="4428"/>
      <c r="L48" s="4428"/>
      <c r="M48" s="4473"/>
      <c r="N48" s="4472"/>
      <c r="O48" s="4424"/>
      <c r="P48" s="4424"/>
      <c r="Q48" s="4428"/>
      <c r="R48" s="4473"/>
      <c r="S48" s="4428"/>
      <c r="T48" s="4428"/>
      <c r="U48" s="4471"/>
      <c r="V48" s="4473"/>
      <c r="W48" s="4472"/>
      <c r="X48" s="4440"/>
      <c r="Y48" s="4439"/>
      <c r="Z48" s="4428"/>
      <c r="AA48" s="4428">
        <v>2558</v>
      </c>
      <c r="AB48" s="4473">
        <f t="shared" si="0"/>
        <v>2558</v>
      </c>
      <c r="AC48" s="4428"/>
      <c r="AD48" s="4428"/>
      <c r="AE48" s="4428">
        <v>235</v>
      </c>
      <c r="AF48" s="4438">
        <f t="shared" si="1"/>
        <v>235</v>
      </c>
      <c r="AG48" s="4472">
        <f t="shared" si="2"/>
        <v>2793</v>
      </c>
      <c r="AH48" s="4424">
        <v>717</v>
      </c>
      <c r="AI48" s="4424">
        <v>731.09799999999996</v>
      </c>
      <c r="AJ48" s="4424">
        <v>247</v>
      </c>
      <c r="AK48" s="4473">
        <f t="shared" si="3"/>
        <v>1695.098</v>
      </c>
      <c r="AL48" s="4428"/>
      <c r="AM48" s="4428"/>
      <c r="AN48" s="4471">
        <v>1388.278</v>
      </c>
      <c r="AO48" s="4473">
        <f t="shared" si="31"/>
        <v>1388.278</v>
      </c>
      <c r="AP48" s="4472">
        <f t="shared" si="32"/>
        <v>3083.3760000000002</v>
      </c>
      <c r="AQ48" s="4437">
        <f t="shared" si="33"/>
        <v>5876.3760000000002</v>
      </c>
      <c r="AR48" s="4427">
        <f t="shared" si="6"/>
        <v>5876.3760000000002</v>
      </c>
      <c r="AS48" s="4470"/>
      <c r="AT48" s="4430"/>
      <c r="AU48" s="4436">
        <f t="shared" ref="AU48:AU49" si="92">+F48+Y48</f>
        <v>1424</v>
      </c>
      <c r="AV48" s="5462"/>
      <c r="AW48" s="4434">
        <f t="shared" ref="AW48" si="93">+G48+Z48</f>
        <v>0</v>
      </c>
      <c r="AX48" s="5666"/>
      <c r="AY48" s="4433">
        <f t="shared" ref="AY48" si="94">AU48+AW48</f>
        <v>1424</v>
      </c>
      <c r="AZ48" s="5666"/>
      <c r="BA48" s="4434">
        <f t="shared" ref="BA48" si="95">+H48+AA48</f>
        <v>2558</v>
      </c>
      <c r="BB48" s="5667"/>
      <c r="BC48" s="4432">
        <f t="shared" ref="BC48" si="96">AU48+AW48+BA48</f>
        <v>3982</v>
      </c>
      <c r="BD48" s="5666"/>
      <c r="BE48" s="4434">
        <f t="shared" si="9"/>
        <v>0</v>
      </c>
      <c r="BF48" s="5668"/>
      <c r="BG48" s="4431">
        <f t="shared" si="10"/>
        <v>3982</v>
      </c>
      <c r="BH48" s="5666"/>
      <c r="BI48" s="4434">
        <f t="shared" si="11"/>
        <v>0</v>
      </c>
      <c r="BJ48" s="5668"/>
      <c r="BK48" s="4431">
        <f t="shared" si="12"/>
        <v>3982</v>
      </c>
      <c r="BL48" s="5666"/>
      <c r="BM48" s="4434">
        <f t="shared" si="13"/>
        <v>235</v>
      </c>
      <c r="BN48" s="5666"/>
      <c r="BO48" s="4432">
        <f t="shared" si="14"/>
        <v>235</v>
      </c>
      <c r="BP48" s="5666"/>
      <c r="BQ48" s="4455">
        <f t="shared" si="15"/>
        <v>4217</v>
      </c>
      <c r="BR48" s="5666"/>
      <c r="BS48" s="4434">
        <f t="shared" si="16"/>
        <v>717</v>
      </c>
      <c r="BT48" s="5668"/>
      <c r="BU48" s="4431">
        <f t="shared" si="17"/>
        <v>4934</v>
      </c>
      <c r="BV48" s="5666"/>
      <c r="BW48" s="4434">
        <f t="shared" si="18"/>
        <v>731.09799999999996</v>
      </c>
      <c r="BX48" s="5666"/>
      <c r="BY48" s="4433">
        <f t="shared" si="19"/>
        <v>5665.098</v>
      </c>
      <c r="BZ48" s="5666"/>
      <c r="CA48" s="4434">
        <f t="shared" si="20"/>
        <v>247</v>
      </c>
      <c r="CB48" s="5666"/>
      <c r="CC48" s="4432">
        <f t="shared" si="21"/>
        <v>1695.098</v>
      </c>
      <c r="CD48" s="5668"/>
      <c r="CE48" s="4431">
        <f t="shared" si="22"/>
        <v>5912.098</v>
      </c>
      <c r="CF48" s="5666"/>
      <c r="CG48" s="4434">
        <f t="shared" si="23"/>
        <v>0</v>
      </c>
      <c r="CH48" s="5666"/>
      <c r="CI48" s="4433">
        <f t="shared" si="24"/>
        <v>5912.098</v>
      </c>
      <c r="CJ48" s="5666"/>
      <c r="CK48" s="5666">
        <f t="shared" si="25"/>
        <v>0</v>
      </c>
      <c r="CL48" s="5668"/>
      <c r="CM48" s="5668">
        <f t="shared" si="26"/>
        <v>5912.098</v>
      </c>
      <c r="CN48" s="5666"/>
      <c r="CO48" s="4434">
        <f t="shared" si="27"/>
        <v>1388.278</v>
      </c>
      <c r="CP48" s="5666"/>
      <c r="CQ48" s="4432">
        <f t="shared" si="28"/>
        <v>1388.278</v>
      </c>
      <c r="CR48" s="5666"/>
      <c r="CS48" s="4455">
        <f t="shared" si="29"/>
        <v>3083.3760000000002</v>
      </c>
      <c r="CT48" s="5668"/>
      <c r="CU48" s="4457">
        <f t="shared" si="30"/>
        <v>7300.3760000000002</v>
      </c>
      <c r="CV48" s="6719"/>
      <c r="CW48" s="6719"/>
    </row>
    <row r="49" spans="1:105" x14ac:dyDescent="0.25">
      <c r="A49" s="4485"/>
      <c r="B49" s="4485"/>
      <c r="C49" s="4485"/>
      <c r="D49" s="4485"/>
      <c r="E49" s="5304" t="s">
        <v>2340</v>
      </c>
      <c r="F49" s="4466">
        <v>134</v>
      </c>
      <c r="G49" s="4428"/>
      <c r="H49" s="4428"/>
      <c r="I49" s="4473"/>
      <c r="J49" s="4428"/>
      <c r="K49" s="4428"/>
      <c r="L49" s="4428"/>
      <c r="M49" s="4473"/>
      <c r="N49" s="4472"/>
      <c r="O49" s="4424"/>
      <c r="P49" s="4424"/>
      <c r="Q49" s="4428"/>
      <c r="R49" s="4473"/>
      <c r="S49" s="4428"/>
      <c r="T49" s="4428"/>
      <c r="U49" s="4471"/>
      <c r="V49" s="4473"/>
      <c r="W49" s="4472"/>
      <c r="X49" s="4440"/>
      <c r="Y49" s="4439"/>
      <c r="Z49" s="4428"/>
      <c r="AA49" s="4428"/>
      <c r="AB49" s="4473"/>
      <c r="AC49" s="4428"/>
      <c r="AD49" s="4428"/>
      <c r="AE49" s="4428"/>
      <c r="AF49" s="4438"/>
      <c r="AG49" s="4472"/>
      <c r="AH49" s="4424"/>
      <c r="AI49" s="4424"/>
      <c r="AJ49" s="4424"/>
      <c r="AK49" s="4473"/>
      <c r="AL49" s="4428"/>
      <c r="AM49" s="4428"/>
      <c r="AN49" s="4471"/>
      <c r="AO49" s="4473"/>
      <c r="AP49" s="4472"/>
      <c r="AQ49" s="4437"/>
      <c r="AR49" s="4427"/>
      <c r="AS49" s="4470"/>
      <c r="AT49" s="4430"/>
      <c r="AU49" s="4436">
        <f t="shared" si="92"/>
        <v>134</v>
      </c>
      <c r="AV49" s="6911"/>
      <c r="AW49" s="7623"/>
      <c r="AX49" s="7623"/>
      <c r="AY49" s="7623"/>
      <c r="AZ49" s="7623"/>
      <c r="BA49" s="7623"/>
      <c r="BB49" s="7624"/>
      <c r="BC49" s="7624"/>
      <c r="BD49" s="7623"/>
      <c r="BE49" s="7623"/>
      <c r="BF49" s="7625"/>
      <c r="BG49" s="7625"/>
      <c r="BH49" s="7623"/>
      <c r="BI49" s="7623"/>
      <c r="BJ49" s="7625"/>
      <c r="BK49" s="7625"/>
      <c r="BL49" s="7623"/>
      <c r="BM49" s="7623"/>
      <c r="BN49" s="7623"/>
      <c r="BO49" s="7624"/>
      <c r="BP49" s="7623"/>
      <c r="BQ49" s="7626"/>
      <c r="BR49" s="7623"/>
      <c r="BS49" s="7623"/>
      <c r="BT49" s="7625"/>
      <c r="BU49" s="7625"/>
      <c r="BV49" s="7623"/>
      <c r="BW49" s="7623"/>
      <c r="BX49" s="7623"/>
      <c r="BY49" s="7623"/>
      <c r="BZ49" s="7623"/>
      <c r="CA49" s="7623"/>
      <c r="CB49" s="7623"/>
      <c r="CC49" s="7624"/>
      <c r="CD49" s="7625"/>
      <c r="CE49" s="7625"/>
      <c r="CF49" s="7623"/>
      <c r="CG49" s="7623"/>
      <c r="CH49" s="7623"/>
      <c r="CI49" s="7623"/>
      <c r="CJ49" s="7623"/>
      <c r="CK49" s="7623"/>
      <c r="CL49" s="7625"/>
      <c r="CM49" s="7625"/>
      <c r="CN49" s="7623"/>
      <c r="CO49" s="7623"/>
      <c r="CP49" s="7623"/>
      <c r="CQ49" s="7624"/>
      <c r="CR49" s="7623"/>
      <c r="CS49" s="7626"/>
      <c r="CT49" s="7625"/>
      <c r="CU49" s="7627"/>
      <c r="CV49" s="6719"/>
      <c r="CW49" s="6719"/>
    </row>
    <row r="50" spans="1:105" x14ac:dyDescent="0.25">
      <c r="A50" s="4485"/>
      <c r="B50" s="4485"/>
      <c r="C50" s="4485"/>
      <c r="D50" s="4485"/>
      <c r="E50" s="5304" t="s">
        <v>1826</v>
      </c>
      <c r="F50" s="4466">
        <v>6435</v>
      </c>
      <c r="G50" s="4428"/>
      <c r="H50" s="4428"/>
      <c r="I50" s="4473"/>
      <c r="J50" s="4428"/>
      <c r="K50" s="4428"/>
      <c r="L50" s="4428"/>
      <c r="M50" s="4473"/>
      <c r="N50" s="4472"/>
      <c r="O50" s="4424"/>
      <c r="P50" s="4424"/>
      <c r="Q50" s="4428"/>
      <c r="R50" s="4473"/>
      <c r="S50" s="4428"/>
      <c r="T50" s="4428"/>
      <c r="U50" s="4471"/>
      <c r="V50" s="4473"/>
      <c r="W50" s="4472"/>
      <c r="X50" s="4440"/>
      <c r="Y50" s="4439">
        <v>55</v>
      </c>
      <c r="Z50" s="4428">
        <v>8</v>
      </c>
      <c r="AA50" s="4428">
        <v>2</v>
      </c>
      <c r="AB50" s="4473">
        <f t="shared" si="0"/>
        <v>65</v>
      </c>
      <c r="AC50" s="4428">
        <v>76</v>
      </c>
      <c r="AD50" s="4428">
        <v>14.798</v>
      </c>
      <c r="AE50" s="4428">
        <v>2913</v>
      </c>
      <c r="AF50" s="4438">
        <f t="shared" si="1"/>
        <v>3003.7979999999998</v>
      </c>
      <c r="AG50" s="4472">
        <f t="shared" si="2"/>
        <v>3068.7979999999998</v>
      </c>
      <c r="AH50" s="4424">
        <v>21</v>
      </c>
      <c r="AI50" s="4424">
        <v>31.850999999999999</v>
      </c>
      <c r="AJ50" s="4424">
        <v>2079</v>
      </c>
      <c r="AK50" s="4473">
        <f t="shared" si="3"/>
        <v>2131.8510000000001</v>
      </c>
      <c r="AL50" s="4428">
        <v>38</v>
      </c>
      <c r="AM50" s="4428">
        <v>51.024000000000001</v>
      </c>
      <c r="AN50" s="4471">
        <v>70.158000000000001</v>
      </c>
      <c r="AO50" s="4473">
        <f t="shared" si="31"/>
        <v>159.18200000000002</v>
      </c>
      <c r="AP50" s="4472">
        <f t="shared" si="32"/>
        <v>2291.0330000000004</v>
      </c>
      <c r="AQ50" s="4437">
        <f t="shared" si="33"/>
        <v>5359.8309999999992</v>
      </c>
      <c r="AR50" s="4427">
        <f t="shared" si="6"/>
        <v>5359.8309999999992</v>
      </c>
      <c r="AS50" s="4470"/>
      <c r="AT50" s="4430"/>
      <c r="AU50" s="4436">
        <f t="shared" si="34"/>
        <v>6490</v>
      </c>
      <c r="AV50" s="4435"/>
      <c r="AW50" s="4434">
        <f t="shared" si="35"/>
        <v>8</v>
      </c>
      <c r="AX50" s="4433"/>
      <c r="AY50" s="4433">
        <f t="shared" si="36"/>
        <v>6498</v>
      </c>
      <c r="AZ50" s="4433"/>
      <c r="BA50" s="4434">
        <f t="shared" si="7"/>
        <v>2</v>
      </c>
      <c r="BB50" s="4432"/>
      <c r="BC50" s="4432">
        <f t="shared" si="8"/>
        <v>6500</v>
      </c>
      <c r="BD50" s="4433"/>
      <c r="BE50" s="4434">
        <f t="shared" si="9"/>
        <v>76</v>
      </c>
      <c r="BF50" s="4431"/>
      <c r="BG50" s="4431">
        <f t="shared" si="10"/>
        <v>6576</v>
      </c>
      <c r="BH50" s="4433"/>
      <c r="BI50" s="4434">
        <f t="shared" si="11"/>
        <v>14.798</v>
      </c>
      <c r="BJ50" s="4431"/>
      <c r="BK50" s="4431">
        <f t="shared" si="12"/>
        <v>6590.7979999999998</v>
      </c>
      <c r="BL50" s="4433"/>
      <c r="BM50" s="4434">
        <f t="shared" si="13"/>
        <v>2913</v>
      </c>
      <c r="BN50" s="4433"/>
      <c r="BO50" s="4432">
        <f t="shared" si="14"/>
        <v>3003.7979999999998</v>
      </c>
      <c r="BP50" s="4433"/>
      <c r="BQ50" s="4455">
        <f t="shared" si="15"/>
        <v>9503.7979999999989</v>
      </c>
      <c r="BR50" s="4433"/>
      <c r="BS50" s="4434">
        <f t="shared" si="16"/>
        <v>21</v>
      </c>
      <c r="BT50" s="4431"/>
      <c r="BU50" s="4431">
        <f t="shared" si="17"/>
        <v>9524.7979999999989</v>
      </c>
      <c r="BV50" s="4433"/>
      <c r="BW50" s="4434">
        <f t="shared" si="18"/>
        <v>31.850999999999999</v>
      </c>
      <c r="BX50" s="4433"/>
      <c r="BY50" s="4433">
        <f t="shared" si="19"/>
        <v>9556.6489999999994</v>
      </c>
      <c r="BZ50" s="4433"/>
      <c r="CA50" s="4434">
        <f t="shared" si="20"/>
        <v>2079</v>
      </c>
      <c r="CB50" s="4433"/>
      <c r="CC50" s="4432">
        <f t="shared" si="21"/>
        <v>2131.8510000000001</v>
      </c>
      <c r="CD50" s="4431"/>
      <c r="CE50" s="4431">
        <f t="shared" si="22"/>
        <v>11635.648999999999</v>
      </c>
      <c r="CF50" s="4433"/>
      <c r="CG50" s="4434">
        <f t="shared" si="23"/>
        <v>38</v>
      </c>
      <c r="CH50" s="4433"/>
      <c r="CI50" s="4433">
        <f t="shared" si="24"/>
        <v>11673.648999999999</v>
      </c>
      <c r="CJ50" s="4433"/>
      <c r="CK50" s="4434">
        <f t="shared" si="25"/>
        <v>51.024000000000001</v>
      </c>
      <c r="CL50" s="4431"/>
      <c r="CM50" s="4431">
        <f t="shared" si="26"/>
        <v>11724.672999999999</v>
      </c>
      <c r="CN50" s="4433"/>
      <c r="CO50" s="4434">
        <f t="shared" si="27"/>
        <v>70.158000000000001</v>
      </c>
      <c r="CP50" s="4433"/>
      <c r="CQ50" s="4432">
        <f t="shared" si="28"/>
        <v>159.18200000000002</v>
      </c>
      <c r="CR50" s="4433"/>
      <c r="CS50" s="4455">
        <f t="shared" si="29"/>
        <v>2291.0330000000004</v>
      </c>
      <c r="CT50" s="4431"/>
      <c r="CU50" s="4457">
        <f t="shared" si="30"/>
        <v>11794.830999999998</v>
      </c>
      <c r="CV50" s="6719"/>
      <c r="CW50" s="6719"/>
    </row>
    <row r="51" spans="1:105" x14ac:dyDescent="0.25">
      <c r="A51" s="4485"/>
      <c r="B51" s="4485"/>
      <c r="C51" s="4485"/>
      <c r="D51" s="4485"/>
      <c r="E51" s="5304" t="s">
        <v>1165</v>
      </c>
      <c r="F51" s="4466">
        <v>5751</v>
      </c>
      <c r="G51" s="4428"/>
      <c r="H51" s="4428"/>
      <c r="I51" s="4473"/>
      <c r="J51" s="4428"/>
      <c r="K51" s="4428"/>
      <c r="L51" s="4428"/>
      <c r="M51" s="4473"/>
      <c r="N51" s="4472"/>
      <c r="O51" s="4424"/>
      <c r="P51" s="4424"/>
      <c r="Q51" s="4428"/>
      <c r="R51" s="4473"/>
      <c r="S51" s="4428"/>
      <c r="T51" s="4428"/>
      <c r="U51" s="4471"/>
      <c r="V51" s="4473"/>
      <c r="W51" s="4472"/>
      <c r="X51" s="4440"/>
      <c r="Y51" s="4439">
        <v>4250</v>
      </c>
      <c r="Z51" s="4428">
        <v>3397</v>
      </c>
      <c r="AA51" s="4428">
        <v>941</v>
      </c>
      <c r="AB51" s="4473">
        <f t="shared" si="0"/>
        <v>8588</v>
      </c>
      <c r="AC51" s="4428">
        <v>2372</v>
      </c>
      <c r="AD51" s="4428">
        <v>3259.788</v>
      </c>
      <c r="AE51" s="4428">
        <v>3979</v>
      </c>
      <c r="AF51" s="4438">
        <f t="shared" si="1"/>
        <v>9610.7880000000005</v>
      </c>
      <c r="AG51" s="4472">
        <f t="shared" si="2"/>
        <v>18198.788</v>
      </c>
      <c r="AH51" s="4424">
        <v>4522</v>
      </c>
      <c r="AI51" s="4424">
        <v>7502.0290000000005</v>
      </c>
      <c r="AJ51" s="4424">
        <v>1665</v>
      </c>
      <c r="AK51" s="4473">
        <f t="shared" si="3"/>
        <v>13689.029</v>
      </c>
      <c r="AL51" s="4428">
        <v>1909</v>
      </c>
      <c r="AM51" s="4428">
        <v>471.97199999999998</v>
      </c>
      <c r="AN51" s="4471">
        <v>3484.5140000000001</v>
      </c>
      <c r="AO51" s="4473">
        <f t="shared" si="31"/>
        <v>5865.4859999999999</v>
      </c>
      <c r="AP51" s="4472">
        <f t="shared" si="32"/>
        <v>19554.514999999999</v>
      </c>
      <c r="AQ51" s="4437">
        <f t="shared" si="33"/>
        <v>37753.303</v>
      </c>
      <c r="AR51" s="4427">
        <f t="shared" si="6"/>
        <v>37753.303</v>
      </c>
      <c r="AS51" s="4470"/>
      <c r="AT51" s="4430"/>
      <c r="AU51" s="4436">
        <f t="shared" si="34"/>
        <v>10001</v>
      </c>
      <c r="AV51" s="4435"/>
      <c r="AW51" s="4434">
        <f t="shared" si="35"/>
        <v>3397</v>
      </c>
      <c r="AX51" s="4433"/>
      <c r="AY51" s="4433">
        <f t="shared" si="36"/>
        <v>13398</v>
      </c>
      <c r="AZ51" s="4433"/>
      <c r="BA51" s="4434">
        <f t="shared" si="7"/>
        <v>941</v>
      </c>
      <c r="BB51" s="4432"/>
      <c r="BC51" s="4432">
        <f t="shared" si="8"/>
        <v>14339</v>
      </c>
      <c r="BD51" s="4433"/>
      <c r="BE51" s="4434">
        <f t="shared" si="9"/>
        <v>2372</v>
      </c>
      <c r="BF51" s="4431"/>
      <c r="BG51" s="4431">
        <f t="shared" si="10"/>
        <v>16711</v>
      </c>
      <c r="BH51" s="4433"/>
      <c r="BI51" s="4434">
        <f t="shared" si="11"/>
        <v>3259.788</v>
      </c>
      <c r="BJ51" s="4431"/>
      <c r="BK51" s="4431">
        <f t="shared" si="12"/>
        <v>19970.788</v>
      </c>
      <c r="BL51" s="4433"/>
      <c r="BM51" s="4434">
        <f t="shared" si="13"/>
        <v>3979</v>
      </c>
      <c r="BN51" s="4433"/>
      <c r="BO51" s="4432">
        <f t="shared" si="14"/>
        <v>9610.7880000000005</v>
      </c>
      <c r="BP51" s="4433"/>
      <c r="BQ51" s="4455">
        <f t="shared" si="15"/>
        <v>23949.788</v>
      </c>
      <c r="BR51" s="4433"/>
      <c r="BS51" s="4434">
        <f t="shared" si="16"/>
        <v>4522</v>
      </c>
      <c r="BT51" s="4431"/>
      <c r="BU51" s="4431">
        <f t="shared" si="17"/>
        <v>28471.788</v>
      </c>
      <c r="BV51" s="4433"/>
      <c r="BW51" s="4434">
        <f t="shared" si="18"/>
        <v>7502.0290000000005</v>
      </c>
      <c r="BX51" s="4433"/>
      <c r="BY51" s="4433">
        <f t="shared" si="19"/>
        <v>35973.817000000003</v>
      </c>
      <c r="BZ51" s="4433"/>
      <c r="CA51" s="4434">
        <f t="shared" si="20"/>
        <v>1665</v>
      </c>
      <c r="CB51" s="4433"/>
      <c r="CC51" s="4432">
        <f t="shared" si="21"/>
        <v>13689.029</v>
      </c>
      <c r="CD51" s="4431"/>
      <c r="CE51" s="4431">
        <f t="shared" si="22"/>
        <v>37638.817000000003</v>
      </c>
      <c r="CF51" s="4433"/>
      <c r="CG51" s="4434">
        <f t="shared" si="23"/>
        <v>1909</v>
      </c>
      <c r="CH51" s="4433"/>
      <c r="CI51" s="4433">
        <f t="shared" si="24"/>
        <v>39547.817000000003</v>
      </c>
      <c r="CJ51" s="4433"/>
      <c r="CK51" s="4434">
        <f t="shared" si="25"/>
        <v>471.97199999999998</v>
      </c>
      <c r="CL51" s="4431"/>
      <c r="CM51" s="4431">
        <f t="shared" si="26"/>
        <v>40019.789000000004</v>
      </c>
      <c r="CN51" s="4433"/>
      <c r="CO51" s="4434">
        <f t="shared" si="27"/>
        <v>3484.5140000000001</v>
      </c>
      <c r="CP51" s="4433"/>
      <c r="CQ51" s="4432">
        <f t="shared" si="28"/>
        <v>5865.4859999999999</v>
      </c>
      <c r="CR51" s="4433"/>
      <c r="CS51" s="4455">
        <f t="shared" si="29"/>
        <v>19554.514999999999</v>
      </c>
      <c r="CT51" s="4431"/>
      <c r="CU51" s="4457">
        <f t="shared" si="30"/>
        <v>43504.303000000007</v>
      </c>
      <c r="CV51" s="6719"/>
      <c r="CW51" s="6719"/>
    </row>
    <row r="52" spans="1:105" x14ac:dyDescent="0.25">
      <c r="A52" s="4485"/>
      <c r="B52" s="4485"/>
      <c r="C52" s="4485"/>
      <c r="D52" s="4485"/>
      <c r="E52" s="5304" t="s">
        <v>1885</v>
      </c>
      <c r="F52" s="4466"/>
      <c r="G52" s="4428"/>
      <c r="H52" s="4428"/>
      <c r="I52" s="4473"/>
      <c r="J52" s="4428"/>
      <c r="K52" s="4428"/>
      <c r="L52" s="4428"/>
      <c r="M52" s="4473"/>
      <c r="N52" s="4472"/>
      <c r="O52" s="4424"/>
      <c r="P52" s="4424"/>
      <c r="Q52" s="4428"/>
      <c r="R52" s="4473"/>
      <c r="S52" s="4428"/>
      <c r="T52" s="4428"/>
      <c r="U52" s="4471"/>
      <c r="V52" s="4473"/>
      <c r="W52" s="4472"/>
      <c r="X52" s="4440"/>
      <c r="Y52" s="4439">
        <v>79251</v>
      </c>
      <c r="Z52" s="4428">
        <v>81649</v>
      </c>
      <c r="AA52" s="4428">
        <v>80983</v>
      </c>
      <c r="AB52" s="4473">
        <f t="shared" si="0"/>
        <v>241883</v>
      </c>
      <c r="AC52" s="4428">
        <v>91217</v>
      </c>
      <c r="AD52" s="4428">
        <v>79737.966</v>
      </c>
      <c r="AE52" s="4428">
        <v>79038</v>
      </c>
      <c r="AF52" s="4438">
        <f t="shared" si="1"/>
        <v>249992.96600000001</v>
      </c>
      <c r="AG52" s="4472">
        <f t="shared" si="2"/>
        <v>491875.96600000001</v>
      </c>
      <c r="AH52" s="4424">
        <v>51911</v>
      </c>
      <c r="AI52" s="4424">
        <v>72468.641000000003</v>
      </c>
      <c r="AJ52" s="4424">
        <v>78143</v>
      </c>
      <c r="AK52" s="4473">
        <f t="shared" si="3"/>
        <v>202522.641</v>
      </c>
      <c r="AL52" s="4428">
        <v>86921</v>
      </c>
      <c r="AM52" s="4428">
        <v>77169.547999999995</v>
      </c>
      <c r="AN52" s="4471">
        <v>93369.668000000005</v>
      </c>
      <c r="AO52" s="4473">
        <f t="shared" si="31"/>
        <v>257460.21600000001</v>
      </c>
      <c r="AP52" s="4472">
        <f t="shared" si="32"/>
        <v>459982.85700000002</v>
      </c>
      <c r="AQ52" s="4437">
        <f t="shared" si="33"/>
        <v>951858.82300000009</v>
      </c>
      <c r="AR52" s="4427">
        <f t="shared" si="6"/>
        <v>951858.82300000009</v>
      </c>
      <c r="AS52" s="4470"/>
      <c r="AT52" s="4430"/>
      <c r="AU52" s="4436">
        <f t="shared" si="34"/>
        <v>79251</v>
      </c>
      <c r="AV52" s="4435"/>
      <c r="AW52" s="4434">
        <f t="shared" si="35"/>
        <v>81649</v>
      </c>
      <c r="AX52" s="4433"/>
      <c r="AY52" s="4433">
        <f t="shared" si="36"/>
        <v>160900</v>
      </c>
      <c r="AZ52" s="4433"/>
      <c r="BA52" s="4434">
        <f t="shared" si="7"/>
        <v>80983</v>
      </c>
      <c r="BB52" s="4432"/>
      <c r="BC52" s="4432">
        <f t="shared" si="8"/>
        <v>241883</v>
      </c>
      <c r="BD52" s="4433"/>
      <c r="BE52" s="4434">
        <f t="shared" si="9"/>
        <v>91217</v>
      </c>
      <c r="BF52" s="4431"/>
      <c r="BG52" s="4431">
        <f t="shared" si="10"/>
        <v>333100</v>
      </c>
      <c r="BH52" s="4433"/>
      <c r="BI52" s="4434">
        <f t="shared" si="11"/>
        <v>79737.966</v>
      </c>
      <c r="BJ52" s="4431"/>
      <c r="BK52" s="4431">
        <f t="shared" si="12"/>
        <v>412837.96600000001</v>
      </c>
      <c r="BL52" s="4433"/>
      <c r="BM52" s="4434">
        <f t="shared" si="13"/>
        <v>79038</v>
      </c>
      <c r="BN52" s="4433"/>
      <c r="BO52" s="4432">
        <f t="shared" si="14"/>
        <v>249992.96600000001</v>
      </c>
      <c r="BP52" s="4433"/>
      <c r="BQ52" s="4455">
        <f t="shared" si="15"/>
        <v>491875.96600000001</v>
      </c>
      <c r="BR52" s="4433"/>
      <c r="BS52" s="4434">
        <f t="shared" si="16"/>
        <v>51911</v>
      </c>
      <c r="BT52" s="4431"/>
      <c r="BU52" s="4431">
        <f t="shared" si="17"/>
        <v>543786.96600000001</v>
      </c>
      <c r="BV52" s="4433"/>
      <c r="BW52" s="4434">
        <f t="shared" si="18"/>
        <v>72468.641000000003</v>
      </c>
      <c r="BX52" s="4433"/>
      <c r="BY52" s="4433">
        <f t="shared" si="19"/>
        <v>616255.60700000008</v>
      </c>
      <c r="BZ52" s="4433"/>
      <c r="CA52" s="4434">
        <f t="shared" si="20"/>
        <v>78143</v>
      </c>
      <c r="CB52" s="4433"/>
      <c r="CC52" s="4432">
        <f t="shared" si="21"/>
        <v>202522.641</v>
      </c>
      <c r="CD52" s="4431"/>
      <c r="CE52" s="4431">
        <f t="shared" si="22"/>
        <v>694398.60700000008</v>
      </c>
      <c r="CF52" s="4433"/>
      <c r="CG52" s="4434">
        <f t="shared" si="23"/>
        <v>86921</v>
      </c>
      <c r="CH52" s="4433"/>
      <c r="CI52" s="4433">
        <f t="shared" si="24"/>
        <v>781319.60700000008</v>
      </c>
      <c r="CJ52" s="4433"/>
      <c r="CK52" s="4434">
        <f t="shared" si="25"/>
        <v>77169.547999999995</v>
      </c>
      <c r="CL52" s="4431"/>
      <c r="CM52" s="4431">
        <f t="shared" si="26"/>
        <v>858489.15500000003</v>
      </c>
      <c r="CN52" s="4433"/>
      <c r="CO52" s="4434">
        <f t="shared" si="27"/>
        <v>93369.668000000005</v>
      </c>
      <c r="CP52" s="4433"/>
      <c r="CQ52" s="4432">
        <f t="shared" si="28"/>
        <v>257460.21600000001</v>
      </c>
      <c r="CR52" s="4433"/>
      <c r="CS52" s="4455">
        <f t="shared" si="29"/>
        <v>459982.85700000002</v>
      </c>
      <c r="CT52" s="4431"/>
      <c r="CU52" s="4457">
        <f t="shared" si="30"/>
        <v>951858.82300000009</v>
      </c>
      <c r="CV52" s="6719"/>
      <c r="CW52" s="6719"/>
    </row>
    <row r="53" spans="1:105" x14ac:dyDescent="0.25">
      <c r="A53" s="4485"/>
      <c r="B53" s="4485"/>
      <c r="C53" s="4485"/>
      <c r="D53" s="4485"/>
      <c r="E53" s="5304" t="s">
        <v>1886</v>
      </c>
      <c r="F53" s="4466">
        <v>249</v>
      </c>
      <c r="G53" s="4428"/>
      <c r="H53" s="4428"/>
      <c r="I53" s="4473"/>
      <c r="J53" s="4428"/>
      <c r="K53" s="4428"/>
      <c r="L53" s="4428"/>
      <c r="M53" s="4473"/>
      <c r="N53" s="4472"/>
      <c r="O53" s="4424"/>
      <c r="P53" s="4424"/>
      <c r="Q53" s="4428"/>
      <c r="R53" s="4473"/>
      <c r="S53" s="4428"/>
      <c r="T53" s="4428"/>
      <c r="U53" s="4471"/>
      <c r="V53" s="4473"/>
      <c r="W53" s="4472"/>
      <c r="X53" s="4440"/>
      <c r="Y53" s="4439">
        <v>1012</v>
      </c>
      <c r="Z53" s="4428">
        <v>543</v>
      </c>
      <c r="AA53" s="4428">
        <v>1824</v>
      </c>
      <c r="AB53" s="4473">
        <f t="shared" si="0"/>
        <v>3379</v>
      </c>
      <c r="AC53" s="4428">
        <v>152</v>
      </c>
      <c r="AD53" s="4428">
        <v>1295.8820000000001</v>
      </c>
      <c r="AE53" s="4428">
        <v>2106</v>
      </c>
      <c r="AF53" s="4438">
        <f t="shared" si="1"/>
        <v>3553.8820000000001</v>
      </c>
      <c r="AG53" s="4472">
        <f t="shared" si="2"/>
        <v>6932.8819999999996</v>
      </c>
      <c r="AH53" s="4424">
        <v>1977</v>
      </c>
      <c r="AI53" s="4424">
        <v>1709.7080000000001</v>
      </c>
      <c r="AJ53" s="4424">
        <v>1807</v>
      </c>
      <c r="AK53" s="4473">
        <f t="shared" si="3"/>
        <v>5493.7080000000005</v>
      </c>
      <c r="AL53" s="4428">
        <v>415</v>
      </c>
      <c r="AM53" s="4428">
        <v>297.64</v>
      </c>
      <c r="AN53" s="4471">
        <v>529.37400000000002</v>
      </c>
      <c r="AO53" s="4473">
        <f t="shared" si="31"/>
        <v>1242.0140000000001</v>
      </c>
      <c r="AP53" s="4472">
        <f t="shared" si="32"/>
        <v>6735.7220000000007</v>
      </c>
      <c r="AQ53" s="4437">
        <f t="shared" si="33"/>
        <v>13668.603999999999</v>
      </c>
      <c r="AR53" s="4427">
        <f t="shared" si="6"/>
        <v>13668.603999999999</v>
      </c>
      <c r="AS53" s="4470"/>
      <c r="AT53" s="4430"/>
      <c r="AU53" s="4436">
        <f t="shared" si="34"/>
        <v>1261</v>
      </c>
      <c r="AV53" s="4435"/>
      <c r="AW53" s="4434">
        <f t="shared" si="35"/>
        <v>543</v>
      </c>
      <c r="AX53" s="4433"/>
      <c r="AY53" s="4433">
        <f t="shared" si="36"/>
        <v>1804</v>
      </c>
      <c r="AZ53" s="4433"/>
      <c r="BA53" s="4434">
        <f t="shared" si="7"/>
        <v>1824</v>
      </c>
      <c r="BB53" s="4432"/>
      <c r="BC53" s="4432">
        <f t="shared" si="8"/>
        <v>3628</v>
      </c>
      <c r="BD53" s="4433"/>
      <c r="BE53" s="4434">
        <f t="shared" si="9"/>
        <v>152</v>
      </c>
      <c r="BF53" s="4431"/>
      <c r="BG53" s="4431">
        <f t="shared" si="10"/>
        <v>3780</v>
      </c>
      <c r="BH53" s="4433"/>
      <c r="BI53" s="4434">
        <f t="shared" si="11"/>
        <v>1295.8820000000001</v>
      </c>
      <c r="BJ53" s="4431"/>
      <c r="BK53" s="4431">
        <f t="shared" si="12"/>
        <v>5075.8819999999996</v>
      </c>
      <c r="BL53" s="4433"/>
      <c r="BM53" s="4434">
        <f t="shared" si="13"/>
        <v>2106</v>
      </c>
      <c r="BN53" s="4433"/>
      <c r="BO53" s="4432">
        <f t="shared" si="14"/>
        <v>3553.8820000000001</v>
      </c>
      <c r="BP53" s="4433"/>
      <c r="BQ53" s="4455">
        <f t="shared" si="15"/>
        <v>7181.8819999999996</v>
      </c>
      <c r="BR53" s="4433"/>
      <c r="BS53" s="4434">
        <f t="shared" si="16"/>
        <v>1977</v>
      </c>
      <c r="BT53" s="4431"/>
      <c r="BU53" s="4431">
        <f t="shared" si="17"/>
        <v>9158.8819999999996</v>
      </c>
      <c r="BV53" s="4433"/>
      <c r="BW53" s="4434">
        <f t="shared" si="18"/>
        <v>1709.7080000000001</v>
      </c>
      <c r="BX53" s="4433"/>
      <c r="BY53" s="4433">
        <f t="shared" si="19"/>
        <v>10868.59</v>
      </c>
      <c r="BZ53" s="4433"/>
      <c r="CA53" s="4434">
        <f t="shared" si="20"/>
        <v>1807</v>
      </c>
      <c r="CB53" s="4433"/>
      <c r="CC53" s="4432">
        <f t="shared" si="21"/>
        <v>5493.7080000000005</v>
      </c>
      <c r="CD53" s="4431"/>
      <c r="CE53" s="4431">
        <f t="shared" si="22"/>
        <v>12675.59</v>
      </c>
      <c r="CF53" s="4433"/>
      <c r="CG53" s="4434">
        <f t="shared" si="23"/>
        <v>415</v>
      </c>
      <c r="CH53" s="4433"/>
      <c r="CI53" s="4433">
        <f t="shared" si="24"/>
        <v>13090.59</v>
      </c>
      <c r="CJ53" s="4433"/>
      <c r="CK53" s="4434">
        <f t="shared" si="25"/>
        <v>297.64</v>
      </c>
      <c r="CL53" s="4431"/>
      <c r="CM53" s="4431">
        <f t="shared" si="26"/>
        <v>13388.23</v>
      </c>
      <c r="CN53" s="4433"/>
      <c r="CO53" s="4434">
        <f t="shared" si="27"/>
        <v>529.37400000000002</v>
      </c>
      <c r="CP53" s="4433"/>
      <c r="CQ53" s="4432">
        <f t="shared" si="28"/>
        <v>1242.0140000000001</v>
      </c>
      <c r="CR53" s="4433"/>
      <c r="CS53" s="4455">
        <f t="shared" si="29"/>
        <v>6735.7220000000007</v>
      </c>
      <c r="CT53" s="4431"/>
      <c r="CU53" s="4457">
        <f t="shared" si="30"/>
        <v>13917.603999999999</v>
      </c>
      <c r="CV53" s="6719"/>
      <c r="CW53" s="6719"/>
    </row>
    <row r="54" spans="1:105" x14ac:dyDescent="0.25">
      <c r="A54" s="4485"/>
      <c r="B54" s="4485"/>
      <c r="C54" s="4485"/>
      <c r="D54" s="4485"/>
      <c r="E54" s="5304" t="s">
        <v>1368</v>
      </c>
      <c r="F54" s="4466"/>
      <c r="G54" s="4428"/>
      <c r="H54" s="4428"/>
      <c r="I54" s="4473"/>
      <c r="J54" s="4428"/>
      <c r="K54" s="4428"/>
      <c r="L54" s="4428"/>
      <c r="M54" s="4473"/>
      <c r="N54" s="4472"/>
      <c r="O54" s="4424"/>
      <c r="P54" s="4424"/>
      <c r="Q54" s="4428"/>
      <c r="R54" s="4473"/>
      <c r="S54" s="4428"/>
      <c r="T54" s="4428"/>
      <c r="U54" s="4471"/>
      <c r="V54" s="4473"/>
      <c r="W54" s="4472"/>
      <c r="X54" s="4440"/>
      <c r="Y54" s="4439"/>
      <c r="Z54" s="4428"/>
      <c r="AA54" s="4428">
        <v>1209</v>
      </c>
      <c r="AB54" s="4473">
        <f t="shared" si="0"/>
        <v>1209</v>
      </c>
      <c r="AC54" s="4428">
        <v>211</v>
      </c>
      <c r="AD54" s="4428">
        <v>205.05799999999999</v>
      </c>
      <c r="AE54" s="4428"/>
      <c r="AF54" s="4438">
        <f t="shared" si="1"/>
        <v>416.05799999999999</v>
      </c>
      <c r="AG54" s="4472">
        <f t="shared" si="2"/>
        <v>1625.058</v>
      </c>
      <c r="AH54" s="4424"/>
      <c r="AI54" s="4424">
        <v>204.096</v>
      </c>
      <c r="AJ54" s="4424"/>
      <c r="AK54" s="4473">
        <f t="shared" si="3"/>
        <v>204.096</v>
      </c>
      <c r="AL54" s="4428"/>
      <c r="AM54" s="4428"/>
      <c r="AN54" s="4471"/>
      <c r="AO54" s="4473">
        <f t="shared" si="31"/>
        <v>0</v>
      </c>
      <c r="AP54" s="4472">
        <f t="shared" si="32"/>
        <v>204.096</v>
      </c>
      <c r="AQ54" s="4437">
        <f t="shared" si="33"/>
        <v>1829.154</v>
      </c>
      <c r="AR54" s="4427">
        <f t="shared" si="6"/>
        <v>1829.154</v>
      </c>
      <c r="AS54" s="4470"/>
      <c r="AT54" s="4430"/>
      <c r="AU54" s="4436">
        <f t="shared" ref="AU54" si="97">+F54+Y54</f>
        <v>0</v>
      </c>
      <c r="AV54" s="4435"/>
      <c r="AW54" s="4434">
        <f t="shared" ref="AW54" si="98">+G54+Z54</f>
        <v>0</v>
      </c>
      <c r="AX54" s="4433"/>
      <c r="AY54" s="4433">
        <f t="shared" ref="AY54" si="99">AU54+AW54</f>
        <v>0</v>
      </c>
      <c r="AZ54" s="4433"/>
      <c r="BA54" s="4434">
        <f t="shared" ref="BA54" si="100">+H54+AA54</f>
        <v>1209</v>
      </c>
      <c r="BB54" s="4432"/>
      <c r="BC54" s="4432">
        <f t="shared" ref="BC54" si="101">AU54+AW54+BA54</f>
        <v>1209</v>
      </c>
      <c r="BD54" s="4433"/>
      <c r="BE54" s="4434">
        <f t="shared" si="9"/>
        <v>211</v>
      </c>
      <c r="BF54" s="4431"/>
      <c r="BG54" s="4431">
        <f t="shared" si="10"/>
        <v>1420</v>
      </c>
      <c r="BH54" s="4433"/>
      <c r="BI54" s="4434">
        <f t="shared" si="11"/>
        <v>205.05799999999999</v>
      </c>
      <c r="BJ54" s="4431"/>
      <c r="BK54" s="4431">
        <f t="shared" si="12"/>
        <v>1625.058</v>
      </c>
      <c r="BL54" s="4433"/>
      <c r="BM54" s="4434">
        <f t="shared" si="13"/>
        <v>0</v>
      </c>
      <c r="BN54" s="4433"/>
      <c r="BO54" s="4432">
        <f t="shared" si="14"/>
        <v>416.05799999999999</v>
      </c>
      <c r="BP54" s="4433"/>
      <c r="BQ54" s="4455">
        <f t="shared" si="15"/>
        <v>1625.058</v>
      </c>
      <c r="BR54" s="4433"/>
      <c r="BS54" s="4434">
        <f t="shared" si="16"/>
        <v>0</v>
      </c>
      <c r="BT54" s="4431"/>
      <c r="BU54" s="4431">
        <f t="shared" si="17"/>
        <v>1625.058</v>
      </c>
      <c r="BV54" s="4433"/>
      <c r="BW54" s="4434">
        <f t="shared" si="18"/>
        <v>204.096</v>
      </c>
      <c r="BX54" s="4433"/>
      <c r="BY54" s="4433">
        <f t="shared" si="19"/>
        <v>1829.154</v>
      </c>
      <c r="BZ54" s="4433"/>
      <c r="CA54" s="4434">
        <f t="shared" si="20"/>
        <v>0</v>
      </c>
      <c r="CB54" s="4433"/>
      <c r="CC54" s="4432">
        <f t="shared" si="21"/>
        <v>204.096</v>
      </c>
      <c r="CD54" s="4431"/>
      <c r="CE54" s="4431">
        <f t="shared" si="22"/>
        <v>1829.154</v>
      </c>
      <c r="CF54" s="4433"/>
      <c r="CG54" s="4434">
        <f t="shared" si="23"/>
        <v>0</v>
      </c>
      <c r="CH54" s="4433"/>
      <c r="CI54" s="4433">
        <f t="shared" si="24"/>
        <v>1829.154</v>
      </c>
      <c r="CJ54" s="4433"/>
      <c r="CK54" s="4434">
        <f t="shared" si="25"/>
        <v>0</v>
      </c>
      <c r="CL54" s="4431"/>
      <c r="CM54" s="4431">
        <f t="shared" si="26"/>
        <v>1829.154</v>
      </c>
      <c r="CN54" s="4433"/>
      <c r="CO54" s="4434">
        <f t="shared" si="27"/>
        <v>0</v>
      </c>
      <c r="CP54" s="4433"/>
      <c r="CQ54" s="4432">
        <f t="shared" si="28"/>
        <v>0</v>
      </c>
      <c r="CR54" s="4433"/>
      <c r="CS54" s="4455">
        <f t="shared" si="29"/>
        <v>204.096</v>
      </c>
      <c r="CT54" s="4431"/>
      <c r="CU54" s="4457">
        <f t="shared" si="30"/>
        <v>1829.154</v>
      </c>
      <c r="CV54" s="6719"/>
      <c r="CW54" s="6719"/>
    </row>
    <row r="55" spans="1:105" x14ac:dyDescent="0.25">
      <c r="A55" s="4485"/>
      <c r="B55" s="4485"/>
      <c r="C55" s="4485"/>
      <c r="D55" s="4485"/>
      <c r="E55" s="5304" t="s">
        <v>1964</v>
      </c>
      <c r="F55" s="4466"/>
      <c r="G55" s="4428"/>
      <c r="H55" s="4428"/>
      <c r="I55" s="4473"/>
      <c r="J55" s="4428"/>
      <c r="K55" s="4428"/>
      <c r="L55" s="4428"/>
      <c r="M55" s="4473"/>
      <c r="N55" s="4472"/>
      <c r="O55" s="4424"/>
      <c r="P55" s="4424"/>
      <c r="Q55" s="4428"/>
      <c r="R55" s="4473"/>
      <c r="S55" s="4428"/>
      <c r="T55" s="4428"/>
      <c r="U55" s="4471"/>
      <c r="V55" s="4473"/>
      <c r="W55" s="4472"/>
      <c r="X55" s="4440"/>
      <c r="Y55" s="4439"/>
      <c r="Z55" s="4428">
        <v>302</v>
      </c>
      <c r="AA55" s="4428">
        <v>108</v>
      </c>
      <c r="AB55" s="4473">
        <f t="shared" si="0"/>
        <v>410</v>
      </c>
      <c r="AC55" s="4428"/>
      <c r="AD55" s="4428"/>
      <c r="AE55" s="4428"/>
      <c r="AF55" s="4438">
        <f t="shared" si="1"/>
        <v>0</v>
      </c>
      <c r="AG55" s="4472">
        <f t="shared" si="2"/>
        <v>410</v>
      </c>
      <c r="AH55" s="4424"/>
      <c r="AI55" s="4424"/>
      <c r="AJ55" s="4424"/>
      <c r="AK55" s="4473">
        <f t="shared" si="3"/>
        <v>0</v>
      </c>
      <c r="AL55" s="4428"/>
      <c r="AM55" s="4428"/>
      <c r="AN55" s="4471"/>
      <c r="AO55" s="4473">
        <f t="shared" si="31"/>
        <v>0</v>
      </c>
      <c r="AP55" s="4472">
        <f t="shared" si="32"/>
        <v>0</v>
      </c>
      <c r="AQ55" s="4437">
        <f t="shared" si="33"/>
        <v>410</v>
      </c>
      <c r="AR55" s="4427">
        <f t="shared" si="6"/>
        <v>410</v>
      </c>
      <c r="AS55" s="4470"/>
      <c r="AT55" s="4430"/>
      <c r="AU55" s="4436">
        <f t="shared" si="34"/>
        <v>0</v>
      </c>
      <c r="AV55" s="5462"/>
      <c r="AW55" s="4434">
        <f t="shared" si="35"/>
        <v>302</v>
      </c>
      <c r="AX55" s="5666"/>
      <c r="AY55" s="4433">
        <f t="shared" si="36"/>
        <v>302</v>
      </c>
      <c r="AZ55" s="5666"/>
      <c r="BA55" s="4434">
        <f t="shared" si="7"/>
        <v>108</v>
      </c>
      <c r="BB55" s="5667"/>
      <c r="BC55" s="4432">
        <f t="shared" si="8"/>
        <v>410</v>
      </c>
      <c r="BD55" s="5666"/>
      <c r="BE55" s="4434">
        <f t="shared" si="9"/>
        <v>0</v>
      </c>
      <c r="BF55" s="5668"/>
      <c r="BG55" s="4431">
        <f t="shared" si="10"/>
        <v>410</v>
      </c>
      <c r="BH55" s="5666"/>
      <c r="BI55" s="4434">
        <f t="shared" si="11"/>
        <v>0</v>
      </c>
      <c r="BJ55" s="5668"/>
      <c r="BK55" s="4431">
        <f t="shared" si="12"/>
        <v>410</v>
      </c>
      <c r="BL55" s="5666"/>
      <c r="BM55" s="4434">
        <f t="shared" si="13"/>
        <v>0</v>
      </c>
      <c r="BN55" s="5666"/>
      <c r="BO55" s="4432">
        <f t="shared" si="14"/>
        <v>0</v>
      </c>
      <c r="BP55" s="5666"/>
      <c r="BQ55" s="4455">
        <f t="shared" si="15"/>
        <v>410</v>
      </c>
      <c r="BR55" s="5666"/>
      <c r="BS55" s="4434">
        <f t="shared" si="16"/>
        <v>0</v>
      </c>
      <c r="BT55" s="5668"/>
      <c r="BU55" s="4431">
        <f t="shared" si="17"/>
        <v>410</v>
      </c>
      <c r="BV55" s="5666"/>
      <c r="BW55" s="4434">
        <f t="shared" si="18"/>
        <v>0</v>
      </c>
      <c r="BX55" s="5666"/>
      <c r="BY55" s="4433">
        <f t="shared" si="19"/>
        <v>410</v>
      </c>
      <c r="BZ55" s="5666"/>
      <c r="CA55" s="4434">
        <f t="shared" si="20"/>
        <v>0</v>
      </c>
      <c r="CB55" s="5666"/>
      <c r="CC55" s="4432">
        <f t="shared" si="21"/>
        <v>0</v>
      </c>
      <c r="CD55" s="5668"/>
      <c r="CE55" s="4431">
        <f t="shared" si="22"/>
        <v>410</v>
      </c>
      <c r="CF55" s="5666"/>
      <c r="CG55" s="4434">
        <f t="shared" si="23"/>
        <v>0</v>
      </c>
      <c r="CH55" s="5666"/>
      <c r="CI55" s="4433">
        <f t="shared" si="24"/>
        <v>410</v>
      </c>
      <c r="CJ55" s="5666"/>
      <c r="CK55" s="5666">
        <f t="shared" si="25"/>
        <v>0</v>
      </c>
      <c r="CL55" s="5668"/>
      <c r="CM55" s="5668">
        <f t="shared" si="26"/>
        <v>410</v>
      </c>
      <c r="CN55" s="5666"/>
      <c r="CO55" s="4434">
        <f t="shared" si="27"/>
        <v>0</v>
      </c>
      <c r="CP55" s="5666"/>
      <c r="CQ55" s="4432">
        <f t="shared" si="28"/>
        <v>0</v>
      </c>
      <c r="CR55" s="5666"/>
      <c r="CS55" s="4455">
        <f t="shared" si="29"/>
        <v>0</v>
      </c>
      <c r="CT55" s="5668"/>
      <c r="CU55" s="4457">
        <f t="shared" si="30"/>
        <v>410</v>
      </c>
      <c r="CV55" s="6719"/>
      <c r="CW55" s="6719"/>
      <c r="CY55" s="607"/>
      <c r="CZ55" s="607"/>
      <c r="DA55" s="607"/>
    </row>
    <row r="56" spans="1:105" x14ac:dyDescent="0.25">
      <c r="A56" s="4485"/>
      <c r="B56" s="4485"/>
      <c r="C56" s="4485"/>
      <c r="D56" s="4485"/>
      <c r="E56" s="5304" t="s">
        <v>1366</v>
      </c>
      <c r="F56" s="4466"/>
      <c r="G56" s="4428"/>
      <c r="H56" s="4428"/>
      <c r="I56" s="4473"/>
      <c r="J56" s="4428"/>
      <c r="K56" s="4428"/>
      <c r="L56" s="4428"/>
      <c r="M56" s="4473"/>
      <c r="N56" s="4472"/>
      <c r="O56" s="4424"/>
      <c r="P56" s="4424"/>
      <c r="Q56" s="4428"/>
      <c r="R56" s="4473"/>
      <c r="S56" s="4428"/>
      <c r="T56" s="4428"/>
      <c r="U56" s="4471"/>
      <c r="V56" s="4473"/>
      <c r="W56" s="4472"/>
      <c r="X56" s="4440"/>
      <c r="Y56" s="4439">
        <v>3259</v>
      </c>
      <c r="Z56" s="4428">
        <v>736</v>
      </c>
      <c r="AA56" s="4428">
        <v>1450</v>
      </c>
      <c r="AB56" s="4473">
        <f t="shared" si="0"/>
        <v>5445</v>
      </c>
      <c r="AC56" s="4428">
        <v>1211</v>
      </c>
      <c r="AD56" s="4428">
        <v>4502.82</v>
      </c>
      <c r="AE56" s="4428">
        <v>1693</v>
      </c>
      <c r="AF56" s="4438">
        <f t="shared" si="1"/>
        <v>7406.82</v>
      </c>
      <c r="AG56" s="4472">
        <f t="shared" ref="AG56:AG60" si="102">+AB56+AF56</f>
        <v>12851.82</v>
      </c>
      <c r="AH56" s="4424"/>
      <c r="AI56" s="4424">
        <v>4854.9669999999996</v>
      </c>
      <c r="AJ56" s="4424">
        <v>5995</v>
      </c>
      <c r="AK56" s="4473">
        <f t="shared" si="3"/>
        <v>10849.967000000001</v>
      </c>
      <c r="AL56" s="4428">
        <v>421</v>
      </c>
      <c r="AM56" s="4428"/>
      <c r="AN56" s="4471"/>
      <c r="AO56" s="4473">
        <f t="shared" ref="AO56:AO60" si="103">+AL56+AM56+AN56</f>
        <v>421</v>
      </c>
      <c r="AP56" s="4472">
        <f t="shared" ref="AP56:AP60" si="104">+AK56+AO56</f>
        <v>11270.967000000001</v>
      </c>
      <c r="AQ56" s="4437">
        <f>+AB56+AF56+AK56+AO56</f>
        <v>24122.787</v>
      </c>
      <c r="AR56" s="4427">
        <f t="shared" si="6"/>
        <v>24122.787</v>
      </c>
      <c r="AS56" s="4470"/>
      <c r="AT56" s="4430"/>
      <c r="AU56" s="4436">
        <f t="shared" si="34"/>
        <v>3259</v>
      </c>
      <c r="AV56" s="4435"/>
      <c r="AW56" s="4434">
        <f t="shared" si="35"/>
        <v>736</v>
      </c>
      <c r="AX56" s="4433"/>
      <c r="AY56" s="4433">
        <f t="shared" si="36"/>
        <v>3995</v>
      </c>
      <c r="AZ56" s="4433"/>
      <c r="BA56" s="4434">
        <f t="shared" si="7"/>
        <v>1450</v>
      </c>
      <c r="BB56" s="4432"/>
      <c r="BC56" s="4432">
        <f t="shared" si="8"/>
        <v>5445</v>
      </c>
      <c r="BD56" s="4433"/>
      <c r="BE56" s="4434">
        <f t="shared" si="9"/>
        <v>1211</v>
      </c>
      <c r="BF56" s="4431"/>
      <c r="BG56" s="4431">
        <f t="shared" si="10"/>
        <v>6656</v>
      </c>
      <c r="BH56" s="4433"/>
      <c r="BI56" s="4434">
        <f t="shared" si="11"/>
        <v>4502.82</v>
      </c>
      <c r="BJ56" s="4431"/>
      <c r="BK56" s="4431">
        <f t="shared" si="12"/>
        <v>11158.82</v>
      </c>
      <c r="BL56" s="4433"/>
      <c r="BM56" s="4434">
        <f t="shared" si="13"/>
        <v>1693</v>
      </c>
      <c r="BN56" s="4433"/>
      <c r="BO56" s="4432">
        <f t="shared" si="14"/>
        <v>7406.82</v>
      </c>
      <c r="BP56" s="4433"/>
      <c r="BQ56" s="4455">
        <f t="shared" si="15"/>
        <v>12851.82</v>
      </c>
      <c r="BR56" s="4433"/>
      <c r="BS56" s="4434">
        <f t="shared" si="16"/>
        <v>0</v>
      </c>
      <c r="BT56" s="4431"/>
      <c r="BU56" s="4431">
        <f t="shared" si="17"/>
        <v>12851.82</v>
      </c>
      <c r="BV56" s="4433"/>
      <c r="BW56" s="4434">
        <f t="shared" si="18"/>
        <v>4854.9669999999996</v>
      </c>
      <c r="BX56" s="4433"/>
      <c r="BY56" s="4433">
        <f t="shared" si="19"/>
        <v>17706.787</v>
      </c>
      <c r="BZ56" s="4433"/>
      <c r="CA56" s="4434">
        <f t="shared" si="20"/>
        <v>5995</v>
      </c>
      <c r="CB56" s="4433"/>
      <c r="CC56" s="4432">
        <f t="shared" si="21"/>
        <v>10849.967000000001</v>
      </c>
      <c r="CD56" s="4431"/>
      <c r="CE56" s="4431">
        <f t="shared" si="22"/>
        <v>23701.787</v>
      </c>
      <c r="CF56" s="4433"/>
      <c r="CG56" s="4434">
        <f t="shared" si="23"/>
        <v>421</v>
      </c>
      <c r="CH56" s="4433"/>
      <c r="CI56" s="4433">
        <f t="shared" si="24"/>
        <v>24122.787</v>
      </c>
      <c r="CJ56" s="4433"/>
      <c r="CK56" s="4434">
        <f t="shared" si="25"/>
        <v>0</v>
      </c>
      <c r="CL56" s="4431"/>
      <c r="CM56" s="4431">
        <f t="shared" si="26"/>
        <v>24122.787</v>
      </c>
      <c r="CN56" s="4433"/>
      <c r="CO56" s="4434">
        <f t="shared" si="27"/>
        <v>0</v>
      </c>
      <c r="CP56" s="4433"/>
      <c r="CQ56" s="4432">
        <f t="shared" si="28"/>
        <v>421</v>
      </c>
      <c r="CR56" s="4433"/>
      <c r="CS56" s="4455">
        <f t="shared" si="29"/>
        <v>11270.967000000001</v>
      </c>
      <c r="CT56" s="4431"/>
      <c r="CU56" s="4457">
        <f t="shared" si="30"/>
        <v>24122.787</v>
      </c>
      <c r="CV56" s="6719"/>
      <c r="CW56" s="6719"/>
      <c r="CY56" s="607"/>
      <c r="CZ56" s="607"/>
      <c r="DA56" s="607"/>
    </row>
    <row r="57" spans="1:105" x14ac:dyDescent="0.25">
      <c r="A57" s="4485"/>
      <c r="B57" s="4485"/>
      <c r="C57" s="4485"/>
      <c r="D57" s="4485"/>
      <c r="E57" s="5304" t="s">
        <v>2050</v>
      </c>
      <c r="F57" s="5308"/>
      <c r="G57" s="5309"/>
      <c r="H57" s="5309"/>
      <c r="I57" s="5309"/>
      <c r="J57" s="5309"/>
      <c r="K57" s="5309"/>
      <c r="L57" s="5309"/>
      <c r="M57" s="5309"/>
      <c r="N57" s="5309"/>
      <c r="O57" s="5309"/>
      <c r="P57" s="5309"/>
      <c r="Q57" s="5309"/>
      <c r="R57" s="5309"/>
      <c r="S57" s="5309"/>
      <c r="T57" s="5309"/>
      <c r="U57" s="5310"/>
      <c r="V57" s="5309"/>
      <c r="W57" s="5309"/>
      <c r="X57" s="5311"/>
      <c r="Y57" s="5312"/>
      <c r="Z57" s="5309"/>
      <c r="AA57" s="5309"/>
      <c r="AB57" s="5309"/>
      <c r="AC57" s="5309"/>
      <c r="AD57" s="5309"/>
      <c r="AE57" s="5309">
        <v>182</v>
      </c>
      <c r="AF57" s="5312">
        <f t="shared" ref="AF57" si="105">SUM(AC57:AE57)</f>
        <v>182</v>
      </c>
      <c r="AG57" s="5309">
        <f t="shared" ref="AG57" si="106">+AB57+AF57</f>
        <v>182</v>
      </c>
      <c r="AH57" s="5309"/>
      <c r="AI57" s="5309"/>
      <c r="AJ57" s="5309"/>
      <c r="AK57" s="5309">
        <f t="shared" ref="AK57" si="107">SUM(AH57:AJ57)</f>
        <v>0</v>
      </c>
      <c r="AL57" s="5309"/>
      <c r="AM57" s="5309"/>
      <c r="AN57" s="5310"/>
      <c r="AO57" s="5309">
        <f t="shared" ref="AO57" si="108">+AL57+AM57+AN57</f>
        <v>0</v>
      </c>
      <c r="AP57" s="5309">
        <f t="shared" ref="AP57" si="109">+AK57+AO57</f>
        <v>0</v>
      </c>
      <c r="AQ57" s="5313">
        <f t="shared" ref="AQ57" si="110">+AB57+AF57+AK57+AO57</f>
        <v>182</v>
      </c>
      <c r="AR57" s="5314">
        <f t="shared" ref="AR57" si="111">+X57+AQ57</f>
        <v>182</v>
      </c>
      <c r="AS57" s="4470"/>
      <c r="AT57" s="5315"/>
      <c r="AU57" s="5316">
        <f t="shared" ref="AU57" si="112">+F57+Y57</f>
        <v>0</v>
      </c>
      <c r="AV57" s="5317"/>
      <c r="AW57" s="5318">
        <f t="shared" ref="AW57" si="113">+G57+Z57</f>
        <v>0</v>
      </c>
      <c r="AX57" s="5319"/>
      <c r="AY57" s="5319">
        <f t="shared" ref="AY57" si="114">AU57+AW57</f>
        <v>0</v>
      </c>
      <c r="AZ57" s="5319"/>
      <c r="BA57" s="5318">
        <f t="shared" ref="BA57" si="115">+H57+AA57</f>
        <v>0</v>
      </c>
      <c r="BB57" s="5319"/>
      <c r="BC57" s="5319">
        <f t="shared" ref="BC57" si="116">AU57+AW57+BA57</f>
        <v>0</v>
      </c>
      <c r="BD57" s="5319"/>
      <c r="BE57" s="5318">
        <f t="shared" ref="BE57" si="117">+J57+AC57</f>
        <v>0</v>
      </c>
      <c r="BF57" s="5319"/>
      <c r="BG57" s="5319">
        <f t="shared" ref="BG57" si="118">+BC57+BE57</f>
        <v>0</v>
      </c>
      <c r="BH57" s="5319"/>
      <c r="BI57" s="5318">
        <f t="shared" ref="BI57" si="119">K57+AD57</f>
        <v>0</v>
      </c>
      <c r="BJ57" s="5319"/>
      <c r="BK57" s="5319">
        <f t="shared" ref="BK57" si="120">+BG57+BI57</f>
        <v>0</v>
      </c>
      <c r="BL57" s="5319"/>
      <c r="BM57" s="5318">
        <f t="shared" ref="BM57" si="121">+L57+AE57</f>
        <v>182</v>
      </c>
      <c r="BN57" s="5319"/>
      <c r="BO57" s="5319">
        <f t="shared" ref="BO57" si="122">BE57+BI57+BM57</f>
        <v>182</v>
      </c>
      <c r="BP57" s="5319"/>
      <c r="BQ57" s="5319">
        <f t="shared" ref="BQ57" si="123">BC57+BO57</f>
        <v>182</v>
      </c>
      <c r="BR57" s="5319"/>
      <c r="BS57" s="5318">
        <f t="shared" ref="BS57" si="124">+O57+AH57</f>
        <v>0</v>
      </c>
      <c r="BT57" s="4431"/>
      <c r="BU57" s="4431">
        <f t="shared" ref="BU57" si="125">BQ57+BS57</f>
        <v>182</v>
      </c>
      <c r="BV57" s="5319"/>
      <c r="BW57" s="5318">
        <f t="shared" ref="BW57" si="126">+P57+AI57</f>
        <v>0</v>
      </c>
      <c r="BX57" s="5319"/>
      <c r="BY57" s="5319">
        <f t="shared" ref="BY57" si="127">BU57+BW57</f>
        <v>182</v>
      </c>
      <c r="BZ57" s="5319"/>
      <c r="CA57" s="5318">
        <f t="shared" ref="CA57" si="128">+Q57+AJ57</f>
        <v>0</v>
      </c>
      <c r="CB57" s="5319"/>
      <c r="CC57" s="5319">
        <f t="shared" ref="CC57" si="129">BS57+BW57+CA57</f>
        <v>0</v>
      </c>
      <c r="CD57" s="5319"/>
      <c r="CE57" s="5319">
        <f t="shared" ref="CE57" si="130">BY57+CA57</f>
        <v>182</v>
      </c>
      <c r="CF57" s="5319"/>
      <c r="CG57" s="5318">
        <f t="shared" ref="CG57" si="131">+S57+AL57</f>
        <v>0</v>
      </c>
      <c r="CH57" s="5319"/>
      <c r="CI57" s="5319">
        <f t="shared" si="24"/>
        <v>182</v>
      </c>
      <c r="CJ57" s="5319"/>
      <c r="CK57" s="5318">
        <f t="shared" ref="CK57" si="132">+T57+AM57</f>
        <v>0</v>
      </c>
      <c r="CL57" s="4431"/>
      <c r="CM57" s="4431">
        <f t="shared" ref="CM57" si="133">CI57+CK57</f>
        <v>182</v>
      </c>
      <c r="CN57" s="5319"/>
      <c r="CO57" s="5318">
        <f t="shared" ref="CO57" si="134">+U57+AN57</f>
        <v>0</v>
      </c>
      <c r="CP57" s="5319"/>
      <c r="CQ57" s="5319">
        <f t="shared" ref="CQ57" si="135">CG57+CK57+CO57</f>
        <v>0</v>
      </c>
      <c r="CR57" s="5319"/>
      <c r="CS57" s="5319">
        <f t="shared" ref="CS57" si="136">CC57+CQ57</f>
        <v>0</v>
      </c>
      <c r="CT57" s="5319"/>
      <c r="CU57" s="5320">
        <f t="shared" ref="CU57" si="137">SUM(AU57,AW57,BA57,BE57,BI57,BM57,BS57,BW57,CA57,CG57,CK57,CO57)</f>
        <v>182</v>
      </c>
      <c r="CV57" s="6719"/>
      <c r="CW57" s="6719"/>
      <c r="CY57" s="607"/>
      <c r="CZ57" s="607"/>
      <c r="DA57" s="607"/>
    </row>
    <row r="58" spans="1:105" s="5321" customFormat="1" x14ac:dyDescent="0.25">
      <c r="A58" s="5307"/>
      <c r="B58" s="5307"/>
      <c r="C58" s="5307"/>
      <c r="D58" s="5307"/>
      <c r="E58" s="5304" t="s">
        <v>1882</v>
      </c>
      <c r="F58" s="5308">
        <v>1760</v>
      </c>
      <c r="G58" s="5309"/>
      <c r="H58" s="5309"/>
      <c r="I58" s="5309"/>
      <c r="J58" s="5309"/>
      <c r="K58" s="5309"/>
      <c r="L58" s="5309"/>
      <c r="M58" s="5309"/>
      <c r="N58" s="5309"/>
      <c r="O58" s="5309"/>
      <c r="P58" s="5309"/>
      <c r="Q58" s="5309"/>
      <c r="R58" s="5309"/>
      <c r="S58" s="5309"/>
      <c r="T58" s="5309"/>
      <c r="U58" s="5310"/>
      <c r="V58" s="5309"/>
      <c r="W58" s="5309"/>
      <c r="X58" s="5311"/>
      <c r="Y58" s="5312">
        <v>179</v>
      </c>
      <c r="Z58" s="5309">
        <v>526</v>
      </c>
      <c r="AA58" s="5309">
        <v>150</v>
      </c>
      <c r="AB58" s="5309">
        <f t="shared" si="0"/>
        <v>855</v>
      </c>
      <c r="AC58" s="5309">
        <v>332</v>
      </c>
      <c r="AD58" s="5309">
        <v>610.94600000000003</v>
      </c>
      <c r="AE58" s="5309">
        <v>774</v>
      </c>
      <c r="AF58" s="5312">
        <f t="shared" ref="AF58:AF60" si="138">SUM(AC58:AE58)</f>
        <v>1716.9459999999999</v>
      </c>
      <c r="AG58" s="5309">
        <f t="shared" si="102"/>
        <v>2571.9459999999999</v>
      </c>
      <c r="AH58" s="5309">
        <v>161</v>
      </c>
      <c r="AI58" s="5309">
        <v>188.70699999999999</v>
      </c>
      <c r="AJ58" s="5309">
        <v>157</v>
      </c>
      <c r="AK58" s="5309">
        <f t="shared" si="3"/>
        <v>506.70699999999999</v>
      </c>
      <c r="AL58" s="5309">
        <v>217</v>
      </c>
      <c r="AM58" s="5309">
        <v>80.787999999999997</v>
      </c>
      <c r="AN58" s="5310">
        <v>131.81200000000001</v>
      </c>
      <c r="AO58" s="5309">
        <f t="shared" si="103"/>
        <v>429.6</v>
      </c>
      <c r="AP58" s="5309">
        <f t="shared" si="104"/>
        <v>936.30700000000002</v>
      </c>
      <c r="AQ58" s="5313">
        <f t="shared" ref="AQ58:AQ60" si="139">+AB58+AF58+AK58+AO58</f>
        <v>3508.2529999999997</v>
      </c>
      <c r="AR58" s="5314">
        <f t="shared" ref="AR58:AR60" si="140">+X58+AQ58</f>
        <v>3508.2529999999997</v>
      </c>
      <c r="AS58" s="4470"/>
      <c r="AT58" s="5315"/>
      <c r="AU58" s="5316">
        <f t="shared" si="34"/>
        <v>1939</v>
      </c>
      <c r="AV58" s="5317"/>
      <c r="AW58" s="5318">
        <f t="shared" si="35"/>
        <v>526</v>
      </c>
      <c r="AX58" s="5319"/>
      <c r="AY58" s="5319">
        <f t="shared" si="36"/>
        <v>2465</v>
      </c>
      <c r="AZ58" s="5319"/>
      <c r="BA58" s="5318">
        <f t="shared" ref="BA58" si="141">+H58+AA58</f>
        <v>150</v>
      </c>
      <c r="BB58" s="5319"/>
      <c r="BC58" s="5319">
        <f t="shared" ref="BC58" si="142">AU58+AW58+BA58</f>
        <v>2615</v>
      </c>
      <c r="BD58" s="5319"/>
      <c r="BE58" s="5318">
        <f t="shared" ref="BE58" si="143">+J58+AC58</f>
        <v>332</v>
      </c>
      <c r="BF58" s="5319"/>
      <c r="BG58" s="5319">
        <f t="shared" ref="BG58" si="144">+BC58+BE58</f>
        <v>2947</v>
      </c>
      <c r="BH58" s="5319"/>
      <c r="BI58" s="5318">
        <f t="shared" ref="BI58" si="145">K58+AD58</f>
        <v>610.94600000000003</v>
      </c>
      <c r="BJ58" s="5319"/>
      <c r="BK58" s="5319">
        <f t="shared" ref="BK58" si="146">+BG58+BI58</f>
        <v>3557.9459999999999</v>
      </c>
      <c r="BL58" s="5319"/>
      <c r="BM58" s="5318">
        <f t="shared" ref="BM58" si="147">+L58+AE58</f>
        <v>774</v>
      </c>
      <c r="BN58" s="5319"/>
      <c r="BO58" s="5319">
        <f t="shared" ref="BO58" si="148">BE58+BI58+BM58</f>
        <v>1716.9459999999999</v>
      </c>
      <c r="BP58" s="5319"/>
      <c r="BQ58" s="5319">
        <f t="shared" ref="BQ58" si="149">BC58+BO58</f>
        <v>4331.9459999999999</v>
      </c>
      <c r="BR58" s="5319"/>
      <c r="BS58" s="5318">
        <f t="shared" ref="BS58" si="150">+O58+AH58</f>
        <v>161</v>
      </c>
      <c r="BT58" s="4431"/>
      <c r="BU58" s="4431">
        <f t="shared" ref="BU58" si="151">BQ58+BS58</f>
        <v>4492.9459999999999</v>
      </c>
      <c r="BV58" s="5319"/>
      <c r="BW58" s="5318">
        <f t="shared" ref="BW58" si="152">+P58+AI58</f>
        <v>188.70699999999999</v>
      </c>
      <c r="BX58" s="5319"/>
      <c r="BY58" s="5319">
        <f t="shared" ref="BY58" si="153">BU58+BW58</f>
        <v>4681.6530000000002</v>
      </c>
      <c r="BZ58" s="5319"/>
      <c r="CA58" s="5318">
        <f t="shared" ref="CA58" si="154">+Q58+AJ58</f>
        <v>157</v>
      </c>
      <c r="CB58" s="5319"/>
      <c r="CC58" s="5319">
        <f t="shared" ref="CC58" si="155">BS58+BW58+CA58</f>
        <v>506.70699999999999</v>
      </c>
      <c r="CD58" s="5319"/>
      <c r="CE58" s="5319">
        <f t="shared" ref="CE58" si="156">BY58+CA58</f>
        <v>4838.6530000000002</v>
      </c>
      <c r="CF58" s="5319"/>
      <c r="CG58" s="5318">
        <f t="shared" ref="CG58" si="157">+S58+AL58</f>
        <v>217</v>
      </c>
      <c r="CH58" s="5319"/>
      <c r="CI58" s="5319">
        <f t="shared" si="24"/>
        <v>5055.6530000000002</v>
      </c>
      <c r="CJ58" s="5319"/>
      <c r="CK58" s="5318">
        <f t="shared" ref="CK58" si="158">+T58+AM58</f>
        <v>80.787999999999997</v>
      </c>
      <c r="CL58" s="4431"/>
      <c r="CM58" s="4431">
        <f t="shared" ref="CM58" si="159">CI58+CK58</f>
        <v>5136.4409999999998</v>
      </c>
      <c r="CN58" s="5319"/>
      <c r="CO58" s="5318">
        <f t="shared" ref="CO58" si="160">+U58+AN58</f>
        <v>131.81200000000001</v>
      </c>
      <c r="CP58" s="5319"/>
      <c r="CQ58" s="5319">
        <f t="shared" ref="CQ58" si="161">CG58+CK58+CO58</f>
        <v>429.6</v>
      </c>
      <c r="CR58" s="5319"/>
      <c r="CS58" s="5319">
        <f t="shared" ref="CS58" si="162">CC58+CQ58</f>
        <v>936.30700000000002</v>
      </c>
      <c r="CT58" s="5319"/>
      <c r="CU58" s="5320">
        <f t="shared" ref="CU58" si="163">SUM(AU58,AW58,BA58,BE58,BI58,BM58,BS58,BW58,CA58,CG58,CK58,CO58)</f>
        <v>5268.2529999999997</v>
      </c>
      <c r="CV58" s="6719"/>
      <c r="CW58" s="6719"/>
      <c r="CX58" s="607"/>
      <c r="CY58" s="1074"/>
      <c r="CZ58" s="1074"/>
      <c r="DA58" s="1074"/>
    </row>
    <row r="59" spans="1:105" s="5321" customFormat="1" ht="16.5" thickBot="1" x14ac:dyDescent="0.3">
      <c r="A59" s="5307"/>
      <c r="B59" s="5307"/>
      <c r="C59" s="5307"/>
      <c r="D59" s="5307"/>
      <c r="E59" s="5304" t="s">
        <v>1289</v>
      </c>
      <c r="F59" s="5308">
        <v>1764</v>
      </c>
      <c r="G59" s="5309"/>
      <c r="H59" s="5309"/>
      <c r="I59" s="5309"/>
      <c r="J59" s="5309"/>
      <c r="K59" s="5309"/>
      <c r="L59" s="5309"/>
      <c r="M59" s="5309"/>
      <c r="N59" s="5309"/>
      <c r="O59" s="5309"/>
      <c r="P59" s="5309"/>
      <c r="Q59" s="5309"/>
      <c r="R59" s="5309"/>
      <c r="S59" s="5309"/>
      <c r="T59" s="5309"/>
      <c r="U59" s="5310"/>
      <c r="V59" s="5309"/>
      <c r="W59" s="5309"/>
      <c r="X59" s="5311"/>
      <c r="Y59" s="5312">
        <v>582</v>
      </c>
      <c r="Z59" s="5309">
        <v>930</v>
      </c>
      <c r="AA59" s="5309">
        <v>444</v>
      </c>
      <c r="AB59" s="5309">
        <f t="shared" si="0"/>
        <v>1956</v>
      </c>
      <c r="AC59" s="5309">
        <v>630</v>
      </c>
      <c r="AD59" s="5309">
        <v>507.36</v>
      </c>
      <c r="AE59" s="5309">
        <v>564</v>
      </c>
      <c r="AF59" s="5312">
        <f t="shared" si="138"/>
        <v>1701.3600000000001</v>
      </c>
      <c r="AG59" s="5309">
        <f t="shared" si="102"/>
        <v>3657.36</v>
      </c>
      <c r="AH59" s="5309">
        <v>334</v>
      </c>
      <c r="AI59" s="5309">
        <v>411.45600000000002</v>
      </c>
      <c r="AJ59" s="5309">
        <v>729</v>
      </c>
      <c r="AK59" s="5309">
        <f t="shared" si="3"/>
        <v>1474.4560000000001</v>
      </c>
      <c r="AL59" s="5309">
        <v>638</v>
      </c>
      <c r="AM59" s="5309">
        <v>372.05</v>
      </c>
      <c r="AN59" s="5310">
        <v>684.572</v>
      </c>
      <c r="AO59" s="5309">
        <f t="shared" si="103"/>
        <v>1694.6219999999998</v>
      </c>
      <c r="AP59" s="5309">
        <f t="shared" si="104"/>
        <v>3169.078</v>
      </c>
      <c r="AQ59" s="5313">
        <f t="shared" si="139"/>
        <v>6826.4380000000001</v>
      </c>
      <c r="AR59" s="5314">
        <f t="shared" si="140"/>
        <v>6826.4380000000001</v>
      </c>
      <c r="AS59" s="4470"/>
      <c r="AT59" s="5315"/>
      <c r="AU59" s="5316">
        <f t="shared" si="34"/>
        <v>2346</v>
      </c>
      <c r="AV59" s="5317"/>
      <c r="AW59" s="5318">
        <f t="shared" si="35"/>
        <v>930</v>
      </c>
      <c r="AX59" s="5319"/>
      <c r="AY59" s="5319">
        <f t="shared" si="36"/>
        <v>3276</v>
      </c>
      <c r="AZ59" s="5319"/>
      <c r="BA59" s="5318">
        <f>+H59+AA59</f>
        <v>444</v>
      </c>
      <c r="BB59" s="5319"/>
      <c r="BC59" s="5319">
        <f>AU59+AW59+BA59</f>
        <v>3720</v>
      </c>
      <c r="BD59" s="5319"/>
      <c r="BE59" s="5318">
        <f>+J59+AC59</f>
        <v>630</v>
      </c>
      <c r="BF59" s="5319"/>
      <c r="BG59" s="5319">
        <f>+BC59+BE59</f>
        <v>4350</v>
      </c>
      <c r="BH59" s="5319"/>
      <c r="BI59" s="5318">
        <f>K59+AD59</f>
        <v>507.36</v>
      </c>
      <c r="BJ59" s="5319"/>
      <c r="BK59" s="5319">
        <f>+BG59+BI59</f>
        <v>4857.3599999999997</v>
      </c>
      <c r="BL59" s="5319"/>
      <c r="BM59" s="5318">
        <f>+L59+AE59</f>
        <v>564</v>
      </c>
      <c r="BN59" s="5319"/>
      <c r="BO59" s="5319">
        <f>BE59+BI59+BM59</f>
        <v>1701.3600000000001</v>
      </c>
      <c r="BP59" s="5319"/>
      <c r="BQ59" s="5319">
        <f>BC59+BO59</f>
        <v>5421.3600000000006</v>
      </c>
      <c r="BR59" s="5319"/>
      <c r="BS59" s="5318">
        <f>+O59+AH59</f>
        <v>334</v>
      </c>
      <c r="BT59" s="4431"/>
      <c r="BU59" s="4431">
        <f>BQ59+BS59</f>
        <v>5755.3600000000006</v>
      </c>
      <c r="BV59" s="5319"/>
      <c r="BW59" s="5318">
        <f>+P59+AI59</f>
        <v>411.45600000000002</v>
      </c>
      <c r="BX59" s="5319"/>
      <c r="BY59" s="5319">
        <f>BU59+BW59</f>
        <v>6166.8160000000007</v>
      </c>
      <c r="BZ59" s="5319"/>
      <c r="CA59" s="5318">
        <f>+Q59+AJ59</f>
        <v>729</v>
      </c>
      <c r="CB59" s="5319"/>
      <c r="CC59" s="5319">
        <f>BS59+BW59+CA59</f>
        <v>1474.4560000000001</v>
      </c>
      <c r="CD59" s="5319"/>
      <c r="CE59" s="5319">
        <f>BY59+CA59</f>
        <v>6895.8160000000007</v>
      </c>
      <c r="CF59" s="5319"/>
      <c r="CG59" s="5318">
        <f>+S59+AL59</f>
        <v>638</v>
      </c>
      <c r="CH59" s="5319"/>
      <c r="CI59" s="5319">
        <f t="shared" si="24"/>
        <v>7533.8160000000007</v>
      </c>
      <c r="CJ59" s="5319"/>
      <c r="CK59" s="5318">
        <f>+T59+AM59</f>
        <v>372.05</v>
      </c>
      <c r="CL59" s="4431"/>
      <c r="CM59" s="4431">
        <f>CI59+CK59</f>
        <v>7905.8660000000009</v>
      </c>
      <c r="CN59" s="5319"/>
      <c r="CO59" s="5318">
        <f>+U59+AN59</f>
        <v>684.572</v>
      </c>
      <c r="CP59" s="5319"/>
      <c r="CQ59" s="5319">
        <f>CG59+CK59+CO59</f>
        <v>1694.6219999999998</v>
      </c>
      <c r="CR59" s="5319"/>
      <c r="CS59" s="5319">
        <f>CC59+CQ59</f>
        <v>3169.078</v>
      </c>
      <c r="CT59" s="5319"/>
      <c r="CU59" s="5320">
        <f>SUM(AU59,AW59,BA59,BE59,BI59,BM59,BS59,BW59,CA59,CG59,CK59,CO59)</f>
        <v>8590.4380000000001</v>
      </c>
      <c r="CV59" s="6719"/>
      <c r="CW59" s="6719"/>
      <c r="CX59" s="607"/>
      <c r="CY59" s="1074"/>
      <c r="CZ59" s="1074"/>
      <c r="DA59" s="1074"/>
    </row>
    <row r="60" spans="1:105" ht="16.5" thickBot="1" x14ac:dyDescent="0.3">
      <c r="A60" s="4450"/>
      <c r="B60" s="4450"/>
      <c r="C60" s="4450"/>
      <c r="D60" s="4450"/>
      <c r="E60" s="4461" t="s">
        <v>2</v>
      </c>
      <c r="F60" s="4460">
        <f>SUM(F6:F59)</f>
        <v>77765</v>
      </c>
      <c r="G60" s="4460">
        <f>SUM(G6:G59)</f>
        <v>0</v>
      </c>
      <c r="H60" s="4460">
        <f>SUM(H6:H59)</f>
        <v>0</v>
      </c>
      <c r="I60" s="4473">
        <f t="shared" ref="I60" si="164">SUM(F60:H60)</f>
        <v>77765</v>
      </c>
      <c r="J60" s="4460">
        <f t="shared" ref="J60:Q60" si="165">SUM(J6:J59)</f>
        <v>0</v>
      </c>
      <c r="K60" s="4460">
        <f t="shared" si="165"/>
        <v>0</v>
      </c>
      <c r="L60" s="4460">
        <f t="shared" si="165"/>
        <v>0</v>
      </c>
      <c r="M60" s="4460">
        <f t="shared" si="165"/>
        <v>0</v>
      </c>
      <c r="N60" s="4460">
        <f t="shared" si="165"/>
        <v>0</v>
      </c>
      <c r="O60" s="4460">
        <f t="shared" si="165"/>
        <v>0</v>
      </c>
      <c r="P60" s="4460">
        <f t="shared" si="165"/>
        <v>0</v>
      </c>
      <c r="Q60" s="4460">
        <f t="shared" si="165"/>
        <v>0</v>
      </c>
      <c r="R60" s="4460">
        <f t="shared" ref="R60" si="166">O60+P60+Q60</f>
        <v>0</v>
      </c>
      <c r="S60" s="4460">
        <f>SUM(S6:S59)</f>
        <v>0</v>
      </c>
      <c r="T60" s="4460">
        <f>SUM(T6:T59)</f>
        <v>0</v>
      </c>
      <c r="U60" s="4460">
        <f>SUM(U6:U59)</f>
        <v>0</v>
      </c>
      <c r="V60" s="4460">
        <f>SUM(V6:V59)</f>
        <v>0</v>
      </c>
      <c r="W60" s="4460">
        <f>SUM(W6:W59)</f>
        <v>0</v>
      </c>
      <c r="X60" s="4440">
        <f t="shared" ref="X60" si="167">+I60+M60+R60+V60</f>
        <v>77765</v>
      </c>
      <c r="Y60" s="4460">
        <f>SUM(Y6:Y59)</f>
        <v>88688</v>
      </c>
      <c r="Z60" s="4460">
        <f>SUM(Z6:Z59)</f>
        <v>93435</v>
      </c>
      <c r="AA60" s="4460">
        <f>SUM(AA6:AA59)</f>
        <v>98319</v>
      </c>
      <c r="AB60" s="4473">
        <f t="shared" si="0"/>
        <v>280442</v>
      </c>
      <c r="AC60" s="4460">
        <f>SUM(AC6:AC59)</f>
        <v>96524</v>
      </c>
      <c r="AD60" s="4460">
        <f>SUM(AD6:AD59)</f>
        <v>99121.232000000004</v>
      </c>
      <c r="AE60" s="4460">
        <f>SUM(AE6:AE59)</f>
        <v>95619</v>
      </c>
      <c r="AF60" s="4438">
        <f t="shared" si="138"/>
        <v>291264.23200000002</v>
      </c>
      <c r="AG60" s="4472">
        <f t="shared" si="102"/>
        <v>571706.23200000008</v>
      </c>
      <c r="AH60" s="4460">
        <f>SUM(AH6:AH59)</f>
        <v>66560</v>
      </c>
      <c r="AI60" s="4460">
        <f>SUM(AI6:AI59)</f>
        <v>92702.031000000017</v>
      </c>
      <c r="AJ60" s="4460">
        <f>SUM(AJ6:AJ59)</f>
        <v>97704</v>
      </c>
      <c r="AK60" s="4473">
        <f t="shared" si="3"/>
        <v>256966.03100000002</v>
      </c>
      <c r="AL60" s="4460">
        <f>SUM(AL6:AL59)</f>
        <v>92891</v>
      </c>
      <c r="AM60" s="4460">
        <f>SUM(AM6:AM59)</f>
        <v>78443.021999999997</v>
      </c>
      <c r="AN60" s="4460">
        <f>SUM(AN6:AN59)</f>
        <v>101786.50200000001</v>
      </c>
      <c r="AO60" s="4473">
        <f t="shared" si="103"/>
        <v>273120.52399999998</v>
      </c>
      <c r="AP60" s="4472">
        <f t="shared" si="104"/>
        <v>530086.55499999993</v>
      </c>
      <c r="AQ60" s="4437">
        <f t="shared" si="139"/>
        <v>1101792.787</v>
      </c>
      <c r="AR60" s="4427">
        <f t="shared" si="140"/>
        <v>1179557.787</v>
      </c>
      <c r="AS60" s="4470"/>
      <c r="AT60" s="4459"/>
      <c r="AU60" s="4436">
        <f t="shared" si="34"/>
        <v>166453</v>
      </c>
      <c r="AV60" s="4435"/>
      <c r="AW60" s="4434">
        <f t="shared" si="35"/>
        <v>93435</v>
      </c>
      <c r="AX60" s="4433"/>
      <c r="AY60" s="4433">
        <f t="shared" si="36"/>
        <v>259888</v>
      </c>
      <c r="AZ60" s="4426">
        <f t="shared" ref="AZ60:CU60" si="168">SUM(AZ6:AZ59)</f>
        <v>0</v>
      </c>
      <c r="BA60" s="4426">
        <f t="shared" si="168"/>
        <v>98319</v>
      </c>
      <c r="BB60" s="4458">
        <f t="shared" si="168"/>
        <v>0</v>
      </c>
      <c r="BC60" s="4458">
        <f t="shared" si="168"/>
        <v>358073</v>
      </c>
      <c r="BD60" s="4426">
        <f t="shared" si="168"/>
        <v>0</v>
      </c>
      <c r="BE60" s="4426">
        <f t="shared" si="168"/>
        <v>96524</v>
      </c>
      <c r="BF60" s="4457">
        <f t="shared" si="168"/>
        <v>0</v>
      </c>
      <c r="BG60" s="4457">
        <f t="shared" si="168"/>
        <v>454597</v>
      </c>
      <c r="BH60" s="4426">
        <f t="shared" si="168"/>
        <v>0</v>
      </c>
      <c r="BI60" s="4426">
        <f t="shared" si="168"/>
        <v>99121.232000000004</v>
      </c>
      <c r="BJ60" s="4457">
        <f t="shared" si="168"/>
        <v>0</v>
      </c>
      <c r="BK60" s="4457">
        <f t="shared" si="168"/>
        <v>553718.23199999984</v>
      </c>
      <c r="BL60" s="4426">
        <f t="shared" si="168"/>
        <v>0</v>
      </c>
      <c r="BM60" s="4426">
        <f t="shared" si="168"/>
        <v>95619</v>
      </c>
      <c r="BN60" s="4426">
        <f t="shared" si="168"/>
        <v>0</v>
      </c>
      <c r="BO60" s="4458">
        <f t="shared" si="168"/>
        <v>291264.23200000002</v>
      </c>
      <c r="BP60" s="4426">
        <f t="shared" si="168"/>
        <v>0</v>
      </c>
      <c r="BQ60" s="4469">
        <f t="shared" si="168"/>
        <v>649337.23199999984</v>
      </c>
      <c r="BR60" s="4426">
        <f t="shared" si="168"/>
        <v>0</v>
      </c>
      <c r="BS60" s="4426">
        <f t="shared" si="168"/>
        <v>66560</v>
      </c>
      <c r="BT60" s="4457">
        <f t="shared" si="168"/>
        <v>0</v>
      </c>
      <c r="BU60" s="4457">
        <f t="shared" si="168"/>
        <v>715897.23199999984</v>
      </c>
      <c r="BV60" s="4426">
        <f t="shared" si="168"/>
        <v>0</v>
      </c>
      <c r="BW60" s="4426">
        <f t="shared" si="168"/>
        <v>92702.031000000017</v>
      </c>
      <c r="BX60" s="4426">
        <f t="shared" si="168"/>
        <v>0</v>
      </c>
      <c r="BY60" s="4426">
        <f t="shared" si="168"/>
        <v>808599.26300000004</v>
      </c>
      <c r="BZ60" s="4426">
        <f t="shared" si="168"/>
        <v>0</v>
      </c>
      <c r="CA60" s="4426">
        <f t="shared" si="168"/>
        <v>97704</v>
      </c>
      <c r="CB60" s="4426">
        <f t="shared" si="168"/>
        <v>0</v>
      </c>
      <c r="CC60" s="4458">
        <f t="shared" si="168"/>
        <v>256966.03100000002</v>
      </c>
      <c r="CD60" s="4426">
        <f t="shared" si="168"/>
        <v>0</v>
      </c>
      <c r="CE60" s="4426">
        <f t="shared" si="168"/>
        <v>906303.26300000004</v>
      </c>
      <c r="CF60" s="4426">
        <f t="shared" si="168"/>
        <v>0</v>
      </c>
      <c r="CG60" s="4426">
        <f t="shared" si="168"/>
        <v>92891</v>
      </c>
      <c r="CH60" s="4426">
        <f t="shared" si="168"/>
        <v>0</v>
      </c>
      <c r="CI60" s="4426">
        <f t="shared" si="168"/>
        <v>999194.26300000004</v>
      </c>
      <c r="CJ60" s="4426">
        <f t="shared" si="168"/>
        <v>0</v>
      </c>
      <c r="CK60" s="4426">
        <f t="shared" si="168"/>
        <v>78443.021999999997</v>
      </c>
      <c r="CL60" s="4457">
        <f t="shared" si="168"/>
        <v>0</v>
      </c>
      <c r="CM60" s="4457">
        <f t="shared" si="168"/>
        <v>1077637.2849999999</v>
      </c>
      <c r="CN60" s="4426">
        <f t="shared" si="168"/>
        <v>0</v>
      </c>
      <c r="CO60" s="4426">
        <f t="shared" si="168"/>
        <v>101786.50200000001</v>
      </c>
      <c r="CP60" s="4426">
        <f t="shared" si="168"/>
        <v>0</v>
      </c>
      <c r="CQ60" s="4458">
        <f t="shared" si="168"/>
        <v>273120.52399999998</v>
      </c>
      <c r="CR60" s="4426">
        <f t="shared" si="168"/>
        <v>0</v>
      </c>
      <c r="CS60" s="4469">
        <f t="shared" si="168"/>
        <v>530086.55500000005</v>
      </c>
      <c r="CT60" s="4457">
        <f t="shared" si="168"/>
        <v>0</v>
      </c>
      <c r="CU60" s="4457">
        <f t="shared" si="168"/>
        <v>1179423.7870000002</v>
      </c>
      <c r="CV60" s="6719"/>
      <c r="CW60" s="6719"/>
      <c r="CX60" s="607"/>
    </row>
    <row r="61" spans="1:105" x14ac:dyDescent="0.25">
      <c r="A61" s="4450"/>
      <c r="B61" s="4450"/>
      <c r="C61" s="4450"/>
      <c r="D61" s="4450"/>
      <c r="E61" s="4449"/>
      <c r="F61" s="4450"/>
      <c r="G61" s="4450"/>
      <c r="H61" s="4450"/>
      <c r="I61" s="4450"/>
      <c r="J61" s="4450"/>
      <c r="K61" s="4450"/>
      <c r="L61" s="4450"/>
      <c r="M61" s="4450"/>
      <c r="N61" s="4450"/>
      <c r="O61" s="4450"/>
      <c r="P61" s="4450"/>
      <c r="Q61" s="4450"/>
      <c r="R61" s="4450"/>
      <c r="S61" s="4450"/>
      <c r="T61" s="4450"/>
      <c r="U61" s="4450"/>
      <c r="V61" s="4450"/>
      <c r="W61" s="4450"/>
      <c r="X61" s="4450"/>
      <c r="Y61" s="4450"/>
      <c r="Z61" s="4450"/>
      <c r="AA61" s="4450"/>
      <c r="AB61" s="4450"/>
      <c r="AC61" s="4450"/>
      <c r="AD61" s="4450"/>
      <c r="AE61" s="4450"/>
      <c r="AF61" s="4450"/>
      <c r="AG61" s="4450"/>
      <c r="AH61" s="4450"/>
      <c r="AI61" s="4450"/>
      <c r="AJ61" s="4450"/>
      <c r="AK61" s="4450"/>
      <c r="AL61" s="4450"/>
      <c r="AM61" s="4450"/>
      <c r="AN61" s="4450"/>
      <c r="AO61" s="4450"/>
      <c r="AP61" s="4450"/>
      <c r="AQ61" s="4450"/>
      <c r="AR61" s="4450"/>
      <c r="AS61" s="4450"/>
      <c r="AT61" s="4450"/>
      <c r="AU61" s="4450"/>
      <c r="AV61" s="4450"/>
      <c r="AW61" s="4450"/>
      <c r="AX61" s="4450"/>
      <c r="AY61" s="4450"/>
      <c r="AZ61" s="4450"/>
      <c r="BA61" s="4450"/>
      <c r="BB61" s="4450"/>
      <c r="BC61" s="4450"/>
      <c r="BD61" s="4450"/>
      <c r="BE61" s="4450"/>
      <c r="BF61" s="4450"/>
      <c r="BG61" s="4450"/>
      <c r="BH61" s="4450"/>
      <c r="BI61" s="4450"/>
      <c r="BJ61" s="4450"/>
      <c r="BK61" s="4450"/>
      <c r="BL61" s="4450"/>
      <c r="BM61" s="4450"/>
      <c r="BN61" s="4450"/>
      <c r="BO61" s="4450"/>
      <c r="BP61" s="4450"/>
      <c r="BQ61" s="4450"/>
      <c r="BR61" s="4450"/>
      <c r="BS61" s="4450"/>
      <c r="BT61" s="4450"/>
      <c r="BU61" s="4450"/>
      <c r="BV61" s="4450"/>
      <c r="BW61" s="4450"/>
      <c r="BX61" s="4450"/>
      <c r="BY61" s="4450"/>
      <c r="BZ61" s="4450"/>
      <c r="CA61" s="4450"/>
      <c r="CB61" s="4450"/>
      <c r="CC61" s="4450"/>
      <c r="CD61" s="4450"/>
      <c r="CE61" s="4450"/>
      <c r="CF61" s="4450"/>
      <c r="CG61" s="4450"/>
      <c r="CH61" s="4450"/>
      <c r="CI61" s="4450"/>
      <c r="CJ61" s="4450"/>
      <c r="CK61" s="4450"/>
      <c r="CL61" s="4450"/>
      <c r="CM61" s="4450"/>
      <c r="CN61" s="4450"/>
      <c r="CO61" s="4450"/>
      <c r="CP61" s="4450"/>
      <c r="CQ61" s="4450"/>
      <c r="CR61" s="4450"/>
      <c r="CS61" s="4450"/>
      <c r="CT61" s="4450"/>
      <c r="CU61" s="4448"/>
      <c r="CV61" s="607"/>
      <c r="CW61" s="607"/>
      <c r="CX61" s="607"/>
    </row>
    <row r="62" spans="1:105" x14ac:dyDescent="0.25">
      <c r="A62" s="4450"/>
      <c r="B62" s="4450"/>
      <c r="C62" s="4450"/>
      <c r="D62" s="4450"/>
      <c r="E62" s="4449" t="s">
        <v>1064</v>
      </c>
      <c r="F62" s="4456">
        <f>+F60-SMS!F29</f>
        <v>-1.9499999999970896</v>
      </c>
      <c r="G62" s="4456">
        <f>+G60-SMS!H29</f>
        <v>-81452.42</v>
      </c>
      <c r="H62" s="4456">
        <f>+H60-SMS!L29</f>
        <v>-84359</v>
      </c>
      <c r="I62" s="4456">
        <f>+I60-SMS!N29</f>
        <v>-165813.37</v>
      </c>
      <c r="J62" s="4456">
        <f>+J60-SMS!P29</f>
        <v>-92367</v>
      </c>
      <c r="K62" s="4456">
        <f>+K60-SMS!T29</f>
        <v>-80201</v>
      </c>
      <c r="L62" s="4456"/>
      <c r="M62" s="4429"/>
      <c r="N62" s="4429"/>
      <c r="O62" s="4456"/>
      <c r="P62" s="4429"/>
      <c r="Q62" s="4429"/>
      <c r="R62" s="4429"/>
      <c r="S62" s="4429"/>
      <c r="T62" s="4429"/>
      <c r="U62" s="4429"/>
      <c r="V62" s="4429"/>
      <c r="W62" s="4429"/>
      <c r="X62" s="4456"/>
      <c r="Y62" s="4456">
        <f>Y60-SMS!F32</f>
        <v>-0.22000000000116415</v>
      </c>
      <c r="Z62" s="4456"/>
      <c r="AA62" s="4456"/>
      <c r="AB62" s="4456"/>
      <c r="AC62" s="4456"/>
      <c r="AD62" s="4456"/>
      <c r="AE62" s="4456"/>
      <c r="AF62" s="4456"/>
      <c r="AG62" s="4429"/>
      <c r="AH62" s="4429"/>
      <c r="AI62" s="4456"/>
      <c r="AJ62" s="4429"/>
      <c r="AK62" s="4429"/>
      <c r="AL62" s="4429"/>
      <c r="AM62" s="4429"/>
      <c r="AN62" s="4429"/>
      <c r="AO62" s="4429"/>
      <c r="AP62" s="4429"/>
      <c r="AQ62" s="4456"/>
      <c r="AR62" s="4456"/>
      <c r="AS62" s="4456"/>
      <c r="AT62" s="4450"/>
      <c r="AU62" s="4456">
        <f>+AU60-(SMS!F29+SMS!F32)</f>
        <v>-2.1699999999837019</v>
      </c>
      <c r="AV62" s="4456"/>
      <c r="AW62" s="4456">
        <f>+AW60-(SMS!H29+SMS!H32)</f>
        <v>-81610.539999999979</v>
      </c>
      <c r="AX62" s="4456"/>
      <c r="AY62" s="4456"/>
      <c r="AZ62" s="4456"/>
      <c r="BA62" s="4456">
        <f>+BA60-(SMS!L29+SMS!L32)</f>
        <v>-84360</v>
      </c>
      <c r="BB62" s="4456"/>
      <c r="BC62" s="4456"/>
      <c r="BD62" s="4456"/>
      <c r="BE62" s="4456">
        <f>+BE60-(SMS!P29+SMS!P32)</f>
        <v>-92527</v>
      </c>
      <c r="BF62" s="4456"/>
      <c r="BG62" s="4456">
        <f>+BG60-(SMS!R29+SMS!R32)</f>
        <v>-258633.70999999996</v>
      </c>
      <c r="BH62" s="4456"/>
      <c r="BI62" s="4456">
        <f>+BI60-(SMS!T29+SMS!T32)</f>
        <v>-80355.767999999996</v>
      </c>
      <c r="BJ62" s="4456"/>
      <c r="BK62" s="4456">
        <f>+BK60-(SMS!V29+SMS!V32)</f>
        <v>-338989.47800000012</v>
      </c>
      <c r="BL62" s="4456"/>
      <c r="BM62" s="4456">
        <f>+BM60-(SMS!X29+SMS!X32)</f>
        <v>-76460.600000000006</v>
      </c>
      <c r="BN62" s="4456">
        <f>+BN60-(SMS!Y29+SMS!Y32)</f>
        <v>-433247.99868447694</v>
      </c>
      <c r="BO62" s="4456">
        <f>+BO60-(SMS!Z29+SMS!Z32)</f>
        <v>-249343.36800000007</v>
      </c>
      <c r="BP62" s="4456">
        <f>+BP60-(SMS!AA29+SMS!AA32)</f>
        <v>-915046.58756358793</v>
      </c>
      <c r="BQ62" s="4456">
        <f>+BQ60-(SMS!AB29+SMS!AB32)</f>
        <v>-415450.07800000021</v>
      </c>
      <c r="BR62" s="4456"/>
      <c r="BS62" s="4456">
        <f>+BS60-(SMS!AD29+SMS!AD32)</f>
        <v>-68586</v>
      </c>
      <c r="BT62" s="4456">
        <f>+BT60-(SMS!AE29+SMS!AE32)</f>
        <v>-1088998.9675635879</v>
      </c>
      <c r="BU62" s="4456">
        <f>+BU60-(SMS!AF29+SMS!AF32)</f>
        <v>-484036.07800000021</v>
      </c>
      <c r="BV62" s="4456">
        <f>+BV60-(SMS!AG29+SMS!AG32)</f>
        <v>-168508.89847294599</v>
      </c>
      <c r="BW62" s="4456">
        <f>+BW60-(SMS!AH29+SMS!AH32)</f>
        <v>-85308.408999999985</v>
      </c>
      <c r="BX62" s="4456">
        <f>+BX60-(SMS!AI29+SMS!AI32)</f>
        <v>-1257507.8660365338</v>
      </c>
      <c r="BY62" s="4456">
        <f>+BY60-(SMS!AJ29+SMS!AJ32)</f>
        <v>-569344.48699999996</v>
      </c>
      <c r="BZ62" s="4456">
        <f>+BZ60-(SMS!AK29+SMS!AK32)</f>
        <v>-173424.67255164299</v>
      </c>
      <c r="CA62" s="4456">
        <f>+CA60-(SMS!AL29+SMS!AL32)</f>
        <v>-71039</v>
      </c>
      <c r="CB62" s="4456">
        <f>+CB60-(SMS!AM29+SMS!AM32)</f>
        <v>-515885.95102458901</v>
      </c>
      <c r="CC62" s="4456">
        <f>+CC60-(SMS!AN29+SMS!AN32)</f>
        <v>-224933.40899999999</v>
      </c>
      <c r="CD62" s="4456">
        <f>+CD60-(SMS!AO29+SMS!AO32)</f>
        <v>-1430932.5385881769</v>
      </c>
      <c r="CE62" s="4456">
        <f>+CE60-(SMS!AP29+SMS!AP32)</f>
        <v>-640383.48699999996</v>
      </c>
      <c r="CF62" s="4456">
        <f>+CF60-(SMS!AQ29+SMS!AQ32)</f>
        <v>-176674.11631922389</v>
      </c>
      <c r="CG62" s="4456">
        <f>+CG60-(SMS!AR29+SMS!AR32)</f>
        <v>-71676.280000000028</v>
      </c>
      <c r="CH62" s="4456">
        <f>+CH60-(SMS!AS29+SMS!AS32)</f>
        <v>-1607606.6549074007</v>
      </c>
      <c r="CI62" s="4456">
        <f>+CI60-(SMS!AT29+SMS!AT32)</f>
        <v>-712059.76699999976</v>
      </c>
      <c r="CJ62" s="4456">
        <f>+CJ60-(SMS!AU29+SMS!AU32)</f>
        <v>-157621.94134457508</v>
      </c>
      <c r="CK62" s="4456">
        <f>+CK60-(SMS!AV29+SMS!AV32)</f>
        <v>-56908.768000000011</v>
      </c>
      <c r="CL62" s="4456">
        <f>+CL60-(SMS!AW29+SMS!AW32)</f>
        <v>-1765228.5962519757</v>
      </c>
      <c r="CM62" s="4456">
        <f>+CM60-(SMS!AX29+SMS!AX32)</f>
        <v>-768968.53499999992</v>
      </c>
      <c r="CN62" s="4456">
        <f>+CN60-(SMS!AY29+SMS!AY32)</f>
        <v>-176146.41183373574</v>
      </c>
      <c r="CO62" s="4456">
        <f>+CO60-(SMS!AZ29+SMS!AZ32)</f>
        <v>-74754.407999999996</v>
      </c>
      <c r="CP62" s="4456">
        <f>+CP60-(SMS!BA29+SMS!BA32)</f>
        <v>-510442.46949753468</v>
      </c>
      <c r="CQ62" s="4456">
        <f>+CQ60-(SMS!BB29+SMS!BB32)</f>
        <v>-203339.45600000006</v>
      </c>
      <c r="CR62" s="4456">
        <f>+CR60-(SMS!BC29+SMS!BC32)</f>
        <v>-1026328.4205221237</v>
      </c>
      <c r="CS62" s="4456">
        <f>+CS60-(SMS!BD29+SMS!BD32)</f>
        <v>-428272.86499999999</v>
      </c>
      <c r="CT62" s="4456">
        <f>+CT60-(SMS!BE29+SMS!BE32)</f>
        <v>-1941375.0080857114</v>
      </c>
      <c r="CU62" s="4456">
        <f>+CU60-(SMS!BF29+SMS!BF32)</f>
        <v>-843722.94299999974</v>
      </c>
      <c r="CV62" s="607"/>
      <c r="CW62" s="607"/>
      <c r="CX62" s="607"/>
    </row>
    <row r="63" spans="1:105" x14ac:dyDescent="0.25">
      <c r="A63" s="4450"/>
      <c r="B63" s="4450"/>
      <c r="C63" s="4450"/>
      <c r="D63" s="4450"/>
      <c r="E63" s="4449"/>
      <c r="F63" s="4450"/>
      <c r="G63" s="4450"/>
      <c r="H63" s="4450"/>
      <c r="I63" s="4450"/>
      <c r="J63" s="4450"/>
      <c r="K63" s="4450"/>
      <c r="L63" s="4450"/>
      <c r="M63" s="4450"/>
      <c r="N63" s="4450"/>
      <c r="O63" s="4450"/>
      <c r="P63" s="4450"/>
      <c r="Q63" s="4450"/>
      <c r="R63" s="4450"/>
      <c r="S63" s="4450"/>
      <c r="T63" s="4450"/>
      <c r="U63" s="4450"/>
      <c r="V63" s="4450"/>
      <c r="W63" s="4450"/>
      <c r="X63" s="4450"/>
      <c r="Y63" s="4450"/>
      <c r="Z63" s="4450"/>
      <c r="AA63" s="4450"/>
      <c r="AB63" s="4450"/>
      <c r="AC63" s="4450"/>
      <c r="AD63" s="4450"/>
      <c r="AE63" s="4450"/>
      <c r="AF63" s="4450"/>
      <c r="AG63" s="4450"/>
      <c r="AH63" s="4450"/>
      <c r="AI63" s="4450"/>
      <c r="AJ63" s="4450"/>
      <c r="AK63" s="4450"/>
      <c r="AL63" s="4450"/>
      <c r="AM63" s="4450"/>
      <c r="AN63" s="4450"/>
      <c r="AO63" s="4450"/>
      <c r="AP63" s="4450"/>
      <c r="AQ63" s="4450"/>
      <c r="AR63" s="4450"/>
      <c r="AS63" s="4450"/>
      <c r="AT63" s="4450"/>
      <c r="AU63" s="4450"/>
      <c r="AV63" s="4450"/>
      <c r="AW63" s="4450"/>
      <c r="AX63" s="4450"/>
      <c r="AY63" s="4450"/>
      <c r="AZ63" s="4450"/>
      <c r="BA63" s="4450"/>
      <c r="BB63" s="4450"/>
      <c r="BC63" s="4450"/>
      <c r="BD63" s="4450"/>
      <c r="BE63" s="4450"/>
      <c r="BF63" s="4450"/>
      <c r="BG63" s="4450"/>
      <c r="BH63" s="4450"/>
      <c r="BI63" s="4450"/>
      <c r="BJ63" s="4450"/>
      <c r="BK63" s="4450"/>
      <c r="BL63" s="4450"/>
      <c r="BM63" s="4450"/>
      <c r="BN63" s="4450"/>
      <c r="BO63" s="4450"/>
      <c r="BP63" s="4450"/>
      <c r="BQ63" s="4450"/>
      <c r="BR63" s="4450"/>
      <c r="BS63" s="4450"/>
      <c r="BT63" s="4450"/>
      <c r="BU63" s="4450"/>
      <c r="BV63" s="4450"/>
      <c r="BW63" s="4450"/>
      <c r="BX63" s="4450"/>
      <c r="BY63" s="4450"/>
      <c r="BZ63" s="4450"/>
      <c r="CA63" s="4450"/>
      <c r="CB63" s="4450"/>
      <c r="CC63" s="4450"/>
      <c r="CD63" s="4450"/>
      <c r="CE63" s="4450"/>
      <c r="CF63" s="4450"/>
      <c r="CG63" s="4450"/>
      <c r="CH63" s="4450"/>
      <c r="CI63" s="4450"/>
      <c r="CJ63" s="4450"/>
      <c r="CK63" s="4450"/>
      <c r="CL63" s="4450"/>
      <c r="CM63" s="4450"/>
      <c r="CN63" s="4450"/>
      <c r="CO63" s="4450"/>
      <c r="CP63" s="4450"/>
      <c r="CQ63" s="4450"/>
      <c r="CR63" s="4450"/>
      <c r="CS63" s="4450"/>
      <c r="CT63" s="4450"/>
      <c r="CU63" s="4448"/>
      <c r="CV63" s="607"/>
      <c r="CW63" s="607"/>
      <c r="CX63" s="607"/>
    </row>
    <row r="64" spans="1:105" x14ac:dyDescent="0.25">
      <c r="AP64" s="4463"/>
      <c r="CV64" s="607"/>
      <c r="CW64" s="607"/>
      <c r="CX64" s="607"/>
      <c r="CY64" s="607"/>
      <c r="CZ64" s="607"/>
      <c r="DA64" s="607"/>
    </row>
    <row r="65" spans="5:105" x14ac:dyDescent="0.25">
      <c r="AU65" s="4463"/>
      <c r="AV65" s="4463"/>
      <c r="AW65" s="4463"/>
      <c r="AX65" s="4463"/>
      <c r="AY65" s="4463"/>
      <c r="AZ65" s="4463"/>
      <c r="BA65" s="4463"/>
      <c r="BB65" s="4463"/>
      <c r="BC65" s="4463"/>
      <c r="BD65" s="4463"/>
      <c r="BE65" s="4463"/>
      <c r="BF65" s="4463"/>
      <c r="BG65" s="4463"/>
      <c r="BH65" s="4463"/>
      <c r="BI65" s="4463"/>
      <c r="BJ65" s="4463"/>
      <c r="BK65" s="4463"/>
      <c r="BL65" s="4463"/>
      <c r="BM65" s="4463"/>
      <c r="BN65" s="4463"/>
      <c r="BO65" s="4463"/>
      <c r="BP65" s="4463"/>
      <c r="BQ65" s="4463"/>
      <c r="BR65" s="4463"/>
      <c r="BS65" s="4463"/>
      <c r="BT65" s="4463"/>
      <c r="BU65" s="4463"/>
      <c r="BV65" s="4463"/>
      <c r="CV65" s="607"/>
      <c r="CW65" s="607"/>
      <c r="CX65" s="607"/>
      <c r="CY65" s="607"/>
      <c r="CZ65" s="607"/>
      <c r="DA65" s="607"/>
    </row>
    <row r="66" spans="5:105" ht="21" x14ac:dyDescent="0.35">
      <c r="E66" s="5306"/>
      <c r="F66" s="4463"/>
      <c r="I66" s="1074">
        <v>9562</v>
      </c>
      <c r="O66" s="4463"/>
      <c r="BM66" s="4463"/>
    </row>
    <row r="67" spans="5:105" x14ac:dyDescent="0.25">
      <c r="F67" s="4463"/>
      <c r="I67" s="4463">
        <f>I66-L32</f>
        <v>9562</v>
      </c>
      <c r="AH67" s="4463"/>
      <c r="BM67" s="4463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54"/>
  <sheetViews>
    <sheetView zoomScaleNormal="100" workbookViewId="0">
      <pane xSplit="1" topLeftCell="C1" activePane="topRight" state="frozen"/>
      <selection activeCell="BG86" sqref="BG86"/>
      <selection pane="topRight" activeCell="BH18" sqref="BH18"/>
    </sheetView>
  </sheetViews>
  <sheetFormatPr defaultColWidth="9.140625" defaultRowHeight="15.75" x14ac:dyDescent="0.25"/>
  <cols>
    <col min="1" max="1" width="55.85546875" style="142" customWidth="1"/>
    <col min="2" max="2" width="10.140625" style="142" hidden="1" customWidth="1"/>
    <col min="3" max="3" width="21" style="142" customWidth="1"/>
    <col min="4" max="4" width="10.28515625" style="142" hidden="1" customWidth="1"/>
    <col min="5" max="6" width="10.42578125" style="142" hidden="1" customWidth="1"/>
    <col min="7" max="7" width="10.7109375" style="142" hidden="1" customWidth="1"/>
    <col min="8" max="8" width="9.140625" style="142" hidden="1" customWidth="1"/>
    <col min="9" max="10" width="9.5703125" style="142" hidden="1" customWidth="1"/>
    <col min="11" max="11" width="10.7109375" style="142" hidden="1" customWidth="1"/>
    <col min="12" max="12" width="13" style="142" hidden="1" customWidth="1"/>
    <col min="13" max="14" width="12.5703125" style="142" hidden="1" customWidth="1"/>
    <col min="15" max="15" width="16.85546875" style="142" hidden="1" customWidth="1"/>
    <col min="16" max="16" width="13" style="142" hidden="1" customWidth="1"/>
    <col min="17" max="17" width="12.5703125" style="142" hidden="1" customWidth="1"/>
    <col min="18" max="18" width="10.42578125" style="142" hidden="1" customWidth="1"/>
    <col min="19" max="19" width="10.7109375" style="142" hidden="1" customWidth="1"/>
    <col min="20" max="20" width="17" style="142" hidden="1" customWidth="1"/>
    <col min="21" max="22" width="11" style="142" hidden="1" customWidth="1"/>
    <col min="23" max="26" width="10.7109375" style="142" hidden="1" customWidth="1"/>
    <col min="27" max="28" width="9.140625" style="142" hidden="1" customWidth="1"/>
    <col min="29" max="30" width="10.7109375" style="142" hidden="1" customWidth="1"/>
    <col min="31" max="32" width="9.140625" style="142" hidden="1" customWidth="1"/>
    <col min="33" max="34" width="10.7109375" style="142" hidden="1" customWidth="1"/>
    <col min="35" max="36" width="9.140625" style="142" hidden="1" customWidth="1"/>
    <col min="37" max="38" width="10.7109375" style="142" hidden="1" customWidth="1"/>
    <col min="39" max="39" width="7.85546875" style="142" hidden="1" customWidth="1"/>
    <col min="40" max="40" width="5.42578125" style="142" hidden="1" customWidth="1"/>
    <col min="41" max="42" width="9.140625" style="142" hidden="1" customWidth="1"/>
    <col min="43" max="44" width="10.7109375" style="142" hidden="1" customWidth="1"/>
    <col min="45" max="46" width="9.140625" style="142" hidden="1" customWidth="1"/>
    <col min="47" max="48" width="10.7109375" style="142" hidden="1" customWidth="1"/>
    <col min="49" max="50" width="9.140625" style="142" hidden="1" customWidth="1"/>
    <col min="51" max="51" width="10.7109375" style="142" hidden="1" customWidth="1"/>
    <col min="52" max="52" width="9.140625" style="142" hidden="1" customWidth="1"/>
    <col min="53" max="55" width="10.7109375" style="142" hidden="1" customWidth="1"/>
    <col min="56" max="58" width="9.140625" style="142" customWidth="1"/>
    <col min="59" max="16384" width="9.140625" style="142"/>
  </cols>
  <sheetData>
    <row r="1" spans="1:60" x14ac:dyDescent="0.25">
      <c r="A1" s="3378"/>
      <c r="B1" s="3378"/>
      <c r="C1" s="3361"/>
      <c r="D1" s="3361"/>
      <c r="E1" s="3361"/>
      <c r="F1" s="3361"/>
      <c r="G1" s="3361"/>
      <c r="H1" s="3361"/>
      <c r="I1" s="3361"/>
      <c r="J1" s="3361"/>
      <c r="K1" s="3361"/>
      <c r="L1" s="3361"/>
      <c r="M1" s="3361"/>
      <c r="N1" s="3361"/>
      <c r="O1" s="3361"/>
      <c r="P1" s="3361"/>
      <c r="Q1" s="3361"/>
      <c r="R1" s="3361"/>
      <c r="S1" s="3361"/>
      <c r="T1" s="3361"/>
      <c r="U1" s="3361"/>
      <c r="V1" s="3361"/>
      <c r="W1" s="3361"/>
      <c r="X1" s="3361"/>
      <c r="Y1" s="3361"/>
      <c r="Z1" s="3361"/>
    </row>
    <row r="2" spans="1:60" ht="18.75" x14ac:dyDescent="0.25">
      <c r="A2" s="8142" t="s">
        <v>1938</v>
      </c>
      <c r="B2" s="8142"/>
      <c r="C2" s="8142"/>
      <c r="D2" s="8142"/>
      <c r="E2" s="8142"/>
      <c r="F2" s="8142"/>
      <c r="G2" s="8142"/>
      <c r="H2" s="8142"/>
      <c r="I2" s="8142"/>
      <c r="J2" s="8142"/>
      <c r="K2" s="8142"/>
      <c r="L2" s="8142"/>
      <c r="M2" s="8142"/>
      <c r="N2" s="8142"/>
      <c r="O2" s="8142"/>
      <c r="P2" s="8142"/>
      <c r="Q2" s="8142"/>
      <c r="R2" s="8142"/>
      <c r="S2" s="8142"/>
      <c r="T2" s="8142"/>
      <c r="U2" s="8142"/>
      <c r="V2" s="8142"/>
      <c r="W2" s="8142"/>
      <c r="X2" s="8142"/>
      <c r="Y2" s="8142"/>
      <c r="Z2" s="8142"/>
      <c r="AA2" s="8142"/>
      <c r="AB2" s="8142"/>
      <c r="AC2" s="8142"/>
      <c r="AD2" s="8142"/>
      <c r="AE2" s="8142"/>
      <c r="AF2" s="8142"/>
      <c r="AG2" s="8142"/>
      <c r="AH2" s="8142"/>
      <c r="AI2" s="8142"/>
      <c r="AJ2" s="8142"/>
      <c r="AK2" s="8142"/>
      <c r="AL2" s="8142"/>
      <c r="AM2" s="8142"/>
      <c r="AN2" s="8142"/>
      <c r="AO2" s="8142"/>
      <c r="AP2" s="8142"/>
      <c r="AQ2" s="8142"/>
      <c r="AR2" s="8142"/>
      <c r="AS2" s="8142"/>
      <c r="AT2" s="8142"/>
      <c r="AU2" s="8142"/>
      <c r="AV2" s="8142"/>
      <c r="AW2" s="8142"/>
      <c r="AX2" s="8142"/>
      <c r="AY2" s="8142"/>
      <c r="AZ2" s="8142"/>
      <c r="BA2" s="8142"/>
      <c r="BB2" s="8142"/>
      <c r="BC2" s="8142"/>
    </row>
    <row r="3" spans="1:60" ht="16.5" thickBot="1" x14ac:dyDescent="0.3">
      <c r="A3" s="3378"/>
      <c r="B3" s="3378"/>
      <c r="C3" s="3361"/>
      <c r="D3" s="3361"/>
      <c r="E3" s="3361"/>
      <c r="F3" s="3361"/>
      <c r="G3" s="3361"/>
      <c r="H3" s="3361"/>
      <c r="I3" s="3361"/>
      <c r="J3" s="3361"/>
      <c r="K3" s="3361"/>
      <c r="L3" s="3361"/>
      <c r="M3" s="3361"/>
      <c r="N3" s="3361"/>
      <c r="O3" s="3361"/>
      <c r="P3" s="3361"/>
      <c r="Q3" s="3361"/>
      <c r="R3" s="3361"/>
      <c r="S3" s="3361"/>
      <c r="T3" s="3361"/>
      <c r="U3" s="3361"/>
      <c r="V3" s="3361"/>
      <c r="W3" s="3361"/>
      <c r="X3" s="3361"/>
      <c r="Y3" s="3361"/>
      <c r="Z3" s="3361"/>
    </row>
    <row r="4" spans="1:60" x14ac:dyDescent="0.25">
      <c r="A4" s="8145"/>
      <c r="B4" s="8121" t="s">
        <v>2319</v>
      </c>
      <c r="C4" s="8122"/>
      <c r="D4" s="8121" t="s">
        <v>1956</v>
      </c>
      <c r="E4" s="8122"/>
      <c r="F4" s="8125" t="s">
        <v>14</v>
      </c>
      <c r="G4" s="8126"/>
      <c r="H4" s="8138" t="s">
        <v>1986</v>
      </c>
      <c r="I4" s="8139"/>
      <c r="J4" s="8140" t="s">
        <v>607</v>
      </c>
      <c r="K4" s="8141"/>
      <c r="L4" s="8121" t="s">
        <v>2008</v>
      </c>
      <c r="M4" s="8122"/>
      <c r="N4" s="8125" t="s">
        <v>17</v>
      </c>
      <c r="O4" s="8126"/>
      <c r="P4" s="8143" t="s">
        <v>2011</v>
      </c>
      <c r="Q4" s="8144"/>
      <c r="R4" s="8125" t="s">
        <v>18</v>
      </c>
      <c r="S4" s="8126"/>
      <c r="T4" s="8127" t="s">
        <v>2042</v>
      </c>
      <c r="U4" s="8128"/>
      <c r="V4" s="8123" t="s">
        <v>801</v>
      </c>
      <c r="W4" s="8123"/>
      <c r="X4" s="8124" t="s">
        <v>626</v>
      </c>
      <c r="Y4" s="8124"/>
      <c r="Z4" s="8121" t="s">
        <v>2067</v>
      </c>
      <c r="AA4" s="8122"/>
      <c r="AB4" s="8125" t="s">
        <v>24</v>
      </c>
      <c r="AC4" s="8126"/>
      <c r="AD4" s="8121" t="s">
        <v>2170</v>
      </c>
      <c r="AE4" s="8122"/>
      <c r="AF4" s="8125" t="s">
        <v>27</v>
      </c>
      <c r="AG4" s="8126"/>
      <c r="AH4" s="8127" t="s">
        <v>2194</v>
      </c>
      <c r="AI4" s="8128"/>
      <c r="AJ4" s="8123" t="s">
        <v>1574</v>
      </c>
      <c r="AK4" s="8123"/>
      <c r="AL4" s="8125" t="s">
        <v>1575</v>
      </c>
      <c r="AM4" s="8126"/>
      <c r="AN4" s="8121" t="s">
        <v>2206</v>
      </c>
      <c r="AO4" s="8122"/>
      <c r="AP4" s="8125" t="s">
        <v>28</v>
      </c>
      <c r="AQ4" s="8126"/>
      <c r="AR4" s="8121" t="s">
        <v>2243</v>
      </c>
      <c r="AS4" s="8122"/>
      <c r="AT4" s="8125" t="s">
        <v>30</v>
      </c>
      <c r="AU4" s="8126"/>
      <c r="AV4" s="8121" t="s">
        <v>2261</v>
      </c>
      <c r="AW4" s="8122"/>
      <c r="AX4" s="8123" t="s">
        <v>1610</v>
      </c>
      <c r="AY4" s="8123"/>
      <c r="AZ4" s="8124" t="s">
        <v>638</v>
      </c>
      <c r="BA4" s="8124"/>
      <c r="BB4" s="8125" t="s">
        <v>1984</v>
      </c>
      <c r="BC4" s="8126"/>
    </row>
    <row r="5" spans="1:60" ht="16.5" thickBot="1" x14ac:dyDescent="0.3">
      <c r="A5" s="8146"/>
      <c r="B5" s="3372" t="s">
        <v>173</v>
      </c>
      <c r="C5" s="3365" t="s">
        <v>174</v>
      </c>
      <c r="D5" s="3372" t="s">
        <v>173</v>
      </c>
      <c r="E5" s="3365" t="s">
        <v>174</v>
      </c>
      <c r="F5" s="3366" t="s">
        <v>173</v>
      </c>
      <c r="G5" s="3367" t="s">
        <v>174</v>
      </c>
      <c r="H5" s="3368" t="s">
        <v>173</v>
      </c>
      <c r="I5" s="3369" t="s">
        <v>174</v>
      </c>
      <c r="J5" s="3370" t="s">
        <v>173</v>
      </c>
      <c r="K5" s="3371" t="s">
        <v>174</v>
      </c>
      <c r="L5" s="3368" t="s">
        <v>173</v>
      </c>
      <c r="M5" s="3365" t="s">
        <v>174</v>
      </c>
      <c r="N5" s="3366" t="s">
        <v>173</v>
      </c>
      <c r="O5" s="3367" t="s">
        <v>174</v>
      </c>
      <c r="P5" s="3368" t="s">
        <v>173</v>
      </c>
      <c r="Q5" s="3365" t="s">
        <v>174</v>
      </c>
      <c r="R5" s="3366" t="s">
        <v>173</v>
      </c>
      <c r="S5" s="3367" t="s">
        <v>174</v>
      </c>
      <c r="T5" s="3364" t="s">
        <v>173</v>
      </c>
      <c r="U5" s="3388" t="s">
        <v>174</v>
      </c>
      <c r="V5" s="3389" t="s">
        <v>173</v>
      </c>
      <c r="W5" s="3389" t="s">
        <v>174</v>
      </c>
      <c r="X5" s="3390" t="s">
        <v>173</v>
      </c>
      <c r="Y5" s="3390" t="s">
        <v>174</v>
      </c>
      <c r="Z5" s="3372" t="s">
        <v>173</v>
      </c>
      <c r="AA5" s="3365" t="s">
        <v>174</v>
      </c>
      <c r="AB5" s="3366" t="s">
        <v>173</v>
      </c>
      <c r="AC5" s="3367" t="s">
        <v>174</v>
      </c>
      <c r="AD5" s="3372" t="s">
        <v>173</v>
      </c>
      <c r="AE5" s="3365" t="s">
        <v>174</v>
      </c>
      <c r="AF5" s="3366" t="s">
        <v>173</v>
      </c>
      <c r="AG5" s="3367" t="s">
        <v>174</v>
      </c>
      <c r="AH5" s="3364" t="s">
        <v>173</v>
      </c>
      <c r="AI5" s="3388" t="s">
        <v>174</v>
      </c>
      <c r="AJ5" s="3389" t="s">
        <v>173</v>
      </c>
      <c r="AK5" s="3389" t="s">
        <v>174</v>
      </c>
      <c r="AL5" s="3366" t="s">
        <v>173</v>
      </c>
      <c r="AM5" s="3367" t="s">
        <v>174</v>
      </c>
      <c r="AN5" s="3372" t="s">
        <v>173</v>
      </c>
      <c r="AO5" s="3365" t="s">
        <v>174</v>
      </c>
      <c r="AP5" s="3366" t="s">
        <v>173</v>
      </c>
      <c r="AQ5" s="3367" t="s">
        <v>174</v>
      </c>
      <c r="AR5" s="3372" t="s">
        <v>173</v>
      </c>
      <c r="AS5" s="3365" t="s">
        <v>174</v>
      </c>
      <c r="AT5" s="3366" t="s">
        <v>173</v>
      </c>
      <c r="AU5" s="3367" t="s">
        <v>174</v>
      </c>
      <c r="AV5" s="3372" t="s">
        <v>173</v>
      </c>
      <c r="AW5" s="3365" t="s">
        <v>174</v>
      </c>
      <c r="AX5" s="3389" t="s">
        <v>173</v>
      </c>
      <c r="AY5" s="3389" t="s">
        <v>174</v>
      </c>
      <c r="AZ5" s="3390" t="s">
        <v>173</v>
      </c>
      <c r="BA5" s="3390" t="s">
        <v>174</v>
      </c>
      <c r="BB5" s="3366" t="s">
        <v>173</v>
      </c>
      <c r="BC5" s="3367" t="s">
        <v>174</v>
      </c>
    </row>
    <row r="6" spans="1:60" x14ac:dyDescent="0.25">
      <c r="A6" s="3382" t="s">
        <v>613</v>
      </c>
      <c r="B6" s="3383"/>
      <c r="C6" s="3391"/>
      <c r="D6" s="3391"/>
      <c r="E6" s="3392"/>
      <c r="F6" s="3392"/>
      <c r="G6" s="3392"/>
      <c r="H6" s="3392"/>
      <c r="I6" s="3392"/>
      <c r="J6" s="3393"/>
      <c r="K6" s="3394"/>
      <c r="L6" s="3392"/>
      <c r="M6" s="3392"/>
      <c r="N6" s="3392"/>
      <c r="O6" s="3392"/>
      <c r="P6" s="3392"/>
      <c r="Q6" s="3392"/>
      <c r="R6" s="3392"/>
      <c r="S6" s="3392"/>
      <c r="T6" s="3396"/>
      <c r="U6" s="3396"/>
      <c r="V6" s="3396"/>
      <c r="W6" s="3394"/>
      <c r="X6" s="3395"/>
      <c r="Y6" s="3396"/>
      <c r="Z6" s="3396"/>
      <c r="AA6" s="3396"/>
      <c r="AB6" s="3396"/>
      <c r="AC6" s="3396"/>
      <c r="AD6" s="3396"/>
      <c r="AE6" s="3396"/>
      <c r="AF6" s="3396"/>
      <c r="AG6" s="3396"/>
      <c r="AH6" s="3396"/>
      <c r="AI6" s="3396"/>
      <c r="AJ6" s="3396"/>
      <c r="AK6" s="3394"/>
      <c r="AL6" s="3395"/>
      <c r="AM6" s="3396"/>
      <c r="AN6" s="3396"/>
      <c r="AO6" s="3396"/>
      <c r="AP6" s="3396"/>
      <c r="AQ6" s="3396"/>
      <c r="AR6" s="3396"/>
      <c r="AS6" s="3396"/>
      <c r="AT6" s="3396"/>
      <c r="AU6" s="3396"/>
      <c r="AV6" s="3396"/>
      <c r="AW6" s="3396"/>
      <c r="AX6" s="3396"/>
      <c r="AY6" s="3394"/>
      <c r="AZ6" s="3395"/>
      <c r="BA6" s="3396"/>
      <c r="BB6" s="3396"/>
      <c r="BC6" s="3397"/>
    </row>
    <row r="7" spans="1:60" x14ac:dyDescent="0.25">
      <c r="A7" s="215" t="s">
        <v>1888</v>
      </c>
      <c r="B7" s="1429"/>
      <c r="C7" s="217"/>
      <c r="D7" s="217"/>
      <c r="E7" s="217"/>
      <c r="F7" s="1370"/>
      <c r="G7" s="1370">
        <f>+C7+E7</f>
        <v>0</v>
      </c>
      <c r="H7" s="1422"/>
      <c r="I7" s="217"/>
      <c r="J7" s="1437"/>
      <c r="K7" s="1136">
        <f>+C7+E7+I7</f>
        <v>0</v>
      </c>
      <c r="L7" s="1422"/>
      <c r="M7" s="217"/>
      <c r="N7" s="1434"/>
      <c r="O7" s="1446">
        <f>+C7+E7+I7+M7</f>
        <v>0</v>
      </c>
      <c r="P7" s="1422"/>
      <c r="Q7" s="217"/>
      <c r="R7" s="1370"/>
      <c r="S7" s="1370">
        <f>+O7+Q7</f>
        <v>0</v>
      </c>
      <c r="T7" s="2931"/>
      <c r="U7" s="217"/>
      <c r="V7" s="1434"/>
      <c r="W7" s="1136">
        <f t="shared" ref="W7:W49" si="0">+M7+Q7+U7</f>
        <v>0</v>
      </c>
      <c r="X7" s="2935"/>
      <c r="Y7" s="2936">
        <f t="shared" ref="Y7:Y49" si="1">+K7+W7</f>
        <v>0</v>
      </c>
      <c r="Z7" s="2937"/>
      <c r="AA7" s="217"/>
      <c r="AB7" s="217"/>
      <c r="AC7" s="2932">
        <f>+Y7+AA7</f>
        <v>0</v>
      </c>
      <c r="AD7" s="2931"/>
      <c r="AE7" s="217"/>
      <c r="AF7" s="217"/>
      <c r="AG7" s="2932">
        <f>+AC7+AE7</f>
        <v>0</v>
      </c>
      <c r="AH7" s="2931"/>
      <c r="AI7" s="217"/>
      <c r="AJ7" s="1434"/>
      <c r="AK7" s="1136">
        <f t="shared" ref="AK7:AK49" si="2">+AA7+AE7+AI7</f>
        <v>0</v>
      </c>
      <c r="AL7" s="2935"/>
      <c r="AM7" s="2932">
        <f>+AG7+AI7</f>
        <v>0</v>
      </c>
      <c r="AN7" s="2931"/>
      <c r="AO7" s="217">
        <v>895</v>
      </c>
      <c r="AP7" s="217"/>
      <c r="AQ7" s="2932">
        <f>AM7+AO7</f>
        <v>895</v>
      </c>
      <c r="AR7" s="2931"/>
      <c r="AS7" s="217"/>
      <c r="AT7" s="217"/>
      <c r="AU7" s="2932">
        <f>AQ7+AS7</f>
        <v>895</v>
      </c>
      <c r="AV7" s="2931"/>
      <c r="AW7" s="217"/>
      <c r="AX7" s="1434"/>
      <c r="AY7" s="1136">
        <f t="shared" ref="AY7:AY49" si="3">+AO7+AS7+AW7</f>
        <v>895</v>
      </c>
      <c r="AZ7" s="2935"/>
      <c r="BA7" s="2936">
        <f>+AK7+AY7</f>
        <v>895</v>
      </c>
      <c r="BB7" s="2932"/>
      <c r="BC7" s="1446">
        <f t="shared" ref="BC7:BC49" si="4">AU7+AW7</f>
        <v>895</v>
      </c>
      <c r="BD7" s="3377"/>
      <c r="BE7" s="3377"/>
    </row>
    <row r="8" spans="1:60" x14ac:dyDescent="0.25">
      <c r="A8" s="215" t="s">
        <v>1889</v>
      </c>
      <c r="B8" s="1429"/>
      <c r="C8" s="217"/>
      <c r="D8" s="217"/>
      <c r="E8" s="217">
        <v>8</v>
      </c>
      <c r="F8" s="1370"/>
      <c r="G8" s="1370">
        <f t="shared" ref="G8:G49" si="5">+C8+E8</f>
        <v>8</v>
      </c>
      <c r="H8" s="1422"/>
      <c r="I8" s="217"/>
      <c r="J8" s="1437"/>
      <c r="K8" s="1136">
        <f t="shared" ref="K8:K49" si="6">+C8+E8+I8</f>
        <v>8</v>
      </c>
      <c r="L8" s="1422"/>
      <c r="M8" s="217"/>
      <c r="N8" s="1434"/>
      <c r="O8" s="1446">
        <f t="shared" ref="O8:O49" si="7">+C8+E8+I8+M8</f>
        <v>8</v>
      </c>
      <c r="P8" s="1422"/>
      <c r="Q8" s="217">
        <v>307.10399999999998</v>
      </c>
      <c r="R8" s="1370"/>
      <c r="S8" s="1370">
        <f t="shared" ref="S8:S49" si="8">+O8+Q8</f>
        <v>315.10399999999998</v>
      </c>
      <c r="T8" s="2931"/>
      <c r="U8" s="217"/>
      <c r="V8" s="1434"/>
      <c r="W8" s="1136">
        <f t="shared" si="0"/>
        <v>307.10399999999998</v>
      </c>
      <c r="X8" s="2935"/>
      <c r="Y8" s="2936">
        <f t="shared" si="1"/>
        <v>315.10399999999998</v>
      </c>
      <c r="Z8" s="2937"/>
      <c r="AA8" s="217">
        <v>34</v>
      </c>
      <c r="AB8" s="217"/>
      <c r="AC8" s="2932">
        <f t="shared" ref="AC8:AC49" si="9">+Y8+AA8</f>
        <v>349.10399999999998</v>
      </c>
      <c r="AD8" s="2931"/>
      <c r="AE8" s="217"/>
      <c r="AF8" s="217"/>
      <c r="AG8" s="2932">
        <f t="shared" ref="AG8:AG49" si="10">+AC8+AE8</f>
        <v>349.10399999999998</v>
      </c>
      <c r="AH8" s="2931"/>
      <c r="AI8" s="217"/>
      <c r="AJ8" s="1434"/>
      <c r="AK8" s="1136">
        <f t="shared" si="2"/>
        <v>34</v>
      </c>
      <c r="AL8" s="2935"/>
      <c r="AM8" s="2932">
        <f t="shared" ref="AM8:AM49" si="11">+AG8+AI8</f>
        <v>349.10399999999998</v>
      </c>
      <c r="AN8" s="2931"/>
      <c r="AO8" s="217">
        <v>32</v>
      </c>
      <c r="AP8" s="217"/>
      <c r="AQ8" s="2932">
        <f t="shared" ref="AQ8:AQ49" si="12">AM8+AO8</f>
        <v>381.10399999999998</v>
      </c>
      <c r="AR8" s="2931"/>
      <c r="AS8" s="217">
        <v>75.492000000000004</v>
      </c>
      <c r="AT8" s="217"/>
      <c r="AU8" s="2932">
        <f t="shared" ref="AU8:AU49" si="13">AQ8+AS8</f>
        <v>456.596</v>
      </c>
      <c r="AV8" s="2931"/>
      <c r="AW8" s="217">
        <v>5.2160000000000002</v>
      </c>
      <c r="AX8" s="1434"/>
      <c r="AY8" s="1136">
        <f t="shared" si="3"/>
        <v>112.708</v>
      </c>
      <c r="AZ8" s="2935"/>
      <c r="BA8" s="2936">
        <f t="shared" ref="BA8:BA49" si="14">+AK8+AY8</f>
        <v>146.708</v>
      </c>
      <c r="BB8" s="2932"/>
      <c r="BC8" s="1446">
        <f t="shared" si="4"/>
        <v>461.81200000000001</v>
      </c>
      <c r="BD8" s="3377"/>
      <c r="BE8" s="3377"/>
      <c r="BG8" s="3377"/>
      <c r="BH8" s="3377"/>
    </row>
    <row r="9" spans="1:60" x14ac:dyDescent="0.25">
      <c r="A9" s="6736" t="s">
        <v>2212</v>
      </c>
      <c r="B9" s="1429"/>
      <c r="C9" s="6720"/>
      <c r="D9" s="6720"/>
      <c r="E9" s="6720"/>
      <c r="F9" s="6721"/>
      <c r="G9" s="6721"/>
      <c r="H9" s="6722"/>
      <c r="I9" s="6720"/>
      <c r="J9" s="1437"/>
      <c r="K9" s="5470"/>
      <c r="L9" s="6722"/>
      <c r="M9" s="6720"/>
      <c r="N9" s="1434"/>
      <c r="O9" s="5472"/>
      <c r="P9" s="6722"/>
      <c r="Q9" s="6720"/>
      <c r="R9" s="6721"/>
      <c r="S9" s="6721"/>
      <c r="T9" s="6723"/>
      <c r="U9" s="6720"/>
      <c r="V9" s="1434"/>
      <c r="W9" s="5470"/>
      <c r="X9" s="6724"/>
      <c r="Y9" s="6725"/>
      <c r="Z9" s="6726"/>
      <c r="AA9" s="6720"/>
      <c r="AB9" s="6720"/>
      <c r="AC9" s="6727"/>
      <c r="AD9" s="6723"/>
      <c r="AE9" s="6720"/>
      <c r="AF9" s="6720"/>
      <c r="AG9" s="6727"/>
      <c r="AH9" s="6723"/>
      <c r="AI9" s="6720"/>
      <c r="AJ9" s="1434"/>
      <c r="AK9" s="5470"/>
      <c r="AL9" s="6724"/>
      <c r="AM9" s="2932">
        <f t="shared" si="11"/>
        <v>0</v>
      </c>
      <c r="AN9" s="6723"/>
      <c r="AO9" s="6720">
        <v>1655</v>
      </c>
      <c r="AP9" s="6720"/>
      <c r="AQ9" s="2932">
        <f t="shared" si="12"/>
        <v>1655</v>
      </c>
      <c r="AR9" s="6723"/>
      <c r="AS9" s="6720"/>
      <c r="AT9" s="6720"/>
      <c r="AU9" s="6727">
        <f t="shared" si="13"/>
        <v>1655</v>
      </c>
      <c r="AV9" s="6723"/>
      <c r="AW9" s="6720">
        <v>2258.1779999999999</v>
      </c>
      <c r="AX9" s="1434"/>
      <c r="AY9" s="1136">
        <f t="shared" si="3"/>
        <v>3913.1779999999999</v>
      </c>
      <c r="AZ9" s="6724"/>
      <c r="BA9" s="2936">
        <f t="shared" si="14"/>
        <v>3913.1779999999999</v>
      </c>
      <c r="BB9" s="6727"/>
      <c r="BC9" s="1446">
        <f t="shared" si="4"/>
        <v>3913.1779999999999</v>
      </c>
      <c r="BD9" s="3377"/>
      <c r="BE9" s="3377"/>
      <c r="BG9" s="3377"/>
      <c r="BH9" s="3377"/>
    </row>
    <row r="10" spans="1:60" x14ac:dyDescent="0.25">
      <c r="A10" s="6736" t="s">
        <v>2213</v>
      </c>
      <c r="B10" s="1429"/>
      <c r="C10" s="6720"/>
      <c r="D10" s="6720"/>
      <c r="E10" s="6720"/>
      <c r="F10" s="6721"/>
      <c r="G10" s="6721"/>
      <c r="H10" s="6722"/>
      <c r="I10" s="6720"/>
      <c r="J10" s="1437"/>
      <c r="K10" s="5470"/>
      <c r="L10" s="6722"/>
      <c r="M10" s="6720"/>
      <c r="N10" s="1434"/>
      <c r="O10" s="5472"/>
      <c r="P10" s="6722"/>
      <c r="Q10" s="6720"/>
      <c r="R10" s="6721"/>
      <c r="S10" s="6721"/>
      <c r="T10" s="6723"/>
      <c r="U10" s="6720"/>
      <c r="V10" s="1434"/>
      <c r="W10" s="5470"/>
      <c r="X10" s="6724"/>
      <c r="Y10" s="6725"/>
      <c r="Z10" s="6726"/>
      <c r="AA10" s="6720"/>
      <c r="AB10" s="6720"/>
      <c r="AC10" s="6727"/>
      <c r="AD10" s="6723"/>
      <c r="AE10" s="6720"/>
      <c r="AF10" s="6720"/>
      <c r="AG10" s="6727"/>
      <c r="AH10" s="6723"/>
      <c r="AI10" s="6720"/>
      <c r="AJ10" s="1434"/>
      <c r="AK10" s="5470"/>
      <c r="AL10" s="6724"/>
      <c r="AM10" s="2932">
        <f t="shared" si="11"/>
        <v>0</v>
      </c>
      <c r="AN10" s="6723"/>
      <c r="AO10" s="6720">
        <v>573</v>
      </c>
      <c r="AP10" s="6720"/>
      <c r="AQ10" s="2932">
        <f t="shared" si="12"/>
        <v>573</v>
      </c>
      <c r="AR10" s="6723"/>
      <c r="AS10" s="6720"/>
      <c r="AT10" s="6720"/>
      <c r="AU10" s="6727">
        <f t="shared" si="13"/>
        <v>573</v>
      </c>
      <c r="AV10" s="6723"/>
      <c r="AW10" s="6720">
        <v>372.60599999999999</v>
      </c>
      <c r="AX10" s="1434"/>
      <c r="AY10" s="1136">
        <f t="shared" si="3"/>
        <v>945.60599999999999</v>
      </c>
      <c r="AZ10" s="6724"/>
      <c r="BA10" s="2936">
        <f t="shared" si="14"/>
        <v>945.60599999999999</v>
      </c>
      <c r="BB10" s="6727"/>
      <c r="BC10" s="1446">
        <f t="shared" si="4"/>
        <v>945.60599999999999</v>
      </c>
      <c r="BD10" s="3377"/>
      <c r="BE10" s="3377"/>
      <c r="BG10" s="3377"/>
      <c r="BH10" s="3377"/>
    </row>
    <row r="11" spans="1:60" x14ac:dyDescent="0.25">
      <c r="A11" s="6736" t="s">
        <v>2211</v>
      </c>
      <c r="B11" s="1429"/>
      <c r="C11" s="6720"/>
      <c r="D11" s="6720"/>
      <c r="E11" s="6720"/>
      <c r="F11" s="6721"/>
      <c r="G11" s="6721"/>
      <c r="H11" s="6722"/>
      <c r="I11" s="6720"/>
      <c r="J11" s="1437"/>
      <c r="K11" s="5470"/>
      <c r="L11" s="6722"/>
      <c r="M11" s="6720"/>
      <c r="N11" s="1434"/>
      <c r="O11" s="5472"/>
      <c r="P11" s="6722"/>
      <c r="Q11" s="6720"/>
      <c r="R11" s="6721"/>
      <c r="S11" s="6721"/>
      <c r="T11" s="6723"/>
      <c r="U11" s="6720"/>
      <c r="V11" s="1434"/>
      <c r="W11" s="5470"/>
      <c r="X11" s="6724"/>
      <c r="Y11" s="6725"/>
      <c r="Z11" s="6726"/>
      <c r="AA11" s="6720"/>
      <c r="AB11" s="6720"/>
      <c r="AC11" s="6727"/>
      <c r="AD11" s="6723"/>
      <c r="AE11" s="6720"/>
      <c r="AF11" s="6720"/>
      <c r="AG11" s="6727"/>
      <c r="AH11" s="6723"/>
      <c r="AI11" s="6720"/>
      <c r="AJ11" s="1434"/>
      <c r="AK11" s="5470"/>
      <c r="AL11" s="6724"/>
      <c r="AM11" s="2932">
        <f t="shared" si="11"/>
        <v>0</v>
      </c>
      <c r="AN11" s="6723"/>
      <c r="AO11" s="6720">
        <v>1882</v>
      </c>
      <c r="AP11" s="6720"/>
      <c r="AQ11" s="2932">
        <f t="shared" si="12"/>
        <v>1882</v>
      </c>
      <c r="AR11" s="6723"/>
      <c r="AS11" s="6720">
        <v>1221.2460000000001</v>
      </c>
      <c r="AT11" s="6720"/>
      <c r="AU11" s="6727">
        <f t="shared" si="13"/>
        <v>3103.2460000000001</v>
      </c>
      <c r="AV11" s="6723"/>
      <c r="AW11" s="6720"/>
      <c r="AX11" s="1434"/>
      <c r="AY11" s="1136">
        <f t="shared" si="3"/>
        <v>3103.2460000000001</v>
      </c>
      <c r="AZ11" s="6724"/>
      <c r="BA11" s="2936">
        <f t="shared" si="14"/>
        <v>3103.2460000000001</v>
      </c>
      <c r="BB11" s="6727"/>
      <c r="BC11" s="1446">
        <f t="shared" si="4"/>
        <v>3103.2460000000001</v>
      </c>
      <c r="BD11" s="3377"/>
      <c r="BE11" s="3377"/>
      <c r="BG11" s="3377"/>
      <c r="BH11" s="3377"/>
    </row>
    <row r="12" spans="1:60" x14ac:dyDescent="0.25">
      <c r="A12" s="215" t="s">
        <v>1170</v>
      </c>
      <c r="B12" s="1429"/>
      <c r="C12" s="217"/>
      <c r="D12" s="217"/>
      <c r="E12" s="217">
        <v>2204</v>
      </c>
      <c r="F12" s="1370"/>
      <c r="G12" s="1370">
        <f t="shared" si="5"/>
        <v>2204</v>
      </c>
      <c r="H12" s="1422"/>
      <c r="I12" s="217"/>
      <c r="J12" s="1437"/>
      <c r="K12" s="1136">
        <f t="shared" si="6"/>
        <v>2204</v>
      </c>
      <c r="L12" s="1422"/>
      <c r="M12" s="217"/>
      <c r="N12" s="1434"/>
      <c r="O12" s="1446">
        <f t="shared" si="7"/>
        <v>2204</v>
      </c>
      <c r="P12" s="1422"/>
      <c r="Q12" s="217">
        <v>5899.3739999999998</v>
      </c>
      <c r="R12" s="1370"/>
      <c r="S12" s="1370">
        <f t="shared" si="8"/>
        <v>8103.3739999999998</v>
      </c>
      <c r="T12" s="2931"/>
      <c r="U12" s="217"/>
      <c r="V12" s="1434"/>
      <c r="W12" s="1136">
        <f t="shared" si="0"/>
        <v>5899.3739999999998</v>
      </c>
      <c r="X12" s="2935"/>
      <c r="Y12" s="2936">
        <f t="shared" si="1"/>
        <v>8103.3739999999998</v>
      </c>
      <c r="Z12" s="2937"/>
      <c r="AA12" s="217">
        <v>9050</v>
      </c>
      <c r="AB12" s="217"/>
      <c r="AC12" s="2932">
        <f t="shared" si="9"/>
        <v>17153.374</v>
      </c>
      <c r="AD12" s="2931"/>
      <c r="AE12" s="217"/>
      <c r="AF12" s="217"/>
      <c r="AG12" s="2932">
        <f t="shared" si="10"/>
        <v>17153.374</v>
      </c>
      <c r="AH12" s="2931"/>
      <c r="AI12" s="217"/>
      <c r="AJ12" s="1434"/>
      <c r="AK12" s="1136">
        <f t="shared" si="2"/>
        <v>9050</v>
      </c>
      <c r="AL12" s="2935"/>
      <c r="AM12" s="2932">
        <f t="shared" si="11"/>
        <v>17153.374</v>
      </c>
      <c r="AN12" s="2931"/>
      <c r="AO12" s="217"/>
      <c r="AP12" s="217"/>
      <c r="AQ12" s="2932">
        <f t="shared" si="12"/>
        <v>17153.374</v>
      </c>
      <c r="AR12" s="2931"/>
      <c r="AS12" s="217"/>
      <c r="AT12" s="217"/>
      <c r="AU12" s="2932">
        <f t="shared" si="13"/>
        <v>17153.374</v>
      </c>
      <c r="AV12" s="2931"/>
      <c r="AW12" s="217"/>
      <c r="AX12" s="1434"/>
      <c r="AY12" s="1136">
        <f t="shared" si="3"/>
        <v>0</v>
      </c>
      <c r="AZ12" s="2935"/>
      <c r="BA12" s="2936">
        <f t="shared" si="14"/>
        <v>9050</v>
      </c>
      <c r="BB12" s="2932"/>
      <c r="BC12" s="1446">
        <f t="shared" si="4"/>
        <v>17153.374</v>
      </c>
      <c r="BD12" s="3377"/>
      <c r="BE12" s="3377"/>
      <c r="BG12" s="3377"/>
      <c r="BH12" s="3377"/>
    </row>
    <row r="13" spans="1:60" x14ac:dyDescent="0.25">
      <c r="A13" s="215" t="s">
        <v>1211</v>
      </c>
      <c r="B13" s="1429"/>
      <c r="C13" s="217"/>
      <c r="D13" s="217"/>
      <c r="E13" s="2930"/>
      <c r="F13" s="2930"/>
      <c r="G13" s="1370">
        <f t="shared" si="5"/>
        <v>0</v>
      </c>
      <c r="H13" s="2930"/>
      <c r="I13" s="2930"/>
      <c r="J13" s="2929"/>
      <c r="K13" s="1136">
        <f t="shared" si="6"/>
        <v>0</v>
      </c>
      <c r="L13" s="2930"/>
      <c r="M13" s="2930"/>
      <c r="N13" s="2929"/>
      <c r="O13" s="1446">
        <f t="shared" si="7"/>
        <v>0</v>
      </c>
      <c r="P13" s="2930"/>
      <c r="Q13" s="2930"/>
      <c r="R13" s="2930"/>
      <c r="S13" s="1370">
        <f t="shared" si="8"/>
        <v>0</v>
      </c>
      <c r="T13" s="2932"/>
      <c r="U13" s="2930"/>
      <c r="V13" s="2929"/>
      <c r="W13" s="1136">
        <f t="shared" si="0"/>
        <v>0</v>
      </c>
      <c r="X13" s="2935"/>
      <c r="Y13" s="2936">
        <f t="shared" si="1"/>
        <v>0</v>
      </c>
      <c r="Z13" s="2936"/>
      <c r="AA13" s="2930"/>
      <c r="AB13" s="2930"/>
      <c r="AC13" s="2932">
        <f t="shared" si="9"/>
        <v>0</v>
      </c>
      <c r="AD13" s="2932"/>
      <c r="AE13" s="2930"/>
      <c r="AF13" s="2930"/>
      <c r="AG13" s="2932">
        <f t="shared" si="10"/>
        <v>0</v>
      </c>
      <c r="AH13" s="2932"/>
      <c r="AI13" s="2930"/>
      <c r="AJ13" s="2929"/>
      <c r="AK13" s="1136">
        <f t="shared" si="2"/>
        <v>0</v>
      </c>
      <c r="AL13" s="2935"/>
      <c r="AM13" s="2932">
        <f t="shared" si="11"/>
        <v>0</v>
      </c>
      <c r="AN13" s="2932"/>
      <c r="AO13" s="2930"/>
      <c r="AP13" s="2930"/>
      <c r="AQ13" s="2932">
        <f t="shared" si="12"/>
        <v>0</v>
      </c>
      <c r="AR13" s="2932"/>
      <c r="AS13" s="2930"/>
      <c r="AT13" s="2930"/>
      <c r="AU13" s="2932">
        <f t="shared" si="13"/>
        <v>0</v>
      </c>
      <c r="AV13" s="2932"/>
      <c r="AW13" s="2930"/>
      <c r="AX13" s="2929"/>
      <c r="AY13" s="1136">
        <f t="shared" si="3"/>
        <v>0</v>
      </c>
      <c r="AZ13" s="2935"/>
      <c r="BA13" s="2936">
        <f t="shared" si="14"/>
        <v>0</v>
      </c>
      <c r="BB13" s="2932"/>
      <c r="BC13" s="1446">
        <f t="shared" si="4"/>
        <v>0</v>
      </c>
      <c r="BD13" s="3377"/>
      <c r="BE13" s="3377"/>
      <c r="BG13" s="3377"/>
      <c r="BH13" s="3377"/>
    </row>
    <row r="14" spans="1:60" ht="15.75" customHeight="1" x14ac:dyDescent="0.25">
      <c r="A14" s="215" t="s">
        <v>1169</v>
      </c>
      <c r="B14" s="1429"/>
      <c r="C14" s="217"/>
      <c r="D14" s="217"/>
      <c r="E14" s="217"/>
      <c r="F14" s="217"/>
      <c r="G14" s="1370">
        <f t="shared" si="5"/>
        <v>0</v>
      </c>
      <c r="H14" s="217"/>
      <c r="I14" s="217"/>
      <c r="J14" s="1434"/>
      <c r="K14" s="1136">
        <f t="shared" si="6"/>
        <v>0</v>
      </c>
      <c r="L14" s="217"/>
      <c r="M14" s="217"/>
      <c r="N14" s="1434"/>
      <c r="O14" s="1446">
        <f t="shared" si="7"/>
        <v>0</v>
      </c>
      <c r="P14" s="217"/>
      <c r="Q14" s="217"/>
      <c r="R14" s="217"/>
      <c r="S14" s="1370">
        <f t="shared" si="8"/>
        <v>0</v>
      </c>
      <c r="T14" s="2931"/>
      <c r="U14" s="217"/>
      <c r="V14" s="1434"/>
      <c r="W14" s="1136">
        <f t="shared" si="0"/>
        <v>0</v>
      </c>
      <c r="X14" s="2935"/>
      <c r="Y14" s="2936">
        <f t="shared" si="1"/>
        <v>0</v>
      </c>
      <c r="Z14" s="2937"/>
      <c r="AA14" s="217"/>
      <c r="AB14" s="217"/>
      <c r="AC14" s="2932">
        <f t="shared" si="9"/>
        <v>0</v>
      </c>
      <c r="AD14" s="2931"/>
      <c r="AE14" s="217"/>
      <c r="AF14" s="217"/>
      <c r="AG14" s="2932">
        <f t="shared" si="10"/>
        <v>0</v>
      </c>
      <c r="AH14" s="2931"/>
      <c r="AI14" s="217"/>
      <c r="AJ14" s="1434"/>
      <c r="AK14" s="1136">
        <f t="shared" si="2"/>
        <v>0</v>
      </c>
      <c r="AL14" s="2935"/>
      <c r="AM14" s="2932">
        <f t="shared" si="11"/>
        <v>0</v>
      </c>
      <c r="AN14" s="2931"/>
      <c r="AO14" s="217"/>
      <c r="AP14" s="217"/>
      <c r="AQ14" s="2932">
        <f t="shared" si="12"/>
        <v>0</v>
      </c>
      <c r="AR14" s="2931"/>
      <c r="AS14" s="217"/>
      <c r="AT14" s="217"/>
      <c r="AU14" s="2932">
        <f t="shared" si="13"/>
        <v>0</v>
      </c>
      <c r="AV14" s="2931"/>
      <c r="AW14" s="217"/>
      <c r="AX14" s="1434"/>
      <c r="AY14" s="1136">
        <f t="shared" si="3"/>
        <v>0</v>
      </c>
      <c r="AZ14" s="2935"/>
      <c r="BA14" s="2936">
        <f t="shared" si="14"/>
        <v>0</v>
      </c>
      <c r="BB14" s="2932"/>
      <c r="BC14" s="1446">
        <f t="shared" si="4"/>
        <v>0</v>
      </c>
      <c r="BD14" s="3377"/>
      <c r="BE14" s="3377"/>
      <c r="BG14" s="3377"/>
      <c r="BH14" s="3377"/>
    </row>
    <row r="15" spans="1:60" ht="15.75" customHeight="1" x14ac:dyDescent="0.25">
      <c r="A15" s="6736" t="s">
        <v>2256</v>
      </c>
      <c r="B15" s="1429"/>
      <c r="C15" s="6720"/>
      <c r="D15" s="6720"/>
      <c r="E15" s="6720"/>
      <c r="F15" s="6720"/>
      <c r="G15" s="6721"/>
      <c r="H15" s="6720"/>
      <c r="I15" s="6720"/>
      <c r="J15" s="1434"/>
      <c r="K15" s="5470"/>
      <c r="L15" s="6720"/>
      <c r="M15" s="6720"/>
      <c r="N15" s="1434"/>
      <c r="O15" s="5472"/>
      <c r="P15" s="6720"/>
      <c r="Q15" s="6720"/>
      <c r="R15" s="6720"/>
      <c r="S15" s="6721"/>
      <c r="T15" s="6723"/>
      <c r="U15" s="6720"/>
      <c r="V15" s="1434"/>
      <c r="W15" s="5470"/>
      <c r="X15" s="6724"/>
      <c r="Y15" s="6725"/>
      <c r="Z15" s="6726"/>
      <c r="AA15" s="6720"/>
      <c r="AB15" s="6720"/>
      <c r="AC15" s="6727"/>
      <c r="AD15" s="6723"/>
      <c r="AE15" s="6720"/>
      <c r="AF15" s="6720"/>
      <c r="AG15" s="6727"/>
      <c r="AH15" s="6723"/>
      <c r="AI15" s="6720"/>
      <c r="AJ15" s="1434"/>
      <c r="AK15" s="5470"/>
      <c r="AL15" s="6724"/>
      <c r="AM15" s="6727"/>
      <c r="AN15" s="6723"/>
      <c r="AO15" s="6720"/>
      <c r="AP15" s="6720"/>
      <c r="AQ15" s="6727"/>
      <c r="AR15" s="6723"/>
      <c r="AS15" s="6720">
        <v>451.18200000000002</v>
      </c>
      <c r="AT15" s="6720"/>
      <c r="AU15" s="2932">
        <f t="shared" si="13"/>
        <v>451.18200000000002</v>
      </c>
      <c r="AV15" s="6723"/>
      <c r="AW15" s="6720">
        <v>116.90900000000001</v>
      </c>
      <c r="AX15" s="1434"/>
      <c r="AY15" s="1136">
        <f t="shared" si="3"/>
        <v>568.09100000000001</v>
      </c>
      <c r="AZ15" s="6724"/>
      <c r="BA15" s="2936">
        <f t="shared" si="14"/>
        <v>568.09100000000001</v>
      </c>
      <c r="BB15" s="6727"/>
      <c r="BC15" s="1446">
        <f t="shared" si="4"/>
        <v>568.09100000000001</v>
      </c>
      <c r="BD15" s="3377"/>
      <c r="BE15" s="3377"/>
      <c r="BG15" s="3377"/>
      <c r="BH15" s="3377"/>
    </row>
    <row r="16" spans="1:60" ht="15.75" customHeight="1" x14ac:dyDescent="0.25">
      <c r="A16" s="215" t="s">
        <v>1254</v>
      </c>
      <c r="B16" s="1429"/>
      <c r="C16" s="217"/>
      <c r="D16" s="217"/>
      <c r="E16" s="217">
        <v>2438</v>
      </c>
      <c r="F16" s="217"/>
      <c r="G16" s="1370">
        <f t="shared" si="5"/>
        <v>2438</v>
      </c>
      <c r="H16" s="217"/>
      <c r="I16" s="217"/>
      <c r="J16" s="1434"/>
      <c r="K16" s="1136">
        <f t="shared" si="6"/>
        <v>2438</v>
      </c>
      <c r="L16" s="217"/>
      <c r="M16" s="217"/>
      <c r="N16" s="1434"/>
      <c r="O16" s="1446">
        <f t="shared" si="7"/>
        <v>2438</v>
      </c>
      <c r="P16" s="217"/>
      <c r="Q16" s="217">
        <v>3085.098</v>
      </c>
      <c r="R16" s="217"/>
      <c r="S16" s="1370">
        <f t="shared" si="8"/>
        <v>5523.098</v>
      </c>
      <c r="T16" s="2931"/>
      <c r="U16" s="217"/>
      <c r="V16" s="1434"/>
      <c r="W16" s="1136">
        <f t="shared" si="0"/>
        <v>3085.098</v>
      </c>
      <c r="X16" s="2935"/>
      <c r="Y16" s="2936">
        <f t="shared" si="1"/>
        <v>5523.098</v>
      </c>
      <c r="Z16" s="2937"/>
      <c r="AA16" s="217">
        <v>5633</v>
      </c>
      <c r="AB16" s="217"/>
      <c r="AC16" s="2932">
        <f t="shared" si="9"/>
        <v>11156.098</v>
      </c>
      <c r="AD16" s="2931"/>
      <c r="AE16" s="217"/>
      <c r="AF16" s="217"/>
      <c r="AG16" s="2932">
        <f t="shared" si="10"/>
        <v>11156.098</v>
      </c>
      <c r="AH16" s="2931"/>
      <c r="AI16" s="217"/>
      <c r="AJ16" s="1434"/>
      <c r="AK16" s="1136">
        <f t="shared" si="2"/>
        <v>5633</v>
      </c>
      <c r="AL16" s="2935"/>
      <c r="AM16" s="2932">
        <f t="shared" si="11"/>
        <v>11156.098</v>
      </c>
      <c r="AN16" s="2931"/>
      <c r="AO16" s="217">
        <v>5924</v>
      </c>
      <c r="AP16" s="217"/>
      <c r="AQ16" s="2932">
        <f t="shared" si="12"/>
        <v>17080.097999999998</v>
      </c>
      <c r="AR16" s="2931"/>
      <c r="AS16" s="217">
        <v>6684.3289999999997</v>
      </c>
      <c r="AT16" s="217"/>
      <c r="AU16" s="2932">
        <f t="shared" si="13"/>
        <v>23764.426999999996</v>
      </c>
      <c r="AV16" s="2931"/>
      <c r="AW16" s="217">
        <v>4088.8119999999999</v>
      </c>
      <c r="AX16" s="1434"/>
      <c r="AY16" s="1136">
        <f t="shared" si="3"/>
        <v>16697.141</v>
      </c>
      <c r="AZ16" s="2935"/>
      <c r="BA16" s="2936">
        <f t="shared" si="14"/>
        <v>22330.141</v>
      </c>
      <c r="BB16" s="2932"/>
      <c r="BC16" s="1446">
        <f t="shared" si="4"/>
        <v>27853.238999999994</v>
      </c>
      <c r="BD16" s="3377"/>
      <c r="BE16" s="3377"/>
      <c r="BG16" s="3377"/>
      <c r="BH16" s="3377"/>
    </row>
    <row r="17" spans="1:60" s="7219" customFormat="1" ht="15.75" customHeight="1" thickBot="1" x14ac:dyDescent="0.3">
      <c r="A17" s="1423" t="s">
        <v>1290</v>
      </c>
      <c r="B17" s="1432"/>
      <c r="C17" s="1422"/>
      <c r="D17" s="1422"/>
      <c r="E17" s="1422">
        <v>69</v>
      </c>
      <c r="F17" s="1422"/>
      <c r="G17" s="1422">
        <f t="shared" si="5"/>
        <v>69</v>
      </c>
      <c r="H17" s="1422"/>
      <c r="I17" s="1422"/>
      <c r="J17" s="7212"/>
      <c r="K17" s="7213">
        <f t="shared" si="6"/>
        <v>69</v>
      </c>
      <c r="L17" s="1422"/>
      <c r="M17" s="1422"/>
      <c r="N17" s="7212"/>
      <c r="O17" s="7213">
        <f t="shared" si="7"/>
        <v>69</v>
      </c>
      <c r="P17" s="1422"/>
      <c r="Q17" s="1422">
        <v>274.29000000000002</v>
      </c>
      <c r="R17" s="1422"/>
      <c r="S17" s="1422">
        <f t="shared" si="8"/>
        <v>343.29</v>
      </c>
      <c r="T17" s="7214"/>
      <c r="U17" s="1422"/>
      <c r="V17" s="7212"/>
      <c r="W17" s="7213">
        <f t="shared" si="0"/>
        <v>274.29000000000002</v>
      </c>
      <c r="X17" s="7215"/>
      <c r="Y17" s="7216">
        <f t="shared" si="1"/>
        <v>343.29</v>
      </c>
      <c r="Z17" s="7214"/>
      <c r="AA17" s="1422">
        <v>107</v>
      </c>
      <c r="AB17" s="1422"/>
      <c r="AC17" s="7216">
        <f t="shared" si="9"/>
        <v>450.29</v>
      </c>
      <c r="AD17" s="7214"/>
      <c r="AE17" s="1422"/>
      <c r="AF17" s="1422"/>
      <c r="AG17" s="7216">
        <f t="shared" si="10"/>
        <v>450.29</v>
      </c>
      <c r="AH17" s="7214"/>
      <c r="AI17" s="1422"/>
      <c r="AJ17" s="7212"/>
      <c r="AK17" s="7213">
        <f t="shared" si="2"/>
        <v>107</v>
      </c>
      <c r="AL17" s="7215"/>
      <c r="AM17" s="7216">
        <f t="shared" si="11"/>
        <v>450.29</v>
      </c>
      <c r="AN17" s="7214"/>
      <c r="AO17" s="1422">
        <v>199</v>
      </c>
      <c r="AP17" s="1422"/>
      <c r="AQ17" s="7216">
        <f t="shared" si="12"/>
        <v>649.29</v>
      </c>
      <c r="AR17" s="1422"/>
      <c r="AS17" s="1422">
        <v>89.55</v>
      </c>
      <c r="AT17" s="1422"/>
      <c r="AU17" s="7216">
        <f t="shared" si="13"/>
        <v>738.83999999999992</v>
      </c>
      <c r="AV17" s="1422"/>
      <c r="AW17" s="1422">
        <v>111.07899999999999</v>
      </c>
      <c r="AX17" s="7212"/>
      <c r="AY17" s="7213">
        <f t="shared" si="3"/>
        <v>399.62900000000002</v>
      </c>
      <c r="AZ17" s="7215"/>
      <c r="BA17" s="7216">
        <f t="shared" si="14"/>
        <v>506.62900000000002</v>
      </c>
      <c r="BB17" s="7217"/>
      <c r="BC17" s="7213">
        <f t="shared" si="4"/>
        <v>849.91899999999987</v>
      </c>
      <c r="BD17" s="7218"/>
      <c r="BE17" s="7218"/>
      <c r="BG17" s="7218"/>
      <c r="BH17" s="7218"/>
    </row>
    <row r="18" spans="1:60" ht="16.5" thickBot="1" x14ac:dyDescent="0.3">
      <c r="A18" s="3379" t="s">
        <v>622</v>
      </c>
      <c r="B18" s="3380"/>
      <c r="C18" s="3381">
        <f>SUM(C7:C17)</f>
        <v>0</v>
      </c>
      <c r="D18" s="3381"/>
      <c r="E18" s="3381">
        <f>SUM(E7:E17)</f>
        <v>4719</v>
      </c>
      <c r="F18" s="3381"/>
      <c r="G18" s="1370">
        <f t="shared" si="5"/>
        <v>4719</v>
      </c>
      <c r="H18" s="3381"/>
      <c r="I18" s="3381">
        <f>SUM(I7:I17)</f>
        <v>0</v>
      </c>
      <c r="J18" s="3381"/>
      <c r="K18" s="1136">
        <f t="shared" si="6"/>
        <v>4719</v>
      </c>
      <c r="L18" s="3381"/>
      <c r="M18" s="3381">
        <f>SUM(M7:M17)</f>
        <v>0</v>
      </c>
      <c r="N18" s="3381"/>
      <c r="O18" s="1446">
        <f t="shared" si="7"/>
        <v>4719</v>
      </c>
      <c r="P18" s="3381"/>
      <c r="Q18" s="3381">
        <f>SUM(Q7:Q17)</f>
        <v>9565.8660000000018</v>
      </c>
      <c r="R18" s="3381"/>
      <c r="S18" s="1370">
        <f t="shared" si="8"/>
        <v>14284.866000000002</v>
      </c>
      <c r="T18" s="3381"/>
      <c r="U18" s="3381">
        <f>SUM(U7:U17)</f>
        <v>0</v>
      </c>
      <c r="V18" s="3381"/>
      <c r="W18" s="1136">
        <f t="shared" si="0"/>
        <v>9565.8660000000018</v>
      </c>
      <c r="X18" s="3381"/>
      <c r="Y18" s="2936">
        <f t="shared" si="1"/>
        <v>14284.866000000002</v>
      </c>
      <c r="Z18" s="3381"/>
      <c r="AA18" s="3381">
        <f>SUM(AA7:AA17)</f>
        <v>14824</v>
      </c>
      <c r="AB18" s="3381"/>
      <c r="AC18" s="2932">
        <f t="shared" si="9"/>
        <v>29108.866000000002</v>
      </c>
      <c r="AD18" s="3381"/>
      <c r="AE18" s="3381">
        <f>SUM(AE7:AE17)</f>
        <v>0</v>
      </c>
      <c r="AF18" s="3381"/>
      <c r="AG18" s="2932">
        <f t="shared" si="10"/>
        <v>29108.866000000002</v>
      </c>
      <c r="AH18" s="3381"/>
      <c r="AI18" s="3381">
        <f>SUM(AI7:AI17)</f>
        <v>0</v>
      </c>
      <c r="AJ18" s="3381"/>
      <c r="AK18" s="1136">
        <f t="shared" si="2"/>
        <v>14824</v>
      </c>
      <c r="AL18" s="3381"/>
      <c r="AM18" s="2932">
        <f t="shared" si="11"/>
        <v>29108.866000000002</v>
      </c>
      <c r="AN18" s="3381"/>
      <c r="AO18" s="3381">
        <f>SUM(AO7:AO17)</f>
        <v>11160</v>
      </c>
      <c r="AP18" s="3381"/>
      <c r="AQ18" s="2932">
        <f t="shared" si="12"/>
        <v>40268.866000000002</v>
      </c>
      <c r="AR18" s="3381"/>
      <c r="AS18" s="3381">
        <f>SUM(AS7:AS17)</f>
        <v>8521.7989999999991</v>
      </c>
      <c r="AT18" s="3381"/>
      <c r="AU18" s="2932">
        <f t="shared" si="13"/>
        <v>48790.665000000001</v>
      </c>
      <c r="AV18" s="3381"/>
      <c r="AW18" s="3381">
        <f>SUM(AW7:AW17)</f>
        <v>6952.7999999999993</v>
      </c>
      <c r="AX18" s="3381"/>
      <c r="AY18" s="1136">
        <f t="shared" si="3"/>
        <v>26634.598999999998</v>
      </c>
      <c r="AZ18" s="3381"/>
      <c r="BA18" s="2936">
        <f t="shared" si="14"/>
        <v>41458.599000000002</v>
      </c>
      <c r="BB18" s="3381"/>
      <c r="BC18" s="1446">
        <f t="shared" si="4"/>
        <v>55743.464999999997</v>
      </c>
      <c r="BD18" s="3377"/>
      <c r="BE18" s="3377"/>
      <c r="BG18" s="3377"/>
      <c r="BH18" s="3377"/>
    </row>
    <row r="19" spans="1:60" ht="16.5" thickBot="1" x14ac:dyDescent="0.3">
      <c r="A19" s="3360"/>
      <c r="B19" s="3360"/>
      <c r="C19" s="3376"/>
      <c r="D19" s="3376"/>
      <c r="E19" s="3376"/>
      <c r="F19" s="3376"/>
      <c r="G19" s="1370">
        <f t="shared" si="5"/>
        <v>0</v>
      </c>
      <c r="H19" s="3376"/>
      <c r="I19" s="3376"/>
      <c r="J19" s="3376"/>
      <c r="K19" s="1136">
        <f t="shared" si="6"/>
        <v>0</v>
      </c>
      <c r="L19" s="3360"/>
      <c r="M19" s="3376"/>
      <c r="N19" s="3376"/>
      <c r="O19" s="1446">
        <f t="shared" si="7"/>
        <v>0</v>
      </c>
      <c r="P19" s="3360"/>
      <c r="Q19" s="3376"/>
      <c r="R19" s="3376"/>
      <c r="S19" s="1370">
        <f t="shared" si="8"/>
        <v>0</v>
      </c>
      <c r="T19" s="3376"/>
      <c r="U19" s="3376"/>
      <c r="V19" s="3376"/>
      <c r="W19" s="1136">
        <f t="shared" si="0"/>
        <v>0</v>
      </c>
      <c r="X19" s="3376"/>
      <c r="Y19" s="2936">
        <f t="shared" si="1"/>
        <v>0</v>
      </c>
      <c r="Z19" s="3376"/>
      <c r="AA19" s="3376"/>
      <c r="AB19" s="3376"/>
      <c r="AC19" s="2932">
        <f t="shared" si="9"/>
        <v>0</v>
      </c>
      <c r="AD19" s="3376"/>
      <c r="AE19" s="3376"/>
      <c r="AF19" s="3376"/>
      <c r="AG19" s="2932">
        <f t="shared" si="10"/>
        <v>0</v>
      </c>
      <c r="AH19" s="3376"/>
      <c r="AI19" s="3376"/>
      <c r="AJ19" s="3376"/>
      <c r="AK19" s="1136">
        <f t="shared" si="2"/>
        <v>0</v>
      </c>
      <c r="AL19" s="3376"/>
      <c r="AM19" s="2932">
        <f t="shared" si="11"/>
        <v>0</v>
      </c>
      <c r="AN19" s="3376"/>
      <c r="AO19" s="3376"/>
      <c r="AP19" s="3376"/>
      <c r="AQ19" s="2932">
        <f t="shared" si="12"/>
        <v>0</v>
      </c>
      <c r="AR19" s="3376"/>
      <c r="AS19" s="3376"/>
      <c r="AT19" s="3376"/>
      <c r="AU19" s="2932">
        <f t="shared" si="13"/>
        <v>0</v>
      </c>
      <c r="AV19" s="3376"/>
      <c r="AW19" s="3376"/>
      <c r="AX19" s="3376"/>
      <c r="AY19" s="1136">
        <f t="shared" si="3"/>
        <v>0</v>
      </c>
      <c r="AZ19" s="3376"/>
      <c r="BA19" s="2936">
        <f t="shared" si="14"/>
        <v>0</v>
      </c>
      <c r="BB19" s="3376"/>
      <c r="BC19" s="1446">
        <f t="shared" si="4"/>
        <v>0</v>
      </c>
      <c r="BD19" s="3377"/>
      <c r="BE19" s="3377"/>
      <c r="BG19" s="3377"/>
      <c r="BH19" s="3377"/>
    </row>
    <row r="20" spans="1:60" ht="16.5" thickBot="1" x14ac:dyDescent="0.3">
      <c r="A20" s="5338" t="s">
        <v>1037</v>
      </c>
      <c r="B20" s="5339"/>
      <c r="C20" s="1149"/>
      <c r="D20" s="1149"/>
      <c r="E20" s="1149"/>
      <c r="F20" s="1149"/>
      <c r="G20" s="1370">
        <f t="shared" si="5"/>
        <v>0</v>
      </c>
      <c r="H20" s="1149"/>
      <c r="I20" s="1149"/>
      <c r="J20" s="1149"/>
      <c r="K20" s="1136">
        <f t="shared" si="6"/>
        <v>0</v>
      </c>
      <c r="L20" s="1149"/>
      <c r="M20" s="1149"/>
      <c r="N20" s="1149"/>
      <c r="O20" s="1446">
        <f t="shared" si="7"/>
        <v>0</v>
      </c>
      <c r="P20" s="1149"/>
      <c r="Q20" s="1149"/>
      <c r="R20" s="1149"/>
      <c r="S20" s="1370">
        <f t="shared" si="8"/>
        <v>0</v>
      </c>
      <c r="T20" s="1151"/>
      <c r="U20" s="1149"/>
      <c r="V20" s="1149"/>
      <c r="W20" s="1136">
        <f t="shared" si="0"/>
        <v>0</v>
      </c>
      <c r="X20" s="1151"/>
      <c r="Y20" s="2936">
        <f t="shared" si="1"/>
        <v>0</v>
      </c>
      <c r="Z20" s="1151"/>
      <c r="AA20" s="1149"/>
      <c r="AB20" s="1149"/>
      <c r="AC20" s="2932">
        <f t="shared" si="9"/>
        <v>0</v>
      </c>
      <c r="AD20" s="1151"/>
      <c r="AE20" s="1149"/>
      <c r="AF20" s="1149"/>
      <c r="AG20" s="2932">
        <f t="shared" si="10"/>
        <v>0</v>
      </c>
      <c r="AH20" s="1151"/>
      <c r="AI20" s="1149"/>
      <c r="AJ20" s="1149"/>
      <c r="AK20" s="1136">
        <f t="shared" si="2"/>
        <v>0</v>
      </c>
      <c r="AL20" s="1151"/>
      <c r="AM20" s="2932">
        <f t="shared" si="11"/>
        <v>0</v>
      </c>
      <c r="AN20" s="1151"/>
      <c r="AO20" s="1149"/>
      <c r="AP20" s="1149"/>
      <c r="AQ20" s="2932">
        <f t="shared" si="12"/>
        <v>0</v>
      </c>
      <c r="AR20" s="1151"/>
      <c r="AS20" s="1149"/>
      <c r="AT20" s="1149"/>
      <c r="AU20" s="2932">
        <f t="shared" si="13"/>
        <v>0</v>
      </c>
      <c r="AV20" s="1151"/>
      <c r="AW20" s="1149"/>
      <c r="AX20" s="1149"/>
      <c r="AY20" s="1136">
        <f t="shared" si="3"/>
        <v>0</v>
      </c>
      <c r="AZ20" s="1151"/>
      <c r="BA20" s="2936">
        <f t="shared" si="14"/>
        <v>0</v>
      </c>
      <c r="BB20" s="1151"/>
      <c r="BC20" s="1446">
        <f t="shared" si="4"/>
        <v>0</v>
      </c>
      <c r="BD20" s="3377"/>
      <c r="BE20" s="3377"/>
      <c r="BG20" s="3377"/>
      <c r="BH20" s="3377"/>
    </row>
    <row r="21" spans="1:60" x14ac:dyDescent="0.25">
      <c r="A21" s="5333" t="s">
        <v>1532</v>
      </c>
      <c r="B21" s="5334"/>
      <c r="C21" s="236"/>
      <c r="D21" s="236"/>
      <c r="E21" s="236">
        <v>546</v>
      </c>
      <c r="F21" s="5335"/>
      <c r="G21" s="1370">
        <f t="shared" si="5"/>
        <v>546</v>
      </c>
      <c r="H21" s="5336"/>
      <c r="I21" s="236">
        <v>1357</v>
      </c>
      <c r="J21" s="5337"/>
      <c r="K21" s="1136">
        <f t="shared" si="6"/>
        <v>1903</v>
      </c>
      <c r="L21" s="5336"/>
      <c r="M21" s="1142">
        <v>578</v>
      </c>
      <c r="N21" s="237"/>
      <c r="O21" s="1446">
        <f t="shared" si="7"/>
        <v>2481</v>
      </c>
      <c r="P21" s="5336"/>
      <c r="Q21" s="1142"/>
      <c r="R21" s="5335"/>
      <c r="S21" s="1370">
        <f t="shared" si="8"/>
        <v>2481</v>
      </c>
      <c r="T21" s="2933"/>
      <c r="U21" s="1142">
        <v>296</v>
      </c>
      <c r="V21" s="237"/>
      <c r="W21" s="1136">
        <f t="shared" si="0"/>
        <v>874</v>
      </c>
      <c r="X21" s="2824"/>
      <c r="Y21" s="2936">
        <f t="shared" si="1"/>
        <v>2777</v>
      </c>
      <c r="Z21" s="2938"/>
      <c r="AA21" s="1142"/>
      <c r="AB21" s="1142"/>
      <c r="AC21" s="2932">
        <f t="shared" si="9"/>
        <v>2777</v>
      </c>
      <c r="AD21" s="2933"/>
      <c r="AE21" s="1142">
        <v>423.89100000000002</v>
      </c>
      <c r="AF21" s="1142"/>
      <c r="AG21" s="2932">
        <f t="shared" si="10"/>
        <v>3200.8910000000001</v>
      </c>
      <c r="AH21" s="2933"/>
      <c r="AI21" s="1142"/>
      <c r="AJ21" s="237"/>
      <c r="AK21" s="1136">
        <f t="shared" si="2"/>
        <v>423.89100000000002</v>
      </c>
      <c r="AL21" s="2824"/>
      <c r="AM21" s="2932">
        <f t="shared" si="11"/>
        <v>3200.8910000000001</v>
      </c>
      <c r="AN21" s="2933"/>
      <c r="AO21" s="1142"/>
      <c r="AP21" s="1142"/>
      <c r="AQ21" s="2932">
        <f t="shared" si="12"/>
        <v>3200.8910000000001</v>
      </c>
      <c r="AR21" s="2933"/>
      <c r="AS21" s="1142"/>
      <c r="AT21" s="1142"/>
      <c r="AU21" s="2932">
        <f t="shared" si="13"/>
        <v>3200.8910000000001</v>
      </c>
      <c r="AV21" s="2933"/>
      <c r="AW21" s="1142"/>
      <c r="AX21" s="237"/>
      <c r="AY21" s="1136">
        <f t="shared" si="3"/>
        <v>0</v>
      </c>
      <c r="AZ21" s="2824"/>
      <c r="BA21" s="2936">
        <f t="shared" si="14"/>
        <v>423.89100000000002</v>
      </c>
      <c r="BB21" s="238"/>
      <c r="BC21" s="1446">
        <f t="shared" si="4"/>
        <v>3200.8910000000001</v>
      </c>
      <c r="BD21" s="3377"/>
      <c r="BE21" s="3377"/>
      <c r="BG21" s="3377"/>
      <c r="BH21" s="3377"/>
    </row>
    <row r="22" spans="1:60" x14ac:dyDescent="0.25">
      <c r="A22" s="3386" t="s">
        <v>1781</v>
      </c>
      <c r="B22" s="3387"/>
      <c r="C22" s="2930"/>
      <c r="D22" s="2930"/>
      <c r="E22" s="2930">
        <v>157</v>
      </c>
      <c r="F22" s="1370"/>
      <c r="G22" s="1370">
        <f t="shared" si="5"/>
        <v>157</v>
      </c>
      <c r="H22" s="1422"/>
      <c r="I22" s="2930"/>
      <c r="J22" s="1437"/>
      <c r="K22" s="1136">
        <f t="shared" si="6"/>
        <v>157</v>
      </c>
      <c r="L22" s="1422"/>
      <c r="M22" s="217"/>
      <c r="N22" s="1434"/>
      <c r="O22" s="1446">
        <f t="shared" si="7"/>
        <v>157</v>
      </c>
      <c r="P22" s="1422"/>
      <c r="Q22" s="217">
        <v>157.30000000000001</v>
      </c>
      <c r="R22" s="1370"/>
      <c r="S22" s="1370">
        <f t="shared" si="8"/>
        <v>314.3</v>
      </c>
      <c r="T22" s="2933"/>
      <c r="U22" s="217"/>
      <c r="V22" s="237"/>
      <c r="W22" s="1136">
        <f t="shared" si="0"/>
        <v>157.30000000000001</v>
      </c>
      <c r="X22" s="2824"/>
      <c r="Y22" s="2936">
        <f t="shared" si="1"/>
        <v>314.3</v>
      </c>
      <c r="Z22" s="2938"/>
      <c r="AA22" s="217"/>
      <c r="AB22" s="1142"/>
      <c r="AC22" s="2932">
        <f t="shared" si="9"/>
        <v>314.3</v>
      </c>
      <c r="AD22" s="2933"/>
      <c r="AE22" s="217">
        <v>260.97500000000002</v>
      </c>
      <c r="AF22" s="1142"/>
      <c r="AG22" s="2932">
        <f t="shared" si="10"/>
        <v>575.27500000000009</v>
      </c>
      <c r="AH22" s="2933"/>
      <c r="AI22" s="217"/>
      <c r="AJ22" s="237"/>
      <c r="AK22" s="1136">
        <f t="shared" si="2"/>
        <v>260.97500000000002</v>
      </c>
      <c r="AL22" s="2824"/>
      <c r="AM22" s="2932">
        <f t="shared" si="11"/>
        <v>575.27500000000009</v>
      </c>
      <c r="AN22" s="2933"/>
      <c r="AO22" s="217"/>
      <c r="AP22" s="217"/>
      <c r="AQ22" s="2932">
        <f t="shared" si="12"/>
        <v>575.27500000000009</v>
      </c>
      <c r="AR22" s="2931"/>
      <c r="AS22" s="217"/>
      <c r="AT22" s="217"/>
      <c r="AU22" s="2932">
        <f t="shared" si="13"/>
        <v>575.27500000000009</v>
      </c>
      <c r="AV22" s="2931"/>
      <c r="AW22" s="217"/>
      <c r="AX22" s="237"/>
      <c r="AY22" s="1136">
        <f t="shared" si="3"/>
        <v>0</v>
      </c>
      <c r="AZ22" s="2824"/>
      <c r="BA22" s="2936">
        <f t="shared" si="14"/>
        <v>260.97500000000002</v>
      </c>
      <c r="BB22" s="2932"/>
      <c r="BC22" s="1446">
        <f t="shared" si="4"/>
        <v>575.27500000000009</v>
      </c>
      <c r="BD22" s="3377"/>
      <c r="BE22" s="3377"/>
      <c r="BG22" s="3377"/>
      <c r="BH22" s="3377"/>
    </row>
    <row r="23" spans="1:60" x14ac:dyDescent="0.25">
      <c r="A23" s="3386" t="s">
        <v>1036</v>
      </c>
      <c r="B23" s="2100"/>
      <c r="C23" s="329"/>
      <c r="D23" s="329"/>
      <c r="E23" s="329">
        <v>3427</v>
      </c>
      <c r="F23" s="2101"/>
      <c r="G23" s="1370">
        <f t="shared" si="5"/>
        <v>3427</v>
      </c>
      <c r="H23" s="232"/>
      <c r="I23" s="329">
        <v>3986</v>
      </c>
      <c r="J23" s="2102"/>
      <c r="K23" s="1136">
        <f t="shared" si="6"/>
        <v>7413</v>
      </c>
      <c r="L23" s="232"/>
      <c r="M23" s="329">
        <v>5154</v>
      </c>
      <c r="N23" s="2822"/>
      <c r="O23" s="1446">
        <f t="shared" si="7"/>
        <v>12567</v>
      </c>
      <c r="P23" s="232"/>
      <c r="Q23" s="329">
        <v>4608.1750000000002</v>
      </c>
      <c r="R23" s="2101"/>
      <c r="S23" s="1370">
        <f t="shared" si="8"/>
        <v>17175.174999999999</v>
      </c>
      <c r="T23" s="2103"/>
      <c r="U23" s="329">
        <v>5938</v>
      </c>
      <c r="V23" s="2822"/>
      <c r="W23" s="1136">
        <f t="shared" si="0"/>
        <v>15700.174999999999</v>
      </c>
      <c r="X23" s="2824"/>
      <c r="Y23" s="2936">
        <f t="shared" si="1"/>
        <v>23113.174999999999</v>
      </c>
      <c r="Z23" s="2939"/>
      <c r="AA23" s="329"/>
      <c r="AB23" s="329"/>
      <c r="AC23" s="2932">
        <f t="shared" si="9"/>
        <v>23113.174999999999</v>
      </c>
      <c r="AD23" s="2103"/>
      <c r="AE23" s="329">
        <v>4261.7359999999999</v>
      </c>
      <c r="AF23" s="329"/>
      <c r="AG23" s="2932">
        <f t="shared" si="10"/>
        <v>27374.911</v>
      </c>
      <c r="AH23" s="2103"/>
      <c r="AI23" s="329"/>
      <c r="AJ23" s="2822"/>
      <c r="AK23" s="1136">
        <f t="shared" si="2"/>
        <v>4261.7359999999999</v>
      </c>
      <c r="AL23" s="2824"/>
      <c r="AM23" s="2932">
        <f t="shared" si="11"/>
        <v>27374.911</v>
      </c>
      <c r="AN23" s="2103"/>
      <c r="AO23" s="329"/>
      <c r="AP23" s="329"/>
      <c r="AQ23" s="2932">
        <f t="shared" si="12"/>
        <v>27374.911</v>
      </c>
      <c r="AR23" s="2103"/>
      <c r="AS23" s="329"/>
      <c r="AT23" s="329"/>
      <c r="AU23" s="2932">
        <f t="shared" si="13"/>
        <v>27374.911</v>
      </c>
      <c r="AV23" s="2103"/>
      <c r="AW23" s="329"/>
      <c r="AX23" s="2822"/>
      <c r="AY23" s="1136">
        <f t="shared" si="3"/>
        <v>0</v>
      </c>
      <c r="AZ23" s="2824"/>
      <c r="BA23" s="2936">
        <f t="shared" si="14"/>
        <v>4261.7359999999999</v>
      </c>
      <c r="BB23" s="2932"/>
      <c r="BC23" s="1446">
        <f t="shared" si="4"/>
        <v>27374.911</v>
      </c>
      <c r="BD23" s="3377"/>
      <c r="BE23" s="3377"/>
      <c r="BG23" s="3377"/>
      <c r="BH23" s="3377"/>
    </row>
    <row r="24" spans="1:60" ht="16.5" thickBot="1" x14ac:dyDescent="0.3">
      <c r="A24" s="3386" t="s">
        <v>1255</v>
      </c>
      <c r="B24" s="2100"/>
      <c r="C24" s="329"/>
      <c r="D24" s="329"/>
      <c r="E24" s="329"/>
      <c r="F24" s="2101"/>
      <c r="G24" s="1370">
        <f t="shared" si="5"/>
        <v>0</v>
      </c>
      <c r="H24" s="232"/>
      <c r="I24" s="329"/>
      <c r="J24" s="2102"/>
      <c r="K24" s="1136">
        <f t="shared" si="6"/>
        <v>0</v>
      </c>
      <c r="L24" s="232"/>
      <c r="M24" s="329">
        <v>122</v>
      </c>
      <c r="N24" s="2822"/>
      <c r="O24" s="1446">
        <f t="shared" si="7"/>
        <v>122</v>
      </c>
      <c r="P24" s="232"/>
      <c r="Q24" s="329"/>
      <c r="R24" s="2101"/>
      <c r="S24" s="1370">
        <f t="shared" si="8"/>
        <v>122</v>
      </c>
      <c r="T24" s="2103"/>
      <c r="U24" s="329"/>
      <c r="V24" s="2822"/>
      <c r="W24" s="1136">
        <f t="shared" si="0"/>
        <v>122</v>
      </c>
      <c r="X24" s="2824"/>
      <c r="Y24" s="2936">
        <f t="shared" si="1"/>
        <v>122</v>
      </c>
      <c r="Z24" s="2939"/>
      <c r="AA24" s="329"/>
      <c r="AB24" s="329"/>
      <c r="AC24" s="2932">
        <f t="shared" si="9"/>
        <v>122</v>
      </c>
      <c r="AD24" s="2103"/>
      <c r="AE24" s="329"/>
      <c r="AF24" s="329"/>
      <c r="AG24" s="2932">
        <f t="shared" si="10"/>
        <v>122</v>
      </c>
      <c r="AH24" s="2103"/>
      <c r="AI24" s="329"/>
      <c r="AJ24" s="2822"/>
      <c r="AK24" s="1136">
        <f t="shared" si="2"/>
        <v>0</v>
      </c>
      <c r="AL24" s="2824"/>
      <c r="AM24" s="2932">
        <f t="shared" si="11"/>
        <v>122</v>
      </c>
      <c r="AN24" s="2103"/>
      <c r="AO24" s="329"/>
      <c r="AP24" s="329"/>
      <c r="AQ24" s="2932">
        <f t="shared" si="12"/>
        <v>122</v>
      </c>
      <c r="AR24" s="2103"/>
      <c r="AS24" s="329"/>
      <c r="AT24" s="329"/>
      <c r="AU24" s="2932">
        <f t="shared" si="13"/>
        <v>122</v>
      </c>
      <c r="AV24" s="2103"/>
      <c r="AW24" s="329"/>
      <c r="AX24" s="2822"/>
      <c r="AY24" s="1136">
        <f t="shared" si="3"/>
        <v>0</v>
      </c>
      <c r="AZ24" s="2824"/>
      <c r="BA24" s="2936">
        <f t="shared" si="14"/>
        <v>0</v>
      </c>
      <c r="BB24" s="2932"/>
      <c r="BC24" s="1446">
        <f t="shared" si="4"/>
        <v>122</v>
      </c>
      <c r="BD24" s="3377"/>
      <c r="BE24" s="3377"/>
      <c r="BG24" s="3377"/>
      <c r="BH24" s="3377"/>
    </row>
    <row r="25" spans="1:60" ht="16.5" thickBot="1" x14ac:dyDescent="0.3">
      <c r="A25" s="3379" t="s">
        <v>1038</v>
      </c>
      <c r="B25" s="3380"/>
      <c r="C25" s="3381">
        <f>SUM(C21:C24)</f>
        <v>0</v>
      </c>
      <c r="D25" s="3381">
        <f t="shared" ref="D25:BC25" si="15">SUM(D21:D24)</f>
        <v>0</v>
      </c>
      <c r="E25" s="3381">
        <f t="shared" si="15"/>
        <v>4130</v>
      </c>
      <c r="F25" s="3381">
        <f t="shared" si="15"/>
        <v>0</v>
      </c>
      <c r="G25" s="3381">
        <f t="shared" si="15"/>
        <v>4130</v>
      </c>
      <c r="H25" s="3381">
        <f t="shared" si="15"/>
        <v>0</v>
      </c>
      <c r="I25" s="3381">
        <f t="shared" si="15"/>
        <v>5343</v>
      </c>
      <c r="J25" s="3381">
        <f t="shared" si="15"/>
        <v>0</v>
      </c>
      <c r="K25" s="3381">
        <f t="shared" si="15"/>
        <v>9473</v>
      </c>
      <c r="L25" s="3381">
        <f t="shared" si="15"/>
        <v>0</v>
      </c>
      <c r="M25" s="3381">
        <f t="shared" si="15"/>
        <v>5854</v>
      </c>
      <c r="N25" s="3381">
        <f t="shared" si="15"/>
        <v>0</v>
      </c>
      <c r="O25" s="3381">
        <f t="shared" si="15"/>
        <v>15327</v>
      </c>
      <c r="P25" s="3381">
        <f t="shared" si="15"/>
        <v>0</v>
      </c>
      <c r="Q25" s="3381">
        <f t="shared" si="15"/>
        <v>4765.4750000000004</v>
      </c>
      <c r="R25" s="3381">
        <f t="shared" si="15"/>
        <v>0</v>
      </c>
      <c r="S25" s="3381">
        <f t="shared" si="15"/>
        <v>20092.474999999999</v>
      </c>
      <c r="T25" s="3381">
        <f t="shared" si="15"/>
        <v>0</v>
      </c>
      <c r="U25" s="3381">
        <f t="shared" si="15"/>
        <v>6234</v>
      </c>
      <c r="V25" s="3381">
        <f t="shared" si="15"/>
        <v>0</v>
      </c>
      <c r="W25" s="3381">
        <f t="shared" si="15"/>
        <v>16853.474999999999</v>
      </c>
      <c r="X25" s="3381">
        <f t="shared" si="15"/>
        <v>0</v>
      </c>
      <c r="Y25" s="3381">
        <f t="shared" si="15"/>
        <v>26326.474999999999</v>
      </c>
      <c r="Z25" s="3381">
        <f t="shared" si="15"/>
        <v>0</v>
      </c>
      <c r="AA25" s="3381">
        <f t="shared" ref="AA25" si="16">SUM(AA21:AA24)</f>
        <v>0</v>
      </c>
      <c r="AB25" s="3381">
        <f t="shared" si="15"/>
        <v>0</v>
      </c>
      <c r="AC25" s="3381">
        <f t="shared" si="15"/>
        <v>26326.474999999999</v>
      </c>
      <c r="AD25" s="3381">
        <f t="shared" si="15"/>
        <v>0</v>
      </c>
      <c r="AE25" s="3381">
        <f t="shared" si="15"/>
        <v>4946.6019999999999</v>
      </c>
      <c r="AF25" s="3381">
        <f t="shared" si="15"/>
        <v>0</v>
      </c>
      <c r="AG25" s="3381">
        <f t="shared" si="15"/>
        <v>31273.077000000001</v>
      </c>
      <c r="AH25" s="3381">
        <f t="shared" si="15"/>
        <v>0</v>
      </c>
      <c r="AI25" s="3381">
        <f t="shared" si="15"/>
        <v>0</v>
      </c>
      <c r="AJ25" s="3381">
        <f t="shared" si="15"/>
        <v>0</v>
      </c>
      <c r="AK25" s="1136">
        <f t="shared" si="2"/>
        <v>4946.6019999999999</v>
      </c>
      <c r="AL25" s="3381">
        <f t="shared" si="15"/>
        <v>0</v>
      </c>
      <c r="AM25" s="2932">
        <f t="shared" si="11"/>
        <v>31273.077000000001</v>
      </c>
      <c r="AN25" s="3381">
        <f t="shared" si="15"/>
        <v>0</v>
      </c>
      <c r="AO25" s="3381">
        <f t="shared" si="15"/>
        <v>0</v>
      </c>
      <c r="AP25" s="3381">
        <f t="shared" si="15"/>
        <v>0</v>
      </c>
      <c r="AQ25" s="3381">
        <f t="shared" si="15"/>
        <v>31273.077000000001</v>
      </c>
      <c r="AR25" s="3381">
        <f t="shared" si="15"/>
        <v>0</v>
      </c>
      <c r="AS25" s="3381">
        <f t="shared" ref="AS25" si="17">SUM(AS21:AS24)</f>
        <v>0</v>
      </c>
      <c r="AT25" s="3381">
        <f t="shared" si="15"/>
        <v>0</v>
      </c>
      <c r="AU25" s="3381">
        <f t="shared" si="15"/>
        <v>31273.077000000001</v>
      </c>
      <c r="AV25" s="3381">
        <f t="shared" si="15"/>
        <v>0</v>
      </c>
      <c r="AW25" s="3381">
        <f t="shared" si="15"/>
        <v>0</v>
      </c>
      <c r="AX25" s="3381">
        <f t="shared" si="15"/>
        <v>0</v>
      </c>
      <c r="AY25" s="3381">
        <f t="shared" si="15"/>
        <v>0</v>
      </c>
      <c r="AZ25" s="3381">
        <f t="shared" si="15"/>
        <v>0</v>
      </c>
      <c r="BA25" s="3381">
        <f t="shared" si="15"/>
        <v>4946.6019999999999</v>
      </c>
      <c r="BB25" s="3381">
        <f t="shared" si="15"/>
        <v>0</v>
      </c>
      <c r="BC25" s="3381">
        <f t="shared" si="15"/>
        <v>31273.077000000001</v>
      </c>
      <c r="BD25" s="3377"/>
      <c r="BE25" s="3377"/>
      <c r="BG25" s="3377"/>
      <c r="BH25" s="3377"/>
    </row>
    <row r="26" spans="1:60" ht="16.5" thickBot="1" x14ac:dyDescent="0.3">
      <c r="A26" s="224"/>
      <c r="B26" s="1430"/>
      <c r="C26" s="232"/>
      <c r="D26" s="232"/>
      <c r="E26" s="232"/>
      <c r="F26" s="232"/>
      <c r="G26" s="1370">
        <f t="shared" si="5"/>
        <v>0</v>
      </c>
      <c r="H26" s="232"/>
      <c r="I26" s="232"/>
      <c r="J26" s="1435"/>
      <c r="K26" s="1136">
        <f t="shared" si="6"/>
        <v>0</v>
      </c>
      <c r="L26" s="232"/>
      <c r="M26" s="232"/>
      <c r="N26" s="2821"/>
      <c r="O26" s="1446">
        <f t="shared" si="7"/>
        <v>0</v>
      </c>
      <c r="P26" s="232"/>
      <c r="Q26" s="232"/>
      <c r="R26" s="232"/>
      <c r="S26" s="1370">
        <f t="shared" si="8"/>
        <v>0</v>
      </c>
      <c r="T26" s="2928"/>
      <c r="U26" s="232"/>
      <c r="V26" s="2821"/>
      <c r="W26" s="1136">
        <f t="shared" si="0"/>
        <v>0</v>
      </c>
      <c r="X26" s="659"/>
      <c r="Y26" s="2936">
        <f t="shared" si="1"/>
        <v>0</v>
      </c>
      <c r="Z26" s="2928"/>
      <c r="AA26" s="232"/>
      <c r="AB26" s="2821"/>
      <c r="AC26" s="2932">
        <f t="shared" si="9"/>
        <v>0</v>
      </c>
      <c r="AD26" s="2928"/>
      <c r="AE26" s="232"/>
      <c r="AF26" s="2821"/>
      <c r="AG26" s="2932">
        <f t="shared" si="10"/>
        <v>0</v>
      </c>
      <c r="AH26" s="2928"/>
      <c r="AI26" s="232"/>
      <c r="AJ26" s="2821"/>
      <c r="AK26" s="1136">
        <f t="shared" si="2"/>
        <v>0</v>
      </c>
      <c r="AL26" s="659"/>
      <c r="AM26" s="2932">
        <f t="shared" si="11"/>
        <v>0</v>
      </c>
      <c r="AN26" s="2928"/>
      <c r="AO26" s="232"/>
      <c r="AP26" s="2821"/>
      <c r="AQ26" s="2932">
        <f t="shared" si="12"/>
        <v>0</v>
      </c>
      <c r="AR26" s="2928"/>
      <c r="AS26" s="232"/>
      <c r="AT26" s="2821"/>
      <c r="AU26" s="2932">
        <f t="shared" si="13"/>
        <v>0</v>
      </c>
      <c r="AV26" s="2928"/>
      <c r="AW26" s="232"/>
      <c r="AX26" s="2821"/>
      <c r="AY26" s="1136">
        <f t="shared" si="3"/>
        <v>0</v>
      </c>
      <c r="AZ26" s="659"/>
      <c r="BA26" s="2936">
        <f t="shared" si="14"/>
        <v>0</v>
      </c>
      <c r="BB26" s="659"/>
      <c r="BC26" s="1446">
        <f t="shared" si="4"/>
        <v>0</v>
      </c>
      <c r="BD26" s="3377"/>
      <c r="BE26" s="3377"/>
      <c r="BG26" s="3377"/>
      <c r="BH26" s="3377"/>
    </row>
    <row r="27" spans="1:60" ht="16.5" thickBot="1" x14ac:dyDescent="0.3">
      <c r="A27" s="3384" t="s">
        <v>1216</v>
      </c>
      <c r="B27" s="3385"/>
      <c r="C27" s="1147"/>
      <c r="D27" s="1147"/>
      <c r="E27" s="1149"/>
      <c r="F27" s="1149"/>
      <c r="G27" s="1370">
        <f t="shared" si="5"/>
        <v>0</v>
      </c>
      <c r="H27" s="1149"/>
      <c r="I27" s="1149"/>
      <c r="J27" s="1436"/>
      <c r="K27" s="1136">
        <f t="shared" si="6"/>
        <v>0</v>
      </c>
      <c r="L27" s="1149"/>
      <c r="M27" s="1149"/>
      <c r="N27" s="1436"/>
      <c r="O27" s="1446">
        <f t="shared" si="7"/>
        <v>0</v>
      </c>
      <c r="P27" s="1149"/>
      <c r="Q27" s="1149"/>
      <c r="R27" s="1149"/>
      <c r="S27" s="1370">
        <f t="shared" si="8"/>
        <v>0</v>
      </c>
      <c r="T27" s="1148"/>
      <c r="U27" s="1149"/>
      <c r="V27" s="1436"/>
      <c r="W27" s="1136">
        <f t="shared" si="0"/>
        <v>0</v>
      </c>
      <c r="X27" s="1150"/>
      <c r="Y27" s="2936">
        <f t="shared" si="1"/>
        <v>0</v>
      </c>
      <c r="Z27" s="1148"/>
      <c r="AA27" s="1149"/>
      <c r="AB27" s="1436"/>
      <c r="AC27" s="2932">
        <f t="shared" si="9"/>
        <v>0</v>
      </c>
      <c r="AD27" s="1148"/>
      <c r="AE27" s="1149"/>
      <c r="AF27" s="1436"/>
      <c r="AG27" s="2932">
        <f t="shared" si="10"/>
        <v>0</v>
      </c>
      <c r="AH27" s="1148"/>
      <c r="AI27" s="1149"/>
      <c r="AJ27" s="1436"/>
      <c r="AK27" s="1136">
        <f t="shared" si="2"/>
        <v>0</v>
      </c>
      <c r="AL27" s="1150"/>
      <c r="AM27" s="2932">
        <f t="shared" si="11"/>
        <v>0</v>
      </c>
      <c r="AN27" s="1148"/>
      <c r="AO27" s="1149"/>
      <c r="AP27" s="1436"/>
      <c r="AQ27" s="2932">
        <f t="shared" si="12"/>
        <v>0</v>
      </c>
      <c r="AR27" s="1148"/>
      <c r="AS27" s="1149"/>
      <c r="AT27" s="1436"/>
      <c r="AU27" s="2932">
        <f t="shared" si="13"/>
        <v>0</v>
      </c>
      <c r="AV27" s="1148"/>
      <c r="AW27" s="1149"/>
      <c r="AX27" s="1436"/>
      <c r="AY27" s="1136">
        <f t="shared" si="3"/>
        <v>0</v>
      </c>
      <c r="AZ27" s="1150"/>
      <c r="BA27" s="2936">
        <f t="shared" si="14"/>
        <v>0</v>
      </c>
      <c r="BB27" s="1150"/>
      <c r="BC27" s="1446">
        <f t="shared" si="4"/>
        <v>0</v>
      </c>
      <c r="BD27" s="3377"/>
      <c r="BE27" s="3377"/>
      <c r="BG27" s="3377"/>
      <c r="BH27" s="3377"/>
    </row>
    <row r="28" spans="1:60" x14ac:dyDescent="0.25">
      <c r="A28" s="1363" t="s">
        <v>1173</v>
      </c>
      <c r="B28" s="1431"/>
      <c r="C28" s="217">
        <v>31603</v>
      </c>
      <c r="D28" s="217"/>
      <c r="E28" s="217">
        <v>31273</v>
      </c>
      <c r="F28" s="1370"/>
      <c r="G28" s="1370">
        <f t="shared" si="5"/>
        <v>62876</v>
      </c>
      <c r="H28" s="1422"/>
      <c r="I28" s="217">
        <v>29786</v>
      </c>
      <c r="J28" s="1437"/>
      <c r="K28" s="1136">
        <f t="shared" si="6"/>
        <v>92662</v>
      </c>
      <c r="L28" s="1422"/>
      <c r="M28" s="217">
        <v>32431</v>
      </c>
      <c r="N28" s="1434"/>
      <c r="O28" s="1446">
        <f t="shared" si="7"/>
        <v>125093</v>
      </c>
      <c r="P28" s="1422"/>
      <c r="Q28" s="217">
        <v>29596.999</v>
      </c>
      <c r="R28" s="1370"/>
      <c r="S28" s="1370">
        <f t="shared" si="8"/>
        <v>154689.99900000001</v>
      </c>
      <c r="T28" s="2934"/>
      <c r="U28" s="217">
        <v>24669</v>
      </c>
      <c r="V28" s="237"/>
      <c r="W28" s="1136">
        <f t="shared" si="0"/>
        <v>86696.998999999996</v>
      </c>
      <c r="X28" s="2824"/>
      <c r="Y28" s="2936">
        <f t="shared" si="1"/>
        <v>179358.99900000001</v>
      </c>
      <c r="Z28" s="2938"/>
      <c r="AA28" s="217">
        <v>21096</v>
      </c>
      <c r="AB28" s="237"/>
      <c r="AC28" s="2932">
        <f t="shared" si="9"/>
        <v>200454.99900000001</v>
      </c>
      <c r="AD28" s="2934"/>
      <c r="AE28" s="217">
        <v>30506.871999999999</v>
      </c>
      <c r="AF28" s="237"/>
      <c r="AG28" s="2932">
        <f t="shared" si="10"/>
        <v>230961.87100000001</v>
      </c>
      <c r="AH28" s="2934"/>
      <c r="AI28" s="217">
        <v>34796</v>
      </c>
      <c r="AJ28" s="237"/>
      <c r="AK28" s="1136">
        <f t="shared" si="2"/>
        <v>86398.872000000003</v>
      </c>
      <c r="AL28" s="1143"/>
      <c r="AM28" s="2932">
        <f t="shared" si="11"/>
        <v>265757.87100000004</v>
      </c>
      <c r="AN28" s="2934"/>
      <c r="AO28" s="217">
        <v>36065</v>
      </c>
      <c r="AP28" s="217"/>
      <c r="AQ28" s="2932">
        <f t="shared" si="12"/>
        <v>301822.87100000004</v>
      </c>
      <c r="AR28" s="2931"/>
      <c r="AS28" s="217">
        <v>29799.866000000002</v>
      </c>
      <c r="AT28" s="217"/>
      <c r="AU28" s="2932">
        <f t="shared" si="13"/>
        <v>331622.73700000002</v>
      </c>
      <c r="AV28" s="2931"/>
      <c r="AW28" s="217">
        <v>36284.675000000003</v>
      </c>
      <c r="AX28" s="237"/>
      <c r="AY28" s="1136">
        <f t="shared" si="3"/>
        <v>102149.54100000001</v>
      </c>
      <c r="AZ28" s="2824"/>
      <c r="BA28" s="2936">
        <f t="shared" si="14"/>
        <v>188548.413</v>
      </c>
      <c r="BB28" s="2932"/>
      <c r="BC28" s="1446">
        <f t="shared" si="4"/>
        <v>367907.41200000001</v>
      </c>
      <c r="BD28" s="3377"/>
      <c r="BE28" s="3377"/>
      <c r="BG28" s="3377"/>
      <c r="BH28" s="3377"/>
    </row>
    <row r="29" spans="1:60" x14ac:dyDescent="0.25">
      <c r="A29" s="1363" t="s">
        <v>1998</v>
      </c>
      <c r="B29" s="1431"/>
      <c r="C29" s="5804">
        <v>11669</v>
      </c>
      <c r="D29" s="5804"/>
      <c r="E29" s="5804"/>
      <c r="F29" s="5805"/>
      <c r="G29" s="5805"/>
      <c r="H29" s="5806"/>
      <c r="I29" s="5804">
        <v>6947</v>
      </c>
      <c r="J29" s="5807"/>
      <c r="K29" s="1136">
        <f t="shared" si="6"/>
        <v>18616</v>
      </c>
      <c r="L29" s="5806"/>
      <c r="M29" s="5804">
        <v>2608</v>
      </c>
      <c r="N29" s="5808"/>
      <c r="O29" s="1446">
        <f t="shared" si="7"/>
        <v>21224</v>
      </c>
      <c r="P29" s="5806"/>
      <c r="Q29" s="5804">
        <v>3665.6750000000002</v>
      </c>
      <c r="R29" s="5805"/>
      <c r="S29" s="1370">
        <f t="shared" si="8"/>
        <v>24889.674999999999</v>
      </c>
      <c r="T29" s="2934"/>
      <c r="U29" s="5804">
        <v>9928</v>
      </c>
      <c r="V29" s="237"/>
      <c r="W29" s="1136">
        <f t="shared" ref="W29:W35" si="18">+M29+Q29+U29</f>
        <v>16201.674999999999</v>
      </c>
      <c r="X29" s="2824"/>
      <c r="Y29" s="2936">
        <f t="shared" ref="Y29:Y35" si="19">+K29+W29</f>
        <v>34817.675000000003</v>
      </c>
      <c r="Z29" s="2938"/>
      <c r="AA29" s="5804">
        <v>6236</v>
      </c>
      <c r="AB29" s="237"/>
      <c r="AC29" s="2932">
        <f t="shared" si="9"/>
        <v>41053.675000000003</v>
      </c>
      <c r="AD29" s="2934"/>
      <c r="AE29" s="5804">
        <v>5710.58</v>
      </c>
      <c r="AF29" s="237"/>
      <c r="AG29" s="2932">
        <f t="shared" si="10"/>
        <v>46764.255000000005</v>
      </c>
      <c r="AH29" s="2934"/>
      <c r="AI29" s="5804"/>
      <c r="AJ29" s="237"/>
      <c r="AK29" s="1136">
        <f t="shared" si="2"/>
        <v>11946.58</v>
      </c>
      <c r="AL29" s="1143"/>
      <c r="AM29" s="2932">
        <f t="shared" si="11"/>
        <v>46764.255000000005</v>
      </c>
      <c r="AN29" s="2934"/>
      <c r="AO29" s="5804">
        <v>4505</v>
      </c>
      <c r="AP29" s="5804"/>
      <c r="AQ29" s="2932">
        <f t="shared" si="12"/>
        <v>51269.255000000005</v>
      </c>
      <c r="AR29" s="5810"/>
      <c r="AS29" s="5804">
        <v>4903.2150000000001</v>
      </c>
      <c r="AT29" s="5804"/>
      <c r="AU29" s="5809">
        <f t="shared" si="13"/>
        <v>56172.47</v>
      </c>
      <c r="AV29" s="5810"/>
      <c r="AW29" s="5804">
        <v>7950.63</v>
      </c>
      <c r="AX29" s="237"/>
      <c r="AY29" s="1136">
        <f t="shared" si="3"/>
        <v>17358.845000000001</v>
      </c>
      <c r="AZ29" s="2824"/>
      <c r="BA29" s="2936">
        <f t="shared" si="14"/>
        <v>29305.425000000003</v>
      </c>
      <c r="BB29" s="5809"/>
      <c r="BC29" s="1446">
        <f t="shared" si="4"/>
        <v>64123.1</v>
      </c>
      <c r="BD29" s="3377"/>
      <c r="BE29" s="3377"/>
      <c r="BG29" s="3377"/>
      <c r="BH29" s="3377"/>
    </row>
    <row r="30" spans="1:60" ht="18.75" x14ac:dyDescent="0.25">
      <c r="A30" s="1363" t="s">
        <v>1965</v>
      </c>
      <c r="B30" s="1431"/>
      <c r="C30" s="5466"/>
      <c r="D30" s="5466"/>
      <c r="E30" s="5466">
        <v>248</v>
      </c>
      <c r="F30" s="5467"/>
      <c r="G30" s="1370">
        <f t="shared" si="5"/>
        <v>248</v>
      </c>
      <c r="H30" s="5468"/>
      <c r="I30" s="5466">
        <v>604</v>
      </c>
      <c r="J30" s="5469"/>
      <c r="K30" s="1136">
        <f t="shared" si="6"/>
        <v>852</v>
      </c>
      <c r="L30" s="5468"/>
      <c r="M30" s="5466">
        <v>486</v>
      </c>
      <c r="N30" s="5471"/>
      <c r="O30" s="1446">
        <f t="shared" si="7"/>
        <v>1338</v>
      </c>
      <c r="P30" s="5468"/>
      <c r="Q30" s="5466"/>
      <c r="R30" s="5467"/>
      <c r="S30" s="1370">
        <f t="shared" si="8"/>
        <v>1338</v>
      </c>
      <c r="T30" s="2934"/>
      <c r="U30" s="5466"/>
      <c r="V30" s="237"/>
      <c r="W30" s="1136">
        <f t="shared" si="18"/>
        <v>486</v>
      </c>
      <c r="X30" s="2824"/>
      <c r="Y30" s="2936">
        <f t="shared" si="19"/>
        <v>1338</v>
      </c>
      <c r="Z30" s="2938"/>
      <c r="AA30" s="5466"/>
      <c r="AB30" s="237"/>
      <c r="AC30" s="2932">
        <f t="shared" si="9"/>
        <v>1338</v>
      </c>
      <c r="AD30" s="2934"/>
      <c r="AE30" s="6344"/>
      <c r="AF30" s="237"/>
      <c r="AG30" s="2932">
        <f t="shared" si="10"/>
        <v>1338</v>
      </c>
      <c r="AH30" s="2934"/>
      <c r="AI30" s="5466">
        <v>12990</v>
      </c>
      <c r="AJ30" s="237"/>
      <c r="AK30" s="1136">
        <f t="shared" si="2"/>
        <v>12990</v>
      </c>
      <c r="AL30" s="1143"/>
      <c r="AM30" s="2932">
        <f t="shared" si="11"/>
        <v>14328</v>
      </c>
      <c r="AN30" s="2934"/>
      <c r="AO30" s="5466"/>
      <c r="AP30" s="5466"/>
      <c r="AQ30" s="2932">
        <f t="shared" si="12"/>
        <v>14328</v>
      </c>
      <c r="AR30" s="5474"/>
      <c r="AS30" s="5466"/>
      <c r="AT30" s="5466"/>
      <c r="AU30" s="5639">
        <f t="shared" si="13"/>
        <v>14328</v>
      </c>
      <c r="AV30" s="5474"/>
      <c r="AW30" s="5466"/>
      <c r="AX30" s="237"/>
      <c r="AY30" s="1136">
        <f t="shared" si="3"/>
        <v>0</v>
      </c>
      <c r="AZ30" s="2824"/>
      <c r="BA30" s="2936">
        <f t="shared" si="14"/>
        <v>12990</v>
      </c>
      <c r="BB30" s="5639"/>
      <c r="BC30" s="1446">
        <f t="shared" si="4"/>
        <v>14328</v>
      </c>
      <c r="BD30" s="3377"/>
      <c r="BE30" s="3377"/>
      <c r="BG30" s="3377"/>
      <c r="BH30" s="3377"/>
    </row>
    <row r="31" spans="1:60" x14ac:dyDescent="0.25">
      <c r="A31" s="1363" t="s">
        <v>2030</v>
      </c>
      <c r="B31" s="1431"/>
      <c r="C31" s="5804"/>
      <c r="D31" s="5804"/>
      <c r="E31" s="5804"/>
      <c r="F31" s="5805"/>
      <c r="G31" s="5805"/>
      <c r="H31" s="5806"/>
      <c r="I31" s="5804"/>
      <c r="J31" s="5807"/>
      <c r="K31" s="1136">
        <f t="shared" si="6"/>
        <v>0</v>
      </c>
      <c r="L31" s="5806"/>
      <c r="M31" s="5804"/>
      <c r="N31" s="5808"/>
      <c r="O31" s="1446">
        <f t="shared" si="7"/>
        <v>0</v>
      </c>
      <c r="P31" s="5806"/>
      <c r="Q31" s="5804">
        <v>102.18</v>
      </c>
      <c r="R31" s="5805"/>
      <c r="S31" s="1370">
        <f t="shared" si="8"/>
        <v>102.18</v>
      </c>
      <c r="T31" s="2934"/>
      <c r="U31" s="5804"/>
      <c r="V31" s="237"/>
      <c r="W31" s="1136">
        <f t="shared" si="18"/>
        <v>102.18</v>
      </c>
      <c r="X31" s="2824"/>
      <c r="Y31" s="2936">
        <f t="shared" si="19"/>
        <v>102.18</v>
      </c>
      <c r="Z31" s="2938"/>
      <c r="AA31" s="5804"/>
      <c r="AB31" s="237"/>
      <c r="AC31" s="2932">
        <f t="shared" si="9"/>
        <v>102.18</v>
      </c>
      <c r="AD31" s="2934"/>
      <c r="AE31" s="5804"/>
      <c r="AF31" s="237"/>
      <c r="AG31" s="2932">
        <f t="shared" si="10"/>
        <v>102.18</v>
      </c>
      <c r="AH31" s="2934"/>
      <c r="AI31" s="5804">
        <v>114</v>
      </c>
      <c r="AJ31" s="237"/>
      <c r="AK31" s="1136">
        <f t="shared" si="2"/>
        <v>114</v>
      </c>
      <c r="AL31" s="1143"/>
      <c r="AM31" s="2932">
        <f t="shared" si="11"/>
        <v>216.18</v>
      </c>
      <c r="AN31" s="2934"/>
      <c r="AO31" s="5804"/>
      <c r="AP31" s="5804"/>
      <c r="AQ31" s="2932">
        <f t="shared" si="12"/>
        <v>216.18</v>
      </c>
      <c r="AR31" s="5810"/>
      <c r="AS31" s="5804"/>
      <c r="AT31" s="5804"/>
      <c r="AU31" s="5809">
        <f t="shared" si="13"/>
        <v>216.18</v>
      </c>
      <c r="AV31" s="5810"/>
      <c r="AW31" s="5804"/>
      <c r="AX31" s="237"/>
      <c r="AY31" s="1136">
        <f t="shared" si="3"/>
        <v>0</v>
      </c>
      <c r="AZ31" s="2824"/>
      <c r="BA31" s="2936">
        <f t="shared" si="14"/>
        <v>114</v>
      </c>
      <c r="BB31" s="5809"/>
      <c r="BC31" s="1446">
        <f t="shared" si="4"/>
        <v>216.18</v>
      </c>
      <c r="BD31" s="3377"/>
      <c r="BE31" s="3377"/>
      <c r="BG31" s="3377"/>
      <c r="BH31" s="3377"/>
    </row>
    <row r="32" spans="1:60" x14ac:dyDescent="0.25">
      <c r="A32" s="1363" t="s">
        <v>1232</v>
      </c>
      <c r="B32" s="1431"/>
      <c r="C32" s="5466">
        <v>269</v>
      </c>
      <c r="D32" s="5466"/>
      <c r="E32" s="5466"/>
      <c r="F32" s="5467"/>
      <c r="G32" s="1370">
        <f t="shared" si="5"/>
        <v>269</v>
      </c>
      <c r="H32" s="5468"/>
      <c r="I32" s="5466">
        <v>165</v>
      </c>
      <c r="J32" s="5469"/>
      <c r="K32" s="1136">
        <f t="shared" si="6"/>
        <v>434</v>
      </c>
      <c r="L32" s="5468"/>
      <c r="M32" s="5466">
        <v>99</v>
      </c>
      <c r="N32" s="5471"/>
      <c r="O32" s="1446">
        <f t="shared" si="7"/>
        <v>533</v>
      </c>
      <c r="P32" s="5468"/>
      <c r="Q32" s="5466"/>
      <c r="R32" s="5467"/>
      <c r="S32" s="1370">
        <f t="shared" si="8"/>
        <v>533</v>
      </c>
      <c r="T32" s="2934"/>
      <c r="U32" s="5466">
        <v>314</v>
      </c>
      <c r="V32" s="237"/>
      <c r="W32" s="1136">
        <f t="shared" si="18"/>
        <v>413</v>
      </c>
      <c r="X32" s="2824"/>
      <c r="Y32" s="2936">
        <f t="shared" si="19"/>
        <v>847</v>
      </c>
      <c r="Z32" s="2938"/>
      <c r="AA32" s="5466">
        <v>224</v>
      </c>
      <c r="AB32" s="237"/>
      <c r="AC32" s="2932">
        <f t="shared" si="9"/>
        <v>1071</v>
      </c>
      <c r="AD32" s="2934"/>
      <c r="AE32" s="5466">
        <v>455.399</v>
      </c>
      <c r="AF32" s="237"/>
      <c r="AG32" s="2932">
        <f t="shared" si="10"/>
        <v>1526.3989999999999</v>
      </c>
      <c r="AH32" s="2934"/>
      <c r="AI32" s="5466">
        <v>826</v>
      </c>
      <c r="AJ32" s="237"/>
      <c r="AK32" s="1136">
        <f t="shared" si="2"/>
        <v>1505.3989999999999</v>
      </c>
      <c r="AL32" s="1143"/>
      <c r="AM32" s="2932">
        <f t="shared" si="11"/>
        <v>2352.3989999999999</v>
      </c>
      <c r="AN32" s="2934"/>
      <c r="AO32" s="5466">
        <v>312</v>
      </c>
      <c r="AP32" s="5466"/>
      <c r="AQ32" s="2932">
        <f t="shared" si="12"/>
        <v>2664.3989999999999</v>
      </c>
      <c r="AR32" s="5474"/>
      <c r="AS32" s="5466">
        <v>192.94499999999999</v>
      </c>
      <c r="AT32" s="5466"/>
      <c r="AU32" s="5473">
        <f t="shared" si="13"/>
        <v>2857.3440000000001</v>
      </c>
      <c r="AV32" s="5474"/>
      <c r="AW32" s="5466"/>
      <c r="AX32" s="237"/>
      <c r="AY32" s="1136">
        <f t="shared" si="3"/>
        <v>504.94499999999999</v>
      </c>
      <c r="AZ32" s="2824"/>
      <c r="BA32" s="2936">
        <f t="shared" si="14"/>
        <v>2010.3439999999998</v>
      </c>
      <c r="BB32" s="5473"/>
      <c r="BC32" s="1446">
        <f t="shared" si="4"/>
        <v>2857.3440000000001</v>
      </c>
      <c r="BD32" s="3377"/>
      <c r="BE32" s="3377"/>
      <c r="BG32" s="3377"/>
      <c r="BH32" s="3377"/>
    </row>
    <row r="33" spans="1:62" x14ac:dyDescent="0.25">
      <c r="A33" s="1363" t="s">
        <v>2014</v>
      </c>
      <c r="B33" s="1431"/>
      <c r="C33" s="5804"/>
      <c r="D33" s="5804"/>
      <c r="E33" s="5804"/>
      <c r="F33" s="5805"/>
      <c r="G33" s="5805"/>
      <c r="H33" s="5806"/>
      <c r="I33" s="5804"/>
      <c r="J33" s="5807"/>
      <c r="K33" s="1136">
        <f t="shared" si="6"/>
        <v>0</v>
      </c>
      <c r="L33" s="5806"/>
      <c r="M33" s="5804">
        <v>286</v>
      </c>
      <c r="N33" s="5808"/>
      <c r="O33" s="1446">
        <f t="shared" si="7"/>
        <v>286</v>
      </c>
      <c r="P33" s="5806"/>
      <c r="Q33" s="5804">
        <v>282.27499999999998</v>
      </c>
      <c r="R33" s="5805"/>
      <c r="S33" s="1370">
        <f t="shared" si="8"/>
        <v>568.27499999999998</v>
      </c>
      <c r="T33" s="2934"/>
      <c r="U33" s="5804"/>
      <c r="V33" s="237"/>
      <c r="W33" s="1136">
        <f t="shared" si="18"/>
        <v>568.27499999999998</v>
      </c>
      <c r="X33" s="2824"/>
      <c r="Y33" s="2936">
        <f t="shared" si="19"/>
        <v>568.27499999999998</v>
      </c>
      <c r="Z33" s="2938"/>
      <c r="AA33" s="5804"/>
      <c r="AB33" s="237"/>
      <c r="AC33" s="2932">
        <f t="shared" si="9"/>
        <v>568.27499999999998</v>
      </c>
      <c r="AD33" s="2934"/>
      <c r="AE33" s="5804"/>
      <c r="AF33" s="237"/>
      <c r="AG33" s="2932">
        <f t="shared" si="10"/>
        <v>568.27499999999998</v>
      </c>
      <c r="AH33" s="2934"/>
      <c r="AI33" s="5804"/>
      <c r="AJ33" s="237"/>
      <c r="AK33" s="1136">
        <f t="shared" si="2"/>
        <v>0</v>
      </c>
      <c r="AL33" s="1143"/>
      <c r="AM33" s="2932">
        <f t="shared" si="11"/>
        <v>568.27499999999998</v>
      </c>
      <c r="AN33" s="2934"/>
      <c r="AO33" s="5804">
        <v>702</v>
      </c>
      <c r="AP33" s="5804"/>
      <c r="AQ33" s="2932">
        <f t="shared" si="12"/>
        <v>1270.2750000000001</v>
      </c>
      <c r="AR33" s="5810"/>
      <c r="AS33" s="5804"/>
      <c r="AT33" s="5804"/>
      <c r="AU33" s="5809">
        <f t="shared" si="13"/>
        <v>1270.2750000000001</v>
      </c>
      <c r="AV33" s="5810"/>
      <c r="AW33" s="5804"/>
      <c r="AX33" s="237"/>
      <c r="AY33" s="1136">
        <f t="shared" si="3"/>
        <v>702</v>
      </c>
      <c r="AZ33" s="2824"/>
      <c r="BA33" s="2936">
        <f t="shared" si="14"/>
        <v>702</v>
      </c>
      <c r="BB33" s="5809"/>
      <c r="BC33" s="1446">
        <f t="shared" si="4"/>
        <v>1270.2750000000001</v>
      </c>
      <c r="BD33" s="3377"/>
      <c r="BE33" s="3377"/>
      <c r="BG33" s="3377"/>
      <c r="BH33" s="3377"/>
    </row>
    <row r="34" spans="1:62" x14ac:dyDescent="0.25">
      <c r="A34" s="1363" t="s">
        <v>1999</v>
      </c>
      <c r="B34" s="1431"/>
      <c r="C34" s="5804"/>
      <c r="D34" s="5804"/>
      <c r="E34" s="5804"/>
      <c r="F34" s="5805"/>
      <c r="G34" s="5805"/>
      <c r="H34" s="5806"/>
      <c r="I34" s="5804">
        <v>250</v>
      </c>
      <c r="J34" s="5807"/>
      <c r="K34" s="1136">
        <f t="shared" si="6"/>
        <v>250</v>
      </c>
      <c r="L34" s="5806"/>
      <c r="M34" s="5804"/>
      <c r="N34" s="5808"/>
      <c r="O34" s="1446">
        <f t="shared" si="7"/>
        <v>250</v>
      </c>
      <c r="P34" s="5806"/>
      <c r="Q34" s="5804"/>
      <c r="R34" s="5805"/>
      <c r="S34" s="1370">
        <f t="shared" si="8"/>
        <v>250</v>
      </c>
      <c r="T34" s="2934"/>
      <c r="U34" s="5804"/>
      <c r="V34" s="237"/>
      <c r="W34" s="1136">
        <f t="shared" si="18"/>
        <v>0</v>
      </c>
      <c r="X34" s="2824"/>
      <c r="Y34" s="2936">
        <f t="shared" si="19"/>
        <v>250</v>
      </c>
      <c r="Z34" s="2938"/>
      <c r="AA34" s="5804"/>
      <c r="AB34" s="237"/>
      <c r="AC34" s="2932">
        <f t="shared" si="9"/>
        <v>250</v>
      </c>
      <c r="AD34" s="2934"/>
      <c r="AE34" s="5804"/>
      <c r="AF34" s="237"/>
      <c r="AG34" s="2932">
        <f t="shared" si="10"/>
        <v>250</v>
      </c>
      <c r="AH34" s="2934"/>
      <c r="AI34" s="5804"/>
      <c r="AJ34" s="237"/>
      <c r="AK34" s="1136">
        <f t="shared" si="2"/>
        <v>0</v>
      </c>
      <c r="AL34" s="1143"/>
      <c r="AM34" s="2932">
        <f t="shared" si="11"/>
        <v>250</v>
      </c>
      <c r="AN34" s="2934"/>
      <c r="AO34" s="5804"/>
      <c r="AP34" s="5804"/>
      <c r="AQ34" s="2932">
        <f t="shared" si="12"/>
        <v>250</v>
      </c>
      <c r="AR34" s="5810"/>
      <c r="AS34" s="5804"/>
      <c r="AT34" s="5804"/>
      <c r="AU34" s="5809">
        <f t="shared" si="13"/>
        <v>250</v>
      </c>
      <c r="AV34" s="5810"/>
      <c r="AW34" s="5804"/>
      <c r="AX34" s="237"/>
      <c r="AY34" s="1136">
        <f t="shared" si="3"/>
        <v>0</v>
      </c>
      <c r="AZ34" s="2824"/>
      <c r="BA34" s="2936">
        <f t="shared" si="14"/>
        <v>0</v>
      </c>
      <c r="BB34" s="5809"/>
      <c r="BC34" s="1446">
        <f t="shared" si="4"/>
        <v>250</v>
      </c>
      <c r="BD34" s="3377"/>
      <c r="BE34" s="3377"/>
      <c r="BG34" s="3377"/>
      <c r="BH34" s="3377"/>
    </row>
    <row r="35" spans="1:62" x14ac:dyDescent="0.25">
      <c r="A35" s="1423" t="s">
        <v>1941</v>
      </c>
      <c r="B35" s="1432"/>
      <c r="C35" s="217"/>
      <c r="D35" s="217"/>
      <c r="E35" s="217"/>
      <c r="F35" s="1370"/>
      <c r="G35" s="1370">
        <f t="shared" si="5"/>
        <v>0</v>
      </c>
      <c r="H35" s="1422"/>
      <c r="I35" s="217"/>
      <c r="J35" s="1437"/>
      <c r="K35" s="1136">
        <f t="shared" si="6"/>
        <v>0</v>
      </c>
      <c r="L35" s="1422"/>
      <c r="M35" s="217"/>
      <c r="N35" s="1434"/>
      <c r="O35" s="1446">
        <f t="shared" si="7"/>
        <v>0</v>
      </c>
      <c r="P35" s="1422"/>
      <c r="Q35" s="217"/>
      <c r="R35" s="1370"/>
      <c r="S35" s="1370">
        <f t="shared" si="8"/>
        <v>0</v>
      </c>
      <c r="T35" s="2934"/>
      <c r="U35" s="217"/>
      <c r="V35" s="237"/>
      <c r="W35" s="1136">
        <f t="shared" si="18"/>
        <v>0</v>
      </c>
      <c r="X35" s="2824"/>
      <c r="Y35" s="2936">
        <f t="shared" si="19"/>
        <v>0</v>
      </c>
      <c r="Z35" s="2938"/>
      <c r="AA35" s="217"/>
      <c r="AB35" s="237"/>
      <c r="AC35" s="2932">
        <f t="shared" si="9"/>
        <v>0</v>
      </c>
      <c r="AD35" s="2934"/>
      <c r="AE35" s="217"/>
      <c r="AF35" s="237"/>
      <c r="AG35" s="2932">
        <f t="shared" si="10"/>
        <v>0</v>
      </c>
      <c r="AH35" s="2934"/>
      <c r="AI35" s="217"/>
      <c r="AJ35" s="237"/>
      <c r="AK35" s="1136">
        <f t="shared" si="2"/>
        <v>0</v>
      </c>
      <c r="AL35" s="1143"/>
      <c r="AM35" s="2932">
        <f t="shared" si="11"/>
        <v>0</v>
      </c>
      <c r="AN35" s="2934"/>
      <c r="AO35" s="217"/>
      <c r="AP35" s="217"/>
      <c r="AQ35" s="2932">
        <f t="shared" si="12"/>
        <v>0</v>
      </c>
      <c r="AR35" s="2931"/>
      <c r="AS35" s="217"/>
      <c r="AT35" s="217"/>
      <c r="AU35" s="2932">
        <f t="shared" si="13"/>
        <v>0</v>
      </c>
      <c r="AV35" s="2931"/>
      <c r="AW35" s="217"/>
      <c r="AX35" s="237"/>
      <c r="AY35" s="1136">
        <f t="shared" si="3"/>
        <v>0</v>
      </c>
      <c r="AZ35" s="2824"/>
      <c r="BA35" s="2936">
        <f t="shared" si="14"/>
        <v>0</v>
      </c>
      <c r="BB35" s="2932"/>
      <c r="BC35" s="1446">
        <f t="shared" si="4"/>
        <v>0</v>
      </c>
      <c r="BD35" s="3377"/>
      <c r="BE35" s="3377"/>
      <c r="BG35" s="3377"/>
      <c r="BH35" s="3377"/>
    </row>
    <row r="36" spans="1:62" x14ac:dyDescent="0.25">
      <c r="A36" s="1423" t="s">
        <v>1172</v>
      </c>
      <c r="B36" s="1432"/>
      <c r="C36" s="217">
        <v>2873</v>
      </c>
      <c r="D36" s="217"/>
      <c r="E36" s="217">
        <v>1767</v>
      </c>
      <c r="F36" s="1370"/>
      <c r="G36" s="1370">
        <f t="shared" si="5"/>
        <v>4640</v>
      </c>
      <c r="H36" s="1422"/>
      <c r="I36" s="217">
        <v>6593</v>
      </c>
      <c r="J36" s="1437"/>
      <c r="K36" s="1136">
        <f t="shared" si="6"/>
        <v>11233</v>
      </c>
      <c r="L36" s="1422"/>
      <c r="M36" s="217">
        <v>5558</v>
      </c>
      <c r="N36" s="1434"/>
      <c r="O36" s="1446">
        <f t="shared" si="7"/>
        <v>16791</v>
      </c>
      <c r="P36" s="1422"/>
      <c r="Q36" s="217">
        <v>3475.9969999999998</v>
      </c>
      <c r="R36" s="1370"/>
      <c r="S36" s="1370">
        <f t="shared" si="8"/>
        <v>20266.996999999999</v>
      </c>
      <c r="T36" s="2934"/>
      <c r="U36" s="217">
        <v>2816</v>
      </c>
      <c r="V36" s="237"/>
      <c r="W36" s="1136">
        <f t="shared" si="0"/>
        <v>11849.996999999999</v>
      </c>
      <c r="X36" s="2824"/>
      <c r="Y36" s="2936">
        <f t="shared" si="1"/>
        <v>23082.996999999999</v>
      </c>
      <c r="Z36" s="2938"/>
      <c r="AA36" s="217">
        <v>1342</v>
      </c>
      <c r="AB36" s="237"/>
      <c r="AC36" s="2932">
        <f>+Y36+AA36</f>
        <v>24424.996999999999</v>
      </c>
      <c r="AD36" s="2934"/>
      <c r="AE36" s="217">
        <v>2984.761</v>
      </c>
      <c r="AF36" s="237"/>
      <c r="AG36" s="2932">
        <f t="shared" si="10"/>
        <v>27409.757999999998</v>
      </c>
      <c r="AH36" s="2934"/>
      <c r="AI36" s="217">
        <v>7243</v>
      </c>
      <c r="AJ36" s="237"/>
      <c r="AK36" s="1136">
        <f t="shared" si="2"/>
        <v>11569.761</v>
      </c>
      <c r="AL36" s="1143"/>
      <c r="AM36" s="2932">
        <f t="shared" si="11"/>
        <v>34652.758000000002</v>
      </c>
      <c r="AN36" s="2934"/>
      <c r="AO36" s="217">
        <v>583</v>
      </c>
      <c r="AP36" s="217"/>
      <c r="AQ36" s="2932">
        <f t="shared" si="12"/>
        <v>35235.758000000002</v>
      </c>
      <c r="AR36" s="2931"/>
      <c r="AS36" s="217">
        <v>1575.2819999999999</v>
      </c>
      <c r="AT36" s="217"/>
      <c r="AU36" s="2932">
        <f t="shared" si="13"/>
        <v>36811.040000000001</v>
      </c>
      <c r="AV36" s="2931"/>
      <c r="AW36" s="217">
        <v>2154.4659999999999</v>
      </c>
      <c r="AX36" s="237"/>
      <c r="AY36" s="1136">
        <f t="shared" si="3"/>
        <v>4312.7479999999996</v>
      </c>
      <c r="AZ36" s="2824"/>
      <c r="BA36" s="2936">
        <f t="shared" si="14"/>
        <v>15882.509</v>
      </c>
      <c r="BB36" s="2932"/>
      <c r="BC36" s="1446">
        <f t="shared" si="4"/>
        <v>38965.506000000001</v>
      </c>
      <c r="BD36" s="3377"/>
      <c r="BE36" s="3377"/>
      <c r="BG36" s="3377"/>
      <c r="BH36" s="3377"/>
    </row>
    <row r="37" spans="1:62" ht="16.5" thickBot="1" x14ac:dyDescent="0.3">
      <c r="A37" s="1423" t="s">
        <v>1171</v>
      </c>
      <c r="B37" s="1432"/>
      <c r="C37" s="217"/>
      <c r="D37" s="217"/>
      <c r="E37" s="217">
        <v>5670</v>
      </c>
      <c r="F37" s="1370"/>
      <c r="G37" s="1370">
        <f t="shared" si="5"/>
        <v>5670</v>
      </c>
      <c r="H37" s="1422"/>
      <c r="I37" s="217">
        <v>5032</v>
      </c>
      <c r="J37" s="1437"/>
      <c r="K37" s="1136">
        <f t="shared" si="6"/>
        <v>10702</v>
      </c>
      <c r="L37" s="1422"/>
      <c r="M37" s="217">
        <v>5978</v>
      </c>
      <c r="N37" s="1434"/>
      <c r="O37" s="1446">
        <f t="shared" si="7"/>
        <v>16680</v>
      </c>
      <c r="P37" s="1422"/>
      <c r="Q37" s="217"/>
      <c r="R37" s="1370"/>
      <c r="S37" s="1370">
        <f t="shared" si="8"/>
        <v>16680</v>
      </c>
      <c r="T37" s="2934"/>
      <c r="U37" s="217"/>
      <c r="V37" s="237"/>
      <c r="W37" s="1136">
        <f t="shared" si="0"/>
        <v>5978</v>
      </c>
      <c r="X37" s="2824"/>
      <c r="Y37" s="2936">
        <f t="shared" si="1"/>
        <v>16680</v>
      </c>
      <c r="Z37" s="2938"/>
      <c r="AA37" s="217"/>
      <c r="AB37" s="237"/>
      <c r="AC37" s="2932">
        <f t="shared" si="9"/>
        <v>16680</v>
      </c>
      <c r="AD37" s="2934"/>
      <c r="AE37" s="217"/>
      <c r="AF37" s="237"/>
      <c r="AG37" s="2932">
        <f t="shared" si="10"/>
        <v>16680</v>
      </c>
      <c r="AH37" s="2934"/>
      <c r="AI37" s="217"/>
      <c r="AJ37" s="237"/>
      <c r="AK37" s="1136">
        <f t="shared" si="2"/>
        <v>0</v>
      </c>
      <c r="AL37" s="1143"/>
      <c r="AM37" s="2932">
        <f t="shared" si="11"/>
        <v>16680</v>
      </c>
      <c r="AN37" s="2934"/>
      <c r="AO37" s="217"/>
      <c r="AP37" s="217"/>
      <c r="AQ37" s="2932">
        <f t="shared" si="12"/>
        <v>16680</v>
      </c>
      <c r="AR37" s="2931"/>
      <c r="AS37" s="217"/>
      <c r="AT37" s="217"/>
      <c r="AU37" s="2932">
        <f t="shared" si="13"/>
        <v>16680</v>
      </c>
      <c r="AV37" s="2931"/>
      <c r="AW37" s="217"/>
      <c r="AX37" s="237"/>
      <c r="AY37" s="1136">
        <f t="shared" si="3"/>
        <v>0</v>
      </c>
      <c r="AZ37" s="2824"/>
      <c r="BA37" s="2936">
        <f t="shared" si="14"/>
        <v>0</v>
      </c>
      <c r="BB37" s="2932"/>
      <c r="BC37" s="1446">
        <f t="shared" si="4"/>
        <v>16680</v>
      </c>
      <c r="BD37" s="3377"/>
      <c r="BE37" s="3377"/>
      <c r="BG37" s="3377"/>
      <c r="BH37" s="3377"/>
    </row>
    <row r="38" spans="1:62" ht="16.5" thickBot="1" x14ac:dyDescent="0.3">
      <c r="A38" s="3379" t="s">
        <v>623</v>
      </c>
      <c r="B38" s="3380"/>
      <c r="C38" s="3381">
        <f>SUM(C28:C37)</f>
        <v>46414</v>
      </c>
      <c r="D38" s="3381"/>
      <c r="E38" s="3381">
        <f>SUM(E28:E37)</f>
        <v>38958</v>
      </c>
      <c r="F38" s="3381"/>
      <c r="G38" s="1370">
        <f t="shared" si="5"/>
        <v>85372</v>
      </c>
      <c r="H38" s="3381"/>
      <c r="I38" s="3381">
        <f>SUM(I28:I37)</f>
        <v>49377</v>
      </c>
      <c r="J38" s="3381"/>
      <c r="K38" s="1136">
        <f t="shared" si="6"/>
        <v>134749</v>
      </c>
      <c r="L38" s="3381"/>
      <c r="M38" s="3381">
        <f>SUM(M28:M37)</f>
        <v>47446</v>
      </c>
      <c r="N38" s="3381"/>
      <c r="O38" s="1446">
        <f t="shared" si="7"/>
        <v>182195</v>
      </c>
      <c r="P38" s="3381"/>
      <c r="Q38" s="3381">
        <f>SUM(Q28:Q37)</f>
        <v>37123.126000000004</v>
      </c>
      <c r="R38" s="3381"/>
      <c r="S38" s="1370">
        <f t="shared" si="8"/>
        <v>219318.12599999999</v>
      </c>
      <c r="T38" s="3381"/>
      <c r="U38" s="3381">
        <f>SUM(U28:U37)</f>
        <v>37727</v>
      </c>
      <c r="V38" s="3381"/>
      <c r="W38" s="1136">
        <f t="shared" si="0"/>
        <v>122296.126</v>
      </c>
      <c r="X38" s="3381"/>
      <c r="Y38" s="2936">
        <f t="shared" si="1"/>
        <v>257045.12599999999</v>
      </c>
      <c r="Z38" s="3381"/>
      <c r="AA38" s="3381">
        <f>SUM(AA28:AA37)</f>
        <v>28898</v>
      </c>
      <c r="AB38" s="3381"/>
      <c r="AC38" s="2932">
        <f t="shared" si="9"/>
        <v>285943.12599999999</v>
      </c>
      <c r="AD38" s="3381"/>
      <c r="AE38" s="3381">
        <f>SUM(AE28:AE37)</f>
        <v>39657.611999999994</v>
      </c>
      <c r="AF38" s="3381"/>
      <c r="AG38" s="2932">
        <f t="shared" si="10"/>
        <v>325600.73800000001</v>
      </c>
      <c r="AH38" s="3381"/>
      <c r="AI38" s="3381">
        <f>SUM(AI28:AI37)</f>
        <v>55969</v>
      </c>
      <c r="AJ38" s="3381"/>
      <c r="AK38" s="1136">
        <f t="shared" si="2"/>
        <v>124524.61199999999</v>
      </c>
      <c r="AL38" s="3381"/>
      <c r="AM38" s="2932">
        <f t="shared" si="11"/>
        <v>381569.73800000001</v>
      </c>
      <c r="AN38" s="3381"/>
      <c r="AO38" s="3381">
        <f>SUM(AO28:AO37)</f>
        <v>42167</v>
      </c>
      <c r="AP38" s="3381"/>
      <c r="AQ38" s="2932">
        <f t="shared" si="12"/>
        <v>423736.73800000001</v>
      </c>
      <c r="AR38" s="3381"/>
      <c r="AS38" s="3381">
        <f>SUM(AS28:AS37)</f>
        <v>36471.308000000005</v>
      </c>
      <c r="AT38" s="3381"/>
      <c r="AU38" s="2932">
        <f t="shared" si="13"/>
        <v>460208.04600000003</v>
      </c>
      <c r="AV38" s="3381"/>
      <c r="AW38" s="3381">
        <f>SUM(AW28:AW37)</f>
        <v>46389.771000000001</v>
      </c>
      <c r="AX38" s="3381"/>
      <c r="AY38" s="1136">
        <f t="shared" si="3"/>
        <v>125028.079</v>
      </c>
      <c r="AZ38" s="3381"/>
      <c r="BA38" s="2936">
        <f t="shared" si="14"/>
        <v>249552.69099999999</v>
      </c>
      <c r="BB38" s="3381"/>
      <c r="BC38" s="1446">
        <f t="shared" si="4"/>
        <v>506597.81700000004</v>
      </c>
      <c r="BD38" s="3377"/>
      <c r="BE38" s="3377"/>
      <c r="BG38" s="3377"/>
      <c r="BH38" s="3377"/>
    </row>
    <row r="39" spans="1:62" ht="9.75" customHeight="1" thickBot="1" x14ac:dyDescent="0.3">
      <c r="A39" s="1364"/>
      <c r="B39" s="1433"/>
      <c r="C39" s="1145"/>
      <c r="D39" s="1145"/>
      <c r="E39" s="225"/>
      <c r="F39" s="225"/>
      <c r="G39" s="1370">
        <f t="shared" si="5"/>
        <v>0</v>
      </c>
      <c r="H39" s="225"/>
      <c r="I39" s="225"/>
      <c r="J39" s="554"/>
      <c r="K39" s="1136">
        <f t="shared" si="6"/>
        <v>0</v>
      </c>
      <c r="L39" s="225"/>
      <c r="M39" s="225"/>
      <c r="N39" s="554"/>
      <c r="O39" s="1446">
        <f t="shared" si="7"/>
        <v>0</v>
      </c>
      <c r="P39" s="225"/>
      <c r="Q39" s="225"/>
      <c r="R39" s="225"/>
      <c r="S39" s="1370">
        <f t="shared" si="8"/>
        <v>0</v>
      </c>
      <c r="T39" s="1146"/>
      <c r="U39" s="225"/>
      <c r="V39" s="554"/>
      <c r="W39" s="1136">
        <f t="shared" si="0"/>
        <v>0</v>
      </c>
      <c r="X39" s="2825"/>
      <c r="Y39" s="2936">
        <f t="shared" si="1"/>
        <v>0</v>
      </c>
      <c r="Z39" s="1146"/>
      <c r="AA39" s="225"/>
      <c r="AB39" s="225"/>
      <c r="AC39" s="2932">
        <f t="shared" si="9"/>
        <v>0</v>
      </c>
      <c r="AD39" s="1146"/>
      <c r="AE39" s="225"/>
      <c r="AF39" s="225"/>
      <c r="AG39" s="2932">
        <f t="shared" si="10"/>
        <v>0</v>
      </c>
      <c r="AH39" s="1146"/>
      <c r="AI39" s="225"/>
      <c r="AJ39" s="554"/>
      <c r="AK39" s="1136">
        <f t="shared" si="2"/>
        <v>0</v>
      </c>
      <c r="AL39" s="2825"/>
      <c r="AM39" s="2932">
        <f t="shared" si="11"/>
        <v>0</v>
      </c>
      <c r="AN39" s="1146"/>
      <c r="AO39" s="225"/>
      <c r="AP39" s="225"/>
      <c r="AQ39" s="2932">
        <f t="shared" si="12"/>
        <v>0</v>
      </c>
      <c r="AR39" s="1146"/>
      <c r="AS39" s="225"/>
      <c r="AT39" s="225"/>
      <c r="AU39" s="2932">
        <f t="shared" si="13"/>
        <v>0</v>
      </c>
      <c r="AV39" s="1146"/>
      <c r="AW39" s="225"/>
      <c r="AX39" s="554"/>
      <c r="AY39" s="1136">
        <f t="shared" si="3"/>
        <v>0</v>
      </c>
      <c r="AZ39" s="2825"/>
      <c r="BA39" s="2936">
        <f t="shared" si="14"/>
        <v>0</v>
      </c>
      <c r="BB39" s="1146"/>
      <c r="BC39" s="1446">
        <f t="shared" si="4"/>
        <v>0</v>
      </c>
      <c r="BD39" s="3377"/>
      <c r="BE39" s="3377"/>
      <c r="BG39" s="3377"/>
      <c r="BH39" s="3377"/>
    </row>
    <row r="40" spans="1:62" ht="16.5" thickBot="1" x14ac:dyDescent="0.3">
      <c r="A40" s="3384" t="s">
        <v>614</v>
      </c>
      <c r="B40" s="3385"/>
      <c r="C40" s="1147"/>
      <c r="D40" s="1147"/>
      <c r="E40" s="1149"/>
      <c r="F40" s="1149"/>
      <c r="G40" s="1370">
        <f t="shared" si="5"/>
        <v>0</v>
      </c>
      <c r="H40" s="1149"/>
      <c r="I40" s="1149"/>
      <c r="J40" s="1436"/>
      <c r="K40" s="1136">
        <f t="shared" si="6"/>
        <v>0</v>
      </c>
      <c r="L40" s="1149"/>
      <c r="M40" s="1149"/>
      <c r="N40" s="1436"/>
      <c r="O40" s="1446">
        <f t="shared" si="7"/>
        <v>0</v>
      </c>
      <c r="P40" s="1149"/>
      <c r="Q40" s="1149"/>
      <c r="R40" s="1149"/>
      <c r="S40" s="1370">
        <f t="shared" si="8"/>
        <v>0</v>
      </c>
      <c r="T40" s="1151"/>
      <c r="U40" s="1149"/>
      <c r="V40" s="1436"/>
      <c r="W40" s="1136">
        <f t="shared" si="0"/>
        <v>0</v>
      </c>
      <c r="X40" s="1148"/>
      <c r="Y40" s="2936">
        <f t="shared" si="1"/>
        <v>0</v>
      </c>
      <c r="Z40" s="1151"/>
      <c r="AA40" s="1149"/>
      <c r="AB40" s="1149"/>
      <c r="AC40" s="2932">
        <f t="shared" si="9"/>
        <v>0</v>
      </c>
      <c r="AD40" s="1151"/>
      <c r="AE40" s="1149"/>
      <c r="AF40" s="1149"/>
      <c r="AG40" s="2932">
        <f t="shared" si="10"/>
        <v>0</v>
      </c>
      <c r="AH40" s="1151"/>
      <c r="AI40" s="1149"/>
      <c r="AJ40" s="1436"/>
      <c r="AK40" s="1136">
        <f t="shared" si="2"/>
        <v>0</v>
      </c>
      <c r="AL40" s="1148"/>
      <c r="AM40" s="2932">
        <f t="shared" si="11"/>
        <v>0</v>
      </c>
      <c r="AN40" s="1151"/>
      <c r="AO40" s="1149"/>
      <c r="AP40" s="1149"/>
      <c r="AQ40" s="2932">
        <f t="shared" si="12"/>
        <v>0</v>
      </c>
      <c r="AR40" s="1151"/>
      <c r="AS40" s="1149"/>
      <c r="AT40" s="1149"/>
      <c r="AU40" s="2932">
        <f t="shared" si="13"/>
        <v>0</v>
      </c>
      <c r="AV40" s="1151"/>
      <c r="AW40" s="1149"/>
      <c r="AX40" s="1436"/>
      <c r="AY40" s="1136">
        <f t="shared" si="3"/>
        <v>0</v>
      </c>
      <c r="AZ40" s="1148"/>
      <c r="BA40" s="2936">
        <f t="shared" si="14"/>
        <v>0</v>
      </c>
      <c r="BB40" s="1151"/>
      <c r="BC40" s="1446">
        <f t="shared" si="4"/>
        <v>0</v>
      </c>
      <c r="BD40" s="3377"/>
      <c r="BE40" s="3377"/>
      <c r="BG40" s="3377"/>
      <c r="BH40" s="3377"/>
    </row>
    <row r="41" spans="1:62" x14ac:dyDescent="0.25">
      <c r="A41" s="1363" t="s">
        <v>1887</v>
      </c>
      <c r="B41" s="1431"/>
      <c r="C41" s="1142">
        <v>199</v>
      </c>
      <c r="D41" s="1142"/>
      <c r="E41" s="1142">
        <v>132</v>
      </c>
      <c r="F41" s="1370"/>
      <c r="G41" s="1370">
        <f t="shared" si="5"/>
        <v>331</v>
      </c>
      <c r="H41" s="1422"/>
      <c r="I41" s="1142"/>
      <c r="J41" s="1437"/>
      <c r="K41" s="1136">
        <f t="shared" si="6"/>
        <v>331</v>
      </c>
      <c r="L41" s="1422"/>
      <c r="M41" s="217"/>
      <c r="N41" s="1434"/>
      <c r="O41" s="1446">
        <f t="shared" si="7"/>
        <v>331</v>
      </c>
      <c r="P41" s="1422"/>
      <c r="Q41" s="217"/>
      <c r="R41" s="1370"/>
      <c r="S41" s="1370">
        <f t="shared" si="8"/>
        <v>331</v>
      </c>
      <c r="T41" s="2933"/>
      <c r="U41" s="217">
        <v>161</v>
      </c>
      <c r="V41" s="237"/>
      <c r="W41" s="1136">
        <f t="shared" si="0"/>
        <v>161</v>
      </c>
      <c r="X41" s="2824"/>
      <c r="Y41" s="2936">
        <f t="shared" si="1"/>
        <v>492</v>
      </c>
      <c r="Z41" s="2938"/>
      <c r="AA41" s="217"/>
      <c r="AB41" s="1142"/>
      <c r="AC41" s="2932">
        <f t="shared" si="9"/>
        <v>492</v>
      </c>
      <c r="AD41" s="2933"/>
      <c r="AE41" s="217">
        <v>320.298</v>
      </c>
      <c r="AF41" s="1142"/>
      <c r="AG41" s="2932">
        <f t="shared" si="10"/>
        <v>812.298</v>
      </c>
      <c r="AH41" s="2933"/>
      <c r="AI41" s="217"/>
      <c r="AJ41" s="237"/>
      <c r="AK41" s="1136">
        <f t="shared" si="2"/>
        <v>320.298</v>
      </c>
      <c r="AL41" s="2824"/>
      <c r="AM41" s="2932">
        <f t="shared" si="11"/>
        <v>812.298</v>
      </c>
      <c r="AN41" s="2933"/>
      <c r="AO41" s="217"/>
      <c r="AP41" s="217"/>
      <c r="AQ41" s="2932">
        <f t="shared" si="12"/>
        <v>812.298</v>
      </c>
      <c r="AR41" s="2931"/>
      <c r="AS41" s="217"/>
      <c r="AT41" s="217"/>
      <c r="AU41" s="2932">
        <f t="shared" si="13"/>
        <v>812.298</v>
      </c>
      <c r="AV41" s="2931"/>
      <c r="AW41" s="217"/>
      <c r="AX41" s="237"/>
      <c r="AY41" s="1136">
        <f t="shared" si="3"/>
        <v>0</v>
      </c>
      <c r="AZ41" s="2824"/>
      <c r="BA41" s="2936">
        <f t="shared" si="14"/>
        <v>320.298</v>
      </c>
      <c r="BB41" s="2932"/>
      <c r="BC41" s="1446">
        <f t="shared" si="4"/>
        <v>812.298</v>
      </c>
      <c r="BD41" s="3377"/>
      <c r="BE41" s="3377"/>
      <c r="BG41" s="3377"/>
      <c r="BH41" s="3377"/>
    </row>
    <row r="42" spans="1:62" x14ac:dyDescent="0.25">
      <c r="A42" s="215" t="s">
        <v>1581</v>
      </c>
      <c r="B42" s="1429"/>
      <c r="C42" s="217">
        <v>7252</v>
      </c>
      <c r="D42" s="217"/>
      <c r="E42" s="216">
        <v>7527</v>
      </c>
      <c r="F42" s="216"/>
      <c r="G42" s="1370">
        <f t="shared" si="5"/>
        <v>14779</v>
      </c>
      <c r="H42" s="216"/>
      <c r="I42" s="216">
        <v>2734</v>
      </c>
      <c r="J42" s="658"/>
      <c r="K42" s="1136">
        <f t="shared" si="6"/>
        <v>17513</v>
      </c>
      <c r="L42" s="216"/>
      <c r="M42" s="216">
        <v>6138</v>
      </c>
      <c r="N42" s="2929"/>
      <c r="O42" s="1446">
        <f t="shared" si="7"/>
        <v>23651</v>
      </c>
      <c r="P42" s="216"/>
      <c r="Q42" s="216">
        <v>3807.866</v>
      </c>
      <c r="R42" s="216"/>
      <c r="S42" s="1370">
        <f t="shared" si="8"/>
        <v>27458.866000000002</v>
      </c>
      <c r="T42" s="238"/>
      <c r="U42" s="216">
        <v>7058</v>
      </c>
      <c r="V42" s="2823"/>
      <c r="W42" s="1136">
        <f t="shared" si="0"/>
        <v>17003.866000000002</v>
      </c>
      <c r="X42" s="2824"/>
      <c r="Y42" s="2936">
        <f t="shared" si="1"/>
        <v>34516.866000000002</v>
      </c>
      <c r="Z42" s="1144"/>
      <c r="AA42" s="216"/>
      <c r="AB42" s="236"/>
      <c r="AC42" s="2932">
        <f t="shared" si="9"/>
        <v>34516.866000000002</v>
      </c>
      <c r="AD42" s="238"/>
      <c r="AE42" s="216">
        <v>5828.7749999999996</v>
      </c>
      <c r="AF42" s="236"/>
      <c r="AG42" s="2932">
        <f t="shared" si="10"/>
        <v>40345.641000000003</v>
      </c>
      <c r="AH42" s="238"/>
      <c r="AI42" s="216">
        <v>7574</v>
      </c>
      <c r="AJ42" s="2823"/>
      <c r="AK42" s="1136">
        <f t="shared" si="2"/>
        <v>13402.775</v>
      </c>
      <c r="AL42" s="2824"/>
      <c r="AM42" s="2932">
        <f t="shared" si="11"/>
        <v>47919.641000000003</v>
      </c>
      <c r="AN42" s="238"/>
      <c r="AO42" s="216">
        <v>7581</v>
      </c>
      <c r="AP42" s="2930"/>
      <c r="AQ42" s="2932">
        <f t="shared" si="12"/>
        <v>55500.641000000003</v>
      </c>
      <c r="AR42" s="2932"/>
      <c r="AS42" s="216">
        <v>3748.4520000000002</v>
      </c>
      <c r="AT42" s="2930"/>
      <c r="AU42" s="2932">
        <f t="shared" si="13"/>
        <v>59249.093000000001</v>
      </c>
      <c r="AV42" s="2932"/>
      <c r="AW42" s="216">
        <v>9082.9809999999998</v>
      </c>
      <c r="AX42" s="2823"/>
      <c r="AY42" s="1136">
        <f t="shared" si="3"/>
        <v>20412.433000000001</v>
      </c>
      <c r="AZ42" s="2824"/>
      <c r="BA42" s="2936">
        <f t="shared" si="14"/>
        <v>33815.207999999999</v>
      </c>
      <c r="BB42" s="2932"/>
      <c r="BC42" s="1446">
        <f t="shared" si="4"/>
        <v>68332.073999999993</v>
      </c>
      <c r="BD42" s="3377"/>
      <c r="BE42" s="3377"/>
      <c r="BG42" s="3377"/>
      <c r="BH42" s="3377"/>
    </row>
    <row r="43" spans="1:62" x14ac:dyDescent="0.25">
      <c r="A43" s="6062" t="s">
        <v>2051</v>
      </c>
      <c r="B43" s="6063"/>
      <c r="C43" s="6064">
        <v>1077</v>
      </c>
      <c r="D43" s="6064"/>
      <c r="E43" s="6065"/>
      <c r="F43" s="6064"/>
      <c r="G43" s="6066"/>
      <c r="H43" s="6064"/>
      <c r="I43" s="6065"/>
      <c r="J43" s="5808"/>
      <c r="K43" s="1136">
        <f t="shared" si="6"/>
        <v>1077</v>
      </c>
      <c r="L43" s="6064"/>
      <c r="M43" s="6064"/>
      <c r="N43" s="5808"/>
      <c r="O43" s="5472"/>
      <c r="P43" s="6064"/>
      <c r="Q43" s="6064"/>
      <c r="R43" s="6064"/>
      <c r="S43" s="1370">
        <f t="shared" si="8"/>
        <v>0</v>
      </c>
      <c r="T43" s="2933"/>
      <c r="U43" s="6064">
        <v>2285</v>
      </c>
      <c r="V43" s="237"/>
      <c r="W43" s="1136">
        <f t="shared" ref="W43" si="20">+M43+Q43+U43</f>
        <v>2285</v>
      </c>
      <c r="X43" s="2824"/>
      <c r="Y43" s="2936">
        <f t="shared" ref="Y43" si="21">+K43+W43</f>
        <v>3362</v>
      </c>
      <c r="Z43" s="2938"/>
      <c r="AA43" s="6064"/>
      <c r="AB43" s="1142"/>
      <c r="AC43" s="2932">
        <f t="shared" si="9"/>
        <v>3362</v>
      </c>
      <c r="AD43" s="2933"/>
      <c r="AE43" s="6064">
        <v>85.076999999999998</v>
      </c>
      <c r="AF43" s="1142"/>
      <c r="AG43" s="2932">
        <f t="shared" si="10"/>
        <v>3447.0770000000002</v>
      </c>
      <c r="AH43" s="2933"/>
      <c r="AI43" s="6064">
        <v>569</v>
      </c>
      <c r="AJ43" s="237"/>
      <c r="AK43" s="1136">
        <f t="shared" si="2"/>
        <v>654.077</v>
      </c>
      <c r="AL43" s="2824"/>
      <c r="AM43" s="2932">
        <f t="shared" si="11"/>
        <v>4016.0770000000002</v>
      </c>
      <c r="AN43" s="2933"/>
      <c r="AO43" s="6064">
        <v>1355</v>
      </c>
      <c r="AP43" s="6064"/>
      <c r="AQ43" s="2932">
        <f t="shared" si="12"/>
        <v>5371.0770000000002</v>
      </c>
      <c r="AR43" s="6068"/>
      <c r="AS43" s="6064"/>
      <c r="AT43" s="6064"/>
      <c r="AU43" s="2932">
        <f t="shared" si="13"/>
        <v>5371.0770000000002</v>
      </c>
      <c r="AV43" s="6068"/>
      <c r="AW43" s="6064">
        <v>1237.915</v>
      </c>
      <c r="AX43" s="237"/>
      <c r="AY43" s="1136">
        <f t="shared" si="3"/>
        <v>2592.915</v>
      </c>
      <c r="AZ43" s="2824"/>
      <c r="BA43" s="2936">
        <f t="shared" si="14"/>
        <v>3246.9920000000002</v>
      </c>
      <c r="BB43" s="6067"/>
      <c r="BC43" s="1446">
        <f t="shared" si="4"/>
        <v>6608.9920000000002</v>
      </c>
      <c r="BD43" s="3377"/>
      <c r="BE43" s="3377"/>
      <c r="BG43" s="3377"/>
      <c r="BH43" s="3377"/>
    </row>
    <row r="44" spans="1:62" x14ac:dyDescent="0.25">
      <c r="A44" s="1363" t="s">
        <v>1210</v>
      </c>
      <c r="B44" s="1431"/>
      <c r="C44" s="217"/>
      <c r="D44" s="217"/>
      <c r="E44" s="216">
        <v>2880</v>
      </c>
      <c r="F44" s="1370"/>
      <c r="G44" s="1370">
        <f t="shared" si="5"/>
        <v>2880</v>
      </c>
      <c r="H44" s="1422"/>
      <c r="I44" s="216">
        <v>1791</v>
      </c>
      <c r="J44" s="1437"/>
      <c r="K44" s="1136">
        <f t="shared" si="6"/>
        <v>4671</v>
      </c>
      <c r="L44" s="1422"/>
      <c r="M44" s="217">
        <v>2551</v>
      </c>
      <c r="N44" s="1434"/>
      <c r="O44" s="1446">
        <f t="shared" si="7"/>
        <v>7222</v>
      </c>
      <c r="P44" s="1422"/>
      <c r="Q44" s="217">
        <v>622.54499999999996</v>
      </c>
      <c r="R44" s="1370"/>
      <c r="S44" s="1370">
        <f t="shared" si="8"/>
        <v>7844.5450000000001</v>
      </c>
      <c r="T44" s="2933"/>
      <c r="U44" s="217"/>
      <c r="V44" s="237"/>
      <c r="W44" s="1136">
        <f t="shared" si="0"/>
        <v>3173.5450000000001</v>
      </c>
      <c r="X44" s="2824"/>
      <c r="Y44" s="2936">
        <f t="shared" si="1"/>
        <v>7844.5450000000001</v>
      </c>
      <c r="Z44" s="2938"/>
      <c r="AA44" s="217"/>
      <c r="AB44" s="1142"/>
      <c r="AC44" s="2932">
        <f t="shared" si="9"/>
        <v>7844.5450000000001</v>
      </c>
      <c r="AD44" s="2933"/>
      <c r="AE44" s="217"/>
      <c r="AF44" s="1142"/>
      <c r="AG44" s="2932">
        <f t="shared" si="10"/>
        <v>7844.5450000000001</v>
      </c>
      <c r="AH44" s="2933"/>
      <c r="AI44" s="217"/>
      <c r="AJ44" s="237"/>
      <c r="AK44" s="1136">
        <f t="shared" si="2"/>
        <v>0</v>
      </c>
      <c r="AL44" s="2824"/>
      <c r="AM44" s="2932">
        <f t="shared" si="11"/>
        <v>7844.5450000000001</v>
      </c>
      <c r="AN44" s="2933"/>
      <c r="AO44" s="217"/>
      <c r="AP44" s="217"/>
      <c r="AQ44" s="2932">
        <f t="shared" si="12"/>
        <v>7844.5450000000001</v>
      </c>
      <c r="AR44" s="2931"/>
      <c r="AS44" s="217"/>
      <c r="AT44" s="217"/>
      <c r="AU44" s="2932">
        <f t="shared" si="13"/>
        <v>7844.5450000000001</v>
      </c>
      <c r="AV44" s="2931"/>
      <c r="AW44" s="217"/>
      <c r="AX44" s="237"/>
      <c r="AY44" s="1136">
        <f t="shared" si="3"/>
        <v>0</v>
      </c>
      <c r="AZ44" s="2824"/>
      <c r="BA44" s="2936">
        <f t="shared" si="14"/>
        <v>0</v>
      </c>
      <c r="BB44" s="2932"/>
      <c r="BC44" s="1446">
        <f t="shared" si="4"/>
        <v>7844.5450000000001</v>
      </c>
      <c r="BD44" s="3377"/>
      <c r="BE44" s="3377"/>
      <c r="BG44" s="3377"/>
      <c r="BH44" s="3377"/>
    </row>
    <row r="45" spans="1:62" ht="16.5" thickBot="1" x14ac:dyDescent="0.3">
      <c r="A45" s="215" t="s">
        <v>1220</v>
      </c>
      <c r="B45" s="1429"/>
      <c r="C45" s="217"/>
      <c r="D45" s="217"/>
      <c r="E45" s="217"/>
      <c r="F45" s="217"/>
      <c r="G45" s="1370">
        <f t="shared" si="5"/>
        <v>0</v>
      </c>
      <c r="H45" s="217"/>
      <c r="I45" s="217"/>
      <c r="J45" s="1434"/>
      <c r="K45" s="1136">
        <f t="shared" si="6"/>
        <v>0</v>
      </c>
      <c r="L45" s="217"/>
      <c r="M45" s="217">
        <v>643</v>
      </c>
      <c r="N45" s="1434"/>
      <c r="O45" s="1446">
        <f t="shared" si="7"/>
        <v>643</v>
      </c>
      <c r="P45" s="217"/>
      <c r="Q45" s="217">
        <v>673.99199999999996</v>
      </c>
      <c r="R45" s="217"/>
      <c r="S45" s="1370">
        <f t="shared" si="8"/>
        <v>1316.992</v>
      </c>
      <c r="T45" s="2933"/>
      <c r="U45" s="217"/>
      <c r="V45" s="237"/>
      <c r="W45" s="1136">
        <f t="shared" si="0"/>
        <v>1316.992</v>
      </c>
      <c r="X45" s="2824"/>
      <c r="Y45" s="2936">
        <f t="shared" si="1"/>
        <v>1316.992</v>
      </c>
      <c r="Z45" s="2938"/>
      <c r="AA45" s="217"/>
      <c r="AB45" s="1142"/>
      <c r="AC45" s="2932">
        <f t="shared" si="9"/>
        <v>1316.992</v>
      </c>
      <c r="AD45" s="2933"/>
      <c r="AE45" s="217">
        <v>112.33199999999999</v>
      </c>
      <c r="AF45" s="1142"/>
      <c r="AG45" s="2932">
        <f t="shared" si="10"/>
        <v>1429.3240000000001</v>
      </c>
      <c r="AH45" s="2933"/>
      <c r="AI45" s="217">
        <v>827</v>
      </c>
      <c r="AJ45" s="237"/>
      <c r="AK45" s="1136">
        <f t="shared" si="2"/>
        <v>939.33199999999999</v>
      </c>
      <c r="AL45" s="2824"/>
      <c r="AM45" s="2932">
        <f t="shared" si="11"/>
        <v>2256.3240000000001</v>
      </c>
      <c r="AN45" s="2933"/>
      <c r="AO45" s="217"/>
      <c r="AP45" s="217"/>
      <c r="AQ45" s="2932">
        <f t="shared" si="12"/>
        <v>2256.3240000000001</v>
      </c>
      <c r="AR45" s="2931"/>
      <c r="AS45" s="217"/>
      <c r="AT45" s="217"/>
      <c r="AU45" s="2932">
        <f t="shared" si="13"/>
        <v>2256.3240000000001</v>
      </c>
      <c r="AV45" s="2931"/>
      <c r="AW45" s="217"/>
      <c r="AX45" s="237"/>
      <c r="AY45" s="1136">
        <f t="shared" si="3"/>
        <v>0</v>
      </c>
      <c r="AZ45" s="2824"/>
      <c r="BA45" s="2936">
        <f t="shared" si="14"/>
        <v>939.33199999999999</v>
      </c>
      <c r="BB45" s="2932"/>
      <c r="BC45" s="1446">
        <f t="shared" si="4"/>
        <v>2256.3240000000001</v>
      </c>
      <c r="BD45" s="3377"/>
      <c r="BE45" s="3377"/>
      <c r="BG45" s="3377"/>
      <c r="BH45" s="3377"/>
    </row>
    <row r="46" spans="1:62" ht="16.5" thickBot="1" x14ac:dyDescent="0.3">
      <c r="A46" s="3379" t="s">
        <v>624</v>
      </c>
      <c r="B46" s="3380"/>
      <c r="C46" s="3381">
        <f>SUM(C41:C45)</f>
        <v>8528</v>
      </c>
      <c r="D46" s="3381"/>
      <c r="E46" s="3381">
        <f>SUM(E41:E45)</f>
        <v>10539</v>
      </c>
      <c r="F46" s="3381"/>
      <c r="G46" s="1370">
        <f t="shared" si="5"/>
        <v>19067</v>
      </c>
      <c r="H46" s="3381"/>
      <c r="I46" s="3381">
        <f>SUM(I41:I45)</f>
        <v>4525</v>
      </c>
      <c r="J46" s="3381"/>
      <c r="K46" s="1136">
        <f t="shared" si="6"/>
        <v>23592</v>
      </c>
      <c r="L46" s="3381"/>
      <c r="M46" s="3381">
        <f>SUM(M41:M45)</f>
        <v>9332</v>
      </c>
      <c r="N46" s="3381"/>
      <c r="O46" s="1446">
        <f t="shared" si="7"/>
        <v>32924</v>
      </c>
      <c r="P46" s="3381"/>
      <c r="Q46" s="3381">
        <f>SUM(Q41:Q45)</f>
        <v>5104.4030000000002</v>
      </c>
      <c r="R46" s="3381"/>
      <c r="S46" s="1370">
        <f t="shared" si="8"/>
        <v>38028.402999999998</v>
      </c>
      <c r="T46" s="3381"/>
      <c r="U46" s="3381">
        <f>SUM(U41:U45)</f>
        <v>9504</v>
      </c>
      <c r="V46" s="3381"/>
      <c r="W46" s="1136">
        <f t="shared" si="0"/>
        <v>23940.402999999998</v>
      </c>
      <c r="X46" s="3381"/>
      <c r="Y46" s="2936">
        <f t="shared" si="1"/>
        <v>47532.402999999998</v>
      </c>
      <c r="Z46" s="3381"/>
      <c r="AA46" s="3381">
        <f>SUM(AA41:AA45)</f>
        <v>0</v>
      </c>
      <c r="AB46" s="3381"/>
      <c r="AC46" s="2932">
        <f t="shared" si="9"/>
        <v>47532.402999999998</v>
      </c>
      <c r="AD46" s="3381"/>
      <c r="AE46" s="3381">
        <f>SUM(AE41:AE45)</f>
        <v>6346.482</v>
      </c>
      <c r="AF46" s="3381"/>
      <c r="AG46" s="2932">
        <f t="shared" si="10"/>
        <v>53878.884999999995</v>
      </c>
      <c r="AH46" s="3381"/>
      <c r="AI46" s="3381">
        <f>SUM(AI41:AI45)</f>
        <v>8970</v>
      </c>
      <c r="AJ46" s="3381"/>
      <c r="AK46" s="1136">
        <f t="shared" si="2"/>
        <v>15316.482</v>
      </c>
      <c r="AL46" s="3381"/>
      <c r="AM46" s="2932">
        <f t="shared" si="11"/>
        <v>62848.884999999995</v>
      </c>
      <c r="AN46" s="3381"/>
      <c r="AO46" s="3381">
        <f>SUM(AO41:AO45)</f>
        <v>8936</v>
      </c>
      <c r="AP46" s="3381"/>
      <c r="AQ46" s="2932">
        <f t="shared" si="12"/>
        <v>71784.884999999995</v>
      </c>
      <c r="AR46" s="3381"/>
      <c r="AS46" s="3381">
        <f>SUM(AS41:AS45)</f>
        <v>3748.4520000000002</v>
      </c>
      <c r="AT46" s="3381"/>
      <c r="AU46" s="2932">
        <f t="shared" si="13"/>
        <v>75533.337</v>
      </c>
      <c r="AV46" s="3381"/>
      <c r="AW46" s="3381">
        <f>SUM(AW41:AW45)</f>
        <v>10320.896000000001</v>
      </c>
      <c r="AX46" s="3381"/>
      <c r="AY46" s="1136">
        <f t="shared" si="3"/>
        <v>23005.348000000002</v>
      </c>
      <c r="AZ46" s="3381"/>
      <c r="BA46" s="2936">
        <f t="shared" si="14"/>
        <v>38321.83</v>
      </c>
      <c r="BB46" s="3381"/>
      <c r="BC46" s="1446">
        <f t="shared" si="4"/>
        <v>85854.233000000007</v>
      </c>
      <c r="BD46" s="3377"/>
      <c r="BE46" s="3377"/>
      <c r="BG46" s="3377"/>
      <c r="BH46" s="3377"/>
    </row>
    <row r="47" spans="1:62" x14ac:dyDescent="0.25">
      <c r="A47" s="5328" t="s">
        <v>1303</v>
      </c>
      <c r="B47" s="5322"/>
      <c r="C47" s="5323">
        <f>1365-167</f>
        <v>1198</v>
      </c>
      <c r="D47" s="5323"/>
      <c r="E47" s="5323">
        <v>3024</v>
      </c>
      <c r="F47" s="5323"/>
      <c r="G47" s="1370">
        <f t="shared" si="5"/>
        <v>4222</v>
      </c>
      <c r="H47" s="5323"/>
      <c r="I47" s="5323">
        <v>950</v>
      </c>
      <c r="J47" s="5325"/>
      <c r="K47" s="1136">
        <f t="shared" si="6"/>
        <v>5172</v>
      </c>
      <c r="L47" s="5323"/>
      <c r="M47" s="5323">
        <v>1233</v>
      </c>
      <c r="N47" s="5325"/>
      <c r="O47" s="1446">
        <f t="shared" si="7"/>
        <v>6405</v>
      </c>
      <c r="P47" s="5323"/>
      <c r="Q47" s="5323">
        <v>1351</v>
      </c>
      <c r="R47" s="5323"/>
      <c r="S47" s="1370">
        <f t="shared" si="8"/>
        <v>7756</v>
      </c>
      <c r="T47" s="5324"/>
      <c r="U47" s="5323">
        <v>806</v>
      </c>
      <c r="V47" s="5325"/>
      <c r="W47" s="1136">
        <f t="shared" si="0"/>
        <v>3390</v>
      </c>
      <c r="X47" s="5326"/>
      <c r="Y47" s="2936">
        <f t="shared" si="1"/>
        <v>8562</v>
      </c>
      <c r="Z47" s="5324"/>
      <c r="AA47" s="5323">
        <v>86</v>
      </c>
      <c r="AB47" s="5323"/>
      <c r="AC47" s="2932">
        <f t="shared" si="9"/>
        <v>8648</v>
      </c>
      <c r="AD47" s="5324"/>
      <c r="AE47" s="5323">
        <v>532</v>
      </c>
      <c r="AF47" s="5323"/>
      <c r="AG47" s="2932">
        <f t="shared" si="10"/>
        <v>9180</v>
      </c>
      <c r="AH47" s="5324"/>
      <c r="AI47" s="5323">
        <v>569</v>
      </c>
      <c r="AJ47" s="5325"/>
      <c r="AK47" s="1136">
        <f t="shared" si="2"/>
        <v>1187</v>
      </c>
      <c r="AL47" s="5326"/>
      <c r="AM47" s="2932">
        <f t="shared" si="11"/>
        <v>9749</v>
      </c>
      <c r="AN47" s="5324"/>
      <c r="AO47" s="5323">
        <v>542</v>
      </c>
      <c r="AP47" s="5323"/>
      <c r="AQ47" s="2932">
        <f t="shared" si="12"/>
        <v>10291</v>
      </c>
      <c r="AR47" s="5324"/>
      <c r="AS47" s="5323">
        <v>530.798</v>
      </c>
      <c r="AT47" s="5323"/>
      <c r="AU47" s="2932">
        <f t="shared" si="13"/>
        <v>10821.798000000001</v>
      </c>
      <c r="AV47" s="5324"/>
      <c r="AW47" s="5323">
        <v>800</v>
      </c>
      <c r="AX47" s="5325"/>
      <c r="AY47" s="1136">
        <f t="shared" si="3"/>
        <v>1872.798</v>
      </c>
      <c r="AZ47" s="5326"/>
      <c r="BA47" s="2936">
        <f t="shared" si="14"/>
        <v>3059.7979999999998</v>
      </c>
      <c r="BB47" s="5327"/>
      <c r="BC47" s="1446">
        <f t="shared" si="4"/>
        <v>11621.798000000001</v>
      </c>
      <c r="BD47" s="3377"/>
      <c r="BE47" s="3377"/>
      <c r="BG47" s="3377"/>
      <c r="BH47" s="3377"/>
      <c r="BJ47" s="3377"/>
    </row>
    <row r="48" spans="1:62" ht="16.5" thickBot="1" x14ac:dyDescent="0.3">
      <c r="A48" s="6737" t="s">
        <v>2214</v>
      </c>
      <c r="B48" s="6737"/>
      <c r="C48" s="6738">
        <v>167</v>
      </c>
      <c r="D48" s="6738"/>
      <c r="E48" s="6738"/>
      <c r="F48" s="6738"/>
      <c r="G48" s="6721"/>
      <c r="H48" s="6738"/>
      <c r="I48" s="6738">
        <v>487</v>
      </c>
      <c r="J48" s="6739"/>
      <c r="K48" s="1136">
        <f t="shared" si="6"/>
        <v>654</v>
      </c>
      <c r="L48" s="6738"/>
      <c r="M48" s="6738">
        <v>712</v>
      </c>
      <c r="N48" s="6739"/>
      <c r="O48" s="5472"/>
      <c r="P48" s="6738"/>
      <c r="Q48" s="6738">
        <v>139</v>
      </c>
      <c r="R48" s="6738"/>
      <c r="S48" s="6721"/>
      <c r="T48" s="6740"/>
      <c r="U48" s="6738">
        <v>75</v>
      </c>
      <c r="V48" s="6739"/>
      <c r="W48" s="1136">
        <f t="shared" ref="W48" si="22">+M48+Q48+U48</f>
        <v>926</v>
      </c>
      <c r="X48" s="5326"/>
      <c r="Y48" s="2936">
        <f t="shared" ref="Y48" si="23">+K48+W48</f>
        <v>1580</v>
      </c>
      <c r="Z48" s="6740"/>
      <c r="AA48" s="6738">
        <v>92</v>
      </c>
      <c r="AB48" s="6738"/>
      <c r="AC48" s="2932">
        <f t="shared" si="9"/>
        <v>1672</v>
      </c>
      <c r="AD48" s="6740"/>
      <c r="AE48" s="6738">
        <v>7</v>
      </c>
      <c r="AF48" s="6738"/>
      <c r="AG48" s="2932">
        <f t="shared" si="10"/>
        <v>1679</v>
      </c>
      <c r="AH48" s="6740"/>
      <c r="AI48" s="6738">
        <v>70</v>
      </c>
      <c r="AJ48" s="6739"/>
      <c r="AK48" s="5470">
        <f t="shared" si="2"/>
        <v>169</v>
      </c>
      <c r="AL48" s="6741"/>
      <c r="AM48" s="2932">
        <f t="shared" si="11"/>
        <v>1749</v>
      </c>
      <c r="AN48" s="6740"/>
      <c r="AO48" s="6738">
        <v>94</v>
      </c>
      <c r="AP48" s="6738"/>
      <c r="AQ48" s="2932">
        <f t="shared" si="12"/>
        <v>1843</v>
      </c>
      <c r="AR48" s="6740"/>
      <c r="AS48" s="6738">
        <v>81</v>
      </c>
      <c r="AT48" s="6738"/>
      <c r="AU48" s="2932">
        <f t="shared" si="13"/>
        <v>1924</v>
      </c>
      <c r="AV48" s="6740"/>
      <c r="AW48" s="6738">
        <v>21</v>
      </c>
      <c r="AX48" s="6739"/>
      <c r="AY48" s="1136">
        <f t="shared" ref="AY48" si="24">+AO48+AS48+AW48</f>
        <v>196</v>
      </c>
      <c r="AZ48" s="5326"/>
      <c r="BA48" s="2936">
        <f t="shared" ref="BA48" si="25">+AK48+AY48</f>
        <v>365</v>
      </c>
      <c r="BB48" s="5327"/>
      <c r="BC48" s="1446">
        <f t="shared" ref="BC48" si="26">AU48+AW48</f>
        <v>1945</v>
      </c>
      <c r="BD48" s="3377"/>
      <c r="BE48" s="3377"/>
      <c r="BG48" s="3377"/>
      <c r="BH48" s="3377"/>
      <c r="BJ48" s="3377"/>
    </row>
    <row r="49" spans="1:57" ht="16.5" thickBot="1" x14ac:dyDescent="0.3">
      <c r="A49" s="5329" t="s">
        <v>2</v>
      </c>
      <c r="B49" s="5330"/>
      <c r="C49" s="5331">
        <f>+C46+C38+C25+C18+C47+C48</f>
        <v>56307</v>
      </c>
      <c r="D49" s="5331"/>
      <c r="E49" s="5331">
        <f>+E46+E38+E25+E18+E47+E48</f>
        <v>61370</v>
      </c>
      <c r="F49" s="5331"/>
      <c r="G49" s="1370">
        <f t="shared" si="5"/>
        <v>117677</v>
      </c>
      <c r="H49" s="5331"/>
      <c r="I49" s="5331">
        <f>+I46+I38+I25+I18+I47+I48</f>
        <v>60682</v>
      </c>
      <c r="J49" s="5331"/>
      <c r="K49" s="1136">
        <f t="shared" si="6"/>
        <v>178359</v>
      </c>
      <c r="L49" s="5331"/>
      <c r="M49" s="5331">
        <f>+M46+M38+M25+M18+M47+M48</f>
        <v>64577</v>
      </c>
      <c r="N49" s="5331"/>
      <c r="O49" s="1446">
        <f t="shared" si="7"/>
        <v>242936</v>
      </c>
      <c r="P49" s="5331"/>
      <c r="Q49" s="5331">
        <f>+Q46+Q38+Q25+Q18+Q47+Q48</f>
        <v>58048.87</v>
      </c>
      <c r="R49" s="5331"/>
      <c r="S49" s="1370">
        <f t="shared" si="8"/>
        <v>300984.87</v>
      </c>
      <c r="T49" s="5331"/>
      <c r="U49" s="5331">
        <f>+U46+U38+U25+U18+U47+U48</f>
        <v>54346</v>
      </c>
      <c r="V49" s="5331"/>
      <c r="W49" s="1136">
        <f t="shared" si="0"/>
        <v>176971.87</v>
      </c>
      <c r="X49" s="5331"/>
      <c r="Y49" s="2936">
        <f t="shared" si="1"/>
        <v>355330.87</v>
      </c>
      <c r="Z49" s="5331"/>
      <c r="AA49" s="5331">
        <f>+AA46+AA38+AA25+AA18+AA47+AA48</f>
        <v>43900</v>
      </c>
      <c r="AB49" s="5331"/>
      <c r="AC49" s="2932">
        <f t="shared" si="9"/>
        <v>399230.87</v>
      </c>
      <c r="AD49" s="5331"/>
      <c r="AE49" s="5331">
        <f>+AE46+AE38+AE25+AE18+AE47+AE48</f>
        <v>51489.695999999996</v>
      </c>
      <c r="AF49" s="5331"/>
      <c r="AG49" s="2932">
        <f t="shared" si="10"/>
        <v>450720.56599999999</v>
      </c>
      <c r="AH49" s="5331"/>
      <c r="AI49" s="5331">
        <f>+AI46+AI38+AI25+AI18+AI47+AI48</f>
        <v>65578</v>
      </c>
      <c r="AJ49" s="5331"/>
      <c r="AK49" s="1136">
        <f t="shared" si="2"/>
        <v>160967.696</v>
      </c>
      <c r="AL49" s="5331"/>
      <c r="AM49" s="2932">
        <f t="shared" si="11"/>
        <v>516298.56599999999</v>
      </c>
      <c r="AN49" s="5331"/>
      <c r="AO49" s="5331">
        <f>+AO46+AO38+AO25+AO18+AO47+AO48</f>
        <v>62899</v>
      </c>
      <c r="AP49" s="5331">
        <f>+AP46+AP38+AP25+AP18+AP47</f>
        <v>0</v>
      </c>
      <c r="AQ49" s="2932">
        <f t="shared" si="12"/>
        <v>579197.56599999999</v>
      </c>
      <c r="AR49" s="5331">
        <f>+AR46+AR38+AR25+AR18+AR47</f>
        <v>0</v>
      </c>
      <c r="AS49" s="5331">
        <f>+AS46+AS38+AS25+AS18+AS47+AS48</f>
        <v>49353.357000000004</v>
      </c>
      <c r="AT49" s="5331">
        <f>+AT46+AT38+AT25+AT18+AT47</f>
        <v>0</v>
      </c>
      <c r="AU49" s="2932">
        <f t="shared" si="13"/>
        <v>628550.92299999995</v>
      </c>
      <c r="AV49" s="5331">
        <f>+AV46+AV38+AV25+AV18+AV47</f>
        <v>0</v>
      </c>
      <c r="AW49" s="5331">
        <f>+AW46+AW38+AW25+AW18+AW47+AW48</f>
        <v>64484.467000000004</v>
      </c>
      <c r="AX49" s="5331">
        <f>+AX46+AX38+AX25+AX18+AX47</f>
        <v>0</v>
      </c>
      <c r="AY49" s="1136">
        <f t="shared" si="3"/>
        <v>176736.82400000002</v>
      </c>
      <c r="AZ49" s="5331">
        <f>+AZ46+AZ38+AZ25+AZ18+AZ47</f>
        <v>0</v>
      </c>
      <c r="BA49" s="2936">
        <f t="shared" si="14"/>
        <v>337704.52</v>
      </c>
      <c r="BB49" s="5331">
        <f>+BB46+BB38+BB25+BB18+BB47</f>
        <v>0</v>
      </c>
      <c r="BC49" s="1446">
        <f t="shared" si="4"/>
        <v>693035.3899999999</v>
      </c>
      <c r="BD49" s="3377"/>
      <c r="BE49" s="3377"/>
    </row>
    <row r="51" spans="1:57" x14ac:dyDescent="0.25">
      <c r="C51" s="4314">
        <f>+C49-(SMS!F38+SMS!F39+SMS!F40+SMS!F41)</f>
        <v>-1.069999999999709</v>
      </c>
      <c r="E51" s="4314">
        <f>+E49-(SMS!H38+SMS!H39+SMS!H40+SMS!H41)</f>
        <v>-0.55999999999767169</v>
      </c>
      <c r="I51" s="4314">
        <f>+I49-(SMS!L38+SMS!L39+SMS!L40+SMS!L41)</f>
        <v>-2.3000000000029104</v>
      </c>
      <c r="M51" s="4314">
        <f>+M49-(SMS!P38+SMS!P39+SMS!P40+SMS!P41)</f>
        <v>-0.79000000000087311</v>
      </c>
      <c r="O51" s="4314">
        <f>+O49-(SMS!R38+SMS!R39+SMS!R40+SMS!R41)</f>
        <v>-4.720000000030268</v>
      </c>
      <c r="Q51" s="4314">
        <f>+Q49-(SMS!T38+SMS!T39+SMS!T40+SMS!T41)</f>
        <v>-1.9199999999982538</v>
      </c>
      <c r="U51" s="4314">
        <f>+U49-(SMS!X38+SMS!X39+SMS!X40+SMS!X41)</f>
        <v>-1.000000000007276</v>
      </c>
      <c r="W51" s="4314">
        <f>+W49-(SMS!Z38+SMS!Z39+SMS!Z40+SMS!Z41)</f>
        <v>-3.7099999999918509</v>
      </c>
      <c r="Y51" s="4314">
        <f>+Y49-(SMS!AB38+SMS!AB39+SMS!AB40+SMS!AB41)</f>
        <v>-7.6400000000139698</v>
      </c>
      <c r="AA51" s="4314">
        <f>+AA49-(SMS!AD38+SMS!AD39+SMS!AD40+SMS!AD41)</f>
        <v>-0.30999999999767169</v>
      </c>
      <c r="AC51" s="4314">
        <f>+AC49-(SMS!AF38+SMS!AF39+SMS!AF40+SMS!AF41)</f>
        <v>-7.9499999999534339</v>
      </c>
      <c r="AE51" s="4314">
        <f>+AE49-(SMS!AH38+SMS!AH39+SMS!AH40+SMS!AH41)</f>
        <v>-1.5140000000028522</v>
      </c>
      <c r="AF51" s="4314">
        <f>+AF49-(SMS!AI38+SMS!AI39+SMS!AI40+SMS!AI41)</f>
        <v>-505541.16944379965</v>
      </c>
      <c r="AG51" s="4314">
        <f>+AG49-(SMS!AJ38+SMS!AJ39+SMS!AJ40+SMS!AJ41)</f>
        <v>-9.4640000000363216</v>
      </c>
      <c r="AI51" s="4314">
        <f>+AI49-(SMS!AL38+SMS!AL39+SMS!AL40+SMS!AL41)</f>
        <v>-1.3800000000046566</v>
      </c>
      <c r="AK51" s="4314">
        <f>+AK49-(SMS!AN38+SMS!AN39+SMS!AN40+SMS!AN41)</f>
        <v>-3.2039999999979045</v>
      </c>
      <c r="AM51" s="4314">
        <f>+AM49-(SMS!AP38+SMS!AP39+SMS!AP40+SMS!AP41)</f>
        <v>-10.844000000040978</v>
      </c>
      <c r="AO51" s="4314">
        <f>+AO49-(SMS!AR38+SMS!AR39+SMS!AR40+SMS!AR41)</f>
        <v>-0.10000000000582077</v>
      </c>
      <c r="AQ51" s="4314">
        <f>+AQ49-(SMS!AT38+SMS!AT39+SMS!AT40+SMS!AT41)</f>
        <v>-10.944000000017695</v>
      </c>
      <c r="AS51" s="4314">
        <f>+AS49-(SMS!AV38+SMS!AV39+SMS!AV40+SMS!AV41)</f>
        <v>-2.0229999999937718</v>
      </c>
      <c r="AT51" s="4314">
        <f>+AT49-(SMS!AW38+SMS!AW39+SMS!AW40+SMS!AW41)</f>
        <v>-712929.03224063339</v>
      </c>
      <c r="AU51" s="4314">
        <f>+AU49-(SMS!AX38+SMS!AX39+SMS!AX40+SMS!AX41)</f>
        <v>-12.966999999945983</v>
      </c>
      <c r="AW51" s="4314">
        <f>+AW49-(SMS!AZ38+SMS!AZ39+SMS!AZ40+SMS!AZ41)</f>
        <v>-1.5729999999894062</v>
      </c>
      <c r="AY51" s="4314">
        <f>+AY49-(SMS!BB38+SMS!BB39+SMS!BB40+SMS!BB41)</f>
        <v>-3.6959999999671709</v>
      </c>
      <c r="BA51" s="4314">
        <f>+BA49-(SMS!BD38+SMS!BD39+SMS!BD40+SMS!BD41)</f>
        <v>-6.9000000000232831</v>
      </c>
      <c r="BC51" s="4314">
        <f>+BC49-(SMS!BF38+SMS!BF39+SMS!BF40+SMS!BF41)</f>
        <v>-14.540000000153668</v>
      </c>
    </row>
    <row r="53" spans="1:57" x14ac:dyDescent="0.25">
      <c r="I53" s="142">
        <v>487</v>
      </c>
      <c r="AI53" s="3377"/>
    </row>
    <row r="54" spans="1:57" x14ac:dyDescent="0.25">
      <c r="I54" s="3377">
        <f>I47-I53</f>
        <v>463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G130"/>
  <sheetViews>
    <sheetView zoomScaleNormal="100" workbookViewId="0">
      <pane xSplit="4" topLeftCell="E1" activePane="topRight" state="frozen"/>
      <selection pane="topRight" activeCell="E82" sqref="E82"/>
    </sheetView>
  </sheetViews>
  <sheetFormatPr defaultColWidth="9.140625" defaultRowHeight="15" x14ac:dyDescent="0.25"/>
  <cols>
    <col min="1" max="1" width="9.140625" style="3066"/>
    <col min="2" max="2" width="11.7109375" style="3066" customWidth="1"/>
    <col min="3" max="3" width="42.7109375" style="3066" customWidth="1"/>
    <col min="4" max="4" width="11" style="3066" hidden="1" customWidth="1"/>
    <col min="5" max="5" width="12" style="3066" customWidth="1"/>
    <col min="6" max="6" width="10.5703125" style="4233" hidden="1" customWidth="1"/>
    <col min="7" max="7" width="10.5703125" style="3066" hidden="1" customWidth="1"/>
    <col min="8" max="10" width="10.5703125" style="4233" hidden="1" customWidth="1"/>
    <col min="11" max="11" width="10.5703125" style="3066" hidden="1" customWidth="1"/>
    <col min="12" max="14" width="10.5703125" style="4233" hidden="1" customWidth="1"/>
    <col min="15" max="15" width="10.5703125" style="3066" hidden="1" customWidth="1"/>
    <col min="16" max="18" width="10.5703125" style="4233" hidden="1" customWidth="1"/>
    <col min="19" max="19" width="10.5703125" style="3066" hidden="1" customWidth="1"/>
    <col min="20" max="22" width="10.5703125" style="4233" hidden="1" customWidth="1"/>
    <col min="23" max="23" width="10.5703125" style="3066" hidden="1" customWidth="1"/>
    <col min="24" max="28" width="10.5703125" style="4233" hidden="1" customWidth="1"/>
    <col min="29" max="29" width="10.5703125" style="212" hidden="1" customWidth="1"/>
    <col min="30" max="32" width="10.5703125" style="4233" hidden="1" customWidth="1"/>
    <col min="33" max="33" width="10.5703125" style="3066" hidden="1" customWidth="1"/>
    <col min="34" max="36" width="10.5703125" style="4233" hidden="1" customWidth="1"/>
    <col min="37" max="37" width="10.5703125" style="212" hidden="1" customWidth="1"/>
    <col min="38" max="42" width="10.5703125" style="4233" hidden="1" customWidth="1"/>
    <col min="43" max="43" width="10.5703125" style="3066" hidden="1" customWidth="1"/>
    <col min="44" max="53" width="10.5703125" style="4233" hidden="1" customWidth="1"/>
    <col min="54" max="54" width="10.5703125" style="3066" hidden="1" customWidth="1"/>
    <col min="55" max="55" width="10.5703125" style="4233" hidden="1" customWidth="1"/>
    <col min="56" max="56" width="10.5703125" style="3066" hidden="1" customWidth="1"/>
    <col min="57" max="57" width="11.5703125" style="3066" hidden="1" customWidth="1"/>
    <col min="58" max="58" width="9.140625" style="3066" customWidth="1"/>
    <col min="59" max="16384" width="9.140625" style="3066"/>
  </cols>
  <sheetData>
    <row r="2" spans="3:57" ht="15.75" thickBot="1" x14ac:dyDescent="0.3"/>
    <row r="3" spans="3:57" s="31" customFormat="1" ht="15.75" hidden="1" thickBot="1" x14ac:dyDescent="0.3">
      <c r="C3" s="2890"/>
      <c r="D3" s="2890"/>
      <c r="E3" s="2890" t="s">
        <v>1668</v>
      </c>
      <c r="F3" s="2890"/>
      <c r="G3" s="2890" t="s">
        <v>1343</v>
      </c>
      <c r="H3" s="2890"/>
      <c r="I3" s="2890"/>
      <c r="J3" s="2890"/>
      <c r="K3" s="2890" t="s">
        <v>1399</v>
      </c>
      <c r="L3" s="2890"/>
      <c r="M3" s="2890"/>
      <c r="N3" s="2890"/>
      <c r="O3" s="2890" t="s">
        <v>1450</v>
      </c>
      <c r="P3" s="2890"/>
      <c r="Q3" s="2890"/>
      <c r="R3" s="2890"/>
      <c r="S3" s="2890" t="s">
        <v>1475</v>
      </c>
      <c r="T3" s="2890"/>
      <c r="U3" s="2890"/>
      <c r="V3" s="2890"/>
      <c r="W3" s="2890" t="s">
        <v>1529</v>
      </c>
      <c r="X3" s="2890"/>
      <c r="Y3" s="2890"/>
      <c r="Z3" s="2890"/>
      <c r="AA3" s="2890"/>
      <c r="AB3" s="2890"/>
      <c r="AC3" s="5224" t="s">
        <v>1543</v>
      </c>
      <c r="AD3" s="2890"/>
      <c r="AE3" s="2890"/>
      <c r="AF3" s="2890"/>
      <c r="AG3" s="2890" t="s">
        <v>1562</v>
      </c>
      <c r="AH3" s="2890"/>
      <c r="AI3" s="2890"/>
      <c r="AJ3" s="2890"/>
      <c r="AK3" s="5224" t="s">
        <v>1578</v>
      </c>
      <c r="AL3" s="2890"/>
      <c r="AM3" s="2890"/>
      <c r="AN3" s="2890"/>
      <c r="AO3" s="2890"/>
      <c r="AP3" s="2890"/>
      <c r="AQ3" s="2890" t="s">
        <v>1594</v>
      </c>
      <c r="AR3" s="2890"/>
      <c r="AS3" s="2890"/>
      <c r="AT3" s="2890"/>
      <c r="AU3" s="2890"/>
      <c r="AV3" s="2890"/>
      <c r="AW3" s="2890"/>
      <c r="AX3" s="2890"/>
      <c r="AY3" s="2890"/>
      <c r="AZ3" s="2890"/>
      <c r="BA3" s="2890"/>
      <c r="BB3" s="2890" t="s">
        <v>1600</v>
      </c>
      <c r="BC3" s="2890"/>
      <c r="BD3" s="2890" t="s">
        <v>1613</v>
      </c>
      <c r="BE3" s="2890" t="s">
        <v>1338</v>
      </c>
    </row>
    <row r="4" spans="3:57" ht="15.75" hidden="1" thickBot="1" x14ac:dyDescent="0.3">
      <c r="C4" s="2942" t="s">
        <v>1159</v>
      </c>
      <c r="D4" s="2942"/>
      <c r="E4" s="3073">
        <v>5753.3300000000008</v>
      </c>
      <c r="F4" s="3073"/>
      <c r="G4" s="3073">
        <v>7402.9009999999989</v>
      </c>
      <c r="H4" s="3073"/>
      <c r="I4" s="3073"/>
      <c r="J4" s="3073"/>
      <c r="K4" s="3073">
        <v>3517.8110000000006</v>
      </c>
      <c r="L4" s="3073"/>
      <c r="M4" s="3073"/>
      <c r="N4" s="3073"/>
      <c r="O4" s="3073">
        <v>4868.7290000000012</v>
      </c>
      <c r="P4" s="3073"/>
      <c r="Q4" s="3073"/>
      <c r="R4" s="3073"/>
      <c r="S4" s="3073">
        <v>5449.8919999999998</v>
      </c>
      <c r="T4" s="3073"/>
      <c r="U4" s="3073"/>
      <c r="V4" s="3073"/>
      <c r="W4" s="3073">
        <v>4386.5499999999993</v>
      </c>
      <c r="X4" s="3073"/>
      <c r="Y4" s="3073"/>
      <c r="Z4" s="3073"/>
      <c r="AA4" s="3073"/>
      <c r="AB4" s="3073"/>
      <c r="AC4" s="5225">
        <v>7058.6459999999988</v>
      </c>
      <c r="AD4" s="3073"/>
      <c r="AE4" s="3073"/>
      <c r="AF4" s="3073"/>
      <c r="AG4" s="3073">
        <v>5486</v>
      </c>
      <c r="AH4" s="3073"/>
      <c r="AI4" s="3073"/>
      <c r="AJ4" s="3073"/>
      <c r="AK4" s="5225">
        <v>8003</v>
      </c>
      <c r="AL4" s="3073"/>
      <c r="AM4" s="3073"/>
      <c r="AN4" s="3073"/>
      <c r="AO4" s="3073"/>
      <c r="AP4" s="3073"/>
      <c r="AQ4" s="3073">
        <v>5811</v>
      </c>
      <c r="AR4" s="3073"/>
      <c r="AS4" s="3073"/>
      <c r="AT4" s="3073"/>
      <c r="AU4" s="3073"/>
      <c r="AV4" s="3073"/>
      <c r="AW4" s="3073"/>
      <c r="AX4" s="3073"/>
      <c r="AY4" s="3073"/>
      <c r="AZ4" s="3073"/>
      <c r="BA4" s="3073"/>
      <c r="BB4" s="3073">
        <v>7902.131999999996</v>
      </c>
      <c r="BC4" s="3073"/>
      <c r="BD4" s="3073">
        <v>5583</v>
      </c>
      <c r="BE4" s="3073">
        <v>71222.990999999995</v>
      </c>
    </row>
    <row r="5" spans="3:57" ht="15.75" hidden="1" thickBot="1" x14ac:dyDescent="0.3">
      <c r="C5" s="2942" t="s">
        <v>1348</v>
      </c>
      <c r="D5" s="2942"/>
      <c r="E5" s="3073">
        <v>5558.0140000000001</v>
      </c>
      <c r="F5" s="3073"/>
      <c r="G5" s="3073">
        <v>3052.8740000000007</v>
      </c>
      <c r="H5" s="3073"/>
      <c r="I5" s="3073"/>
      <c r="J5" s="3073"/>
      <c r="K5" s="3073">
        <v>6780.8620000000001</v>
      </c>
      <c r="L5" s="3073"/>
      <c r="M5" s="3073"/>
      <c r="N5" s="3073"/>
      <c r="O5" s="3073">
        <v>3450.0789999999997</v>
      </c>
      <c r="P5" s="3073"/>
      <c r="Q5" s="3073"/>
      <c r="R5" s="3073"/>
      <c r="S5" s="3073">
        <v>4758.6139999999996</v>
      </c>
      <c r="T5" s="3073"/>
      <c r="U5" s="3073"/>
      <c r="V5" s="3073"/>
      <c r="W5" s="3073">
        <v>6105.2320000000009</v>
      </c>
      <c r="X5" s="3073"/>
      <c r="Y5" s="3073"/>
      <c r="Z5" s="3073"/>
      <c r="AA5" s="3073"/>
      <c r="AB5" s="3073"/>
      <c r="AC5" s="5225">
        <v>3640.308</v>
      </c>
      <c r="AD5" s="3073"/>
      <c r="AE5" s="3073"/>
      <c r="AF5" s="3073"/>
      <c r="AG5" s="3073">
        <v>6947</v>
      </c>
      <c r="AH5" s="3073"/>
      <c r="AI5" s="3073"/>
      <c r="AJ5" s="3073"/>
      <c r="AK5" s="5225">
        <v>7777</v>
      </c>
      <c r="AL5" s="3073"/>
      <c r="AM5" s="3073"/>
      <c r="AN5" s="3073"/>
      <c r="AO5" s="3073"/>
      <c r="AP5" s="3073"/>
      <c r="AQ5" s="3073">
        <v>9148</v>
      </c>
      <c r="AR5" s="3073"/>
      <c r="AS5" s="3073"/>
      <c r="AT5" s="3073"/>
      <c r="AU5" s="3073"/>
      <c r="AV5" s="3073"/>
      <c r="AW5" s="3073"/>
      <c r="AX5" s="3073"/>
      <c r="AY5" s="3073"/>
      <c r="AZ5" s="3073"/>
      <c r="BA5" s="3073"/>
      <c r="BB5" s="3073">
        <v>3545.1780000000003</v>
      </c>
      <c r="BC5" s="3073"/>
      <c r="BD5" s="3073">
        <v>10058</v>
      </c>
      <c r="BE5" s="3073">
        <v>70821.160999999993</v>
      </c>
    </row>
    <row r="6" spans="3:57" ht="15.75" hidden="1" thickBot="1" x14ac:dyDescent="0.3">
      <c r="C6" s="2942" t="s">
        <v>1349</v>
      </c>
      <c r="D6" s="2942"/>
      <c r="E6" s="3073">
        <v>4443.4390000000003</v>
      </c>
      <c r="F6" s="3073"/>
      <c r="G6" s="3073">
        <v>7288.2589999999982</v>
      </c>
      <c r="H6" s="3073"/>
      <c r="I6" s="3073"/>
      <c r="J6" s="3073"/>
      <c r="K6" s="3073">
        <v>1320.5059999999999</v>
      </c>
      <c r="L6" s="3073"/>
      <c r="M6" s="3073"/>
      <c r="N6" s="3073"/>
      <c r="O6" s="3073">
        <v>4462.0449999999992</v>
      </c>
      <c r="P6" s="3073"/>
      <c r="Q6" s="3073"/>
      <c r="R6" s="3073"/>
      <c r="S6" s="3073">
        <v>5506.9699999999984</v>
      </c>
      <c r="T6" s="3073"/>
      <c r="U6" s="3073"/>
      <c r="V6" s="3073"/>
      <c r="W6" s="3073">
        <v>4458.4260000000004</v>
      </c>
      <c r="X6" s="3073"/>
      <c r="Y6" s="3073"/>
      <c r="Z6" s="3073"/>
      <c r="AA6" s="3073"/>
      <c r="AB6" s="3073"/>
      <c r="AC6" s="5225">
        <v>3595.9140000000007</v>
      </c>
      <c r="AD6" s="3073"/>
      <c r="AE6" s="3073"/>
      <c r="AF6" s="3073"/>
      <c r="AG6" s="3073">
        <v>2604</v>
      </c>
      <c r="AH6" s="3073"/>
      <c r="AI6" s="3073"/>
      <c r="AJ6" s="3073"/>
      <c r="AK6" s="5225">
        <v>5331</v>
      </c>
      <c r="AL6" s="3073"/>
      <c r="AM6" s="3073"/>
      <c r="AN6" s="3073"/>
      <c r="AO6" s="3073"/>
      <c r="AP6" s="3073"/>
      <c r="AQ6" s="3073">
        <v>7591</v>
      </c>
      <c r="AR6" s="3073"/>
      <c r="AS6" s="3073"/>
      <c r="AT6" s="3073"/>
      <c r="AU6" s="3073"/>
      <c r="AV6" s="3073"/>
      <c r="AW6" s="3073"/>
      <c r="AX6" s="3073"/>
      <c r="AY6" s="3073"/>
      <c r="AZ6" s="3073"/>
      <c r="BA6" s="3073"/>
      <c r="BB6" s="3073">
        <v>4384.4360000000006</v>
      </c>
      <c r="BC6" s="3073"/>
      <c r="BD6" s="3073">
        <v>2070</v>
      </c>
      <c r="BE6" s="3073">
        <v>53055.994999999995</v>
      </c>
    </row>
    <row r="7" spans="3:57" ht="15.75" hidden="1" thickBot="1" x14ac:dyDescent="0.3">
      <c r="C7" s="2942" t="s">
        <v>1402</v>
      </c>
      <c r="D7" s="2942"/>
      <c r="E7" s="3073">
        <v>0</v>
      </c>
      <c r="F7" s="3073"/>
      <c r="G7" s="3073">
        <v>0</v>
      </c>
      <c r="H7" s="3073"/>
      <c r="I7" s="3073"/>
      <c r="J7" s="3073"/>
      <c r="K7" s="3073">
        <v>89.165999999999997</v>
      </c>
      <c r="L7" s="3073"/>
      <c r="M7" s="3073"/>
      <c r="N7" s="3073"/>
      <c r="O7" s="3073">
        <v>0</v>
      </c>
      <c r="P7" s="3073"/>
      <c r="Q7" s="3073"/>
      <c r="R7" s="3073"/>
      <c r="S7" s="3073">
        <v>0</v>
      </c>
      <c r="T7" s="3073"/>
      <c r="U7" s="3073"/>
      <c r="V7" s="3073"/>
      <c r="W7" s="3073">
        <v>0</v>
      </c>
      <c r="X7" s="3073"/>
      <c r="Y7" s="3073"/>
      <c r="Z7" s="3073"/>
      <c r="AA7" s="3073"/>
      <c r="AB7" s="3073"/>
      <c r="AC7" s="5225">
        <v>0</v>
      </c>
      <c r="AD7" s="3073"/>
      <c r="AE7" s="3073"/>
      <c r="AF7" s="3073"/>
      <c r="AG7" s="3073">
        <v>0</v>
      </c>
      <c r="AH7" s="3073"/>
      <c r="AI7" s="3073"/>
      <c r="AJ7" s="3073"/>
      <c r="AK7" s="5225">
        <v>0</v>
      </c>
      <c r="AL7" s="3073"/>
      <c r="AM7" s="3073"/>
      <c r="AN7" s="3073"/>
      <c r="AO7" s="3073"/>
      <c r="AP7" s="3073"/>
      <c r="AQ7" s="3073">
        <v>0</v>
      </c>
      <c r="AR7" s="3073"/>
      <c r="AS7" s="3073"/>
      <c r="AT7" s="3073"/>
      <c r="AU7" s="3073"/>
      <c r="AV7" s="3073"/>
      <c r="AW7" s="3073"/>
      <c r="AX7" s="3073"/>
      <c r="AY7" s="3073"/>
      <c r="AZ7" s="3073"/>
      <c r="BA7" s="3073"/>
      <c r="BB7" s="3073">
        <v>0</v>
      </c>
      <c r="BC7" s="3073"/>
      <c r="BD7" s="3073">
        <v>0</v>
      </c>
      <c r="BE7" s="3073">
        <v>89.165999999999997</v>
      </c>
    </row>
    <row r="8" spans="3:57" ht="15.75" hidden="1" thickBot="1" x14ac:dyDescent="0.3">
      <c r="C8" s="2942" t="s">
        <v>1580</v>
      </c>
      <c r="D8" s="2942"/>
      <c r="E8" s="3073">
        <v>0</v>
      </c>
      <c r="F8" s="3073"/>
      <c r="G8" s="3073">
        <v>0</v>
      </c>
      <c r="H8" s="3073"/>
      <c r="I8" s="3073"/>
      <c r="J8" s="3073"/>
      <c r="K8" s="3073">
        <v>0</v>
      </c>
      <c r="L8" s="3073"/>
      <c r="M8" s="3073"/>
      <c r="N8" s="3073"/>
      <c r="O8" s="3073">
        <v>0</v>
      </c>
      <c r="P8" s="3073"/>
      <c r="Q8" s="3073"/>
      <c r="R8" s="3073"/>
      <c r="S8" s="3073">
        <v>0</v>
      </c>
      <c r="T8" s="3073"/>
      <c r="U8" s="3073"/>
      <c r="V8" s="3073"/>
      <c r="W8" s="3073">
        <v>0</v>
      </c>
      <c r="X8" s="3073"/>
      <c r="Y8" s="3073"/>
      <c r="Z8" s="3073"/>
      <c r="AA8" s="3073"/>
      <c r="AB8" s="3073"/>
      <c r="AC8" s="5225">
        <v>0</v>
      </c>
      <c r="AD8" s="3073"/>
      <c r="AE8" s="3073"/>
      <c r="AF8" s="3073"/>
      <c r="AG8" s="3073">
        <v>0</v>
      </c>
      <c r="AH8" s="3073"/>
      <c r="AI8" s="3073"/>
      <c r="AJ8" s="3073"/>
      <c r="AK8" s="5225">
        <v>95</v>
      </c>
      <c r="AL8" s="3073"/>
      <c r="AM8" s="3073"/>
      <c r="AN8" s="3073"/>
      <c r="AO8" s="3073"/>
      <c r="AP8" s="3073"/>
      <c r="AQ8" s="3073">
        <v>0</v>
      </c>
      <c r="AR8" s="3073"/>
      <c r="AS8" s="3073"/>
      <c r="AT8" s="3073"/>
      <c r="AU8" s="3073"/>
      <c r="AV8" s="3073"/>
      <c r="AW8" s="3073"/>
      <c r="AX8" s="3073"/>
      <c r="AY8" s="3073"/>
      <c r="AZ8" s="3073"/>
      <c r="BA8" s="3073"/>
      <c r="BB8" s="3073">
        <v>0</v>
      </c>
      <c r="BC8" s="3073"/>
      <c r="BD8" s="3073">
        <v>0</v>
      </c>
      <c r="BE8" s="3073">
        <v>95</v>
      </c>
    </row>
    <row r="9" spans="3:57" ht="15.75" hidden="1" thickBot="1" x14ac:dyDescent="0.3">
      <c r="C9" s="2942" t="s">
        <v>1350</v>
      </c>
      <c r="D9" s="2942"/>
      <c r="E9" s="3073">
        <v>367.279</v>
      </c>
      <c r="F9" s="3073"/>
      <c r="G9" s="3073">
        <v>420.35399999999998</v>
      </c>
      <c r="H9" s="3073"/>
      <c r="I9" s="3073"/>
      <c r="J9" s="3073"/>
      <c r="K9" s="3073">
        <v>709.08199999999988</v>
      </c>
      <c r="L9" s="3073"/>
      <c r="M9" s="3073"/>
      <c r="N9" s="3073"/>
      <c r="O9" s="3073">
        <v>0</v>
      </c>
      <c r="P9" s="3073"/>
      <c r="Q9" s="3073"/>
      <c r="R9" s="3073"/>
      <c r="S9" s="3073">
        <v>555.98199999999997</v>
      </c>
      <c r="T9" s="3073"/>
      <c r="U9" s="3073"/>
      <c r="V9" s="3073"/>
      <c r="W9" s="3073">
        <v>661.68200000000002</v>
      </c>
      <c r="X9" s="3073"/>
      <c r="Y9" s="3073"/>
      <c r="Z9" s="3073"/>
      <c r="AA9" s="3073"/>
      <c r="AB9" s="3073"/>
      <c r="AC9" s="5225">
        <v>112.042</v>
      </c>
      <c r="AD9" s="3073"/>
      <c r="AE9" s="3073"/>
      <c r="AF9" s="3073"/>
      <c r="AG9" s="3073">
        <v>702</v>
      </c>
      <c r="AH9" s="3073"/>
      <c r="AI9" s="3073"/>
      <c r="AJ9" s="3073"/>
      <c r="AK9" s="5225">
        <v>0</v>
      </c>
      <c r="AL9" s="3073"/>
      <c r="AM9" s="3073"/>
      <c r="AN9" s="3073"/>
      <c r="AO9" s="3073"/>
      <c r="AP9" s="3073"/>
      <c r="AQ9" s="3073">
        <v>715</v>
      </c>
      <c r="AR9" s="3073"/>
      <c r="AS9" s="3073"/>
      <c r="AT9" s="3073"/>
      <c r="AU9" s="3073"/>
      <c r="AV9" s="3073"/>
      <c r="AW9" s="3073"/>
      <c r="AX9" s="3073"/>
      <c r="AY9" s="3073"/>
      <c r="AZ9" s="3073"/>
      <c r="BA9" s="3073"/>
      <c r="BB9" s="3073">
        <v>0</v>
      </c>
      <c r="BC9" s="3073"/>
      <c r="BD9" s="3073">
        <v>564</v>
      </c>
      <c r="BE9" s="3073">
        <v>4807.4210000000003</v>
      </c>
    </row>
    <row r="10" spans="3:57" ht="15.75" hidden="1" thickBot="1" x14ac:dyDescent="0.3">
      <c r="C10" s="2942" t="s">
        <v>1351</v>
      </c>
      <c r="D10" s="2942"/>
      <c r="E10" s="3073">
        <v>0</v>
      </c>
      <c r="F10" s="3073"/>
      <c r="G10" s="3073">
        <v>2891.5260000000003</v>
      </c>
      <c r="H10" s="3073"/>
      <c r="I10" s="3073"/>
      <c r="J10" s="3073"/>
      <c r="K10" s="3073">
        <v>2857.5580000000004</v>
      </c>
      <c r="L10" s="3073"/>
      <c r="M10" s="3073"/>
      <c r="N10" s="3073"/>
      <c r="O10" s="3073">
        <v>5052.4599999999991</v>
      </c>
      <c r="P10" s="3073"/>
      <c r="Q10" s="3073"/>
      <c r="R10" s="3073"/>
      <c r="S10" s="3073">
        <v>1002.0359999999999</v>
      </c>
      <c r="T10" s="3073"/>
      <c r="U10" s="3073"/>
      <c r="V10" s="3073"/>
      <c r="W10" s="3073">
        <v>5160.2740000000003</v>
      </c>
      <c r="X10" s="3073"/>
      <c r="Y10" s="3073"/>
      <c r="Z10" s="3073"/>
      <c r="AA10" s="3073"/>
      <c r="AB10" s="3073"/>
      <c r="AC10" s="5225">
        <v>6481.5239999999985</v>
      </c>
      <c r="AD10" s="3073"/>
      <c r="AE10" s="3073"/>
      <c r="AF10" s="3073"/>
      <c r="AG10" s="3073">
        <v>2530</v>
      </c>
      <c r="AH10" s="3073"/>
      <c r="AI10" s="3073"/>
      <c r="AJ10" s="3073"/>
      <c r="AK10" s="5225">
        <v>2927</v>
      </c>
      <c r="AL10" s="3073"/>
      <c r="AM10" s="3073"/>
      <c r="AN10" s="3073"/>
      <c r="AO10" s="3073"/>
      <c r="AP10" s="3073"/>
      <c r="AQ10" s="3073">
        <v>0</v>
      </c>
      <c r="AR10" s="3073"/>
      <c r="AS10" s="3073"/>
      <c r="AT10" s="3073"/>
      <c r="AU10" s="3073"/>
      <c r="AV10" s="3073"/>
      <c r="AW10" s="3073"/>
      <c r="AX10" s="3073"/>
      <c r="AY10" s="3073"/>
      <c r="AZ10" s="3073"/>
      <c r="BA10" s="3073"/>
      <c r="BB10" s="3073">
        <v>0</v>
      </c>
      <c r="BC10" s="3073"/>
      <c r="BD10" s="3073">
        <v>1454</v>
      </c>
      <c r="BE10" s="3073">
        <v>30356.377999999997</v>
      </c>
    </row>
    <row r="11" spans="3:57" ht="15.75" hidden="1" thickBot="1" x14ac:dyDescent="0.3">
      <c r="C11" s="2942" t="s">
        <v>1160</v>
      </c>
      <c r="D11" s="2942"/>
      <c r="E11" s="3073">
        <v>2246.134</v>
      </c>
      <c r="F11" s="3073"/>
      <c r="G11" s="3073">
        <v>1167.6500000000001</v>
      </c>
      <c r="H11" s="3073"/>
      <c r="I11" s="3073"/>
      <c r="J11" s="3073"/>
      <c r="K11" s="3073">
        <v>2660.1189999999997</v>
      </c>
      <c r="L11" s="3073"/>
      <c r="M11" s="3073"/>
      <c r="N11" s="3073"/>
      <c r="O11" s="3073">
        <v>3776.8170000000005</v>
      </c>
      <c r="P11" s="3073"/>
      <c r="Q11" s="3073"/>
      <c r="R11" s="3073"/>
      <c r="S11" s="3073">
        <v>8745.6179999999986</v>
      </c>
      <c r="T11" s="3073"/>
      <c r="U11" s="3073"/>
      <c r="V11" s="3073"/>
      <c r="W11" s="3073">
        <v>3684.7019999999998</v>
      </c>
      <c r="X11" s="3073"/>
      <c r="Y11" s="3073"/>
      <c r="Z11" s="3073"/>
      <c r="AA11" s="3073"/>
      <c r="AB11" s="3073"/>
      <c r="AC11" s="5225">
        <v>3094.8960000000002</v>
      </c>
      <c r="AD11" s="3073"/>
      <c r="AE11" s="3073"/>
      <c r="AF11" s="3073"/>
      <c r="AG11" s="3073">
        <v>302</v>
      </c>
      <c r="AH11" s="3073"/>
      <c r="AI11" s="3073"/>
      <c r="AJ11" s="3073"/>
      <c r="AK11" s="5225">
        <v>1471</v>
      </c>
      <c r="AL11" s="3073"/>
      <c r="AM11" s="3073"/>
      <c r="AN11" s="3073"/>
      <c r="AO11" s="3073"/>
      <c r="AP11" s="3073"/>
      <c r="AQ11" s="3073">
        <v>4657</v>
      </c>
      <c r="AR11" s="3073"/>
      <c r="AS11" s="3073"/>
      <c r="AT11" s="3073"/>
      <c r="AU11" s="3073"/>
      <c r="AV11" s="3073"/>
      <c r="AW11" s="3073"/>
      <c r="AX11" s="3073"/>
      <c r="AY11" s="3073"/>
      <c r="AZ11" s="3073"/>
      <c r="BA11" s="3073"/>
      <c r="BB11" s="3073">
        <v>2534.6860000000001</v>
      </c>
      <c r="BC11" s="3073"/>
      <c r="BD11" s="3073">
        <v>1152</v>
      </c>
      <c r="BE11" s="3073">
        <v>35492.622000000003</v>
      </c>
    </row>
    <row r="12" spans="3:57" ht="15.75" hidden="1" thickBot="1" x14ac:dyDescent="0.3">
      <c r="C12" s="2942" t="s">
        <v>1209</v>
      </c>
      <c r="D12" s="2942"/>
      <c r="E12" s="3073">
        <v>683.60599999999999</v>
      </c>
      <c r="F12" s="3073"/>
      <c r="G12" s="3073">
        <v>1946.7909999999997</v>
      </c>
      <c r="H12" s="3073"/>
      <c r="I12" s="3073"/>
      <c r="J12" s="3073"/>
      <c r="K12" s="3073">
        <v>3651.5600000000013</v>
      </c>
      <c r="L12" s="3073"/>
      <c r="M12" s="3073"/>
      <c r="N12" s="3073"/>
      <c r="O12" s="3073">
        <v>4077.0480000000011</v>
      </c>
      <c r="P12" s="3073"/>
      <c r="Q12" s="3073"/>
      <c r="R12" s="3073"/>
      <c r="S12" s="3073">
        <v>6033.3559999999979</v>
      </c>
      <c r="T12" s="3073"/>
      <c r="U12" s="3073"/>
      <c r="V12" s="3073"/>
      <c r="W12" s="3073">
        <v>2545.2559999999999</v>
      </c>
      <c r="X12" s="3073"/>
      <c r="Y12" s="3073"/>
      <c r="Z12" s="3073"/>
      <c r="AA12" s="3073"/>
      <c r="AB12" s="3073"/>
      <c r="AC12" s="5225">
        <v>2001.9580000000001</v>
      </c>
      <c r="AD12" s="3073"/>
      <c r="AE12" s="3073"/>
      <c r="AF12" s="3073"/>
      <c r="AG12" s="3073">
        <v>3205</v>
      </c>
      <c r="AH12" s="3073"/>
      <c r="AI12" s="3073"/>
      <c r="AJ12" s="3073"/>
      <c r="AK12" s="5225">
        <v>1311</v>
      </c>
      <c r="AL12" s="3073"/>
      <c r="AM12" s="3073"/>
      <c r="AN12" s="3073"/>
      <c r="AO12" s="3073"/>
      <c r="AP12" s="3073"/>
      <c r="AQ12" s="3073">
        <v>3619</v>
      </c>
      <c r="AR12" s="3073"/>
      <c r="AS12" s="3073"/>
      <c r="AT12" s="3073"/>
      <c r="AU12" s="3073"/>
      <c r="AV12" s="3073"/>
      <c r="AW12" s="3073"/>
      <c r="AX12" s="3073"/>
      <c r="AY12" s="3073"/>
      <c r="AZ12" s="3073"/>
      <c r="BA12" s="3073"/>
      <c r="BB12" s="3073">
        <v>2101.3160000000003</v>
      </c>
      <c r="BC12" s="3073"/>
      <c r="BD12" s="3073">
        <v>127</v>
      </c>
      <c r="BE12" s="3073">
        <v>31302.891</v>
      </c>
    </row>
    <row r="13" spans="3:57" ht="15.75" hidden="1" thickBot="1" x14ac:dyDescent="0.3">
      <c r="C13" s="2942" t="s">
        <v>1161</v>
      </c>
      <c r="D13" s="2942"/>
      <c r="E13" s="3073">
        <v>4390.3640000000005</v>
      </c>
      <c r="F13" s="3073"/>
      <c r="G13" s="3073">
        <v>0</v>
      </c>
      <c r="H13" s="3073"/>
      <c r="I13" s="3073"/>
      <c r="J13" s="3073"/>
      <c r="K13" s="3073">
        <v>0</v>
      </c>
      <c r="L13" s="3073"/>
      <c r="M13" s="3073"/>
      <c r="N13" s="3073"/>
      <c r="O13" s="3073">
        <v>0</v>
      </c>
      <c r="P13" s="3073"/>
      <c r="Q13" s="3073"/>
      <c r="R13" s="3073"/>
      <c r="S13" s="3073">
        <v>0</v>
      </c>
      <c r="T13" s="3073"/>
      <c r="U13" s="3073"/>
      <c r="V13" s="3073"/>
      <c r="W13" s="3073">
        <v>0</v>
      </c>
      <c r="X13" s="3073"/>
      <c r="Y13" s="3073"/>
      <c r="Z13" s="3073"/>
      <c r="AA13" s="3073"/>
      <c r="AB13" s="3073"/>
      <c r="AC13" s="5225">
        <v>0</v>
      </c>
      <c r="AD13" s="3073"/>
      <c r="AE13" s="3073"/>
      <c r="AF13" s="3073"/>
      <c r="AG13" s="3073">
        <v>0</v>
      </c>
      <c r="AH13" s="3073"/>
      <c r="AI13" s="3073"/>
      <c r="AJ13" s="3073"/>
      <c r="AK13" s="5225">
        <v>0</v>
      </c>
      <c r="AL13" s="3073"/>
      <c r="AM13" s="3073"/>
      <c r="AN13" s="3073"/>
      <c r="AO13" s="3073"/>
      <c r="AP13" s="3073"/>
      <c r="AQ13" s="3073">
        <v>0</v>
      </c>
      <c r="AR13" s="3073"/>
      <c r="AS13" s="3073"/>
      <c r="AT13" s="3073"/>
      <c r="AU13" s="3073"/>
      <c r="AV13" s="3073"/>
      <c r="AW13" s="3073"/>
      <c r="AX13" s="3073"/>
      <c r="AY13" s="3073"/>
      <c r="AZ13" s="3073"/>
      <c r="BA13" s="3073"/>
      <c r="BB13" s="3073">
        <v>0</v>
      </c>
      <c r="BC13" s="3073"/>
      <c r="BD13" s="3073">
        <v>0</v>
      </c>
      <c r="BE13" s="3073">
        <v>4390.3640000000005</v>
      </c>
    </row>
    <row r="14" spans="3:57" ht="15.75" hidden="1" thickBot="1" x14ac:dyDescent="0.3">
      <c r="C14" s="2942" t="s">
        <v>1322</v>
      </c>
      <c r="D14" s="2942"/>
      <c r="E14" s="3073">
        <v>118.88800000000001</v>
      </c>
      <c r="F14" s="3073"/>
      <c r="G14" s="3073">
        <v>0</v>
      </c>
      <c r="H14" s="3073"/>
      <c r="I14" s="3073"/>
      <c r="J14" s="3073"/>
      <c r="K14" s="3073">
        <v>0</v>
      </c>
      <c r="L14" s="3073"/>
      <c r="M14" s="3073"/>
      <c r="N14" s="3073"/>
      <c r="O14" s="3073">
        <v>0</v>
      </c>
      <c r="P14" s="3073"/>
      <c r="Q14" s="3073"/>
      <c r="R14" s="3073"/>
      <c r="S14" s="3073">
        <v>0</v>
      </c>
      <c r="T14" s="3073"/>
      <c r="U14" s="3073"/>
      <c r="V14" s="3073"/>
      <c r="W14" s="3073">
        <v>0</v>
      </c>
      <c r="X14" s="3073"/>
      <c r="Y14" s="3073"/>
      <c r="Z14" s="3073"/>
      <c r="AA14" s="3073"/>
      <c r="AB14" s="3073"/>
      <c r="AC14" s="5225">
        <v>0</v>
      </c>
      <c r="AD14" s="3073"/>
      <c r="AE14" s="3073"/>
      <c r="AF14" s="3073"/>
      <c r="AG14" s="3073">
        <v>0</v>
      </c>
      <c r="AH14" s="3073"/>
      <c r="AI14" s="3073"/>
      <c r="AJ14" s="3073"/>
      <c r="AK14" s="5225">
        <v>0</v>
      </c>
      <c r="AL14" s="3073"/>
      <c r="AM14" s="3073"/>
      <c r="AN14" s="3073"/>
      <c r="AO14" s="3073"/>
      <c r="AP14" s="3073"/>
      <c r="AQ14" s="3073">
        <v>0</v>
      </c>
      <c r="AR14" s="3073"/>
      <c r="AS14" s="3073"/>
      <c r="AT14" s="3073"/>
      <c r="AU14" s="3073"/>
      <c r="AV14" s="3073"/>
      <c r="AW14" s="3073"/>
      <c r="AX14" s="3073"/>
      <c r="AY14" s="3073"/>
      <c r="AZ14" s="3073"/>
      <c r="BA14" s="3073"/>
      <c r="BB14" s="3073">
        <v>0</v>
      </c>
      <c r="BC14" s="3073"/>
      <c r="BD14" s="3073">
        <v>0</v>
      </c>
      <c r="BE14" s="3073">
        <v>118.88800000000001</v>
      </c>
    </row>
    <row r="15" spans="3:57" ht="15.75" hidden="1" thickBot="1" x14ac:dyDescent="0.3">
      <c r="C15" s="2942" t="s">
        <v>1162</v>
      </c>
      <c r="D15" s="2942"/>
      <c r="E15" s="3073">
        <v>0</v>
      </c>
      <c r="F15" s="3073"/>
      <c r="G15" s="3073">
        <v>0</v>
      </c>
      <c r="H15" s="3073"/>
      <c r="I15" s="3073"/>
      <c r="J15" s="3073"/>
      <c r="K15" s="3073">
        <v>1010.5480000000001</v>
      </c>
      <c r="L15" s="3073"/>
      <c r="M15" s="3073"/>
      <c r="N15" s="3073"/>
      <c r="O15" s="3073">
        <v>982.94899999999996</v>
      </c>
      <c r="P15" s="3073"/>
      <c r="Q15" s="3073"/>
      <c r="R15" s="3073"/>
      <c r="S15" s="3073">
        <v>0</v>
      </c>
      <c r="T15" s="3073"/>
      <c r="U15" s="3073"/>
      <c r="V15" s="3073"/>
      <c r="W15" s="3073">
        <v>1714.4540000000002</v>
      </c>
      <c r="X15" s="3073"/>
      <c r="Y15" s="3073"/>
      <c r="Z15" s="3073"/>
      <c r="AA15" s="3073"/>
      <c r="AB15" s="3073"/>
      <c r="AC15" s="5225">
        <v>0</v>
      </c>
      <c r="AD15" s="3073"/>
      <c r="AE15" s="3073"/>
      <c r="AF15" s="3073"/>
      <c r="AG15" s="3073">
        <v>0</v>
      </c>
      <c r="AH15" s="3073"/>
      <c r="AI15" s="3073"/>
      <c r="AJ15" s="3073"/>
      <c r="AK15" s="5225">
        <v>0</v>
      </c>
      <c r="AL15" s="3073"/>
      <c r="AM15" s="3073"/>
      <c r="AN15" s="3073"/>
      <c r="AO15" s="3073"/>
      <c r="AP15" s="3073"/>
      <c r="AQ15" s="3073">
        <v>0</v>
      </c>
      <c r="AR15" s="3073"/>
      <c r="AS15" s="3073"/>
      <c r="AT15" s="3073"/>
      <c r="AU15" s="3073"/>
      <c r="AV15" s="3073"/>
      <c r="AW15" s="3073"/>
      <c r="AX15" s="3073"/>
      <c r="AY15" s="3073"/>
      <c r="AZ15" s="3073"/>
      <c r="BA15" s="3073"/>
      <c r="BB15" s="3073">
        <v>1224.0060000000001</v>
      </c>
      <c r="BC15" s="3073"/>
      <c r="BD15" s="3073">
        <v>1123</v>
      </c>
      <c r="BE15" s="3073">
        <v>6054.9570000000003</v>
      </c>
    </row>
    <row r="16" spans="3:57" ht="15.75" hidden="1" thickBot="1" x14ac:dyDescent="0.3">
      <c r="C16" s="2942" t="s">
        <v>1206</v>
      </c>
      <c r="D16" s="2942"/>
      <c r="E16" s="3073">
        <v>2210.0430000000001</v>
      </c>
      <c r="F16" s="3073"/>
      <c r="G16" s="3073">
        <v>420.35399999999998</v>
      </c>
      <c r="H16" s="3073"/>
      <c r="I16" s="3073"/>
      <c r="J16" s="3073"/>
      <c r="K16" s="3073">
        <v>0</v>
      </c>
      <c r="L16" s="3073"/>
      <c r="M16" s="3073"/>
      <c r="N16" s="3073"/>
      <c r="O16" s="3073">
        <v>3913.0140000000006</v>
      </c>
      <c r="P16" s="3073"/>
      <c r="Q16" s="3073"/>
      <c r="R16" s="3073"/>
      <c r="S16" s="3073">
        <v>0</v>
      </c>
      <c r="T16" s="3073"/>
      <c r="U16" s="3073"/>
      <c r="V16" s="3073"/>
      <c r="W16" s="3073">
        <v>868.85399999999993</v>
      </c>
      <c r="X16" s="3073"/>
      <c r="Y16" s="3073"/>
      <c r="Z16" s="3073"/>
      <c r="AA16" s="3073"/>
      <c r="AB16" s="3073"/>
      <c r="AC16" s="5225">
        <v>3061.0720000000001</v>
      </c>
      <c r="AD16" s="3073"/>
      <c r="AE16" s="3073"/>
      <c r="AF16" s="3073"/>
      <c r="AG16" s="3073">
        <v>1323</v>
      </c>
      <c r="AH16" s="3073"/>
      <c r="AI16" s="3073"/>
      <c r="AJ16" s="3073"/>
      <c r="AK16" s="5225">
        <v>3761</v>
      </c>
      <c r="AL16" s="3073"/>
      <c r="AM16" s="3073"/>
      <c r="AN16" s="3073"/>
      <c r="AO16" s="3073"/>
      <c r="AP16" s="3073"/>
      <c r="AQ16" s="3073">
        <v>493</v>
      </c>
      <c r="AR16" s="3073"/>
      <c r="AS16" s="3073"/>
      <c r="AT16" s="3073"/>
      <c r="AU16" s="3073"/>
      <c r="AV16" s="3073"/>
      <c r="AW16" s="3073"/>
      <c r="AX16" s="3073"/>
      <c r="AY16" s="3073"/>
      <c r="AZ16" s="3073"/>
      <c r="BA16" s="3073"/>
      <c r="BB16" s="3073">
        <v>1904.7140000000004</v>
      </c>
      <c r="BC16" s="3073"/>
      <c r="BD16" s="3073">
        <v>0</v>
      </c>
      <c r="BE16" s="3073">
        <v>17955.050999999999</v>
      </c>
    </row>
    <row r="17" spans="3:57" ht="15.75" hidden="1" thickBot="1" x14ac:dyDescent="0.3">
      <c r="C17" s="2942" t="s">
        <v>1207</v>
      </c>
      <c r="D17" s="2942"/>
      <c r="E17" s="3073">
        <v>2320.4390000000003</v>
      </c>
      <c r="F17" s="3073"/>
      <c r="G17" s="3073">
        <v>0</v>
      </c>
      <c r="H17" s="3073"/>
      <c r="I17" s="3073"/>
      <c r="J17" s="3073"/>
      <c r="K17" s="3073">
        <v>1636.8330000000001</v>
      </c>
      <c r="L17" s="3073"/>
      <c r="M17" s="3073"/>
      <c r="N17" s="3073"/>
      <c r="O17" s="3073">
        <v>5010.1799999999994</v>
      </c>
      <c r="P17" s="3073"/>
      <c r="Q17" s="3073"/>
      <c r="R17" s="3073"/>
      <c r="S17" s="3073">
        <v>0</v>
      </c>
      <c r="T17" s="3073"/>
      <c r="U17" s="3073"/>
      <c r="V17" s="3073"/>
      <c r="W17" s="3073">
        <v>2875.04</v>
      </c>
      <c r="X17" s="3073"/>
      <c r="Y17" s="3073"/>
      <c r="Z17" s="3073"/>
      <c r="AA17" s="3073"/>
      <c r="AB17" s="3073"/>
      <c r="AC17" s="5225">
        <v>1329.7059999999999</v>
      </c>
      <c r="AD17" s="3073"/>
      <c r="AE17" s="3073"/>
      <c r="AF17" s="3073"/>
      <c r="AG17" s="3073">
        <v>2649</v>
      </c>
      <c r="AH17" s="3073"/>
      <c r="AI17" s="3073"/>
      <c r="AJ17" s="3073"/>
      <c r="AK17" s="5225">
        <v>3981</v>
      </c>
      <c r="AL17" s="3073"/>
      <c r="AM17" s="3073"/>
      <c r="AN17" s="3073"/>
      <c r="AO17" s="3073"/>
      <c r="AP17" s="3073"/>
      <c r="AQ17" s="3073">
        <v>2397</v>
      </c>
      <c r="AR17" s="3073"/>
      <c r="AS17" s="3073"/>
      <c r="AT17" s="3073"/>
      <c r="AU17" s="3073"/>
      <c r="AV17" s="3073"/>
      <c r="AW17" s="3073"/>
      <c r="AX17" s="3073"/>
      <c r="AY17" s="3073"/>
      <c r="AZ17" s="3073"/>
      <c r="BA17" s="3073"/>
      <c r="BB17" s="3073">
        <v>1560.1320000000001</v>
      </c>
      <c r="BC17" s="3073"/>
      <c r="BD17" s="3073">
        <v>2046</v>
      </c>
      <c r="BE17" s="3073">
        <v>25805.329999999998</v>
      </c>
    </row>
    <row r="18" spans="3:57" ht="15.75" hidden="1" thickBot="1" x14ac:dyDescent="0.3">
      <c r="C18" s="2942" t="s">
        <v>1241</v>
      </c>
      <c r="D18" s="2942"/>
      <c r="E18" s="3073">
        <v>104.027</v>
      </c>
      <c r="F18" s="3073"/>
      <c r="G18" s="3073">
        <v>0</v>
      </c>
      <c r="H18" s="3073"/>
      <c r="I18" s="3073"/>
      <c r="J18" s="3073"/>
      <c r="K18" s="3073">
        <v>0</v>
      </c>
      <c r="L18" s="3073"/>
      <c r="M18" s="3073"/>
      <c r="N18" s="3073"/>
      <c r="O18" s="3073">
        <v>0</v>
      </c>
      <c r="P18" s="3073"/>
      <c r="Q18" s="3073"/>
      <c r="R18" s="3073"/>
      <c r="S18" s="3073">
        <v>0</v>
      </c>
      <c r="T18" s="3073"/>
      <c r="U18" s="3073"/>
      <c r="V18" s="3073"/>
      <c r="W18" s="3073">
        <v>0</v>
      </c>
      <c r="X18" s="3073"/>
      <c r="Y18" s="3073"/>
      <c r="Z18" s="3073"/>
      <c r="AA18" s="3073"/>
      <c r="AB18" s="3073"/>
      <c r="AC18" s="5225">
        <v>0</v>
      </c>
      <c r="AD18" s="3073"/>
      <c r="AE18" s="3073"/>
      <c r="AF18" s="3073"/>
      <c r="AG18" s="3073">
        <v>0</v>
      </c>
      <c r="AH18" s="3073"/>
      <c r="AI18" s="3073"/>
      <c r="AJ18" s="3073"/>
      <c r="AK18" s="5225">
        <v>0</v>
      </c>
      <c r="AL18" s="3073"/>
      <c r="AM18" s="3073"/>
      <c r="AN18" s="3073"/>
      <c r="AO18" s="3073"/>
      <c r="AP18" s="3073"/>
      <c r="AQ18" s="3073">
        <v>0</v>
      </c>
      <c r="AR18" s="3073"/>
      <c r="AS18" s="3073"/>
      <c r="AT18" s="3073"/>
      <c r="AU18" s="3073"/>
      <c r="AV18" s="3073"/>
      <c r="AW18" s="3073"/>
      <c r="AX18" s="3073"/>
      <c r="AY18" s="3073"/>
      <c r="AZ18" s="3073"/>
      <c r="BA18" s="3073"/>
      <c r="BB18" s="3073">
        <v>0</v>
      </c>
      <c r="BC18" s="3073"/>
      <c r="BD18" s="3073">
        <v>0</v>
      </c>
      <c r="BE18" s="3073">
        <v>104.027</v>
      </c>
    </row>
    <row r="19" spans="3:57" ht="15.75" hidden="1" thickBot="1" x14ac:dyDescent="0.3">
      <c r="C19" s="2942" t="s">
        <v>1482</v>
      </c>
      <c r="D19" s="2942"/>
      <c r="E19" s="3073">
        <v>0</v>
      </c>
      <c r="F19" s="3073"/>
      <c r="G19" s="3073">
        <v>0</v>
      </c>
      <c r="H19" s="3073"/>
      <c r="I19" s="3073"/>
      <c r="J19" s="3073"/>
      <c r="K19" s="3073">
        <v>0</v>
      </c>
      <c r="L19" s="3073"/>
      <c r="M19" s="3073"/>
      <c r="N19" s="3073"/>
      <c r="O19" s="3073">
        <v>0</v>
      </c>
      <c r="P19" s="3073"/>
      <c r="Q19" s="3073"/>
      <c r="R19" s="3073"/>
      <c r="S19" s="3073">
        <v>849.8280000000002</v>
      </c>
      <c r="T19" s="3073"/>
      <c r="U19" s="3073"/>
      <c r="V19" s="3073"/>
      <c r="W19" s="3073">
        <v>769.49599999999998</v>
      </c>
      <c r="X19" s="3073"/>
      <c r="Y19" s="3073"/>
      <c r="Z19" s="3073"/>
      <c r="AA19" s="3073"/>
      <c r="AB19" s="3073"/>
      <c r="AC19" s="5225">
        <v>2272.5499999999997</v>
      </c>
      <c r="AD19" s="3073"/>
      <c r="AE19" s="3073"/>
      <c r="AF19" s="3073"/>
      <c r="AG19" s="3073">
        <v>1201</v>
      </c>
      <c r="AH19" s="3073"/>
      <c r="AI19" s="3073"/>
      <c r="AJ19" s="3073"/>
      <c r="AK19" s="5225">
        <v>865</v>
      </c>
      <c r="AL19" s="3073"/>
      <c r="AM19" s="3073"/>
      <c r="AN19" s="3073"/>
      <c r="AO19" s="3073"/>
      <c r="AP19" s="3073"/>
      <c r="AQ19" s="3073">
        <v>243</v>
      </c>
      <c r="AR19" s="3073"/>
      <c r="AS19" s="3073"/>
      <c r="AT19" s="3073"/>
      <c r="AU19" s="3073"/>
      <c r="AV19" s="3073"/>
      <c r="AW19" s="3073"/>
      <c r="AX19" s="3073"/>
      <c r="AY19" s="3073"/>
      <c r="AZ19" s="3073"/>
      <c r="BA19" s="3073"/>
      <c r="BB19" s="3073">
        <v>1325.4780000000001</v>
      </c>
      <c r="BC19" s="3073"/>
      <c r="BD19" s="3073">
        <v>839</v>
      </c>
      <c r="BE19" s="3073">
        <v>8365.351999999999</v>
      </c>
    </row>
    <row r="20" spans="3:57" ht="15.75" hidden="1" thickBot="1" x14ac:dyDescent="0.3">
      <c r="C20" s="2942" t="s">
        <v>1300</v>
      </c>
      <c r="D20" s="2942"/>
      <c r="E20" s="3073">
        <v>0</v>
      </c>
      <c r="F20" s="3073"/>
      <c r="G20" s="3073">
        <v>0</v>
      </c>
      <c r="H20" s="3073"/>
      <c r="I20" s="3073"/>
      <c r="J20" s="3073"/>
      <c r="K20" s="3073">
        <v>0</v>
      </c>
      <c r="L20" s="3073"/>
      <c r="M20" s="3073"/>
      <c r="N20" s="3073"/>
      <c r="O20" s="3073">
        <v>0</v>
      </c>
      <c r="P20" s="3073"/>
      <c r="Q20" s="3073"/>
      <c r="R20" s="3073"/>
      <c r="S20" s="3073">
        <v>0</v>
      </c>
      <c r="T20" s="3073"/>
      <c r="U20" s="3073"/>
      <c r="V20" s="3073"/>
      <c r="W20" s="3073">
        <v>0</v>
      </c>
      <c r="X20" s="3073"/>
      <c r="Y20" s="3073"/>
      <c r="Z20" s="3073"/>
      <c r="AA20" s="3073"/>
      <c r="AB20" s="3073"/>
      <c r="AC20" s="5225">
        <v>0</v>
      </c>
      <c r="AD20" s="3073"/>
      <c r="AE20" s="3073"/>
      <c r="AF20" s="3073"/>
      <c r="AG20" s="3073">
        <v>0</v>
      </c>
      <c r="AH20" s="3073"/>
      <c r="AI20" s="3073"/>
      <c r="AJ20" s="3073"/>
      <c r="AK20" s="5225">
        <v>171</v>
      </c>
      <c r="AL20" s="3073"/>
      <c r="AM20" s="3073"/>
      <c r="AN20" s="3073"/>
      <c r="AO20" s="3073"/>
      <c r="AP20" s="3073"/>
      <c r="AQ20" s="3073">
        <v>0</v>
      </c>
      <c r="AR20" s="3073"/>
      <c r="AS20" s="3073"/>
      <c r="AT20" s="3073"/>
      <c r="AU20" s="3073"/>
      <c r="AV20" s="3073"/>
      <c r="AW20" s="3073"/>
      <c r="AX20" s="3073"/>
      <c r="AY20" s="3073"/>
      <c r="AZ20" s="3073"/>
      <c r="BA20" s="3073"/>
      <c r="BB20" s="3073">
        <v>207.172</v>
      </c>
      <c r="BC20" s="3073"/>
      <c r="BD20" s="3073">
        <v>228</v>
      </c>
      <c r="BE20" s="3073">
        <v>606.17200000000003</v>
      </c>
    </row>
    <row r="21" spans="3:57" ht="15.75" hidden="1" thickBot="1" x14ac:dyDescent="0.3">
      <c r="C21" s="2942" t="s">
        <v>1352</v>
      </c>
      <c r="D21" s="2942"/>
      <c r="E21" s="3073">
        <v>2012.6040000000003</v>
      </c>
      <c r="F21" s="3073"/>
      <c r="G21" s="3073">
        <v>1305.6450000000002</v>
      </c>
      <c r="H21" s="3073"/>
      <c r="I21" s="3073"/>
      <c r="J21" s="3073"/>
      <c r="K21" s="3073">
        <v>2515.7550000000001</v>
      </c>
      <c r="L21" s="3073"/>
      <c r="M21" s="3073"/>
      <c r="N21" s="3073"/>
      <c r="O21" s="3073">
        <v>0</v>
      </c>
      <c r="P21" s="3073"/>
      <c r="Q21" s="3073"/>
      <c r="R21" s="3073"/>
      <c r="S21" s="3073">
        <v>1678.5159999999998</v>
      </c>
      <c r="T21" s="3073"/>
      <c r="U21" s="3073"/>
      <c r="V21" s="3073"/>
      <c r="W21" s="3073">
        <v>600.37599999999998</v>
      </c>
      <c r="X21" s="3073"/>
      <c r="Y21" s="3073"/>
      <c r="Z21" s="3073"/>
      <c r="AA21" s="3073"/>
      <c r="AB21" s="3073"/>
      <c r="AC21" s="5225">
        <v>1031.6319999999998</v>
      </c>
      <c r="AD21" s="3073"/>
      <c r="AE21" s="3073"/>
      <c r="AF21" s="3073"/>
      <c r="AG21" s="3073">
        <v>888</v>
      </c>
      <c r="AH21" s="3073"/>
      <c r="AI21" s="3073"/>
      <c r="AJ21" s="3073"/>
      <c r="AK21" s="5225">
        <v>1230</v>
      </c>
      <c r="AL21" s="3073"/>
      <c r="AM21" s="3073"/>
      <c r="AN21" s="3073"/>
      <c r="AO21" s="3073"/>
      <c r="AP21" s="3073"/>
      <c r="AQ21" s="3073">
        <v>2594</v>
      </c>
      <c r="AR21" s="3073"/>
      <c r="AS21" s="3073"/>
      <c r="AT21" s="3073"/>
      <c r="AU21" s="3073"/>
      <c r="AV21" s="3073"/>
      <c r="AW21" s="3073"/>
      <c r="AX21" s="3073"/>
      <c r="AY21" s="3073"/>
      <c r="AZ21" s="3073"/>
      <c r="BA21" s="3073"/>
      <c r="BB21" s="3073">
        <v>145.86600000000001</v>
      </c>
      <c r="BC21" s="3073"/>
      <c r="BD21" s="3073">
        <v>1055</v>
      </c>
      <c r="BE21" s="3073">
        <v>15057.394</v>
      </c>
    </row>
    <row r="22" spans="3:57" ht="15.75" hidden="1" thickBot="1" x14ac:dyDescent="0.3">
      <c r="C22" s="2942" t="s">
        <v>1353</v>
      </c>
      <c r="D22" s="2942"/>
      <c r="E22" s="3073">
        <v>607.17800000000011</v>
      </c>
      <c r="F22" s="3073"/>
      <c r="G22" s="3073">
        <v>0</v>
      </c>
      <c r="H22" s="3073"/>
      <c r="I22" s="3073"/>
      <c r="J22" s="3073"/>
      <c r="K22" s="3073">
        <v>0</v>
      </c>
      <c r="L22" s="3073"/>
      <c r="M22" s="3073"/>
      <c r="N22" s="3073"/>
      <c r="O22" s="3073">
        <v>150.09399999999999</v>
      </c>
      <c r="P22" s="3073"/>
      <c r="Q22" s="3073"/>
      <c r="R22" s="3073"/>
      <c r="S22" s="3073">
        <v>0</v>
      </c>
      <c r="T22" s="3073"/>
      <c r="U22" s="3073"/>
      <c r="V22" s="3073"/>
      <c r="W22" s="3073">
        <v>0</v>
      </c>
      <c r="X22" s="3073"/>
      <c r="Y22" s="3073"/>
      <c r="Z22" s="3073"/>
      <c r="AA22" s="3073"/>
      <c r="AB22" s="3073"/>
      <c r="AC22" s="5225">
        <v>0</v>
      </c>
      <c r="AD22" s="3073"/>
      <c r="AE22" s="3073"/>
      <c r="AF22" s="3073"/>
      <c r="AG22" s="3073">
        <v>131</v>
      </c>
      <c r="AH22" s="3073"/>
      <c r="AI22" s="3073"/>
      <c r="AJ22" s="3073"/>
      <c r="AK22" s="5225">
        <v>0</v>
      </c>
      <c r="AL22" s="3073"/>
      <c r="AM22" s="3073"/>
      <c r="AN22" s="3073"/>
      <c r="AO22" s="3073"/>
      <c r="AP22" s="3073"/>
      <c r="AQ22" s="3073">
        <v>0</v>
      </c>
      <c r="AR22" s="3073"/>
      <c r="AS22" s="3073"/>
      <c r="AT22" s="3073"/>
      <c r="AU22" s="3073"/>
      <c r="AV22" s="3073"/>
      <c r="AW22" s="3073"/>
      <c r="AX22" s="3073"/>
      <c r="AY22" s="3073"/>
      <c r="AZ22" s="3073"/>
      <c r="BA22" s="3073"/>
      <c r="BB22" s="3073">
        <v>0</v>
      </c>
      <c r="BC22" s="3073"/>
      <c r="BD22" s="3073">
        <v>0</v>
      </c>
      <c r="BE22" s="3073">
        <v>888.27200000000016</v>
      </c>
    </row>
    <row r="23" spans="3:57" ht="15.75" hidden="1" thickBot="1" x14ac:dyDescent="0.3">
      <c r="C23" s="2942" t="s">
        <v>1346</v>
      </c>
      <c r="D23" s="2942"/>
      <c r="E23" s="3073">
        <v>1740.86</v>
      </c>
      <c r="F23" s="3073"/>
      <c r="G23" s="3073">
        <v>1672.924</v>
      </c>
      <c r="H23" s="3073"/>
      <c r="I23" s="3073"/>
      <c r="J23" s="3073"/>
      <c r="K23" s="3073">
        <v>3299.1419999999998</v>
      </c>
      <c r="L23" s="3073"/>
      <c r="M23" s="3073"/>
      <c r="N23" s="3073"/>
      <c r="O23" s="3073">
        <v>3369.7160000000008</v>
      </c>
      <c r="P23" s="3073"/>
      <c r="Q23" s="3073"/>
      <c r="R23" s="3073"/>
      <c r="S23" s="3073">
        <v>3111.808</v>
      </c>
      <c r="T23" s="3073"/>
      <c r="U23" s="3073"/>
      <c r="V23" s="3073"/>
      <c r="W23" s="3073">
        <v>1035.8600000000001</v>
      </c>
      <c r="X23" s="3073"/>
      <c r="Y23" s="3073"/>
      <c r="Z23" s="3073"/>
      <c r="AA23" s="3073"/>
      <c r="AB23" s="3073"/>
      <c r="AC23" s="5225">
        <v>0</v>
      </c>
      <c r="AD23" s="3073"/>
      <c r="AE23" s="3073"/>
      <c r="AF23" s="3073"/>
      <c r="AG23" s="3073">
        <v>1541</v>
      </c>
      <c r="AH23" s="3073"/>
      <c r="AI23" s="3073"/>
      <c r="AJ23" s="3073"/>
      <c r="AK23" s="5225">
        <v>230</v>
      </c>
      <c r="AL23" s="3073"/>
      <c r="AM23" s="3073"/>
      <c r="AN23" s="3073"/>
      <c r="AO23" s="3073"/>
      <c r="AP23" s="3073"/>
      <c r="AQ23" s="3073">
        <v>1605</v>
      </c>
      <c r="AR23" s="3073"/>
      <c r="AS23" s="3073"/>
      <c r="AT23" s="3073"/>
      <c r="AU23" s="3073"/>
      <c r="AV23" s="3073"/>
      <c r="AW23" s="3073"/>
      <c r="AX23" s="3073"/>
      <c r="AY23" s="3073"/>
      <c r="AZ23" s="3073"/>
      <c r="BA23" s="3073"/>
      <c r="BB23" s="3073">
        <v>0</v>
      </c>
      <c r="BC23" s="3073"/>
      <c r="BD23" s="3073">
        <v>738</v>
      </c>
      <c r="BE23" s="3073">
        <v>18344.310000000001</v>
      </c>
    </row>
    <row r="24" spans="3:57" ht="15.75" hidden="1" thickBot="1" x14ac:dyDescent="0.3">
      <c r="C24" s="2942" t="s">
        <v>1566</v>
      </c>
      <c r="D24" s="2942"/>
      <c r="E24" s="3073">
        <v>0</v>
      </c>
      <c r="F24" s="3073"/>
      <c r="G24" s="3073">
        <v>0</v>
      </c>
      <c r="H24" s="3073"/>
      <c r="I24" s="3073"/>
      <c r="J24" s="3073"/>
      <c r="K24" s="3073">
        <v>0</v>
      </c>
      <c r="L24" s="3073"/>
      <c r="M24" s="3073"/>
      <c r="N24" s="3073"/>
      <c r="O24" s="3073">
        <v>0</v>
      </c>
      <c r="P24" s="3073"/>
      <c r="Q24" s="3073"/>
      <c r="R24" s="3073"/>
      <c r="S24" s="3073">
        <v>0</v>
      </c>
      <c r="T24" s="3073"/>
      <c r="U24" s="3073"/>
      <c r="V24" s="3073"/>
      <c r="W24" s="3073">
        <v>0</v>
      </c>
      <c r="X24" s="3073"/>
      <c r="Y24" s="3073"/>
      <c r="Z24" s="3073"/>
      <c r="AA24" s="3073"/>
      <c r="AB24" s="3073"/>
      <c r="AC24" s="5225">
        <v>0</v>
      </c>
      <c r="AD24" s="3073"/>
      <c r="AE24" s="3073"/>
      <c r="AF24" s="3073"/>
      <c r="AG24" s="3073">
        <v>729</v>
      </c>
      <c r="AH24" s="3073"/>
      <c r="AI24" s="3073"/>
      <c r="AJ24" s="3073"/>
      <c r="AK24" s="5225">
        <v>0</v>
      </c>
      <c r="AL24" s="3073"/>
      <c r="AM24" s="3073"/>
      <c r="AN24" s="3073"/>
      <c r="AO24" s="3073"/>
      <c r="AP24" s="3073"/>
      <c r="AQ24" s="3073">
        <v>0</v>
      </c>
      <c r="AR24" s="3073"/>
      <c r="AS24" s="3073"/>
      <c r="AT24" s="3073"/>
      <c r="AU24" s="3073"/>
      <c r="AV24" s="3073"/>
      <c r="AW24" s="3073"/>
      <c r="AX24" s="3073"/>
      <c r="AY24" s="3073"/>
      <c r="AZ24" s="3073"/>
      <c r="BA24" s="3073"/>
      <c r="BB24" s="3073">
        <v>528.5</v>
      </c>
      <c r="BC24" s="3073"/>
      <c r="BD24" s="3073">
        <v>573</v>
      </c>
      <c r="BE24" s="3073">
        <v>1830.5</v>
      </c>
    </row>
    <row r="25" spans="3:57" ht="15.75" hidden="1" thickBot="1" x14ac:dyDescent="0.3">
      <c r="C25" s="2942" t="s">
        <v>808</v>
      </c>
      <c r="D25" s="2942"/>
      <c r="E25" s="3073">
        <v>5572.875</v>
      </c>
      <c r="F25" s="3073"/>
      <c r="G25" s="3073">
        <v>4275.7219999999998</v>
      </c>
      <c r="H25" s="3073"/>
      <c r="I25" s="3073"/>
      <c r="J25" s="3073"/>
      <c r="K25" s="3073">
        <v>5165.259</v>
      </c>
      <c r="L25" s="3073"/>
      <c r="M25" s="3073"/>
      <c r="N25" s="3073"/>
      <c r="O25" s="3073">
        <v>4726.5600000000004</v>
      </c>
      <c r="P25" s="3073"/>
      <c r="Q25" s="3073"/>
      <c r="R25" s="3073"/>
      <c r="S25" s="3073">
        <v>8582.84</v>
      </c>
      <c r="T25" s="3073"/>
      <c r="U25" s="3073"/>
      <c r="V25" s="3073"/>
      <c r="W25" s="3073">
        <v>11607.973999999997</v>
      </c>
      <c r="X25" s="3073"/>
      <c r="Y25" s="3073"/>
      <c r="Z25" s="3073"/>
      <c r="AA25" s="3073"/>
      <c r="AB25" s="3073"/>
      <c r="AC25" s="5225">
        <v>13165.992</v>
      </c>
      <c r="AD25" s="3073"/>
      <c r="AE25" s="3073"/>
      <c r="AF25" s="3073"/>
      <c r="AG25" s="3073">
        <v>0</v>
      </c>
      <c r="AH25" s="3073"/>
      <c r="AI25" s="3073"/>
      <c r="AJ25" s="3073"/>
      <c r="AK25" s="5225">
        <v>0</v>
      </c>
      <c r="AL25" s="3073"/>
      <c r="AM25" s="3073"/>
      <c r="AN25" s="3073"/>
      <c r="AO25" s="3073"/>
      <c r="AP25" s="3073"/>
      <c r="AQ25" s="3073">
        <v>5112</v>
      </c>
      <c r="AR25" s="3073"/>
      <c r="AS25" s="3073"/>
      <c r="AT25" s="3073"/>
      <c r="AU25" s="3073"/>
      <c r="AV25" s="3073"/>
      <c r="AW25" s="3073"/>
      <c r="AX25" s="3073"/>
      <c r="AY25" s="3073"/>
      <c r="AZ25" s="3073"/>
      <c r="BA25" s="3073"/>
      <c r="BB25" s="3073">
        <v>6965.63</v>
      </c>
      <c r="BC25" s="3073"/>
      <c r="BD25" s="3073">
        <v>13859</v>
      </c>
      <c r="BE25" s="3073">
        <v>79033.851999999984</v>
      </c>
    </row>
    <row r="26" spans="3:57" ht="15.75" hidden="1" thickBot="1" x14ac:dyDescent="0.3">
      <c r="C26" s="2942" t="s">
        <v>1602</v>
      </c>
      <c r="D26" s="2942"/>
      <c r="E26" s="3073">
        <v>0</v>
      </c>
      <c r="F26" s="3073"/>
      <c r="G26" s="3073">
        <v>0</v>
      </c>
      <c r="H26" s="3073"/>
      <c r="I26" s="3073"/>
      <c r="J26" s="3073"/>
      <c r="K26" s="3073">
        <v>0</v>
      </c>
      <c r="L26" s="3073"/>
      <c r="M26" s="3073"/>
      <c r="N26" s="3073"/>
      <c r="O26" s="3073">
        <v>0</v>
      </c>
      <c r="P26" s="3073"/>
      <c r="Q26" s="3073"/>
      <c r="R26" s="3073"/>
      <c r="S26" s="3073">
        <v>0</v>
      </c>
      <c r="T26" s="3073"/>
      <c r="U26" s="3073"/>
      <c r="V26" s="3073"/>
      <c r="W26" s="3073">
        <v>0</v>
      </c>
      <c r="X26" s="3073"/>
      <c r="Y26" s="3073"/>
      <c r="Z26" s="3073"/>
      <c r="AA26" s="3073"/>
      <c r="AB26" s="3073"/>
      <c r="AC26" s="5225">
        <v>0</v>
      </c>
      <c r="AD26" s="3073"/>
      <c r="AE26" s="3073"/>
      <c r="AF26" s="3073"/>
      <c r="AG26" s="3073">
        <v>0</v>
      </c>
      <c r="AH26" s="3073"/>
      <c r="AI26" s="3073"/>
      <c r="AJ26" s="3073"/>
      <c r="AK26" s="5225">
        <v>0</v>
      </c>
      <c r="AL26" s="3073"/>
      <c r="AM26" s="3073"/>
      <c r="AN26" s="3073"/>
      <c r="AO26" s="3073"/>
      <c r="AP26" s="3073"/>
      <c r="AQ26" s="3073">
        <v>0</v>
      </c>
      <c r="AR26" s="3073"/>
      <c r="AS26" s="3073"/>
      <c r="AT26" s="3073"/>
      <c r="AU26" s="3073"/>
      <c r="AV26" s="3073"/>
      <c r="AW26" s="3073"/>
      <c r="AX26" s="3073"/>
      <c r="AY26" s="3073"/>
      <c r="AZ26" s="3073"/>
      <c r="BA26" s="3073"/>
      <c r="BB26" s="3073">
        <v>1103.5080000000003</v>
      </c>
      <c r="BC26" s="3073"/>
      <c r="BD26" s="3073">
        <v>884</v>
      </c>
      <c r="BE26" s="3073">
        <v>1987.5080000000003</v>
      </c>
    </row>
    <row r="27" spans="3:57" ht="15.75" hidden="1" thickBot="1" x14ac:dyDescent="0.3">
      <c r="C27" s="2942" t="s">
        <v>1603</v>
      </c>
      <c r="D27" s="2942"/>
      <c r="E27" s="3073">
        <v>0</v>
      </c>
      <c r="F27" s="3073"/>
      <c r="G27" s="3073">
        <v>0</v>
      </c>
      <c r="H27" s="3073"/>
      <c r="I27" s="3073"/>
      <c r="J27" s="3073"/>
      <c r="K27" s="3073">
        <v>0</v>
      </c>
      <c r="L27" s="3073"/>
      <c r="M27" s="3073"/>
      <c r="N27" s="3073"/>
      <c r="O27" s="3073">
        <v>0</v>
      </c>
      <c r="P27" s="3073"/>
      <c r="Q27" s="3073"/>
      <c r="R27" s="3073"/>
      <c r="S27" s="3073">
        <v>0</v>
      </c>
      <c r="T27" s="3073"/>
      <c r="U27" s="3073"/>
      <c r="V27" s="3073"/>
      <c r="W27" s="3073">
        <v>0</v>
      </c>
      <c r="X27" s="3073"/>
      <c r="Y27" s="3073"/>
      <c r="Z27" s="3073"/>
      <c r="AA27" s="3073"/>
      <c r="AB27" s="3073"/>
      <c r="AC27" s="5225">
        <v>0</v>
      </c>
      <c r="AD27" s="3073"/>
      <c r="AE27" s="3073"/>
      <c r="AF27" s="3073"/>
      <c r="AG27" s="3073">
        <v>0</v>
      </c>
      <c r="AH27" s="3073"/>
      <c r="AI27" s="3073"/>
      <c r="AJ27" s="3073"/>
      <c r="AK27" s="5225">
        <v>0</v>
      </c>
      <c r="AL27" s="3073"/>
      <c r="AM27" s="3073"/>
      <c r="AN27" s="3073"/>
      <c r="AO27" s="3073"/>
      <c r="AP27" s="3073"/>
      <c r="AQ27" s="3073">
        <v>0</v>
      </c>
      <c r="AR27" s="3073"/>
      <c r="AS27" s="3073"/>
      <c r="AT27" s="3073"/>
      <c r="AU27" s="3073"/>
      <c r="AV27" s="3073"/>
      <c r="AW27" s="3073"/>
      <c r="AX27" s="3073"/>
      <c r="AY27" s="3073"/>
      <c r="AZ27" s="3073"/>
      <c r="BA27" s="3073"/>
      <c r="BB27" s="3073">
        <v>613.06000000000006</v>
      </c>
      <c r="BC27" s="3073"/>
      <c r="BD27" s="3073">
        <v>0</v>
      </c>
      <c r="BE27" s="3073">
        <v>613.06000000000006</v>
      </c>
    </row>
    <row r="28" spans="3:57" ht="15.75" hidden="1" thickBot="1" x14ac:dyDescent="0.3">
      <c r="C28" s="2942" t="s">
        <v>1354</v>
      </c>
      <c r="D28" s="2942"/>
      <c r="E28" s="3073">
        <v>137.995</v>
      </c>
      <c r="F28" s="3073"/>
      <c r="G28" s="3073">
        <v>365.15600000000001</v>
      </c>
      <c r="H28" s="3073"/>
      <c r="I28" s="3073"/>
      <c r="J28" s="3073"/>
      <c r="K28" s="3073">
        <v>0</v>
      </c>
      <c r="L28" s="3073"/>
      <c r="M28" s="3073"/>
      <c r="N28" s="3073"/>
      <c r="O28" s="3073">
        <v>271.74400000000003</v>
      </c>
      <c r="P28" s="3073"/>
      <c r="Q28" s="3073"/>
      <c r="R28" s="3073"/>
      <c r="S28" s="3073">
        <v>0</v>
      </c>
      <c r="T28" s="3073"/>
      <c r="U28" s="3073"/>
      <c r="V28" s="3073"/>
      <c r="W28" s="3073">
        <v>0</v>
      </c>
      <c r="X28" s="3073"/>
      <c r="Y28" s="3073"/>
      <c r="Z28" s="3073"/>
      <c r="AA28" s="3073"/>
      <c r="AB28" s="3073"/>
      <c r="AC28" s="5225">
        <v>0</v>
      </c>
      <c r="AD28" s="3073"/>
      <c r="AE28" s="3073"/>
      <c r="AF28" s="3073"/>
      <c r="AG28" s="3073">
        <v>0</v>
      </c>
      <c r="AH28" s="3073"/>
      <c r="AI28" s="3073"/>
      <c r="AJ28" s="3073"/>
      <c r="AK28" s="5225">
        <v>0</v>
      </c>
      <c r="AL28" s="3073"/>
      <c r="AM28" s="3073"/>
      <c r="AN28" s="3073"/>
      <c r="AO28" s="3073"/>
      <c r="AP28" s="3073"/>
      <c r="AQ28" s="3073">
        <v>0</v>
      </c>
      <c r="AR28" s="3073"/>
      <c r="AS28" s="3073"/>
      <c r="AT28" s="3073"/>
      <c r="AU28" s="3073"/>
      <c r="AV28" s="3073"/>
      <c r="AW28" s="3073"/>
      <c r="AX28" s="3073"/>
      <c r="AY28" s="3073"/>
      <c r="AZ28" s="3073"/>
      <c r="BA28" s="3073"/>
      <c r="BB28" s="3073">
        <v>112.042</v>
      </c>
      <c r="BC28" s="3073"/>
      <c r="BD28" s="3073">
        <v>146</v>
      </c>
      <c r="BE28" s="3073">
        <v>1032.9369999999999</v>
      </c>
    </row>
    <row r="29" spans="3:57" ht="15.75" hidden="1" thickBot="1" x14ac:dyDescent="0.3">
      <c r="C29" s="2942" t="s">
        <v>1242</v>
      </c>
      <c r="D29" s="2942"/>
      <c r="E29" s="3073">
        <v>0</v>
      </c>
      <c r="F29" s="3073"/>
      <c r="G29" s="3073">
        <v>0</v>
      </c>
      <c r="H29" s="3073"/>
      <c r="I29" s="3073"/>
      <c r="J29" s="3073"/>
      <c r="K29" s="3073">
        <v>881.04499999999996</v>
      </c>
      <c r="L29" s="3073"/>
      <c r="M29" s="3073"/>
      <c r="N29" s="3073"/>
      <c r="O29" s="3073">
        <v>0</v>
      </c>
      <c r="P29" s="3073"/>
      <c r="Q29" s="3073"/>
      <c r="R29" s="3073"/>
      <c r="S29" s="3073">
        <v>0</v>
      </c>
      <c r="T29" s="3073"/>
      <c r="U29" s="3073"/>
      <c r="V29" s="3073"/>
      <c r="W29" s="3073">
        <v>0</v>
      </c>
      <c r="X29" s="3073"/>
      <c r="Y29" s="3073"/>
      <c r="Z29" s="3073"/>
      <c r="AA29" s="3073"/>
      <c r="AB29" s="3073"/>
      <c r="AC29" s="5225">
        <v>336.12599999999998</v>
      </c>
      <c r="AD29" s="3073"/>
      <c r="AE29" s="3073"/>
      <c r="AF29" s="3073"/>
      <c r="AG29" s="3073">
        <v>6202</v>
      </c>
      <c r="AH29" s="3073"/>
      <c r="AI29" s="3073"/>
      <c r="AJ29" s="3073"/>
      <c r="AK29" s="5225">
        <v>6896</v>
      </c>
      <c r="AL29" s="3073"/>
      <c r="AM29" s="3073"/>
      <c r="AN29" s="3073"/>
      <c r="AO29" s="3073"/>
      <c r="AP29" s="3073"/>
      <c r="AQ29" s="3073">
        <v>865</v>
      </c>
      <c r="AR29" s="3073"/>
      <c r="AS29" s="3073"/>
      <c r="AT29" s="3073"/>
      <c r="AU29" s="3073"/>
      <c r="AV29" s="3073"/>
      <c r="AW29" s="3073"/>
      <c r="AX29" s="3073"/>
      <c r="AY29" s="3073"/>
      <c r="AZ29" s="3073"/>
      <c r="BA29" s="3073"/>
      <c r="BB29" s="3073">
        <v>192.374</v>
      </c>
      <c r="BC29" s="3073"/>
      <c r="BD29" s="3073">
        <v>0</v>
      </c>
      <c r="BE29" s="3073">
        <v>15372.545</v>
      </c>
    </row>
    <row r="30" spans="3:57" ht="15.75" hidden="1" thickBot="1" x14ac:dyDescent="0.3">
      <c r="C30" s="2942" t="s">
        <v>1355</v>
      </c>
      <c r="D30" s="2942"/>
      <c r="E30" s="3073">
        <v>1129.4360000000001</v>
      </c>
      <c r="F30" s="3073"/>
      <c r="G30" s="3073">
        <v>254.96</v>
      </c>
      <c r="H30" s="3073"/>
      <c r="I30" s="3073"/>
      <c r="J30" s="3073"/>
      <c r="K30" s="3073">
        <v>0</v>
      </c>
      <c r="L30" s="3073"/>
      <c r="M30" s="3073"/>
      <c r="N30" s="3073"/>
      <c r="O30" s="3073">
        <v>157.102</v>
      </c>
      <c r="P30" s="3073"/>
      <c r="Q30" s="3073"/>
      <c r="R30" s="3073"/>
      <c r="S30" s="3073">
        <v>350.92400000000004</v>
      </c>
      <c r="T30" s="3073"/>
      <c r="U30" s="3073"/>
      <c r="V30" s="3073"/>
      <c r="W30" s="3073">
        <v>454.51</v>
      </c>
      <c r="X30" s="3073"/>
      <c r="Y30" s="3073"/>
      <c r="Z30" s="3073"/>
      <c r="AA30" s="3073"/>
      <c r="AB30" s="3073"/>
      <c r="AC30" s="5225">
        <v>845.59999999999991</v>
      </c>
      <c r="AD30" s="3073"/>
      <c r="AE30" s="3073"/>
      <c r="AF30" s="3073"/>
      <c r="AG30" s="3073">
        <v>507</v>
      </c>
      <c r="AH30" s="3073"/>
      <c r="AI30" s="3073"/>
      <c r="AJ30" s="3073"/>
      <c r="AK30" s="5225">
        <v>875</v>
      </c>
      <c r="AL30" s="3073"/>
      <c r="AM30" s="3073"/>
      <c r="AN30" s="3073"/>
      <c r="AO30" s="3073"/>
      <c r="AP30" s="3073"/>
      <c r="AQ30" s="3073">
        <v>480</v>
      </c>
      <c r="AR30" s="3073"/>
      <c r="AS30" s="3073"/>
      <c r="AT30" s="3073"/>
      <c r="AU30" s="3073"/>
      <c r="AV30" s="3073"/>
      <c r="AW30" s="3073"/>
      <c r="AX30" s="3073"/>
      <c r="AY30" s="3073"/>
      <c r="AZ30" s="3073"/>
      <c r="BA30" s="3073"/>
      <c r="BB30" s="3073">
        <v>435.48399999999998</v>
      </c>
      <c r="BC30" s="3073"/>
      <c r="BD30" s="3073">
        <v>797</v>
      </c>
      <c r="BE30" s="3073">
        <v>6287.0160000000005</v>
      </c>
    </row>
    <row r="31" spans="3:57" ht="15.75" hidden="1" thickBot="1" x14ac:dyDescent="0.3">
      <c r="C31" s="2942" t="s">
        <v>1356</v>
      </c>
      <c r="D31" s="2942"/>
      <c r="E31" s="3073">
        <v>0</v>
      </c>
      <c r="F31" s="3073"/>
      <c r="G31" s="3073">
        <v>0</v>
      </c>
      <c r="H31" s="3073"/>
      <c r="I31" s="3073"/>
      <c r="J31" s="3073"/>
      <c r="K31" s="3073">
        <v>99.781000000000006</v>
      </c>
      <c r="L31" s="3073"/>
      <c r="M31" s="3073"/>
      <c r="N31" s="3073"/>
      <c r="O31" s="3073">
        <v>0</v>
      </c>
      <c r="P31" s="3073"/>
      <c r="Q31" s="3073"/>
      <c r="R31" s="3073"/>
      <c r="S31" s="3073">
        <v>0</v>
      </c>
      <c r="T31" s="3073"/>
      <c r="U31" s="3073"/>
      <c r="V31" s="3073"/>
      <c r="W31" s="3073">
        <v>0</v>
      </c>
      <c r="X31" s="3073"/>
      <c r="Y31" s="3073"/>
      <c r="Z31" s="3073"/>
      <c r="AA31" s="3073"/>
      <c r="AB31" s="3073"/>
      <c r="AC31" s="5225">
        <v>0</v>
      </c>
      <c r="AD31" s="3073"/>
      <c r="AE31" s="3073"/>
      <c r="AF31" s="3073"/>
      <c r="AG31" s="3073">
        <v>0</v>
      </c>
      <c r="AH31" s="3073"/>
      <c r="AI31" s="3073"/>
      <c r="AJ31" s="3073"/>
      <c r="AK31" s="5225">
        <v>0</v>
      </c>
      <c r="AL31" s="3073"/>
      <c r="AM31" s="3073"/>
      <c r="AN31" s="3073"/>
      <c r="AO31" s="3073"/>
      <c r="AP31" s="3073"/>
      <c r="AQ31" s="3073">
        <v>0</v>
      </c>
      <c r="AR31" s="3073"/>
      <c r="AS31" s="3073"/>
      <c r="AT31" s="3073"/>
      <c r="AU31" s="3073"/>
      <c r="AV31" s="3073"/>
      <c r="AW31" s="3073"/>
      <c r="AX31" s="3073"/>
      <c r="AY31" s="3073"/>
      <c r="AZ31" s="3073"/>
      <c r="BA31" s="3073"/>
      <c r="BB31" s="3073">
        <v>0</v>
      </c>
      <c r="BC31" s="3073"/>
      <c r="BD31" s="3073">
        <v>0</v>
      </c>
      <c r="BE31" s="3073">
        <v>99.781000000000006</v>
      </c>
    </row>
    <row r="32" spans="3:57" ht="15.75" hidden="1" thickBot="1" x14ac:dyDescent="0.3">
      <c r="C32" s="2942" t="s">
        <v>1357</v>
      </c>
      <c r="D32" s="2942"/>
      <c r="E32" s="3073">
        <v>1426.6559999999999</v>
      </c>
      <c r="F32" s="3073"/>
      <c r="G32" s="3073">
        <v>0</v>
      </c>
      <c r="H32" s="3073"/>
      <c r="I32" s="3073"/>
      <c r="J32" s="3073"/>
      <c r="K32" s="3073">
        <v>0</v>
      </c>
      <c r="L32" s="3073"/>
      <c r="M32" s="3073"/>
      <c r="N32" s="3073"/>
      <c r="O32" s="3073">
        <v>105.7</v>
      </c>
      <c r="P32" s="3073"/>
      <c r="Q32" s="3073"/>
      <c r="R32" s="3073"/>
      <c r="S32" s="3073">
        <v>0</v>
      </c>
      <c r="T32" s="3073"/>
      <c r="U32" s="3073"/>
      <c r="V32" s="3073"/>
      <c r="W32" s="3073">
        <v>103.586</v>
      </c>
      <c r="X32" s="3073"/>
      <c r="Y32" s="3073"/>
      <c r="Z32" s="3073"/>
      <c r="AA32" s="3073"/>
      <c r="AB32" s="3073"/>
      <c r="AC32" s="5225">
        <v>215.62799999999999</v>
      </c>
      <c r="AD32" s="3073"/>
      <c r="AE32" s="3073"/>
      <c r="AF32" s="3073"/>
      <c r="AG32" s="3073">
        <v>632</v>
      </c>
      <c r="AH32" s="3073"/>
      <c r="AI32" s="3073"/>
      <c r="AJ32" s="3073"/>
      <c r="AK32" s="5225">
        <v>696</v>
      </c>
      <c r="AL32" s="3073"/>
      <c r="AM32" s="3073"/>
      <c r="AN32" s="3073"/>
      <c r="AO32" s="3073"/>
      <c r="AP32" s="3073"/>
      <c r="AQ32" s="3073">
        <v>1723</v>
      </c>
      <c r="AR32" s="3073"/>
      <c r="AS32" s="3073"/>
      <c r="AT32" s="3073"/>
      <c r="AU32" s="3073"/>
      <c r="AV32" s="3073"/>
      <c r="AW32" s="3073"/>
      <c r="AX32" s="3073"/>
      <c r="AY32" s="3073"/>
      <c r="AZ32" s="3073"/>
      <c r="BA32" s="3073"/>
      <c r="BB32" s="3073">
        <v>450.28199999999998</v>
      </c>
      <c r="BC32" s="3073"/>
      <c r="BD32" s="3073">
        <v>708</v>
      </c>
      <c r="BE32" s="3073">
        <v>6060.8519999999999</v>
      </c>
    </row>
    <row r="33" spans="3:57" ht="15.75" hidden="1" thickBot="1" x14ac:dyDescent="0.3">
      <c r="C33" s="2942" t="s">
        <v>1358</v>
      </c>
      <c r="D33" s="2942"/>
      <c r="E33" s="3073">
        <v>137.995</v>
      </c>
      <c r="F33" s="3073"/>
      <c r="G33" s="3073">
        <v>0</v>
      </c>
      <c r="H33" s="3073"/>
      <c r="I33" s="3073"/>
      <c r="J33" s="3073"/>
      <c r="K33" s="3073">
        <v>0</v>
      </c>
      <c r="L33" s="3073"/>
      <c r="M33" s="3073"/>
      <c r="N33" s="3073"/>
      <c r="O33" s="3073">
        <v>0</v>
      </c>
      <c r="P33" s="3073"/>
      <c r="Q33" s="3073"/>
      <c r="R33" s="3073"/>
      <c r="S33" s="3073">
        <v>0</v>
      </c>
      <c r="T33" s="3073"/>
      <c r="U33" s="3073"/>
      <c r="V33" s="3073"/>
      <c r="W33" s="3073">
        <v>0</v>
      </c>
      <c r="X33" s="3073"/>
      <c r="Y33" s="3073"/>
      <c r="Z33" s="3073"/>
      <c r="AA33" s="3073"/>
      <c r="AB33" s="3073"/>
      <c r="AC33" s="5225">
        <v>0</v>
      </c>
      <c r="AD33" s="3073"/>
      <c r="AE33" s="3073"/>
      <c r="AF33" s="3073"/>
      <c r="AG33" s="3073">
        <v>0</v>
      </c>
      <c r="AH33" s="3073"/>
      <c r="AI33" s="3073"/>
      <c r="AJ33" s="3073"/>
      <c r="AK33" s="5225">
        <v>0</v>
      </c>
      <c r="AL33" s="3073"/>
      <c r="AM33" s="3073"/>
      <c r="AN33" s="3073"/>
      <c r="AO33" s="3073"/>
      <c r="AP33" s="3073"/>
      <c r="AQ33" s="3073">
        <v>0</v>
      </c>
      <c r="AR33" s="3073"/>
      <c r="AS33" s="3073"/>
      <c r="AT33" s="3073"/>
      <c r="AU33" s="3073"/>
      <c r="AV33" s="3073"/>
      <c r="AW33" s="3073"/>
      <c r="AX33" s="3073"/>
      <c r="AY33" s="3073"/>
      <c r="AZ33" s="3073"/>
      <c r="BA33" s="3073"/>
      <c r="BB33" s="3073">
        <v>0</v>
      </c>
      <c r="BC33" s="3073"/>
      <c r="BD33" s="3073">
        <v>0</v>
      </c>
      <c r="BE33" s="3073">
        <v>137.995</v>
      </c>
    </row>
    <row r="34" spans="3:57" ht="15.75" hidden="1" thickBot="1" x14ac:dyDescent="0.3">
      <c r="C34" s="2942" t="s">
        <v>1554</v>
      </c>
      <c r="D34" s="2942"/>
      <c r="E34" s="3073"/>
      <c r="F34" s="3073"/>
      <c r="G34" s="3073"/>
      <c r="H34" s="3073"/>
      <c r="I34" s="3073"/>
      <c r="J34" s="3073"/>
      <c r="K34" s="3073"/>
      <c r="L34" s="3073"/>
      <c r="M34" s="3073"/>
      <c r="N34" s="3073"/>
      <c r="O34" s="3073"/>
      <c r="P34" s="3073"/>
      <c r="Q34" s="3073"/>
      <c r="R34" s="3073"/>
      <c r="S34" s="3073"/>
      <c r="T34" s="3073"/>
      <c r="U34" s="3073"/>
      <c r="V34" s="3073"/>
      <c r="W34" s="3073"/>
      <c r="X34" s="3073"/>
      <c r="Y34" s="3073"/>
      <c r="Z34" s="3073"/>
      <c r="AA34" s="3073"/>
      <c r="AB34" s="3073"/>
      <c r="AC34" s="5225">
        <v>126.84</v>
      </c>
      <c r="AD34" s="3073"/>
      <c r="AE34" s="3073"/>
      <c r="AF34" s="3073"/>
      <c r="AG34" s="3073">
        <v>0</v>
      </c>
      <c r="AH34" s="3073"/>
      <c r="AI34" s="3073"/>
      <c r="AJ34" s="3073"/>
      <c r="AK34" s="5225">
        <v>0</v>
      </c>
      <c r="AL34" s="3073"/>
      <c r="AM34" s="3073"/>
      <c r="AN34" s="3073"/>
      <c r="AO34" s="3073"/>
      <c r="AP34" s="3073"/>
      <c r="AQ34" s="3073">
        <v>0</v>
      </c>
      <c r="AR34" s="3073"/>
      <c r="AS34" s="3073"/>
      <c r="AT34" s="3073"/>
      <c r="AU34" s="3073"/>
      <c r="AV34" s="3073"/>
      <c r="AW34" s="3073"/>
      <c r="AX34" s="3073"/>
      <c r="AY34" s="3073"/>
      <c r="AZ34" s="3073"/>
      <c r="BA34" s="3073"/>
      <c r="BB34" s="3073">
        <v>0</v>
      </c>
      <c r="BC34" s="3073"/>
      <c r="BD34" s="3073">
        <v>0</v>
      </c>
      <c r="BE34" s="3073">
        <v>126.84</v>
      </c>
    </row>
    <row r="35" spans="3:57" ht="15.75" hidden="1" thickBot="1" x14ac:dyDescent="0.3">
      <c r="C35" s="2942" t="s">
        <v>1359</v>
      </c>
      <c r="D35" s="2942"/>
      <c r="E35" s="3073">
        <v>0</v>
      </c>
      <c r="F35" s="3073"/>
      <c r="G35" s="3073">
        <v>0</v>
      </c>
      <c r="H35" s="3073"/>
      <c r="I35" s="3073"/>
      <c r="J35" s="3073"/>
      <c r="K35" s="3073">
        <v>0</v>
      </c>
      <c r="L35" s="3073"/>
      <c r="M35" s="3073"/>
      <c r="N35" s="3073"/>
      <c r="O35" s="3073">
        <v>410.11599999999999</v>
      </c>
      <c r="P35" s="3073"/>
      <c r="Q35" s="3073"/>
      <c r="R35" s="3073"/>
      <c r="S35" s="3073">
        <v>0</v>
      </c>
      <c r="T35" s="3073"/>
      <c r="U35" s="3073"/>
      <c r="V35" s="3073"/>
      <c r="W35" s="3073">
        <v>0</v>
      </c>
      <c r="X35" s="3073"/>
      <c r="Y35" s="3073"/>
      <c r="Z35" s="3073"/>
      <c r="AA35" s="3073"/>
      <c r="AB35" s="3073"/>
      <c r="AC35" s="5225">
        <v>1018.9480000000001</v>
      </c>
      <c r="AD35" s="3073"/>
      <c r="AE35" s="3073"/>
      <c r="AF35" s="3073"/>
      <c r="AG35" s="3073">
        <v>112</v>
      </c>
      <c r="AH35" s="3073"/>
      <c r="AI35" s="3073"/>
      <c r="AJ35" s="3073"/>
      <c r="AK35" s="5225">
        <v>550</v>
      </c>
      <c r="AL35" s="3073"/>
      <c r="AM35" s="3073"/>
      <c r="AN35" s="3073"/>
      <c r="AO35" s="3073"/>
      <c r="AP35" s="3073"/>
      <c r="AQ35" s="3073">
        <v>683</v>
      </c>
      <c r="AR35" s="3073"/>
      <c r="AS35" s="3073"/>
      <c r="AT35" s="3073"/>
      <c r="AU35" s="3073"/>
      <c r="AV35" s="3073"/>
      <c r="AW35" s="3073"/>
      <c r="AX35" s="3073"/>
      <c r="AY35" s="3073"/>
      <c r="AZ35" s="3073"/>
      <c r="BA35" s="3073"/>
      <c r="BB35" s="3073">
        <v>272.70600000000002</v>
      </c>
      <c r="BC35" s="3073"/>
      <c r="BD35" s="3073">
        <v>575</v>
      </c>
      <c r="BE35" s="3073">
        <v>3621.7700000000004</v>
      </c>
    </row>
    <row r="36" spans="3:57" ht="15.75" hidden="1" thickBot="1" x14ac:dyDescent="0.3">
      <c r="C36" s="2942" t="s">
        <v>1401</v>
      </c>
      <c r="D36" s="2942"/>
      <c r="E36" s="3073">
        <v>0</v>
      </c>
      <c r="F36" s="3073"/>
      <c r="G36" s="3073">
        <v>0</v>
      </c>
      <c r="H36" s="3073"/>
      <c r="I36" s="3073"/>
      <c r="J36" s="3073"/>
      <c r="K36" s="3073">
        <v>324.81900000000002</v>
      </c>
      <c r="L36" s="3073"/>
      <c r="M36" s="3073"/>
      <c r="N36" s="3073"/>
      <c r="O36" s="3073">
        <v>922.452</v>
      </c>
      <c r="P36" s="3073"/>
      <c r="Q36" s="3073"/>
      <c r="R36" s="3073"/>
      <c r="S36" s="3073">
        <v>1779.9879999999996</v>
      </c>
      <c r="T36" s="3073"/>
      <c r="U36" s="3073"/>
      <c r="V36" s="3073"/>
      <c r="W36" s="3073">
        <v>0</v>
      </c>
      <c r="X36" s="3073"/>
      <c r="Y36" s="3073"/>
      <c r="Z36" s="3073"/>
      <c r="AA36" s="3073"/>
      <c r="AB36" s="3073"/>
      <c r="AC36" s="5225">
        <v>317.09999999999997</v>
      </c>
      <c r="AD36" s="3073"/>
      <c r="AE36" s="3073"/>
      <c r="AF36" s="3073"/>
      <c r="AG36" s="3073">
        <v>2222</v>
      </c>
      <c r="AH36" s="3073"/>
      <c r="AI36" s="3073"/>
      <c r="AJ36" s="3073"/>
      <c r="AK36" s="5225">
        <v>0</v>
      </c>
      <c r="AL36" s="3073"/>
      <c r="AM36" s="3073"/>
      <c r="AN36" s="3073"/>
      <c r="AO36" s="3073"/>
      <c r="AP36" s="3073"/>
      <c r="AQ36" s="3073">
        <v>252</v>
      </c>
      <c r="AR36" s="3073"/>
      <c r="AS36" s="3073"/>
      <c r="AT36" s="3073"/>
      <c r="AU36" s="3073"/>
      <c r="AV36" s="3073"/>
      <c r="AW36" s="3073"/>
      <c r="AX36" s="3073"/>
      <c r="AY36" s="3073"/>
      <c r="AZ36" s="3073"/>
      <c r="BA36" s="3073"/>
      <c r="BB36" s="3073">
        <v>97.244</v>
      </c>
      <c r="BC36" s="3073"/>
      <c r="BD36" s="3073">
        <v>0</v>
      </c>
      <c r="BE36" s="3073">
        <v>5915.6029999999992</v>
      </c>
    </row>
    <row r="37" spans="3:57" ht="15.75" hidden="1" thickBot="1" x14ac:dyDescent="0.3">
      <c r="C37" s="2942" t="s">
        <v>1360</v>
      </c>
      <c r="D37" s="2942"/>
      <c r="E37" s="3073">
        <v>592.31700000000001</v>
      </c>
      <c r="F37" s="3073"/>
      <c r="G37" s="3073">
        <v>0</v>
      </c>
      <c r="H37" s="3073"/>
      <c r="I37" s="3073"/>
      <c r="J37" s="3073"/>
      <c r="K37" s="3073">
        <v>0</v>
      </c>
      <c r="L37" s="3073"/>
      <c r="M37" s="3073"/>
      <c r="N37" s="3073"/>
      <c r="O37" s="3073">
        <v>0</v>
      </c>
      <c r="P37" s="3073"/>
      <c r="Q37" s="3073"/>
      <c r="R37" s="3073"/>
      <c r="S37" s="3073">
        <v>1306.4520000000002</v>
      </c>
      <c r="T37" s="3073"/>
      <c r="U37" s="3073"/>
      <c r="V37" s="3073"/>
      <c r="W37" s="3073">
        <v>0</v>
      </c>
      <c r="X37" s="3073"/>
      <c r="Y37" s="3073"/>
      <c r="Z37" s="3073"/>
      <c r="AA37" s="3073"/>
      <c r="AB37" s="3073"/>
      <c r="AC37" s="5225">
        <v>0</v>
      </c>
      <c r="AD37" s="3073"/>
      <c r="AE37" s="3073"/>
      <c r="AF37" s="3073"/>
      <c r="AG37" s="3073">
        <v>873</v>
      </c>
      <c r="AH37" s="3073"/>
      <c r="AI37" s="3073"/>
      <c r="AJ37" s="3073"/>
      <c r="AK37" s="5225">
        <v>0</v>
      </c>
      <c r="AL37" s="3073"/>
      <c r="AM37" s="3073"/>
      <c r="AN37" s="3073"/>
      <c r="AO37" s="3073"/>
      <c r="AP37" s="3073"/>
      <c r="AQ37" s="3073">
        <v>0</v>
      </c>
      <c r="AR37" s="3073"/>
      <c r="AS37" s="3073"/>
      <c r="AT37" s="3073"/>
      <c r="AU37" s="3073"/>
      <c r="AV37" s="3073"/>
      <c r="AW37" s="3073"/>
      <c r="AX37" s="3073"/>
      <c r="AY37" s="3073"/>
      <c r="AZ37" s="3073"/>
      <c r="BA37" s="3073"/>
      <c r="BB37" s="3073">
        <v>433.37</v>
      </c>
      <c r="BC37" s="3073"/>
      <c r="BD37" s="3073">
        <v>0</v>
      </c>
      <c r="BE37" s="3073">
        <v>3205.1390000000001</v>
      </c>
    </row>
    <row r="38" spans="3:57" ht="15.75" hidden="1" thickBot="1" x14ac:dyDescent="0.3">
      <c r="C38" s="2942" t="s">
        <v>1361</v>
      </c>
      <c r="D38" s="2942"/>
      <c r="E38" s="3073">
        <v>420.35399999999998</v>
      </c>
      <c r="F38" s="3073"/>
      <c r="G38" s="3073">
        <v>0</v>
      </c>
      <c r="H38" s="3073"/>
      <c r="I38" s="3073"/>
      <c r="J38" s="3073"/>
      <c r="K38" s="3073">
        <v>0</v>
      </c>
      <c r="L38" s="3073"/>
      <c r="M38" s="3073"/>
      <c r="N38" s="3073"/>
      <c r="O38" s="3073">
        <v>0</v>
      </c>
      <c r="P38" s="3073"/>
      <c r="Q38" s="3073"/>
      <c r="R38" s="3073"/>
      <c r="S38" s="3073">
        <v>0</v>
      </c>
      <c r="T38" s="3073"/>
      <c r="U38" s="3073"/>
      <c r="V38" s="3073"/>
      <c r="W38" s="3073">
        <v>0</v>
      </c>
      <c r="X38" s="3073"/>
      <c r="Y38" s="3073"/>
      <c r="Z38" s="3073"/>
      <c r="AA38" s="3073"/>
      <c r="AB38" s="3073"/>
      <c r="AC38" s="5225">
        <v>0</v>
      </c>
      <c r="AD38" s="3073"/>
      <c r="AE38" s="3073"/>
      <c r="AF38" s="3073"/>
      <c r="AG38" s="3073">
        <v>0</v>
      </c>
      <c r="AH38" s="3073"/>
      <c r="AI38" s="3073"/>
      <c r="AJ38" s="3073"/>
      <c r="AK38" s="5225">
        <v>0</v>
      </c>
      <c r="AL38" s="3073"/>
      <c r="AM38" s="3073"/>
      <c r="AN38" s="3073"/>
      <c r="AO38" s="3073"/>
      <c r="AP38" s="3073"/>
      <c r="AQ38" s="3073">
        <v>0</v>
      </c>
      <c r="AR38" s="3073"/>
      <c r="AS38" s="3073"/>
      <c r="AT38" s="3073"/>
      <c r="AU38" s="3073"/>
      <c r="AV38" s="3073"/>
      <c r="AW38" s="3073"/>
      <c r="AX38" s="3073"/>
      <c r="AY38" s="3073"/>
      <c r="AZ38" s="3073"/>
      <c r="BA38" s="3073"/>
      <c r="BB38" s="3073">
        <v>363.608</v>
      </c>
      <c r="BC38" s="3073"/>
      <c r="BD38" s="3073">
        <v>0</v>
      </c>
      <c r="BE38" s="3073">
        <v>783.96199999999999</v>
      </c>
    </row>
    <row r="39" spans="3:57" ht="15.75" hidden="1" thickBot="1" x14ac:dyDescent="0.3">
      <c r="C39" s="2942" t="s">
        <v>1614</v>
      </c>
      <c r="D39" s="2942"/>
      <c r="E39" s="3073">
        <v>0</v>
      </c>
      <c r="F39" s="3073"/>
      <c r="G39" s="3073">
        <v>0</v>
      </c>
      <c r="H39" s="3073"/>
      <c r="I39" s="3073"/>
      <c r="J39" s="3073"/>
      <c r="K39" s="3073">
        <v>0</v>
      </c>
      <c r="L39" s="3073"/>
      <c r="M39" s="3073"/>
      <c r="N39" s="3073"/>
      <c r="O39" s="3073">
        <v>0</v>
      </c>
      <c r="P39" s="3073"/>
      <c r="Q39" s="3073"/>
      <c r="R39" s="3073"/>
      <c r="S39" s="3073">
        <v>0</v>
      </c>
      <c r="T39" s="3073"/>
      <c r="U39" s="3073"/>
      <c r="V39" s="3073"/>
      <c r="W39" s="3073">
        <v>0</v>
      </c>
      <c r="X39" s="3073"/>
      <c r="Y39" s="3073"/>
      <c r="Z39" s="3073"/>
      <c r="AA39" s="3073"/>
      <c r="AB39" s="3073"/>
      <c r="AC39" s="5225">
        <v>0</v>
      </c>
      <c r="AD39" s="3073"/>
      <c r="AE39" s="3073"/>
      <c r="AF39" s="3073"/>
      <c r="AG39" s="3073">
        <v>0</v>
      </c>
      <c r="AH39" s="3073"/>
      <c r="AI39" s="3073"/>
      <c r="AJ39" s="3073"/>
      <c r="AK39" s="5225">
        <v>0</v>
      </c>
      <c r="AL39" s="3073"/>
      <c r="AM39" s="3073"/>
      <c r="AN39" s="3073"/>
      <c r="AO39" s="3073"/>
      <c r="AP39" s="3073"/>
      <c r="AQ39" s="3073">
        <v>0</v>
      </c>
      <c r="AR39" s="3073"/>
      <c r="AS39" s="3073"/>
      <c r="AT39" s="3073"/>
      <c r="AU39" s="3073"/>
      <c r="AV39" s="3073"/>
      <c r="AW39" s="3073"/>
      <c r="AX39" s="3073"/>
      <c r="AY39" s="3073"/>
      <c r="AZ39" s="3073"/>
      <c r="BA39" s="3073"/>
      <c r="BB39" s="3073">
        <v>0</v>
      </c>
      <c r="BC39" s="3073"/>
      <c r="BD39" s="3073">
        <v>541</v>
      </c>
      <c r="BE39" s="3073">
        <v>541</v>
      </c>
    </row>
    <row r="40" spans="3:57" ht="15.75" hidden="1" thickBot="1" x14ac:dyDescent="0.3">
      <c r="C40" s="2942" t="s">
        <v>1615</v>
      </c>
      <c r="D40" s="2942"/>
      <c r="E40" s="3073">
        <v>0</v>
      </c>
      <c r="F40" s="3073"/>
      <c r="G40" s="3073">
        <v>0</v>
      </c>
      <c r="H40" s="3073"/>
      <c r="I40" s="3073"/>
      <c r="J40" s="3073"/>
      <c r="K40" s="3073">
        <v>0</v>
      </c>
      <c r="L40" s="3073"/>
      <c r="M40" s="3073"/>
      <c r="N40" s="3073"/>
      <c r="O40" s="3073">
        <v>0</v>
      </c>
      <c r="P40" s="3073"/>
      <c r="Q40" s="3073"/>
      <c r="R40" s="3073"/>
      <c r="S40" s="3073">
        <v>0</v>
      </c>
      <c r="T40" s="3073"/>
      <c r="U40" s="3073"/>
      <c r="V40" s="3073"/>
      <c r="W40" s="3073">
        <v>0</v>
      </c>
      <c r="X40" s="3073"/>
      <c r="Y40" s="3073"/>
      <c r="Z40" s="3073"/>
      <c r="AA40" s="3073"/>
      <c r="AB40" s="3073"/>
      <c r="AC40" s="5225">
        <v>0</v>
      </c>
      <c r="AD40" s="3073"/>
      <c r="AE40" s="3073"/>
      <c r="AF40" s="3073"/>
      <c r="AG40" s="3073">
        <v>0</v>
      </c>
      <c r="AH40" s="3073"/>
      <c r="AI40" s="3073"/>
      <c r="AJ40" s="3073"/>
      <c r="AK40" s="5225">
        <v>0</v>
      </c>
      <c r="AL40" s="3073"/>
      <c r="AM40" s="3073"/>
      <c r="AN40" s="3073"/>
      <c r="AO40" s="3073"/>
      <c r="AP40" s="3073"/>
      <c r="AQ40" s="3073">
        <v>0</v>
      </c>
      <c r="AR40" s="3073"/>
      <c r="AS40" s="3073"/>
      <c r="AT40" s="3073"/>
      <c r="AU40" s="3073"/>
      <c r="AV40" s="3073"/>
      <c r="AW40" s="3073"/>
      <c r="AX40" s="3073"/>
      <c r="AY40" s="3073"/>
      <c r="AZ40" s="3073"/>
      <c r="BA40" s="3073"/>
      <c r="BB40" s="3073">
        <v>0</v>
      </c>
      <c r="BC40" s="3073"/>
      <c r="BD40" s="3073">
        <v>264</v>
      </c>
      <c r="BE40" s="3073">
        <v>264</v>
      </c>
    </row>
    <row r="41" spans="3:57" ht="15.75" hidden="1" thickBot="1" x14ac:dyDescent="0.3">
      <c r="C41" s="2942" t="s">
        <v>1565</v>
      </c>
      <c r="D41" s="2942"/>
      <c r="E41" s="3073">
        <v>0</v>
      </c>
      <c r="F41" s="3073"/>
      <c r="G41" s="3073">
        <v>0</v>
      </c>
      <c r="H41" s="3073"/>
      <c r="I41" s="3073"/>
      <c r="J41" s="3073"/>
      <c r="K41" s="3073">
        <v>0</v>
      </c>
      <c r="L41" s="3073"/>
      <c r="M41" s="3073"/>
      <c r="N41" s="3073"/>
      <c r="O41" s="3073">
        <v>0</v>
      </c>
      <c r="P41" s="3073"/>
      <c r="Q41" s="3073"/>
      <c r="R41" s="3073"/>
      <c r="S41" s="3073">
        <v>0</v>
      </c>
      <c r="T41" s="3073"/>
      <c r="U41" s="3073"/>
      <c r="V41" s="3073"/>
      <c r="W41" s="3073">
        <v>0</v>
      </c>
      <c r="X41" s="3073"/>
      <c r="Y41" s="3073"/>
      <c r="Z41" s="3073"/>
      <c r="AA41" s="3073"/>
      <c r="AB41" s="3073"/>
      <c r="AC41" s="5225">
        <v>0</v>
      </c>
      <c r="AD41" s="3073"/>
      <c r="AE41" s="3073"/>
      <c r="AF41" s="3073"/>
      <c r="AG41" s="3073">
        <v>1492</v>
      </c>
      <c r="AH41" s="3073"/>
      <c r="AI41" s="3073"/>
      <c r="AJ41" s="3073"/>
      <c r="AK41" s="5225">
        <v>0</v>
      </c>
      <c r="AL41" s="3073"/>
      <c r="AM41" s="3073"/>
      <c r="AN41" s="3073"/>
      <c r="AO41" s="3073"/>
      <c r="AP41" s="3073"/>
      <c r="AQ41" s="3073">
        <v>0</v>
      </c>
      <c r="AR41" s="3073"/>
      <c r="AS41" s="3073"/>
      <c r="AT41" s="3073"/>
      <c r="AU41" s="3073"/>
      <c r="AV41" s="3073"/>
      <c r="AW41" s="3073"/>
      <c r="AX41" s="3073"/>
      <c r="AY41" s="3073"/>
      <c r="AZ41" s="3073"/>
      <c r="BA41" s="3073"/>
      <c r="BB41" s="3073">
        <v>0</v>
      </c>
      <c r="BC41" s="3073"/>
      <c r="BD41" s="3073">
        <v>0</v>
      </c>
      <c r="BE41" s="3073">
        <v>1492</v>
      </c>
    </row>
    <row r="42" spans="3:57" ht="15.75" hidden="1" thickBot="1" x14ac:dyDescent="0.3">
      <c r="C42" s="2942" t="s">
        <v>1362</v>
      </c>
      <c r="D42" s="2942"/>
      <c r="E42" s="3073">
        <v>1689.9079999999999</v>
      </c>
      <c r="F42" s="3073"/>
      <c r="G42" s="3073">
        <v>269.62099999999998</v>
      </c>
      <c r="H42" s="3073"/>
      <c r="I42" s="3073"/>
      <c r="J42" s="3073"/>
      <c r="K42" s="3073">
        <v>1195.249</v>
      </c>
      <c r="L42" s="3073"/>
      <c r="M42" s="3073"/>
      <c r="N42" s="3073"/>
      <c r="O42" s="3073">
        <v>3688.9300000000012</v>
      </c>
      <c r="P42" s="3073"/>
      <c r="Q42" s="3073"/>
      <c r="R42" s="3073"/>
      <c r="S42" s="3073">
        <v>1333.9340000000002</v>
      </c>
      <c r="T42" s="3073"/>
      <c r="U42" s="3073"/>
      <c r="V42" s="3073"/>
      <c r="W42" s="3073">
        <v>1067.5700000000002</v>
      </c>
      <c r="X42" s="3073"/>
      <c r="Y42" s="3073"/>
      <c r="Z42" s="3073"/>
      <c r="AA42" s="3073"/>
      <c r="AB42" s="3073"/>
      <c r="AC42" s="5225">
        <v>2101.3159999999998</v>
      </c>
      <c r="AD42" s="3073"/>
      <c r="AE42" s="3073"/>
      <c r="AF42" s="3073"/>
      <c r="AG42" s="3073">
        <v>0</v>
      </c>
      <c r="AH42" s="3073"/>
      <c r="AI42" s="3073"/>
      <c r="AJ42" s="3073"/>
      <c r="AK42" s="5225">
        <v>4697</v>
      </c>
      <c r="AL42" s="3073"/>
      <c r="AM42" s="3073"/>
      <c r="AN42" s="3073"/>
      <c r="AO42" s="3073"/>
      <c r="AP42" s="3073"/>
      <c r="AQ42" s="3073">
        <v>3232</v>
      </c>
      <c r="AR42" s="3073"/>
      <c r="AS42" s="3073"/>
      <c r="AT42" s="3073"/>
      <c r="AU42" s="3073"/>
      <c r="AV42" s="3073"/>
      <c r="AW42" s="3073"/>
      <c r="AX42" s="3073"/>
      <c r="AY42" s="3073"/>
      <c r="AZ42" s="3073"/>
      <c r="BA42" s="3073"/>
      <c r="BB42" s="3073">
        <v>4488.021999999999</v>
      </c>
      <c r="BC42" s="3073"/>
      <c r="BD42" s="3073">
        <v>2287</v>
      </c>
      <c r="BE42" s="3073">
        <v>26050.550000000003</v>
      </c>
    </row>
    <row r="43" spans="3:57" ht="15.75" hidden="1" thickBot="1" x14ac:dyDescent="0.3">
      <c r="C43" s="2942" t="s">
        <v>1459</v>
      </c>
      <c r="D43" s="2942"/>
      <c r="E43" s="3073">
        <v>0</v>
      </c>
      <c r="F43" s="3073"/>
      <c r="G43" s="3073">
        <v>0</v>
      </c>
      <c r="H43" s="3073"/>
      <c r="I43" s="3073"/>
      <c r="J43" s="3073"/>
      <c r="K43" s="3073">
        <v>0</v>
      </c>
      <c r="L43" s="3073"/>
      <c r="M43" s="3073"/>
      <c r="N43" s="3073"/>
      <c r="O43" s="3073">
        <v>312.87199999999996</v>
      </c>
      <c r="P43" s="3073"/>
      <c r="Q43" s="3073"/>
      <c r="R43" s="3073"/>
      <c r="S43" s="3073">
        <v>0</v>
      </c>
      <c r="T43" s="3073"/>
      <c r="U43" s="3073"/>
      <c r="V43" s="3073"/>
      <c r="W43" s="3073">
        <v>131.06800000000001</v>
      </c>
      <c r="X43" s="3073"/>
      <c r="Y43" s="3073"/>
      <c r="Z43" s="3073"/>
      <c r="AA43" s="3073"/>
      <c r="AB43" s="3073"/>
      <c r="AC43" s="5225">
        <v>989.35199999999998</v>
      </c>
      <c r="AD43" s="3073"/>
      <c r="AE43" s="3073"/>
      <c r="AF43" s="3073"/>
      <c r="AG43" s="3073">
        <v>710</v>
      </c>
      <c r="AH43" s="3073"/>
      <c r="AI43" s="3073"/>
      <c r="AJ43" s="3073"/>
      <c r="AK43" s="5225">
        <v>0</v>
      </c>
      <c r="AL43" s="3073"/>
      <c r="AM43" s="3073"/>
      <c r="AN43" s="3073"/>
      <c r="AO43" s="3073"/>
      <c r="AP43" s="3073"/>
      <c r="AQ43" s="3073">
        <v>0</v>
      </c>
      <c r="AR43" s="3073"/>
      <c r="AS43" s="3073"/>
      <c r="AT43" s="3073"/>
      <c r="AU43" s="3073"/>
      <c r="AV43" s="3073"/>
      <c r="AW43" s="3073"/>
      <c r="AX43" s="3073"/>
      <c r="AY43" s="3073"/>
      <c r="AZ43" s="3073"/>
      <c r="BA43" s="3073"/>
      <c r="BB43" s="3073">
        <v>0</v>
      </c>
      <c r="BC43" s="3073"/>
      <c r="BD43" s="3073">
        <v>0</v>
      </c>
      <c r="BE43" s="3073">
        <v>2143.2919999999999</v>
      </c>
    </row>
    <row r="44" spans="3:57" ht="15.75" hidden="1" thickBot="1" x14ac:dyDescent="0.3">
      <c r="C44" s="2942" t="s">
        <v>1208</v>
      </c>
      <c r="D44" s="2942"/>
      <c r="E44" s="3073">
        <v>0</v>
      </c>
      <c r="F44" s="3073"/>
      <c r="G44" s="3073">
        <v>0</v>
      </c>
      <c r="H44" s="3073"/>
      <c r="I44" s="3073"/>
      <c r="J44" s="3073"/>
      <c r="K44" s="3073">
        <v>0</v>
      </c>
      <c r="L44" s="3073"/>
      <c r="M44" s="3073"/>
      <c r="N44" s="3073"/>
      <c r="O44" s="3073">
        <v>0</v>
      </c>
      <c r="P44" s="3073"/>
      <c r="Q44" s="3073"/>
      <c r="R44" s="3073"/>
      <c r="S44" s="3073">
        <v>0</v>
      </c>
      <c r="T44" s="3073"/>
      <c r="U44" s="3073"/>
      <c r="V44" s="3073"/>
      <c r="W44" s="3073">
        <v>0</v>
      </c>
      <c r="X44" s="3073"/>
      <c r="Y44" s="3073"/>
      <c r="Z44" s="3073"/>
      <c r="AA44" s="3073"/>
      <c r="AB44" s="3073"/>
      <c r="AC44" s="5225">
        <v>1959.6780000000001</v>
      </c>
      <c r="AD44" s="3073"/>
      <c r="AE44" s="3073"/>
      <c r="AF44" s="3073"/>
      <c r="AG44" s="3073">
        <v>0</v>
      </c>
      <c r="AH44" s="3073"/>
      <c r="AI44" s="3073"/>
      <c r="AJ44" s="3073"/>
      <c r="AK44" s="5225">
        <v>397</v>
      </c>
      <c r="AL44" s="3073"/>
      <c r="AM44" s="3073"/>
      <c r="AN44" s="3073"/>
      <c r="AO44" s="3073"/>
      <c r="AP44" s="3073"/>
      <c r="AQ44" s="3073">
        <v>560</v>
      </c>
      <c r="AR44" s="3073"/>
      <c r="AS44" s="3073"/>
      <c r="AT44" s="3073"/>
      <c r="AU44" s="3073"/>
      <c r="AV44" s="3073"/>
      <c r="AW44" s="3073"/>
      <c r="AX44" s="3073"/>
      <c r="AY44" s="3073"/>
      <c r="AZ44" s="3073"/>
      <c r="BA44" s="3073"/>
      <c r="BB44" s="3073">
        <v>0</v>
      </c>
      <c r="BC44" s="3073"/>
      <c r="BD44" s="3073">
        <v>0</v>
      </c>
      <c r="BE44" s="3073">
        <v>2916.6779999999999</v>
      </c>
    </row>
    <row r="45" spans="3:57" ht="15.75" hidden="1" thickBot="1" x14ac:dyDescent="0.3">
      <c r="C45" s="2942" t="s">
        <v>1240</v>
      </c>
      <c r="D45" s="2942"/>
      <c r="E45" s="3073">
        <v>2562.4609999999998</v>
      </c>
      <c r="F45" s="3073"/>
      <c r="G45" s="3073">
        <v>4063.422</v>
      </c>
      <c r="H45" s="3073"/>
      <c r="I45" s="3073"/>
      <c r="J45" s="3073"/>
      <c r="K45" s="3073">
        <v>8160.811999999999</v>
      </c>
      <c r="L45" s="3073"/>
      <c r="M45" s="3073"/>
      <c r="N45" s="3073"/>
      <c r="O45" s="3073">
        <v>5310.884</v>
      </c>
      <c r="P45" s="3073"/>
      <c r="Q45" s="3073"/>
      <c r="R45" s="3073"/>
      <c r="S45" s="3073">
        <v>6625.2760000000017</v>
      </c>
      <c r="T45" s="3073"/>
      <c r="U45" s="3073"/>
      <c r="V45" s="3073"/>
      <c r="W45" s="3073">
        <v>11633.342000000001</v>
      </c>
      <c r="X45" s="3073"/>
      <c r="Y45" s="3073"/>
      <c r="Z45" s="3073"/>
      <c r="AA45" s="3073"/>
      <c r="AB45" s="3073"/>
      <c r="AC45" s="5225">
        <v>5466.8040000000001</v>
      </c>
      <c r="AD45" s="3073"/>
      <c r="AE45" s="3073"/>
      <c r="AF45" s="3073"/>
      <c r="AG45" s="3073">
        <v>2664</v>
      </c>
      <c r="AH45" s="3073"/>
      <c r="AI45" s="3073"/>
      <c r="AJ45" s="3073"/>
      <c r="AK45" s="5225">
        <v>6374</v>
      </c>
      <c r="AL45" s="3073"/>
      <c r="AM45" s="3073"/>
      <c r="AN45" s="3073"/>
      <c r="AO45" s="3073"/>
      <c r="AP45" s="3073"/>
      <c r="AQ45" s="3073">
        <v>6621</v>
      </c>
      <c r="AR45" s="3073"/>
      <c r="AS45" s="3073"/>
      <c r="AT45" s="3073"/>
      <c r="AU45" s="3073"/>
      <c r="AV45" s="3073"/>
      <c r="AW45" s="3073"/>
      <c r="AX45" s="3073"/>
      <c r="AY45" s="3073"/>
      <c r="AZ45" s="3073"/>
      <c r="BA45" s="3073"/>
      <c r="BB45" s="3073">
        <v>2811.62</v>
      </c>
      <c r="BC45" s="3073"/>
      <c r="BD45" s="3073">
        <v>10003</v>
      </c>
      <c r="BE45" s="3073">
        <v>72296.621000000014</v>
      </c>
    </row>
    <row r="46" spans="3:57" ht="15.75" hidden="1" thickBot="1" x14ac:dyDescent="0.3">
      <c r="C46" s="2942" t="s">
        <v>1163</v>
      </c>
      <c r="D46" s="2942"/>
      <c r="E46" s="3073">
        <v>9428.2430000000004</v>
      </c>
      <c r="F46" s="3073"/>
      <c r="G46" s="3073">
        <v>3657.9290000000001</v>
      </c>
      <c r="H46" s="3073"/>
      <c r="I46" s="3073"/>
      <c r="J46" s="3073"/>
      <c r="K46" s="3073">
        <v>5320.2379999999994</v>
      </c>
      <c r="L46" s="3073"/>
      <c r="M46" s="3073"/>
      <c r="N46" s="3073"/>
      <c r="O46" s="3073">
        <v>7259.8770000000004</v>
      </c>
      <c r="P46" s="3073"/>
      <c r="Q46" s="3073"/>
      <c r="R46" s="3073"/>
      <c r="S46" s="3073">
        <v>8713.9079999999976</v>
      </c>
      <c r="T46" s="3073"/>
      <c r="U46" s="3073"/>
      <c r="V46" s="3073"/>
      <c r="W46" s="3073">
        <v>4633.8880000000008</v>
      </c>
      <c r="X46" s="3073"/>
      <c r="Y46" s="3073"/>
      <c r="Z46" s="3073"/>
      <c r="AA46" s="3073"/>
      <c r="AB46" s="3073"/>
      <c r="AC46" s="5225">
        <v>9367.1339999999982</v>
      </c>
      <c r="AD46" s="3073"/>
      <c r="AE46" s="3073"/>
      <c r="AF46" s="3073"/>
      <c r="AG46" s="3073">
        <v>7078</v>
      </c>
      <c r="AH46" s="3073"/>
      <c r="AI46" s="3073"/>
      <c r="AJ46" s="3073"/>
      <c r="AK46" s="5225">
        <v>13468.4</v>
      </c>
      <c r="AL46" s="3073"/>
      <c r="AM46" s="3073"/>
      <c r="AN46" s="3073"/>
      <c r="AO46" s="3073"/>
      <c r="AP46" s="3073"/>
      <c r="AQ46" s="3073">
        <v>11435</v>
      </c>
      <c r="AR46" s="3073"/>
      <c r="AS46" s="3073"/>
      <c r="AT46" s="3073"/>
      <c r="AU46" s="3073"/>
      <c r="AV46" s="3073"/>
      <c r="AW46" s="3073"/>
      <c r="AX46" s="3073"/>
      <c r="AY46" s="3073"/>
      <c r="AZ46" s="3073"/>
      <c r="BA46" s="3073"/>
      <c r="BB46" s="3073">
        <v>11007.597999999994</v>
      </c>
      <c r="BC46" s="3073"/>
      <c r="BD46" s="3073">
        <v>12682</v>
      </c>
      <c r="BE46" s="3073">
        <v>104052.215</v>
      </c>
    </row>
    <row r="47" spans="3:57" ht="15.75" hidden="1" thickBot="1" x14ac:dyDescent="0.3">
      <c r="C47" s="2942" t="s">
        <v>1219</v>
      </c>
      <c r="D47" s="2942"/>
      <c r="E47" s="3073">
        <v>0</v>
      </c>
      <c r="F47" s="3073"/>
      <c r="G47" s="3073">
        <v>0</v>
      </c>
      <c r="H47" s="3073"/>
      <c r="I47" s="3073"/>
      <c r="J47" s="3073"/>
      <c r="K47" s="3073">
        <v>713.32800000000009</v>
      </c>
      <c r="L47" s="3073"/>
      <c r="M47" s="3073"/>
      <c r="N47" s="3073"/>
      <c r="O47" s="3073">
        <v>0</v>
      </c>
      <c r="P47" s="3073"/>
      <c r="Q47" s="3073"/>
      <c r="R47" s="3073"/>
      <c r="S47" s="3073">
        <v>0</v>
      </c>
      <c r="T47" s="3073"/>
      <c r="U47" s="3073"/>
      <c r="V47" s="3073"/>
      <c r="W47" s="3073">
        <v>0</v>
      </c>
      <c r="X47" s="3073"/>
      <c r="Y47" s="3073"/>
      <c r="Z47" s="3073"/>
      <c r="AA47" s="3073"/>
      <c r="AB47" s="3073"/>
      <c r="AC47" s="5225">
        <v>0</v>
      </c>
      <c r="AD47" s="3073"/>
      <c r="AE47" s="3073"/>
      <c r="AF47" s="3073"/>
      <c r="AG47" s="3073">
        <v>0</v>
      </c>
      <c r="AH47" s="3073"/>
      <c r="AI47" s="3073"/>
      <c r="AJ47" s="3073"/>
      <c r="AK47" s="5225">
        <v>0</v>
      </c>
      <c r="AL47" s="3073"/>
      <c r="AM47" s="3073"/>
      <c r="AN47" s="3073"/>
      <c r="AO47" s="3073"/>
      <c r="AP47" s="3073"/>
      <c r="AQ47" s="3073">
        <v>0</v>
      </c>
      <c r="AR47" s="3073"/>
      <c r="AS47" s="3073"/>
      <c r="AT47" s="3073"/>
      <c r="AU47" s="3073"/>
      <c r="AV47" s="3073"/>
      <c r="AW47" s="3073"/>
      <c r="AX47" s="3073"/>
      <c r="AY47" s="3073"/>
      <c r="AZ47" s="3073"/>
      <c r="BA47" s="3073"/>
      <c r="BB47" s="3073">
        <v>0</v>
      </c>
      <c r="BC47" s="3073"/>
      <c r="BD47" s="3073">
        <v>0</v>
      </c>
      <c r="BE47" s="3073">
        <v>713.32800000000009</v>
      </c>
    </row>
    <row r="48" spans="3:57" ht="15.75" hidden="1" thickBot="1" x14ac:dyDescent="0.3">
      <c r="C48" s="2942" t="s">
        <v>1164</v>
      </c>
      <c r="D48" s="2942"/>
      <c r="E48" s="3073">
        <v>600.80900000000008</v>
      </c>
      <c r="F48" s="3073"/>
      <c r="G48" s="3073">
        <v>101.904</v>
      </c>
      <c r="H48" s="3073"/>
      <c r="I48" s="3073"/>
      <c r="J48" s="3073"/>
      <c r="K48" s="3073">
        <v>0</v>
      </c>
      <c r="L48" s="3073"/>
      <c r="M48" s="3073"/>
      <c r="N48" s="3073"/>
      <c r="O48" s="3073">
        <v>0</v>
      </c>
      <c r="P48" s="3073"/>
      <c r="Q48" s="3073"/>
      <c r="R48" s="3073"/>
      <c r="S48" s="3073">
        <v>293.846</v>
      </c>
      <c r="T48" s="3073"/>
      <c r="U48" s="3073"/>
      <c r="V48" s="3073"/>
      <c r="W48" s="3073">
        <v>441.82599999999996</v>
      </c>
      <c r="X48" s="3073"/>
      <c r="Y48" s="3073"/>
      <c r="Z48" s="3073"/>
      <c r="AA48" s="3073"/>
      <c r="AB48" s="3073"/>
      <c r="AC48" s="5225">
        <v>217.74199999999999</v>
      </c>
      <c r="AD48" s="3073"/>
      <c r="AE48" s="3073"/>
      <c r="AF48" s="3073"/>
      <c r="AG48" s="3073">
        <v>2763</v>
      </c>
      <c r="AH48" s="3073"/>
      <c r="AI48" s="3073"/>
      <c r="AJ48" s="3073"/>
      <c r="AK48" s="5225">
        <v>0</v>
      </c>
      <c r="AL48" s="3073"/>
      <c r="AM48" s="3073"/>
      <c r="AN48" s="3073"/>
      <c r="AO48" s="3073"/>
      <c r="AP48" s="3073"/>
      <c r="AQ48" s="3073">
        <v>0</v>
      </c>
      <c r="AR48" s="3073"/>
      <c r="AS48" s="3073"/>
      <c r="AT48" s="3073"/>
      <c r="AU48" s="3073"/>
      <c r="AV48" s="3073"/>
      <c r="AW48" s="3073"/>
      <c r="AX48" s="3073"/>
      <c r="AY48" s="3073"/>
      <c r="AZ48" s="3073"/>
      <c r="BA48" s="3073"/>
      <c r="BB48" s="3073">
        <v>213.51400000000001</v>
      </c>
      <c r="BC48" s="3073"/>
      <c r="BD48" s="3073">
        <v>0</v>
      </c>
      <c r="BE48" s="3073">
        <v>4632.6410000000005</v>
      </c>
    </row>
    <row r="49" spans="3:57" ht="15.75" hidden="1" thickBot="1" x14ac:dyDescent="0.3">
      <c r="C49" s="2942" t="s">
        <v>1363</v>
      </c>
      <c r="D49" s="2942"/>
      <c r="E49" s="3073">
        <v>721.81999999999994</v>
      </c>
      <c r="F49" s="3073"/>
      <c r="G49" s="3073">
        <v>588.07100000000003</v>
      </c>
      <c r="H49" s="3073"/>
      <c r="I49" s="3073"/>
      <c r="J49" s="3073"/>
      <c r="K49" s="3073">
        <v>1180.3880000000001</v>
      </c>
      <c r="L49" s="3073"/>
      <c r="M49" s="3073"/>
      <c r="N49" s="3073"/>
      <c r="O49" s="3073">
        <v>568.66599999999994</v>
      </c>
      <c r="P49" s="3073"/>
      <c r="Q49" s="3073"/>
      <c r="R49" s="3073"/>
      <c r="S49" s="3073">
        <v>0</v>
      </c>
      <c r="T49" s="3073"/>
      <c r="U49" s="3073"/>
      <c r="V49" s="3073"/>
      <c r="W49" s="3073">
        <v>0</v>
      </c>
      <c r="X49" s="3073"/>
      <c r="Y49" s="3073"/>
      <c r="Z49" s="3073"/>
      <c r="AA49" s="3073"/>
      <c r="AB49" s="3073"/>
      <c r="AC49" s="5225">
        <v>124.726</v>
      </c>
      <c r="AD49" s="3073"/>
      <c r="AE49" s="3073"/>
      <c r="AF49" s="3073"/>
      <c r="AG49" s="3073">
        <v>0</v>
      </c>
      <c r="AH49" s="3073"/>
      <c r="AI49" s="3073"/>
      <c r="AJ49" s="3073"/>
      <c r="AK49" s="5225">
        <v>0</v>
      </c>
      <c r="AL49" s="3073"/>
      <c r="AM49" s="3073"/>
      <c r="AN49" s="3073"/>
      <c r="AO49" s="3073"/>
      <c r="AP49" s="3073"/>
      <c r="AQ49" s="3073">
        <v>0</v>
      </c>
      <c r="AR49" s="3073"/>
      <c r="AS49" s="3073"/>
      <c r="AT49" s="3073"/>
      <c r="AU49" s="3073"/>
      <c r="AV49" s="3073"/>
      <c r="AW49" s="3073"/>
      <c r="AX49" s="3073"/>
      <c r="AY49" s="3073"/>
      <c r="AZ49" s="3073"/>
      <c r="BA49" s="3073"/>
      <c r="BB49" s="3073">
        <v>566.55200000000002</v>
      </c>
      <c r="BC49" s="3073"/>
      <c r="BD49" s="3073">
        <v>0</v>
      </c>
      <c r="BE49" s="3073">
        <v>3750.2230000000009</v>
      </c>
    </row>
    <row r="50" spans="3:57" ht="15.75" hidden="1" thickBot="1" x14ac:dyDescent="0.3">
      <c r="C50" s="2942" t="s">
        <v>1364</v>
      </c>
      <c r="D50" s="2942"/>
      <c r="E50" s="3073">
        <v>0</v>
      </c>
      <c r="F50" s="3073"/>
      <c r="G50" s="3073">
        <v>0</v>
      </c>
      <c r="H50" s="3073"/>
      <c r="I50" s="3073"/>
      <c r="J50" s="3073"/>
      <c r="K50" s="3073">
        <v>0</v>
      </c>
      <c r="L50" s="3073"/>
      <c r="M50" s="3073"/>
      <c r="N50" s="3073"/>
      <c r="O50" s="3073">
        <v>0</v>
      </c>
      <c r="P50" s="3073"/>
      <c r="Q50" s="3073"/>
      <c r="R50" s="3073"/>
      <c r="S50" s="3073">
        <v>99.358000000000004</v>
      </c>
      <c r="T50" s="3073"/>
      <c r="U50" s="3073"/>
      <c r="V50" s="3073"/>
      <c r="W50" s="3073">
        <v>298.07399999999996</v>
      </c>
      <c r="X50" s="3073"/>
      <c r="Y50" s="3073"/>
      <c r="Z50" s="3073"/>
      <c r="AA50" s="3073"/>
      <c r="AB50" s="3073"/>
      <c r="AC50" s="5225">
        <v>0</v>
      </c>
      <c r="AD50" s="3073"/>
      <c r="AE50" s="3073"/>
      <c r="AF50" s="3073"/>
      <c r="AG50" s="3073">
        <v>0</v>
      </c>
      <c r="AH50" s="3073"/>
      <c r="AI50" s="3073"/>
      <c r="AJ50" s="3073"/>
      <c r="AK50" s="5225">
        <v>0</v>
      </c>
      <c r="AL50" s="3073"/>
      <c r="AM50" s="3073"/>
      <c r="AN50" s="3073"/>
      <c r="AO50" s="3073"/>
      <c r="AP50" s="3073"/>
      <c r="AQ50" s="3073">
        <v>0</v>
      </c>
      <c r="AR50" s="3073"/>
      <c r="AS50" s="3073"/>
      <c r="AT50" s="3073"/>
      <c r="AU50" s="3073"/>
      <c r="AV50" s="3073"/>
      <c r="AW50" s="3073"/>
      <c r="AX50" s="3073"/>
      <c r="AY50" s="3073"/>
      <c r="AZ50" s="3073"/>
      <c r="BA50" s="3073"/>
      <c r="BB50" s="3073">
        <v>120.498</v>
      </c>
      <c r="BC50" s="3073"/>
      <c r="BD50" s="3073">
        <v>0</v>
      </c>
      <c r="BE50" s="3073">
        <v>517.92999999999995</v>
      </c>
    </row>
    <row r="51" spans="3:57" ht="15.75" hidden="1" thickBot="1" x14ac:dyDescent="0.3">
      <c r="C51" s="2942" t="s">
        <v>1365</v>
      </c>
      <c r="D51" s="2942"/>
      <c r="E51" s="3073">
        <v>630.53099999999995</v>
      </c>
      <c r="F51" s="3073"/>
      <c r="G51" s="3073">
        <v>0</v>
      </c>
      <c r="H51" s="3073"/>
      <c r="I51" s="3073"/>
      <c r="J51" s="3073"/>
      <c r="K51" s="3073">
        <v>0</v>
      </c>
      <c r="L51" s="3073"/>
      <c r="M51" s="3073"/>
      <c r="N51" s="3073"/>
      <c r="O51" s="3073">
        <v>913.24800000000005</v>
      </c>
      <c r="P51" s="3073"/>
      <c r="Q51" s="3073"/>
      <c r="R51" s="3073"/>
      <c r="S51" s="3073">
        <v>587.69200000000012</v>
      </c>
      <c r="T51" s="3073"/>
      <c r="U51" s="3073"/>
      <c r="V51" s="3073"/>
      <c r="W51" s="3073">
        <v>1143.674</v>
      </c>
      <c r="X51" s="3073"/>
      <c r="Y51" s="3073"/>
      <c r="Z51" s="3073"/>
      <c r="AA51" s="3073"/>
      <c r="AB51" s="3073"/>
      <c r="AC51" s="5225">
        <v>0</v>
      </c>
      <c r="AD51" s="3073"/>
      <c r="AE51" s="3073"/>
      <c r="AF51" s="3073"/>
      <c r="AG51" s="3073">
        <v>127</v>
      </c>
      <c r="AH51" s="3073"/>
      <c r="AI51" s="3073"/>
      <c r="AJ51" s="3073"/>
      <c r="AK51" s="5225">
        <v>0</v>
      </c>
      <c r="AL51" s="3073"/>
      <c r="AM51" s="3073"/>
      <c r="AN51" s="3073"/>
      <c r="AO51" s="3073"/>
      <c r="AP51" s="3073"/>
      <c r="AQ51" s="3073">
        <v>0</v>
      </c>
      <c r="AR51" s="3073"/>
      <c r="AS51" s="3073"/>
      <c r="AT51" s="3073"/>
      <c r="AU51" s="3073"/>
      <c r="AV51" s="3073"/>
      <c r="AW51" s="3073"/>
      <c r="AX51" s="3073"/>
      <c r="AY51" s="3073"/>
      <c r="AZ51" s="3073"/>
      <c r="BA51" s="3073"/>
      <c r="BB51" s="3073">
        <v>255.79400000000001</v>
      </c>
      <c r="BC51" s="3073"/>
      <c r="BD51" s="3073">
        <v>345</v>
      </c>
      <c r="BE51" s="3073">
        <v>4002.9389999999999</v>
      </c>
    </row>
    <row r="52" spans="3:57" ht="15.75" hidden="1" thickBot="1" x14ac:dyDescent="0.3">
      <c r="C52" s="2942" t="s">
        <v>1366</v>
      </c>
      <c r="D52" s="2942"/>
      <c r="E52" s="3073">
        <v>2897.8950000000004</v>
      </c>
      <c r="F52" s="3073"/>
      <c r="G52" s="3073">
        <v>2766.2690000000007</v>
      </c>
      <c r="H52" s="3073"/>
      <c r="I52" s="3073"/>
      <c r="J52" s="3073"/>
      <c r="K52" s="3073">
        <v>3146.2860000000001</v>
      </c>
      <c r="L52" s="3073"/>
      <c r="M52" s="3073"/>
      <c r="N52" s="3073"/>
      <c r="O52" s="3073">
        <v>3143.5219999999999</v>
      </c>
      <c r="P52" s="3073"/>
      <c r="Q52" s="3073"/>
      <c r="R52" s="3073"/>
      <c r="S52" s="3073">
        <v>0</v>
      </c>
      <c r="T52" s="3073"/>
      <c r="U52" s="3073"/>
      <c r="V52" s="3073"/>
      <c r="W52" s="3073">
        <v>0</v>
      </c>
      <c r="X52" s="3073"/>
      <c r="Y52" s="3073"/>
      <c r="Z52" s="3073"/>
      <c r="AA52" s="3073"/>
      <c r="AB52" s="3073"/>
      <c r="AC52" s="5225">
        <v>1268.4000000000001</v>
      </c>
      <c r="AD52" s="3073"/>
      <c r="AE52" s="3073"/>
      <c r="AF52" s="3073"/>
      <c r="AG52" s="3073">
        <v>1222</v>
      </c>
      <c r="AH52" s="3073"/>
      <c r="AI52" s="3073"/>
      <c r="AJ52" s="3073"/>
      <c r="AK52" s="5225">
        <v>0</v>
      </c>
      <c r="AL52" s="3073"/>
      <c r="AM52" s="3073"/>
      <c r="AN52" s="3073"/>
      <c r="AO52" s="3073"/>
      <c r="AP52" s="3073"/>
      <c r="AQ52" s="3073">
        <v>871</v>
      </c>
      <c r="AR52" s="3073"/>
      <c r="AS52" s="3073"/>
      <c r="AT52" s="3073"/>
      <c r="AU52" s="3073"/>
      <c r="AV52" s="3073"/>
      <c r="AW52" s="3073"/>
      <c r="AX52" s="3073"/>
      <c r="AY52" s="3073"/>
      <c r="AZ52" s="3073"/>
      <c r="BA52" s="3073"/>
      <c r="BB52" s="3073">
        <v>536.95600000000002</v>
      </c>
      <c r="BC52" s="3073"/>
      <c r="BD52" s="3073">
        <v>0</v>
      </c>
      <c r="BE52" s="3073">
        <v>15852.328000000001</v>
      </c>
    </row>
    <row r="53" spans="3:57" ht="15.75" hidden="1" thickBot="1" x14ac:dyDescent="0.3">
      <c r="C53" s="2942" t="s">
        <v>1367</v>
      </c>
      <c r="D53" s="2942"/>
      <c r="E53" s="3073">
        <v>3662.1749999999997</v>
      </c>
      <c r="F53" s="3073"/>
      <c r="G53" s="3073">
        <v>10029.052</v>
      </c>
      <c r="H53" s="3073"/>
      <c r="I53" s="3073"/>
      <c r="J53" s="3073"/>
      <c r="K53" s="3073">
        <v>3953.0259999999998</v>
      </c>
      <c r="L53" s="3073"/>
      <c r="M53" s="3073"/>
      <c r="N53" s="3073"/>
      <c r="O53" s="3073">
        <v>2753.7340000000008</v>
      </c>
      <c r="P53" s="3073"/>
      <c r="Q53" s="3073"/>
      <c r="R53" s="3073"/>
      <c r="S53" s="3073">
        <v>6862.0440000000008</v>
      </c>
      <c r="T53" s="3073"/>
      <c r="U53" s="3073"/>
      <c r="V53" s="3073"/>
      <c r="W53" s="3073">
        <v>2955.3719999999998</v>
      </c>
      <c r="X53" s="3073"/>
      <c r="Y53" s="3073"/>
      <c r="Z53" s="3073"/>
      <c r="AA53" s="3073"/>
      <c r="AB53" s="3073"/>
      <c r="AC53" s="5225">
        <v>2782.0240000000003</v>
      </c>
      <c r="AD53" s="3073"/>
      <c r="AE53" s="3073"/>
      <c r="AF53" s="3073"/>
      <c r="AG53" s="3073">
        <v>4401</v>
      </c>
      <c r="AH53" s="3073"/>
      <c r="AI53" s="3073"/>
      <c r="AJ53" s="3073"/>
      <c r="AK53" s="5225">
        <v>8596.4</v>
      </c>
      <c r="AL53" s="3073"/>
      <c r="AM53" s="3073"/>
      <c r="AN53" s="3073"/>
      <c r="AO53" s="3073"/>
      <c r="AP53" s="3073"/>
      <c r="AQ53" s="3073">
        <v>4232</v>
      </c>
      <c r="AR53" s="3073"/>
      <c r="AS53" s="3073"/>
      <c r="AT53" s="3073"/>
      <c r="AU53" s="3073"/>
      <c r="AV53" s="3073"/>
      <c r="AW53" s="3073"/>
      <c r="AX53" s="3073"/>
      <c r="AY53" s="3073"/>
      <c r="AZ53" s="3073"/>
      <c r="BA53" s="3073"/>
      <c r="BB53" s="3073">
        <v>2638.2720000000004</v>
      </c>
      <c r="BC53" s="3073"/>
      <c r="BD53" s="3073">
        <v>4040</v>
      </c>
      <c r="BE53" s="3073">
        <v>56905.098999999995</v>
      </c>
    </row>
    <row r="54" spans="3:57" ht="15.75" hidden="1" thickBot="1" x14ac:dyDescent="0.3">
      <c r="C54" s="2942" t="s">
        <v>1368</v>
      </c>
      <c r="D54" s="2942"/>
      <c r="E54" s="3073">
        <v>1494.5920000000001</v>
      </c>
      <c r="F54" s="3073"/>
      <c r="G54" s="3073">
        <v>0</v>
      </c>
      <c r="H54" s="3073"/>
      <c r="I54" s="3073"/>
      <c r="J54" s="3073"/>
      <c r="K54" s="3073">
        <v>0</v>
      </c>
      <c r="L54" s="3073"/>
      <c r="M54" s="3073"/>
      <c r="N54" s="3073"/>
      <c r="O54" s="3073">
        <v>0</v>
      </c>
      <c r="P54" s="3073"/>
      <c r="Q54" s="3073"/>
      <c r="R54" s="3073"/>
      <c r="S54" s="3073">
        <v>0</v>
      </c>
      <c r="T54" s="3073"/>
      <c r="U54" s="3073"/>
      <c r="V54" s="3073"/>
      <c r="W54" s="3073">
        <v>0</v>
      </c>
      <c r="X54" s="3073"/>
      <c r="Y54" s="3073"/>
      <c r="Z54" s="3073"/>
      <c r="AA54" s="3073"/>
      <c r="AB54" s="3073"/>
      <c r="AC54" s="5225">
        <v>0</v>
      </c>
      <c r="AD54" s="3073"/>
      <c r="AE54" s="3073"/>
      <c r="AF54" s="3073"/>
      <c r="AG54" s="3073">
        <v>693</v>
      </c>
      <c r="AH54" s="3073"/>
      <c r="AI54" s="3073"/>
      <c r="AJ54" s="3073"/>
      <c r="AK54" s="5225">
        <v>3097</v>
      </c>
      <c r="AL54" s="3073"/>
      <c r="AM54" s="3073"/>
      <c r="AN54" s="3073"/>
      <c r="AO54" s="3073"/>
      <c r="AP54" s="3073"/>
      <c r="AQ54" s="3073">
        <v>581</v>
      </c>
      <c r="AR54" s="3073"/>
      <c r="AS54" s="3073"/>
      <c r="AT54" s="3073"/>
      <c r="AU54" s="3073"/>
      <c r="AV54" s="3073"/>
      <c r="AW54" s="3073"/>
      <c r="AX54" s="3073"/>
      <c r="AY54" s="3073"/>
      <c r="AZ54" s="3073"/>
      <c r="BA54" s="3073"/>
      <c r="BB54" s="3073">
        <v>731.44400000000007</v>
      </c>
      <c r="BC54" s="3073"/>
      <c r="BD54" s="3073">
        <v>0</v>
      </c>
      <c r="BE54" s="3073">
        <v>6597.036000000001</v>
      </c>
    </row>
    <row r="55" spans="3:57" ht="15.75" hidden="1" thickBot="1" x14ac:dyDescent="0.3">
      <c r="C55" s="2942" t="s">
        <v>1347</v>
      </c>
      <c r="D55" s="2942"/>
      <c r="E55" s="3073">
        <v>13151.984999999999</v>
      </c>
      <c r="F55" s="3073"/>
      <c r="G55" s="3073">
        <v>15759.029</v>
      </c>
      <c r="H55" s="3073"/>
      <c r="I55" s="3073"/>
      <c r="J55" s="3073"/>
      <c r="K55" s="3073">
        <v>9969.608000000002</v>
      </c>
      <c r="L55" s="3073"/>
      <c r="M55" s="3073"/>
      <c r="N55" s="3073"/>
      <c r="O55" s="3073">
        <v>13321.243000000002</v>
      </c>
      <c r="P55" s="3073"/>
      <c r="Q55" s="3073"/>
      <c r="R55" s="3073"/>
      <c r="S55" s="3073">
        <v>6217.2740000000013</v>
      </c>
      <c r="T55" s="3073"/>
      <c r="U55" s="3073"/>
      <c r="V55" s="3073"/>
      <c r="W55" s="3073">
        <v>4249.1400000000003</v>
      </c>
      <c r="X55" s="3073"/>
      <c r="Y55" s="3073"/>
      <c r="Z55" s="3073"/>
      <c r="AA55" s="3073"/>
      <c r="AB55" s="3073"/>
      <c r="AC55" s="5225">
        <v>11221.111999999997</v>
      </c>
      <c r="AD55" s="3073"/>
      <c r="AE55" s="3073"/>
      <c r="AF55" s="3073"/>
      <c r="AG55" s="3073">
        <v>9972</v>
      </c>
      <c r="AH55" s="3073"/>
      <c r="AI55" s="3073"/>
      <c r="AJ55" s="3073"/>
      <c r="AK55" s="5225">
        <v>9069</v>
      </c>
      <c r="AL55" s="3073"/>
      <c r="AM55" s="3073"/>
      <c r="AN55" s="3073"/>
      <c r="AO55" s="3073"/>
      <c r="AP55" s="3073"/>
      <c r="AQ55" s="3073">
        <v>5758</v>
      </c>
      <c r="AR55" s="3073"/>
      <c r="AS55" s="3073"/>
      <c r="AT55" s="3073"/>
      <c r="AU55" s="3073"/>
      <c r="AV55" s="3073"/>
      <c r="AW55" s="3073"/>
      <c r="AX55" s="3073"/>
      <c r="AY55" s="3073"/>
      <c r="AZ55" s="3073"/>
      <c r="BA55" s="3073"/>
      <c r="BB55" s="3073">
        <v>8713.1600000000017</v>
      </c>
      <c r="BC55" s="3073"/>
      <c r="BD55" s="3073">
        <v>3457</v>
      </c>
      <c r="BE55" s="3073">
        <v>110858.55100000001</v>
      </c>
    </row>
    <row r="56" spans="3:57" ht="15.75" hidden="1" thickBot="1" x14ac:dyDescent="0.3">
      <c r="C56" s="2942" t="s">
        <v>1165</v>
      </c>
      <c r="D56" s="2942"/>
      <c r="E56" s="3073">
        <v>4895.6380000000008</v>
      </c>
      <c r="F56" s="3073"/>
      <c r="G56" s="3073">
        <v>4526.2360000000008</v>
      </c>
      <c r="H56" s="3073"/>
      <c r="I56" s="3073"/>
      <c r="J56" s="3073"/>
      <c r="K56" s="3073">
        <v>9409.1360000000004</v>
      </c>
      <c r="L56" s="3073"/>
      <c r="M56" s="3073"/>
      <c r="N56" s="3073"/>
      <c r="O56" s="3073">
        <v>4096.9070000000011</v>
      </c>
      <c r="P56" s="3073"/>
      <c r="Q56" s="3073"/>
      <c r="R56" s="3073"/>
      <c r="S56" s="3073">
        <v>6938.1479999999992</v>
      </c>
      <c r="T56" s="3073"/>
      <c r="U56" s="3073"/>
      <c r="V56" s="3073"/>
      <c r="W56" s="3073">
        <v>9345.9940000000024</v>
      </c>
      <c r="X56" s="3073"/>
      <c r="Y56" s="3073"/>
      <c r="Z56" s="3073"/>
      <c r="AA56" s="3073"/>
      <c r="AB56" s="3073"/>
      <c r="AC56" s="5225">
        <v>11536.097999999998</v>
      </c>
      <c r="AD56" s="3073"/>
      <c r="AE56" s="3073"/>
      <c r="AF56" s="3073"/>
      <c r="AG56" s="3073">
        <v>4427</v>
      </c>
      <c r="AH56" s="3073"/>
      <c r="AI56" s="3073"/>
      <c r="AJ56" s="3073"/>
      <c r="AK56" s="5225">
        <v>2714</v>
      </c>
      <c r="AL56" s="3073"/>
      <c r="AM56" s="3073"/>
      <c r="AN56" s="3073"/>
      <c r="AO56" s="3073"/>
      <c r="AP56" s="3073"/>
      <c r="AQ56" s="3073">
        <v>2448</v>
      </c>
      <c r="AR56" s="3073"/>
      <c r="AS56" s="3073"/>
      <c r="AT56" s="3073"/>
      <c r="AU56" s="3073"/>
      <c r="AV56" s="3073"/>
      <c r="AW56" s="3073"/>
      <c r="AX56" s="3073"/>
      <c r="AY56" s="3073"/>
      <c r="AZ56" s="3073"/>
      <c r="BA56" s="3073"/>
      <c r="BB56" s="3073">
        <v>9931.5719999999965</v>
      </c>
      <c r="BC56" s="3073"/>
      <c r="BD56" s="3073">
        <v>6135</v>
      </c>
      <c r="BE56" s="3073">
        <v>76403.729000000007</v>
      </c>
    </row>
    <row r="57" spans="3:57" ht="15.75" hidden="1" thickBot="1" x14ac:dyDescent="0.3">
      <c r="C57" s="2942" t="s">
        <v>1166</v>
      </c>
      <c r="D57" s="2942"/>
      <c r="E57" s="3073">
        <v>74606.466</v>
      </c>
      <c r="F57" s="3073"/>
      <c r="G57" s="3073">
        <v>62184.792999999976</v>
      </c>
      <c r="H57" s="3073"/>
      <c r="I57" s="3073"/>
      <c r="J57" s="3073"/>
      <c r="K57" s="3073">
        <v>57066.240000000085</v>
      </c>
      <c r="L57" s="3073"/>
      <c r="M57" s="3073"/>
      <c r="N57" s="3073"/>
      <c r="O57" s="3073">
        <v>81044.896000000022</v>
      </c>
      <c r="P57" s="3073"/>
      <c r="Q57" s="3073"/>
      <c r="R57" s="3073"/>
      <c r="S57" s="3073">
        <v>79862.691999999952</v>
      </c>
      <c r="T57" s="3073"/>
      <c r="U57" s="3073"/>
      <c r="V57" s="3073"/>
      <c r="W57" s="3073">
        <v>73550.288000000059</v>
      </c>
      <c r="X57" s="3073"/>
      <c r="Y57" s="3073"/>
      <c r="Z57" s="3073"/>
      <c r="AA57" s="3073"/>
      <c r="AB57" s="3073"/>
      <c r="AC57" s="5225">
        <v>66265.444000000032</v>
      </c>
      <c r="AD57" s="3073"/>
      <c r="AE57" s="3073"/>
      <c r="AF57" s="3073"/>
      <c r="AG57" s="3073">
        <v>60441</v>
      </c>
      <c r="AH57" s="3073"/>
      <c r="AI57" s="3073"/>
      <c r="AJ57" s="3073"/>
      <c r="AK57" s="5225">
        <v>65319.4</v>
      </c>
      <c r="AL57" s="3073"/>
      <c r="AM57" s="3073"/>
      <c r="AN57" s="3073"/>
      <c r="AO57" s="3073"/>
      <c r="AP57" s="3073"/>
      <c r="AQ57" s="3073">
        <v>73720</v>
      </c>
      <c r="AR57" s="3073"/>
      <c r="AS57" s="3073"/>
      <c r="AT57" s="3073"/>
      <c r="AU57" s="3073"/>
      <c r="AV57" s="3073"/>
      <c r="AW57" s="3073"/>
      <c r="AX57" s="3073"/>
      <c r="AY57" s="3073"/>
      <c r="AZ57" s="3073"/>
      <c r="BA57" s="3073"/>
      <c r="BB57" s="3073">
        <v>74292.301999999981</v>
      </c>
      <c r="BC57" s="3073"/>
      <c r="BD57" s="3073">
        <v>76611</v>
      </c>
      <c r="BE57" s="3073">
        <v>844964.52100000018</v>
      </c>
    </row>
    <row r="58" spans="3:57" ht="15.75" hidden="1" thickBot="1" x14ac:dyDescent="0.3">
      <c r="C58" s="2942" t="s">
        <v>1481</v>
      </c>
      <c r="D58" s="2942"/>
      <c r="E58" s="3073">
        <v>0</v>
      </c>
      <c r="F58" s="3073"/>
      <c r="G58" s="3073">
        <v>0</v>
      </c>
      <c r="H58" s="3073"/>
      <c r="I58" s="3073"/>
      <c r="J58" s="3073"/>
      <c r="K58" s="3073">
        <v>0</v>
      </c>
      <c r="L58" s="3073"/>
      <c r="M58" s="3073"/>
      <c r="N58" s="3073"/>
      <c r="O58" s="3073">
        <v>0</v>
      </c>
      <c r="P58" s="3073"/>
      <c r="Q58" s="3073"/>
      <c r="R58" s="3073"/>
      <c r="S58" s="3073">
        <v>1519.9659999999999</v>
      </c>
      <c r="T58" s="3073"/>
      <c r="U58" s="3073"/>
      <c r="V58" s="3073"/>
      <c r="W58" s="3073">
        <v>1329.7059999999999</v>
      </c>
      <c r="X58" s="3073"/>
      <c r="Y58" s="3073"/>
      <c r="Z58" s="3073"/>
      <c r="AA58" s="3073"/>
      <c r="AB58" s="3073"/>
      <c r="AC58" s="5225">
        <v>0</v>
      </c>
      <c r="AD58" s="3073"/>
      <c r="AE58" s="3073"/>
      <c r="AF58" s="3073"/>
      <c r="AG58" s="3073"/>
      <c r="AH58" s="3073"/>
      <c r="AI58" s="3073"/>
      <c r="AJ58" s="3073"/>
      <c r="AK58" s="5225">
        <v>0</v>
      </c>
      <c r="AL58" s="3073"/>
      <c r="AM58" s="3073"/>
      <c r="AN58" s="3073"/>
      <c r="AO58" s="3073"/>
      <c r="AP58" s="3073"/>
      <c r="AQ58" s="3073">
        <v>0</v>
      </c>
      <c r="AR58" s="3073"/>
      <c r="AS58" s="3073"/>
      <c r="AT58" s="3073"/>
      <c r="AU58" s="3073"/>
      <c r="AV58" s="3073"/>
      <c r="AW58" s="3073"/>
      <c r="AX58" s="3073"/>
      <c r="AY58" s="3073"/>
      <c r="AZ58" s="3073"/>
      <c r="BA58" s="3073"/>
      <c r="BB58" s="3073">
        <v>0</v>
      </c>
      <c r="BC58" s="3073"/>
      <c r="BD58" s="3073">
        <v>0</v>
      </c>
      <c r="BE58" s="3073">
        <v>2849.6719999999996</v>
      </c>
    </row>
    <row r="59" spans="3:57" ht="15.75" hidden="1" thickBot="1" x14ac:dyDescent="0.3">
      <c r="C59" s="2942" t="s">
        <v>1400</v>
      </c>
      <c r="D59" s="2942"/>
      <c r="E59" s="3073">
        <v>0</v>
      </c>
      <c r="F59" s="3073"/>
      <c r="G59" s="3073">
        <v>0</v>
      </c>
      <c r="H59" s="3073"/>
      <c r="I59" s="3073"/>
      <c r="J59" s="3073"/>
      <c r="K59" s="3073">
        <v>267.49799999999999</v>
      </c>
      <c r="L59" s="3073"/>
      <c r="M59" s="3073"/>
      <c r="N59" s="3073"/>
      <c r="O59" s="3073">
        <v>1533.847</v>
      </c>
      <c r="P59" s="3073"/>
      <c r="Q59" s="3073"/>
      <c r="R59" s="3073"/>
      <c r="S59" s="3073">
        <v>1179.6119999999999</v>
      </c>
      <c r="T59" s="3073"/>
      <c r="U59" s="3073"/>
      <c r="V59" s="3073"/>
      <c r="W59" s="3073">
        <v>1327.5919999999996</v>
      </c>
      <c r="X59" s="3073"/>
      <c r="Y59" s="3073"/>
      <c r="Z59" s="3073"/>
      <c r="AA59" s="3073"/>
      <c r="AB59" s="3073"/>
      <c r="AC59" s="5225">
        <v>1773.646</v>
      </c>
      <c r="AD59" s="3073"/>
      <c r="AE59" s="3073"/>
      <c r="AF59" s="3073"/>
      <c r="AG59" s="3073">
        <v>1753</v>
      </c>
      <c r="AH59" s="3073"/>
      <c r="AI59" s="3073"/>
      <c r="AJ59" s="3073"/>
      <c r="AK59" s="5225">
        <v>744.3</v>
      </c>
      <c r="AL59" s="3073"/>
      <c r="AM59" s="3073"/>
      <c r="AN59" s="3073"/>
      <c r="AO59" s="3073"/>
      <c r="AP59" s="3073"/>
      <c r="AQ59" s="3073">
        <v>879</v>
      </c>
      <c r="AR59" s="3073"/>
      <c r="AS59" s="3073"/>
      <c r="AT59" s="3073"/>
      <c r="AU59" s="3073"/>
      <c r="AV59" s="3073"/>
      <c r="AW59" s="3073"/>
      <c r="AX59" s="3073"/>
      <c r="AY59" s="3073"/>
      <c r="AZ59" s="3073"/>
      <c r="BA59" s="3073"/>
      <c r="BB59" s="3073">
        <v>1902.6000000000004</v>
      </c>
      <c r="BC59" s="3073"/>
      <c r="BD59" s="3073">
        <v>0</v>
      </c>
      <c r="BE59" s="3073">
        <v>11361.094999999999</v>
      </c>
    </row>
    <row r="60" spans="3:57" ht="15.75" hidden="1" thickBot="1" x14ac:dyDescent="0.3">
      <c r="C60" s="2942" t="s">
        <v>1460</v>
      </c>
      <c r="D60" s="2942"/>
      <c r="E60" s="3073">
        <v>0</v>
      </c>
      <c r="F60" s="3073"/>
      <c r="G60" s="3073">
        <v>0</v>
      </c>
      <c r="H60" s="3073"/>
      <c r="I60" s="3073"/>
      <c r="J60" s="3073"/>
      <c r="K60" s="3073">
        <v>0</v>
      </c>
      <c r="L60" s="3073"/>
      <c r="M60" s="3073"/>
      <c r="N60" s="3073"/>
      <c r="O60" s="3073">
        <v>412.22999999999996</v>
      </c>
      <c r="P60" s="3073"/>
      <c r="Q60" s="3073"/>
      <c r="R60" s="3073"/>
      <c r="S60" s="3073">
        <v>0</v>
      </c>
      <c r="T60" s="3073"/>
      <c r="U60" s="3073"/>
      <c r="V60" s="3073"/>
      <c r="W60" s="3073">
        <v>0</v>
      </c>
      <c r="X60" s="3073"/>
      <c r="Y60" s="3073"/>
      <c r="Z60" s="3073"/>
      <c r="AA60" s="3073"/>
      <c r="AB60" s="3073"/>
      <c r="AC60" s="5225">
        <v>0</v>
      </c>
      <c r="AD60" s="3073"/>
      <c r="AE60" s="3073"/>
      <c r="AF60" s="3073"/>
      <c r="AG60" s="3073">
        <v>0</v>
      </c>
      <c r="AH60" s="3073"/>
      <c r="AI60" s="3073"/>
      <c r="AJ60" s="3073"/>
      <c r="AK60" s="5225">
        <v>0</v>
      </c>
      <c r="AL60" s="3073"/>
      <c r="AM60" s="3073"/>
      <c r="AN60" s="3073"/>
      <c r="AO60" s="3073"/>
      <c r="AP60" s="3073"/>
      <c r="AQ60" s="3073">
        <v>0</v>
      </c>
      <c r="AR60" s="3073"/>
      <c r="AS60" s="3073"/>
      <c r="AT60" s="3073"/>
      <c r="AU60" s="3073"/>
      <c r="AV60" s="3073"/>
      <c r="AW60" s="3073"/>
      <c r="AX60" s="3073"/>
      <c r="AY60" s="3073"/>
      <c r="AZ60" s="3073"/>
      <c r="BA60" s="3073"/>
      <c r="BB60" s="3073">
        <v>0</v>
      </c>
      <c r="BC60" s="3073"/>
      <c r="BD60" s="3073">
        <v>0</v>
      </c>
      <c r="BE60" s="3073">
        <v>412.22999999999996</v>
      </c>
    </row>
    <row r="61" spans="3:57" ht="15.75" hidden="1" thickBot="1" x14ac:dyDescent="0.3">
      <c r="C61" s="2942" t="s">
        <v>1458</v>
      </c>
      <c r="D61" s="2942"/>
      <c r="E61" s="3073">
        <v>0</v>
      </c>
      <c r="F61" s="3073"/>
      <c r="G61" s="3073">
        <v>0</v>
      </c>
      <c r="H61" s="3073"/>
      <c r="I61" s="3073"/>
      <c r="J61" s="3073"/>
      <c r="K61" s="3073">
        <v>0</v>
      </c>
      <c r="L61" s="3073"/>
      <c r="M61" s="3073"/>
      <c r="N61" s="3073"/>
      <c r="O61" s="3073">
        <v>309.95799999999997</v>
      </c>
      <c r="P61" s="3073"/>
      <c r="Q61" s="3073"/>
      <c r="R61" s="3073"/>
      <c r="S61" s="3073">
        <v>302.30200000000002</v>
      </c>
      <c r="T61" s="3073"/>
      <c r="U61" s="3073"/>
      <c r="V61" s="3073"/>
      <c r="W61" s="3073">
        <v>0</v>
      </c>
      <c r="X61" s="3073"/>
      <c r="Y61" s="3073"/>
      <c r="Z61" s="3073"/>
      <c r="AA61" s="3073"/>
      <c r="AB61" s="3073"/>
      <c r="AC61" s="5225">
        <v>0</v>
      </c>
      <c r="AD61" s="3073"/>
      <c r="AE61" s="3073"/>
      <c r="AF61" s="3073"/>
      <c r="AG61" s="3073">
        <v>0</v>
      </c>
      <c r="AH61" s="3073"/>
      <c r="AI61" s="3073"/>
      <c r="AJ61" s="3073"/>
      <c r="AK61" s="5225">
        <v>0</v>
      </c>
      <c r="AL61" s="3073"/>
      <c r="AM61" s="3073"/>
      <c r="AN61" s="3073"/>
      <c r="AO61" s="3073"/>
      <c r="AP61" s="3073"/>
      <c r="AQ61" s="3073">
        <v>0</v>
      </c>
      <c r="AR61" s="3073"/>
      <c r="AS61" s="3073"/>
      <c r="AT61" s="3073"/>
      <c r="AU61" s="3073"/>
      <c r="AV61" s="3073"/>
      <c r="AW61" s="3073"/>
      <c r="AX61" s="3073"/>
      <c r="AY61" s="3073"/>
      <c r="AZ61" s="3073"/>
      <c r="BA61" s="3073"/>
      <c r="BB61" s="3073">
        <v>0</v>
      </c>
      <c r="BC61" s="3073"/>
      <c r="BD61" s="3073">
        <v>0</v>
      </c>
      <c r="BE61" s="3073">
        <v>612.26</v>
      </c>
    </row>
    <row r="62" spans="3:57" ht="15.75" hidden="1" thickBot="1" x14ac:dyDescent="0.3">
      <c r="C62" s="2942" t="s">
        <v>1167</v>
      </c>
      <c r="D62" s="2942"/>
      <c r="E62" s="3073">
        <v>2511.5090000000014</v>
      </c>
      <c r="F62" s="3073"/>
      <c r="G62" s="3073">
        <v>978.90300000000002</v>
      </c>
      <c r="H62" s="3073"/>
      <c r="I62" s="3073"/>
      <c r="J62" s="3073"/>
      <c r="K62" s="3073">
        <v>2725.9320000000007</v>
      </c>
      <c r="L62" s="3073"/>
      <c r="M62" s="3073"/>
      <c r="N62" s="3073"/>
      <c r="O62" s="3073">
        <v>2674.2389999999996</v>
      </c>
      <c r="P62" s="3073"/>
      <c r="Q62" s="3073"/>
      <c r="R62" s="3073"/>
      <c r="S62" s="3073">
        <v>1684.8579999999997</v>
      </c>
      <c r="T62" s="3073"/>
      <c r="U62" s="3073"/>
      <c r="V62" s="3073"/>
      <c r="W62" s="3073">
        <v>1492.4840000000002</v>
      </c>
      <c r="X62" s="3073"/>
      <c r="Y62" s="3073"/>
      <c r="Z62" s="3073"/>
      <c r="AA62" s="3073"/>
      <c r="AB62" s="3073"/>
      <c r="AC62" s="5225">
        <v>1291.6540000000005</v>
      </c>
      <c r="AD62" s="3073"/>
      <c r="AE62" s="3073"/>
      <c r="AF62" s="3073"/>
      <c r="AG62" s="3073">
        <v>2182</v>
      </c>
      <c r="AH62" s="3073"/>
      <c r="AI62" s="3073"/>
      <c r="AJ62" s="3073"/>
      <c r="AK62" s="5225">
        <v>2429</v>
      </c>
      <c r="AL62" s="3073"/>
      <c r="AM62" s="3073"/>
      <c r="AN62" s="3073"/>
      <c r="AO62" s="3073"/>
      <c r="AP62" s="3073"/>
      <c r="AQ62" s="3073">
        <v>2216</v>
      </c>
      <c r="AR62" s="3073"/>
      <c r="AS62" s="3073"/>
      <c r="AT62" s="3073"/>
      <c r="AU62" s="3073"/>
      <c r="AV62" s="3073"/>
      <c r="AW62" s="3073"/>
      <c r="AX62" s="3073"/>
      <c r="AY62" s="3073"/>
      <c r="AZ62" s="3073"/>
      <c r="BA62" s="3073"/>
      <c r="BB62" s="3073">
        <v>2449.6199999999994</v>
      </c>
      <c r="BC62" s="3073"/>
      <c r="BD62" s="3073">
        <v>1717</v>
      </c>
      <c r="BE62" s="3073">
        <v>24353.199000000004</v>
      </c>
    </row>
    <row r="63" spans="3:57" ht="15.75" hidden="1" thickBot="1" x14ac:dyDescent="0.3">
      <c r="C63" s="2942" t="s">
        <v>1168</v>
      </c>
      <c r="D63" s="2942"/>
      <c r="E63" s="3073">
        <v>1053.008</v>
      </c>
      <c r="F63" s="3073"/>
      <c r="G63" s="3073">
        <v>0</v>
      </c>
      <c r="H63" s="3073"/>
      <c r="I63" s="3073"/>
      <c r="J63" s="3073"/>
      <c r="K63" s="3073">
        <v>827.97</v>
      </c>
      <c r="L63" s="3073"/>
      <c r="M63" s="3073"/>
      <c r="N63" s="3073"/>
      <c r="O63" s="3073">
        <v>178.33199999999999</v>
      </c>
      <c r="P63" s="3073"/>
      <c r="Q63" s="3073"/>
      <c r="R63" s="3073"/>
      <c r="S63" s="3073">
        <v>0</v>
      </c>
      <c r="T63" s="3073"/>
      <c r="U63" s="3073"/>
      <c r="V63" s="3073"/>
      <c r="W63" s="3073">
        <v>181.804</v>
      </c>
      <c r="X63" s="3073"/>
      <c r="Y63" s="3073"/>
      <c r="Z63" s="3073"/>
      <c r="AA63" s="3073"/>
      <c r="AB63" s="3073"/>
      <c r="AC63" s="5225">
        <v>338.24</v>
      </c>
      <c r="AD63" s="3073"/>
      <c r="AE63" s="3073"/>
      <c r="AF63" s="3073"/>
      <c r="AG63" s="3073">
        <v>340</v>
      </c>
      <c r="AH63" s="3073"/>
      <c r="AI63" s="3073"/>
      <c r="AJ63" s="3073"/>
      <c r="AK63" s="5225">
        <v>0</v>
      </c>
      <c r="AL63" s="3073"/>
      <c r="AM63" s="3073"/>
      <c r="AN63" s="3073"/>
      <c r="AO63" s="3073"/>
      <c r="AP63" s="3073"/>
      <c r="AQ63" s="3073">
        <v>1214</v>
      </c>
      <c r="AR63" s="3073"/>
      <c r="AS63" s="3073"/>
      <c r="AT63" s="3073"/>
      <c r="AU63" s="3073"/>
      <c r="AV63" s="3073"/>
      <c r="AW63" s="3073"/>
      <c r="AX63" s="3073"/>
      <c r="AY63" s="3073"/>
      <c r="AZ63" s="3073"/>
      <c r="BA63" s="3073"/>
      <c r="BB63" s="3073">
        <v>661.6819999999999</v>
      </c>
      <c r="BC63" s="3073"/>
      <c r="BD63" s="3073">
        <v>178</v>
      </c>
      <c r="BE63" s="3073">
        <v>4973.0360000000001</v>
      </c>
    </row>
    <row r="64" spans="3:57" ht="15.75" hidden="1" thickBot="1" x14ac:dyDescent="0.3">
      <c r="C64" s="2942" t="s">
        <v>1669</v>
      </c>
      <c r="D64" s="2942"/>
      <c r="E64" s="3073">
        <v>1659.586</v>
      </c>
      <c r="F64" s="3073"/>
      <c r="G64" s="3073">
        <v>694.22099999999978</v>
      </c>
      <c r="H64" s="3073"/>
      <c r="I64" s="3073"/>
      <c r="J64" s="3073"/>
      <c r="K64" s="3073">
        <v>1278.0460000000005</v>
      </c>
      <c r="L64" s="3073"/>
      <c r="M64" s="3073"/>
      <c r="N64" s="3073"/>
      <c r="O64" s="3073">
        <v>1695.4650000000004</v>
      </c>
      <c r="P64" s="3073"/>
      <c r="Q64" s="3073"/>
      <c r="R64" s="3073"/>
      <c r="S64" s="3073">
        <v>1471.3440000000005</v>
      </c>
      <c r="T64" s="3073"/>
      <c r="U64" s="3073"/>
      <c r="V64" s="3073"/>
      <c r="W64" s="3073">
        <v>1340.2760000000007</v>
      </c>
      <c r="X64" s="3073"/>
      <c r="Y64" s="3073"/>
      <c r="Z64" s="3073"/>
      <c r="AA64" s="3073"/>
      <c r="AB64" s="3073"/>
      <c r="AC64" s="5225">
        <v>1555.9040000000009</v>
      </c>
      <c r="AD64" s="3073"/>
      <c r="AE64" s="3073"/>
      <c r="AF64" s="3073"/>
      <c r="AG64" s="3073">
        <v>1742</v>
      </c>
      <c r="AH64" s="3073"/>
      <c r="AI64" s="3073"/>
      <c r="AJ64" s="3073"/>
      <c r="AK64" s="5225">
        <v>1268.6999999999998</v>
      </c>
      <c r="AL64" s="3073"/>
      <c r="AM64" s="3073"/>
      <c r="AN64" s="3073"/>
      <c r="AO64" s="3073"/>
      <c r="AP64" s="3073"/>
      <c r="AQ64" s="3073">
        <v>962</v>
      </c>
      <c r="AR64" s="3073"/>
      <c r="AS64" s="3073"/>
      <c r="AT64" s="3073"/>
      <c r="AU64" s="3073"/>
      <c r="AV64" s="3073"/>
      <c r="AW64" s="3073"/>
      <c r="AX64" s="3073"/>
      <c r="AY64" s="3073"/>
      <c r="AZ64" s="3073"/>
      <c r="BA64" s="3073"/>
      <c r="BB64" s="3073">
        <v>2474.9680000000017</v>
      </c>
      <c r="BC64" s="3073"/>
      <c r="BD64" s="3073">
        <v>1674</v>
      </c>
      <c r="BE64" s="3073">
        <v>17816.510000000002</v>
      </c>
    </row>
    <row r="65" spans="3:57" ht="15.75" hidden="1" thickBot="1" x14ac:dyDescent="0.3">
      <c r="C65" s="3074" t="s">
        <v>2</v>
      </c>
      <c r="D65" s="3074"/>
      <c r="E65" s="3075">
        <v>163540.45900000003</v>
      </c>
      <c r="F65" s="3075"/>
      <c r="G65" s="3075">
        <v>138084.56599999996</v>
      </c>
      <c r="H65" s="3075"/>
      <c r="I65" s="3075"/>
      <c r="J65" s="3075"/>
      <c r="K65" s="3075">
        <v>141733.60300000009</v>
      </c>
      <c r="L65" s="3075"/>
      <c r="M65" s="3075"/>
      <c r="N65" s="3075"/>
      <c r="O65" s="3075">
        <v>174925.65500000006</v>
      </c>
      <c r="P65" s="3075"/>
      <c r="Q65" s="3075"/>
      <c r="R65" s="3075"/>
      <c r="S65" s="3075">
        <v>173405.07799999992</v>
      </c>
      <c r="T65" s="3075"/>
      <c r="U65" s="3075"/>
      <c r="V65" s="3075"/>
      <c r="W65" s="3075">
        <v>162154.37000000011</v>
      </c>
      <c r="X65" s="3075"/>
      <c r="Y65" s="3075"/>
      <c r="Z65" s="3075"/>
      <c r="AA65" s="3075"/>
      <c r="AB65" s="3075"/>
      <c r="AC65" s="5226">
        <v>167965.75599999999</v>
      </c>
      <c r="AD65" s="3075"/>
      <c r="AE65" s="3075"/>
      <c r="AF65" s="3075"/>
      <c r="AG65" s="3075">
        <v>142793</v>
      </c>
      <c r="AH65" s="3075"/>
      <c r="AI65" s="3075"/>
      <c r="AJ65" s="3075"/>
      <c r="AK65" s="5226">
        <v>164344.19999999998</v>
      </c>
      <c r="AL65" s="3075"/>
      <c r="AM65" s="3075"/>
      <c r="AN65" s="3075"/>
      <c r="AO65" s="3075"/>
      <c r="AP65" s="3075"/>
      <c r="AQ65" s="3075">
        <v>162717</v>
      </c>
      <c r="AR65" s="3075"/>
      <c r="AS65" s="3075"/>
      <c r="AT65" s="3075"/>
      <c r="AU65" s="3075"/>
      <c r="AV65" s="3075"/>
      <c r="AW65" s="3075"/>
      <c r="AX65" s="3075"/>
      <c r="AY65" s="3075"/>
      <c r="AZ65" s="3075"/>
      <c r="BA65" s="3075"/>
      <c r="BB65" s="3075">
        <v>162199.09799999997</v>
      </c>
      <c r="BC65" s="3075"/>
      <c r="BD65" s="3075">
        <v>164513</v>
      </c>
      <c r="BE65" s="3075">
        <v>1918375.7850000004</v>
      </c>
    </row>
    <row r="66" spans="3:57" ht="24" thickBot="1" x14ac:dyDescent="0.4">
      <c r="C66" s="8147" t="s">
        <v>1670</v>
      </c>
      <c r="D66" s="8148"/>
      <c r="E66" s="8148"/>
      <c r="F66" s="8148"/>
      <c r="G66" s="8148"/>
      <c r="H66" s="8148"/>
      <c r="I66" s="8148"/>
      <c r="J66" s="8148"/>
      <c r="K66" s="8148"/>
      <c r="L66" s="8148"/>
      <c r="M66" s="8148"/>
      <c r="N66" s="8148"/>
      <c r="O66" s="8148"/>
      <c r="P66" s="8148"/>
      <c r="Q66" s="8148"/>
      <c r="R66" s="8148"/>
      <c r="S66" s="8148"/>
      <c r="T66" s="8148"/>
      <c r="U66" s="8148"/>
      <c r="V66" s="8148"/>
      <c r="W66" s="8148"/>
      <c r="X66" s="8148"/>
      <c r="Y66" s="8148"/>
      <c r="Z66" s="8148"/>
      <c r="AA66" s="8148"/>
      <c r="AB66" s="8148"/>
      <c r="AC66" s="8148"/>
      <c r="AD66" s="8148"/>
      <c r="AE66" s="8148"/>
      <c r="AF66" s="8148"/>
      <c r="AG66" s="8148"/>
      <c r="AH66" s="8148"/>
      <c r="AI66" s="8148"/>
      <c r="AJ66" s="8148"/>
      <c r="AK66" s="8148"/>
      <c r="AL66" s="8148"/>
      <c r="AM66" s="8148"/>
      <c r="AN66" s="8148"/>
      <c r="AO66" s="8148"/>
      <c r="AP66" s="8148"/>
      <c r="AQ66" s="8148"/>
      <c r="AR66" s="8148"/>
      <c r="AS66" s="8148"/>
      <c r="AT66" s="8148"/>
      <c r="AU66" s="8148"/>
      <c r="AV66" s="8148"/>
      <c r="AW66" s="8148"/>
      <c r="AX66" s="8148"/>
      <c r="AY66" s="8148"/>
      <c r="AZ66" s="8148"/>
      <c r="BA66" s="8148"/>
      <c r="BB66" s="8148"/>
      <c r="BC66" s="8148"/>
      <c r="BD66" s="8148"/>
      <c r="BE66" s="8149"/>
    </row>
    <row r="67" spans="3:57" ht="15.75" x14ac:dyDescent="0.25">
      <c r="C67" s="3076"/>
      <c r="D67" s="3096"/>
      <c r="E67" s="3077" t="s">
        <v>2342</v>
      </c>
      <c r="F67" s="8150" t="s">
        <v>1963</v>
      </c>
      <c r="G67" s="8151"/>
      <c r="H67" s="8150" t="s">
        <v>627</v>
      </c>
      <c r="I67" s="8151"/>
      <c r="J67" s="8150" t="s">
        <v>1973</v>
      </c>
      <c r="K67" s="8151"/>
      <c r="L67" s="8150" t="s">
        <v>607</v>
      </c>
      <c r="M67" s="8151"/>
      <c r="N67" s="8150" t="s">
        <v>1974</v>
      </c>
      <c r="O67" s="8151"/>
      <c r="P67" s="8150" t="s">
        <v>620</v>
      </c>
      <c r="Q67" s="8151"/>
      <c r="R67" s="8150" t="s">
        <v>1975</v>
      </c>
      <c r="S67" s="8151"/>
      <c r="T67" s="8150" t="s">
        <v>798</v>
      </c>
      <c r="U67" s="8151"/>
      <c r="V67" s="8150" t="s">
        <v>1976</v>
      </c>
      <c r="W67" s="8151"/>
      <c r="X67" s="8150" t="s">
        <v>629</v>
      </c>
      <c r="Y67" s="8151"/>
      <c r="Z67" s="8150" t="s">
        <v>626</v>
      </c>
      <c r="AA67" s="8151"/>
      <c r="AB67" s="8150" t="s">
        <v>1977</v>
      </c>
      <c r="AC67" s="8151"/>
      <c r="AD67" s="8150" t="s">
        <v>1055</v>
      </c>
      <c r="AE67" s="8151"/>
      <c r="AF67" s="8150" t="s">
        <v>1978</v>
      </c>
      <c r="AG67" s="8151"/>
      <c r="AH67" s="8150" t="s">
        <v>1561</v>
      </c>
      <c r="AI67" s="8151"/>
      <c r="AJ67" s="8150" t="s">
        <v>1979</v>
      </c>
      <c r="AK67" s="8151"/>
      <c r="AL67" s="8150" t="s">
        <v>631</v>
      </c>
      <c r="AM67" s="8151"/>
      <c r="AN67" s="8150" t="s">
        <v>876</v>
      </c>
      <c r="AO67" s="8151"/>
      <c r="AP67" s="8150" t="s">
        <v>1980</v>
      </c>
      <c r="AQ67" s="8151"/>
      <c r="AR67" s="8150" t="s">
        <v>1593</v>
      </c>
      <c r="AS67" s="8151"/>
      <c r="AT67" s="8150" t="s">
        <v>1981</v>
      </c>
      <c r="AU67" s="8151"/>
      <c r="AV67" s="8150" t="s">
        <v>1599</v>
      </c>
      <c r="AW67" s="8151"/>
      <c r="AX67" s="8150" t="s">
        <v>1982</v>
      </c>
      <c r="AY67" s="8151"/>
      <c r="AZ67" s="8150" t="s">
        <v>632</v>
      </c>
      <c r="BA67" s="8151"/>
      <c r="BB67" s="8150" t="s">
        <v>638</v>
      </c>
      <c r="BC67" s="8151"/>
      <c r="BD67" s="8150" t="s">
        <v>1984</v>
      </c>
      <c r="BE67" s="8151"/>
    </row>
    <row r="68" spans="3:57" x14ac:dyDescent="0.25">
      <c r="C68" s="2" t="s">
        <v>1615</v>
      </c>
      <c r="D68" s="283"/>
      <c r="E68" s="5665">
        <f>+'GRD SUMM RCL 150X150 '!AU9</f>
        <v>0</v>
      </c>
      <c r="F68" s="3073"/>
      <c r="G68" s="5665">
        <f>+'GRD SUMM RCL 150X150 '!AW9</f>
        <v>0</v>
      </c>
      <c r="H68" s="3073"/>
      <c r="I68" s="3073">
        <f>+E68+G68</f>
        <v>0</v>
      </c>
      <c r="J68" s="3073"/>
      <c r="K68" s="5665">
        <f>+'GRD SUMM RCL 150X150 '!BA9</f>
        <v>0</v>
      </c>
      <c r="L68" s="3073"/>
      <c r="M68" s="3073">
        <f>+E68+G68+K68</f>
        <v>0</v>
      </c>
      <c r="N68" s="3073"/>
      <c r="O68" s="5665">
        <f>+'GRD SUMM RCL 150X150 '!BE9</f>
        <v>0</v>
      </c>
      <c r="P68" s="3073"/>
      <c r="Q68" s="3073">
        <f>+O68+K68+G68+E68</f>
        <v>0</v>
      </c>
      <c r="R68" s="3073"/>
      <c r="S68" s="5665">
        <f>+'GRD SUMM RCL 150X150 '!BI9</f>
        <v>0</v>
      </c>
      <c r="T68" s="3073"/>
      <c r="U68" s="3073">
        <f>+S68+O68+K68+G68+E68</f>
        <v>0</v>
      </c>
      <c r="V68" s="3073"/>
      <c r="W68" s="5665">
        <f>+'GRD SUMM RCL 150X150 '!BM9</f>
        <v>0</v>
      </c>
      <c r="X68" s="3073"/>
      <c r="Y68" s="3073">
        <f>+W68+S68+O68</f>
        <v>0</v>
      </c>
      <c r="Z68" s="3073"/>
      <c r="AA68" s="3073">
        <f>+E68+G68+K68+O68+S68+W68</f>
        <v>0</v>
      </c>
      <c r="AB68" s="3073"/>
      <c r="AC68" s="5665">
        <f>+'GRD SUMM RCL 150X150 '!BS9</f>
        <v>0</v>
      </c>
      <c r="AD68" s="3073"/>
      <c r="AE68" s="3073">
        <f>+AC68+W68+S68+O68+K68+G68+E68</f>
        <v>0</v>
      </c>
      <c r="AF68" s="3073"/>
      <c r="AG68" s="5665">
        <f>+'GRD SUMM RCL 150X150 '!BW9</f>
        <v>0</v>
      </c>
      <c r="AH68" s="3073"/>
      <c r="AI68" s="3073">
        <f>+AG68+AC68+W68+S68+O68+K68+G68+E68</f>
        <v>0</v>
      </c>
      <c r="AJ68" s="3073"/>
      <c r="AK68" s="6943">
        <f>+'GRD SUMM RCL 150X150 '!CA9</f>
        <v>0</v>
      </c>
      <c r="AL68" s="3073"/>
      <c r="AM68" s="3073">
        <f>+AK68+AG68+AC68</f>
        <v>0</v>
      </c>
      <c r="AN68" s="3073"/>
      <c r="AO68" s="3073">
        <f>+AK68+AG68+AC68+W68+S68+O68+K68+G68+E68</f>
        <v>0</v>
      </c>
      <c r="AP68" s="3073"/>
      <c r="AQ68" s="5665">
        <f>+'GRD SUMM RCL 150X150 '!CG9</f>
        <v>0</v>
      </c>
      <c r="AR68" s="3073"/>
      <c r="AS68" s="3073">
        <f>+AO68+AQ68</f>
        <v>0</v>
      </c>
      <c r="AT68" s="3073"/>
      <c r="AU68" s="5665">
        <f>+'GRD SUMM RCL 150X150 '!CK9</f>
        <v>0</v>
      </c>
      <c r="AV68" s="3073"/>
      <c r="AW68" s="3073">
        <f>+AS68+AU68</f>
        <v>0</v>
      </c>
      <c r="AX68" s="3073"/>
      <c r="AY68" s="5665">
        <f>+'GRD SUMM RCL 150X150 '!CO9</f>
        <v>0</v>
      </c>
      <c r="AZ68" s="3073"/>
      <c r="BA68" s="5665">
        <f>+AY68+AU68+AQ68</f>
        <v>0</v>
      </c>
      <c r="BB68" s="3073"/>
      <c r="BC68" s="5665">
        <f>+BA68+AM68</f>
        <v>0</v>
      </c>
      <c r="BD68" s="3073"/>
      <c r="BE68" s="5665">
        <f>+E68+G68+K68+O68+S68+W68+AC68+AG68+AK68+AQ68+AU68+AY68</f>
        <v>0</v>
      </c>
    </row>
    <row r="69" spans="3:57" x14ac:dyDescent="0.25">
      <c r="C69" s="2" t="s">
        <v>1807</v>
      </c>
      <c r="D69" s="283"/>
      <c r="E69" s="5665">
        <f>+'GRD SUMM RCL 150X150 '!AU19</f>
        <v>0</v>
      </c>
      <c r="F69" s="3073"/>
      <c r="G69" s="5665">
        <f>+'GRD SUMM RCL 150X150 '!AW19</f>
        <v>0</v>
      </c>
      <c r="H69" s="3073"/>
      <c r="I69" s="3073">
        <f t="shared" ref="I69:I100" si="0">+E69+G69</f>
        <v>0</v>
      </c>
      <c r="J69" s="3073"/>
      <c r="K69" s="5665">
        <f>+'GRD SUMM RCL 150X150 '!BA19</f>
        <v>0</v>
      </c>
      <c r="L69" s="3073"/>
      <c r="M69" s="3073">
        <f t="shared" ref="M69:M100" si="1">+E69+G69+K69</f>
        <v>0</v>
      </c>
      <c r="N69" s="3073"/>
      <c r="O69" s="5665">
        <f>+'GRD SUMM RCL 150X150 '!BE19</f>
        <v>0</v>
      </c>
      <c r="P69" s="3073"/>
      <c r="Q69" s="3073">
        <f t="shared" ref="Q69:Q100" si="2">+O69+K69+G69+E69</f>
        <v>0</v>
      </c>
      <c r="R69" s="3073"/>
      <c r="S69" s="5665">
        <f>+'GRD SUMM RCL 150X150 '!BI19</f>
        <v>0</v>
      </c>
      <c r="T69" s="3073"/>
      <c r="U69" s="3073">
        <f t="shared" ref="U69:U100" si="3">+S69+O69+K69+G69+E69</f>
        <v>0</v>
      </c>
      <c r="V69" s="3073"/>
      <c r="W69" s="5665">
        <f>+'GRD SUMM RCL 150X150 '!BM19</f>
        <v>0</v>
      </c>
      <c r="X69" s="3073"/>
      <c r="Y69" s="3073">
        <f t="shared" ref="Y69:Y100" si="4">+W69+S69+O69</f>
        <v>0</v>
      </c>
      <c r="Z69" s="3073"/>
      <c r="AA69" s="3073">
        <f t="shared" ref="AA69:AA100" si="5">+E69+G69+K69+O69+S69+W69</f>
        <v>0</v>
      </c>
      <c r="AB69" s="3073"/>
      <c r="AC69" s="5665">
        <f>+'GRD SUMM RCL 150X150 '!BS19</f>
        <v>0</v>
      </c>
      <c r="AD69" s="3073"/>
      <c r="AE69" s="3073">
        <f t="shared" ref="AE69:AE100" si="6">+AC69+W69+S69+O69+K69+G69+E69</f>
        <v>0</v>
      </c>
      <c r="AF69" s="3073"/>
      <c r="AG69" s="5665">
        <f>+'GRD SUMM RCL 150X150 '!BW19</f>
        <v>0</v>
      </c>
      <c r="AH69" s="3073"/>
      <c r="AI69" s="3073">
        <f t="shared" ref="AI69:AI100" si="7">+AG69+AC69+W69+S69+O69+K69+G69+E69</f>
        <v>0</v>
      </c>
      <c r="AJ69" s="3073"/>
      <c r="AK69" s="6943">
        <f>+'GRD SUMM RCL 150X150 '!CA19</f>
        <v>0</v>
      </c>
      <c r="AL69" s="3073"/>
      <c r="AM69" s="3073">
        <f t="shared" ref="AM69:AM100" si="8">+AK69+AG69+AC69</f>
        <v>0</v>
      </c>
      <c r="AN69" s="3073"/>
      <c r="AO69" s="3073">
        <f t="shared" ref="AO69:AO100" si="9">+AK69+AG69+AC69+W69+S69+O69+K69+G69+E69</f>
        <v>0</v>
      </c>
      <c r="AP69" s="3073"/>
      <c r="AQ69" s="5665">
        <f>+'GRD SUMM RCL 150X150 '!CG19</f>
        <v>0</v>
      </c>
      <c r="AR69" s="3073"/>
      <c r="AS69" s="3073">
        <f t="shared" ref="AS69:AS100" si="10">+AO69+AQ69</f>
        <v>0</v>
      </c>
      <c r="AT69" s="3073"/>
      <c r="AU69" s="5665">
        <f>+'GRD SUMM RCL 150X150 '!CK19</f>
        <v>0</v>
      </c>
      <c r="AV69" s="3073"/>
      <c r="AW69" s="3073">
        <f t="shared" ref="AW69:AW100" si="11">+AS69+AU69</f>
        <v>0</v>
      </c>
      <c r="AX69" s="3073"/>
      <c r="AY69" s="5665">
        <f>+'GRD SUMM RCL 150X150 '!CO19</f>
        <v>0</v>
      </c>
      <c r="AZ69" s="3073"/>
      <c r="BA69" s="5665">
        <f t="shared" ref="BA69:BA102" si="12">+AY69+AU69+AQ69</f>
        <v>0</v>
      </c>
      <c r="BB69" s="3073"/>
      <c r="BC69" s="5665">
        <f t="shared" ref="BC69:BC102" si="13">+BA69+AM69</f>
        <v>0</v>
      </c>
      <c r="BD69" s="3073"/>
      <c r="BE69" s="5665">
        <f t="shared" ref="BE69:BE102" si="14">+E69+G69+K69+O69+S69+W69+AC69+AG69+AK69+AQ69+AU69+AY69</f>
        <v>0</v>
      </c>
    </row>
    <row r="70" spans="3:57" x14ac:dyDescent="0.25">
      <c r="C70" s="2" t="s">
        <v>1983</v>
      </c>
      <c r="D70" s="283"/>
      <c r="E70" s="5665">
        <f>+'GRD SUMM RCL 150X150 '!AU20</f>
        <v>0</v>
      </c>
      <c r="F70" s="3073"/>
      <c r="G70" s="5665">
        <f>+'GRD SUMM RCL 150X150 '!AW20</f>
        <v>0</v>
      </c>
      <c r="H70" s="3073"/>
      <c r="I70" s="3073">
        <f t="shared" si="0"/>
        <v>0</v>
      </c>
      <c r="J70" s="3073"/>
      <c r="K70" s="5665">
        <f>+'GRD SUMM RCL 150X150 '!BA20</f>
        <v>0</v>
      </c>
      <c r="L70" s="3073"/>
      <c r="M70" s="3073">
        <f t="shared" si="1"/>
        <v>0</v>
      </c>
      <c r="N70" s="3073"/>
      <c r="O70" s="5665">
        <f>+'GRD SUMM RCL 150X150 '!BE20</f>
        <v>0</v>
      </c>
      <c r="P70" s="3073"/>
      <c r="Q70" s="3073">
        <f t="shared" si="2"/>
        <v>0</v>
      </c>
      <c r="R70" s="3073"/>
      <c r="S70" s="5665">
        <f>+'GRD SUMM RCL 150X150 '!BI20</f>
        <v>0</v>
      </c>
      <c r="T70" s="3073"/>
      <c r="U70" s="3073">
        <f t="shared" si="3"/>
        <v>0</v>
      </c>
      <c r="V70" s="3073"/>
      <c r="W70" s="5665">
        <f>+'GRD SUMM RCL 150X150 '!BM20</f>
        <v>0</v>
      </c>
      <c r="X70" s="3073"/>
      <c r="Y70" s="3073">
        <f t="shared" si="4"/>
        <v>0</v>
      </c>
      <c r="Z70" s="3073"/>
      <c r="AA70" s="3073">
        <f t="shared" si="5"/>
        <v>0</v>
      </c>
      <c r="AB70" s="3073"/>
      <c r="AC70" s="5665">
        <f>+'GRD SUMM RCL 150X150 '!BS20</f>
        <v>0</v>
      </c>
      <c r="AD70" s="3073"/>
      <c r="AE70" s="3073">
        <f t="shared" si="6"/>
        <v>0</v>
      </c>
      <c r="AF70" s="3073"/>
      <c r="AG70" s="5665">
        <f>+'GRD SUMM RCL 150X150 '!BW20</f>
        <v>0</v>
      </c>
      <c r="AH70" s="3073"/>
      <c r="AI70" s="3073">
        <f t="shared" si="7"/>
        <v>0</v>
      </c>
      <c r="AJ70" s="3073"/>
      <c r="AK70" s="6943">
        <f>+'GRD SUMM RCL 150X150 '!CA20</f>
        <v>0</v>
      </c>
      <c r="AL70" s="3073"/>
      <c r="AM70" s="3073">
        <f t="shared" si="8"/>
        <v>0</v>
      </c>
      <c r="AN70" s="3073"/>
      <c r="AO70" s="3073">
        <f t="shared" si="9"/>
        <v>0</v>
      </c>
      <c r="AP70" s="3073"/>
      <c r="AQ70" s="5665">
        <f>+'GRD SUMM RCL 150X150 '!CG20</f>
        <v>0</v>
      </c>
      <c r="AR70" s="3073"/>
      <c r="AS70" s="3073">
        <f t="shared" si="10"/>
        <v>0</v>
      </c>
      <c r="AT70" s="3073"/>
      <c r="AU70" s="5665">
        <f>+'GRD SUMM RCL 150X150 '!CK20</f>
        <v>0</v>
      </c>
      <c r="AV70" s="3073"/>
      <c r="AW70" s="3073">
        <f t="shared" si="11"/>
        <v>0</v>
      </c>
      <c r="AX70" s="3073"/>
      <c r="AY70" s="5665">
        <f>+'GRD SUMM RCL 150X150 '!CO20</f>
        <v>0</v>
      </c>
      <c r="AZ70" s="3073"/>
      <c r="BA70" s="5665">
        <f t="shared" si="12"/>
        <v>0</v>
      </c>
      <c r="BB70" s="3073"/>
      <c r="BC70" s="5665">
        <f t="shared" si="13"/>
        <v>0</v>
      </c>
      <c r="BD70" s="3073"/>
      <c r="BE70" s="5665">
        <f t="shared" si="14"/>
        <v>0</v>
      </c>
    </row>
    <row r="71" spans="3:57" x14ac:dyDescent="0.25">
      <c r="C71" s="2" t="s">
        <v>1939</v>
      </c>
      <c r="D71" s="283"/>
      <c r="E71" s="5665">
        <f>+'GRD SUMM RCL 150X150 '!AU21</f>
        <v>0</v>
      </c>
      <c r="F71" s="3073"/>
      <c r="G71" s="5665">
        <f>+'GRD SUMM RCL 150X150 '!AW21</f>
        <v>0</v>
      </c>
      <c r="H71" s="3073"/>
      <c r="I71" s="3073">
        <f t="shared" si="0"/>
        <v>0</v>
      </c>
      <c r="J71" s="3073"/>
      <c r="K71" s="5665">
        <f>+'GRD SUMM RCL 150X150 '!BA21</f>
        <v>0</v>
      </c>
      <c r="L71" s="3073"/>
      <c r="M71" s="3073">
        <f t="shared" si="1"/>
        <v>0</v>
      </c>
      <c r="N71" s="3073"/>
      <c r="O71" s="5665">
        <f>+'GRD SUMM RCL 150X150 '!BE21</f>
        <v>0</v>
      </c>
      <c r="P71" s="3073"/>
      <c r="Q71" s="3073">
        <f t="shared" si="2"/>
        <v>0</v>
      </c>
      <c r="R71" s="3073"/>
      <c r="S71" s="5665">
        <f>+'GRD SUMM RCL 150X150 '!BI21</f>
        <v>0</v>
      </c>
      <c r="T71" s="3073"/>
      <c r="U71" s="3073">
        <f t="shared" si="3"/>
        <v>0</v>
      </c>
      <c r="V71" s="3073"/>
      <c r="W71" s="5665">
        <f>+'GRD SUMM RCL 150X150 '!BM21</f>
        <v>0</v>
      </c>
      <c r="X71" s="3073"/>
      <c r="Y71" s="3073">
        <f t="shared" si="4"/>
        <v>0</v>
      </c>
      <c r="Z71" s="3073"/>
      <c r="AA71" s="3073">
        <f t="shared" si="5"/>
        <v>0</v>
      </c>
      <c r="AB71" s="3073"/>
      <c r="AC71" s="5665">
        <f>+'GRD SUMM RCL 150X150 '!BS21</f>
        <v>0</v>
      </c>
      <c r="AD71" s="3073"/>
      <c r="AE71" s="3073">
        <f t="shared" si="6"/>
        <v>0</v>
      </c>
      <c r="AF71" s="3073"/>
      <c r="AG71" s="5665">
        <f>+'GRD SUMM RCL 150X150 '!BW21</f>
        <v>0</v>
      </c>
      <c r="AH71" s="3073"/>
      <c r="AI71" s="3073">
        <f t="shared" si="7"/>
        <v>0</v>
      </c>
      <c r="AJ71" s="3073"/>
      <c r="AK71" s="6943">
        <f>+'GRD SUMM RCL 150X150 '!CA21</f>
        <v>0</v>
      </c>
      <c r="AL71" s="3073"/>
      <c r="AM71" s="3073">
        <f t="shared" si="8"/>
        <v>0</v>
      </c>
      <c r="AN71" s="3073"/>
      <c r="AO71" s="3073">
        <f t="shared" si="9"/>
        <v>0</v>
      </c>
      <c r="AP71" s="3073"/>
      <c r="AQ71" s="5665">
        <f>+'GRD SUMM RCL 150X150 '!CG21</f>
        <v>0</v>
      </c>
      <c r="AR71" s="3073"/>
      <c r="AS71" s="3073">
        <f t="shared" si="10"/>
        <v>0</v>
      </c>
      <c r="AT71" s="3073"/>
      <c r="AU71" s="5665">
        <f>+'GRD SUMM RCL 150X150 '!CK21</f>
        <v>0</v>
      </c>
      <c r="AV71" s="3073"/>
      <c r="AW71" s="3073">
        <f t="shared" si="11"/>
        <v>0</v>
      </c>
      <c r="AX71" s="3073"/>
      <c r="AY71" s="5665">
        <f>+'GRD SUMM RCL 150X150 '!CO21</f>
        <v>0</v>
      </c>
      <c r="AZ71" s="3073"/>
      <c r="BA71" s="5665">
        <f t="shared" si="12"/>
        <v>0</v>
      </c>
      <c r="BB71" s="3073"/>
      <c r="BC71" s="5665">
        <f t="shared" si="13"/>
        <v>0</v>
      </c>
      <c r="BD71" s="3073"/>
      <c r="BE71" s="5665">
        <f t="shared" si="14"/>
        <v>0</v>
      </c>
    </row>
    <row r="72" spans="3:57" x14ac:dyDescent="0.25">
      <c r="C72" s="2" t="s">
        <v>1880</v>
      </c>
      <c r="D72" s="283"/>
      <c r="E72" s="5665">
        <f>+'GRD SUMM RCL 150X150 '!AU22</f>
        <v>4594</v>
      </c>
      <c r="F72" s="3073"/>
      <c r="G72" s="5665">
        <f>+'GRD SUMM RCL 150X150 '!AW22</f>
        <v>725</v>
      </c>
      <c r="H72" s="3073"/>
      <c r="I72" s="3073">
        <f t="shared" si="0"/>
        <v>5319</v>
      </c>
      <c r="J72" s="3073"/>
      <c r="K72" s="5665">
        <f>+'GRD SUMM RCL 150X150 '!BA22</f>
        <v>3211</v>
      </c>
      <c r="L72" s="3073"/>
      <c r="M72" s="3073">
        <f t="shared" si="1"/>
        <v>8530</v>
      </c>
      <c r="N72" s="3073"/>
      <c r="O72" s="5665">
        <f>+'GRD SUMM RCL 150X150 '!BE22</f>
        <v>0</v>
      </c>
      <c r="P72" s="3073"/>
      <c r="Q72" s="3073">
        <f t="shared" si="2"/>
        <v>8530</v>
      </c>
      <c r="R72" s="3073"/>
      <c r="S72" s="5665">
        <f>+'GRD SUMM RCL 150X150 '!BI22</f>
        <v>2648.8420000000001</v>
      </c>
      <c r="T72" s="3073"/>
      <c r="U72" s="3073">
        <f t="shared" si="3"/>
        <v>11178.842000000001</v>
      </c>
      <c r="V72" s="3073"/>
      <c r="W72" s="5665">
        <f>+'GRD SUMM RCL 150X150 '!BM22</f>
        <v>0</v>
      </c>
      <c r="X72" s="3073"/>
      <c r="Y72" s="3073">
        <f t="shared" si="4"/>
        <v>2648.8420000000001</v>
      </c>
      <c r="Z72" s="3073"/>
      <c r="AA72" s="3073">
        <f t="shared" si="5"/>
        <v>11178.842000000001</v>
      </c>
      <c r="AB72" s="3073"/>
      <c r="AC72" s="5665">
        <f>+'GRD SUMM RCL 150X150 '!BS22</f>
        <v>0</v>
      </c>
      <c r="AD72" s="3073"/>
      <c r="AE72" s="3073">
        <f t="shared" si="6"/>
        <v>11178.842000000001</v>
      </c>
      <c r="AF72" s="3073"/>
      <c r="AG72" s="5665">
        <f>+'GRD SUMM RCL 150X150 '!BW22</f>
        <v>1787.8050000000001</v>
      </c>
      <c r="AH72" s="3073"/>
      <c r="AI72" s="3073">
        <f t="shared" si="7"/>
        <v>12966.647000000001</v>
      </c>
      <c r="AJ72" s="3073"/>
      <c r="AK72" s="6943">
        <f>+'GRD SUMM RCL 150X150 '!CA22</f>
        <v>2864</v>
      </c>
      <c r="AL72" s="3073"/>
      <c r="AM72" s="3073">
        <f t="shared" si="8"/>
        <v>4651.8050000000003</v>
      </c>
      <c r="AN72" s="3073"/>
      <c r="AO72" s="3073">
        <f t="shared" si="9"/>
        <v>15830.647000000001</v>
      </c>
      <c r="AP72" s="3073"/>
      <c r="AQ72" s="5665">
        <f>+'GRD SUMM RCL 150X150 '!CG22</f>
        <v>0</v>
      </c>
      <c r="AR72" s="3073"/>
      <c r="AS72" s="3073">
        <f t="shared" si="10"/>
        <v>15830.647000000001</v>
      </c>
      <c r="AT72" s="3073"/>
      <c r="AU72" s="5665">
        <f>+'GRD SUMM RCL 150X150 '!CK22</f>
        <v>0</v>
      </c>
      <c r="AV72" s="3073"/>
      <c r="AW72" s="3073">
        <f t="shared" si="11"/>
        <v>15830.647000000001</v>
      </c>
      <c r="AX72" s="3073"/>
      <c r="AY72" s="5665">
        <f>+'GRD SUMM RCL 150X150 '!CO22</f>
        <v>888.66800000000001</v>
      </c>
      <c r="AZ72" s="3073"/>
      <c r="BA72" s="5665">
        <f t="shared" si="12"/>
        <v>888.66800000000001</v>
      </c>
      <c r="BB72" s="3073"/>
      <c r="BC72" s="5665">
        <f t="shared" si="13"/>
        <v>5540.473</v>
      </c>
      <c r="BD72" s="3073"/>
      <c r="BE72" s="5665">
        <f t="shared" si="14"/>
        <v>16719.315000000002</v>
      </c>
    </row>
    <row r="73" spans="3:57" x14ac:dyDescent="0.25">
      <c r="C73" s="2" t="s">
        <v>1879</v>
      </c>
      <c r="D73" s="283"/>
      <c r="E73" s="5665">
        <f>+'GRD SUMM RCL 150X150 '!AU26</f>
        <v>0</v>
      </c>
      <c r="F73" s="3073"/>
      <c r="G73" s="5665">
        <f>+'GRD SUMM RCL 150X150 '!AW26</f>
        <v>0</v>
      </c>
      <c r="H73" s="3073"/>
      <c r="I73" s="3073">
        <f t="shared" si="0"/>
        <v>0</v>
      </c>
      <c r="J73" s="3073"/>
      <c r="K73" s="5665">
        <f>+'GRD SUMM RCL 150X150 '!BA26</f>
        <v>0</v>
      </c>
      <c r="L73" s="3073"/>
      <c r="M73" s="3073">
        <f t="shared" si="1"/>
        <v>0</v>
      </c>
      <c r="N73" s="3073"/>
      <c r="O73" s="5665">
        <f>+'GRD SUMM RCL 150X150 '!BE26</f>
        <v>0</v>
      </c>
      <c r="P73" s="3073"/>
      <c r="Q73" s="3073">
        <f t="shared" si="2"/>
        <v>0</v>
      </c>
      <c r="R73" s="3073"/>
      <c r="S73" s="5665">
        <f>+'GRD SUMM RCL 150X150 '!BI26</f>
        <v>0</v>
      </c>
      <c r="T73" s="3073"/>
      <c r="U73" s="3073">
        <f t="shared" si="3"/>
        <v>0</v>
      </c>
      <c r="V73" s="3073"/>
      <c r="W73" s="5665">
        <f>+'GRD SUMM RCL 150X150 '!BM26</f>
        <v>0</v>
      </c>
      <c r="X73" s="3073"/>
      <c r="Y73" s="3073">
        <f t="shared" si="4"/>
        <v>0</v>
      </c>
      <c r="Z73" s="3073"/>
      <c r="AA73" s="3073">
        <f t="shared" si="5"/>
        <v>0</v>
      </c>
      <c r="AB73" s="3073"/>
      <c r="AC73" s="5665">
        <f>+'GRD SUMM RCL 150X150 '!BS26</f>
        <v>0</v>
      </c>
      <c r="AD73" s="3073"/>
      <c r="AE73" s="3073">
        <f t="shared" si="6"/>
        <v>0</v>
      </c>
      <c r="AF73" s="3073"/>
      <c r="AG73" s="5665">
        <f>+'GRD SUMM RCL 150X150 '!BW26</f>
        <v>0</v>
      </c>
      <c r="AH73" s="3073"/>
      <c r="AI73" s="3073">
        <f t="shared" si="7"/>
        <v>0</v>
      </c>
      <c r="AJ73" s="3073"/>
      <c r="AK73" s="6943">
        <f>+'GRD SUMM RCL 150X150 '!CA26</f>
        <v>0</v>
      </c>
      <c r="AL73" s="3073"/>
      <c r="AM73" s="3073">
        <f t="shared" si="8"/>
        <v>0</v>
      </c>
      <c r="AN73" s="3073"/>
      <c r="AO73" s="3073">
        <f t="shared" si="9"/>
        <v>0</v>
      </c>
      <c r="AP73" s="3073"/>
      <c r="AQ73" s="5665">
        <f>+'GRD SUMM RCL 150X150 '!CG26</f>
        <v>0</v>
      </c>
      <c r="AR73" s="3073"/>
      <c r="AS73" s="3073">
        <f t="shared" si="10"/>
        <v>0</v>
      </c>
      <c r="AT73" s="3073"/>
      <c r="AU73" s="5665">
        <f>+'GRD SUMM RCL 150X150 '!CK26</f>
        <v>0</v>
      </c>
      <c r="AV73" s="3073"/>
      <c r="AW73" s="3073">
        <f t="shared" si="11"/>
        <v>0</v>
      </c>
      <c r="AX73" s="3073"/>
      <c r="AY73" s="5665">
        <f>+'GRD SUMM RCL 150X150 '!CO26</f>
        <v>0</v>
      </c>
      <c r="AZ73" s="3073"/>
      <c r="BA73" s="5665">
        <f t="shared" si="12"/>
        <v>0</v>
      </c>
      <c r="BB73" s="3073"/>
      <c r="BC73" s="5665">
        <f t="shared" si="13"/>
        <v>0</v>
      </c>
      <c r="BD73" s="3073"/>
      <c r="BE73" s="5665">
        <f t="shared" si="14"/>
        <v>0</v>
      </c>
    </row>
    <row r="74" spans="3:57" s="4233" customFormat="1" x14ac:dyDescent="0.25">
      <c r="C74" s="2" t="s">
        <v>1482</v>
      </c>
      <c r="D74" s="283"/>
      <c r="E74" s="5665">
        <f>+'GRD SUMM RCL 150X150 '!AU37</f>
        <v>0</v>
      </c>
      <c r="F74" s="3073"/>
      <c r="G74" s="5665">
        <f>+'GRD SUMM RCL 150X150 '!AW37</f>
        <v>0</v>
      </c>
      <c r="H74" s="3073"/>
      <c r="I74" s="3073">
        <f t="shared" si="0"/>
        <v>0</v>
      </c>
      <c r="J74" s="3073"/>
      <c r="K74" s="5665">
        <f>+'GRD SUMM RCL 150X150 '!BA37</f>
        <v>0</v>
      </c>
      <c r="L74" s="3073"/>
      <c r="M74" s="3073">
        <f t="shared" si="1"/>
        <v>0</v>
      </c>
      <c r="N74" s="3073"/>
      <c r="O74" s="5665">
        <f>+'GRD SUMM RCL 150X150 '!BE37</f>
        <v>0</v>
      </c>
      <c r="P74" s="3073"/>
      <c r="Q74" s="3073">
        <f t="shared" si="2"/>
        <v>0</v>
      </c>
      <c r="R74" s="3073"/>
      <c r="S74" s="5665">
        <f>+'GRD SUMM RCL 150X150 '!BI37</f>
        <v>0</v>
      </c>
      <c r="T74" s="3073"/>
      <c r="U74" s="3073">
        <f t="shared" si="3"/>
        <v>0</v>
      </c>
      <c r="V74" s="3073"/>
      <c r="W74" s="5665">
        <f>+'GRD SUMM RCL 150X150 '!BM37</f>
        <v>0</v>
      </c>
      <c r="X74" s="3073"/>
      <c r="Y74" s="3073">
        <f t="shared" si="4"/>
        <v>0</v>
      </c>
      <c r="Z74" s="3073"/>
      <c r="AA74" s="3073">
        <f t="shared" si="5"/>
        <v>0</v>
      </c>
      <c r="AB74" s="3073"/>
      <c r="AC74" s="5665">
        <f>+'GRD SUMM RCL 150X150 '!BS37</f>
        <v>0</v>
      </c>
      <c r="AD74" s="3073"/>
      <c r="AE74" s="3073">
        <f t="shared" si="6"/>
        <v>0</v>
      </c>
      <c r="AF74" s="3073"/>
      <c r="AG74" s="5665">
        <f>+'GRD SUMM RCL 150X150 '!BW37</f>
        <v>0</v>
      </c>
      <c r="AH74" s="3073"/>
      <c r="AI74" s="3073">
        <f t="shared" si="7"/>
        <v>0</v>
      </c>
      <c r="AJ74" s="3073"/>
      <c r="AK74" s="6943">
        <f>+'GRD SUMM RCL 150X150 '!CA37</f>
        <v>0</v>
      </c>
      <c r="AL74" s="3073"/>
      <c r="AM74" s="3073">
        <f t="shared" si="8"/>
        <v>0</v>
      </c>
      <c r="AN74" s="3073"/>
      <c r="AO74" s="3073">
        <f t="shared" si="9"/>
        <v>0</v>
      </c>
      <c r="AP74" s="3073"/>
      <c r="AQ74" s="5665">
        <f>+'GRD SUMM RCL 150X150 '!CG37</f>
        <v>0</v>
      </c>
      <c r="AR74" s="3073"/>
      <c r="AS74" s="3073">
        <f t="shared" si="10"/>
        <v>0</v>
      </c>
      <c r="AT74" s="3073"/>
      <c r="AU74" s="5665">
        <f>+'GRD SUMM RCL 150X150 '!CK37</f>
        <v>0</v>
      </c>
      <c r="AV74" s="3073"/>
      <c r="AW74" s="3073">
        <f t="shared" si="11"/>
        <v>0</v>
      </c>
      <c r="AX74" s="3073"/>
      <c r="AY74" s="5665">
        <f>+'GRD SUMM RCL 150X150 '!CO37</f>
        <v>0</v>
      </c>
      <c r="AZ74" s="3073"/>
      <c r="BA74" s="5665">
        <f t="shared" si="12"/>
        <v>0</v>
      </c>
      <c r="BB74" s="3073"/>
      <c r="BC74" s="5665">
        <f t="shared" si="13"/>
        <v>0</v>
      </c>
      <c r="BD74" s="3073"/>
      <c r="BE74" s="5665">
        <f t="shared" si="14"/>
        <v>0</v>
      </c>
    </row>
    <row r="75" spans="3:57" x14ac:dyDescent="0.25">
      <c r="C75" s="2" t="s">
        <v>1364</v>
      </c>
      <c r="D75" s="283"/>
      <c r="E75" s="5665">
        <v>0</v>
      </c>
      <c r="F75" s="3073"/>
      <c r="G75" s="5665">
        <v>0</v>
      </c>
      <c r="H75" s="5665">
        <v>0</v>
      </c>
      <c r="I75" s="5665">
        <v>0</v>
      </c>
      <c r="J75" s="5665">
        <v>0</v>
      </c>
      <c r="K75" s="5665">
        <v>0</v>
      </c>
      <c r="L75" s="5665">
        <v>0</v>
      </c>
      <c r="M75" s="5665">
        <v>0</v>
      </c>
      <c r="N75" s="5665">
        <v>0</v>
      </c>
      <c r="O75" s="5665">
        <v>0</v>
      </c>
      <c r="P75" s="5665">
        <v>0</v>
      </c>
      <c r="Q75" s="5665">
        <v>0</v>
      </c>
      <c r="R75" s="5665">
        <v>0</v>
      </c>
      <c r="S75" s="5665">
        <v>0</v>
      </c>
      <c r="T75" s="5665">
        <v>0</v>
      </c>
      <c r="U75" s="5665">
        <v>0</v>
      </c>
      <c r="V75" s="5665">
        <v>0</v>
      </c>
      <c r="W75" s="5665">
        <v>0</v>
      </c>
      <c r="X75" s="5665">
        <v>0</v>
      </c>
      <c r="Y75" s="5665">
        <v>0</v>
      </c>
      <c r="Z75" s="5665">
        <v>0</v>
      </c>
      <c r="AA75" s="5665">
        <v>0</v>
      </c>
      <c r="AB75" s="5665">
        <v>0</v>
      </c>
      <c r="AC75" s="5665">
        <v>0</v>
      </c>
      <c r="AD75" s="5665">
        <v>0</v>
      </c>
      <c r="AE75" s="5665">
        <v>0</v>
      </c>
      <c r="AF75" s="5665">
        <v>0</v>
      </c>
      <c r="AG75" s="5665">
        <v>0</v>
      </c>
      <c r="AH75" s="3073"/>
      <c r="AI75" s="3073">
        <f t="shared" si="7"/>
        <v>0</v>
      </c>
      <c r="AJ75" s="3073"/>
      <c r="AK75" s="6943">
        <v>0</v>
      </c>
      <c r="AL75" s="3073"/>
      <c r="AM75" s="3073">
        <f t="shared" si="8"/>
        <v>0</v>
      </c>
      <c r="AN75" s="3073"/>
      <c r="AO75" s="3073">
        <f t="shared" si="9"/>
        <v>0</v>
      </c>
      <c r="AP75" s="3073"/>
      <c r="AQ75" s="5665">
        <v>0</v>
      </c>
      <c r="AR75" s="3073"/>
      <c r="AS75" s="3073">
        <f t="shared" si="10"/>
        <v>0</v>
      </c>
      <c r="AT75" s="3073"/>
      <c r="AU75" s="5665">
        <v>0</v>
      </c>
      <c r="AV75" s="3073"/>
      <c r="AW75" s="3073">
        <f t="shared" si="11"/>
        <v>0</v>
      </c>
      <c r="AX75" s="3073"/>
      <c r="AY75" s="5665">
        <v>0</v>
      </c>
      <c r="AZ75" s="3073"/>
      <c r="BA75" s="5665">
        <f t="shared" si="12"/>
        <v>0</v>
      </c>
      <c r="BB75" s="3073"/>
      <c r="BC75" s="5665">
        <f t="shared" si="13"/>
        <v>0</v>
      </c>
      <c r="BD75" s="3073"/>
      <c r="BE75" s="5665">
        <f t="shared" si="14"/>
        <v>0</v>
      </c>
    </row>
    <row r="76" spans="3:57" x14ac:dyDescent="0.25">
      <c r="C76" s="2" t="s">
        <v>1884</v>
      </c>
      <c r="D76" s="283"/>
      <c r="E76" s="5665">
        <f>+'GRD SUMM RCL 150X150 '!AU41</f>
        <v>0</v>
      </c>
      <c r="F76" s="3073"/>
      <c r="G76" s="5665">
        <f>+'GRD SUMM RCL 150X150 '!AW41</f>
        <v>0</v>
      </c>
      <c r="H76" s="3073"/>
      <c r="I76" s="3073">
        <f t="shared" si="0"/>
        <v>0</v>
      </c>
      <c r="J76" s="3073"/>
      <c r="K76" s="5665">
        <f>+'GRD SUMM RCL 150X150 '!BA41</f>
        <v>0</v>
      </c>
      <c r="L76" s="3073"/>
      <c r="M76" s="3073">
        <f t="shared" si="1"/>
        <v>0</v>
      </c>
      <c r="N76" s="3073"/>
      <c r="O76" s="5665">
        <f>+'GRD SUMM RCL 150X150 '!BE41</f>
        <v>0</v>
      </c>
      <c r="P76" s="3073"/>
      <c r="Q76" s="3073">
        <f t="shared" si="2"/>
        <v>0</v>
      </c>
      <c r="R76" s="3073"/>
      <c r="S76" s="5665">
        <f>+'GRD SUMM RCL 150X150 '!BI41</f>
        <v>0</v>
      </c>
      <c r="T76" s="3073"/>
      <c r="U76" s="3073">
        <f t="shared" si="3"/>
        <v>0</v>
      </c>
      <c r="V76" s="3073"/>
      <c r="W76" s="5665">
        <f>+'GRD SUMM RCL 150X150 '!BM41</f>
        <v>0</v>
      </c>
      <c r="X76" s="3073"/>
      <c r="Y76" s="3073">
        <f t="shared" si="4"/>
        <v>0</v>
      </c>
      <c r="Z76" s="3073"/>
      <c r="AA76" s="3073">
        <f t="shared" si="5"/>
        <v>0</v>
      </c>
      <c r="AB76" s="3073"/>
      <c r="AC76" s="5665">
        <f>+'GRD SUMM RCL 150X150 '!BS41</f>
        <v>0</v>
      </c>
      <c r="AD76" s="3073"/>
      <c r="AE76" s="3073">
        <f t="shared" si="6"/>
        <v>0</v>
      </c>
      <c r="AF76" s="3073"/>
      <c r="AG76" s="5665">
        <f>+'GRD SUMM RCL 150X150 '!BW41</f>
        <v>0</v>
      </c>
      <c r="AH76" s="3073"/>
      <c r="AI76" s="3073">
        <f t="shared" si="7"/>
        <v>0</v>
      </c>
      <c r="AJ76" s="3073"/>
      <c r="AK76" s="6943">
        <f>+'GRD SUMM RCL 150X150 '!CA41</f>
        <v>0</v>
      </c>
      <c r="AL76" s="3073"/>
      <c r="AM76" s="3073">
        <f t="shared" si="8"/>
        <v>0</v>
      </c>
      <c r="AN76" s="3073"/>
      <c r="AO76" s="3073">
        <f t="shared" si="9"/>
        <v>0</v>
      </c>
      <c r="AP76" s="3073"/>
      <c r="AQ76" s="5665">
        <f>+'GRD SUMM RCL 150X150 '!CG41</f>
        <v>0</v>
      </c>
      <c r="AR76" s="3073"/>
      <c r="AS76" s="3073">
        <f t="shared" si="10"/>
        <v>0</v>
      </c>
      <c r="AT76" s="3073"/>
      <c r="AU76" s="5665">
        <f>+'GRD SUMM RCL 150X150 '!CK41</f>
        <v>0</v>
      </c>
      <c r="AV76" s="3073"/>
      <c r="AW76" s="3073">
        <f t="shared" si="11"/>
        <v>0</v>
      </c>
      <c r="AX76" s="3073"/>
      <c r="AY76" s="5665">
        <f>+'GRD SUMM RCL 150X150 '!CO41</f>
        <v>0</v>
      </c>
      <c r="AZ76" s="3073"/>
      <c r="BA76" s="5665">
        <f t="shared" si="12"/>
        <v>0</v>
      </c>
      <c r="BB76" s="3073"/>
      <c r="BC76" s="5665">
        <f t="shared" si="13"/>
        <v>0</v>
      </c>
      <c r="BD76" s="3073"/>
      <c r="BE76" s="5665">
        <f t="shared" si="14"/>
        <v>0</v>
      </c>
    </row>
    <row r="77" spans="3:57" x14ac:dyDescent="0.25">
      <c r="C77" s="2" t="s">
        <v>1164</v>
      </c>
      <c r="D77" s="283"/>
      <c r="E77" s="5665">
        <f>+'GRD SUMM RCL 150X150 '!AU42</f>
        <v>3712</v>
      </c>
      <c r="F77" s="3073"/>
      <c r="G77" s="5665">
        <f>+'GRD SUMM RCL 150X150 '!AW42</f>
        <v>0</v>
      </c>
      <c r="H77" s="3073"/>
      <c r="I77" s="3073">
        <f t="shared" si="0"/>
        <v>3712</v>
      </c>
      <c r="J77" s="3073"/>
      <c r="K77" s="5665">
        <f>+'GRD SUMM RCL 150X150 '!BA42</f>
        <v>0</v>
      </c>
      <c r="L77" s="3073"/>
      <c r="M77" s="3073">
        <f t="shared" si="1"/>
        <v>3712</v>
      </c>
      <c r="N77" s="3073"/>
      <c r="O77" s="5665">
        <f>+'GRD SUMM RCL 150X150 '!BE42</f>
        <v>116</v>
      </c>
      <c r="P77" s="3073"/>
      <c r="Q77" s="3073">
        <f t="shared" si="2"/>
        <v>3828</v>
      </c>
      <c r="R77" s="3073"/>
      <c r="S77" s="5665">
        <f>+'GRD SUMM RCL 150X150 '!BI42</f>
        <v>0</v>
      </c>
      <c r="T77" s="3073"/>
      <c r="U77" s="3073">
        <f t="shared" si="3"/>
        <v>3828</v>
      </c>
      <c r="V77" s="3073"/>
      <c r="W77" s="5665">
        <f>+'GRD SUMM RCL 150X150 '!BM42</f>
        <v>0</v>
      </c>
      <c r="X77" s="3073"/>
      <c r="Y77" s="3073">
        <f t="shared" si="4"/>
        <v>116</v>
      </c>
      <c r="Z77" s="3073"/>
      <c r="AA77" s="3073">
        <f t="shared" si="5"/>
        <v>3828</v>
      </c>
      <c r="AB77" s="3073"/>
      <c r="AC77" s="5665">
        <f>+'GRD SUMM RCL 150X150 '!BS42</f>
        <v>0</v>
      </c>
      <c r="AD77" s="3073"/>
      <c r="AE77" s="3073">
        <f t="shared" si="6"/>
        <v>3828</v>
      </c>
      <c r="AF77" s="3073"/>
      <c r="AG77" s="5665">
        <f>+'GRD SUMM RCL 150X150 '!BW42</f>
        <v>2811.6729999999998</v>
      </c>
      <c r="AH77" s="3073"/>
      <c r="AI77" s="3073">
        <f t="shared" si="7"/>
        <v>6639.6729999999998</v>
      </c>
      <c r="AJ77" s="3073"/>
      <c r="AK77" s="6943">
        <f>+'GRD SUMM RCL 150X150 '!CA42</f>
        <v>4018</v>
      </c>
      <c r="AL77" s="3073"/>
      <c r="AM77" s="3073">
        <f t="shared" si="8"/>
        <v>6829.6729999999998</v>
      </c>
      <c r="AN77" s="3073"/>
      <c r="AO77" s="3073">
        <f t="shared" si="9"/>
        <v>10657.672999999999</v>
      </c>
      <c r="AP77" s="3073"/>
      <c r="AQ77" s="5665">
        <f>+'GRD SUMM RCL 150X150 '!CG42</f>
        <v>2120</v>
      </c>
      <c r="AR77" s="3073"/>
      <c r="AS77" s="3073">
        <f t="shared" si="10"/>
        <v>12777.672999999999</v>
      </c>
      <c r="AT77" s="3073"/>
      <c r="AU77" s="5665">
        <f>+'GRD SUMM RCL 150X150 '!CK42</f>
        <v>0</v>
      </c>
      <c r="AV77" s="3073"/>
      <c r="AW77" s="3073">
        <f t="shared" si="11"/>
        <v>12777.672999999999</v>
      </c>
      <c r="AX77" s="3073"/>
      <c r="AY77" s="5665">
        <f>+'GRD SUMM RCL 150X150 '!CO42</f>
        <v>1239.4580000000001</v>
      </c>
      <c r="AZ77" s="3073"/>
      <c r="BA77" s="5665">
        <f t="shared" si="12"/>
        <v>3359.4580000000001</v>
      </c>
      <c r="BB77" s="3073"/>
      <c r="BC77" s="5665">
        <f t="shared" si="13"/>
        <v>10189.130999999999</v>
      </c>
      <c r="BD77" s="3073"/>
      <c r="BE77" s="5665">
        <f t="shared" si="14"/>
        <v>14017.130999999999</v>
      </c>
    </row>
    <row r="78" spans="3:57" s="4233" customFormat="1" x14ac:dyDescent="0.25">
      <c r="C78" s="2" t="s">
        <v>1163</v>
      </c>
      <c r="D78" s="283"/>
      <c r="E78" s="5665">
        <f>+'GRD SUMM RCL 150X150 '!AU44</f>
        <v>0</v>
      </c>
      <c r="F78" s="3073"/>
      <c r="G78" s="5665">
        <f>+'GRD SUMM RCL 150X150 '!AW44</f>
        <v>0</v>
      </c>
      <c r="H78" s="3073"/>
      <c r="I78" s="3073">
        <f t="shared" si="0"/>
        <v>0</v>
      </c>
      <c r="J78" s="3073"/>
      <c r="K78" s="5665">
        <f>+'GRD SUMM RCL 150X150 '!BA44</f>
        <v>5439</v>
      </c>
      <c r="L78" s="3073"/>
      <c r="M78" s="3073">
        <f t="shared" si="1"/>
        <v>5439</v>
      </c>
      <c r="N78" s="3073"/>
      <c r="O78" s="5665">
        <f>+'GRD SUMM RCL 150X150 '!BE44</f>
        <v>0</v>
      </c>
      <c r="P78" s="3073"/>
      <c r="Q78" s="3073">
        <f t="shared" si="2"/>
        <v>5439</v>
      </c>
      <c r="R78" s="3073"/>
      <c r="S78" s="5665">
        <f>+'GRD SUMM RCL 150X150 '!BI44</f>
        <v>6337.7719999999999</v>
      </c>
      <c r="T78" s="3073"/>
      <c r="U78" s="3073">
        <f t="shared" si="3"/>
        <v>11776.772000000001</v>
      </c>
      <c r="V78" s="3073"/>
      <c r="W78" s="5665">
        <f>+'GRD SUMM RCL 150X150 '!BM44</f>
        <v>4135</v>
      </c>
      <c r="X78" s="3073"/>
      <c r="Y78" s="3073">
        <f t="shared" si="4"/>
        <v>10472.772000000001</v>
      </c>
      <c r="Z78" s="3073"/>
      <c r="AA78" s="3073">
        <f t="shared" si="5"/>
        <v>15911.772000000001</v>
      </c>
      <c r="AB78" s="3073"/>
      <c r="AC78" s="5665">
        <f>+'GRD SUMM RCL 150X150 '!BS44</f>
        <v>6917</v>
      </c>
      <c r="AD78" s="3073"/>
      <c r="AE78" s="3073">
        <f t="shared" si="6"/>
        <v>22828.772000000001</v>
      </c>
      <c r="AF78" s="3073"/>
      <c r="AG78" s="5665">
        <f>+'GRD SUMM RCL 150X150 '!BW44</f>
        <v>0</v>
      </c>
      <c r="AH78" s="3073"/>
      <c r="AI78" s="3073">
        <f t="shared" si="7"/>
        <v>22828.772000000001</v>
      </c>
      <c r="AJ78" s="3073"/>
      <c r="AK78" s="6943">
        <f>+'GRD SUMM RCL 150X150 '!CA44</f>
        <v>0</v>
      </c>
      <c r="AL78" s="3073"/>
      <c r="AM78" s="3073">
        <f t="shared" si="8"/>
        <v>6917</v>
      </c>
      <c r="AN78" s="3073"/>
      <c r="AO78" s="3073">
        <f t="shared" si="9"/>
        <v>22828.772000000001</v>
      </c>
      <c r="AP78" s="3073"/>
      <c r="AQ78" s="5665">
        <f>+'GRD SUMM RCL 150X150 '!CG44</f>
        <v>0</v>
      </c>
      <c r="AR78" s="3073"/>
      <c r="AS78" s="3073">
        <f t="shared" si="10"/>
        <v>22828.772000000001</v>
      </c>
      <c r="AT78" s="3073"/>
      <c r="AU78" s="5665">
        <f>+'GRD SUMM RCL 150X150 '!CK44</f>
        <v>0</v>
      </c>
      <c r="AV78" s="3073"/>
      <c r="AW78" s="3073">
        <f t="shared" si="11"/>
        <v>22828.772000000001</v>
      </c>
      <c r="AX78" s="3073"/>
      <c r="AY78" s="5665">
        <f>+'GRD SUMM RCL 150X150 '!CO44</f>
        <v>0</v>
      </c>
      <c r="AZ78" s="3073"/>
      <c r="BA78" s="5665">
        <f t="shared" si="12"/>
        <v>0</v>
      </c>
      <c r="BB78" s="3073"/>
      <c r="BC78" s="5665">
        <f t="shared" si="13"/>
        <v>6917</v>
      </c>
      <c r="BD78" s="3073"/>
      <c r="BE78" s="5665">
        <f t="shared" si="14"/>
        <v>22828.772000000001</v>
      </c>
    </row>
    <row r="79" spans="3:57" x14ac:dyDescent="0.25">
      <c r="C79" s="2" t="s">
        <v>1878</v>
      </c>
      <c r="D79" s="283"/>
      <c r="E79" s="5665">
        <f>+'GRD SUMM RCL 150X150 '!AU46</f>
        <v>0</v>
      </c>
      <c r="F79" s="3073"/>
      <c r="G79" s="5665">
        <f>+'GRD SUMM RCL 150X150 '!AW46</f>
        <v>95</v>
      </c>
      <c r="H79" s="3073"/>
      <c r="I79" s="3073">
        <f t="shared" si="0"/>
        <v>95</v>
      </c>
      <c r="J79" s="3073"/>
      <c r="K79" s="5665">
        <f>+'GRD SUMM RCL 150X150 '!BA46</f>
        <v>0</v>
      </c>
      <c r="L79" s="3073"/>
      <c r="M79" s="3073">
        <f t="shared" si="1"/>
        <v>95</v>
      </c>
      <c r="N79" s="3073"/>
      <c r="O79" s="5665">
        <f>+'GRD SUMM RCL 150X150 '!BE46</f>
        <v>0</v>
      </c>
      <c r="P79" s="3073"/>
      <c r="Q79" s="3073">
        <f t="shared" si="2"/>
        <v>95</v>
      </c>
      <c r="R79" s="3073"/>
      <c r="S79" s="5665">
        <f>+'GRD SUMM RCL 150X150 '!BI46</f>
        <v>0</v>
      </c>
      <c r="T79" s="3073"/>
      <c r="U79" s="3073">
        <f t="shared" si="3"/>
        <v>95</v>
      </c>
      <c r="V79" s="3073"/>
      <c r="W79" s="5665">
        <f>+'GRD SUMM RCL 150X150 '!BM46</f>
        <v>0</v>
      </c>
      <c r="X79" s="3073"/>
      <c r="Y79" s="3073">
        <f t="shared" si="4"/>
        <v>0</v>
      </c>
      <c r="Z79" s="3073"/>
      <c r="AA79" s="3073">
        <f t="shared" si="5"/>
        <v>95</v>
      </c>
      <c r="AB79" s="3073"/>
      <c r="AC79" s="5665">
        <f>+'GRD SUMM RCL 150X150 '!BS46</f>
        <v>0</v>
      </c>
      <c r="AD79" s="3073"/>
      <c r="AE79" s="3073">
        <f t="shared" si="6"/>
        <v>95</v>
      </c>
      <c r="AF79" s="3073"/>
      <c r="AG79" s="5665">
        <f>+'GRD SUMM RCL 150X150 '!BW46</f>
        <v>0</v>
      </c>
      <c r="AH79" s="3073"/>
      <c r="AI79" s="3073">
        <f t="shared" si="7"/>
        <v>95</v>
      </c>
      <c r="AJ79" s="3073"/>
      <c r="AK79" s="6943">
        <f>+'GRD SUMM RCL 150X150 '!CA46</f>
        <v>0</v>
      </c>
      <c r="AL79" s="3073"/>
      <c r="AM79" s="3073">
        <f t="shared" si="8"/>
        <v>0</v>
      </c>
      <c r="AN79" s="3073"/>
      <c r="AO79" s="3073">
        <f t="shared" si="9"/>
        <v>95</v>
      </c>
      <c r="AP79" s="3073"/>
      <c r="AQ79" s="5665">
        <f>+'GRD SUMM RCL 150X150 '!CG46</f>
        <v>104</v>
      </c>
      <c r="AR79" s="3073"/>
      <c r="AS79" s="3073">
        <f t="shared" si="10"/>
        <v>199</v>
      </c>
      <c r="AT79" s="3073"/>
      <c r="AU79" s="5665">
        <f>+'GRD SUMM RCL 150X150 '!CK46</f>
        <v>0</v>
      </c>
      <c r="AV79" s="3073"/>
      <c r="AW79" s="3073">
        <f t="shared" si="11"/>
        <v>199</v>
      </c>
      <c r="AX79" s="3073"/>
      <c r="AY79" s="5665">
        <f>+'GRD SUMM RCL 150X150 '!CO46</f>
        <v>0</v>
      </c>
      <c r="AZ79" s="3073"/>
      <c r="BA79" s="5665">
        <f t="shared" si="12"/>
        <v>104</v>
      </c>
      <c r="BB79" s="3073"/>
      <c r="BC79" s="5665">
        <f t="shared" si="13"/>
        <v>104</v>
      </c>
      <c r="BD79" s="3073"/>
      <c r="BE79" s="5665">
        <f t="shared" si="14"/>
        <v>199</v>
      </c>
    </row>
    <row r="80" spans="3:57" x14ac:dyDescent="0.25">
      <c r="C80" s="2" t="s">
        <v>1163</v>
      </c>
      <c r="D80" s="283"/>
      <c r="E80" s="5665">
        <f>+'GRD SUMM RCL 150X150 '!AU47</f>
        <v>0</v>
      </c>
      <c r="F80" s="3073"/>
      <c r="G80" s="5665">
        <f>+'GRD SUMM RCL 150X150 '!AW47</f>
        <v>4524</v>
      </c>
      <c r="H80" s="3073"/>
      <c r="I80" s="3073">
        <f t="shared" si="0"/>
        <v>4524</v>
      </c>
      <c r="J80" s="3073"/>
      <c r="K80" s="5665">
        <f>+'GRD SUMM RCL 150X150 '!BA47</f>
        <v>0</v>
      </c>
      <c r="L80" s="3073"/>
      <c r="M80" s="3073">
        <f t="shared" si="1"/>
        <v>4524</v>
      </c>
      <c r="N80" s="3073"/>
      <c r="O80" s="5665">
        <f>+'GRD SUMM RCL 150X150 '!BE47</f>
        <v>0</v>
      </c>
      <c r="P80" s="3073"/>
      <c r="Q80" s="3073">
        <f t="shared" si="2"/>
        <v>4524</v>
      </c>
      <c r="R80" s="3073"/>
      <c r="S80" s="5665">
        <f>+'GRD SUMM RCL 150X150 '!BI47</f>
        <v>0</v>
      </c>
      <c r="T80" s="3073"/>
      <c r="U80" s="3073">
        <f t="shared" si="3"/>
        <v>4524</v>
      </c>
      <c r="V80" s="3073"/>
      <c r="W80" s="5665">
        <f>+'GRD SUMM RCL 150X150 '!BM47</f>
        <v>0</v>
      </c>
      <c r="X80" s="3073"/>
      <c r="Y80" s="3073">
        <f t="shared" si="4"/>
        <v>0</v>
      </c>
      <c r="Z80" s="3073"/>
      <c r="AA80" s="3073">
        <f t="shared" si="5"/>
        <v>4524</v>
      </c>
      <c r="AB80" s="3073"/>
      <c r="AC80" s="5665">
        <f>+'GRD SUMM RCL 150X150 '!BS47</f>
        <v>0</v>
      </c>
      <c r="AD80" s="3073"/>
      <c r="AE80" s="3073">
        <f t="shared" si="6"/>
        <v>4524</v>
      </c>
      <c r="AF80" s="3073"/>
      <c r="AG80" s="5665">
        <f>+'GRD SUMM RCL 150X150 '!BW47</f>
        <v>0</v>
      </c>
      <c r="AH80" s="3073"/>
      <c r="AI80" s="3073">
        <f t="shared" si="7"/>
        <v>4524</v>
      </c>
      <c r="AJ80" s="3073"/>
      <c r="AK80" s="6943">
        <f>+'GRD SUMM RCL 150X150 '!CA47</f>
        <v>0</v>
      </c>
      <c r="AL80" s="3073"/>
      <c r="AM80" s="3073">
        <f t="shared" si="8"/>
        <v>0</v>
      </c>
      <c r="AN80" s="3073"/>
      <c r="AO80" s="3073">
        <f t="shared" si="9"/>
        <v>4524</v>
      </c>
      <c r="AP80" s="3073"/>
      <c r="AQ80" s="5665">
        <f>+'GRD SUMM RCL 150X150 '!CG47</f>
        <v>0</v>
      </c>
      <c r="AR80" s="3073"/>
      <c r="AS80" s="3073">
        <f t="shared" si="10"/>
        <v>4524</v>
      </c>
      <c r="AT80" s="3073"/>
      <c r="AU80" s="5665">
        <f>+'GRD SUMM RCL 150X150 '!CK47</f>
        <v>0</v>
      </c>
      <c r="AV80" s="3073"/>
      <c r="AW80" s="3073">
        <f t="shared" si="11"/>
        <v>4524</v>
      </c>
      <c r="AX80" s="3073"/>
      <c r="AY80" s="5665">
        <f>+'GRD SUMM RCL 150X150 '!CO47</f>
        <v>0</v>
      </c>
      <c r="AZ80" s="3073"/>
      <c r="BA80" s="5665">
        <f t="shared" si="12"/>
        <v>0</v>
      </c>
      <c r="BB80" s="3073"/>
      <c r="BC80" s="5665">
        <f t="shared" si="13"/>
        <v>0</v>
      </c>
      <c r="BD80" s="3073"/>
      <c r="BE80" s="5665">
        <f t="shared" si="14"/>
        <v>4524</v>
      </c>
    </row>
    <row r="81" spans="3:59" x14ac:dyDescent="0.25">
      <c r="C81" s="2" t="s">
        <v>1883</v>
      </c>
      <c r="D81" s="283"/>
      <c r="E81" s="5665">
        <f>+'GRD SUMM RCL 150X150 '!AU48</f>
        <v>1424</v>
      </c>
      <c r="F81" s="3073"/>
      <c r="G81" s="5665">
        <f>+'GRD SUMM RCL 150X150 '!AW48</f>
        <v>0</v>
      </c>
      <c r="H81" s="3073"/>
      <c r="I81" s="3073">
        <f t="shared" si="0"/>
        <v>1424</v>
      </c>
      <c r="J81" s="3073"/>
      <c r="K81" s="5665">
        <f>+'GRD SUMM RCL 150X150 '!BA48</f>
        <v>2558</v>
      </c>
      <c r="L81" s="3073"/>
      <c r="M81" s="3073">
        <f t="shared" si="1"/>
        <v>3982</v>
      </c>
      <c r="N81" s="3073"/>
      <c r="O81" s="5665">
        <f>+'GRD SUMM RCL 150X150 '!BE48</f>
        <v>0</v>
      </c>
      <c r="P81" s="3073"/>
      <c r="Q81" s="3073">
        <f t="shared" si="2"/>
        <v>3982</v>
      </c>
      <c r="R81" s="3073"/>
      <c r="S81" s="5665">
        <f>+'GRD SUMM RCL 150X150 '!BI48</f>
        <v>0</v>
      </c>
      <c r="T81" s="3073"/>
      <c r="U81" s="3073">
        <f t="shared" si="3"/>
        <v>3982</v>
      </c>
      <c r="V81" s="3073"/>
      <c r="W81" s="5665">
        <f>+'GRD SUMM RCL 150X150 '!BM48</f>
        <v>235</v>
      </c>
      <c r="X81" s="3073"/>
      <c r="Y81" s="3073">
        <f t="shared" si="4"/>
        <v>235</v>
      </c>
      <c r="Z81" s="3073"/>
      <c r="AA81" s="3073">
        <f t="shared" si="5"/>
        <v>4217</v>
      </c>
      <c r="AB81" s="3073"/>
      <c r="AC81" s="5665">
        <f>+'GRD SUMM RCL 150X150 '!BS48</f>
        <v>717</v>
      </c>
      <c r="AD81" s="3073"/>
      <c r="AE81" s="3073">
        <f t="shared" si="6"/>
        <v>4934</v>
      </c>
      <c r="AF81" s="3073"/>
      <c r="AG81" s="5665">
        <f>+'GRD SUMM RCL 150X150 '!BW48</f>
        <v>731.09799999999996</v>
      </c>
      <c r="AH81" s="3073"/>
      <c r="AI81" s="3073">
        <f t="shared" si="7"/>
        <v>5665.098</v>
      </c>
      <c r="AJ81" s="3073"/>
      <c r="AK81" s="6943">
        <f>+'GRD SUMM RCL 150X150 '!CA48</f>
        <v>247</v>
      </c>
      <c r="AL81" s="3073"/>
      <c r="AM81" s="3073">
        <f t="shared" si="8"/>
        <v>1695.098</v>
      </c>
      <c r="AN81" s="3073"/>
      <c r="AO81" s="3073">
        <f t="shared" si="9"/>
        <v>5912.098</v>
      </c>
      <c r="AP81" s="3073"/>
      <c r="AQ81" s="5665">
        <f>+'GRD SUMM RCL 150X150 '!CG48</f>
        <v>0</v>
      </c>
      <c r="AR81" s="3073"/>
      <c r="AS81" s="3073">
        <f t="shared" si="10"/>
        <v>5912.098</v>
      </c>
      <c r="AT81" s="3073"/>
      <c r="AU81" s="5665">
        <f>+'GRD SUMM RCL 150X150 '!CK48</f>
        <v>0</v>
      </c>
      <c r="AV81" s="3073"/>
      <c r="AW81" s="3073">
        <f t="shared" si="11"/>
        <v>5912.098</v>
      </c>
      <c r="AX81" s="3073"/>
      <c r="AY81" s="5665">
        <f>+'GRD SUMM RCL 150X150 '!CO48</f>
        <v>1388.278</v>
      </c>
      <c r="AZ81" s="3073"/>
      <c r="BA81" s="5665">
        <f t="shared" si="12"/>
        <v>1388.278</v>
      </c>
      <c r="BB81" s="3073"/>
      <c r="BC81" s="5665">
        <f t="shared" si="13"/>
        <v>3083.3760000000002</v>
      </c>
      <c r="BD81" s="3073"/>
      <c r="BE81" s="5665">
        <f t="shared" si="14"/>
        <v>7300.3760000000002</v>
      </c>
    </row>
    <row r="82" spans="3:59" s="4487" customFormat="1" x14ac:dyDescent="0.25">
      <c r="C82" s="6070" t="str">
        <f>+'GRD SUMM RCL 150X150 '!E49</f>
        <v>BLOOM CB C25 HMN MA V65 150*150</v>
      </c>
      <c r="D82" s="7683"/>
      <c r="E82" s="5665">
        <f>+'GRD SUMM RCL 150X150 '!AU49</f>
        <v>134</v>
      </c>
      <c r="F82" s="7684"/>
      <c r="G82" s="6072"/>
      <c r="H82" s="7684"/>
      <c r="I82" s="7684"/>
      <c r="J82" s="7684"/>
      <c r="K82" s="6072"/>
      <c r="L82" s="7684"/>
      <c r="M82" s="7684"/>
      <c r="N82" s="7684"/>
      <c r="O82" s="6072"/>
      <c r="P82" s="7684"/>
      <c r="Q82" s="7684"/>
      <c r="R82" s="7684"/>
      <c r="S82" s="6072"/>
      <c r="T82" s="7684"/>
      <c r="U82" s="7684"/>
      <c r="V82" s="7684"/>
      <c r="W82" s="6072"/>
      <c r="X82" s="7684"/>
      <c r="Y82" s="7684"/>
      <c r="Z82" s="7684"/>
      <c r="AA82" s="7684"/>
      <c r="AB82" s="7684"/>
      <c r="AC82" s="6072"/>
      <c r="AD82" s="7684"/>
      <c r="AE82" s="7684"/>
      <c r="AF82" s="7684"/>
      <c r="AG82" s="6072"/>
      <c r="AH82" s="7684"/>
      <c r="AI82" s="7684"/>
      <c r="AJ82" s="7684"/>
      <c r="AK82" s="6944"/>
      <c r="AL82" s="7684"/>
      <c r="AM82" s="7684"/>
      <c r="AN82" s="7684"/>
      <c r="AO82" s="7684"/>
      <c r="AP82" s="7684"/>
      <c r="AQ82" s="6072"/>
      <c r="AR82" s="7684"/>
      <c r="AS82" s="7684"/>
      <c r="AT82" s="7684"/>
      <c r="AU82" s="6072"/>
      <c r="AV82" s="7684"/>
      <c r="AW82" s="7684"/>
      <c r="AX82" s="7684"/>
      <c r="AY82" s="6072"/>
      <c r="AZ82" s="7684"/>
      <c r="BA82" s="6072"/>
      <c r="BB82" s="7684"/>
      <c r="BC82" s="6072"/>
      <c r="BD82" s="7684"/>
      <c r="BE82" s="6072"/>
    </row>
    <row r="83" spans="3:59" x14ac:dyDescent="0.25">
      <c r="C83" s="2" t="s">
        <v>1826</v>
      </c>
      <c r="D83" s="283"/>
      <c r="E83" s="5665">
        <f>+'GRD SUMM RCL 150X150 '!AU50</f>
        <v>6490</v>
      </c>
      <c r="F83" s="3073"/>
      <c r="G83" s="5665">
        <f>+'GRD SUMM RCL 150X150 '!AW50</f>
        <v>8</v>
      </c>
      <c r="H83" s="3073"/>
      <c r="I83" s="3073">
        <f t="shared" si="0"/>
        <v>6498</v>
      </c>
      <c r="J83" s="3073"/>
      <c r="K83" s="5665">
        <f>+'GRD SUMM RCL 150X150 '!BA50</f>
        <v>2</v>
      </c>
      <c r="L83" s="3073"/>
      <c r="M83" s="3073">
        <f t="shared" si="1"/>
        <v>6500</v>
      </c>
      <c r="N83" s="3073"/>
      <c r="O83" s="5665">
        <f>+'GRD SUMM RCL 150X150 '!BE50</f>
        <v>76</v>
      </c>
      <c r="P83" s="3073"/>
      <c r="Q83" s="3073">
        <f t="shared" si="2"/>
        <v>6576</v>
      </c>
      <c r="R83" s="3073"/>
      <c r="S83" s="5665">
        <f>+'GRD SUMM RCL 150X150 '!BI50</f>
        <v>14.798</v>
      </c>
      <c r="T83" s="3073"/>
      <c r="U83" s="3073">
        <f t="shared" si="3"/>
        <v>6590.7979999999998</v>
      </c>
      <c r="V83" s="3073"/>
      <c r="W83" s="5665">
        <f>+'GRD SUMM RCL 150X150 '!BM50</f>
        <v>2913</v>
      </c>
      <c r="X83" s="3073"/>
      <c r="Y83" s="3073">
        <f t="shared" si="4"/>
        <v>3003.7979999999998</v>
      </c>
      <c r="Z83" s="3073"/>
      <c r="AA83" s="3073">
        <f t="shared" si="5"/>
        <v>9503.7979999999989</v>
      </c>
      <c r="AB83" s="3073"/>
      <c r="AC83" s="5665">
        <f>+'GRD SUMM RCL 150X150 '!BS50</f>
        <v>21</v>
      </c>
      <c r="AD83" s="3073"/>
      <c r="AE83" s="3073">
        <f t="shared" si="6"/>
        <v>9524.7979999999989</v>
      </c>
      <c r="AF83" s="3073"/>
      <c r="AG83" s="5665">
        <f>+'GRD SUMM RCL 150X150 '!BW50</f>
        <v>31.850999999999999</v>
      </c>
      <c r="AH83" s="3073"/>
      <c r="AI83" s="3073">
        <f t="shared" si="7"/>
        <v>9556.6489999999994</v>
      </c>
      <c r="AJ83" s="3073"/>
      <c r="AK83" s="6943">
        <f>+'GRD SUMM RCL 150X150 '!CA50</f>
        <v>2079</v>
      </c>
      <c r="AL83" s="3073"/>
      <c r="AM83" s="3073">
        <f t="shared" si="8"/>
        <v>2131.8510000000001</v>
      </c>
      <c r="AN83" s="3073"/>
      <c r="AO83" s="3073">
        <f t="shared" si="9"/>
        <v>11635.649000000001</v>
      </c>
      <c r="AP83" s="3073"/>
      <c r="AQ83" s="5665">
        <f>+'GRD SUMM RCL 150X150 '!CG50</f>
        <v>38</v>
      </c>
      <c r="AR83" s="3073"/>
      <c r="AS83" s="3073">
        <f t="shared" si="10"/>
        <v>11673.649000000001</v>
      </c>
      <c r="AT83" s="3073"/>
      <c r="AU83" s="5665">
        <f>+'GRD SUMM RCL 150X150 '!CK50</f>
        <v>51.024000000000001</v>
      </c>
      <c r="AV83" s="3073"/>
      <c r="AW83" s="3073">
        <f t="shared" si="11"/>
        <v>11724.673000000001</v>
      </c>
      <c r="AX83" s="3073"/>
      <c r="AY83" s="5665">
        <f>+'GRD SUMM RCL 150X150 '!CO50</f>
        <v>70.158000000000001</v>
      </c>
      <c r="AZ83" s="3073"/>
      <c r="BA83" s="5665">
        <f t="shared" si="12"/>
        <v>159.18200000000002</v>
      </c>
      <c r="BB83" s="3073"/>
      <c r="BC83" s="5665">
        <f t="shared" si="13"/>
        <v>2291.0330000000004</v>
      </c>
      <c r="BD83" s="3073"/>
      <c r="BE83" s="5665">
        <f t="shared" si="14"/>
        <v>11794.830999999998</v>
      </c>
    </row>
    <row r="84" spans="3:59" x14ac:dyDescent="0.25">
      <c r="C84" s="2" t="s">
        <v>1165</v>
      </c>
      <c r="D84" s="283"/>
      <c r="E84" s="5665">
        <f>+'GRD SUMM RCL 150X150 '!AU51</f>
        <v>10001</v>
      </c>
      <c r="F84" s="3073"/>
      <c r="G84" s="5665">
        <f>+'GRD SUMM RCL 150X150 '!AW51</f>
        <v>3397</v>
      </c>
      <c r="H84" s="3073"/>
      <c r="I84" s="3073">
        <f t="shared" si="0"/>
        <v>13398</v>
      </c>
      <c r="J84" s="3073"/>
      <c r="K84" s="5665">
        <f>+'GRD SUMM RCL 150X150 '!BA51</f>
        <v>941</v>
      </c>
      <c r="L84" s="3073"/>
      <c r="M84" s="3073">
        <f t="shared" si="1"/>
        <v>14339</v>
      </c>
      <c r="N84" s="3073"/>
      <c r="O84" s="5665">
        <f>+'GRD SUMM RCL 150X150 '!BE51</f>
        <v>2372</v>
      </c>
      <c r="P84" s="3073"/>
      <c r="Q84" s="3073">
        <f t="shared" si="2"/>
        <v>16711</v>
      </c>
      <c r="R84" s="3073"/>
      <c r="S84" s="5665">
        <f>+'GRD SUMM RCL 150X150 '!BI51</f>
        <v>3259.788</v>
      </c>
      <c r="T84" s="3073"/>
      <c r="U84" s="3073">
        <f t="shared" si="3"/>
        <v>19970.788</v>
      </c>
      <c r="V84" s="3073"/>
      <c r="W84" s="5665">
        <f>+'GRD SUMM RCL 150X150 '!BM51</f>
        <v>3979</v>
      </c>
      <c r="X84" s="3073"/>
      <c r="Y84" s="3073">
        <f t="shared" si="4"/>
        <v>9610.7880000000005</v>
      </c>
      <c r="Z84" s="3073"/>
      <c r="AA84" s="3073">
        <f t="shared" si="5"/>
        <v>23949.788</v>
      </c>
      <c r="AB84" s="3073"/>
      <c r="AC84" s="5665">
        <f>+'GRD SUMM RCL 150X150 '!BS51</f>
        <v>4522</v>
      </c>
      <c r="AD84" s="3073"/>
      <c r="AE84" s="3073">
        <f t="shared" si="6"/>
        <v>28471.788</v>
      </c>
      <c r="AF84" s="3073"/>
      <c r="AG84" s="5665">
        <f>+'GRD SUMM RCL 150X150 '!BW51</f>
        <v>7502.0290000000005</v>
      </c>
      <c r="AH84" s="3073"/>
      <c r="AI84" s="3073">
        <f t="shared" si="7"/>
        <v>35973.816999999995</v>
      </c>
      <c r="AJ84" s="3073"/>
      <c r="AK84" s="6943">
        <f>+'GRD SUMM RCL 150X150 '!CA51</f>
        <v>1665</v>
      </c>
      <c r="AL84" s="3073"/>
      <c r="AM84" s="3073">
        <f t="shared" si="8"/>
        <v>13689.029</v>
      </c>
      <c r="AN84" s="3073"/>
      <c r="AO84" s="3073">
        <f t="shared" si="9"/>
        <v>37638.817000000003</v>
      </c>
      <c r="AP84" s="3073"/>
      <c r="AQ84" s="5665">
        <f>+'GRD SUMM RCL 150X150 '!CG51</f>
        <v>1909</v>
      </c>
      <c r="AR84" s="3073"/>
      <c r="AS84" s="3073">
        <f t="shared" si="10"/>
        <v>39547.817000000003</v>
      </c>
      <c r="AT84" s="3073"/>
      <c r="AU84" s="5665">
        <f>+'GRD SUMM RCL 150X150 '!CK51</f>
        <v>471.97199999999998</v>
      </c>
      <c r="AV84" s="3073"/>
      <c r="AW84" s="3073">
        <f t="shared" si="11"/>
        <v>40019.789000000004</v>
      </c>
      <c r="AX84" s="3073"/>
      <c r="AY84" s="5665">
        <f>+'GRD SUMM RCL 150X150 '!CO51</f>
        <v>3484.5140000000001</v>
      </c>
      <c r="AZ84" s="3073"/>
      <c r="BA84" s="5665">
        <f t="shared" si="12"/>
        <v>5865.4859999999999</v>
      </c>
      <c r="BB84" s="3073"/>
      <c r="BC84" s="5665">
        <f t="shared" si="13"/>
        <v>19554.514999999999</v>
      </c>
      <c r="BD84" s="3073"/>
      <c r="BE84" s="5665">
        <f t="shared" si="14"/>
        <v>43504.303000000007</v>
      </c>
    </row>
    <row r="85" spans="3:59" s="4233" customFormat="1" x14ac:dyDescent="0.25">
      <c r="C85" s="2" t="s">
        <v>1964</v>
      </c>
      <c r="D85" s="283"/>
      <c r="E85" s="5665">
        <f>+'GRD SUMM RCL 150X150 '!AU55</f>
        <v>0</v>
      </c>
      <c r="F85" s="3073"/>
      <c r="G85" s="5665">
        <f>+'GRD SUMM RCL 150X150 '!AW55</f>
        <v>302</v>
      </c>
      <c r="H85" s="3073"/>
      <c r="I85" s="3073">
        <f t="shared" si="0"/>
        <v>302</v>
      </c>
      <c r="J85" s="3073"/>
      <c r="K85" s="5665">
        <f>+'GRD SUMM RCL 150X150 '!BA55</f>
        <v>108</v>
      </c>
      <c r="L85" s="3073"/>
      <c r="M85" s="3073">
        <f t="shared" si="1"/>
        <v>410</v>
      </c>
      <c r="N85" s="3073"/>
      <c r="O85" s="5665">
        <f>+'GRD SUMM RCL 150X150 '!BE55</f>
        <v>0</v>
      </c>
      <c r="P85" s="3073"/>
      <c r="Q85" s="3073">
        <f t="shared" si="2"/>
        <v>410</v>
      </c>
      <c r="R85" s="3073"/>
      <c r="S85" s="5665">
        <f>+'GRD SUMM RCL 150X150 '!BI55</f>
        <v>0</v>
      </c>
      <c r="T85" s="3073"/>
      <c r="U85" s="3073">
        <f t="shared" si="3"/>
        <v>410</v>
      </c>
      <c r="V85" s="3073"/>
      <c r="W85" s="5665">
        <f>+'GRD SUMM RCL 150X150 '!BM55</f>
        <v>0</v>
      </c>
      <c r="X85" s="3073"/>
      <c r="Y85" s="3073">
        <f t="shared" si="4"/>
        <v>0</v>
      </c>
      <c r="Z85" s="3073"/>
      <c r="AA85" s="3073">
        <f t="shared" si="5"/>
        <v>410</v>
      </c>
      <c r="AB85" s="3073"/>
      <c r="AC85" s="5665">
        <f>+'GRD SUMM RCL 150X150 '!BS55</f>
        <v>0</v>
      </c>
      <c r="AD85" s="3073"/>
      <c r="AE85" s="3073">
        <f t="shared" si="6"/>
        <v>410</v>
      </c>
      <c r="AF85" s="3073"/>
      <c r="AG85" s="5665">
        <f>+'GRD SUMM RCL 150X150 '!BW55</f>
        <v>0</v>
      </c>
      <c r="AH85" s="3073"/>
      <c r="AI85" s="3073">
        <f t="shared" si="7"/>
        <v>410</v>
      </c>
      <c r="AJ85" s="3073"/>
      <c r="AK85" s="6943">
        <f>+'GRD SUMM RCL 150X150 '!CA55</f>
        <v>0</v>
      </c>
      <c r="AL85" s="3073"/>
      <c r="AM85" s="3073">
        <f t="shared" si="8"/>
        <v>0</v>
      </c>
      <c r="AN85" s="3073"/>
      <c r="AO85" s="3073">
        <f t="shared" si="9"/>
        <v>410</v>
      </c>
      <c r="AP85" s="3073"/>
      <c r="AQ85" s="5665">
        <f>+'GRD SUMM RCL 150X150 '!CG55</f>
        <v>0</v>
      </c>
      <c r="AR85" s="3073"/>
      <c r="AS85" s="3073">
        <f t="shared" si="10"/>
        <v>410</v>
      </c>
      <c r="AT85" s="3073"/>
      <c r="AU85" s="5665">
        <f>+'GRD SUMM RCL 150X150 '!CK55</f>
        <v>0</v>
      </c>
      <c r="AV85" s="3073"/>
      <c r="AW85" s="3073">
        <f t="shared" si="11"/>
        <v>410</v>
      </c>
      <c r="AX85" s="3073"/>
      <c r="AY85" s="5665">
        <f>+'GRD SUMM RCL 150X150 '!CO55</f>
        <v>0</v>
      </c>
      <c r="AZ85" s="3073"/>
      <c r="BA85" s="5665">
        <f t="shared" si="12"/>
        <v>0</v>
      </c>
      <c r="BB85" s="3073"/>
      <c r="BC85" s="5665">
        <f t="shared" si="13"/>
        <v>0</v>
      </c>
      <c r="BD85" s="3073"/>
      <c r="BE85" s="5665">
        <f t="shared" si="14"/>
        <v>410</v>
      </c>
    </row>
    <row r="86" spans="3:59" s="4487" customFormat="1" x14ac:dyDescent="0.25">
      <c r="C86" s="6070" t="s">
        <v>2050</v>
      </c>
      <c r="D86" s="6071"/>
      <c r="E86" s="6072">
        <f>'GRD SUMM RCL 150X150 '!AU57</f>
        <v>0</v>
      </c>
      <c r="F86" s="6073"/>
      <c r="G86" s="6072">
        <f>'GRD SUMM RCL 150X150 '!AW57</f>
        <v>0</v>
      </c>
      <c r="H86" s="6073"/>
      <c r="I86" s="6073"/>
      <c r="J86" s="6073"/>
      <c r="K86" s="6072">
        <f>'GRD SUMM RCL 150X150 '!BA57</f>
        <v>0</v>
      </c>
      <c r="L86" s="6073"/>
      <c r="M86" s="6073"/>
      <c r="N86" s="6073"/>
      <c r="O86" s="6072">
        <f>'GRD SUMM RCL 150X150 '!BE57</f>
        <v>0</v>
      </c>
      <c r="P86" s="6073"/>
      <c r="Q86" s="6073"/>
      <c r="R86" s="6073"/>
      <c r="S86" s="6072">
        <f>'GRD SUMM RCL 150X150 '!BI57</f>
        <v>0</v>
      </c>
      <c r="T86" s="6073"/>
      <c r="U86" s="3073">
        <f t="shared" si="3"/>
        <v>0</v>
      </c>
      <c r="V86" s="6073"/>
      <c r="W86" s="6072">
        <f>'GRD SUMM RCL 150X150 '!BM57</f>
        <v>182</v>
      </c>
      <c r="X86" s="6073"/>
      <c r="Y86" s="3073">
        <f t="shared" si="4"/>
        <v>182</v>
      </c>
      <c r="Z86" s="6073"/>
      <c r="AA86" s="3073">
        <f t="shared" si="5"/>
        <v>182</v>
      </c>
      <c r="AB86" s="6073"/>
      <c r="AC86" s="6072">
        <f>'GRD SUMM RCL 150X150 '!BS57</f>
        <v>0</v>
      </c>
      <c r="AD86" s="6073"/>
      <c r="AE86" s="3073">
        <f t="shared" ref="AE86" si="15">+AC86+W86+S86+O86+K86+G86+E86</f>
        <v>182</v>
      </c>
      <c r="AF86" s="3073"/>
      <c r="AG86" s="6072">
        <f>'GRD SUMM RCL 150X150 '!BW57</f>
        <v>0</v>
      </c>
      <c r="AH86" s="3073"/>
      <c r="AI86" s="3073">
        <f t="shared" ref="AI86" si="16">+AG86+AC86+W86+S86+O86+K86+G86+E86</f>
        <v>182</v>
      </c>
      <c r="AJ86" s="3073"/>
      <c r="AK86" s="6944">
        <f>'GRD SUMM RCL 150X150 '!CA57</f>
        <v>0</v>
      </c>
      <c r="AL86" s="3073"/>
      <c r="AM86" s="3073">
        <f t="shared" ref="AM86" si="17">+AK86+AG86+AC86</f>
        <v>0</v>
      </c>
      <c r="AN86" s="3073"/>
      <c r="AO86" s="3073">
        <f t="shared" ref="AO86" si="18">+AK86+AG86+AC86+W86+S86+O86+K86+G86+E86</f>
        <v>182</v>
      </c>
      <c r="AP86" s="3073"/>
      <c r="AQ86" s="6072">
        <f>'GRD SUMM RCL 150X150 '!CG57</f>
        <v>0</v>
      </c>
      <c r="AR86" s="3073"/>
      <c r="AS86" s="3073">
        <f t="shared" ref="AS86" si="19">+AO86+AQ86</f>
        <v>182</v>
      </c>
      <c r="AT86" s="3073"/>
      <c r="AU86" s="6072">
        <f>'GRD SUMM RCL 150X150 '!CK57</f>
        <v>0</v>
      </c>
      <c r="AV86" s="3073"/>
      <c r="AW86" s="3073">
        <f t="shared" ref="AW86" si="20">+AS86+AU86</f>
        <v>182</v>
      </c>
      <c r="AX86" s="3073"/>
      <c r="AY86" s="6072">
        <f>'GRD SUMM RCL 150X150 '!CO57</f>
        <v>0</v>
      </c>
      <c r="AZ86" s="3073"/>
      <c r="BA86" s="6072">
        <f t="shared" si="12"/>
        <v>0</v>
      </c>
      <c r="BB86" s="3073"/>
      <c r="BC86" s="6072">
        <f t="shared" si="13"/>
        <v>0</v>
      </c>
      <c r="BD86" s="3073"/>
      <c r="BE86" s="6072">
        <f t="shared" si="14"/>
        <v>182</v>
      </c>
    </row>
    <row r="87" spans="3:59" x14ac:dyDescent="0.25">
      <c r="C87" s="2" t="s">
        <v>1882</v>
      </c>
      <c r="D87" s="283"/>
      <c r="E87" s="5665">
        <f>+'GRD SUMM RCL 150X150 '!AU58</f>
        <v>1939</v>
      </c>
      <c r="F87" s="3073"/>
      <c r="G87" s="5665">
        <f>+'GRD SUMM RCL 150X150 '!AW58</f>
        <v>526</v>
      </c>
      <c r="H87" s="3073"/>
      <c r="I87" s="3073">
        <f t="shared" si="0"/>
        <v>2465</v>
      </c>
      <c r="J87" s="3073"/>
      <c r="K87" s="5665">
        <f>+'GRD SUMM RCL 150X150 '!BA58</f>
        <v>150</v>
      </c>
      <c r="L87" s="3073"/>
      <c r="M87" s="3073">
        <f t="shared" si="1"/>
        <v>2615</v>
      </c>
      <c r="N87" s="3073"/>
      <c r="O87" s="5665">
        <f>+'GRD SUMM RCL 150X150 '!BE58</f>
        <v>332</v>
      </c>
      <c r="P87" s="3073"/>
      <c r="Q87" s="3073">
        <f t="shared" si="2"/>
        <v>2947</v>
      </c>
      <c r="R87" s="3073"/>
      <c r="S87" s="5665">
        <f>+'GRD SUMM RCL 150X150 '!BI58</f>
        <v>610.94600000000003</v>
      </c>
      <c r="T87" s="3073"/>
      <c r="U87" s="3073">
        <f t="shared" si="3"/>
        <v>3557.9459999999999</v>
      </c>
      <c r="V87" s="3073"/>
      <c r="W87" s="5665">
        <f>+'GRD SUMM RCL 150X150 '!BM58</f>
        <v>774</v>
      </c>
      <c r="X87" s="3073"/>
      <c r="Y87" s="3073">
        <f t="shared" si="4"/>
        <v>1716.9459999999999</v>
      </c>
      <c r="Z87" s="3073"/>
      <c r="AA87" s="3073">
        <f t="shared" si="5"/>
        <v>4331.9459999999999</v>
      </c>
      <c r="AB87" s="3073"/>
      <c r="AC87" s="5665">
        <f>+'GRD SUMM RCL 150X150 '!BS58</f>
        <v>161</v>
      </c>
      <c r="AD87" s="3073"/>
      <c r="AE87" s="3073">
        <f t="shared" si="6"/>
        <v>4492.9459999999999</v>
      </c>
      <c r="AF87" s="3073"/>
      <c r="AG87" s="5665">
        <f>+'GRD SUMM RCL 150X150 '!BW58</f>
        <v>188.70699999999999</v>
      </c>
      <c r="AH87" s="3073"/>
      <c r="AI87" s="3073">
        <f t="shared" si="7"/>
        <v>4681.6530000000002</v>
      </c>
      <c r="AJ87" s="3073"/>
      <c r="AK87" s="6943">
        <f>+'GRD SUMM RCL 150X150 '!CA58</f>
        <v>157</v>
      </c>
      <c r="AL87" s="3073"/>
      <c r="AM87" s="3073">
        <f t="shared" si="8"/>
        <v>506.70699999999999</v>
      </c>
      <c r="AN87" s="3073"/>
      <c r="AO87" s="3073">
        <f t="shared" si="9"/>
        <v>4838.6530000000002</v>
      </c>
      <c r="AP87" s="3073"/>
      <c r="AQ87" s="5665">
        <f>+'GRD SUMM RCL 150X150 '!CG58</f>
        <v>217</v>
      </c>
      <c r="AR87" s="3073"/>
      <c r="AS87" s="3073">
        <f t="shared" si="10"/>
        <v>5055.6530000000002</v>
      </c>
      <c r="AT87" s="3073"/>
      <c r="AU87" s="5665">
        <f>+'GRD SUMM RCL 150X150 '!CK58</f>
        <v>80.787999999999997</v>
      </c>
      <c r="AV87" s="3073"/>
      <c r="AW87" s="3073">
        <f t="shared" si="11"/>
        <v>5136.4409999999998</v>
      </c>
      <c r="AX87" s="3073"/>
      <c r="AY87" s="5665">
        <f>+'GRD SUMM RCL 150X150 '!CO58</f>
        <v>131.81200000000001</v>
      </c>
      <c r="AZ87" s="3073"/>
      <c r="BA87" s="5665">
        <f t="shared" si="12"/>
        <v>429.6</v>
      </c>
      <c r="BB87" s="3073"/>
      <c r="BC87" s="5665">
        <f t="shared" si="13"/>
        <v>936.30700000000002</v>
      </c>
      <c r="BD87" s="3073"/>
      <c r="BE87" s="5665">
        <f t="shared" si="14"/>
        <v>5268.2529999999997</v>
      </c>
    </row>
    <row r="88" spans="3:59" x14ac:dyDescent="0.25">
      <c r="C88" s="2" t="s">
        <v>1289</v>
      </c>
      <c r="D88" s="283"/>
      <c r="E88" s="5665">
        <f>+'GRD SUMM RCL 150X150 '!AU59</f>
        <v>2346</v>
      </c>
      <c r="F88" s="3073"/>
      <c r="G88" s="5665">
        <f>+'GRD SUMM RCL 150X150 '!AW59</f>
        <v>930</v>
      </c>
      <c r="H88" s="3073"/>
      <c r="I88" s="3073">
        <f t="shared" si="0"/>
        <v>3276</v>
      </c>
      <c r="J88" s="3073"/>
      <c r="K88" s="5665">
        <f>+'GRD SUMM RCL 150X150 '!BA59</f>
        <v>444</v>
      </c>
      <c r="L88" s="3073"/>
      <c r="M88" s="3073">
        <f t="shared" si="1"/>
        <v>3720</v>
      </c>
      <c r="N88" s="3073"/>
      <c r="O88" s="5665">
        <f>+'GRD SUMM RCL 150X150 '!BE59</f>
        <v>630</v>
      </c>
      <c r="P88" s="3073"/>
      <c r="Q88" s="3073">
        <f t="shared" si="2"/>
        <v>4350</v>
      </c>
      <c r="R88" s="3073"/>
      <c r="S88" s="5665">
        <f>+'GRD SUMM RCL 150X150 '!BI59</f>
        <v>507.36</v>
      </c>
      <c r="T88" s="3073"/>
      <c r="U88" s="3073">
        <f t="shared" si="3"/>
        <v>4857.3600000000006</v>
      </c>
      <c r="V88" s="3073"/>
      <c r="W88" s="5665">
        <f>+'GRD SUMM RCL 150X150 '!BM59</f>
        <v>564</v>
      </c>
      <c r="X88" s="3073"/>
      <c r="Y88" s="3073">
        <f t="shared" si="4"/>
        <v>1701.3600000000001</v>
      </c>
      <c r="Z88" s="3073"/>
      <c r="AA88" s="3073">
        <f t="shared" si="5"/>
        <v>5421.36</v>
      </c>
      <c r="AB88" s="3073"/>
      <c r="AC88" s="5665">
        <f>+'GRD SUMM RCL 150X150 '!BS59</f>
        <v>334</v>
      </c>
      <c r="AD88" s="3073"/>
      <c r="AE88" s="3073">
        <f t="shared" si="6"/>
        <v>5755.3600000000006</v>
      </c>
      <c r="AF88" s="3073"/>
      <c r="AG88" s="5665">
        <f>+'GRD SUMM RCL 150X150 '!BW59</f>
        <v>411.45600000000002</v>
      </c>
      <c r="AH88" s="3073"/>
      <c r="AI88" s="3073">
        <f t="shared" si="7"/>
        <v>6166.8160000000007</v>
      </c>
      <c r="AJ88" s="3073"/>
      <c r="AK88" s="6943">
        <f>+'GRD SUMM RCL 150X150 '!CA59</f>
        <v>729</v>
      </c>
      <c r="AL88" s="3073"/>
      <c r="AM88" s="3073">
        <f t="shared" si="8"/>
        <v>1474.4560000000001</v>
      </c>
      <c r="AN88" s="3073"/>
      <c r="AO88" s="3073">
        <f t="shared" si="9"/>
        <v>6895.8160000000007</v>
      </c>
      <c r="AP88" s="3073"/>
      <c r="AQ88" s="5665">
        <f>+'GRD SUMM RCL 150X150 '!CG59</f>
        <v>638</v>
      </c>
      <c r="AR88" s="3073"/>
      <c r="AS88" s="3073">
        <f t="shared" si="10"/>
        <v>7533.8160000000007</v>
      </c>
      <c r="AT88" s="3073"/>
      <c r="AU88" s="5665">
        <f>+'GRD SUMM RCL 150X150 '!CK59</f>
        <v>372.05</v>
      </c>
      <c r="AV88" s="3073"/>
      <c r="AW88" s="3073">
        <f t="shared" si="11"/>
        <v>7905.8660000000009</v>
      </c>
      <c r="AX88" s="3073"/>
      <c r="AY88" s="5665">
        <f>+'GRD SUMM RCL 150X150 '!CO59</f>
        <v>684.572</v>
      </c>
      <c r="AZ88" s="3073"/>
      <c r="BA88" s="5665">
        <f t="shared" si="12"/>
        <v>1694.6220000000001</v>
      </c>
      <c r="BB88" s="3073"/>
      <c r="BC88" s="5665">
        <f t="shared" si="13"/>
        <v>3169.0780000000004</v>
      </c>
      <c r="BD88" s="3073"/>
      <c r="BE88" s="5665">
        <f t="shared" si="14"/>
        <v>8590.4380000000001</v>
      </c>
    </row>
    <row r="89" spans="3:59" ht="15.75" x14ac:dyDescent="0.25">
      <c r="C89" s="3078" t="s">
        <v>2</v>
      </c>
      <c r="D89" s="3097"/>
      <c r="E89" s="3079">
        <f>SUM(E68:E88)</f>
        <v>30640</v>
      </c>
      <c r="F89" s="3079"/>
      <c r="G89" s="3079">
        <f>+SUM(G68:G88)</f>
        <v>10507</v>
      </c>
      <c r="H89" s="3079"/>
      <c r="I89" s="3079">
        <f t="shared" si="0"/>
        <v>41147</v>
      </c>
      <c r="J89" s="3079"/>
      <c r="K89" s="3079">
        <f>+SUM(K68:K88)</f>
        <v>12853</v>
      </c>
      <c r="L89" s="3079"/>
      <c r="M89" s="3079">
        <f t="shared" si="1"/>
        <v>54000</v>
      </c>
      <c r="N89" s="3079"/>
      <c r="O89" s="3079">
        <f>+SUM(O68:O88)</f>
        <v>3526</v>
      </c>
      <c r="P89" s="3079"/>
      <c r="Q89" s="3079">
        <f t="shared" si="2"/>
        <v>57526</v>
      </c>
      <c r="R89" s="3079"/>
      <c r="S89" s="3079">
        <f>+SUM(S68:S88)</f>
        <v>13379.506000000001</v>
      </c>
      <c r="T89" s="3079"/>
      <c r="U89" s="3079">
        <f t="shared" si="3"/>
        <v>70905.505999999994</v>
      </c>
      <c r="V89" s="3079"/>
      <c r="W89" s="3079">
        <f>+SUM(W68:W88)</f>
        <v>12782</v>
      </c>
      <c r="X89" s="3079"/>
      <c r="Y89" s="3079">
        <f t="shared" si="4"/>
        <v>29687.506000000001</v>
      </c>
      <c r="Z89" s="3079"/>
      <c r="AA89" s="3079">
        <f t="shared" si="5"/>
        <v>83687.505999999994</v>
      </c>
      <c r="AB89" s="3079"/>
      <c r="AC89" s="3079">
        <f>+SUM(AC68:AC88)</f>
        <v>12672</v>
      </c>
      <c r="AD89" s="3079"/>
      <c r="AE89" s="3079">
        <f t="shared" si="6"/>
        <v>96359.505999999994</v>
      </c>
      <c r="AF89" s="3079"/>
      <c r="AG89" s="3079">
        <f>+SUM(AG68:AG88)</f>
        <v>13464.619000000001</v>
      </c>
      <c r="AH89" s="3079"/>
      <c r="AI89" s="3079">
        <f t="shared" si="7"/>
        <v>109824.125</v>
      </c>
      <c r="AJ89" s="3079"/>
      <c r="AK89" s="6945">
        <f>+SUM(AK68:AK88)</f>
        <v>11759</v>
      </c>
      <c r="AL89" s="3079"/>
      <c r="AM89" s="3079">
        <f t="shared" si="8"/>
        <v>37895.618999999999</v>
      </c>
      <c r="AN89" s="3079"/>
      <c r="AO89" s="3079">
        <f t="shared" si="9"/>
        <v>121583.125</v>
      </c>
      <c r="AP89" s="3079"/>
      <c r="AQ89" s="3079">
        <f>+SUM(AQ68:AQ88)</f>
        <v>5026</v>
      </c>
      <c r="AR89" s="3079"/>
      <c r="AS89" s="3079">
        <f t="shared" si="10"/>
        <v>126609.125</v>
      </c>
      <c r="AT89" s="3079"/>
      <c r="AU89" s="3079">
        <f>+SUM(AU68:AU88)</f>
        <v>975.83400000000006</v>
      </c>
      <c r="AV89" s="3079"/>
      <c r="AW89" s="3079">
        <f t="shared" si="11"/>
        <v>127584.959</v>
      </c>
      <c r="AX89" s="3079"/>
      <c r="AY89" s="3079">
        <f>+SUM(AY68:AY88)</f>
        <v>7887.4600000000009</v>
      </c>
      <c r="AZ89" s="3079"/>
      <c r="BA89" s="3079">
        <f t="shared" si="12"/>
        <v>13889.294000000002</v>
      </c>
      <c r="BB89" s="3079"/>
      <c r="BC89" s="3079">
        <f t="shared" si="13"/>
        <v>51784.913</v>
      </c>
      <c r="BD89" s="3079"/>
      <c r="BE89" s="3079">
        <f t="shared" si="14"/>
        <v>135472.41899999999</v>
      </c>
      <c r="BF89" s="4233"/>
      <c r="BG89" s="4233"/>
    </row>
    <row r="90" spans="3:59" x14ac:dyDescent="0.25">
      <c r="C90" s="3080" t="s">
        <v>1445</v>
      </c>
      <c r="D90" s="3098"/>
      <c r="E90" s="2891">
        <f>+SMS!F36</f>
        <v>290</v>
      </c>
      <c r="F90" s="2891"/>
      <c r="G90" s="2891">
        <f>+SMS!H36</f>
        <v>154</v>
      </c>
      <c r="H90" s="2891"/>
      <c r="I90" s="2891">
        <f t="shared" si="0"/>
        <v>444</v>
      </c>
      <c r="J90" s="2891"/>
      <c r="K90" s="2891">
        <f>+SMS!L36</f>
        <v>56</v>
      </c>
      <c r="L90" s="2891"/>
      <c r="M90" s="2891">
        <f t="shared" si="1"/>
        <v>500</v>
      </c>
      <c r="N90" s="2891"/>
      <c r="O90" s="2891">
        <f>+SMS!P36</f>
        <v>26</v>
      </c>
      <c r="P90" s="2891"/>
      <c r="Q90" s="2891">
        <f t="shared" si="2"/>
        <v>526</v>
      </c>
      <c r="R90" s="2891"/>
      <c r="S90" s="2891">
        <f>+SMS!T36</f>
        <v>66</v>
      </c>
      <c r="T90" s="2891"/>
      <c r="U90" s="2891">
        <f t="shared" si="3"/>
        <v>592</v>
      </c>
      <c r="V90" s="2891"/>
      <c r="W90" s="2891">
        <f>+SMS!X36</f>
        <v>260</v>
      </c>
      <c r="X90" s="2891"/>
      <c r="Y90" s="2891">
        <f t="shared" si="4"/>
        <v>352</v>
      </c>
      <c r="Z90" s="2891"/>
      <c r="AA90" s="2891">
        <f t="shared" si="5"/>
        <v>852</v>
      </c>
      <c r="AB90" s="2891"/>
      <c r="AC90" s="2891">
        <f>+SMS!AD36</f>
        <v>95</v>
      </c>
      <c r="AD90" s="2891"/>
      <c r="AE90" s="2891">
        <f t="shared" si="6"/>
        <v>947</v>
      </c>
      <c r="AF90" s="2891"/>
      <c r="AG90" s="2891">
        <f>+SMS!AH36</f>
        <v>0</v>
      </c>
      <c r="AH90" s="2891"/>
      <c r="AI90" s="2891">
        <f t="shared" si="7"/>
        <v>947</v>
      </c>
      <c r="AJ90" s="2891"/>
      <c r="AK90" s="6946">
        <f>+SMS!AL36</f>
        <v>38</v>
      </c>
      <c r="AL90" s="2891"/>
      <c r="AM90" s="2891">
        <f t="shared" si="8"/>
        <v>133</v>
      </c>
      <c r="AN90" s="2891"/>
      <c r="AO90" s="2891">
        <f t="shared" si="9"/>
        <v>985</v>
      </c>
      <c r="AP90" s="2891"/>
      <c r="AQ90" s="2891">
        <f>+SMS!AR36</f>
        <v>367</v>
      </c>
      <c r="AR90" s="2891"/>
      <c r="AS90" s="2891">
        <f t="shared" si="10"/>
        <v>1352</v>
      </c>
      <c r="AT90" s="2891"/>
      <c r="AU90" s="2891">
        <f>+SMS!AV36</f>
        <v>256</v>
      </c>
      <c r="AV90" s="2891"/>
      <c r="AW90" s="2891">
        <f t="shared" si="11"/>
        <v>1608</v>
      </c>
      <c r="AX90" s="2891"/>
      <c r="AY90" s="2891">
        <f>+SMS!AZ36</f>
        <v>104</v>
      </c>
      <c r="AZ90" s="2891"/>
      <c r="BA90" s="2891">
        <f t="shared" si="12"/>
        <v>727</v>
      </c>
      <c r="BB90" s="2891"/>
      <c r="BC90" s="2891">
        <f t="shared" si="13"/>
        <v>860</v>
      </c>
      <c r="BD90" s="2891"/>
      <c r="BE90" s="2891">
        <f t="shared" si="14"/>
        <v>1712</v>
      </c>
      <c r="BF90" s="4233"/>
      <c r="BG90" s="4233"/>
    </row>
    <row r="91" spans="3:59" x14ac:dyDescent="0.25">
      <c r="C91" s="5229" t="s">
        <v>1671</v>
      </c>
      <c r="D91" s="5230"/>
      <c r="E91" s="5231">
        <f>+SUM(E92:E95)</f>
        <v>5030.3</v>
      </c>
      <c r="F91" s="5231"/>
      <c r="G91" s="5231">
        <f>+SUM(G92:G95)</f>
        <v>7640</v>
      </c>
      <c r="H91" s="5231"/>
      <c r="I91" s="5231">
        <f t="shared" si="0"/>
        <v>12670.3</v>
      </c>
      <c r="J91" s="5231"/>
      <c r="K91" s="5231">
        <f>+SUM(K92:K95)</f>
        <v>6752</v>
      </c>
      <c r="L91" s="5231"/>
      <c r="M91" s="5231">
        <f t="shared" si="1"/>
        <v>19422.3</v>
      </c>
      <c r="N91" s="5231"/>
      <c r="O91" s="5231">
        <f>+SUM(O92:O95)</f>
        <v>5864</v>
      </c>
      <c r="P91" s="5231"/>
      <c r="Q91" s="5231">
        <f t="shared" si="2"/>
        <v>25286.3</v>
      </c>
      <c r="R91" s="5231"/>
      <c r="S91" s="5231">
        <f>+SUM(S92:S95)</f>
        <v>6517.4620000000004</v>
      </c>
      <c r="T91" s="5231"/>
      <c r="U91" s="5231">
        <f t="shared" si="3"/>
        <v>31803.761999999999</v>
      </c>
      <c r="V91" s="5231"/>
      <c r="W91" s="5231">
        <f>+SUM(W92:W95)</f>
        <v>8118</v>
      </c>
      <c r="X91" s="5231"/>
      <c r="Y91" s="5231">
        <f t="shared" si="4"/>
        <v>20499.462</v>
      </c>
      <c r="Z91" s="5231"/>
      <c r="AA91" s="5231">
        <f t="shared" si="5"/>
        <v>39921.762000000002</v>
      </c>
      <c r="AB91" s="5231"/>
      <c r="AC91" s="5231">
        <f>+SUM(AC92:AC95)</f>
        <v>2680.55</v>
      </c>
      <c r="AD91" s="5231"/>
      <c r="AE91" s="5231">
        <f t="shared" si="6"/>
        <v>42602.312000000005</v>
      </c>
      <c r="AF91" s="5231"/>
      <c r="AG91" s="5231">
        <f>+SUM(AG92:AG95)</f>
        <v>4501.1049999999996</v>
      </c>
      <c r="AH91" s="5231"/>
      <c r="AI91" s="5231">
        <f t="shared" si="7"/>
        <v>47103.417000000001</v>
      </c>
      <c r="AJ91" s="5231"/>
      <c r="AK91" s="6947">
        <f>+SUM(AK92:AK95)</f>
        <v>7125.1909999999998</v>
      </c>
      <c r="AL91" s="5231"/>
      <c r="AM91" s="5231">
        <f t="shared" si="8"/>
        <v>14306.845999999998</v>
      </c>
      <c r="AN91" s="5231"/>
      <c r="AO91" s="5231">
        <f t="shared" si="9"/>
        <v>54228.608</v>
      </c>
      <c r="AP91" s="5231"/>
      <c r="AQ91" s="5231">
        <f>+SUM(AQ92:AQ95)</f>
        <v>5258.3330000000005</v>
      </c>
      <c r="AR91" s="5231"/>
      <c r="AS91" s="5231">
        <f t="shared" si="10"/>
        <v>59486.940999999999</v>
      </c>
      <c r="AT91" s="5231"/>
      <c r="AU91" s="5231">
        <f>+SUM(AU92:AU95)</f>
        <v>2960.277</v>
      </c>
      <c r="AV91" s="5231"/>
      <c r="AW91" s="5231">
        <f t="shared" si="11"/>
        <v>62447.218000000001</v>
      </c>
      <c r="AX91" s="5231"/>
      <c r="AY91" s="5231">
        <f>+SUM(AY92:AY95)</f>
        <v>3075.6949999999997</v>
      </c>
      <c r="AZ91" s="5231"/>
      <c r="BA91" s="5231">
        <f t="shared" si="12"/>
        <v>11294.305</v>
      </c>
      <c r="BB91" s="5231"/>
      <c r="BC91" s="5231">
        <f t="shared" si="13"/>
        <v>25601.150999999998</v>
      </c>
      <c r="BD91" s="5231"/>
      <c r="BE91" s="5231">
        <f t="shared" si="14"/>
        <v>65522.913</v>
      </c>
      <c r="BF91" s="4233"/>
      <c r="BG91" s="4233"/>
    </row>
    <row r="92" spans="3:59" x14ac:dyDescent="0.25">
      <c r="C92" s="3081" t="s">
        <v>1672</v>
      </c>
      <c r="D92" s="3099"/>
      <c r="E92" s="2978">
        <v>0</v>
      </c>
      <c r="F92" s="2978"/>
      <c r="G92" s="2978">
        <v>2</v>
      </c>
      <c r="H92" s="2978"/>
      <c r="I92" s="2978">
        <f t="shared" si="0"/>
        <v>2</v>
      </c>
      <c r="J92" s="2978"/>
      <c r="K92" s="2978">
        <v>0</v>
      </c>
      <c r="L92" s="2978"/>
      <c r="M92" s="2978">
        <f t="shared" si="1"/>
        <v>2</v>
      </c>
      <c r="N92" s="2978"/>
      <c r="O92" s="2978">
        <v>2</v>
      </c>
      <c r="P92" s="2978"/>
      <c r="Q92" s="2978">
        <f t="shared" si="2"/>
        <v>4</v>
      </c>
      <c r="R92" s="2978"/>
      <c r="S92" s="2978">
        <v>0</v>
      </c>
      <c r="T92" s="2978"/>
      <c r="U92" s="2978">
        <f t="shared" si="3"/>
        <v>4</v>
      </c>
      <c r="V92" s="2978"/>
      <c r="W92" s="2978">
        <v>0</v>
      </c>
      <c r="X92" s="2978"/>
      <c r="Y92" s="2978">
        <f t="shared" si="4"/>
        <v>2</v>
      </c>
      <c r="Z92" s="2978"/>
      <c r="AA92" s="2978">
        <f t="shared" si="5"/>
        <v>4</v>
      </c>
      <c r="AB92" s="2978"/>
      <c r="AC92" s="2978">
        <v>0</v>
      </c>
      <c r="AD92" s="2978"/>
      <c r="AE92" s="2978">
        <f t="shared" si="6"/>
        <v>4</v>
      </c>
      <c r="AF92" s="2978"/>
      <c r="AG92" s="2978">
        <v>0</v>
      </c>
      <c r="AH92" s="2978"/>
      <c r="AI92" s="2978">
        <f t="shared" si="7"/>
        <v>4</v>
      </c>
      <c r="AJ92" s="2978"/>
      <c r="AK92" s="2978">
        <v>0</v>
      </c>
      <c r="AL92" s="2978"/>
      <c r="AM92" s="2978">
        <f t="shared" si="8"/>
        <v>0</v>
      </c>
      <c r="AN92" s="2978"/>
      <c r="AO92" s="2978">
        <f t="shared" si="9"/>
        <v>4</v>
      </c>
      <c r="AP92" s="2978"/>
      <c r="AQ92" s="2978">
        <v>0</v>
      </c>
      <c r="AR92" s="2978"/>
      <c r="AS92" s="2978">
        <f t="shared" si="10"/>
        <v>4</v>
      </c>
      <c r="AT92" s="2978"/>
      <c r="AU92" s="2978">
        <v>0</v>
      </c>
      <c r="AV92" s="2978"/>
      <c r="AW92" s="2978">
        <f t="shared" si="11"/>
        <v>4</v>
      </c>
      <c r="AX92" s="2978"/>
      <c r="AY92" s="2978">
        <v>0</v>
      </c>
      <c r="AZ92" s="2978"/>
      <c r="BA92" s="2978">
        <f t="shared" si="12"/>
        <v>0</v>
      </c>
      <c r="BB92" s="2978"/>
      <c r="BC92" s="2978">
        <f t="shared" si="13"/>
        <v>0</v>
      </c>
      <c r="BD92" s="2978"/>
      <c r="BE92" s="2978">
        <f t="shared" si="14"/>
        <v>4</v>
      </c>
      <c r="BF92" s="4233"/>
      <c r="BG92" s="4233"/>
    </row>
    <row r="93" spans="3:59" ht="15" customHeight="1" x14ac:dyDescent="0.25">
      <c r="C93" s="3081" t="s">
        <v>1673</v>
      </c>
      <c r="D93" s="3099"/>
      <c r="E93" s="2978">
        <v>0</v>
      </c>
      <c r="F93" s="2978"/>
      <c r="G93" s="2978"/>
      <c r="H93" s="2978"/>
      <c r="I93" s="2978">
        <f t="shared" si="0"/>
        <v>0</v>
      </c>
      <c r="J93" s="2978"/>
      <c r="K93" s="2978"/>
      <c r="L93" s="2978"/>
      <c r="M93" s="2978">
        <f t="shared" si="1"/>
        <v>0</v>
      </c>
      <c r="N93" s="2978"/>
      <c r="O93" s="2978"/>
      <c r="P93" s="2978"/>
      <c r="Q93" s="2978">
        <f t="shared" si="2"/>
        <v>0</v>
      </c>
      <c r="R93" s="2978"/>
      <c r="S93" s="2978"/>
      <c r="T93" s="2978"/>
      <c r="U93" s="2978">
        <f t="shared" si="3"/>
        <v>0</v>
      </c>
      <c r="V93" s="2978"/>
      <c r="W93" s="2978"/>
      <c r="X93" s="2978"/>
      <c r="Y93" s="2978">
        <f t="shared" si="4"/>
        <v>0</v>
      </c>
      <c r="Z93" s="2978"/>
      <c r="AA93" s="2978">
        <f t="shared" si="5"/>
        <v>0</v>
      </c>
      <c r="AB93" s="2978"/>
      <c r="AC93" s="2978"/>
      <c r="AD93" s="2978"/>
      <c r="AE93" s="2978">
        <f t="shared" si="6"/>
        <v>0</v>
      </c>
      <c r="AF93" s="2978"/>
      <c r="AG93" s="2978"/>
      <c r="AH93" s="2978"/>
      <c r="AI93" s="2978">
        <f t="shared" si="7"/>
        <v>0</v>
      </c>
      <c r="AJ93" s="2978"/>
      <c r="AK93" s="2978"/>
      <c r="AL93" s="2978"/>
      <c r="AM93" s="2978">
        <f t="shared" si="8"/>
        <v>0</v>
      </c>
      <c r="AN93" s="2978"/>
      <c r="AO93" s="2978">
        <f t="shared" si="9"/>
        <v>0</v>
      </c>
      <c r="AP93" s="2978"/>
      <c r="AQ93" s="2978"/>
      <c r="AR93" s="2978"/>
      <c r="AS93" s="2978">
        <f t="shared" si="10"/>
        <v>0</v>
      </c>
      <c r="AT93" s="2978"/>
      <c r="AU93" s="2978"/>
      <c r="AV93" s="2978"/>
      <c r="AW93" s="2978">
        <f t="shared" si="11"/>
        <v>0</v>
      </c>
      <c r="AX93" s="2978"/>
      <c r="AY93" s="2978"/>
      <c r="AZ93" s="2978"/>
      <c r="BA93" s="2978">
        <f t="shared" si="12"/>
        <v>0</v>
      </c>
      <c r="BB93" s="2978"/>
      <c r="BC93" s="2978">
        <f t="shared" si="13"/>
        <v>0</v>
      </c>
      <c r="BD93" s="2978"/>
      <c r="BE93" s="2978">
        <f t="shared" si="14"/>
        <v>0</v>
      </c>
      <c r="BF93" s="4233"/>
      <c r="BG93" s="4233"/>
    </row>
    <row r="94" spans="3:59" s="4487" customFormat="1" x14ac:dyDescent="0.25">
      <c r="C94" s="5222" t="s">
        <v>1872</v>
      </c>
      <c r="D94" s="5223"/>
      <c r="E94" s="2978">
        <v>5021.8</v>
      </c>
      <c r="F94" s="5233"/>
      <c r="G94" s="5233">
        <v>7638</v>
      </c>
      <c r="H94" s="5233"/>
      <c r="I94" s="2978">
        <f t="shared" si="0"/>
        <v>12659.8</v>
      </c>
      <c r="J94" s="5233"/>
      <c r="K94" s="5233">
        <v>6752</v>
      </c>
      <c r="L94" s="5233"/>
      <c r="M94" s="2978">
        <f t="shared" si="1"/>
        <v>19411.8</v>
      </c>
      <c r="N94" s="5233"/>
      <c r="O94" s="5233">
        <v>5862</v>
      </c>
      <c r="P94" s="5233"/>
      <c r="Q94" s="2978">
        <f t="shared" si="2"/>
        <v>25273.8</v>
      </c>
      <c r="R94" s="5233"/>
      <c r="S94" s="5233">
        <v>6517.4620000000004</v>
      </c>
      <c r="T94" s="5233"/>
      <c r="U94" s="2978">
        <f t="shared" si="3"/>
        <v>31791.261999999999</v>
      </c>
      <c r="V94" s="5233"/>
      <c r="W94" s="5233">
        <v>7401</v>
      </c>
      <c r="X94" s="5233"/>
      <c r="Y94" s="2978">
        <f t="shared" si="4"/>
        <v>19780.462</v>
      </c>
      <c r="Z94" s="5233"/>
      <c r="AA94" s="2978">
        <f t="shared" si="5"/>
        <v>39192.262000000002</v>
      </c>
      <c r="AB94" s="5233"/>
      <c r="AC94" s="5233">
        <v>2680.55</v>
      </c>
      <c r="AD94" s="5233"/>
      <c r="AE94" s="2978">
        <f t="shared" si="6"/>
        <v>41872.812000000005</v>
      </c>
      <c r="AF94" s="5233"/>
      <c r="AG94" s="5233">
        <v>4501.1049999999996</v>
      </c>
      <c r="AH94" s="5233"/>
      <c r="AI94" s="2978">
        <f>+AG94+AC94+W94+S94+O94+K94+G94+E94</f>
        <v>46373.917000000001</v>
      </c>
      <c r="AJ94" s="5233"/>
      <c r="AK94" s="5233">
        <v>5860.241</v>
      </c>
      <c r="AL94" s="5233"/>
      <c r="AM94" s="2978">
        <f t="shared" si="8"/>
        <v>13041.896000000001</v>
      </c>
      <c r="AN94" s="5233"/>
      <c r="AO94" s="2978">
        <f t="shared" si="9"/>
        <v>52234.158000000003</v>
      </c>
      <c r="AP94" s="5233"/>
      <c r="AQ94" s="5233">
        <v>4443.1850000000004</v>
      </c>
      <c r="AR94" s="5233"/>
      <c r="AS94" s="2978">
        <f t="shared" si="10"/>
        <v>56677.343000000001</v>
      </c>
      <c r="AT94" s="5233"/>
      <c r="AU94" s="5233">
        <v>2371.7429999999999</v>
      </c>
      <c r="AV94" s="5233"/>
      <c r="AW94" s="2978">
        <f t="shared" si="11"/>
        <v>59049.086000000003</v>
      </c>
      <c r="AX94" s="5233"/>
      <c r="AY94" s="5233">
        <v>2984.5819999999999</v>
      </c>
      <c r="AZ94" s="5233"/>
      <c r="BA94" s="5233">
        <f t="shared" si="12"/>
        <v>9799.51</v>
      </c>
      <c r="BB94" s="5233"/>
      <c r="BC94" s="5233">
        <f t="shared" si="13"/>
        <v>22841.406000000003</v>
      </c>
      <c r="BD94" s="5233"/>
      <c r="BE94" s="5233">
        <f t="shared" si="14"/>
        <v>62033.668000000005</v>
      </c>
    </row>
    <row r="95" spans="3:59" x14ac:dyDescent="0.25">
      <c r="C95" s="3081" t="s">
        <v>2082</v>
      </c>
      <c r="D95" s="3099"/>
      <c r="E95" s="7689">
        <v>8.5</v>
      </c>
      <c r="F95" s="2978"/>
      <c r="G95" s="2978"/>
      <c r="H95" s="2978"/>
      <c r="I95" s="2978">
        <f t="shared" si="0"/>
        <v>8.5</v>
      </c>
      <c r="J95" s="2978"/>
      <c r="K95" s="2978"/>
      <c r="L95" s="2978"/>
      <c r="M95" s="2978">
        <f t="shared" si="1"/>
        <v>8.5</v>
      </c>
      <c r="N95" s="2978"/>
      <c r="O95" s="2978"/>
      <c r="P95" s="2978"/>
      <c r="Q95" s="2978">
        <f t="shared" si="2"/>
        <v>8.5</v>
      </c>
      <c r="R95" s="2978"/>
      <c r="S95" s="2978"/>
      <c r="T95" s="2978"/>
      <c r="U95" s="2978">
        <f t="shared" si="3"/>
        <v>8.5</v>
      </c>
      <c r="V95" s="2978"/>
      <c r="W95" s="2978">
        <v>717</v>
      </c>
      <c r="X95" s="2978"/>
      <c r="Y95" s="2978">
        <f t="shared" si="4"/>
        <v>717</v>
      </c>
      <c r="Z95" s="2978"/>
      <c r="AA95" s="2978">
        <f t="shared" si="5"/>
        <v>725.5</v>
      </c>
      <c r="AB95" s="2978"/>
      <c r="AC95" s="2978">
        <v>0</v>
      </c>
      <c r="AD95" s="2978"/>
      <c r="AE95" s="2978">
        <f t="shared" si="6"/>
        <v>725.5</v>
      </c>
      <c r="AF95" s="2978"/>
      <c r="AG95" s="2978">
        <v>0</v>
      </c>
      <c r="AH95" s="2978"/>
      <c r="AI95" s="2978">
        <f t="shared" si="7"/>
        <v>725.5</v>
      </c>
      <c r="AJ95" s="2978"/>
      <c r="AK95" s="2978">
        <v>1264.95</v>
      </c>
      <c r="AL95" s="2978"/>
      <c r="AM95" s="2978">
        <f t="shared" si="8"/>
        <v>1264.95</v>
      </c>
      <c r="AN95" s="2978"/>
      <c r="AO95" s="2978">
        <f t="shared" si="9"/>
        <v>1990.45</v>
      </c>
      <c r="AP95" s="2978"/>
      <c r="AQ95" s="2978">
        <v>815.14800000000002</v>
      </c>
      <c r="AR95" s="2978"/>
      <c r="AS95" s="2978">
        <f t="shared" si="10"/>
        <v>2805.598</v>
      </c>
      <c r="AT95" s="2978"/>
      <c r="AU95" s="2978">
        <v>588.53399999999999</v>
      </c>
      <c r="AV95" s="2978"/>
      <c r="AW95" s="2978">
        <f t="shared" si="11"/>
        <v>3394.1320000000001</v>
      </c>
      <c r="AX95" s="2978"/>
      <c r="AY95" s="2978">
        <v>91.113</v>
      </c>
      <c r="AZ95" s="2978"/>
      <c r="BA95" s="2978">
        <f t="shared" si="12"/>
        <v>1494.7950000000001</v>
      </c>
      <c r="BB95" s="2978"/>
      <c r="BC95" s="2978">
        <f t="shared" si="13"/>
        <v>2759.7449999999999</v>
      </c>
      <c r="BD95" s="2978"/>
      <c r="BE95" s="2978">
        <f t="shared" si="14"/>
        <v>3485.2449999999999</v>
      </c>
      <c r="BF95" s="4233"/>
      <c r="BG95" s="4233"/>
    </row>
    <row r="96" spans="3:59" ht="16.5" thickBot="1" x14ac:dyDescent="0.3">
      <c r="C96" s="3082" t="s">
        <v>1674</v>
      </c>
      <c r="D96" s="3100"/>
      <c r="E96" s="3083">
        <f>+E89+E90+E91</f>
        <v>35960.300000000003</v>
      </c>
      <c r="F96" s="3083"/>
      <c r="G96" s="3083">
        <f>+G89+G90+G91</f>
        <v>18301</v>
      </c>
      <c r="H96" s="3083"/>
      <c r="I96" s="3083">
        <f t="shared" si="0"/>
        <v>54261.3</v>
      </c>
      <c r="J96" s="3083"/>
      <c r="K96" s="3083">
        <f>+K89+K90+K91</f>
        <v>19661</v>
      </c>
      <c r="L96" s="3083"/>
      <c r="M96" s="3083">
        <f t="shared" si="1"/>
        <v>73922.3</v>
      </c>
      <c r="N96" s="3083"/>
      <c r="O96" s="3083">
        <f>+O89+O90+O91</f>
        <v>9416</v>
      </c>
      <c r="P96" s="3083"/>
      <c r="Q96" s="3083">
        <f t="shared" si="2"/>
        <v>83338.3</v>
      </c>
      <c r="R96" s="3083"/>
      <c r="S96" s="3083">
        <f>+S89+S90+S91</f>
        <v>19962.968000000001</v>
      </c>
      <c r="T96" s="3083"/>
      <c r="U96" s="3083">
        <f t="shared" si="3"/>
        <v>103301.268</v>
      </c>
      <c r="V96" s="3083"/>
      <c r="W96" s="3083">
        <f>+W89+W90+W91</f>
        <v>21160</v>
      </c>
      <c r="X96" s="3083"/>
      <c r="Y96" s="3083">
        <f t="shared" si="4"/>
        <v>50538.968000000001</v>
      </c>
      <c r="Z96" s="3083"/>
      <c r="AA96" s="3083">
        <f t="shared" si="5"/>
        <v>124461.26800000001</v>
      </c>
      <c r="AB96" s="3083"/>
      <c r="AC96" s="3083">
        <f>+AC89+AC90+AC91</f>
        <v>15447.55</v>
      </c>
      <c r="AD96" s="3083"/>
      <c r="AE96" s="3083">
        <f t="shared" si="6"/>
        <v>139908.81800000003</v>
      </c>
      <c r="AF96" s="3083"/>
      <c r="AG96" s="3083">
        <f>+AG89+AG90+AG91</f>
        <v>17965.724000000002</v>
      </c>
      <c r="AH96" s="3083"/>
      <c r="AI96" s="3083">
        <f t="shared" si="7"/>
        <v>157874.54200000002</v>
      </c>
      <c r="AJ96" s="3083"/>
      <c r="AK96" s="3083">
        <f>+AK89+AK90+AK91</f>
        <v>18922.190999999999</v>
      </c>
      <c r="AL96" s="3083"/>
      <c r="AM96" s="3083">
        <f t="shared" si="8"/>
        <v>52335.464999999997</v>
      </c>
      <c r="AN96" s="3083"/>
      <c r="AO96" s="3083">
        <f t="shared" si="9"/>
        <v>176796.73300000001</v>
      </c>
      <c r="AP96" s="3083"/>
      <c r="AQ96" s="3083">
        <f>+AQ89+AQ90+AQ91</f>
        <v>10651.333000000001</v>
      </c>
      <c r="AR96" s="3083"/>
      <c r="AS96" s="3083">
        <f t="shared" si="10"/>
        <v>187448.06600000002</v>
      </c>
      <c r="AT96" s="3083"/>
      <c r="AU96" s="3083">
        <f>+AU89+AU90+AU91</f>
        <v>4192.1109999999999</v>
      </c>
      <c r="AV96" s="3083"/>
      <c r="AW96" s="3083">
        <f t="shared" si="11"/>
        <v>191640.17700000003</v>
      </c>
      <c r="AX96" s="3083"/>
      <c r="AY96" s="3083">
        <f>+AY89+AY90+AY91</f>
        <v>11067.155000000001</v>
      </c>
      <c r="AZ96" s="3083"/>
      <c r="BA96" s="3083">
        <f t="shared" si="12"/>
        <v>25910.599000000002</v>
      </c>
      <c r="BB96" s="3083"/>
      <c r="BC96" s="3083">
        <f t="shared" si="13"/>
        <v>78246.063999999998</v>
      </c>
      <c r="BD96" s="3083"/>
      <c r="BE96" s="3083">
        <f t="shared" si="14"/>
        <v>202707.33200000002</v>
      </c>
      <c r="BF96" s="25"/>
    </row>
    <row r="97" spans="2:58" x14ac:dyDescent="0.25">
      <c r="C97" s="3084"/>
      <c r="D97" s="1688"/>
      <c r="E97" s="1688"/>
      <c r="F97" s="1688"/>
      <c r="G97" s="1688"/>
      <c r="H97" s="1688"/>
      <c r="I97" s="1688"/>
      <c r="J97" s="1688"/>
      <c r="K97" s="1688"/>
      <c r="L97" s="1688"/>
      <c r="M97" s="1688"/>
      <c r="N97" s="1688"/>
      <c r="O97" s="1688"/>
      <c r="P97" s="1688"/>
      <c r="Q97" s="1688"/>
      <c r="R97" s="1688"/>
      <c r="S97" s="1688"/>
      <c r="T97" s="1688"/>
      <c r="U97" s="1688"/>
      <c r="V97" s="1688"/>
      <c r="W97" s="1688"/>
      <c r="X97" s="1688"/>
      <c r="Y97" s="1688"/>
      <c r="Z97" s="1688"/>
      <c r="AA97" s="1688"/>
      <c r="AB97" s="1688"/>
      <c r="AC97" s="1688"/>
      <c r="AD97" s="1688"/>
      <c r="AE97" s="1688"/>
      <c r="AF97" s="1688"/>
      <c r="AG97" s="1688"/>
      <c r="AH97" s="1688"/>
      <c r="AI97" s="1688"/>
      <c r="AJ97" s="1688"/>
      <c r="AK97" s="1688"/>
      <c r="AL97" s="1688"/>
      <c r="AM97" s="1688"/>
      <c r="AN97" s="1688"/>
      <c r="AO97" s="1688"/>
      <c r="AP97" s="1688"/>
      <c r="AQ97" s="1688"/>
      <c r="AR97" s="1688"/>
      <c r="AS97" s="1688"/>
      <c r="AT97" s="1688"/>
      <c r="AU97" s="1688"/>
      <c r="AV97" s="1688"/>
      <c r="AW97" s="1688"/>
      <c r="AX97" s="1688"/>
      <c r="AY97" s="1688"/>
      <c r="AZ97" s="1688"/>
      <c r="BA97" s="1688"/>
      <c r="BB97" s="1688"/>
      <c r="BC97" s="1688"/>
      <c r="BD97" s="1688"/>
      <c r="BE97" s="1688"/>
      <c r="BF97" s="25"/>
    </row>
    <row r="98" spans="2:58" ht="15" hidden="1" customHeight="1" x14ac:dyDescent="0.25">
      <c r="C98" s="3085" t="s">
        <v>1367</v>
      </c>
      <c r="D98" s="3101"/>
      <c r="E98" s="3086">
        <v>3662.1749999999997</v>
      </c>
      <c r="F98" s="3086"/>
      <c r="G98" s="3086">
        <v>3662.1749999999997</v>
      </c>
      <c r="H98" s="3086"/>
      <c r="I98" s="3086">
        <f t="shared" si="0"/>
        <v>7324.3499999999995</v>
      </c>
      <c r="J98" s="3086"/>
      <c r="K98" s="3086">
        <v>3662.1749999999997</v>
      </c>
      <c r="L98" s="3086"/>
      <c r="M98" s="3086">
        <f t="shared" si="1"/>
        <v>10986.525</v>
      </c>
      <c r="N98" s="3086"/>
      <c r="O98" s="3086">
        <v>3662.1749999999997</v>
      </c>
      <c r="P98" s="3086"/>
      <c r="Q98" s="3086">
        <f t="shared" si="2"/>
        <v>14648.699999999999</v>
      </c>
      <c r="R98" s="3086"/>
      <c r="S98" s="3086">
        <v>3662.1749999999997</v>
      </c>
      <c r="T98" s="3086"/>
      <c r="U98" s="3086">
        <f t="shared" si="3"/>
        <v>18310.875</v>
      </c>
      <c r="V98" s="3086"/>
      <c r="W98" s="3086">
        <v>3662.1749999999997</v>
      </c>
      <c r="X98" s="3086"/>
      <c r="Y98" s="3086">
        <f t="shared" si="4"/>
        <v>10986.525</v>
      </c>
      <c r="Z98" s="3086"/>
      <c r="AA98" s="3086">
        <f t="shared" si="5"/>
        <v>21973.05</v>
      </c>
      <c r="AB98" s="3086"/>
      <c r="AC98" s="3086">
        <v>3662.1749999999997</v>
      </c>
      <c r="AD98" s="3086"/>
      <c r="AE98" s="3086">
        <f t="shared" si="6"/>
        <v>25635.224999999999</v>
      </c>
      <c r="AF98" s="3086"/>
      <c r="AG98" s="3086">
        <v>3662.1749999999997</v>
      </c>
      <c r="AH98" s="3086"/>
      <c r="AI98" s="3086">
        <f t="shared" si="7"/>
        <v>29297.399999999998</v>
      </c>
      <c r="AJ98" s="3086"/>
      <c r="AK98" s="3086">
        <v>3662.1749999999997</v>
      </c>
      <c r="AL98" s="3086"/>
      <c r="AM98" s="3086">
        <f t="shared" si="8"/>
        <v>10986.525</v>
      </c>
      <c r="AN98" s="3086"/>
      <c r="AO98" s="3086">
        <f t="shared" si="9"/>
        <v>32959.574999999997</v>
      </c>
      <c r="AP98" s="3086"/>
      <c r="AQ98" s="3086">
        <v>3662.1749999999997</v>
      </c>
      <c r="AR98" s="3086"/>
      <c r="AS98" s="3086">
        <f t="shared" si="10"/>
        <v>36621.75</v>
      </c>
      <c r="AT98" s="3086"/>
      <c r="AU98" s="3086">
        <v>3662.1749999999997</v>
      </c>
      <c r="AV98" s="3086"/>
      <c r="AW98" s="3086">
        <f t="shared" si="11"/>
        <v>40283.925000000003</v>
      </c>
      <c r="AX98" s="3086"/>
      <c r="AY98" s="3086">
        <v>3662.1749999999997</v>
      </c>
      <c r="AZ98" s="3086"/>
      <c r="BA98" s="3086">
        <f t="shared" si="12"/>
        <v>10986.525</v>
      </c>
      <c r="BB98" s="3086"/>
      <c r="BC98" s="3086">
        <f t="shared" si="13"/>
        <v>21973.05</v>
      </c>
      <c r="BD98" s="3086"/>
      <c r="BE98" s="3086">
        <f t="shared" si="14"/>
        <v>43946.100000000006</v>
      </c>
    </row>
    <row r="99" spans="2:58" ht="15" hidden="1" customHeight="1" x14ac:dyDescent="0.25">
      <c r="C99" s="3085" t="s">
        <v>1166</v>
      </c>
      <c r="D99" s="3101"/>
      <c r="E99" s="3086">
        <v>74606.466</v>
      </c>
      <c r="F99" s="3086"/>
      <c r="G99" s="3086">
        <v>74606.466</v>
      </c>
      <c r="H99" s="3086"/>
      <c r="I99" s="3086">
        <f t="shared" si="0"/>
        <v>149212.932</v>
      </c>
      <c r="J99" s="3086"/>
      <c r="K99" s="3086">
        <v>74606.466</v>
      </c>
      <c r="L99" s="3086"/>
      <c r="M99" s="3086">
        <f t="shared" si="1"/>
        <v>223819.39799999999</v>
      </c>
      <c r="N99" s="3086"/>
      <c r="O99" s="3086">
        <v>74606.466</v>
      </c>
      <c r="P99" s="3086"/>
      <c r="Q99" s="3086">
        <f t="shared" si="2"/>
        <v>298425.864</v>
      </c>
      <c r="R99" s="3086"/>
      <c r="S99" s="3086">
        <v>74606.466</v>
      </c>
      <c r="T99" s="3086"/>
      <c r="U99" s="3086">
        <f t="shared" si="3"/>
        <v>373032.33</v>
      </c>
      <c r="V99" s="3086"/>
      <c r="W99" s="3086">
        <v>74606.466</v>
      </c>
      <c r="X99" s="3086"/>
      <c r="Y99" s="3086">
        <f t="shared" si="4"/>
        <v>223819.39799999999</v>
      </c>
      <c r="Z99" s="3086"/>
      <c r="AA99" s="3086">
        <f t="shared" si="5"/>
        <v>447638.79600000003</v>
      </c>
      <c r="AB99" s="3086"/>
      <c r="AC99" s="3086">
        <v>74606.466</v>
      </c>
      <c r="AD99" s="3086"/>
      <c r="AE99" s="3086">
        <f t="shared" si="6"/>
        <v>522245.26200000005</v>
      </c>
      <c r="AF99" s="3086"/>
      <c r="AG99" s="3086">
        <v>74606.466</v>
      </c>
      <c r="AH99" s="3086"/>
      <c r="AI99" s="3086">
        <f t="shared" si="7"/>
        <v>596851.728</v>
      </c>
      <c r="AJ99" s="3086"/>
      <c r="AK99" s="3086">
        <v>74606.466</v>
      </c>
      <c r="AL99" s="3086"/>
      <c r="AM99" s="3086">
        <f t="shared" si="8"/>
        <v>223819.39799999999</v>
      </c>
      <c r="AN99" s="3086"/>
      <c r="AO99" s="3086">
        <f t="shared" si="9"/>
        <v>671458.19400000002</v>
      </c>
      <c r="AP99" s="3086"/>
      <c r="AQ99" s="3086">
        <v>74606.466</v>
      </c>
      <c r="AR99" s="3086"/>
      <c r="AS99" s="3086">
        <f t="shared" si="10"/>
        <v>746064.66</v>
      </c>
      <c r="AT99" s="3086"/>
      <c r="AU99" s="3086">
        <v>74606.466</v>
      </c>
      <c r="AV99" s="3086"/>
      <c r="AW99" s="3086">
        <f t="shared" si="11"/>
        <v>820671.12600000005</v>
      </c>
      <c r="AX99" s="3086"/>
      <c r="AY99" s="3086">
        <v>74606.466</v>
      </c>
      <c r="AZ99" s="3086"/>
      <c r="BA99" s="3086">
        <f t="shared" si="12"/>
        <v>223819.39799999999</v>
      </c>
      <c r="BB99" s="3086"/>
      <c r="BC99" s="3086">
        <f t="shared" si="13"/>
        <v>447638.79599999997</v>
      </c>
      <c r="BD99" s="3086"/>
      <c r="BE99" s="3086">
        <f t="shared" si="14"/>
        <v>895277.59200000006</v>
      </c>
    </row>
    <row r="100" spans="2:58" ht="16.5" thickBot="1" x14ac:dyDescent="0.3">
      <c r="C100" s="3082" t="s">
        <v>1675</v>
      </c>
      <c r="D100" s="3100"/>
      <c r="E100" s="3083">
        <f>+'Maj Production Summ'!F34</f>
        <v>38383.019999999997</v>
      </c>
      <c r="F100" s="3083"/>
      <c r="G100" s="3083">
        <f>+'Maj Production Summ'!H34</f>
        <v>52556</v>
      </c>
      <c r="H100" s="3083"/>
      <c r="I100" s="3083">
        <f t="shared" si="0"/>
        <v>90939.01999999999</v>
      </c>
      <c r="J100" s="3083"/>
      <c r="K100" s="3083">
        <f>+'Maj Production Summ'!L34</f>
        <v>56218</v>
      </c>
      <c r="L100" s="3083"/>
      <c r="M100" s="3083">
        <f t="shared" si="1"/>
        <v>147157.01999999999</v>
      </c>
      <c r="N100" s="3083"/>
      <c r="O100" s="3083">
        <f>+'Maj Production Summ'!P34</f>
        <v>50303</v>
      </c>
      <c r="P100" s="3083"/>
      <c r="Q100" s="3083">
        <f t="shared" si="2"/>
        <v>197460.02</v>
      </c>
      <c r="R100" s="3083"/>
      <c r="S100" s="3083">
        <f>+'Maj Production Summ'!T34</f>
        <v>51235.42</v>
      </c>
      <c r="T100" s="3083"/>
      <c r="U100" s="3083">
        <f t="shared" si="3"/>
        <v>248695.43999999997</v>
      </c>
      <c r="V100" s="3083"/>
      <c r="W100" s="3083">
        <f>+'Maj Production Summ'!X34</f>
        <v>54076</v>
      </c>
      <c r="X100" s="3083"/>
      <c r="Y100" s="3083">
        <f t="shared" si="4"/>
        <v>155614.41999999998</v>
      </c>
      <c r="Z100" s="3083"/>
      <c r="AA100" s="3083">
        <f t="shared" si="5"/>
        <v>302771.44</v>
      </c>
      <c r="AB100" s="3083"/>
      <c r="AC100" s="3083">
        <f>+'Maj Production Summ'!AD34</f>
        <v>54595</v>
      </c>
      <c r="AD100" s="3083"/>
      <c r="AE100" s="3083">
        <f t="shared" si="6"/>
        <v>357366.44</v>
      </c>
      <c r="AF100" s="3083"/>
      <c r="AG100" s="3083">
        <f>+'Maj Production Summ'!AH34</f>
        <v>61080</v>
      </c>
      <c r="AH100" s="3083"/>
      <c r="AI100" s="3083">
        <f t="shared" si="7"/>
        <v>418446.44</v>
      </c>
      <c r="AJ100" s="3083"/>
      <c r="AK100" s="3083">
        <f>+'Maj Production Summ'!AL34</f>
        <v>52347.66</v>
      </c>
      <c r="AL100" s="3083"/>
      <c r="AM100" s="3083">
        <f t="shared" si="8"/>
        <v>168022.66</v>
      </c>
      <c r="AN100" s="3083"/>
      <c r="AO100" s="3083">
        <f t="shared" si="9"/>
        <v>470794.10000000003</v>
      </c>
      <c r="AP100" s="3083"/>
      <c r="AQ100" s="3083">
        <f>+'Maj Production Summ'!AR34</f>
        <v>30958</v>
      </c>
      <c r="AR100" s="3083"/>
      <c r="AS100" s="3083">
        <f t="shared" si="10"/>
        <v>501752.10000000003</v>
      </c>
      <c r="AT100" s="3083"/>
      <c r="AU100" s="3083">
        <f>+'Maj Production Summ'!AV34</f>
        <v>16550</v>
      </c>
      <c r="AV100" s="3083"/>
      <c r="AW100" s="3083">
        <f t="shared" si="11"/>
        <v>518302.10000000003</v>
      </c>
      <c r="AX100" s="3083"/>
      <c r="AY100" s="3083">
        <f>+'Maj Production Summ'!AZ34</f>
        <v>38028.639000000003</v>
      </c>
      <c r="AZ100" s="3083"/>
      <c r="BA100" s="3083">
        <f t="shared" si="12"/>
        <v>85536.638999999996</v>
      </c>
      <c r="BB100" s="3083"/>
      <c r="BC100" s="3083">
        <f t="shared" si="13"/>
        <v>253559.299</v>
      </c>
      <c r="BD100" s="3083"/>
      <c r="BE100" s="3083">
        <f t="shared" si="14"/>
        <v>556330.73899999994</v>
      </c>
    </row>
    <row r="101" spans="2:58" x14ac:dyDescent="0.25">
      <c r="B101" s="2985"/>
      <c r="G101" s="4487"/>
      <c r="H101" s="4487"/>
      <c r="I101" s="4487"/>
      <c r="K101" s="4487"/>
      <c r="L101" s="4487"/>
      <c r="M101" s="4487"/>
      <c r="O101" s="4487"/>
      <c r="P101" s="4487"/>
      <c r="Q101" s="4487"/>
      <c r="S101" s="4487"/>
      <c r="T101" s="4487"/>
      <c r="U101" s="4487"/>
      <c r="W101" s="4487"/>
      <c r="X101" s="4487"/>
      <c r="Y101" s="4487"/>
      <c r="Z101" s="4487"/>
      <c r="AA101" s="4487"/>
      <c r="AC101" s="4487"/>
      <c r="AD101" s="4487"/>
      <c r="AE101" s="4487"/>
      <c r="AG101" s="4487"/>
      <c r="AH101" s="4487"/>
      <c r="AI101" s="4487"/>
      <c r="AL101" s="4487"/>
      <c r="AM101" s="4487"/>
      <c r="AN101" s="4487"/>
      <c r="AO101" s="4487"/>
      <c r="AQ101" s="4487"/>
      <c r="AR101" s="4487"/>
      <c r="AS101" s="4487"/>
      <c r="AU101" s="4487"/>
      <c r="AV101" s="4487"/>
      <c r="AW101" s="4487"/>
      <c r="AY101" s="4487"/>
      <c r="AZ101" s="4487"/>
      <c r="BA101" s="4487"/>
      <c r="BB101" s="4487"/>
      <c r="BC101" s="4487"/>
      <c r="BD101" s="4487"/>
      <c r="BE101" s="4487"/>
    </row>
    <row r="102" spans="2:58" ht="18.75" x14ac:dyDescent="0.25">
      <c r="B102" s="2985"/>
      <c r="C102" s="3087" t="s">
        <v>1676</v>
      </c>
      <c r="D102" s="3087"/>
      <c r="E102" s="3088">
        <f>+E100-E96</f>
        <v>2422.7199999999939</v>
      </c>
      <c r="F102" s="3088">
        <f t="shared" ref="F102:BD102" si="21">+F100-F96</f>
        <v>0</v>
      </c>
      <c r="G102" s="3088">
        <f t="shared" si="21"/>
        <v>34255</v>
      </c>
      <c r="H102" s="3088">
        <f t="shared" si="21"/>
        <v>0</v>
      </c>
      <c r="I102" s="3088">
        <f t="shared" si="21"/>
        <v>36677.719999999987</v>
      </c>
      <c r="J102" s="3088">
        <f t="shared" si="21"/>
        <v>0</v>
      </c>
      <c r="K102" s="3088">
        <f t="shared" si="21"/>
        <v>36557</v>
      </c>
      <c r="L102" s="3088">
        <f t="shared" si="21"/>
        <v>0</v>
      </c>
      <c r="M102" s="3088">
        <f t="shared" si="21"/>
        <v>73234.719999999987</v>
      </c>
      <c r="N102" s="3088">
        <f t="shared" si="21"/>
        <v>0</v>
      </c>
      <c r="O102" s="3088">
        <f t="shared" si="21"/>
        <v>40887</v>
      </c>
      <c r="P102" s="3088">
        <f t="shared" si="21"/>
        <v>0</v>
      </c>
      <c r="Q102" s="3088">
        <f t="shared" si="21"/>
        <v>114121.71999999999</v>
      </c>
      <c r="R102" s="3088">
        <f t="shared" si="21"/>
        <v>0</v>
      </c>
      <c r="S102" s="3088">
        <f t="shared" ref="S102" si="22">+S100-S96</f>
        <v>31272.451999999997</v>
      </c>
      <c r="T102" s="3088">
        <f t="shared" si="21"/>
        <v>0</v>
      </c>
      <c r="U102" s="3088">
        <f t="shared" si="21"/>
        <v>145394.17199999996</v>
      </c>
      <c r="V102" s="3088">
        <f t="shared" si="21"/>
        <v>0</v>
      </c>
      <c r="W102" s="3088">
        <f t="shared" si="21"/>
        <v>32916</v>
      </c>
      <c r="X102" s="3088">
        <f t="shared" si="21"/>
        <v>0</v>
      </c>
      <c r="Y102" s="3088">
        <f t="shared" si="21"/>
        <v>105075.45199999999</v>
      </c>
      <c r="Z102" s="3088">
        <f t="shared" si="21"/>
        <v>0</v>
      </c>
      <c r="AA102" s="3088">
        <f t="shared" si="21"/>
        <v>178310.17199999999</v>
      </c>
      <c r="AB102" s="3088">
        <f t="shared" si="21"/>
        <v>0</v>
      </c>
      <c r="AC102" s="3088">
        <f t="shared" ref="AC102" si="23">+AC100-AC96</f>
        <v>39147.449999999997</v>
      </c>
      <c r="AD102" s="3088">
        <f t="shared" si="21"/>
        <v>0</v>
      </c>
      <c r="AE102" s="3088">
        <f t="shared" si="21"/>
        <v>217457.62199999997</v>
      </c>
      <c r="AF102" s="3088">
        <f t="shared" si="21"/>
        <v>0</v>
      </c>
      <c r="AG102" s="3088">
        <f t="shared" si="21"/>
        <v>43114.275999999998</v>
      </c>
      <c r="AH102" s="3088">
        <f t="shared" si="21"/>
        <v>0</v>
      </c>
      <c r="AI102" s="3088">
        <f t="shared" si="21"/>
        <v>260571.89799999999</v>
      </c>
      <c r="AJ102" s="3088">
        <f t="shared" si="21"/>
        <v>0</v>
      </c>
      <c r="AK102" s="3088">
        <f t="shared" si="21"/>
        <v>33425.469000000005</v>
      </c>
      <c r="AL102" s="3088">
        <f t="shared" si="21"/>
        <v>0</v>
      </c>
      <c r="AM102" s="3088">
        <f t="shared" si="21"/>
        <v>115687.19500000001</v>
      </c>
      <c r="AN102" s="3088">
        <f t="shared" si="21"/>
        <v>0</v>
      </c>
      <c r="AO102" s="3088">
        <f t="shared" si="21"/>
        <v>293997.36700000003</v>
      </c>
      <c r="AP102" s="3088">
        <f t="shared" si="21"/>
        <v>0</v>
      </c>
      <c r="AQ102" s="3088">
        <f t="shared" si="21"/>
        <v>20306.667000000001</v>
      </c>
      <c r="AR102" s="3088">
        <f t="shared" si="21"/>
        <v>0</v>
      </c>
      <c r="AS102" s="3088">
        <f t="shared" si="21"/>
        <v>314304.03399999999</v>
      </c>
      <c r="AT102" s="3088">
        <f t="shared" si="21"/>
        <v>0</v>
      </c>
      <c r="AU102" s="3088">
        <f t="shared" si="21"/>
        <v>12357.888999999999</v>
      </c>
      <c r="AV102" s="3088">
        <f t="shared" si="21"/>
        <v>0</v>
      </c>
      <c r="AW102" s="3088">
        <f t="shared" si="21"/>
        <v>326661.92300000001</v>
      </c>
      <c r="AX102" s="3088">
        <f t="shared" si="21"/>
        <v>0</v>
      </c>
      <c r="AY102" s="3088">
        <f t="shared" si="21"/>
        <v>26961.484000000004</v>
      </c>
      <c r="AZ102" s="3088">
        <f t="shared" si="21"/>
        <v>0</v>
      </c>
      <c r="BA102" s="3088">
        <f t="shared" si="12"/>
        <v>59626.040000000008</v>
      </c>
      <c r="BB102" s="3088">
        <f t="shared" si="21"/>
        <v>0</v>
      </c>
      <c r="BC102" s="3088">
        <f t="shared" si="13"/>
        <v>175313.23500000002</v>
      </c>
      <c r="BD102" s="3088">
        <f t="shared" si="21"/>
        <v>0</v>
      </c>
      <c r="BE102" s="3088">
        <f t="shared" si="14"/>
        <v>353623.40700000001</v>
      </c>
    </row>
    <row r="103" spans="2:58" x14ac:dyDescent="0.25">
      <c r="B103" s="2985"/>
      <c r="H103" s="4487"/>
      <c r="I103" s="4487"/>
      <c r="L103" s="4487"/>
      <c r="M103" s="4487"/>
      <c r="P103" s="4487"/>
      <c r="Q103" s="4487"/>
      <c r="T103" s="4487"/>
      <c r="U103" s="4487"/>
      <c r="X103" s="4487"/>
      <c r="Y103" s="4487"/>
      <c r="Z103" s="4487"/>
      <c r="AA103" s="4487"/>
      <c r="AD103" s="4487"/>
      <c r="AE103" s="4487"/>
      <c r="AH103" s="4487"/>
      <c r="AI103" s="4487"/>
      <c r="AL103" s="4487"/>
      <c r="AM103" s="4487"/>
      <c r="AN103" s="4487"/>
      <c r="AO103" s="4487"/>
      <c r="AR103" s="4487"/>
      <c r="AS103" s="4487"/>
      <c r="AV103" s="4487"/>
      <c r="AW103" s="4487"/>
      <c r="AZ103" s="4487"/>
      <c r="BA103" s="4487"/>
      <c r="BB103" s="4487"/>
      <c r="BC103" s="4487"/>
      <c r="BD103" s="4487"/>
      <c r="BE103" s="4487"/>
    </row>
    <row r="104" spans="2:58" ht="15.75" thickBot="1" x14ac:dyDescent="0.3">
      <c r="B104" s="2985"/>
      <c r="H104" s="4487"/>
      <c r="I104" s="4487"/>
      <c r="L104" s="4487"/>
      <c r="M104" s="4487"/>
      <c r="P104" s="4487"/>
      <c r="Q104" s="4487"/>
      <c r="T104" s="4487"/>
      <c r="U104" s="4487"/>
      <c r="X104" s="4487"/>
      <c r="Y104" s="4487"/>
      <c r="Z104" s="4487"/>
      <c r="AA104" s="4487"/>
      <c r="AD104" s="4487"/>
      <c r="AE104" s="4487"/>
      <c r="AH104" s="4487"/>
      <c r="AI104" s="4487"/>
      <c r="AL104" s="4487"/>
      <c r="AM104" s="4487"/>
      <c r="AN104" s="4487"/>
      <c r="AO104" s="4487"/>
      <c r="AR104" s="4487"/>
      <c r="AS104" s="4487"/>
      <c r="AV104" s="4487"/>
      <c r="AW104" s="4487"/>
      <c r="AZ104" s="4487"/>
      <c r="BA104" s="4487"/>
      <c r="BB104" s="4487"/>
      <c r="BC104" s="4487"/>
      <c r="BD104" s="4487"/>
      <c r="BE104" s="4487"/>
    </row>
    <row r="105" spans="2:58" ht="24" thickBot="1" x14ac:dyDescent="0.4">
      <c r="B105" s="2985"/>
      <c r="C105" s="5220" t="s">
        <v>1677</v>
      </c>
      <c r="D105" s="5221"/>
      <c r="E105" s="5221"/>
      <c r="F105" s="5221"/>
      <c r="G105" s="5221"/>
      <c r="H105" s="5221"/>
      <c r="I105" s="5221"/>
      <c r="J105" s="5221"/>
      <c r="K105" s="5221"/>
      <c r="L105" s="5221"/>
      <c r="M105" s="5221"/>
      <c r="N105" s="5221"/>
      <c r="O105" s="5221"/>
      <c r="P105" s="5221"/>
      <c r="Q105" s="5221"/>
      <c r="R105" s="5221"/>
      <c r="S105" s="5221"/>
      <c r="T105" s="5221"/>
      <c r="U105" s="5221"/>
      <c r="V105" s="5221"/>
      <c r="W105" s="5221"/>
      <c r="X105" s="5221"/>
      <c r="Y105" s="5221"/>
      <c r="Z105" s="5221"/>
      <c r="AA105" s="5221"/>
      <c r="AB105" s="5221"/>
      <c r="AC105" s="5227"/>
      <c r="AD105" s="5221"/>
      <c r="AE105" s="5221"/>
      <c r="AF105" s="5221"/>
      <c r="AG105" s="5221"/>
      <c r="AH105" s="5221"/>
      <c r="AI105" s="5221"/>
      <c r="AJ105" s="5221"/>
      <c r="AK105" s="5227"/>
      <c r="AL105" s="5221"/>
      <c r="AM105" s="5221"/>
      <c r="AN105" s="5221"/>
      <c r="AO105" s="5221"/>
      <c r="AP105" s="5221"/>
      <c r="AQ105" s="5221"/>
      <c r="AR105" s="5221"/>
      <c r="AS105" s="5221"/>
      <c r="AT105" s="5221"/>
      <c r="AU105" s="5221"/>
      <c r="AV105" s="5221"/>
      <c r="AW105" s="5221"/>
      <c r="AX105" s="5221"/>
      <c r="AY105" s="5221"/>
      <c r="AZ105" s="5221"/>
      <c r="BA105" s="5221"/>
      <c r="BB105" s="5221"/>
      <c r="BC105" s="5221"/>
      <c r="BD105" s="5221"/>
      <c r="BE105" s="5221"/>
    </row>
    <row r="106" spans="2:58" ht="15.75" x14ac:dyDescent="0.25">
      <c r="B106" s="2985"/>
      <c r="C106" s="3089"/>
      <c r="D106" s="3089"/>
      <c r="E106" s="3077" t="str">
        <f t="shared" ref="E106:AJ106" si="24">+E67</f>
        <v>APR'26</v>
      </c>
      <c r="F106" s="8150" t="str">
        <f t="shared" si="24"/>
        <v>MAY'25</v>
      </c>
      <c r="G106" s="8151">
        <f t="shared" si="24"/>
        <v>0</v>
      </c>
      <c r="H106" s="8150" t="str">
        <f t="shared" si="24"/>
        <v>2 M</v>
      </c>
      <c r="I106" s="8151">
        <f t="shared" si="24"/>
        <v>0</v>
      </c>
      <c r="J106" s="8150" t="str">
        <f t="shared" si="24"/>
        <v>JUN'25</v>
      </c>
      <c r="K106" s="8151">
        <f t="shared" si="24"/>
        <v>0</v>
      </c>
      <c r="L106" s="8150" t="str">
        <f t="shared" si="24"/>
        <v>QTR-1</v>
      </c>
      <c r="M106" s="8151">
        <f t="shared" si="24"/>
        <v>0</v>
      </c>
      <c r="N106" s="8150" t="str">
        <f t="shared" si="24"/>
        <v>JUL'25</v>
      </c>
      <c r="O106" s="8151">
        <f t="shared" si="24"/>
        <v>0</v>
      </c>
      <c r="P106" s="8150" t="str">
        <f t="shared" si="24"/>
        <v>4 M</v>
      </c>
      <c r="Q106" s="8151">
        <f t="shared" si="24"/>
        <v>0</v>
      </c>
      <c r="R106" s="8150" t="str">
        <f t="shared" si="24"/>
        <v>AUG'25</v>
      </c>
      <c r="S106" s="8151">
        <f t="shared" si="24"/>
        <v>0</v>
      </c>
      <c r="T106" s="8150" t="str">
        <f t="shared" si="24"/>
        <v>5 M</v>
      </c>
      <c r="U106" s="8151">
        <f t="shared" si="24"/>
        <v>0</v>
      </c>
      <c r="V106" s="8150" t="str">
        <f t="shared" si="24"/>
        <v>SEP'25</v>
      </c>
      <c r="W106" s="8151">
        <f t="shared" si="24"/>
        <v>0</v>
      </c>
      <c r="X106" s="8150" t="str">
        <f t="shared" si="24"/>
        <v>QTR-2</v>
      </c>
      <c r="Y106" s="8151">
        <f t="shared" si="24"/>
        <v>0</v>
      </c>
      <c r="Z106" s="8150" t="str">
        <f t="shared" si="24"/>
        <v>H1</v>
      </c>
      <c r="AA106" s="8151">
        <f t="shared" si="24"/>
        <v>0</v>
      </c>
      <c r="AB106" s="8150" t="str">
        <f t="shared" si="24"/>
        <v>OCT'25</v>
      </c>
      <c r="AC106" s="8151">
        <f t="shared" si="24"/>
        <v>0</v>
      </c>
      <c r="AD106" s="8150" t="str">
        <f t="shared" si="24"/>
        <v>7 M</v>
      </c>
      <c r="AE106" s="8151">
        <f t="shared" si="24"/>
        <v>0</v>
      </c>
      <c r="AF106" s="8150" t="str">
        <f t="shared" si="24"/>
        <v>NOV'25</v>
      </c>
      <c r="AG106" s="8151">
        <f t="shared" si="24"/>
        <v>0</v>
      </c>
      <c r="AH106" s="8150" t="str">
        <f t="shared" si="24"/>
        <v>8 M</v>
      </c>
      <c r="AI106" s="8151">
        <f t="shared" si="24"/>
        <v>0</v>
      </c>
      <c r="AJ106" s="8150" t="str">
        <f t="shared" si="24"/>
        <v>DEC'25</v>
      </c>
      <c r="AK106" s="8151">
        <f t="shared" ref="AK106:BE106" si="25">+AK67</f>
        <v>0</v>
      </c>
      <c r="AL106" s="8150" t="str">
        <f t="shared" si="25"/>
        <v>QTR-3</v>
      </c>
      <c r="AM106" s="8151">
        <f t="shared" si="25"/>
        <v>0</v>
      </c>
      <c r="AN106" s="8150" t="str">
        <f t="shared" si="25"/>
        <v>9 M</v>
      </c>
      <c r="AO106" s="8151">
        <f t="shared" si="25"/>
        <v>0</v>
      </c>
      <c r="AP106" s="8150" t="str">
        <f t="shared" si="25"/>
        <v>JAN'26</v>
      </c>
      <c r="AQ106" s="8151">
        <f t="shared" si="25"/>
        <v>0</v>
      </c>
      <c r="AR106" s="8150" t="str">
        <f t="shared" si="25"/>
        <v>10 M</v>
      </c>
      <c r="AS106" s="8151">
        <f t="shared" si="25"/>
        <v>0</v>
      </c>
      <c r="AT106" s="8150" t="str">
        <f t="shared" si="25"/>
        <v>FEB'26</v>
      </c>
      <c r="AU106" s="8151">
        <f t="shared" si="25"/>
        <v>0</v>
      </c>
      <c r="AV106" s="8150" t="str">
        <f t="shared" si="25"/>
        <v>11 M</v>
      </c>
      <c r="AW106" s="8151">
        <f t="shared" si="25"/>
        <v>0</v>
      </c>
      <c r="AX106" s="8150" t="str">
        <f t="shared" si="25"/>
        <v>MAR'26</v>
      </c>
      <c r="AY106" s="8151">
        <f t="shared" si="25"/>
        <v>0</v>
      </c>
      <c r="AZ106" s="8150" t="str">
        <f t="shared" si="25"/>
        <v>QTR-4</v>
      </c>
      <c r="BA106" s="8151">
        <f t="shared" si="25"/>
        <v>0</v>
      </c>
      <c r="BB106" s="8150" t="str">
        <f t="shared" si="25"/>
        <v>H2</v>
      </c>
      <c r="BC106" s="8151">
        <f t="shared" si="25"/>
        <v>0</v>
      </c>
      <c r="BD106" s="8150" t="str">
        <f t="shared" si="25"/>
        <v>2025-26</v>
      </c>
      <c r="BE106" s="8151">
        <f t="shared" si="25"/>
        <v>0</v>
      </c>
    </row>
    <row r="107" spans="2:58" ht="18.75" x14ac:dyDescent="0.25">
      <c r="B107" s="2985"/>
      <c r="C107" s="3091" t="str">
        <f>+'GRD SUMM RCL CASTER 3'!A7</f>
        <v>BLOOM CB C20 MMNC 200*280</v>
      </c>
      <c r="D107" s="3090"/>
      <c r="E107" s="3073">
        <f>+'GRD SUMM RCL CASTER 3'!C7</f>
        <v>0</v>
      </c>
      <c r="F107" s="3073">
        <f>+'GRD SUMM RCL CASTER 3'!D7</f>
        <v>0</v>
      </c>
      <c r="G107" s="3073">
        <f>+'GRD SUMM RCL CASTER 3'!E7</f>
        <v>0</v>
      </c>
      <c r="H107" s="3073">
        <f>+'GRD SUMM RCL CASTER 3'!F7</f>
        <v>0</v>
      </c>
      <c r="I107" s="3073">
        <f>+'GRD SUMM RCL CASTER 3'!G7</f>
        <v>0</v>
      </c>
      <c r="J107" s="3073">
        <f>+'GRD SUMM RCL CASTER 3'!H7</f>
        <v>0</v>
      </c>
      <c r="K107" s="3073">
        <f>+'GRD SUMM RCL CASTER 3'!I7</f>
        <v>0</v>
      </c>
      <c r="L107" s="3073">
        <f>+'GRD SUMM RCL CASTER 3'!J7</f>
        <v>0</v>
      </c>
      <c r="M107" s="3073">
        <f>+'GRD SUMM RCL CASTER 3'!K7</f>
        <v>0</v>
      </c>
      <c r="N107" s="3073">
        <f>+'GRD SUMM RCL CASTER 3'!L7</f>
        <v>0</v>
      </c>
      <c r="O107" s="3073">
        <f>+'GRD SUMM RCL CASTER 3'!M7</f>
        <v>0</v>
      </c>
      <c r="P107" s="3073">
        <f>+'GRD SUMM RCL CASTER 3'!N7</f>
        <v>0</v>
      </c>
      <c r="Q107" s="3073">
        <f>+'GRD SUMM RCL CASTER 3'!O7</f>
        <v>0</v>
      </c>
      <c r="R107" s="3073">
        <f>+'GRD SUMM RCL CASTER 3'!P7</f>
        <v>0</v>
      </c>
      <c r="S107" s="3073">
        <f>+'GRD SUMM RCL CASTER 3'!Q7</f>
        <v>0</v>
      </c>
      <c r="T107" s="3073">
        <f>+'GRD SUMM RCL CASTER 3'!R7</f>
        <v>0</v>
      </c>
      <c r="U107" s="3073">
        <f>+'GRD SUMM RCL CASTER 3'!S7</f>
        <v>0</v>
      </c>
      <c r="V107" s="3073">
        <f>+'GRD SUMM RCL CASTER 3'!T7</f>
        <v>0</v>
      </c>
      <c r="W107" s="3073">
        <f>+'GRD SUMM RCL CASTER 3'!U7</f>
        <v>0</v>
      </c>
      <c r="X107" s="3073">
        <f>+'GRD SUMM RCL CASTER 3'!V7</f>
        <v>0</v>
      </c>
      <c r="Y107" s="3073">
        <f>+'GRD SUMM RCL CASTER 3'!W7</f>
        <v>0</v>
      </c>
      <c r="Z107" s="3073">
        <f>+'GRD SUMM RCL CASTER 3'!X7</f>
        <v>0</v>
      </c>
      <c r="AA107" s="3073">
        <f>+'GRD SUMM RCL CASTER 3'!Y7</f>
        <v>0</v>
      </c>
      <c r="AB107" s="3073">
        <f>+'GRD SUMM RCL CASTER 3'!Z7</f>
        <v>0</v>
      </c>
      <c r="AC107" s="3073">
        <f>+'GRD SUMM RCL CASTER 3'!AA7</f>
        <v>0</v>
      </c>
      <c r="AD107" s="3073">
        <f>+'GRD SUMM RCL CASTER 3'!AB7</f>
        <v>0</v>
      </c>
      <c r="AE107" s="3073">
        <f>+'GRD SUMM RCL CASTER 3'!AC7</f>
        <v>0</v>
      </c>
      <c r="AF107" s="3073">
        <f>+'GRD SUMM RCL CASTER 3'!AD7</f>
        <v>0</v>
      </c>
      <c r="AG107" s="3073">
        <f>+'GRD SUMM RCL CASTER 3'!AE7</f>
        <v>0</v>
      </c>
      <c r="AH107" s="3073">
        <f>+'GRD SUMM RCL CASTER 3'!AF7</f>
        <v>0</v>
      </c>
      <c r="AI107" s="3073">
        <f>+'GRD SUMM RCL CASTER 3'!AG7</f>
        <v>0</v>
      </c>
      <c r="AJ107" s="3073">
        <f>+'GRD SUMM RCL CASTER 3'!AH7</f>
        <v>0</v>
      </c>
      <c r="AK107" s="3073">
        <f>+'GRD SUMM RCL CASTER 3'!AI7</f>
        <v>0</v>
      </c>
      <c r="AL107" s="3073">
        <f>+'GRD SUMM RCL CASTER 3'!AJ7</f>
        <v>0</v>
      </c>
      <c r="AM107" s="3073">
        <f>+'GRD SUMM RCL CASTER 3'!AK7</f>
        <v>0</v>
      </c>
      <c r="AN107" s="3073">
        <f>+'GRD SUMM RCL CASTER 3'!AL7</f>
        <v>0</v>
      </c>
      <c r="AO107" s="3073">
        <f>+'GRD SUMM RCL CASTER 3'!AM7</f>
        <v>0</v>
      </c>
      <c r="AP107" s="3073">
        <f>+'GRD SUMM RCL CASTER 3'!AN7</f>
        <v>0</v>
      </c>
      <c r="AQ107" s="3073">
        <f>+'GRD SUMM RCL CASTER 3'!AO7</f>
        <v>895</v>
      </c>
      <c r="AR107" s="3073">
        <f>+'GRD SUMM RCL CASTER 3'!AP7</f>
        <v>0</v>
      </c>
      <c r="AS107" s="3073">
        <f>+'GRD SUMM RCL CASTER 3'!AQ7</f>
        <v>895</v>
      </c>
      <c r="AT107" s="3073">
        <f>+'GRD SUMM RCL CASTER 3'!AR7</f>
        <v>0</v>
      </c>
      <c r="AU107" s="3073">
        <f>+'GRD SUMM RCL CASTER 3'!AS7</f>
        <v>0</v>
      </c>
      <c r="AV107" s="3073">
        <f>+'GRD SUMM RCL CASTER 3'!AT7</f>
        <v>0</v>
      </c>
      <c r="AW107" s="3073">
        <f>+'GRD SUMM RCL CASTER 3'!AU7</f>
        <v>895</v>
      </c>
      <c r="AX107" s="3073">
        <f>+'GRD SUMM RCL CASTER 3'!AV7</f>
        <v>0</v>
      </c>
      <c r="AY107" s="3073">
        <f>+'GRD SUMM RCL CASTER 3'!AW7</f>
        <v>0</v>
      </c>
      <c r="AZ107" s="3073">
        <f>+'GRD SUMM RCL CASTER 3'!AX7</f>
        <v>0</v>
      </c>
      <c r="BA107" s="3073">
        <f t="shared" ref="BA107:BA130" si="26">+AY107+AU107+AQ107</f>
        <v>895</v>
      </c>
      <c r="BB107" s="3073">
        <f>+'GRD SUMM RCL CASTER 3'!AZ7</f>
        <v>0</v>
      </c>
      <c r="BC107" s="3073">
        <f t="shared" ref="BC107:BC130" si="27">+BA107+AM107</f>
        <v>895</v>
      </c>
      <c r="BD107" s="3073">
        <f>+'GRD SUMM RCL CASTER 3'!BB7</f>
        <v>0</v>
      </c>
      <c r="BE107" s="3073">
        <f t="shared" ref="BE107:BE130" si="28">+E107+G107+K107+O107+S107+W107+AC107+AG107+AK107+AQ107+AU107+AY107</f>
        <v>895</v>
      </c>
    </row>
    <row r="108" spans="2:58" s="4487" customFormat="1" ht="18.75" x14ac:dyDescent="0.25">
      <c r="B108" s="2985"/>
      <c r="C108" s="3091" t="str">
        <f>+'GRD SUMM RCL CASTER 3'!A8</f>
        <v>BLOOM CB C25 HMN 200*280</v>
      </c>
      <c r="D108" s="6941"/>
      <c r="E108" s="3073">
        <f>+'GRD SUMM RCL CASTER 3'!C8</f>
        <v>0</v>
      </c>
      <c r="F108" s="3073">
        <f>+'GRD SUMM RCL CASTER 3'!D8</f>
        <v>0</v>
      </c>
      <c r="G108" s="3073">
        <f>+'GRD SUMM RCL CASTER 3'!E8</f>
        <v>8</v>
      </c>
      <c r="H108" s="3073">
        <f>+'GRD SUMM RCL CASTER 3'!F8</f>
        <v>0</v>
      </c>
      <c r="I108" s="3073">
        <f>+'GRD SUMM RCL CASTER 3'!G8</f>
        <v>8</v>
      </c>
      <c r="J108" s="3073">
        <f>+'GRD SUMM RCL CASTER 3'!H8</f>
        <v>0</v>
      </c>
      <c r="K108" s="3073">
        <f>+'GRD SUMM RCL CASTER 3'!I8</f>
        <v>0</v>
      </c>
      <c r="L108" s="3073">
        <f>+'GRD SUMM RCL CASTER 3'!J8</f>
        <v>0</v>
      </c>
      <c r="M108" s="3073">
        <f>+'GRD SUMM RCL CASTER 3'!K8</f>
        <v>8</v>
      </c>
      <c r="N108" s="3073">
        <f>+'GRD SUMM RCL CASTER 3'!L8</f>
        <v>0</v>
      </c>
      <c r="O108" s="3073">
        <f>+'GRD SUMM RCL CASTER 3'!M8</f>
        <v>0</v>
      </c>
      <c r="P108" s="3073">
        <f>+'GRD SUMM RCL CASTER 3'!N8</f>
        <v>0</v>
      </c>
      <c r="Q108" s="3073">
        <f>+'GRD SUMM RCL CASTER 3'!O8</f>
        <v>8</v>
      </c>
      <c r="R108" s="3073">
        <f>+'GRD SUMM RCL CASTER 3'!P8</f>
        <v>0</v>
      </c>
      <c r="S108" s="3073">
        <f>+'GRD SUMM RCL CASTER 3'!Q8</f>
        <v>307.10399999999998</v>
      </c>
      <c r="T108" s="3073">
        <f>+'GRD SUMM RCL CASTER 3'!R8</f>
        <v>0</v>
      </c>
      <c r="U108" s="3073">
        <f>+'GRD SUMM RCL CASTER 3'!S8</f>
        <v>315.10399999999998</v>
      </c>
      <c r="V108" s="3073">
        <f>+'GRD SUMM RCL CASTER 3'!T8</f>
        <v>0</v>
      </c>
      <c r="W108" s="3073">
        <f>+'GRD SUMM RCL CASTER 3'!U8</f>
        <v>0</v>
      </c>
      <c r="X108" s="3073">
        <f>+'GRD SUMM RCL CASTER 3'!V8</f>
        <v>0</v>
      </c>
      <c r="Y108" s="3073">
        <f>+'GRD SUMM RCL CASTER 3'!W8</f>
        <v>307.10399999999998</v>
      </c>
      <c r="Z108" s="3073">
        <f>+'GRD SUMM RCL CASTER 3'!X8</f>
        <v>0</v>
      </c>
      <c r="AA108" s="3073">
        <f>+'GRD SUMM RCL CASTER 3'!Y8</f>
        <v>315.10399999999998</v>
      </c>
      <c r="AB108" s="3073">
        <f>+'GRD SUMM RCL CASTER 3'!Z8</f>
        <v>0</v>
      </c>
      <c r="AC108" s="3073">
        <f>+'GRD SUMM RCL CASTER 3'!AA8</f>
        <v>34</v>
      </c>
      <c r="AD108" s="3073">
        <f>+'GRD SUMM RCL CASTER 3'!AB8</f>
        <v>0</v>
      </c>
      <c r="AE108" s="3073">
        <f>+'GRD SUMM RCL CASTER 3'!AC8</f>
        <v>349.10399999999998</v>
      </c>
      <c r="AF108" s="3073">
        <f>+'GRD SUMM RCL CASTER 3'!AD8</f>
        <v>0</v>
      </c>
      <c r="AG108" s="3073">
        <f>+'GRD SUMM RCL CASTER 3'!AE8</f>
        <v>0</v>
      </c>
      <c r="AH108" s="3073">
        <f>+'GRD SUMM RCL CASTER 3'!AF8</f>
        <v>0</v>
      </c>
      <c r="AI108" s="3073">
        <f>+'GRD SUMM RCL CASTER 3'!AG8</f>
        <v>349.10399999999998</v>
      </c>
      <c r="AJ108" s="3073">
        <f>+'GRD SUMM RCL CASTER 3'!AH8</f>
        <v>0</v>
      </c>
      <c r="AK108" s="3073">
        <f>+'GRD SUMM RCL CASTER 3'!AI8</f>
        <v>0</v>
      </c>
      <c r="AL108" s="3073">
        <f>+'GRD SUMM RCL CASTER 3'!AJ8</f>
        <v>0</v>
      </c>
      <c r="AM108" s="3073">
        <f>+'GRD SUMM RCL CASTER 3'!AK8</f>
        <v>34</v>
      </c>
      <c r="AN108" s="3073">
        <f>+'GRD SUMM RCL CASTER 3'!AL8</f>
        <v>0</v>
      </c>
      <c r="AO108" s="3073">
        <f>+'GRD SUMM RCL CASTER 3'!AM8</f>
        <v>349.10399999999998</v>
      </c>
      <c r="AP108" s="3073">
        <f>+'GRD SUMM RCL CASTER 3'!AN8</f>
        <v>0</v>
      </c>
      <c r="AQ108" s="3073">
        <f>+'GRD SUMM RCL CASTER 3'!AO8</f>
        <v>32</v>
      </c>
      <c r="AR108" s="3073">
        <f>+'GRD SUMM RCL CASTER 3'!AP8</f>
        <v>0</v>
      </c>
      <c r="AS108" s="3073">
        <f>+'GRD SUMM RCL CASTER 3'!AQ8</f>
        <v>381.10399999999998</v>
      </c>
      <c r="AT108" s="3073">
        <f>+'GRD SUMM RCL CASTER 3'!AR8</f>
        <v>0</v>
      </c>
      <c r="AU108" s="3073">
        <f>+'GRD SUMM RCL CASTER 3'!AS8</f>
        <v>75.492000000000004</v>
      </c>
      <c r="AV108" s="3073">
        <f>+'GRD SUMM RCL CASTER 3'!AT8</f>
        <v>0</v>
      </c>
      <c r="AW108" s="3073">
        <f>+'GRD SUMM RCL CASTER 3'!AU8</f>
        <v>456.596</v>
      </c>
      <c r="AX108" s="3073">
        <f>+'GRD SUMM RCL CASTER 3'!AV8</f>
        <v>0</v>
      </c>
      <c r="AY108" s="3073">
        <f>+'GRD SUMM RCL CASTER 3'!AW8</f>
        <v>5.2160000000000002</v>
      </c>
      <c r="AZ108" s="3073">
        <f>+'GRD SUMM RCL CASTER 3'!AX8</f>
        <v>0</v>
      </c>
      <c r="BA108" s="3073">
        <f t="shared" si="26"/>
        <v>112.708</v>
      </c>
      <c r="BB108" s="3073">
        <f>+'GRD SUMM RCL CASTER 3'!AZ8</f>
        <v>0</v>
      </c>
      <c r="BC108" s="3073">
        <f t="shared" si="27"/>
        <v>146.708</v>
      </c>
      <c r="BD108" s="3073">
        <f>+'GRD SUMM RCL CASTER 3'!BB8</f>
        <v>0</v>
      </c>
      <c r="BE108" s="3073">
        <f t="shared" si="28"/>
        <v>461.81200000000001</v>
      </c>
    </row>
    <row r="109" spans="2:58" s="4487" customFormat="1" ht="18.75" x14ac:dyDescent="0.25">
      <c r="C109" s="3091" t="str">
        <f>+'GRD SUMM RCL CASTER 3'!A9</f>
        <v>BLOOM CB 45C8 ALK(VD) 200*280</v>
      </c>
      <c r="D109" s="6941"/>
      <c r="E109" s="3073">
        <f>+'GRD SUMM RCL CASTER 3'!C9</f>
        <v>0</v>
      </c>
      <c r="F109" s="3073">
        <f>+'GRD SUMM RCL CASTER 3'!D9</f>
        <v>0</v>
      </c>
      <c r="G109" s="3073">
        <f>+'GRD SUMM RCL CASTER 3'!E9</f>
        <v>0</v>
      </c>
      <c r="H109" s="3073">
        <f>+'GRD SUMM RCL CASTER 3'!F9</f>
        <v>0</v>
      </c>
      <c r="I109" s="3073">
        <f>+'GRD SUMM RCL CASTER 3'!G9</f>
        <v>0</v>
      </c>
      <c r="J109" s="3073">
        <f>+'GRD SUMM RCL CASTER 3'!H9</f>
        <v>0</v>
      </c>
      <c r="K109" s="3073">
        <f>+'GRD SUMM RCL CASTER 3'!I9</f>
        <v>0</v>
      </c>
      <c r="L109" s="3073">
        <f>+'GRD SUMM RCL CASTER 3'!J9</f>
        <v>0</v>
      </c>
      <c r="M109" s="3073">
        <f>+'GRD SUMM RCL CASTER 3'!K9</f>
        <v>0</v>
      </c>
      <c r="N109" s="3073">
        <f>+'GRD SUMM RCL CASTER 3'!L9</f>
        <v>0</v>
      </c>
      <c r="O109" s="3073">
        <f>+'GRD SUMM RCL CASTER 3'!M9</f>
        <v>0</v>
      </c>
      <c r="P109" s="3073">
        <f>+'GRD SUMM RCL CASTER 3'!N9</f>
        <v>0</v>
      </c>
      <c r="Q109" s="3073">
        <f>+'GRD SUMM RCL CASTER 3'!O9</f>
        <v>0</v>
      </c>
      <c r="R109" s="3073">
        <f>+'GRD SUMM RCL CASTER 3'!P9</f>
        <v>0</v>
      </c>
      <c r="S109" s="3073">
        <f>+'GRD SUMM RCL CASTER 3'!Q9</f>
        <v>0</v>
      </c>
      <c r="T109" s="3073">
        <f>+'GRD SUMM RCL CASTER 3'!R9</f>
        <v>0</v>
      </c>
      <c r="U109" s="3073">
        <f>+'GRD SUMM RCL CASTER 3'!S9</f>
        <v>0</v>
      </c>
      <c r="V109" s="3073">
        <f>+'GRD SUMM RCL CASTER 3'!T9</f>
        <v>0</v>
      </c>
      <c r="W109" s="3073">
        <f>+'GRD SUMM RCL CASTER 3'!U9</f>
        <v>0</v>
      </c>
      <c r="X109" s="3073">
        <f>+'GRD SUMM RCL CASTER 3'!V9</f>
        <v>0</v>
      </c>
      <c r="Y109" s="3073">
        <f>+'GRD SUMM RCL CASTER 3'!W9</f>
        <v>0</v>
      </c>
      <c r="Z109" s="3073">
        <f>+'GRD SUMM RCL CASTER 3'!X9</f>
        <v>0</v>
      </c>
      <c r="AA109" s="3073">
        <f>+'GRD SUMM RCL CASTER 3'!Y9</f>
        <v>0</v>
      </c>
      <c r="AB109" s="3073">
        <f>+'GRD SUMM RCL CASTER 3'!Z9</f>
        <v>0</v>
      </c>
      <c r="AC109" s="3073">
        <f>+'GRD SUMM RCL CASTER 3'!AA9</f>
        <v>0</v>
      </c>
      <c r="AD109" s="3073">
        <f>+'GRD SUMM RCL CASTER 3'!AB9</f>
        <v>0</v>
      </c>
      <c r="AE109" s="3073">
        <f>+'GRD SUMM RCL CASTER 3'!AC9</f>
        <v>0</v>
      </c>
      <c r="AF109" s="3073">
        <f>+'GRD SUMM RCL CASTER 3'!AD9</f>
        <v>0</v>
      </c>
      <c r="AG109" s="3073">
        <f>+'GRD SUMM RCL CASTER 3'!AE9</f>
        <v>0</v>
      </c>
      <c r="AH109" s="3073">
        <f>+'GRD SUMM RCL CASTER 3'!AF9</f>
        <v>0</v>
      </c>
      <c r="AI109" s="3073">
        <f>+'GRD SUMM RCL CASTER 3'!AG9</f>
        <v>0</v>
      </c>
      <c r="AJ109" s="3073">
        <f>+'GRD SUMM RCL CASTER 3'!AH9</f>
        <v>0</v>
      </c>
      <c r="AK109" s="3073">
        <f>+'GRD SUMM RCL CASTER 3'!AI9</f>
        <v>0</v>
      </c>
      <c r="AL109" s="3073">
        <f>+'GRD SUMM RCL CASTER 3'!AJ9</f>
        <v>0</v>
      </c>
      <c r="AM109" s="3073">
        <f>+'GRD SUMM RCL CASTER 3'!AK9</f>
        <v>0</v>
      </c>
      <c r="AN109" s="3073">
        <f>+'GRD SUMM RCL CASTER 3'!AL9</f>
        <v>0</v>
      </c>
      <c r="AO109" s="3073">
        <f>+'GRD SUMM RCL CASTER 3'!AM9</f>
        <v>0</v>
      </c>
      <c r="AP109" s="3073">
        <f>+'GRD SUMM RCL CASTER 3'!AN9</f>
        <v>0</v>
      </c>
      <c r="AQ109" s="3073">
        <f>+'GRD SUMM RCL CASTER 3'!AO9</f>
        <v>1655</v>
      </c>
      <c r="AR109" s="3073">
        <f>+'GRD SUMM RCL CASTER 3'!AP9</f>
        <v>0</v>
      </c>
      <c r="AS109" s="3073">
        <f>+'GRD SUMM RCL CASTER 3'!AQ9</f>
        <v>1655</v>
      </c>
      <c r="AT109" s="3073">
        <f>+'GRD SUMM RCL CASTER 3'!AR9</f>
        <v>0</v>
      </c>
      <c r="AU109" s="3073">
        <f>+'GRD SUMM RCL CASTER 3'!AS9</f>
        <v>0</v>
      </c>
      <c r="AV109" s="3073">
        <f>+'GRD SUMM RCL CASTER 3'!AT9</f>
        <v>0</v>
      </c>
      <c r="AW109" s="3073">
        <f>+'GRD SUMM RCL CASTER 3'!AU9</f>
        <v>1655</v>
      </c>
      <c r="AX109" s="3073">
        <f>+'GRD SUMM RCL CASTER 3'!AV9</f>
        <v>0</v>
      </c>
      <c r="AY109" s="3073">
        <f>+'GRD SUMM RCL CASTER 3'!AW9</f>
        <v>2258.1779999999999</v>
      </c>
      <c r="AZ109" s="3073">
        <f>+'GRD SUMM RCL CASTER 3'!AX9</f>
        <v>0</v>
      </c>
      <c r="BA109" s="3073">
        <f t="shared" si="26"/>
        <v>3913.1779999999999</v>
      </c>
      <c r="BB109" s="3073">
        <f>+'GRD SUMM RCL CASTER 3'!AZ9</f>
        <v>0</v>
      </c>
      <c r="BC109" s="3073">
        <f t="shared" si="27"/>
        <v>3913.1779999999999</v>
      </c>
      <c r="BD109" s="3073">
        <f>+'GRD SUMM RCL CASTER 3'!BB9</f>
        <v>0</v>
      </c>
      <c r="BE109" s="3073">
        <f t="shared" si="28"/>
        <v>3913.1779999999999</v>
      </c>
    </row>
    <row r="110" spans="2:58" s="4487" customFormat="1" ht="18.75" x14ac:dyDescent="0.25">
      <c r="C110" s="3091" t="str">
        <f>+'GRD SUMM RCL CASTER 3'!A10</f>
        <v>BLOOM CB 45 C8 (ROLLING) 200*280</v>
      </c>
      <c r="D110" s="6941"/>
      <c r="E110" s="3073">
        <f>+'GRD SUMM RCL CASTER 3'!C10</f>
        <v>0</v>
      </c>
      <c r="F110" s="3073">
        <f>+'GRD SUMM RCL CASTER 3'!D10</f>
        <v>0</v>
      </c>
      <c r="G110" s="3073">
        <f>+'GRD SUMM RCL CASTER 3'!E10</f>
        <v>0</v>
      </c>
      <c r="H110" s="3073">
        <f>+'GRD SUMM RCL CASTER 3'!F10</f>
        <v>0</v>
      </c>
      <c r="I110" s="3073">
        <f>+'GRD SUMM RCL CASTER 3'!G10</f>
        <v>0</v>
      </c>
      <c r="J110" s="3073">
        <f>+'GRD SUMM RCL CASTER 3'!H10</f>
        <v>0</v>
      </c>
      <c r="K110" s="3073">
        <f>+'GRD SUMM RCL CASTER 3'!I10</f>
        <v>0</v>
      </c>
      <c r="L110" s="3073">
        <f>+'GRD SUMM RCL CASTER 3'!J10</f>
        <v>0</v>
      </c>
      <c r="M110" s="3073">
        <f>+'GRD SUMM RCL CASTER 3'!K10</f>
        <v>0</v>
      </c>
      <c r="N110" s="3073">
        <f>+'GRD SUMM RCL CASTER 3'!L10</f>
        <v>0</v>
      </c>
      <c r="O110" s="3073">
        <f>+'GRD SUMM RCL CASTER 3'!M10</f>
        <v>0</v>
      </c>
      <c r="P110" s="3073">
        <f>+'GRD SUMM RCL CASTER 3'!N10</f>
        <v>0</v>
      </c>
      <c r="Q110" s="3073">
        <f>+'GRD SUMM RCL CASTER 3'!O10</f>
        <v>0</v>
      </c>
      <c r="R110" s="3073">
        <f>+'GRD SUMM RCL CASTER 3'!P10</f>
        <v>0</v>
      </c>
      <c r="S110" s="3073">
        <f>+'GRD SUMM RCL CASTER 3'!Q10</f>
        <v>0</v>
      </c>
      <c r="T110" s="3073">
        <f>+'GRD SUMM RCL CASTER 3'!R10</f>
        <v>0</v>
      </c>
      <c r="U110" s="3073">
        <f>+'GRD SUMM RCL CASTER 3'!S10</f>
        <v>0</v>
      </c>
      <c r="V110" s="3073">
        <f>+'GRD SUMM RCL CASTER 3'!T10</f>
        <v>0</v>
      </c>
      <c r="W110" s="3073">
        <f>+'GRD SUMM RCL CASTER 3'!U10</f>
        <v>0</v>
      </c>
      <c r="X110" s="3073">
        <f>+'GRD SUMM RCL CASTER 3'!V10</f>
        <v>0</v>
      </c>
      <c r="Y110" s="3073">
        <f>+'GRD SUMM RCL CASTER 3'!W10</f>
        <v>0</v>
      </c>
      <c r="Z110" s="3073">
        <f>+'GRD SUMM RCL CASTER 3'!X10</f>
        <v>0</v>
      </c>
      <c r="AA110" s="3073">
        <f>+'GRD SUMM RCL CASTER 3'!Y10</f>
        <v>0</v>
      </c>
      <c r="AB110" s="3073">
        <f>+'GRD SUMM RCL CASTER 3'!Z10</f>
        <v>0</v>
      </c>
      <c r="AC110" s="3073">
        <f>+'GRD SUMM RCL CASTER 3'!AA10</f>
        <v>0</v>
      </c>
      <c r="AD110" s="3073">
        <f>+'GRD SUMM RCL CASTER 3'!AB10</f>
        <v>0</v>
      </c>
      <c r="AE110" s="3073">
        <f>+'GRD SUMM RCL CASTER 3'!AC10</f>
        <v>0</v>
      </c>
      <c r="AF110" s="3073">
        <f>+'GRD SUMM RCL CASTER 3'!AD10</f>
        <v>0</v>
      </c>
      <c r="AG110" s="3073">
        <f>+'GRD SUMM RCL CASTER 3'!AE10</f>
        <v>0</v>
      </c>
      <c r="AH110" s="3073">
        <f>+'GRD SUMM RCL CASTER 3'!AF10</f>
        <v>0</v>
      </c>
      <c r="AI110" s="3073">
        <f>+'GRD SUMM RCL CASTER 3'!AG10</f>
        <v>0</v>
      </c>
      <c r="AJ110" s="3073">
        <f>+'GRD SUMM RCL CASTER 3'!AH10</f>
        <v>0</v>
      </c>
      <c r="AK110" s="3073">
        <f>+'GRD SUMM RCL CASTER 3'!AI10</f>
        <v>0</v>
      </c>
      <c r="AL110" s="3073">
        <f>+'GRD SUMM RCL CASTER 3'!AJ10</f>
        <v>0</v>
      </c>
      <c r="AM110" s="3073">
        <f>+'GRD SUMM RCL CASTER 3'!AK10</f>
        <v>0</v>
      </c>
      <c r="AN110" s="3073">
        <f>+'GRD SUMM RCL CASTER 3'!AL10</f>
        <v>0</v>
      </c>
      <c r="AO110" s="3073">
        <f>+'GRD SUMM RCL CASTER 3'!AM10</f>
        <v>0</v>
      </c>
      <c r="AP110" s="3073">
        <f>+'GRD SUMM RCL CASTER 3'!AN10</f>
        <v>0</v>
      </c>
      <c r="AQ110" s="3073">
        <f>+'GRD SUMM RCL CASTER 3'!AO10</f>
        <v>573</v>
      </c>
      <c r="AR110" s="3073">
        <f>+'GRD SUMM RCL CASTER 3'!AP10</f>
        <v>0</v>
      </c>
      <c r="AS110" s="3073">
        <f>+'GRD SUMM RCL CASTER 3'!AQ10</f>
        <v>573</v>
      </c>
      <c r="AT110" s="3073">
        <f>+'GRD SUMM RCL CASTER 3'!AR10</f>
        <v>0</v>
      </c>
      <c r="AU110" s="3073">
        <f>+'GRD SUMM RCL CASTER 3'!AS10</f>
        <v>0</v>
      </c>
      <c r="AV110" s="3073">
        <f>+'GRD SUMM RCL CASTER 3'!AT10</f>
        <v>0</v>
      </c>
      <c r="AW110" s="3073">
        <f>+'GRD SUMM RCL CASTER 3'!AU10</f>
        <v>573</v>
      </c>
      <c r="AX110" s="3073">
        <f>+'GRD SUMM RCL CASTER 3'!AV10</f>
        <v>0</v>
      </c>
      <c r="AY110" s="3073">
        <f>+'GRD SUMM RCL CASTER 3'!AW10</f>
        <v>372.60599999999999</v>
      </c>
      <c r="AZ110" s="3073">
        <f>+'GRD SUMM RCL CASTER 3'!AX10</f>
        <v>0</v>
      </c>
      <c r="BA110" s="3073">
        <f t="shared" si="26"/>
        <v>945.60599999999999</v>
      </c>
      <c r="BB110" s="3073">
        <f>+'GRD SUMM RCL CASTER 3'!AZ10</f>
        <v>0</v>
      </c>
      <c r="BC110" s="3073">
        <f t="shared" si="27"/>
        <v>945.60599999999999</v>
      </c>
      <c r="BD110" s="3073">
        <f>+'GRD SUMM RCL CASTER 3'!BB10</f>
        <v>0</v>
      </c>
      <c r="BE110" s="3073">
        <f t="shared" si="28"/>
        <v>945.60599999999999</v>
      </c>
    </row>
    <row r="111" spans="2:58" s="4487" customFormat="1" ht="18.75" x14ac:dyDescent="0.25">
      <c r="C111" s="3091" t="str">
        <f>+'GRD SUMM RCL CASTER 3'!A11</f>
        <v>BLOOM CB SAILTOWER6 V 200*280</v>
      </c>
      <c r="D111" s="6941"/>
      <c r="E111" s="3073">
        <f>+'GRD SUMM RCL CASTER 3'!C11</f>
        <v>0</v>
      </c>
      <c r="F111" s="3073">
        <f>+'GRD SUMM RCL CASTER 3'!D11</f>
        <v>0</v>
      </c>
      <c r="G111" s="3073">
        <f>+'GRD SUMM RCL CASTER 3'!E11</f>
        <v>0</v>
      </c>
      <c r="H111" s="3073">
        <f>+'GRD SUMM RCL CASTER 3'!F11</f>
        <v>0</v>
      </c>
      <c r="I111" s="3073">
        <f>+'GRD SUMM RCL CASTER 3'!G11</f>
        <v>0</v>
      </c>
      <c r="J111" s="3073">
        <f>+'GRD SUMM RCL CASTER 3'!H11</f>
        <v>0</v>
      </c>
      <c r="K111" s="3073">
        <f>+'GRD SUMM RCL CASTER 3'!I11</f>
        <v>0</v>
      </c>
      <c r="L111" s="3073">
        <f>+'GRD SUMM RCL CASTER 3'!J11</f>
        <v>0</v>
      </c>
      <c r="M111" s="3073">
        <f>+'GRD SUMM RCL CASTER 3'!K11</f>
        <v>0</v>
      </c>
      <c r="N111" s="3073">
        <f>+'GRD SUMM RCL CASTER 3'!L11</f>
        <v>0</v>
      </c>
      <c r="O111" s="3073">
        <f>+'GRD SUMM RCL CASTER 3'!M11</f>
        <v>0</v>
      </c>
      <c r="P111" s="3073">
        <f>+'GRD SUMM RCL CASTER 3'!N11</f>
        <v>0</v>
      </c>
      <c r="Q111" s="3073">
        <f>+'GRD SUMM RCL CASTER 3'!O11</f>
        <v>0</v>
      </c>
      <c r="R111" s="3073">
        <f>+'GRD SUMM RCL CASTER 3'!P11</f>
        <v>0</v>
      </c>
      <c r="S111" s="3073">
        <f>+'GRD SUMM RCL CASTER 3'!Q11</f>
        <v>0</v>
      </c>
      <c r="T111" s="3073">
        <f>+'GRD SUMM RCL CASTER 3'!R11</f>
        <v>0</v>
      </c>
      <c r="U111" s="3073">
        <f>+'GRD SUMM RCL CASTER 3'!S11</f>
        <v>0</v>
      </c>
      <c r="V111" s="3073">
        <f>+'GRD SUMM RCL CASTER 3'!T11</f>
        <v>0</v>
      </c>
      <c r="W111" s="3073">
        <f>+'GRD SUMM RCL CASTER 3'!U11</f>
        <v>0</v>
      </c>
      <c r="X111" s="3073">
        <f>+'GRD SUMM RCL CASTER 3'!V11</f>
        <v>0</v>
      </c>
      <c r="Y111" s="3073">
        <f>+'GRD SUMM RCL CASTER 3'!W11</f>
        <v>0</v>
      </c>
      <c r="Z111" s="3073">
        <f>+'GRD SUMM RCL CASTER 3'!X11</f>
        <v>0</v>
      </c>
      <c r="AA111" s="3073">
        <f>+'GRD SUMM RCL CASTER 3'!Y11</f>
        <v>0</v>
      </c>
      <c r="AB111" s="3073">
        <f>+'GRD SUMM RCL CASTER 3'!Z11</f>
        <v>0</v>
      </c>
      <c r="AC111" s="3073">
        <f>+'GRD SUMM RCL CASTER 3'!AA11</f>
        <v>0</v>
      </c>
      <c r="AD111" s="3073">
        <f>+'GRD SUMM RCL CASTER 3'!AB11</f>
        <v>0</v>
      </c>
      <c r="AE111" s="3073">
        <f>+'GRD SUMM RCL CASTER 3'!AC11</f>
        <v>0</v>
      </c>
      <c r="AF111" s="3073">
        <f>+'GRD SUMM RCL CASTER 3'!AD11</f>
        <v>0</v>
      </c>
      <c r="AG111" s="3073">
        <f>+'GRD SUMM RCL CASTER 3'!AE11</f>
        <v>0</v>
      </c>
      <c r="AH111" s="3073">
        <f>+'GRD SUMM RCL CASTER 3'!AF11</f>
        <v>0</v>
      </c>
      <c r="AI111" s="3073">
        <f>+'GRD SUMM RCL CASTER 3'!AG11</f>
        <v>0</v>
      </c>
      <c r="AJ111" s="3073">
        <f>+'GRD SUMM RCL CASTER 3'!AH11</f>
        <v>0</v>
      </c>
      <c r="AK111" s="3073">
        <f>+'GRD SUMM RCL CASTER 3'!AI11</f>
        <v>0</v>
      </c>
      <c r="AL111" s="3073">
        <f>+'GRD SUMM RCL CASTER 3'!AJ11</f>
        <v>0</v>
      </c>
      <c r="AM111" s="3073">
        <f>+'GRD SUMM RCL CASTER 3'!AK11</f>
        <v>0</v>
      </c>
      <c r="AN111" s="3073">
        <f>+'GRD SUMM RCL CASTER 3'!AL11</f>
        <v>0</v>
      </c>
      <c r="AO111" s="3073">
        <f>+'GRD SUMM RCL CASTER 3'!AM11</f>
        <v>0</v>
      </c>
      <c r="AP111" s="3073">
        <f>+'GRD SUMM RCL CASTER 3'!AN11</f>
        <v>0</v>
      </c>
      <c r="AQ111" s="3073">
        <f>+'GRD SUMM RCL CASTER 3'!AO11</f>
        <v>1882</v>
      </c>
      <c r="AR111" s="3073">
        <f>+'GRD SUMM RCL CASTER 3'!AP11</f>
        <v>0</v>
      </c>
      <c r="AS111" s="3073">
        <f>+'GRD SUMM RCL CASTER 3'!AQ11</f>
        <v>1882</v>
      </c>
      <c r="AT111" s="3073">
        <f>+'GRD SUMM RCL CASTER 3'!AR11</f>
        <v>0</v>
      </c>
      <c r="AU111" s="3073">
        <f>+'GRD SUMM RCL CASTER 3'!AS11</f>
        <v>1221.2460000000001</v>
      </c>
      <c r="AV111" s="3073">
        <f>+'GRD SUMM RCL CASTER 3'!AT11</f>
        <v>0</v>
      </c>
      <c r="AW111" s="3073">
        <f>+'GRD SUMM RCL CASTER 3'!AU11</f>
        <v>3103.2460000000001</v>
      </c>
      <c r="AX111" s="3073">
        <f>+'GRD SUMM RCL CASTER 3'!AV11</f>
        <v>0</v>
      </c>
      <c r="AY111" s="3073">
        <f>+'GRD SUMM RCL CASTER 3'!AW11</f>
        <v>0</v>
      </c>
      <c r="AZ111" s="3073">
        <f>+'GRD SUMM RCL CASTER 3'!AX11</f>
        <v>0</v>
      </c>
      <c r="BA111" s="3073">
        <f t="shared" si="26"/>
        <v>3103.2460000000001</v>
      </c>
      <c r="BB111" s="3073">
        <f>+'GRD SUMM RCL CASTER 3'!AZ11</f>
        <v>0</v>
      </c>
      <c r="BC111" s="3073">
        <f t="shared" si="27"/>
        <v>3103.2460000000001</v>
      </c>
      <c r="BD111" s="3073">
        <f>+'GRD SUMM RCL CASTER 3'!BB11</f>
        <v>0</v>
      </c>
      <c r="BE111" s="3073">
        <f t="shared" si="28"/>
        <v>3103.2460000000001</v>
      </c>
    </row>
    <row r="112" spans="2:58" s="4487" customFormat="1" ht="18.75" x14ac:dyDescent="0.25">
      <c r="C112" s="3091" t="str">
        <f>+'GRD SUMM RCL CASTER 3'!A12</f>
        <v>BLOOM CB SAILTOWER6 NB 200*280</v>
      </c>
      <c r="D112" s="6941"/>
      <c r="E112" s="3073">
        <f>+'GRD SUMM RCL CASTER 3'!C12</f>
        <v>0</v>
      </c>
      <c r="F112" s="3073">
        <f>+'GRD SUMM RCL CASTER 3'!D12</f>
        <v>0</v>
      </c>
      <c r="G112" s="3073">
        <f>+'GRD SUMM RCL CASTER 3'!E12</f>
        <v>2204</v>
      </c>
      <c r="H112" s="3073">
        <f>+'GRD SUMM RCL CASTER 3'!F12</f>
        <v>0</v>
      </c>
      <c r="I112" s="3073">
        <f>+'GRD SUMM RCL CASTER 3'!G12</f>
        <v>2204</v>
      </c>
      <c r="J112" s="3073">
        <f>+'GRD SUMM RCL CASTER 3'!H12</f>
        <v>0</v>
      </c>
      <c r="K112" s="3073">
        <f>+'GRD SUMM RCL CASTER 3'!I12</f>
        <v>0</v>
      </c>
      <c r="L112" s="3073">
        <f>+'GRD SUMM RCL CASTER 3'!J12</f>
        <v>0</v>
      </c>
      <c r="M112" s="3073">
        <f>+'GRD SUMM RCL CASTER 3'!K12</f>
        <v>2204</v>
      </c>
      <c r="N112" s="3073">
        <f>+'GRD SUMM RCL CASTER 3'!L12</f>
        <v>0</v>
      </c>
      <c r="O112" s="3073">
        <f>+'GRD SUMM RCL CASTER 3'!M12</f>
        <v>0</v>
      </c>
      <c r="P112" s="3073">
        <f>+'GRD SUMM RCL CASTER 3'!N12</f>
        <v>0</v>
      </c>
      <c r="Q112" s="3073">
        <f>+'GRD SUMM RCL CASTER 3'!O12</f>
        <v>2204</v>
      </c>
      <c r="R112" s="3073">
        <f>+'GRD SUMM RCL CASTER 3'!P12</f>
        <v>0</v>
      </c>
      <c r="S112" s="3073">
        <f>+'GRD SUMM RCL CASTER 3'!Q12</f>
        <v>5899.3739999999998</v>
      </c>
      <c r="T112" s="3073">
        <f>+'GRD SUMM RCL CASTER 3'!R12</f>
        <v>0</v>
      </c>
      <c r="U112" s="3073">
        <f>+'GRD SUMM RCL CASTER 3'!S12</f>
        <v>8103.3739999999998</v>
      </c>
      <c r="V112" s="3073">
        <f>+'GRD SUMM RCL CASTER 3'!T12</f>
        <v>0</v>
      </c>
      <c r="W112" s="3073">
        <f>+'GRD SUMM RCL CASTER 3'!U12</f>
        <v>0</v>
      </c>
      <c r="X112" s="3073">
        <f>+'GRD SUMM RCL CASTER 3'!V12</f>
        <v>0</v>
      </c>
      <c r="Y112" s="3073">
        <f>+'GRD SUMM RCL CASTER 3'!W12</f>
        <v>5899.3739999999998</v>
      </c>
      <c r="Z112" s="3073">
        <f>+'GRD SUMM RCL CASTER 3'!X12</f>
        <v>0</v>
      </c>
      <c r="AA112" s="3073">
        <f>+'GRD SUMM RCL CASTER 3'!Y12</f>
        <v>8103.3739999999998</v>
      </c>
      <c r="AB112" s="3073">
        <f>+'GRD SUMM RCL CASTER 3'!Z12</f>
        <v>0</v>
      </c>
      <c r="AC112" s="3073">
        <f>+'GRD SUMM RCL CASTER 3'!AA12</f>
        <v>9050</v>
      </c>
      <c r="AD112" s="3073">
        <f>+'GRD SUMM RCL CASTER 3'!AB12</f>
        <v>0</v>
      </c>
      <c r="AE112" s="3073">
        <f>+'GRD SUMM RCL CASTER 3'!AC12</f>
        <v>17153.374</v>
      </c>
      <c r="AF112" s="3073">
        <f>+'GRD SUMM RCL CASTER 3'!AD12</f>
        <v>0</v>
      </c>
      <c r="AG112" s="3073">
        <f>+'GRD SUMM RCL CASTER 3'!AE12</f>
        <v>0</v>
      </c>
      <c r="AH112" s="3073">
        <f>+'GRD SUMM RCL CASTER 3'!AF12</f>
        <v>0</v>
      </c>
      <c r="AI112" s="3073">
        <f>+'GRD SUMM RCL CASTER 3'!AG12</f>
        <v>17153.374</v>
      </c>
      <c r="AJ112" s="3073">
        <f>+'GRD SUMM RCL CASTER 3'!AH12</f>
        <v>0</v>
      </c>
      <c r="AK112" s="3073">
        <f>+'GRD SUMM RCL CASTER 3'!AI12</f>
        <v>0</v>
      </c>
      <c r="AL112" s="3073">
        <f>+'GRD SUMM RCL CASTER 3'!AJ12</f>
        <v>0</v>
      </c>
      <c r="AM112" s="3073">
        <f>+'GRD SUMM RCL CASTER 3'!AK12</f>
        <v>9050</v>
      </c>
      <c r="AN112" s="3073">
        <f>+'GRD SUMM RCL CASTER 3'!AL12</f>
        <v>0</v>
      </c>
      <c r="AO112" s="3073">
        <f>+'GRD SUMM RCL CASTER 3'!AM12</f>
        <v>17153.374</v>
      </c>
      <c r="AP112" s="3073">
        <f>+'GRD SUMM RCL CASTER 3'!AN12</f>
        <v>0</v>
      </c>
      <c r="AQ112" s="3073">
        <f>+'GRD SUMM RCL CASTER 3'!AO12</f>
        <v>0</v>
      </c>
      <c r="AR112" s="3073">
        <f>+'GRD SUMM RCL CASTER 3'!AP12</f>
        <v>0</v>
      </c>
      <c r="AS112" s="3073">
        <f>+'GRD SUMM RCL CASTER 3'!AQ12</f>
        <v>17153.374</v>
      </c>
      <c r="AT112" s="3073">
        <f>+'GRD SUMM RCL CASTER 3'!AR12</f>
        <v>0</v>
      </c>
      <c r="AU112" s="3073">
        <f>+'GRD SUMM RCL CASTER 3'!AS12</f>
        <v>0</v>
      </c>
      <c r="AV112" s="3073">
        <f>+'GRD SUMM RCL CASTER 3'!AT12</f>
        <v>0</v>
      </c>
      <c r="AW112" s="3073">
        <f>+'GRD SUMM RCL CASTER 3'!AU12</f>
        <v>17153.374</v>
      </c>
      <c r="AX112" s="3073">
        <f>+'GRD SUMM RCL CASTER 3'!AV12</f>
        <v>0</v>
      </c>
      <c r="AY112" s="3073">
        <f>+'GRD SUMM RCL CASTER 3'!AW12</f>
        <v>0</v>
      </c>
      <c r="AZ112" s="3073">
        <f>+'GRD SUMM RCL CASTER 3'!AX12</f>
        <v>0</v>
      </c>
      <c r="BA112" s="3073">
        <f t="shared" si="26"/>
        <v>0</v>
      </c>
      <c r="BB112" s="3073">
        <f>+'GRD SUMM RCL CASTER 3'!AZ12</f>
        <v>0</v>
      </c>
      <c r="BC112" s="3073">
        <f t="shared" si="27"/>
        <v>9050</v>
      </c>
      <c r="BD112" s="3073">
        <f>+'GRD SUMM RCL CASTER 3'!BB12</f>
        <v>0</v>
      </c>
      <c r="BE112" s="3073">
        <f t="shared" si="28"/>
        <v>17153.374</v>
      </c>
    </row>
    <row r="113" spans="2:57" x14ac:dyDescent="0.25">
      <c r="C113" s="3091" t="str">
        <f>+'GRD SUMM RCL CASTER 3'!A13</f>
        <v>BLOOM CB SAILTOWER-GR6-NB(A) 200*280</v>
      </c>
      <c r="D113" s="3091"/>
      <c r="E113" s="3073">
        <f>+'GRD SUMM RCL CASTER 3'!C13</f>
        <v>0</v>
      </c>
      <c r="F113" s="3073">
        <f>+'GRD SUMM RCL CASTER 3'!D13</f>
        <v>0</v>
      </c>
      <c r="G113" s="3073">
        <f>+'GRD SUMM RCL CASTER 3'!E13</f>
        <v>0</v>
      </c>
      <c r="H113" s="3073">
        <f>+'GRD SUMM RCL CASTER 3'!F13</f>
        <v>0</v>
      </c>
      <c r="I113" s="3073">
        <f>+'GRD SUMM RCL CASTER 3'!G13</f>
        <v>0</v>
      </c>
      <c r="J113" s="3073">
        <f>+'GRD SUMM RCL CASTER 3'!H13</f>
        <v>0</v>
      </c>
      <c r="K113" s="3073">
        <f>+'GRD SUMM RCL CASTER 3'!I13</f>
        <v>0</v>
      </c>
      <c r="L113" s="3073">
        <f>+'GRD SUMM RCL CASTER 3'!J13</f>
        <v>0</v>
      </c>
      <c r="M113" s="3073">
        <f>+'GRD SUMM RCL CASTER 3'!K13</f>
        <v>0</v>
      </c>
      <c r="N113" s="3073">
        <f>+'GRD SUMM RCL CASTER 3'!L13</f>
        <v>0</v>
      </c>
      <c r="O113" s="3073">
        <f>+'GRD SUMM RCL CASTER 3'!M13</f>
        <v>0</v>
      </c>
      <c r="P113" s="3073">
        <f>+'GRD SUMM RCL CASTER 3'!N13</f>
        <v>0</v>
      </c>
      <c r="Q113" s="3073">
        <f>+'GRD SUMM RCL CASTER 3'!O13</f>
        <v>0</v>
      </c>
      <c r="R113" s="3073">
        <f>+'GRD SUMM RCL CASTER 3'!P13</f>
        <v>0</v>
      </c>
      <c r="S113" s="3073">
        <f>+'GRD SUMM RCL CASTER 3'!Q13</f>
        <v>0</v>
      </c>
      <c r="T113" s="3073">
        <f>+'GRD SUMM RCL CASTER 3'!R13</f>
        <v>0</v>
      </c>
      <c r="U113" s="3073">
        <f>+'GRD SUMM RCL CASTER 3'!S13</f>
        <v>0</v>
      </c>
      <c r="V113" s="3073">
        <f>+'GRD SUMM RCL CASTER 3'!T13</f>
        <v>0</v>
      </c>
      <c r="W113" s="3073">
        <f>+'GRD SUMM RCL CASTER 3'!U13</f>
        <v>0</v>
      </c>
      <c r="X113" s="3073">
        <f>+'GRD SUMM RCL CASTER 3'!V13</f>
        <v>0</v>
      </c>
      <c r="Y113" s="3073">
        <f>+'GRD SUMM RCL CASTER 3'!W13</f>
        <v>0</v>
      </c>
      <c r="Z113" s="3073">
        <f>+'GRD SUMM RCL CASTER 3'!X13</f>
        <v>0</v>
      </c>
      <c r="AA113" s="3073">
        <f>+'GRD SUMM RCL CASTER 3'!Y13</f>
        <v>0</v>
      </c>
      <c r="AB113" s="3073">
        <f>+'GRD SUMM RCL CASTER 3'!Z13</f>
        <v>0</v>
      </c>
      <c r="AC113" s="3073">
        <f>+'GRD SUMM RCL CASTER 3'!AA13</f>
        <v>0</v>
      </c>
      <c r="AD113" s="3073">
        <f>+'GRD SUMM RCL CASTER 3'!AB13</f>
        <v>0</v>
      </c>
      <c r="AE113" s="3073">
        <f>+'GRD SUMM RCL CASTER 3'!AC13</f>
        <v>0</v>
      </c>
      <c r="AF113" s="3073">
        <f>+'GRD SUMM RCL CASTER 3'!AD13</f>
        <v>0</v>
      </c>
      <c r="AG113" s="3073">
        <f>+'GRD SUMM RCL CASTER 3'!AE13</f>
        <v>0</v>
      </c>
      <c r="AH113" s="3073">
        <f>+'GRD SUMM RCL CASTER 3'!AF13</f>
        <v>0</v>
      </c>
      <c r="AI113" s="3073">
        <f>+'GRD SUMM RCL CASTER 3'!AG13</f>
        <v>0</v>
      </c>
      <c r="AJ113" s="3073">
        <f>+'GRD SUMM RCL CASTER 3'!AH13</f>
        <v>0</v>
      </c>
      <c r="AK113" s="3073">
        <f>+'GRD SUMM RCL CASTER 3'!AI13</f>
        <v>0</v>
      </c>
      <c r="AL113" s="3073">
        <f>+'GRD SUMM RCL CASTER 3'!AJ13</f>
        <v>0</v>
      </c>
      <c r="AM113" s="3073">
        <f>+'GRD SUMM RCL CASTER 3'!AK13</f>
        <v>0</v>
      </c>
      <c r="AN113" s="3073">
        <f>+'GRD SUMM RCL CASTER 3'!AL13</f>
        <v>0</v>
      </c>
      <c r="AO113" s="3073">
        <f>+'GRD SUMM RCL CASTER 3'!AM13</f>
        <v>0</v>
      </c>
      <c r="AP113" s="3073">
        <f>+'GRD SUMM RCL CASTER 3'!AN13</f>
        <v>0</v>
      </c>
      <c r="AQ113" s="3073">
        <f>+'GRD SUMM RCL CASTER 3'!AO13</f>
        <v>0</v>
      </c>
      <c r="AR113" s="3073">
        <f>+'GRD SUMM RCL CASTER 3'!AP13</f>
        <v>0</v>
      </c>
      <c r="AS113" s="3073">
        <f>+'GRD SUMM RCL CASTER 3'!AQ13</f>
        <v>0</v>
      </c>
      <c r="AT113" s="3073">
        <f>+'GRD SUMM RCL CASTER 3'!AR13</f>
        <v>0</v>
      </c>
      <c r="AU113" s="3073">
        <f>+'GRD SUMM RCL CASTER 3'!AS13</f>
        <v>0</v>
      </c>
      <c r="AV113" s="3073">
        <f>+'GRD SUMM RCL CASTER 3'!AT13</f>
        <v>0</v>
      </c>
      <c r="AW113" s="3073">
        <f>+'GRD SUMM RCL CASTER 3'!AU13</f>
        <v>0</v>
      </c>
      <c r="AX113" s="3073">
        <f>+'GRD SUMM RCL CASTER 3'!AV13</f>
        <v>0</v>
      </c>
      <c r="AY113" s="3073">
        <f>+'GRD SUMM RCL CASTER 3'!AW13</f>
        <v>0</v>
      </c>
      <c r="AZ113" s="3073">
        <f>+'GRD SUMM RCL CASTER 3'!AX13</f>
        <v>0</v>
      </c>
      <c r="BA113" s="3073">
        <f t="shared" si="26"/>
        <v>0</v>
      </c>
      <c r="BB113" s="3073">
        <f>+'GRD SUMM RCL CASTER 3'!AZ13</f>
        <v>0</v>
      </c>
      <c r="BC113" s="3073">
        <f t="shared" si="27"/>
        <v>0</v>
      </c>
      <c r="BD113" s="3073">
        <f>+'GRD SUMM RCL CASTER 3'!BB13</f>
        <v>0</v>
      </c>
      <c r="BE113" s="3073">
        <f t="shared" si="28"/>
        <v>0</v>
      </c>
    </row>
    <row r="114" spans="2:57" x14ac:dyDescent="0.25">
      <c r="C114" s="3091" t="str">
        <f>+'GRD SUMM RCL CASTER 3'!A14</f>
        <v>BLOOM CB SWR 14 200*280</v>
      </c>
      <c r="D114" s="3091"/>
      <c r="E114" s="3073">
        <f>+'GRD SUMM RCL CASTER 3'!C14</f>
        <v>0</v>
      </c>
      <c r="F114" s="3073">
        <f>+'GRD SUMM RCL CASTER 3'!D14</f>
        <v>0</v>
      </c>
      <c r="G114" s="3073">
        <f>+'GRD SUMM RCL CASTER 3'!E14</f>
        <v>0</v>
      </c>
      <c r="H114" s="3073">
        <f>+'GRD SUMM RCL CASTER 3'!F14</f>
        <v>0</v>
      </c>
      <c r="I114" s="3073">
        <f>+'GRD SUMM RCL CASTER 3'!G14</f>
        <v>0</v>
      </c>
      <c r="J114" s="3073">
        <f>+'GRD SUMM RCL CASTER 3'!H14</f>
        <v>0</v>
      </c>
      <c r="K114" s="3073">
        <f>+'GRD SUMM RCL CASTER 3'!I14</f>
        <v>0</v>
      </c>
      <c r="L114" s="3073">
        <f>+'GRD SUMM RCL CASTER 3'!J14</f>
        <v>0</v>
      </c>
      <c r="M114" s="3073">
        <f>+'GRD SUMM RCL CASTER 3'!K14</f>
        <v>0</v>
      </c>
      <c r="N114" s="3073">
        <f>+'GRD SUMM RCL CASTER 3'!L14</f>
        <v>0</v>
      </c>
      <c r="O114" s="3073">
        <f>+'GRD SUMM RCL CASTER 3'!M14</f>
        <v>0</v>
      </c>
      <c r="P114" s="3073">
        <f>+'GRD SUMM RCL CASTER 3'!N14</f>
        <v>0</v>
      </c>
      <c r="Q114" s="3073">
        <f>+'GRD SUMM RCL CASTER 3'!O14</f>
        <v>0</v>
      </c>
      <c r="R114" s="3073">
        <f>+'GRD SUMM RCL CASTER 3'!P14</f>
        <v>0</v>
      </c>
      <c r="S114" s="3073">
        <f>+'GRD SUMM RCL CASTER 3'!Q14</f>
        <v>0</v>
      </c>
      <c r="T114" s="3073">
        <f>+'GRD SUMM RCL CASTER 3'!R14</f>
        <v>0</v>
      </c>
      <c r="U114" s="3073">
        <f>+'GRD SUMM RCL CASTER 3'!S14</f>
        <v>0</v>
      </c>
      <c r="V114" s="3073">
        <f>+'GRD SUMM RCL CASTER 3'!T14</f>
        <v>0</v>
      </c>
      <c r="W114" s="3073">
        <f>+'GRD SUMM RCL CASTER 3'!U14</f>
        <v>0</v>
      </c>
      <c r="X114" s="3073">
        <f>+'GRD SUMM RCL CASTER 3'!V14</f>
        <v>0</v>
      </c>
      <c r="Y114" s="3073">
        <f>+'GRD SUMM RCL CASTER 3'!W14</f>
        <v>0</v>
      </c>
      <c r="Z114" s="3073">
        <f>+'GRD SUMM RCL CASTER 3'!X14</f>
        <v>0</v>
      </c>
      <c r="AA114" s="3073">
        <f>+'GRD SUMM RCL CASTER 3'!Y14</f>
        <v>0</v>
      </c>
      <c r="AB114" s="3073">
        <f>+'GRD SUMM RCL CASTER 3'!Z14</f>
        <v>0</v>
      </c>
      <c r="AC114" s="3073">
        <f>+'GRD SUMM RCL CASTER 3'!AA14</f>
        <v>0</v>
      </c>
      <c r="AD114" s="3073">
        <f>+'GRD SUMM RCL CASTER 3'!AB14</f>
        <v>0</v>
      </c>
      <c r="AE114" s="3073">
        <f>+'GRD SUMM RCL CASTER 3'!AC14</f>
        <v>0</v>
      </c>
      <c r="AF114" s="3073">
        <f>+'GRD SUMM RCL CASTER 3'!AD14</f>
        <v>0</v>
      </c>
      <c r="AG114" s="3073">
        <f>+'GRD SUMM RCL CASTER 3'!AE14</f>
        <v>0</v>
      </c>
      <c r="AH114" s="3073">
        <f>+'GRD SUMM RCL CASTER 3'!AF14</f>
        <v>0</v>
      </c>
      <c r="AI114" s="3073">
        <f>+'GRD SUMM RCL CASTER 3'!AG14</f>
        <v>0</v>
      </c>
      <c r="AJ114" s="3073">
        <f>+'GRD SUMM RCL CASTER 3'!AH14</f>
        <v>0</v>
      </c>
      <c r="AK114" s="3073">
        <f>+'GRD SUMM RCL CASTER 3'!AI14</f>
        <v>0</v>
      </c>
      <c r="AL114" s="3073">
        <f>+'GRD SUMM RCL CASTER 3'!AJ14</f>
        <v>0</v>
      </c>
      <c r="AM114" s="3073">
        <f>+'GRD SUMM RCL CASTER 3'!AK14</f>
        <v>0</v>
      </c>
      <c r="AN114" s="3073">
        <f>+'GRD SUMM RCL CASTER 3'!AL14</f>
        <v>0</v>
      </c>
      <c r="AO114" s="3073">
        <f>+'GRD SUMM RCL CASTER 3'!AM14</f>
        <v>0</v>
      </c>
      <c r="AP114" s="3073">
        <f>+'GRD SUMM RCL CASTER 3'!AN14</f>
        <v>0</v>
      </c>
      <c r="AQ114" s="3073">
        <f>+'GRD SUMM RCL CASTER 3'!AO14</f>
        <v>0</v>
      </c>
      <c r="AR114" s="3073">
        <f>+'GRD SUMM RCL CASTER 3'!AP14</f>
        <v>0</v>
      </c>
      <c r="AS114" s="3073">
        <f>+'GRD SUMM RCL CASTER 3'!AQ14</f>
        <v>0</v>
      </c>
      <c r="AT114" s="3073">
        <f>+'GRD SUMM RCL CASTER 3'!AR14</f>
        <v>0</v>
      </c>
      <c r="AU114" s="3073">
        <f>+'GRD SUMM RCL CASTER 3'!AS14</f>
        <v>0</v>
      </c>
      <c r="AV114" s="3073">
        <f>+'GRD SUMM RCL CASTER 3'!AT14</f>
        <v>0</v>
      </c>
      <c r="AW114" s="3073">
        <f>+'GRD SUMM RCL CASTER 3'!AU14</f>
        <v>0</v>
      </c>
      <c r="AX114" s="3073">
        <f>+'GRD SUMM RCL CASTER 3'!AV14</f>
        <v>0</v>
      </c>
      <c r="AY114" s="3073">
        <f>+'GRD SUMM RCL CASTER 3'!AW14</f>
        <v>0</v>
      </c>
      <c r="AZ114" s="3073">
        <f>+'GRD SUMM RCL CASTER 3'!AX14</f>
        <v>0</v>
      </c>
      <c r="BA114" s="3073">
        <f t="shared" si="26"/>
        <v>0</v>
      </c>
      <c r="BB114" s="3073">
        <f>+'GRD SUMM RCL CASTER 3'!AZ14</f>
        <v>0</v>
      </c>
      <c r="BC114" s="3073">
        <f t="shared" si="27"/>
        <v>0</v>
      </c>
      <c r="BD114" s="3073">
        <f>+'GRD SUMM RCL CASTER 3'!BB14</f>
        <v>0</v>
      </c>
      <c r="BE114" s="3073">
        <f t="shared" si="28"/>
        <v>0</v>
      </c>
    </row>
    <row r="115" spans="2:57" x14ac:dyDescent="0.25">
      <c r="C115" s="3091" t="str">
        <f>+'GRD SUMM RCL CASTER 3'!A17</f>
        <v>ASSORTED CC BLOOM 200*280</v>
      </c>
      <c r="D115" s="3091"/>
      <c r="E115" s="3073">
        <f>+'GRD SUMM RCL CASTER 3'!C17</f>
        <v>0</v>
      </c>
      <c r="F115" s="3073">
        <f>+'GRD SUMM RCL CASTER 3'!D17</f>
        <v>0</v>
      </c>
      <c r="G115" s="3073">
        <f>+'GRD SUMM RCL CASTER 3'!E17</f>
        <v>69</v>
      </c>
      <c r="H115" s="3073">
        <f>+'GRD SUMM RCL CASTER 3'!F17</f>
        <v>0</v>
      </c>
      <c r="I115" s="3073">
        <f>+'GRD SUMM RCL CASTER 3'!G17</f>
        <v>69</v>
      </c>
      <c r="J115" s="3073">
        <f>+'GRD SUMM RCL CASTER 3'!H17</f>
        <v>0</v>
      </c>
      <c r="K115" s="3073">
        <f>+'GRD SUMM RCL CASTER 3'!I17</f>
        <v>0</v>
      </c>
      <c r="L115" s="3073">
        <f>+'GRD SUMM RCL CASTER 3'!J17</f>
        <v>0</v>
      </c>
      <c r="M115" s="3073">
        <f>+'GRD SUMM RCL CASTER 3'!K17</f>
        <v>69</v>
      </c>
      <c r="N115" s="3073">
        <f>+'GRD SUMM RCL CASTER 3'!L17</f>
        <v>0</v>
      </c>
      <c r="O115" s="3073">
        <f>+'GRD SUMM RCL CASTER 3'!M17</f>
        <v>0</v>
      </c>
      <c r="P115" s="3073">
        <f>+'GRD SUMM RCL CASTER 3'!N17</f>
        <v>0</v>
      </c>
      <c r="Q115" s="3073">
        <f>+'GRD SUMM RCL CASTER 3'!O17</f>
        <v>69</v>
      </c>
      <c r="R115" s="3073">
        <f>+'GRD SUMM RCL CASTER 3'!P17</f>
        <v>0</v>
      </c>
      <c r="S115" s="3073">
        <f>+'GRD SUMM RCL CASTER 3'!Q17</f>
        <v>274.29000000000002</v>
      </c>
      <c r="T115" s="3073">
        <f>+'GRD SUMM RCL CASTER 3'!R17</f>
        <v>0</v>
      </c>
      <c r="U115" s="3073">
        <f>+'GRD SUMM RCL CASTER 3'!S17</f>
        <v>343.29</v>
      </c>
      <c r="V115" s="3073">
        <f>+'GRD SUMM RCL CASTER 3'!T17</f>
        <v>0</v>
      </c>
      <c r="W115" s="3073">
        <f>+'GRD SUMM RCL CASTER 3'!U17</f>
        <v>0</v>
      </c>
      <c r="X115" s="3073">
        <f>+'GRD SUMM RCL CASTER 3'!V17</f>
        <v>0</v>
      </c>
      <c r="Y115" s="3073">
        <f>+'GRD SUMM RCL CASTER 3'!W17</f>
        <v>274.29000000000002</v>
      </c>
      <c r="Z115" s="3073">
        <f>+'GRD SUMM RCL CASTER 3'!X17</f>
        <v>0</v>
      </c>
      <c r="AA115" s="3073">
        <f>+'GRD SUMM RCL CASTER 3'!Y17</f>
        <v>343.29</v>
      </c>
      <c r="AB115" s="3073">
        <f>+'GRD SUMM RCL CASTER 3'!Z17</f>
        <v>0</v>
      </c>
      <c r="AC115" s="3073">
        <f>+'GRD SUMM RCL CASTER 3'!AA17</f>
        <v>107</v>
      </c>
      <c r="AD115" s="3073">
        <f>+'GRD SUMM RCL CASTER 3'!AB17</f>
        <v>0</v>
      </c>
      <c r="AE115" s="3073">
        <f>+'GRD SUMM RCL CASTER 3'!AC17</f>
        <v>450.29</v>
      </c>
      <c r="AF115" s="3073">
        <f>+'GRD SUMM RCL CASTER 3'!AD17</f>
        <v>0</v>
      </c>
      <c r="AG115" s="3073">
        <f>+'GRD SUMM RCL CASTER 3'!AE17</f>
        <v>0</v>
      </c>
      <c r="AH115" s="3073">
        <f>+'GRD SUMM RCL CASTER 3'!AF17</f>
        <v>0</v>
      </c>
      <c r="AI115" s="3073">
        <f>+'GRD SUMM RCL CASTER 3'!AG17</f>
        <v>450.29</v>
      </c>
      <c r="AJ115" s="3073">
        <f>+'GRD SUMM RCL CASTER 3'!AH17</f>
        <v>0</v>
      </c>
      <c r="AK115" s="3073">
        <f>+'GRD SUMM RCL CASTER 3'!AI17</f>
        <v>0</v>
      </c>
      <c r="AL115" s="3073">
        <f>+'GRD SUMM RCL CASTER 3'!AJ17</f>
        <v>0</v>
      </c>
      <c r="AM115" s="3073">
        <f>+'GRD SUMM RCL CASTER 3'!AK17</f>
        <v>107</v>
      </c>
      <c r="AN115" s="3073">
        <f>+'GRD SUMM RCL CASTER 3'!AL17</f>
        <v>0</v>
      </c>
      <c r="AO115" s="3073">
        <f>+'GRD SUMM RCL CASTER 3'!AM17</f>
        <v>450.29</v>
      </c>
      <c r="AP115" s="3073">
        <f>+'GRD SUMM RCL CASTER 3'!AN17</f>
        <v>0</v>
      </c>
      <c r="AQ115" s="3073">
        <f>+'GRD SUMM RCL CASTER 3'!AO17</f>
        <v>199</v>
      </c>
      <c r="AR115" s="3073">
        <f>+'GRD SUMM RCL CASTER 3'!AP17</f>
        <v>0</v>
      </c>
      <c r="AS115" s="3073">
        <f>+'GRD SUMM RCL CASTER 3'!AQ17</f>
        <v>649.29</v>
      </c>
      <c r="AT115" s="3073">
        <f>+'GRD SUMM RCL CASTER 3'!AR17</f>
        <v>0</v>
      </c>
      <c r="AU115" s="3073">
        <f>+'GRD SUMM RCL CASTER 3'!AS17</f>
        <v>89.55</v>
      </c>
      <c r="AV115" s="3073">
        <f>+'GRD SUMM RCL CASTER 3'!AT17</f>
        <v>0</v>
      </c>
      <c r="AW115" s="3073">
        <f>+'GRD SUMM RCL CASTER 3'!AU17</f>
        <v>738.83999999999992</v>
      </c>
      <c r="AX115" s="3073">
        <f>+'GRD SUMM RCL CASTER 3'!AV17</f>
        <v>0</v>
      </c>
      <c r="AY115" s="3073">
        <f>+'GRD SUMM RCL CASTER 3'!AW17</f>
        <v>111.07899999999999</v>
      </c>
      <c r="AZ115" s="3073">
        <f>+'GRD SUMM RCL CASTER 3'!AX17</f>
        <v>0</v>
      </c>
      <c r="BA115" s="3073">
        <f t="shared" si="26"/>
        <v>399.62900000000002</v>
      </c>
      <c r="BB115" s="3073">
        <f>+'GRD SUMM RCL CASTER 3'!AZ17</f>
        <v>0</v>
      </c>
      <c r="BC115" s="3073">
        <f t="shared" si="27"/>
        <v>506.62900000000002</v>
      </c>
      <c r="BD115" s="3073">
        <f>+'GRD SUMM RCL CASTER 3'!BB17</f>
        <v>0</v>
      </c>
      <c r="BE115" s="3073">
        <f t="shared" si="28"/>
        <v>849.91899999999987</v>
      </c>
    </row>
    <row r="116" spans="2:57" ht="16.5" thickBot="1" x14ac:dyDescent="0.3">
      <c r="B116" s="258"/>
      <c r="C116" s="3082" t="s">
        <v>1678</v>
      </c>
      <c r="D116" s="3100"/>
      <c r="E116" s="3083">
        <f>SUM(E107:E115)</f>
        <v>0</v>
      </c>
      <c r="F116" s="3083"/>
      <c r="G116" s="3083">
        <f>SUM(G107:G115)</f>
        <v>2281</v>
      </c>
      <c r="H116" s="3083"/>
      <c r="I116" s="3083">
        <f t="shared" ref="I116:I121" si="29">+E116+G116</f>
        <v>2281</v>
      </c>
      <c r="J116" s="3083"/>
      <c r="K116" s="3083">
        <f>SUM(K107:K115)</f>
        <v>0</v>
      </c>
      <c r="L116" s="3083"/>
      <c r="M116" s="3083">
        <f t="shared" ref="M116:M128" si="30">+E116+G116+K116</f>
        <v>2281</v>
      </c>
      <c r="N116" s="3083"/>
      <c r="O116" s="3083">
        <f>SUM(O107:O115)</f>
        <v>0</v>
      </c>
      <c r="P116" s="3083"/>
      <c r="Q116" s="3083">
        <f t="shared" ref="Q116:Q128" si="31">+O116+K116+G116+E116</f>
        <v>2281</v>
      </c>
      <c r="R116" s="3083"/>
      <c r="S116" s="3083">
        <f>SUM(S107:S115)</f>
        <v>6480.768</v>
      </c>
      <c r="T116" s="3083"/>
      <c r="U116" s="3083">
        <f t="shared" ref="U116:U128" si="32">+S116+O116+K116+G116+E116</f>
        <v>8761.768</v>
      </c>
      <c r="V116" s="3083"/>
      <c r="W116" s="3083">
        <f>SUM(W107:W115)</f>
        <v>0</v>
      </c>
      <c r="X116" s="3083"/>
      <c r="Y116" s="3083">
        <f t="shared" ref="Y116:Y128" si="33">+W116+S116+O116</f>
        <v>6480.768</v>
      </c>
      <c r="Z116" s="3083"/>
      <c r="AA116" s="3083">
        <f t="shared" ref="AA116:AA128" si="34">+E116+G116+K116+O116+S116+W116</f>
        <v>8761.768</v>
      </c>
      <c r="AB116" s="3083"/>
      <c r="AC116" s="3083">
        <f>SUM(AC107:AC115)</f>
        <v>9191</v>
      </c>
      <c r="AD116" s="3083"/>
      <c r="AE116" s="3083">
        <f t="shared" ref="AE116:AE128" si="35">+AC116+W116+S116+O116+K116+G116+E116</f>
        <v>17952.768</v>
      </c>
      <c r="AF116" s="3083"/>
      <c r="AG116" s="3083">
        <f>SUM(AG107:AG115)</f>
        <v>0</v>
      </c>
      <c r="AH116" s="3083"/>
      <c r="AI116" s="3083">
        <f t="shared" ref="AI116:AI128" si="36">+AG116+AC116+W116+S116+O116+K116+G116+E116</f>
        <v>17952.768</v>
      </c>
      <c r="AJ116" s="3083"/>
      <c r="AK116" s="3083">
        <f>SUM(AK107:AK115)</f>
        <v>0</v>
      </c>
      <c r="AL116" s="3083"/>
      <c r="AM116" s="3083">
        <f t="shared" ref="AM116:AM128" si="37">+AK116+AG116+AC116</f>
        <v>9191</v>
      </c>
      <c r="AN116" s="3083"/>
      <c r="AO116" s="3083">
        <f t="shared" ref="AO116:AO128" si="38">+AK116+AG116+AC116+W116+S116+O116+K116+G116+E116</f>
        <v>17952.768</v>
      </c>
      <c r="AP116" s="3083"/>
      <c r="AQ116" s="3083">
        <f>SUM(AQ107:AQ115)</f>
        <v>5236</v>
      </c>
      <c r="AR116" s="3083"/>
      <c r="AS116" s="3083">
        <f t="shared" ref="AS116:AS128" si="39">+AO116+AQ116</f>
        <v>23188.768</v>
      </c>
      <c r="AT116" s="3083"/>
      <c r="AU116" s="3083">
        <f>SUM(AU107:AU115)</f>
        <v>1386.288</v>
      </c>
      <c r="AV116" s="3083"/>
      <c r="AW116" s="3083">
        <f t="shared" ref="AW116:AW128" si="40">+AS116+AU116</f>
        <v>24575.056</v>
      </c>
      <c r="AX116" s="3083"/>
      <c r="AY116" s="3083">
        <f>SUM(AY107:AY115)</f>
        <v>2747.0790000000002</v>
      </c>
      <c r="AZ116" s="3083"/>
      <c r="BA116" s="3083">
        <f t="shared" si="26"/>
        <v>9369.3670000000002</v>
      </c>
      <c r="BB116" s="3083"/>
      <c r="BC116" s="3083">
        <f t="shared" si="27"/>
        <v>18560.366999999998</v>
      </c>
      <c r="BD116" s="3083"/>
      <c r="BE116" s="3083">
        <f t="shared" si="28"/>
        <v>27322.135000000002</v>
      </c>
    </row>
    <row r="117" spans="2:57" x14ac:dyDescent="0.25">
      <c r="B117" s="259"/>
      <c r="C117" s="240"/>
      <c r="D117" s="240"/>
      <c r="G117" s="4487"/>
      <c r="H117" s="4487"/>
      <c r="I117" s="4487"/>
      <c r="K117" s="4487"/>
      <c r="L117" s="4487"/>
      <c r="M117" s="4487"/>
      <c r="O117" s="4487"/>
      <c r="P117" s="4487"/>
      <c r="Q117" s="4487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44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39"/>
    </row>
    <row r="118" spans="2:57" x14ac:dyDescent="0.25">
      <c r="B118" s="259"/>
      <c r="C118" s="3092" t="s">
        <v>1679</v>
      </c>
      <c r="D118" s="3092"/>
      <c r="E118" s="2891">
        <f>+SMS!F42</f>
        <v>0</v>
      </c>
      <c r="F118" s="2891">
        <f>+SMS!G42</f>
        <v>0</v>
      </c>
      <c r="G118" s="2891">
        <f>+SMS!H42</f>
        <v>0</v>
      </c>
      <c r="H118" s="2891">
        <f>+SMS!I42</f>
        <v>0</v>
      </c>
      <c r="I118" s="2891">
        <f>+SMS!J42</f>
        <v>0</v>
      </c>
      <c r="J118" s="2891">
        <f>+SMS!K42</f>
        <v>0</v>
      </c>
      <c r="K118" s="2891">
        <f>+SMS!L42</f>
        <v>0</v>
      </c>
      <c r="L118" s="2891">
        <f>+SMS!M42</f>
        <v>0</v>
      </c>
      <c r="M118" s="2891">
        <f>+SMS!N42</f>
        <v>0</v>
      </c>
      <c r="N118" s="2891">
        <f>+SMS!O42</f>
        <v>0</v>
      </c>
      <c r="O118" s="2891">
        <f>+SMS!P42</f>
        <v>0</v>
      </c>
      <c r="P118" s="2891">
        <f>+SMS!Q42</f>
        <v>0</v>
      </c>
      <c r="Q118" s="2891">
        <f>+SMS!R42</f>
        <v>0</v>
      </c>
      <c r="R118" s="2891">
        <f>+SMS!S42</f>
        <v>0</v>
      </c>
      <c r="S118" s="2891">
        <f>+SMS!T42</f>
        <v>0</v>
      </c>
      <c r="T118" s="2891">
        <f>+SMS!U42</f>
        <v>0</v>
      </c>
      <c r="U118" s="2891">
        <f>+SMS!V42</f>
        <v>0</v>
      </c>
      <c r="V118" s="2891">
        <f>+SMS!W42</f>
        <v>0</v>
      </c>
      <c r="W118" s="2891">
        <f>+SMS!X42</f>
        <v>0</v>
      </c>
      <c r="X118" s="2891">
        <f>+SMS!Y42</f>
        <v>0</v>
      </c>
      <c r="Y118" s="2891">
        <f>+SMS!Z42</f>
        <v>0</v>
      </c>
      <c r="Z118" s="2891">
        <f>+SMS!AA42</f>
        <v>0</v>
      </c>
      <c r="AA118" s="2891">
        <f>+SMS!AB42</f>
        <v>0</v>
      </c>
      <c r="AB118" s="2891">
        <f>+SMS!AC42</f>
        <v>0</v>
      </c>
      <c r="AC118" s="2891">
        <f>+SMS!AD42</f>
        <v>17</v>
      </c>
      <c r="AD118" s="2891">
        <f>+SMS!AE42</f>
        <v>0</v>
      </c>
      <c r="AE118" s="2891">
        <f>+SMS!AF42</f>
        <v>17</v>
      </c>
      <c r="AF118" s="2891">
        <f>+SMS!AG42</f>
        <v>0</v>
      </c>
      <c r="AG118" s="2891">
        <f>+SMS!AH42</f>
        <v>0</v>
      </c>
      <c r="AH118" s="2891">
        <f>+SMS!AI42</f>
        <v>0</v>
      </c>
      <c r="AI118" s="2891">
        <f>+SMS!AJ42</f>
        <v>17</v>
      </c>
      <c r="AJ118" s="2891">
        <f>+SMS!AK42</f>
        <v>0</v>
      </c>
      <c r="AK118" s="2891">
        <f>+SMS!AL42</f>
        <v>0</v>
      </c>
      <c r="AL118" s="2891">
        <f>+SMS!AM42</f>
        <v>0</v>
      </c>
      <c r="AM118" s="2891">
        <f>+SMS!AN42</f>
        <v>17</v>
      </c>
      <c r="AN118" s="2891">
        <f>+SMS!AO42</f>
        <v>0</v>
      </c>
      <c r="AO118" s="2891">
        <f>+SMS!AP42</f>
        <v>17</v>
      </c>
      <c r="AP118" s="2891">
        <f>+SMS!AQ42</f>
        <v>0</v>
      </c>
      <c r="AQ118" s="2891">
        <f>+SMS!AR42</f>
        <v>35</v>
      </c>
      <c r="AR118" s="2891">
        <f>+SMS!AS42</f>
        <v>0</v>
      </c>
      <c r="AS118" s="2891">
        <f>+SMS!AT42</f>
        <v>52</v>
      </c>
      <c r="AT118" s="2891">
        <f>+SMS!AU42</f>
        <v>0</v>
      </c>
      <c r="AU118" s="2891">
        <f>+SMS!AV42</f>
        <v>22</v>
      </c>
      <c r="AV118" s="2891">
        <f>+SMS!AW42</f>
        <v>0</v>
      </c>
      <c r="AW118" s="2891">
        <f>+SMS!AX42</f>
        <v>74</v>
      </c>
      <c r="AX118" s="2891"/>
      <c r="AY118" s="2891">
        <f>+SMS!AZ42</f>
        <v>0</v>
      </c>
      <c r="AZ118" s="2891"/>
      <c r="BA118" s="2891">
        <f t="shared" si="26"/>
        <v>57</v>
      </c>
      <c r="BB118" s="2891"/>
      <c r="BC118" s="2891">
        <f t="shared" si="27"/>
        <v>74</v>
      </c>
      <c r="BD118" s="2891"/>
      <c r="BE118" s="2891">
        <f t="shared" si="28"/>
        <v>74</v>
      </c>
    </row>
    <row r="119" spans="2:57" x14ac:dyDescent="0.25">
      <c r="B119" s="259"/>
      <c r="C119" s="3092" t="s">
        <v>1680</v>
      </c>
      <c r="D119" s="3092"/>
      <c r="E119" s="2891">
        <f>+'Direct sales IPT details'!E16</f>
        <v>1625.08</v>
      </c>
      <c r="F119" s="2891">
        <f>+'Direct sales IPT details'!F16</f>
        <v>0</v>
      </c>
      <c r="G119" s="2891">
        <f>+'Direct sales IPT details'!G16</f>
        <v>640.46</v>
      </c>
      <c r="H119" s="2891">
        <f>+'Direct sales IPT details'!H16</f>
        <v>0</v>
      </c>
      <c r="I119" s="2891">
        <f>+'Direct sales IPT details'!I16</f>
        <v>2265.54</v>
      </c>
      <c r="J119" s="2891">
        <f>+'Direct sales IPT details'!J16</f>
        <v>0</v>
      </c>
      <c r="K119" s="2891">
        <f>+'Direct sales IPT details'!K16</f>
        <v>1065.5999999999999</v>
      </c>
      <c r="L119" s="2891">
        <f>+'Direct sales IPT details'!L16</f>
        <v>0</v>
      </c>
      <c r="M119" s="2891">
        <f>+'Direct sales IPT details'!M16</f>
        <v>3331.14</v>
      </c>
      <c r="N119" s="2891">
        <f>+'Direct sales IPT details'!N16</f>
        <v>0</v>
      </c>
      <c r="O119" s="2891">
        <f>+'Direct sales IPT details'!O16</f>
        <v>463.1</v>
      </c>
      <c r="P119" s="2891">
        <f>+'Direct sales IPT details'!P16</f>
        <v>0</v>
      </c>
      <c r="Q119" s="2891">
        <f>+'Direct sales IPT details'!Q16</f>
        <v>3794.24</v>
      </c>
      <c r="R119" s="2891">
        <f>+'Direct sales IPT details'!R16</f>
        <v>0</v>
      </c>
      <c r="S119" s="2891">
        <f>+'Direct sales IPT details'!S16</f>
        <v>2248.92</v>
      </c>
      <c r="T119" s="2891">
        <f>+'Direct sales IPT details'!T16</f>
        <v>0</v>
      </c>
      <c r="U119" s="2891">
        <f>+'Direct sales IPT details'!U16</f>
        <v>6043.16</v>
      </c>
      <c r="V119" s="2891">
        <f>+'Direct sales IPT details'!V16</f>
        <v>0</v>
      </c>
      <c r="W119" s="2891">
        <f>+'Direct sales IPT details'!W16</f>
        <v>1413.7700000000002</v>
      </c>
      <c r="X119" s="2891">
        <f>+'Direct sales IPT details'!X16</f>
        <v>0</v>
      </c>
      <c r="Y119" s="2891">
        <f>+'Direct sales IPT details'!Y16</f>
        <v>4125.79</v>
      </c>
      <c r="Z119" s="2891">
        <f>+'Direct sales IPT details'!Z16</f>
        <v>0</v>
      </c>
      <c r="AA119" s="2891">
        <f>+'Direct sales IPT details'!AA16</f>
        <v>7456.93</v>
      </c>
      <c r="AB119" s="2891">
        <f>+'Direct sales IPT details'!AB16</f>
        <v>0</v>
      </c>
      <c r="AC119" s="2891">
        <f>+'Direct sales IPT details'!AC16</f>
        <v>2004.1</v>
      </c>
      <c r="AD119" s="2891">
        <f>+'Direct sales IPT details'!AD16</f>
        <v>0</v>
      </c>
      <c r="AE119" s="2891">
        <f>+'Direct sales IPT details'!AE16</f>
        <v>9461.0300000000007</v>
      </c>
      <c r="AF119" s="2891">
        <f>+'Direct sales IPT details'!AF16</f>
        <v>0</v>
      </c>
      <c r="AG119" s="2891">
        <f>+'Direct sales IPT details'!AG16</f>
        <v>0</v>
      </c>
      <c r="AH119" s="2891">
        <f>+'Direct sales IPT details'!AH16</f>
        <v>0</v>
      </c>
      <c r="AI119" s="2891">
        <f>+'Direct sales IPT details'!AI16</f>
        <v>9461.0300000000007</v>
      </c>
      <c r="AJ119" s="2891">
        <f>+'Direct sales IPT details'!AJ16</f>
        <v>0</v>
      </c>
      <c r="AK119" s="2891">
        <f>+'Direct sales IPT details'!AK16</f>
        <v>703.34</v>
      </c>
      <c r="AL119" s="2891">
        <f>+'Direct sales IPT details'!AL16</f>
        <v>0</v>
      </c>
      <c r="AM119" s="2891">
        <f>+'Direct sales IPT details'!AM16</f>
        <v>2707.44</v>
      </c>
      <c r="AN119" s="2891">
        <f>+'Direct sales IPT details'!AN16</f>
        <v>0</v>
      </c>
      <c r="AO119" s="2891">
        <f>+'Direct sales IPT details'!AO16</f>
        <v>10164.370000000001</v>
      </c>
      <c r="AP119" s="2891">
        <f>+'Direct sales IPT details'!AP16</f>
        <v>0</v>
      </c>
      <c r="AQ119" s="2891">
        <f>+'Direct sales IPT details'!AQ16</f>
        <v>1589.84</v>
      </c>
      <c r="AR119" s="2891">
        <f>+'Direct sales IPT details'!AR16</f>
        <v>0</v>
      </c>
      <c r="AS119" s="2891">
        <f>+'Direct sales IPT details'!AS16</f>
        <v>11754.210000000001</v>
      </c>
      <c r="AT119" s="2891">
        <f>+'Direct sales IPT details'!AT16</f>
        <v>0</v>
      </c>
      <c r="AU119" s="2891">
        <f>+'Direct sales IPT details'!AU16</f>
        <v>481.34000000000003</v>
      </c>
      <c r="AV119" s="2891">
        <f>+'Direct sales IPT details'!AV16</f>
        <v>0</v>
      </c>
      <c r="AW119" s="2891">
        <f>+'Direct sales IPT details'!AW16</f>
        <v>12235.550000000001</v>
      </c>
      <c r="AX119" s="2891"/>
      <c r="AY119" s="2891">
        <f>+'Direct sales IPT details'!AY16</f>
        <v>1544.2600000000002</v>
      </c>
      <c r="AZ119" s="2891"/>
      <c r="BA119" s="2891">
        <f t="shared" si="26"/>
        <v>3615.4400000000005</v>
      </c>
      <c r="BB119" s="2891"/>
      <c r="BC119" s="2891">
        <f t="shared" si="27"/>
        <v>6322.880000000001</v>
      </c>
      <c r="BD119" s="2891"/>
      <c r="BE119" s="2891">
        <f t="shared" si="28"/>
        <v>13779.810000000001</v>
      </c>
    </row>
    <row r="120" spans="2:57" x14ac:dyDescent="0.25">
      <c r="C120" s="3093"/>
      <c r="D120" s="3093"/>
      <c r="E120" s="2942"/>
      <c r="F120" s="2942"/>
      <c r="G120" s="2942"/>
      <c r="H120" s="2942"/>
      <c r="I120" s="2942"/>
      <c r="J120" s="2942"/>
      <c r="K120" s="2942"/>
      <c r="L120" s="2942"/>
      <c r="M120" s="2942"/>
      <c r="N120" s="2942"/>
      <c r="O120" s="2942"/>
      <c r="P120" s="2942"/>
      <c r="Q120" s="2942"/>
      <c r="R120" s="2942"/>
      <c r="S120" s="2942"/>
      <c r="T120" s="2942"/>
      <c r="U120" s="2942"/>
      <c r="V120" s="2942"/>
      <c r="W120" s="2942"/>
      <c r="X120" s="2942"/>
      <c r="Y120" s="2942"/>
      <c r="Z120" s="2942"/>
      <c r="AA120" s="2942"/>
      <c r="AB120" s="2942"/>
      <c r="AC120" s="2942"/>
      <c r="AD120" s="2942"/>
      <c r="AE120" s="2942"/>
      <c r="AF120" s="2942"/>
      <c r="AG120" s="2942"/>
      <c r="AH120" s="2942"/>
      <c r="AI120" s="2942"/>
      <c r="AJ120" s="2942"/>
      <c r="AK120" s="5228"/>
      <c r="AL120" s="2942"/>
      <c r="AM120" s="2942"/>
      <c r="AN120" s="2942"/>
      <c r="AO120" s="2942"/>
      <c r="AP120" s="2942"/>
      <c r="AQ120" s="2942"/>
      <c r="AR120" s="2942"/>
      <c r="AS120" s="2942"/>
      <c r="AT120" s="2942"/>
      <c r="AU120" s="2942"/>
      <c r="AV120" s="2942"/>
      <c r="AW120" s="2942"/>
      <c r="AX120" s="2942"/>
      <c r="AY120" s="2942"/>
      <c r="AZ120" s="2942"/>
      <c r="BA120" s="2942"/>
      <c r="BB120" s="2942"/>
      <c r="BC120" s="2942"/>
      <c r="BD120" s="2942"/>
      <c r="BE120" s="2942"/>
    </row>
    <row r="121" spans="2:57" ht="16.5" thickBot="1" x14ac:dyDescent="0.3">
      <c r="C121" s="3082" t="s">
        <v>1681</v>
      </c>
      <c r="D121" s="3100"/>
      <c r="E121" s="3083">
        <f>+E116+E118+E119</f>
        <v>1625.08</v>
      </c>
      <c r="F121" s="3083"/>
      <c r="G121" s="3083">
        <f>+G116+G118+G119</f>
        <v>2921.46</v>
      </c>
      <c r="H121" s="3083"/>
      <c r="I121" s="3083">
        <f t="shared" si="29"/>
        <v>4546.54</v>
      </c>
      <c r="J121" s="3083"/>
      <c r="K121" s="3083">
        <f>+K116+K118+K119</f>
        <v>1065.5999999999999</v>
      </c>
      <c r="L121" s="3083"/>
      <c r="M121" s="3083">
        <f t="shared" si="30"/>
        <v>5612.1399999999994</v>
      </c>
      <c r="N121" s="3083"/>
      <c r="O121" s="3083">
        <f>+O116+O118+O119</f>
        <v>463.1</v>
      </c>
      <c r="P121" s="3083"/>
      <c r="Q121" s="3083">
        <f t="shared" si="31"/>
        <v>6075.24</v>
      </c>
      <c r="R121" s="3083"/>
      <c r="S121" s="3083">
        <f>+S116+S118+S119</f>
        <v>8729.6880000000001</v>
      </c>
      <c r="T121" s="3083"/>
      <c r="U121" s="3083">
        <f t="shared" si="32"/>
        <v>14804.928000000002</v>
      </c>
      <c r="V121" s="3083"/>
      <c r="W121" s="3083">
        <f>+W116+W118+W119</f>
        <v>1413.7700000000002</v>
      </c>
      <c r="X121" s="3083"/>
      <c r="Y121" s="3083">
        <f t="shared" si="33"/>
        <v>10606.558000000001</v>
      </c>
      <c r="Z121" s="3083"/>
      <c r="AA121" s="3083">
        <f t="shared" si="34"/>
        <v>16218.698</v>
      </c>
      <c r="AB121" s="3083"/>
      <c r="AC121" s="3083">
        <f>+AC116+AC118+AC119</f>
        <v>11212.1</v>
      </c>
      <c r="AD121" s="3083"/>
      <c r="AE121" s="3083">
        <f t="shared" si="35"/>
        <v>27430.797999999995</v>
      </c>
      <c r="AF121" s="3083"/>
      <c r="AG121" s="3083">
        <f>+AG116+AG118+AG119</f>
        <v>0</v>
      </c>
      <c r="AH121" s="3083"/>
      <c r="AI121" s="3083">
        <f t="shared" si="36"/>
        <v>27430.797999999995</v>
      </c>
      <c r="AJ121" s="3083"/>
      <c r="AK121" s="6942">
        <f>+AK116+AK118+AK119</f>
        <v>703.34</v>
      </c>
      <c r="AL121" s="3083"/>
      <c r="AM121" s="3083">
        <f t="shared" si="37"/>
        <v>11915.44</v>
      </c>
      <c r="AN121" s="3083"/>
      <c r="AO121" s="3083">
        <f t="shared" si="38"/>
        <v>28134.137999999999</v>
      </c>
      <c r="AP121" s="3083"/>
      <c r="AQ121" s="3083">
        <f>+AQ116+AQ118+AQ119</f>
        <v>6860.84</v>
      </c>
      <c r="AR121" s="3083"/>
      <c r="AS121" s="3083">
        <f t="shared" si="39"/>
        <v>34994.978000000003</v>
      </c>
      <c r="AT121" s="3083"/>
      <c r="AU121" s="3083">
        <f>+AU116+AU118+AU119</f>
        <v>1889.6280000000002</v>
      </c>
      <c r="AV121" s="3083"/>
      <c r="AW121" s="3083">
        <f t="shared" si="40"/>
        <v>36884.606</v>
      </c>
      <c r="AX121" s="3083"/>
      <c r="AY121" s="3083">
        <f>+AY116+AY118+AY119</f>
        <v>4291.3389999999999</v>
      </c>
      <c r="AZ121" s="3083"/>
      <c r="BA121" s="3083">
        <f t="shared" si="26"/>
        <v>13041.807000000001</v>
      </c>
      <c r="BB121" s="3083"/>
      <c r="BC121" s="3083">
        <f t="shared" si="27"/>
        <v>24957.247000000003</v>
      </c>
      <c r="BD121" s="3083"/>
      <c r="BE121" s="3083">
        <f t="shared" si="28"/>
        <v>41175.945</v>
      </c>
    </row>
    <row r="122" spans="2:57" x14ac:dyDescent="0.25">
      <c r="C122" s="240"/>
      <c r="D122" s="240"/>
      <c r="G122" s="4487"/>
      <c r="H122" s="4487"/>
      <c r="I122" s="4487"/>
      <c r="K122" s="4487"/>
      <c r="L122" s="4487"/>
      <c r="M122" s="4487"/>
      <c r="O122" s="4487"/>
      <c r="P122" s="4487"/>
      <c r="Q122" s="4487"/>
      <c r="S122" s="4487"/>
      <c r="T122" s="4487"/>
      <c r="U122" s="4487"/>
      <c r="W122" s="4487"/>
      <c r="X122" s="4487"/>
      <c r="Y122" s="4487"/>
      <c r="Z122" s="4487"/>
      <c r="AA122" s="4487"/>
      <c r="AC122" s="4487"/>
      <c r="AD122" s="4487"/>
      <c r="AE122" s="4487"/>
      <c r="AG122" s="4487"/>
      <c r="AH122" s="4487"/>
      <c r="AI122" s="4487"/>
      <c r="AK122" s="90"/>
      <c r="AL122" s="4487"/>
      <c r="AM122" s="4487"/>
      <c r="AN122" s="4487"/>
      <c r="AO122" s="4487"/>
      <c r="AQ122" s="4487"/>
      <c r="AR122" s="4487"/>
      <c r="AS122" s="4487"/>
      <c r="AU122" s="4487"/>
      <c r="AV122" s="4487"/>
      <c r="AW122" s="4487"/>
      <c r="AY122" s="4487"/>
      <c r="AZ122" s="4487"/>
      <c r="BA122" s="4487"/>
      <c r="BB122" s="4487"/>
      <c r="BC122" s="4487"/>
      <c r="BD122" s="4487"/>
      <c r="BE122" s="4487"/>
    </row>
    <row r="123" spans="2:57" ht="16.5" thickBot="1" x14ac:dyDescent="0.3">
      <c r="C123" s="3082" t="s">
        <v>1682</v>
      </c>
      <c r="D123" s="3100"/>
      <c r="E123" s="3083">
        <f>+'Maj Production Summ'!F35</f>
        <v>1625.08</v>
      </c>
      <c r="F123" s="3083">
        <f>+'Maj Production Summ'!G35</f>
        <v>0</v>
      </c>
      <c r="G123" s="3083">
        <f>+'Maj Production Summ'!H35</f>
        <v>3000</v>
      </c>
      <c r="H123" s="3083">
        <f>+'Maj Production Summ'!I35</f>
        <v>0.27340158309380058</v>
      </c>
      <c r="I123" s="3083">
        <f>+'Maj Production Summ'!J35</f>
        <v>4625.08</v>
      </c>
      <c r="J123" s="3083">
        <f>+'Maj Production Summ'!K35</f>
        <v>0</v>
      </c>
      <c r="K123" s="3083">
        <f>+'Maj Production Summ'!L35</f>
        <v>1066</v>
      </c>
      <c r="L123" s="3083">
        <f>+'Maj Production Summ'!M35</f>
        <v>0.27340158309380058</v>
      </c>
      <c r="M123" s="3083">
        <f>+'Maj Production Summ'!N35</f>
        <v>5691.08</v>
      </c>
      <c r="N123" s="3083">
        <f>+'Maj Production Summ'!O35</f>
        <v>0</v>
      </c>
      <c r="O123" s="3083">
        <f>+'Maj Production Summ'!P35</f>
        <v>463</v>
      </c>
      <c r="P123" s="3083">
        <f>+'Maj Production Summ'!Q35</f>
        <v>0.27340158309380058</v>
      </c>
      <c r="Q123" s="3083">
        <f>+'Maj Production Summ'!R35</f>
        <v>6154.08</v>
      </c>
      <c r="R123" s="3083">
        <f>+'Maj Production Summ'!S35</f>
        <v>0</v>
      </c>
      <c r="S123" s="3083">
        <f>+'Maj Production Summ'!T35</f>
        <v>8811.77</v>
      </c>
      <c r="T123" s="3083">
        <f>+'Maj Production Summ'!U35</f>
        <v>0.27340158309380058</v>
      </c>
      <c r="U123" s="3083">
        <f>+'Maj Production Summ'!V35</f>
        <v>14965.85</v>
      </c>
      <c r="V123" s="3083">
        <f>+'Maj Production Summ'!W35</f>
        <v>0</v>
      </c>
      <c r="W123" s="3083">
        <f>+'Maj Production Summ'!X35</f>
        <v>1414</v>
      </c>
      <c r="X123" s="3083">
        <f>+'Maj Production Summ'!Y35</f>
        <v>0</v>
      </c>
      <c r="Y123" s="3083">
        <f>+'Maj Production Summ'!Z35</f>
        <v>10688.77</v>
      </c>
      <c r="Z123" s="3083">
        <f>+'Maj Production Summ'!AA35</f>
        <v>0.27340158309380058</v>
      </c>
      <c r="AA123" s="3083">
        <f>+'Maj Production Summ'!AB35</f>
        <v>16379.85</v>
      </c>
      <c r="AB123" s="3083">
        <f>+'Maj Production Summ'!AC35</f>
        <v>0</v>
      </c>
      <c r="AC123" s="3083">
        <f>+'Maj Production Summ'!AD35</f>
        <v>11212</v>
      </c>
      <c r="AD123" s="3083">
        <f>+'Maj Production Summ'!AE35</f>
        <v>0.27340158309380058</v>
      </c>
      <c r="AE123" s="3083">
        <f>+'Maj Production Summ'!AF35</f>
        <v>27591.85</v>
      </c>
      <c r="AF123" s="3083">
        <f>+'Maj Production Summ'!AG35</f>
        <v>0</v>
      </c>
      <c r="AG123" s="3083">
        <f>+'Maj Production Summ'!AH35</f>
        <v>0</v>
      </c>
      <c r="AH123" s="3083">
        <f>+'Maj Production Summ'!AI35</f>
        <v>0.27340158309380058</v>
      </c>
      <c r="AI123" s="3083">
        <f>+'Maj Production Summ'!AJ35</f>
        <v>27591.85</v>
      </c>
      <c r="AJ123" s="3083">
        <f>+'Maj Production Summ'!AK35</f>
        <v>0</v>
      </c>
      <c r="AK123" s="3083">
        <f>+'Maj Production Summ'!AL35</f>
        <v>703.34</v>
      </c>
      <c r="AL123" s="3083">
        <f>+'Maj Production Summ'!AM35</f>
        <v>0</v>
      </c>
      <c r="AM123" s="3083">
        <f>+'Maj Production Summ'!AN35</f>
        <v>11915.34</v>
      </c>
      <c r="AN123" s="3083">
        <f>+'Maj Production Summ'!AO35</f>
        <v>0.27340158309380058</v>
      </c>
      <c r="AO123" s="3083">
        <f>+'Maj Production Summ'!AP35</f>
        <v>28295.19</v>
      </c>
      <c r="AP123" s="3083">
        <f>+'Maj Production Summ'!AQ35</f>
        <v>0</v>
      </c>
      <c r="AQ123" s="3083">
        <f>+'Maj Production Summ'!AR35</f>
        <v>7040</v>
      </c>
      <c r="AR123" s="3083">
        <f>+'Maj Production Summ'!AS35</f>
        <v>0.27340158309380058</v>
      </c>
      <c r="AS123" s="3083">
        <f>+'Maj Production Summ'!AT35</f>
        <v>35335.19</v>
      </c>
      <c r="AT123" s="3083">
        <f>+'Maj Production Summ'!AU35</f>
        <v>0</v>
      </c>
      <c r="AU123" s="3083">
        <f>+'Maj Production Summ'!AV35</f>
        <v>1892</v>
      </c>
      <c r="AV123" s="3083">
        <f>+'Maj Production Summ'!AW35</f>
        <v>0.27340158309380058</v>
      </c>
      <c r="AW123" s="3083">
        <f>+'Maj Production Summ'!AX35</f>
        <v>37227.19</v>
      </c>
      <c r="AX123" s="3083">
        <f>+'Maj Production Summ'!AY35</f>
        <v>0</v>
      </c>
      <c r="AY123" s="3083">
        <f>+'Maj Production Summ'!AZ35</f>
        <v>4291.26</v>
      </c>
      <c r="AZ123" s="3083">
        <f>+'Maj Production Summ'!BA35</f>
        <v>0</v>
      </c>
      <c r="BA123" s="3083">
        <f t="shared" si="26"/>
        <v>13223.26</v>
      </c>
      <c r="BB123" s="3083">
        <f>+'Maj Production Summ'!BC35</f>
        <v>0</v>
      </c>
      <c r="BC123" s="3083">
        <f t="shared" si="27"/>
        <v>25138.6</v>
      </c>
      <c r="BD123" s="3083">
        <f>+'Maj Production Summ'!BE35</f>
        <v>0.27340158309380058</v>
      </c>
      <c r="BE123" s="3083">
        <f t="shared" si="28"/>
        <v>41518.450000000004</v>
      </c>
    </row>
    <row r="124" spans="2:57" x14ac:dyDescent="0.25">
      <c r="C124" s="240"/>
      <c r="D124" s="240"/>
      <c r="G124" s="4487"/>
      <c r="H124" s="4487"/>
      <c r="I124" s="4487"/>
      <c r="K124" s="4487"/>
      <c r="L124" s="4487"/>
      <c r="M124" s="4487"/>
      <c r="O124" s="4487"/>
      <c r="P124" s="4487"/>
      <c r="Q124" s="4487"/>
      <c r="S124" s="4487"/>
      <c r="T124" s="4487"/>
      <c r="U124" s="4487"/>
      <c r="W124" s="4487"/>
      <c r="X124" s="4487"/>
      <c r="Y124" s="4487"/>
      <c r="Z124" s="4487"/>
      <c r="AA124" s="4487"/>
      <c r="AC124" s="4487"/>
      <c r="AD124" s="4487"/>
      <c r="AE124" s="4487"/>
      <c r="AG124" s="4487"/>
      <c r="AH124" s="4487"/>
      <c r="AI124" s="4487"/>
      <c r="AL124" s="4487"/>
      <c r="AM124" s="4487"/>
      <c r="AN124" s="4487"/>
      <c r="AO124" s="4487"/>
      <c r="AQ124" s="4487"/>
      <c r="AR124" s="4487"/>
      <c r="AS124" s="4487"/>
      <c r="AU124" s="4487"/>
      <c r="AV124" s="4487"/>
      <c r="AW124" s="4487"/>
      <c r="AY124" s="4487"/>
      <c r="AZ124" s="4487"/>
      <c r="BA124" s="4487"/>
      <c r="BB124" s="4487"/>
      <c r="BC124" s="4487"/>
      <c r="BD124" s="4487"/>
      <c r="BE124" s="4487"/>
    </row>
    <row r="125" spans="2:57" ht="18.75" x14ac:dyDescent="0.25">
      <c r="C125" s="3087" t="s">
        <v>1676</v>
      </c>
      <c r="D125" s="3087"/>
      <c r="E125" s="3088">
        <f>+E123-E121</f>
        <v>0</v>
      </c>
      <c r="F125" s="3088">
        <f t="shared" ref="F125:BD125" si="41">+F123-F121</f>
        <v>0</v>
      </c>
      <c r="G125" s="3088">
        <f t="shared" si="41"/>
        <v>78.539999999999964</v>
      </c>
      <c r="H125" s="3088">
        <f t="shared" si="41"/>
        <v>0.27340158309380058</v>
      </c>
      <c r="I125" s="3088">
        <f t="shared" si="41"/>
        <v>78.539999999999964</v>
      </c>
      <c r="J125" s="3088">
        <f t="shared" si="41"/>
        <v>0</v>
      </c>
      <c r="K125" s="3088">
        <f t="shared" si="41"/>
        <v>0.40000000000009095</v>
      </c>
      <c r="L125" s="3088">
        <f t="shared" si="41"/>
        <v>0.27340158309380058</v>
      </c>
      <c r="M125" s="3088">
        <f t="shared" si="41"/>
        <v>78.940000000000509</v>
      </c>
      <c r="N125" s="3088">
        <f t="shared" si="41"/>
        <v>0</v>
      </c>
      <c r="O125" s="3088">
        <f t="shared" si="41"/>
        <v>-0.10000000000002274</v>
      </c>
      <c r="P125" s="3088">
        <f t="shared" si="41"/>
        <v>0.27340158309380058</v>
      </c>
      <c r="Q125" s="3088">
        <f t="shared" si="41"/>
        <v>78.840000000000146</v>
      </c>
      <c r="R125" s="3088">
        <f t="shared" si="41"/>
        <v>0</v>
      </c>
      <c r="S125" s="3088">
        <f t="shared" ref="S125" si="42">+S123-S121</f>
        <v>82.082000000000335</v>
      </c>
      <c r="T125" s="3088">
        <f t="shared" si="41"/>
        <v>0.27340158309380058</v>
      </c>
      <c r="U125" s="3088">
        <f t="shared" si="41"/>
        <v>160.92199999999866</v>
      </c>
      <c r="V125" s="3088">
        <f t="shared" si="41"/>
        <v>0</v>
      </c>
      <c r="W125" s="3088">
        <f t="shared" si="41"/>
        <v>0.22999999999979082</v>
      </c>
      <c r="X125" s="3088">
        <f t="shared" si="41"/>
        <v>0</v>
      </c>
      <c r="Y125" s="3088">
        <f t="shared" si="41"/>
        <v>82.211999999999534</v>
      </c>
      <c r="Z125" s="3088">
        <f t="shared" si="41"/>
        <v>0.27340158309380058</v>
      </c>
      <c r="AA125" s="3088">
        <f t="shared" si="41"/>
        <v>161.15200000000004</v>
      </c>
      <c r="AB125" s="3088">
        <f t="shared" si="41"/>
        <v>0</v>
      </c>
      <c r="AC125" s="3088">
        <f t="shared" ref="AC125" si="43">+AC123-AC121</f>
        <v>-0.1000000000003638</v>
      </c>
      <c r="AD125" s="3088">
        <f t="shared" si="41"/>
        <v>0.27340158309380058</v>
      </c>
      <c r="AE125" s="3088">
        <f t="shared" si="41"/>
        <v>161.05200000000332</v>
      </c>
      <c r="AF125" s="3088">
        <f t="shared" si="41"/>
        <v>0</v>
      </c>
      <c r="AG125" s="3088">
        <f t="shared" si="41"/>
        <v>0</v>
      </c>
      <c r="AH125" s="3088">
        <f t="shared" si="41"/>
        <v>0.27340158309380058</v>
      </c>
      <c r="AI125" s="3088">
        <f t="shared" si="41"/>
        <v>161.05200000000332</v>
      </c>
      <c r="AJ125" s="3088">
        <f t="shared" si="41"/>
        <v>0</v>
      </c>
      <c r="AK125" s="3088">
        <f t="shared" si="41"/>
        <v>0</v>
      </c>
      <c r="AL125" s="3088">
        <f t="shared" si="41"/>
        <v>0</v>
      </c>
      <c r="AM125" s="3088">
        <f t="shared" si="41"/>
        <v>-0.1000000000003638</v>
      </c>
      <c r="AN125" s="3088">
        <f t="shared" si="41"/>
        <v>0.27340158309380058</v>
      </c>
      <c r="AO125" s="3088">
        <f t="shared" si="41"/>
        <v>161.05199999999968</v>
      </c>
      <c r="AP125" s="3088">
        <f t="shared" si="41"/>
        <v>0</v>
      </c>
      <c r="AQ125" s="3088">
        <f t="shared" si="41"/>
        <v>179.15999999999985</v>
      </c>
      <c r="AR125" s="3088">
        <f t="shared" si="41"/>
        <v>0.27340158309380058</v>
      </c>
      <c r="AS125" s="3088">
        <f t="shared" si="41"/>
        <v>340.21199999999953</v>
      </c>
      <c r="AT125" s="3088">
        <f t="shared" si="41"/>
        <v>0</v>
      </c>
      <c r="AU125" s="3088">
        <f t="shared" si="41"/>
        <v>2.3719999999998436</v>
      </c>
      <c r="AV125" s="3088">
        <f t="shared" si="41"/>
        <v>0.27340158309380058</v>
      </c>
      <c r="AW125" s="3088">
        <f t="shared" si="41"/>
        <v>342.58400000000256</v>
      </c>
      <c r="AX125" s="3088">
        <f t="shared" si="41"/>
        <v>0</v>
      </c>
      <c r="AY125" s="3088">
        <f t="shared" ref="AY125" si="44">+AY123-AY121</f>
        <v>-7.8999999999723514E-2</v>
      </c>
      <c r="AZ125" s="3088">
        <f t="shared" si="41"/>
        <v>0</v>
      </c>
      <c r="BA125" s="3088">
        <f t="shared" si="26"/>
        <v>181.45299999999997</v>
      </c>
      <c r="BB125" s="3088">
        <f t="shared" si="41"/>
        <v>0</v>
      </c>
      <c r="BC125" s="3088">
        <f t="shared" si="27"/>
        <v>181.35299999999961</v>
      </c>
      <c r="BD125" s="3088">
        <f t="shared" si="41"/>
        <v>0.27340158309380058</v>
      </c>
      <c r="BE125" s="3088">
        <f t="shared" si="28"/>
        <v>342.50499999999977</v>
      </c>
    </row>
    <row r="126" spans="2:57" x14ac:dyDescent="0.25">
      <c r="G126" s="4487"/>
      <c r="H126" s="4487"/>
      <c r="I126" s="4487"/>
      <c r="K126" s="4487"/>
      <c r="L126" s="4487"/>
      <c r="M126" s="4487"/>
      <c r="O126" s="4487"/>
      <c r="P126" s="4487"/>
      <c r="Q126" s="4487"/>
      <c r="S126" s="4487"/>
      <c r="T126" s="4487"/>
      <c r="U126" s="4487"/>
      <c r="W126" s="4487"/>
      <c r="X126" s="4487"/>
      <c r="Y126" s="4487"/>
      <c r="Z126" s="4487"/>
      <c r="AA126" s="4487"/>
      <c r="AC126" s="4487"/>
      <c r="AD126" s="4487"/>
      <c r="AE126" s="4487"/>
      <c r="AG126" s="4487"/>
      <c r="AH126" s="4487"/>
      <c r="AI126" s="4487"/>
      <c r="AL126" s="4487"/>
      <c r="AM126" s="4487"/>
      <c r="AN126" s="4487"/>
      <c r="AO126" s="4487"/>
      <c r="AQ126" s="4487"/>
      <c r="AR126" s="4487"/>
      <c r="AS126" s="4487"/>
      <c r="AU126" s="4487"/>
      <c r="AV126" s="4487"/>
      <c r="AW126" s="4487"/>
      <c r="AY126" s="4487"/>
      <c r="AZ126" s="4487"/>
      <c r="BA126" s="4487"/>
      <c r="BB126" s="4487"/>
      <c r="BC126" s="4487"/>
      <c r="BD126" s="4487"/>
      <c r="BE126" s="4487"/>
    </row>
    <row r="127" spans="2:57" ht="18.75" x14ac:dyDescent="0.25">
      <c r="C127" s="3094" t="s">
        <v>1683</v>
      </c>
      <c r="D127" s="3094"/>
      <c r="E127" s="5232">
        <f>+E96+E121</f>
        <v>37585.380000000005</v>
      </c>
      <c r="F127" s="5232"/>
      <c r="G127" s="5232">
        <f>+G96+G121</f>
        <v>21222.46</v>
      </c>
      <c r="H127" s="5232"/>
      <c r="I127" s="5232">
        <f t="shared" ref="I127:I128" si="45">+E127+G127</f>
        <v>58807.840000000004</v>
      </c>
      <c r="J127" s="5232"/>
      <c r="K127" s="5232">
        <f>+K96+K121</f>
        <v>20726.599999999999</v>
      </c>
      <c r="L127" s="3095"/>
      <c r="M127" s="3095">
        <f t="shared" si="30"/>
        <v>79534.44</v>
      </c>
      <c r="N127" s="3095"/>
      <c r="O127" s="5232">
        <f>+O96+O121</f>
        <v>9879.1</v>
      </c>
      <c r="P127" s="3095"/>
      <c r="Q127" s="3095">
        <f t="shared" si="31"/>
        <v>89413.540000000008</v>
      </c>
      <c r="R127" s="3095"/>
      <c r="S127" s="5232">
        <f>+S96+S121</f>
        <v>28692.656000000003</v>
      </c>
      <c r="T127" s="3095"/>
      <c r="U127" s="3095">
        <f t="shared" si="32"/>
        <v>118106.196</v>
      </c>
      <c r="V127" s="3095"/>
      <c r="W127" s="5232">
        <f>+W96+W121</f>
        <v>22573.77</v>
      </c>
      <c r="X127" s="3095"/>
      <c r="Y127" s="3095">
        <f t="shared" si="33"/>
        <v>61145.526000000005</v>
      </c>
      <c r="Z127" s="3095"/>
      <c r="AA127" s="3095">
        <f t="shared" si="34"/>
        <v>140679.96600000001</v>
      </c>
      <c r="AB127" s="3095"/>
      <c r="AC127" s="5232">
        <f>+AC96+AC121</f>
        <v>26659.65</v>
      </c>
      <c r="AD127" s="3095"/>
      <c r="AE127" s="3095">
        <f t="shared" si="35"/>
        <v>167339.61600000001</v>
      </c>
      <c r="AF127" s="3095"/>
      <c r="AG127" s="5232">
        <f>+AG96+AG121</f>
        <v>17965.724000000002</v>
      </c>
      <c r="AH127" s="3095"/>
      <c r="AI127" s="3095">
        <f t="shared" si="36"/>
        <v>185305.34</v>
      </c>
      <c r="AJ127" s="3095"/>
      <c r="AK127" s="3095">
        <f>+AK96+AK121</f>
        <v>19625.530999999999</v>
      </c>
      <c r="AL127" s="3095"/>
      <c r="AM127" s="3095">
        <f t="shared" si="37"/>
        <v>64250.905000000006</v>
      </c>
      <c r="AN127" s="3095"/>
      <c r="AO127" s="3095">
        <f t="shared" si="38"/>
        <v>204930.87100000001</v>
      </c>
      <c r="AP127" s="3095"/>
      <c r="AQ127" s="3095">
        <f>+AQ96+AQ121</f>
        <v>17512.173000000003</v>
      </c>
      <c r="AR127" s="3095"/>
      <c r="AS127" s="3095">
        <f t="shared" si="39"/>
        <v>222443.04400000002</v>
      </c>
      <c r="AT127" s="3095"/>
      <c r="AU127" s="3095">
        <f>+AU96+AU121</f>
        <v>6081.7389999999996</v>
      </c>
      <c r="AV127" s="3095"/>
      <c r="AW127" s="3095">
        <f t="shared" si="40"/>
        <v>228524.78300000002</v>
      </c>
      <c r="AX127" s="3095"/>
      <c r="AY127" s="3095">
        <f>+AY96+AY121</f>
        <v>15358.494000000001</v>
      </c>
      <c r="AZ127" s="3095"/>
      <c r="BA127" s="3095">
        <f t="shared" si="26"/>
        <v>38952.406000000003</v>
      </c>
      <c r="BB127" s="3095"/>
      <c r="BC127" s="3095">
        <f t="shared" si="27"/>
        <v>103203.31100000002</v>
      </c>
      <c r="BD127" s="3095"/>
      <c r="BE127" s="3095">
        <f t="shared" si="28"/>
        <v>243883.27700000003</v>
      </c>
    </row>
    <row r="128" spans="2:57" ht="18.75" x14ac:dyDescent="0.25">
      <c r="C128" s="3094" t="s">
        <v>1684</v>
      </c>
      <c r="D128" s="3094"/>
      <c r="E128" s="5232">
        <f>+E100+E123</f>
        <v>40008.1</v>
      </c>
      <c r="F128" s="3095"/>
      <c r="G128" s="3095">
        <f>+G100+G123</f>
        <v>55556</v>
      </c>
      <c r="H128" s="3095"/>
      <c r="I128" s="3095">
        <f t="shared" si="45"/>
        <v>95564.1</v>
      </c>
      <c r="J128" s="3095"/>
      <c r="K128" s="3095">
        <f>+K100+K123</f>
        <v>57284</v>
      </c>
      <c r="L128" s="3095"/>
      <c r="M128" s="3095">
        <f t="shared" si="30"/>
        <v>152848.1</v>
      </c>
      <c r="N128" s="3095"/>
      <c r="O128" s="3095">
        <f>+O100+O123</f>
        <v>50766</v>
      </c>
      <c r="P128" s="3095"/>
      <c r="Q128" s="3095">
        <f t="shared" si="31"/>
        <v>203614.1</v>
      </c>
      <c r="R128" s="3095"/>
      <c r="S128" s="5232">
        <f>+S100+S123</f>
        <v>60047.19</v>
      </c>
      <c r="T128" s="3095"/>
      <c r="U128" s="3095">
        <f t="shared" si="32"/>
        <v>263661.28999999998</v>
      </c>
      <c r="V128" s="3095"/>
      <c r="W128" s="5232">
        <f>+W100+W123</f>
        <v>55490</v>
      </c>
      <c r="X128" s="3095"/>
      <c r="Y128" s="3095">
        <f t="shared" si="33"/>
        <v>166303.19</v>
      </c>
      <c r="Z128" s="3095"/>
      <c r="AA128" s="3095">
        <f t="shared" si="34"/>
        <v>319151.29000000004</v>
      </c>
      <c r="AB128" s="3095"/>
      <c r="AC128" s="5232">
        <f>+AC100+AC123</f>
        <v>65807</v>
      </c>
      <c r="AD128" s="3095"/>
      <c r="AE128" s="3095">
        <f t="shared" si="35"/>
        <v>384958.29</v>
      </c>
      <c r="AF128" s="3095"/>
      <c r="AG128" s="5232">
        <f>+AG100+AG123</f>
        <v>61080</v>
      </c>
      <c r="AH128" s="3095"/>
      <c r="AI128" s="3095">
        <f t="shared" si="36"/>
        <v>446038.29</v>
      </c>
      <c r="AJ128" s="3095"/>
      <c r="AK128" s="3095">
        <f>+AK100+AK123</f>
        <v>53051</v>
      </c>
      <c r="AL128" s="3095"/>
      <c r="AM128" s="3095">
        <f t="shared" si="37"/>
        <v>179938</v>
      </c>
      <c r="AN128" s="3095"/>
      <c r="AO128" s="3095">
        <f t="shared" si="38"/>
        <v>499089.29</v>
      </c>
      <c r="AP128" s="3095"/>
      <c r="AQ128" s="3095">
        <f>+AQ100+AQ123</f>
        <v>37998</v>
      </c>
      <c r="AR128" s="3095"/>
      <c r="AS128" s="3095">
        <f t="shared" si="39"/>
        <v>537087.29</v>
      </c>
      <c r="AT128" s="3095"/>
      <c r="AU128" s="3095">
        <f>+AU100+AU123</f>
        <v>18442</v>
      </c>
      <c r="AV128" s="3095"/>
      <c r="AW128" s="3095">
        <f t="shared" si="40"/>
        <v>555529.29</v>
      </c>
      <c r="AX128" s="3095"/>
      <c r="AY128" s="3095">
        <f>+AY100+AY123</f>
        <v>42319.899000000005</v>
      </c>
      <c r="AZ128" s="3095"/>
      <c r="BA128" s="3095">
        <f t="shared" si="26"/>
        <v>98759.899000000005</v>
      </c>
      <c r="BB128" s="3095"/>
      <c r="BC128" s="3095">
        <f t="shared" si="27"/>
        <v>278697.89899999998</v>
      </c>
      <c r="BD128" s="3095"/>
      <c r="BE128" s="3095">
        <f t="shared" si="28"/>
        <v>597849.18900000001</v>
      </c>
    </row>
    <row r="129" spans="3:57" x14ac:dyDescent="0.25">
      <c r="G129" s="4487"/>
      <c r="H129" s="4487"/>
      <c r="I129" s="4487"/>
      <c r="K129" s="4487"/>
      <c r="L129" s="4487"/>
      <c r="M129" s="4487"/>
      <c r="O129" s="4487"/>
      <c r="P129" s="4487"/>
      <c r="Q129" s="4487"/>
      <c r="S129" s="4487"/>
      <c r="T129" s="4487"/>
      <c r="U129" s="4487"/>
      <c r="W129" s="4487"/>
      <c r="X129" s="4487"/>
      <c r="Y129" s="4487"/>
      <c r="Z129" s="4487"/>
      <c r="AA129" s="4487"/>
      <c r="AC129" s="4487"/>
      <c r="AD129" s="4487"/>
      <c r="AE129" s="4487"/>
      <c r="AG129" s="4487"/>
      <c r="AH129" s="4487"/>
      <c r="AI129" s="4487"/>
      <c r="AL129" s="4487"/>
      <c r="AM129" s="4487"/>
      <c r="AN129" s="4487"/>
      <c r="AO129" s="4487"/>
      <c r="AQ129" s="4487"/>
      <c r="AR129" s="4487"/>
      <c r="AS129" s="4487"/>
      <c r="AU129" s="4487"/>
      <c r="AV129" s="4487"/>
      <c r="AW129" s="4487"/>
      <c r="AY129" s="4487"/>
      <c r="AZ129" s="4487"/>
      <c r="BA129" s="4487"/>
      <c r="BB129" s="4487"/>
      <c r="BC129" s="4487"/>
      <c r="BD129" s="4487"/>
      <c r="BE129" s="4487"/>
    </row>
    <row r="130" spans="3:57" ht="18.75" x14ac:dyDescent="0.25">
      <c r="C130" s="3087" t="s">
        <v>1676</v>
      </c>
      <c r="D130" s="3087"/>
      <c r="E130" s="3088">
        <f>+E128-E127</f>
        <v>2422.7199999999939</v>
      </c>
      <c r="F130" s="3088">
        <f t="shared" ref="F130:BD130" si="46">+F128-F127</f>
        <v>0</v>
      </c>
      <c r="G130" s="3088">
        <f t="shared" si="46"/>
        <v>34333.54</v>
      </c>
      <c r="H130" s="3088">
        <f t="shared" si="46"/>
        <v>0</v>
      </c>
      <c r="I130" s="3088">
        <f t="shared" si="46"/>
        <v>36756.26</v>
      </c>
      <c r="J130" s="3088">
        <f t="shared" si="46"/>
        <v>0</v>
      </c>
      <c r="K130" s="3088">
        <f t="shared" si="46"/>
        <v>36557.4</v>
      </c>
      <c r="L130" s="3088">
        <f t="shared" si="46"/>
        <v>0</v>
      </c>
      <c r="M130" s="3088">
        <f t="shared" si="46"/>
        <v>73313.66</v>
      </c>
      <c r="N130" s="3088">
        <f t="shared" si="46"/>
        <v>0</v>
      </c>
      <c r="O130" s="3088">
        <f t="shared" si="46"/>
        <v>40886.9</v>
      </c>
      <c r="P130" s="3088">
        <f t="shared" si="46"/>
        <v>0</v>
      </c>
      <c r="Q130" s="3088">
        <f t="shared" si="46"/>
        <v>114200.56</v>
      </c>
      <c r="R130" s="3088">
        <f t="shared" si="46"/>
        <v>0</v>
      </c>
      <c r="S130" s="3088">
        <f t="shared" ref="S130" si="47">+S128-S127</f>
        <v>31354.534</v>
      </c>
      <c r="T130" s="3088">
        <f t="shared" si="46"/>
        <v>0</v>
      </c>
      <c r="U130" s="3088">
        <f t="shared" si="46"/>
        <v>145555.09399999998</v>
      </c>
      <c r="V130" s="3088">
        <f t="shared" si="46"/>
        <v>0</v>
      </c>
      <c r="W130" s="3088">
        <f t="shared" si="46"/>
        <v>32916.229999999996</v>
      </c>
      <c r="X130" s="3088">
        <f t="shared" si="46"/>
        <v>0</v>
      </c>
      <c r="Y130" s="3088">
        <f t="shared" si="46"/>
        <v>105157.66399999999</v>
      </c>
      <c r="Z130" s="3088">
        <f t="shared" si="46"/>
        <v>0</v>
      </c>
      <c r="AA130" s="3088">
        <f t="shared" si="46"/>
        <v>178471.32400000002</v>
      </c>
      <c r="AB130" s="3088">
        <f t="shared" si="46"/>
        <v>0</v>
      </c>
      <c r="AC130" s="3088">
        <f t="shared" ref="AC130" si="48">+AC128-AC127</f>
        <v>39147.35</v>
      </c>
      <c r="AD130" s="3088">
        <f t="shared" si="46"/>
        <v>0</v>
      </c>
      <c r="AE130" s="3088">
        <f t="shared" si="46"/>
        <v>217618.67399999997</v>
      </c>
      <c r="AF130" s="3088">
        <f t="shared" si="46"/>
        <v>0</v>
      </c>
      <c r="AG130" s="3088">
        <f t="shared" si="46"/>
        <v>43114.275999999998</v>
      </c>
      <c r="AH130" s="3088">
        <f t="shared" si="46"/>
        <v>0</v>
      </c>
      <c r="AI130" s="3088">
        <f t="shared" si="46"/>
        <v>260732.94999999998</v>
      </c>
      <c r="AJ130" s="3088">
        <f t="shared" si="46"/>
        <v>0</v>
      </c>
      <c r="AK130" s="3088">
        <f t="shared" si="46"/>
        <v>33425.468999999997</v>
      </c>
      <c r="AL130" s="3088">
        <f t="shared" si="46"/>
        <v>0</v>
      </c>
      <c r="AM130" s="3088">
        <f t="shared" si="46"/>
        <v>115687.095</v>
      </c>
      <c r="AN130" s="3088">
        <f t="shared" si="46"/>
        <v>0</v>
      </c>
      <c r="AO130" s="3088">
        <f t="shared" si="46"/>
        <v>294158.41899999999</v>
      </c>
      <c r="AP130" s="3088">
        <f t="shared" si="46"/>
        <v>0</v>
      </c>
      <c r="AQ130" s="3088">
        <f t="shared" si="46"/>
        <v>20485.826999999997</v>
      </c>
      <c r="AR130" s="3088">
        <f t="shared" si="46"/>
        <v>0</v>
      </c>
      <c r="AS130" s="3088">
        <f t="shared" si="46"/>
        <v>314644.24600000004</v>
      </c>
      <c r="AT130" s="3088">
        <f t="shared" si="46"/>
        <v>0</v>
      </c>
      <c r="AU130" s="3088">
        <f t="shared" si="46"/>
        <v>12360.261</v>
      </c>
      <c r="AV130" s="3088">
        <f t="shared" si="46"/>
        <v>0</v>
      </c>
      <c r="AW130" s="3088">
        <f t="shared" si="46"/>
        <v>327004.50699999998</v>
      </c>
      <c r="AX130" s="3088">
        <f t="shared" si="46"/>
        <v>0</v>
      </c>
      <c r="AY130" s="3088">
        <f t="shared" ref="AY130" si="49">+AY128-AY127</f>
        <v>26961.405000000006</v>
      </c>
      <c r="AZ130" s="3088">
        <f t="shared" si="46"/>
        <v>0</v>
      </c>
      <c r="BA130" s="3088">
        <f t="shared" si="26"/>
        <v>59807.493000000002</v>
      </c>
      <c r="BB130" s="3088">
        <f t="shared" si="46"/>
        <v>0</v>
      </c>
      <c r="BC130" s="3088">
        <f t="shared" si="27"/>
        <v>175494.58799999999</v>
      </c>
      <c r="BD130" s="3088">
        <f t="shared" si="46"/>
        <v>0</v>
      </c>
      <c r="BE130" s="3088">
        <f t="shared" si="28"/>
        <v>353965.91199999995</v>
      </c>
    </row>
  </sheetData>
  <mergeCells count="53">
    <mergeCell ref="AZ106:BA106"/>
    <mergeCell ref="BB106:BC106"/>
    <mergeCell ref="BD106:BE106"/>
    <mergeCell ref="AP106:AQ106"/>
    <mergeCell ref="AR106:AS106"/>
    <mergeCell ref="AT106:AU106"/>
    <mergeCell ref="AV106:AW106"/>
    <mergeCell ref="AX106:AY106"/>
    <mergeCell ref="AF106:AG106"/>
    <mergeCell ref="AH106:AI106"/>
    <mergeCell ref="AJ106:AK106"/>
    <mergeCell ref="AL106:AM106"/>
    <mergeCell ref="AN106:AO106"/>
    <mergeCell ref="BB67:BC67"/>
    <mergeCell ref="BD67:BE67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J187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I147" sqref="BI147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58" customWidth="1"/>
    <col min="6" max="6" width="15.42578125" hidden="1" customWidth="1"/>
    <col min="7" max="7" width="10.5703125" customWidth="1"/>
    <col min="8" max="8" width="9.85546875" hidden="1" customWidth="1"/>
    <col min="9" max="9" width="10.42578125" hidden="1" customWidth="1"/>
    <col min="10" max="10" width="10.140625" hidden="1" customWidth="1"/>
    <col min="11" max="11" width="10.140625" style="4779" hidden="1" customWidth="1"/>
    <col min="12" max="12" width="10.140625" hidden="1" customWidth="1"/>
    <col min="13" max="13" width="10.42578125" hidden="1" customWidth="1"/>
    <col min="14" max="14" width="10.140625" hidden="1" customWidth="1"/>
    <col min="15" max="15" width="13.28515625" style="4780" hidden="1" customWidth="1"/>
    <col min="16" max="16" width="10" hidden="1" customWidth="1"/>
    <col min="17" max="17" width="10.85546875" hidden="1" customWidth="1"/>
    <col min="18" max="18" width="7.85546875" hidden="1" customWidth="1"/>
    <col min="19" max="19" width="9" style="4779" hidden="1" customWidth="1"/>
    <col min="20" max="20" width="10" style="1657" hidden="1" customWidth="1"/>
    <col min="21" max="21" width="12" style="1621" hidden="1" customWidth="1"/>
    <col min="22" max="22" width="14.85546875" style="1621" hidden="1" customWidth="1"/>
    <col min="23" max="23" width="17.140625" style="4779" hidden="1" customWidth="1"/>
    <col min="24" max="24" width="17.140625" style="139" hidden="1" customWidth="1"/>
    <col min="25" max="25" width="12.42578125" style="139" hidden="1" customWidth="1"/>
    <col min="26" max="26" width="10.140625" style="2092" hidden="1" customWidth="1"/>
    <col min="27" max="27" width="9.85546875" style="4780" hidden="1" customWidth="1"/>
    <col min="28" max="28" width="9.85546875" style="427" hidden="1" customWidth="1"/>
    <col min="29" max="29" width="14.5703125" style="4781" hidden="1" customWidth="1"/>
    <col min="30" max="31" width="11.28515625" hidden="1" customWidth="1"/>
    <col min="32" max="32" width="9.140625" hidden="1" customWidth="1"/>
    <col min="33" max="33" width="11.28515625" style="4779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4779" hidden="1" customWidth="1"/>
    <col min="38" max="39" width="9.140625" hidden="1" customWidth="1"/>
    <col min="40" max="41" width="9.140625" style="4487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487" hidden="1" customWidth="1"/>
    <col min="57" max="57" width="10.28515625" style="4487" hidden="1" customWidth="1"/>
    <col min="58" max="58" width="9.140625" hidden="1" customWidth="1"/>
    <col min="59" max="59" width="10.28515625" hidden="1" customWidth="1"/>
    <col min="60" max="60" width="9.140625" hidden="1" customWidth="1"/>
    <col min="61" max="61" width="14.140625" customWidth="1"/>
  </cols>
  <sheetData>
    <row r="1" spans="1:61" s="139" customFormat="1" ht="23.25" x14ac:dyDescent="0.35">
      <c r="C1" s="8168" t="s">
        <v>1867</v>
      </c>
      <c r="D1" s="8168"/>
      <c r="E1" s="8168"/>
      <c r="F1" s="8168"/>
      <c r="G1" s="8168"/>
      <c r="H1" s="8168"/>
      <c r="I1" s="8168"/>
      <c r="J1" s="8168"/>
      <c r="K1" s="8168"/>
      <c r="L1" s="8168"/>
      <c r="M1" s="8168"/>
      <c r="N1" s="8168"/>
      <c r="O1" s="8168"/>
      <c r="P1" s="8168"/>
      <c r="Q1" s="8168"/>
      <c r="R1" s="8168"/>
      <c r="S1" s="8168"/>
      <c r="T1" s="8168"/>
      <c r="U1" s="8168"/>
      <c r="V1" s="8168"/>
      <c r="W1" s="8168"/>
      <c r="X1" s="8168"/>
      <c r="Y1" s="8168"/>
      <c r="Z1" s="8168"/>
      <c r="AA1" s="8168"/>
      <c r="AB1" s="8168"/>
      <c r="AC1" s="8168"/>
      <c r="AD1" s="8168"/>
      <c r="AE1" s="8168"/>
      <c r="AF1" s="8168"/>
      <c r="AG1" s="8168"/>
      <c r="AH1" s="8168"/>
      <c r="AI1" s="8168"/>
      <c r="AJ1" s="8168"/>
      <c r="AK1" s="8168"/>
      <c r="AL1" s="8168"/>
      <c r="AM1" s="8168"/>
      <c r="AN1" s="8168"/>
      <c r="AO1" s="8168"/>
      <c r="AP1" s="8168"/>
      <c r="AQ1" s="8168"/>
    </row>
    <row r="2" spans="1:61" s="4487" customFormat="1" x14ac:dyDescent="0.25"/>
    <row r="3" spans="1:61" s="258" customFormat="1" ht="16.5" x14ac:dyDescent="0.25">
      <c r="C3" s="4782" t="s">
        <v>923</v>
      </c>
      <c r="D3" s="4782" t="s">
        <v>812</v>
      </c>
      <c r="E3" s="4782" t="s">
        <v>172</v>
      </c>
      <c r="F3" s="8164" t="s">
        <v>2349</v>
      </c>
      <c r="G3" s="8165"/>
      <c r="H3" s="8164" t="s">
        <v>1956</v>
      </c>
      <c r="I3" s="8165"/>
      <c r="J3" s="8176" t="s">
        <v>627</v>
      </c>
      <c r="K3" s="8177"/>
      <c r="L3" s="8164" t="s">
        <v>1986</v>
      </c>
      <c r="M3" s="8165"/>
      <c r="N3" s="8159" t="s">
        <v>607</v>
      </c>
      <c r="O3" s="8160"/>
      <c r="P3" s="8153" t="s">
        <v>2008</v>
      </c>
      <c r="Q3" s="8153"/>
      <c r="R3" s="8154" t="s">
        <v>620</v>
      </c>
      <c r="S3" s="8154"/>
      <c r="T3" s="8153" t="s">
        <v>2011</v>
      </c>
      <c r="U3" s="8153"/>
      <c r="V3" s="8154" t="s">
        <v>798</v>
      </c>
      <c r="W3" s="8154"/>
      <c r="X3" s="4850"/>
      <c r="Y3" s="4839" t="s">
        <v>2042</v>
      </c>
      <c r="Z3" s="8159" t="s">
        <v>629</v>
      </c>
      <c r="AA3" s="8160"/>
      <c r="AB3" s="4851"/>
      <c r="AC3" s="4783" t="s">
        <v>487</v>
      </c>
      <c r="AD3" s="8153" t="s">
        <v>2067</v>
      </c>
      <c r="AE3" s="8153"/>
      <c r="AF3" s="8154" t="s">
        <v>1055</v>
      </c>
      <c r="AG3" s="8154"/>
      <c r="AH3" s="8153" t="s">
        <v>2170</v>
      </c>
      <c r="AI3" s="8153"/>
      <c r="AJ3" s="8154" t="s">
        <v>1561</v>
      </c>
      <c r="AK3" s="8154"/>
      <c r="AL3" s="8153" t="s">
        <v>2194</v>
      </c>
      <c r="AM3" s="8153"/>
      <c r="AN3" s="8155" t="s">
        <v>1819</v>
      </c>
      <c r="AO3" s="8156"/>
      <c r="AP3" s="8154" t="s">
        <v>876</v>
      </c>
      <c r="AQ3" s="8154"/>
      <c r="AR3" s="8153" t="s">
        <v>2206</v>
      </c>
      <c r="AS3" s="8153"/>
      <c r="AT3" s="8154" t="s">
        <v>1593</v>
      </c>
      <c r="AU3" s="8154"/>
      <c r="AV3" s="8153" t="s">
        <v>2243</v>
      </c>
      <c r="AW3" s="8153"/>
      <c r="AX3" s="8154" t="s">
        <v>1599</v>
      </c>
      <c r="AY3" s="8154"/>
      <c r="AZ3" s="8152">
        <v>46082</v>
      </c>
      <c r="BA3" s="8153"/>
      <c r="BB3" s="8155" t="s">
        <v>1860</v>
      </c>
      <c r="BC3" s="8156"/>
      <c r="BD3" s="4851"/>
      <c r="BE3" s="4783" t="s">
        <v>525</v>
      </c>
      <c r="BF3" s="8154" t="s">
        <v>1984</v>
      </c>
      <c r="BG3" s="8154"/>
    </row>
    <row r="4" spans="1:61" ht="16.5" x14ac:dyDescent="0.25">
      <c r="C4" s="4784" t="s">
        <v>16</v>
      </c>
      <c r="D4" s="4785" t="s">
        <v>1316</v>
      </c>
      <c r="E4" s="8166"/>
      <c r="F4" s="4784"/>
      <c r="G4" s="4786">
        <f>+SUMIF(WRM!$C$7:$C$127,$D4,WRM!$F$7:$F$127)</f>
        <v>7943.75</v>
      </c>
      <c r="H4" s="4786"/>
      <c r="I4" s="4786">
        <f>+SUMIF(WRM!$C$7:$C$127,$D4,WRM!$H$7:$H$127)</f>
        <v>1963.9</v>
      </c>
      <c r="J4" s="4787"/>
      <c r="K4" s="4787">
        <f>+G4+I4</f>
        <v>9907.65</v>
      </c>
      <c r="L4" s="4786"/>
      <c r="M4" s="4786">
        <f>+SUMIF(WRM!$C$7:$C$127,$D4,WRM!$L$7:$L$127)</f>
        <v>301.34999999999997</v>
      </c>
      <c r="N4" s="4788"/>
      <c r="O4" s="4788">
        <f>+G4+I4+M4</f>
        <v>10209</v>
      </c>
      <c r="P4" s="4786"/>
      <c r="Q4" s="4786">
        <f>+SUMIF(WRM!$C$7:$C$127,$D4,WRM!$P$7:$P$127)</f>
        <v>990.15000000000009</v>
      </c>
      <c r="R4" s="4789"/>
      <c r="S4" s="4787">
        <f>O4+Q4</f>
        <v>11199.15</v>
      </c>
      <c r="T4" s="4786"/>
      <c r="U4" s="4786">
        <f>+SUMIF(WRM!$C$7:$C$127,$D4,WRM!$T$7:$T$127)</f>
        <v>303.39999999999998</v>
      </c>
      <c r="V4" s="4789"/>
      <c r="W4" s="4787">
        <f>S4+U4</f>
        <v>11502.55</v>
      </c>
      <c r="X4" s="4790"/>
      <c r="Y4" s="4804">
        <f>+SUMIF(WRM!$C$7:$C$127,$D4,WRM!$X$7:$X$127)</f>
        <v>1195.1500000000001</v>
      </c>
      <c r="Z4" s="4788"/>
      <c r="AA4" s="4788">
        <f>Q4+U4+Y4</f>
        <v>2488.7000000000003</v>
      </c>
      <c r="AB4" s="4791"/>
      <c r="AC4" s="4792">
        <f>O4+AA4</f>
        <v>12697.7</v>
      </c>
      <c r="AD4" s="4786"/>
      <c r="AE4" s="4786">
        <f>+SUMIF(WRM!$C$7:$C$127,$D4,WRM!$AD$7:$AD$127)</f>
        <v>442.79999999999995</v>
      </c>
      <c r="AF4" s="4789"/>
      <c r="AG4" s="4787">
        <f>+AC4+AE4</f>
        <v>13140.5</v>
      </c>
      <c r="AH4" s="4786"/>
      <c r="AI4" s="4786">
        <f>+SUMIF(WRM!$C$7:$C$127,$D4,WRM!$AH$7:$AH$127)</f>
        <v>1070.1000000000001</v>
      </c>
      <c r="AJ4" s="4789"/>
      <c r="AK4" s="4787">
        <f>+AG4+AI4</f>
        <v>14210.6</v>
      </c>
      <c r="AL4" s="4786"/>
      <c r="AM4" s="4786">
        <f>+SUMIF(WRM!$C$7:$C$127,$D4,WRM!$AL$7:$AL$127)</f>
        <v>918.4</v>
      </c>
      <c r="AN4" s="4927"/>
      <c r="AO4" s="4788">
        <f>AE4+AI4+AM4</f>
        <v>2431.3000000000002</v>
      </c>
      <c r="AP4" s="4789"/>
      <c r="AQ4" s="4787">
        <f t="shared" ref="AQ4:AQ31" si="0">+AK4+AM4</f>
        <v>15129</v>
      </c>
      <c r="AR4" s="4786"/>
      <c r="AS4" s="4786">
        <f>+SUMIF(WRM!$C$7:$C$127,$D4,WRM!$AR$7:$AR$127)</f>
        <v>0</v>
      </c>
      <c r="AT4" s="4789"/>
      <c r="AU4" s="4787">
        <f>+AQ4+AS4</f>
        <v>15129</v>
      </c>
      <c r="AV4" s="4786"/>
      <c r="AW4" s="4786">
        <f>+SUMIF(WRM!$C$7:$C$127,$D4,WRM!$AV$7:$AV$127)</f>
        <v>1353</v>
      </c>
      <c r="AX4" s="4789"/>
      <c r="AY4" s="4787">
        <f>+AU4+AW4</f>
        <v>16482</v>
      </c>
      <c r="AZ4" s="4786"/>
      <c r="BA4" s="4786">
        <f>+SUMIF(WRM!$C$7:$C$127,$D4,WRM!$AZ$7:$AZ$127)</f>
        <v>5303.3500000000031</v>
      </c>
      <c r="BB4" s="4927"/>
      <c r="BC4" s="4788">
        <f>AS4+AW4+BA4</f>
        <v>6656.3500000000031</v>
      </c>
      <c r="BD4" s="4791"/>
      <c r="BE4" s="4792">
        <f>AO4+BC4</f>
        <v>9087.6500000000033</v>
      </c>
      <c r="BF4" s="4789"/>
      <c r="BG4" s="4787">
        <f>+AY4+BA4</f>
        <v>21785.350000000002</v>
      </c>
      <c r="BH4" s="25">
        <f>BA4++AW4+AS4+AM4+AI4+AE4+Y4+U4+Q4+M4+I4+G4-BG4</f>
        <v>0</v>
      </c>
      <c r="BI4" s="25"/>
    </row>
    <row r="5" spans="1:61" ht="16.5" x14ac:dyDescent="0.25">
      <c r="C5" s="4784" t="s">
        <v>16</v>
      </c>
      <c r="D5" s="4785" t="s">
        <v>1790</v>
      </c>
      <c r="E5" s="8166"/>
      <c r="F5" s="4784"/>
      <c r="G5" s="4786">
        <f>+SUMIF(WRM!$C$7:$C$127,$D5,WRM!$F$7:$F$127)</f>
        <v>0</v>
      </c>
      <c r="H5" s="4786"/>
      <c r="I5" s="4786">
        <f>+SUMIF(WRM!$C$7:$C$127,$D5,WRM!$H$7:$H$127)</f>
        <v>0</v>
      </c>
      <c r="J5" s="4787"/>
      <c r="K5" s="4787">
        <f t="shared" ref="K5:K24" si="1">+G5+I5</f>
        <v>0</v>
      </c>
      <c r="L5" s="4786"/>
      <c r="M5" s="4786">
        <f>+SUMIF(WRM!$C$7:$C$127,$D5,WRM!$L$7:$L$127)</f>
        <v>0</v>
      </c>
      <c r="N5" s="4788"/>
      <c r="O5" s="4788">
        <f t="shared" ref="O5:O75" si="2">+G5+I5+M5</f>
        <v>0</v>
      </c>
      <c r="P5" s="4786"/>
      <c r="Q5" s="4786">
        <f>+SUMIF(WRM!$C$7:$C$127,$D5,WRM!$P$7:$P$127)</f>
        <v>0</v>
      </c>
      <c r="R5" s="4789"/>
      <c r="S5" s="4787">
        <f t="shared" ref="S5:S75" si="3">O5+Q5</f>
        <v>0</v>
      </c>
      <c r="T5" s="4786"/>
      <c r="U5" s="4786">
        <f>+SUMIF(WRM!$C$7:$C$127,$D5,WRM!$T$7:$T$127)</f>
        <v>0</v>
      </c>
      <c r="V5" s="4789"/>
      <c r="W5" s="4787">
        <f t="shared" ref="W5:W75" si="4">S5+U5</f>
        <v>0</v>
      </c>
      <c r="X5" s="4790"/>
      <c r="Y5" s="4804">
        <f>+SUMIF(WRM!$C$7:$C$127,$D5,WRM!$X$7:$X$127)</f>
        <v>0</v>
      </c>
      <c r="Z5" s="4788"/>
      <c r="AA5" s="4788">
        <f t="shared" ref="AA5:AA75" si="5">Q5+U5+Y5</f>
        <v>0</v>
      </c>
      <c r="AB5" s="4791"/>
      <c r="AC5" s="4792">
        <f t="shared" ref="AC5:AC75" si="6">O5+AA5</f>
        <v>0</v>
      </c>
      <c r="AD5" s="4786"/>
      <c r="AE5" s="4804">
        <f>+SUMIF(WRM!$C$7:$C$127,$D5,WRM!$AD$7:$AD$127)</f>
        <v>0</v>
      </c>
      <c r="AF5" s="4789"/>
      <c r="AG5" s="4787">
        <f t="shared" ref="AG5:AG75" si="7">+AC5+AE5</f>
        <v>0</v>
      </c>
      <c r="AH5" s="4786"/>
      <c r="AI5" s="4786">
        <f>+SUMIF(WRM!$C$7:$C$127,$D5,WRM!$AH$7:$AH$127)</f>
        <v>0</v>
      </c>
      <c r="AJ5" s="4789"/>
      <c r="AK5" s="4787">
        <f t="shared" ref="AK5:AK37" si="8">+AG5+AI5</f>
        <v>0</v>
      </c>
      <c r="AL5" s="4786"/>
      <c r="AM5" s="4786">
        <f>+SUMIF(WRM!$C$7:$C$127,$D5,WRM!$AL$7:$AL$127)</f>
        <v>0</v>
      </c>
      <c r="AN5" s="4927"/>
      <c r="AO5" s="4788">
        <f t="shared" ref="AO5:AO75" si="9">AE5+AI5+AM5</f>
        <v>0</v>
      </c>
      <c r="AP5" s="4789"/>
      <c r="AQ5" s="4787">
        <f t="shared" si="0"/>
        <v>0</v>
      </c>
      <c r="AR5" s="4786"/>
      <c r="AS5" s="4786">
        <f>+SUMIF(WRM!$C$7:$C$127,$D5,WRM!$AR$7:$AR$127)</f>
        <v>0</v>
      </c>
      <c r="AT5" s="4789"/>
      <c r="AU5" s="4787">
        <f t="shared" ref="AU5:AU31" si="10">+AQ5+AS5</f>
        <v>0</v>
      </c>
      <c r="AV5" s="4786"/>
      <c r="AW5" s="4786">
        <f>+SUMIF(WRM!$C$7:$C$127,$D5,WRM!$AV$7:$AV$127)</f>
        <v>0</v>
      </c>
      <c r="AX5" s="4789"/>
      <c r="AY5" s="4787">
        <f t="shared" ref="AY5:AY37" si="11">+AU5+AW5</f>
        <v>0</v>
      </c>
      <c r="AZ5" s="4786"/>
      <c r="BA5" s="4786">
        <f>+SUMIF(WRM!$C$7:$C$127,$D5,WRM!$AZ$7:$AZ$127)</f>
        <v>0</v>
      </c>
      <c r="BB5" s="4927"/>
      <c r="BC5" s="4788">
        <f t="shared" ref="BC5:BC37" si="12">AS5+AW5+BA5</f>
        <v>0</v>
      </c>
      <c r="BD5" s="4791"/>
      <c r="BE5" s="4792">
        <f t="shared" ref="BE5:BE71" si="13">AO5+BC5</f>
        <v>0</v>
      </c>
      <c r="BF5" s="4789"/>
      <c r="BG5" s="4787">
        <f t="shared" ref="BG5:BG37" si="14">+AY5+BA5</f>
        <v>0</v>
      </c>
      <c r="BH5" s="25">
        <f t="shared" ref="BH5:BH67" si="15">BA5++AW5+AS5+AM5+AI5+AE5+Y5+U5+Q5+M5+I5+G5-BG5</f>
        <v>0</v>
      </c>
      <c r="BI5" s="25"/>
    </row>
    <row r="6" spans="1:61" ht="16.5" x14ac:dyDescent="0.25">
      <c r="C6" s="4784" t="s">
        <v>16</v>
      </c>
      <c r="D6" s="4785" t="s">
        <v>1274</v>
      </c>
      <c r="E6" s="8166"/>
      <c r="F6" s="4784"/>
      <c r="G6" s="4786">
        <f>+SUMIF(WRM!$C$7:$C$127,$D6,WRM!$F$7:$F$127)</f>
        <v>0</v>
      </c>
      <c r="H6" s="4786"/>
      <c r="I6" s="4786">
        <f>+SUMIF(WRM!$C$7:$C$127,$D6,WRM!$H$7:$H$127)</f>
        <v>0</v>
      </c>
      <c r="J6" s="4787"/>
      <c r="K6" s="4787">
        <f t="shared" si="1"/>
        <v>0</v>
      </c>
      <c r="L6" s="4786"/>
      <c r="M6" s="4786">
        <f>+SUMIF(WRM!$C$7:$C$127,$D6,WRM!$L$7:$L$127)</f>
        <v>161.95000000000002</v>
      </c>
      <c r="N6" s="4788"/>
      <c r="O6" s="4788">
        <f t="shared" si="2"/>
        <v>161.95000000000002</v>
      </c>
      <c r="P6" s="4786"/>
      <c r="Q6" s="4786">
        <f>+SUMIF(WRM!$C$7:$C$127,$D6,WRM!$P$7:$P$127)</f>
        <v>676.5</v>
      </c>
      <c r="R6" s="4789"/>
      <c r="S6" s="4787">
        <f t="shared" si="3"/>
        <v>838.45</v>
      </c>
      <c r="T6" s="4786"/>
      <c r="U6" s="4786">
        <f>+SUMIF(WRM!$C$7:$C$127,$D6,WRM!$T$7:$T$127)</f>
        <v>211.14999999999998</v>
      </c>
      <c r="V6" s="4789"/>
      <c r="W6" s="4787">
        <f t="shared" si="4"/>
        <v>1049.5999999999999</v>
      </c>
      <c r="X6" s="4790"/>
      <c r="Y6" s="4804">
        <f>+SUMIF(WRM!$C$7:$C$127,$D6,WRM!$X$7:$X$127)</f>
        <v>1326.3500000000001</v>
      </c>
      <c r="Z6" s="4788"/>
      <c r="AA6" s="4788">
        <f t="shared" si="5"/>
        <v>2214</v>
      </c>
      <c r="AB6" s="4791"/>
      <c r="AC6" s="4792">
        <f t="shared" si="6"/>
        <v>2375.9499999999998</v>
      </c>
      <c r="AD6" s="4786"/>
      <c r="AE6" s="4804">
        <f>+SUMIF(WRM!$C$7:$C$127,$D6,WRM!$AD$7:$AD$127)</f>
        <v>0</v>
      </c>
      <c r="AF6" s="4789"/>
      <c r="AG6" s="4787">
        <f t="shared" si="7"/>
        <v>2375.9499999999998</v>
      </c>
      <c r="AH6" s="4786"/>
      <c r="AI6" s="4786">
        <f>+SUMIF(WRM!$C$7:$C$127,$D6,WRM!$AH$7:$AH$127)</f>
        <v>0</v>
      </c>
      <c r="AJ6" s="4789"/>
      <c r="AK6" s="4787">
        <f t="shared" si="8"/>
        <v>2375.9499999999998</v>
      </c>
      <c r="AL6" s="4786"/>
      <c r="AM6" s="4786">
        <f>+SUMIF(WRM!$C$7:$C$127,$D6,WRM!$AL$7:$AL$127)</f>
        <v>0</v>
      </c>
      <c r="AN6" s="4927"/>
      <c r="AO6" s="4788">
        <f t="shared" si="9"/>
        <v>0</v>
      </c>
      <c r="AP6" s="4789"/>
      <c r="AQ6" s="4787">
        <f t="shared" si="0"/>
        <v>2375.9499999999998</v>
      </c>
      <c r="AR6" s="4786"/>
      <c r="AS6" s="4786">
        <f>+SUMIF(WRM!$C$7:$C$127,$D6,WRM!$AR$7:$AR$127)</f>
        <v>670.35</v>
      </c>
      <c r="AT6" s="4789"/>
      <c r="AU6" s="4787">
        <f t="shared" si="10"/>
        <v>3046.2999999999997</v>
      </c>
      <c r="AV6" s="4786"/>
      <c r="AW6" s="4786">
        <f>+SUMIF(WRM!$C$7:$C$127,$D6,WRM!$AV$7:$AV$127)</f>
        <v>0</v>
      </c>
      <c r="AX6" s="4789"/>
      <c r="AY6" s="4787">
        <f t="shared" si="11"/>
        <v>3046.2999999999997</v>
      </c>
      <c r="AZ6" s="4786"/>
      <c r="BA6" s="4786">
        <f>+SUMIF(WRM!$C$7:$C$127,$D6,WRM!$AZ$7:$AZ$127)</f>
        <v>0</v>
      </c>
      <c r="BB6" s="4927"/>
      <c r="BC6" s="4788">
        <f t="shared" si="12"/>
        <v>670.35</v>
      </c>
      <c r="BD6" s="4791"/>
      <c r="BE6" s="4792">
        <f t="shared" si="13"/>
        <v>670.35</v>
      </c>
      <c r="BF6" s="4789"/>
      <c r="BG6" s="4787">
        <f t="shared" si="14"/>
        <v>3046.2999999999997</v>
      </c>
      <c r="BH6" s="25">
        <f t="shared" si="15"/>
        <v>0</v>
      </c>
      <c r="BI6" s="25"/>
    </row>
    <row r="7" spans="1:61" ht="16.5" x14ac:dyDescent="0.25">
      <c r="C7" s="4784" t="s">
        <v>16</v>
      </c>
      <c r="D7" s="4785" t="s">
        <v>908</v>
      </c>
      <c r="E7" s="8166"/>
      <c r="F7" s="4784"/>
      <c r="G7" s="4786">
        <f>+SUMIF(WRM!$C$7:$C$127,$D7,WRM!$F$7:$F$127)</f>
        <v>0</v>
      </c>
      <c r="H7" s="4786"/>
      <c r="I7" s="4786">
        <f>+SUMIF(WRM!$C$7:$C$127,$D7,WRM!$H$7:$H$127)</f>
        <v>104.55</v>
      </c>
      <c r="J7" s="4787"/>
      <c r="K7" s="4787">
        <f t="shared" si="1"/>
        <v>104.55</v>
      </c>
      <c r="L7" s="4786"/>
      <c r="M7" s="4786">
        <f>+SUMIF(WRM!$C$7:$C$127,$D7,WRM!$L$7:$L$127)</f>
        <v>0</v>
      </c>
      <c r="N7" s="4788"/>
      <c r="O7" s="4788">
        <f t="shared" si="2"/>
        <v>104.55</v>
      </c>
      <c r="P7" s="4786"/>
      <c r="Q7" s="4786">
        <f>+SUMIF(WRM!$C$7:$C$127,$D7,WRM!$P$7:$P$127)</f>
        <v>0</v>
      </c>
      <c r="R7" s="4789"/>
      <c r="S7" s="4787">
        <f t="shared" si="3"/>
        <v>104.55</v>
      </c>
      <c r="T7" s="4786"/>
      <c r="U7" s="4786">
        <f>+SUMIF(WRM!$C$7:$C$127,$D7,WRM!$T$7:$T$127)</f>
        <v>0</v>
      </c>
      <c r="V7" s="4789"/>
      <c r="W7" s="4787">
        <f t="shared" si="4"/>
        <v>104.55</v>
      </c>
      <c r="X7" s="4790"/>
      <c r="Y7" s="4804">
        <f>+SUMIF(WRM!$C$7:$C$127,$D7,WRM!$X$7:$X$127)</f>
        <v>0</v>
      </c>
      <c r="Z7" s="4788"/>
      <c r="AA7" s="4788">
        <f t="shared" si="5"/>
        <v>0</v>
      </c>
      <c r="AB7" s="4791"/>
      <c r="AC7" s="4792">
        <f t="shared" si="6"/>
        <v>104.55</v>
      </c>
      <c r="AD7" s="4786"/>
      <c r="AE7" s="4804">
        <f>+SUMIF(WRM!$C$7:$C$127,$D7,WRM!$AD$7:$AD$127)</f>
        <v>0</v>
      </c>
      <c r="AF7" s="4789"/>
      <c r="AG7" s="4787">
        <f t="shared" si="7"/>
        <v>104.55</v>
      </c>
      <c r="AH7" s="4786"/>
      <c r="AI7" s="4786">
        <f>+SUMIF(WRM!$C$7:$C$127,$D7,WRM!$AH$7:$AH$127)</f>
        <v>0</v>
      </c>
      <c r="AJ7" s="4789"/>
      <c r="AK7" s="4787">
        <f t="shared" si="8"/>
        <v>104.55</v>
      </c>
      <c r="AL7" s="4786"/>
      <c r="AM7" s="4786">
        <f>+SUMIF(WRM!$C$7:$C$127,$D7,WRM!$AL$7:$AL$127)</f>
        <v>0</v>
      </c>
      <c r="AN7" s="4927"/>
      <c r="AO7" s="4788">
        <f t="shared" si="9"/>
        <v>0</v>
      </c>
      <c r="AP7" s="4789"/>
      <c r="AQ7" s="4787">
        <f t="shared" si="0"/>
        <v>104.55</v>
      </c>
      <c r="AR7" s="4786"/>
      <c r="AS7" s="4786">
        <f>+SUMIF(WRM!$C$7:$C$127,$D7,WRM!$AR$7:$AR$127)</f>
        <v>0</v>
      </c>
      <c r="AT7" s="4789"/>
      <c r="AU7" s="4787">
        <f t="shared" si="10"/>
        <v>104.55</v>
      </c>
      <c r="AV7" s="4786"/>
      <c r="AW7" s="4786">
        <f>+SUMIF(WRM!$C$7:$C$127,$D7,WRM!$AV$7:$AV$127)</f>
        <v>0</v>
      </c>
      <c r="AX7" s="4789"/>
      <c r="AY7" s="4787">
        <f t="shared" si="11"/>
        <v>104.55</v>
      </c>
      <c r="AZ7" s="4786"/>
      <c r="BA7" s="4786">
        <f>+SUMIF(WRM!$C$7:$C$127,$D7,WRM!$AZ$7:$AZ$127)</f>
        <v>0</v>
      </c>
      <c r="BB7" s="4927"/>
      <c r="BC7" s="4788">
        <f t="shared" si="12"/>
        <v>0</v>
      </c>
      <c r="BD7" s="4791"/>
      <c r="BE7" s="4792">
        <f t="shared" si="13"/>
        <v>0</v>
      </c>
      <c r="BF7" s="4789"/>
      <c r="BG7" s="4787">
        <f t="shared" si="14"/>
        <v>104.55</v>
      </c>
      <c r="BH7" s="25">
        <f t="shared" si="15"/>
        <v>0</v>
      </c>
      <c r="BI7" s="25"/>
    </row>
    <row r="8" spans="1:61" ht="16.5" x14ac:dyDescent="0.25">
      <c r="C8" s="4784" t="s">
        <v>16</v>
      </c>
      <c r="D8" s="4785" t="s">
        <v>1317</v>
      </c>
      <c r="E8" s="8166"/>
      <c r="F8" s="4784"/>
      <c r="G8" s="4786">
        <f>+SUMIF(WRM!$C$7:$C$127,$D8,WRM!$F$7:$F$127)</f>
        <v>0</v>
      </c>
      <c r="H8" s="4786"/>
      <c r="I8" s="4786">
        <f>+SUMIF(WRM!$C$7:$C$127,$D8,WRM!$H$7:$H$127)</f>
        <v>0</v>
      </c>
      <c r="J8" s="4787"/>
      <c r="K8" s="4787">
        <f t="shared" si="1"/>
        <v>0</v>
      </c>
      <c r="L8" s="4786"/>
      <c r="M8" s="4786">
        <f>+SUMIF(WRM!$C$7:$C$127,$D8,WRM!$L$7:$L$127)</f>
        <v>0</v>
      </c>
      <c r="N8" s="4788"/>
      <c r="O8" s="4788">
        <f t="shared" si="2"/>
        <v>0</v>
      </c>
      <c r="P8" s="4786"/>
      <c r="Q8" s="4786">
        <f>+SUMIF(WRM!$C$7:$C$127,$D8,WRM!$P$7:$P$127)</f>
        <v>0</v>
      </c>
      <c r="R8" s="4789"/>
      <c r="S8" s="4787">
        <f t="shared" si="3"/>
        <v>0</v>
      </c>
      <c r="T8" s="4786"/>
      <c r="U8" s="4786">
        <f>+SUMIF(WRM!$C$7:$C$127,$D8,WRM!$T$7:$T$127)</f>
        <v>0</v>
      </c>
      <c r="V8" s="4789"/>
      <c r="W8" s="4787">
        <f t="shared" si="4"/>
        <v>0</v>
      </c>
      <c r="X8" s="4790"/>
      <c r="Y8" s="4804">
        <f>+SUMIF(WRM!$C$7:$C$127,$D8,WRM!$X$7:$X$127)</f>
        <v>0</v>
      </c>
      <c r="Z8" s="4788"/>
      <c r="AA8" s="4788">
        <f t="shared" si="5"/>
        <v>0</v>
      </c>
      <c r="AB8" s="4791"/>
      <c r="AC8" s="4792">
        <f t="shared" si="6"/>
        <v>0</v>
      </c>
      <c r="AD8" s="4786"/>
      <c r="AE8" s="4804">
        <f>+SUMIF(WRM!$C$7:$C$127,$D8,WRM!$AD$7:$AD$127)</f>
        <v>0</v>
      </c>
      <c r="AF8" s="4789"/>
      <c r="AG8" s="4787">
        <f t="shared" si="7"/>
        <v>0</v>
      </c>
      <c r="AH8" s="4786"/>
      <c r="AI8" s="4786">
        <f>+SUMIF(WRM!$C$7:$C$127,$D8,WRM!$AH$7:$AH$127)</f>
        <v>0</v>
      </c>
      <c r="AJ8" s="4789"/>
      <c r="AK8" s="4787">
        <f t="shared" si="8"/>
        <v>0</v>
      </c>
      <c r="AL8" s="4786"/>
      <c r="AM8" s="4786">
        <f>+SUMIF(WRM!$C$7:$C$127,$D8,WRM!$AL$7:$AL$127)</f>
        <v>0</v>
      </c>
      <c r="AN8" s="4927"/>
      <c r="AO8" s="4788">
        <f t="shared" si="9"/>
        <v>0</v>
      </c>
      <c r="AP8" s="4789"/>
      <c r="AQ8" s="4787">
        <f t="shared" si="0"/>
        <v>0</v>
      </c>
      <c r="AR8" s="4786"/>
      <c r="AS8" s="4786">
        <f>+SUMIF(WRM!$C$7:$C$127,$D8,WRM!$AR$7:$AR$127)</f>
        <v>0</v>
      </c>
      <c r="AT8" s="4789"/>
      <c r="AU8" s="4787">
        <f t="shared" si="10"/>
        <v>0</v>
      </c>
      <c r="AV8" s="4786"/>
      <c r="AW8" s="4786">
        <f>+SUMIF(WRM!$C$7:$C$127,$D8,WRM!$AV$7:$AV$127)</f>
        <v>0</v>
      </c>
      <c r="AX8" s="4789"/>
      <c r="AY8" s="4787">
        <f t="shared" si="11"/>
        <v>0</v>
      </c>
      <c r="AZ8" s="4786"/>
      <c r="BA8" s="4786">
        <f>+SUMIF(WRM!$C$7:$C$127,$D8,WRM!$AZ$7:$AZ$127)</f>
        <v>0</v>
      </c>
      <c r="BB8" s="4927"/>
      <c r="BC8" s="4788">
        <f t="shared" si="12"/>
        <v>0</v>
      </c>
      <c r="BD8" s="4791"/>
      <c r="BE8" s="4792">
        <f t="shared" si="13"/>
        <v>0</v>
      </c>
      <c r="BF8" s="4789"/>
      <c r="BG8" s="4787">
        <f t="shared" si="14"/>
        <v>0</v>
      </c>
      <c r="BH8" s="25">
        <f t="shared" si="15"/>
        <v>0</v>
      </c>
      <c r="BI8" s="25"/>
    </row>
    <row r="9" spans="1:61" ht="16.5" x14ac:dyDescent="0.25">
      <c r="C9" s="4784" t="s">
        <v>16</v>
      </c>
      <c r="D9" s="4785" t="s">
        <v>836</v>
      </c>
      <c r="E9" s="8166"/>
      <c r="F9" s="4784"/>
      <c r="G9" s="4786">
        <f>+SUMIF(WRM!$C$7:$C$127,$D9,WRM!$F$7:$F$127)</f>
        <v>8933.9</v>
      </c>
      <c r="H9" s="4786"/>
      <c r="I9" s="4786">
        <f>+SUMIF(WRM!$C$7:$C$127,$D9,WRM!$H$7:$H$127)</f>
        <v>9491.5</v>
      </c>
      <c r="J9" s="4787"/>
      <c r="K9" s="4787">
        <f t="shared" si="1"/>
        <v>18425.400000000001</v>
      </c>
      <c r="L9" s="4786"/>
      <c r="M9" s="4786">
        <f>+SUMIF(WRM!$C$7:$C$127,$D9,WRM!$L$7:$L$127)</f>
        <v>4954.8500000000004</v>
      </c>
      <c r="N9" s="4788"/>
      <c r="O9" s="4788">
        <f t="shared" si="2"/>
        <v>23380.25</v>
      </c>
      <c r="P9" s="4786"/>
      <c r="Q9" s="4786">
        <f>+SUMIF(WRM!$C$7:$C$127,$D9,WRM!$P$7:$P$127)</f>
        <v>7790.0000000000009</v>
      </c>
      <c r="R9" s="4789"/>
      <c r="S9" s="4787">
        <f t="shared" si="3"/>
        <v>31170.25</v>
      </c>
      <c r="T9" s="4786"/>
      <c r="U9" s="4786">
        <f>+SUMIF(WRM!$C$7:$C$127,$D9,WRM!$T$7:$T$127)</f>
        <v>6562.05</v>
      </c>
      <c r="V9" s="4789"/>
      <c r="W9" s="4787">
        <f t="shared" si="4"/>
        <v>37732.300000000003</v>
      </c>
      <c r="X9" s="4790"/>
      <c r="Y9" s="4804">
        <f>+SUMIF(WRM!$C$7:$C$127,$D9,WRM!$X$7:$X$127)</f>
        <v>8247.15</v>
      </c>
      <c r="Z9" s="4788"/>
      <c r="AA9" s="4788">
        <f t="shared" si="5"/>
        <v>22599.200000000001</v>
      </c>
      <c r="AB9" s="4791"/>
      <c r="AC9" s="4792">
        <f t="shared" si="6"/>
        <v>45979.45</v>
      </c>
      <c r="AD9" s="4786"/>
      <c r="AE9" s="4804">
        <f>+SUMIF(WRM!$C$7:$C$127,$D9,WRM!$AD$7:$AD$127)</f>
        <v>5110.6499999999996</v>
      </c>
      <c r="AF9" s="4789"/>
      <c r="AG9" s="4787">
        <f t="shared" si="7"/>
        <v>51090.1</v>
      </c>
      <c r="AH9" s="4786"/>
      <c r="AI9" s="4786">
        <f>+SUMIF(WRM!$C$7:$C$127,$D9,WRM!$AH$7:$AH$127)</f>
        <v>9261.9000000000051</v>
      </c>
      <c r="AJ9" s="4789"/>
      <c r="AK9" s="4787">
        <f t="shared" si="8"/>
        <v>60352</v>
      </c>
      <c r="AL9" s="4786"/>
      <c r="AM9" s="4786">
        <f>+SUMIF(WRM!$C$7:$C$127,$D9,WRM!$AL$7:$AL$127)</f>
        <v>5922.4500000000007</v>
      </c>
      <c r="AN9" s="4927"/>
      <c r="AO9" s="4788">
        <f t="shared" si="9"/>
        <v>20295.000000000007</v>
      </c>
      <c r="AP9" s="4789"/>
      <c r="AQ9" s="4787">
        <f t="shared" si="0"/>
        <v>66274.45</v>
      </c>
      <c r="AR9" s="4786"/>
      <c r="AS9" s="4786">
        <f>+SUMIF(WRM!$C$7:$C$127,$D9,WRM!$AR$7:$AR$127)</f>
        <v>5807.65</v>
      </c>
      <c r="AT9" s="4789"/>
      <c r="AU9" s="4787">
        <f t="shared" si="10"/>
        <v>72082.099999999991</v>
      </c>
      <c r="AV9" s="4786"/>
      <c r="AW9" s="4786">
        <f>+SUMIF(WRM!$C$7:$C$127,$D9,WRM!$AV$7:$AV$127)</f>
        <v>9950.7000000000098</v>
      </c>
      <c r="AX9" s="4789"/>
      <c r="AY9" s="4787">
        <f t="shared" si="11"/>
        <v>82032.800000000003</v>
      </c>
      <c r="AZ9" s="4786"/>
      <c r="BA9" s="4786">
        <f>+SUMIF(WRM!$C$7:$C$127,$D9,WRM!$AZ$7:$AZ$127)</f>
        <v>9653.4499999999989</v>
      </c>
      <c r="BB9" s="4927"/>
      <c r="BC9" s="4788">
        <f t="shared" si="12"/>
        <v>25411.80000000001</v>
      </c>
      <c r="BD9" s="4791"/>
      <c r="BE9" s="4792">
        <f t="shared" si="13"/>
        <v>45706.800000000017</v>
      </c>
      <c r="BF9" s="4789"/>
      <c r="BG9" s="4787">
        <f t="shared" si="14"/>
        <v>91686.25</v>
      </c>
      <c r="BH9" s="25">
        <f t="shared" si="15"/>
        <v>0</v>
      </c>
      <c r="BI9" s="25"/>
    </row>
    <row r="10" spans="1:61" ht="16.5" x14ac:dyDescent="0.25">
      <c r="C10" s="4784" t="s">
        <v>16</v>
      </c>
      <c r="D10" s="4785" t="s">
        <v>1988</v>
      </c>
      <c r="E10" s="8166"/>
      <c r="F10" s="4784"/>
      <c r="G10" s="4786">
        <f>+SUMIF(WRM!$C$7:$C$127,$D10,WRM!$F$7:$F$127)</f>
        <v>0</v>
      </c>
      <c r="H10" s="4786"/>
      <c r="I10" s="4786">
        <f>+SUMIF(WRM!$C$7:$C$127,$D10,WRM!$H$7:$H$127)</f>
        <v>0</v>
      </c>
      <c r="J10" s="4787"/>
      <c r="K10" s="4787">
        <f t="shared" si="1"/>
        <v>0</v>
      </c>
      <c r="L10" s="4786"/>
      <c r="M10" s="4786">
        <f>+SUMIF(WRM!$C$7:$C$127,$D10,WRM!$L$7:$L$127)</f>
        <v>3761.75</v>
      </c>
      <c r="N10" s="4788"/>
      <c r="O10" s="4788">
        <f t="shared" si="2"/>
        <v>3761.75</v>
      </c>
      <c r="P10" s="4786"/>
      <c r="Q10" s="4786">
        <f>+SUMIF(WRM!$C$7:$C$127,$D10,WRM!$P$7:$P$127)</f>
        <v>9542.7500000000018</v>
      </c>
      <c r="R10" s="4789"/>
      <c r="S10" s="4787">
        <f t="shared" si="3"/>
        <v>13304.500000000002</v>
      </c>
      <c r="T10" s="4786"/>
      <c r="U10" s="4786">
        <f>+SUMIF(WRM!$C$7:$C$127,$D10,WRM!$T$7:$T$127)</f>
        <v>0</v>
      </c>
      <c r="V10" s="4789"/>
      <c r="W10" s="4787">
        <f t="shared" si="4"/>
        <v>13304.500000000002</v>
      </c>
      <c r="X10" s="4790"/>
      <c r="Y10" s="4804">
        <f>+SUMIF(WRM!$C$7:$C$127,$D10,WRM!$X$7:$X$127)</f>
        <v>0</v>
      </c>
      <c r="Z10" s="4788"/>
      <c r="AA10" s="4788">
        <f t="shared" si="5"/>
        <v>9542.7500000000018</v>
      </c>
      <c r="AB10" s="4791"/>
      <c r="AC10" s="4792">
        <f t="shared" si="6"/>
        <v>13304.500000000002</v>
      </c>
      <c r="AD10" s="4786"/>
      <c r="AE10" s="4804">
        <f>+SUMIF(WRM!$C$7:$C$127,$D10,WRM!$AD$7:$AD$127)</f>
        <v>0</v>
      </c>
      <c r="AF10" s="4789"/>
      <c r="AG10" s="4787">
        <f t="shared" si="7"/>
        <v>13304.500000000002</v>
      </c>
      <c r="AH10" s="4786"/>
      <c r="AI10" s="4786">
        <f>+SUMIF(WRM!$C$7:$C$127,$D10,WRM!$AH$7:$AH$127)</f>
        <v>0</v>
      </c>
      <c r="AJ10" s="4789"/>
      <c r="AK10" s="4787">
        <f t="shared" si="8"/>
        <v>13304.500000000002</v>
      </c>
      <c r="AL10" s="4786"/>
      <c r="AM10" s="4786">
        <f>+SUMIF(WRM!$C$7:$C$127,$D10,WRM!$AL$7:$AL$127)</f>
        <v>0</v>
      </c>
      <c r="AN10" s="4927"/>
      <c r="AO10" s="4788">
        <f t="shared" si="9"/>
        <v>0</v>
      </c>
      <c r="AP10" s="4789"/>
      <c r="AQ10" s="4787">
        <f t="shared" si="0"/>
        <v>13304.500000000002</v>
      </c>
      <c r="AR10" s="4786"/>
      <c r="AS10" s="4786">
        <f>+SUMIF(WRM!$C$7:$C$127,$D10,WRM!$AR$7:$AR$127)</f>
        <v>0</v>
      </c>
      <c r="AT10" s="4789"/>
      <c r="AU10" s="4787">
        <f t="shared" si="10"/>
        <v>13304.500000000002</v>
      </c>
      <c r="AV10" s="4786"/>
      <c r="AW10" s="4786">
        <f>+SUMIF(WRM!$C$7:$C$127,$D10,WRM!$AV$7:$AV$127)</f>
        <v>0</v>
      </c>
      <c r="AX10" s="4789"/>
      <c r="AY10" s="4787">
        <f t="shared" si="11"/>
        <v>13304.500000000002</v>
      </c>
      <c r="AZ10" s="4786"/>
      <c r="BA10" s="4786">
        <f>+SUMIF(WRM!$C$7:$C$127,$D10,WRM!$AZ$7:$AZ$127)</f>
        <v>0</v>
      </c>
      <c r="BB10" s="4927"/>
      <c r="BC10" s="4788">
        <f t="shared" si="12"/>
        <v>0</v>
      </c>
      <c r="BD10" s="4791"/>
      <c r="BE10" s="4792">
        <f t="shared" si="13"/>
        <v>0</v>
      </c>
      <c r="BF10" s="4789"/>
      <c r="BG10" s="4787">
        <f t="shared" si="14"/>
        <v>13304.500000000002</v>
      </c>
      <c r="BH10" s="25">
        <f t="shared" si="15"/>
        <v>0</v>
      </c>
      <c r="BI10" s="25"/>
    </row>
    <row r="11" spans="1:61" ht="16.5" x14ac:dyDescent="0.25">
      <c r="C11" s="4784" t="s">
        <v>16</v>
      </c>
      <c r="D11" s="4785" t="s">
        <v>1221</v>
      </c>
      <c r="E11" s="8166"/>
      <c r="F11" s="4784"/>
      <c r="G11" s="4786">
        <f>+SUMIF(WRM!$C$7:$C$127,$D11,WRM!$F$7:$F$127)</f>
        <v>0</v>
      </c>
      <c r="H11" s="4786"/>
      <c r="I11" s="4786">
        <f>+SUMIF(WRM!$C$7:$C$127,$D11,WRM!$H$7:$H$127)</f>
        <v>0</v>
      </c>
      <c r="J11" s="4787"/>
      <c r="K11" s="4787">
        <f t="shared" si="1"/>
        <v>0</v>
      </c>
      <c r="L11" s="4786"/>
      <c r="M11" s="4786">
        <f>+SUMIF(WRM!$C$7:$C$127,$D11,WRM!$L$7:$L$127)</f>
        <v>5600</v>
      </c>
      <c r="N11" s="4788"/>
      <c r="O11" s="4788">
        <f t="shared" si="2"/>
        <v>5600</v>
      </c>
      <c r="P11" s="4786"/>
      <c r="Q11" s="4786">
        <f>+SUMIF(WRM!$C$7:$C$127,$D11,WRM!$P$7:$P$127)</f>
        <v>1705.6</v>
      </c>
      <c r="R11" s="4789"/>
      <c r="S11" s="4787">
        <f t="shared" si="3"/>
        <v>7305.6</v>
      </c>
      <c r="T11" s="4786"/>
      <c r="U11" s="4786">
        <f>+SUMIF(WRM!$C$7:$C$127,$D11,WRM!$T$7:$T$127)</f>
        <v>0</v>
      </c>
      <c r="V11" s="4789"/>
      <c r="W11" s="4787">
        <f t="shared" si="4"/>
        <v>7305.6</v>
      </c>
      <c r="X11" s="4790"/>
      <c r="Y11" s="4804">
        <f>+SUMIF(WRM!$C$7:$C$127,$D11,WRM!$X$7:$X$127)</f>
        <v>0</v>
      </c>
      <c r="Z11" s="4788"/>
      <c r="AA11" s="4788">
        <f t="shared" si="5"/>
        <v>1705.6</v>
      </c>
      <c r="AB11" s="4791"/>
      <c r="AC11" s="4792">
        <f t="shared" si="6"/>
        <v>7305.6</v>
      </c>
      <c r="AD11" s="4786"/>
      <c r="AE11" s="4804">
        <f>+SUMIF(WRM!$C$7:$C$127,$D11,WRM!$AD$7:$AD$127)</f>
        <v>0</v>
      </c>
      <c r="AF11" s="4789"/>
      <c r="AG11" s="4787">
        <f t="shared" si="7"/>
        <v>7305.6</v>
      </c>
      <c r="AH11" s="4786"/>
      <c r="AI11" s="4786">
        <f>+SUMIF(WRM!$C$7:$C$127,$D11,WRM!$AH$7:$AH$127)</f>
        <v>0</v>
      </c>
      <c r="AJ11" s="4789"/>
      <c r="AK11" s="4787">
        <f t="shared" si="8"/>
        <v>7305.6</v>
      </c>
      <c r="AL11" s="4786"/>
      <c r="AM11" s="4786">
        <f>+SUMIF(WRM!$C$7:$C$127,$D11,WRM!$AL$7:$AL$127)</f>
        <v>0</v>
      </c>
      <c r="AN11" s="4927"/>
      <c r="AO11" s="4788">
        <f t="shared" si="9"/>
        <v>0</v>
      </c>
      <c r="AP11" s="4789"/>
      <c r="AQ11" s="4787">
        <f t="shared" si="0"/>
        <v>7305.6</v>
      </c>
      <c r="AR11" s="4786"/>
      <c r="AS11" s="4786">
        <f>+SUMIF(WRM!$C$7:$C$127,$D11,WRM!$AR$7:$AR$127)</f>
        <v>0</v>
      </c>
      <c r="AT11" s="4789"/>
      <c r="AU11" s="4787">
        <f t="shared" si="10"/>
        <v>7305.6</v>
      </c>
      <c r="AV11" s="4786"/>
      <c r="AW11" s="4786">
        <f>+SUMIF(WRM!$C$7:$C$127,$D11,WRM!$AV$7:$AV$127)</f>
        <v>0</v>
      </c>
      <c r="AX11" s="4789"/>
      <c r="AY11" s="4787">
        <f t="shared" si="11"/>
        <v>7305.6</v>
      </c>
      <c r="AZ11" s="4786"/>
      <c r="BA11" s="4786">
        <f>+SUMIF(WRM!$C$7:$C$127,$D11,WRM!$AZ$7:$AZ$127)</f>
        <v>0</v>
      </c>
      <c r="BB11" s="4927"/>
      <c r="BC11" s="4788">
        <f t="shared" si="12"/>
        <v>0</v>
      </c>
      <c r="BD11" s="4791"/>
      <c r="BE11" s="4792">
        <f t="shared" si="13"/>
        <v>0</v>
      </c>
      <c r="BF11" s="4789"/>
      <c r="BG11" s="4787">
        <f t="shared" si="14"/>
        <v>7305.6</v>
      </c>
      <c r="BH11" s="25">
        <f t="shared" si="15"/>
        <v>0</v>
      </c>
      <c r="BI11" s="25"/>
    </row>
    <row r="12" spans="1:61" ht="16.5" x14ac:dyDescent="0.25">
      <c r="C12" s="4784" t="s">
        <v>16</v>
      </c>
      <c r="D12" s="4785" t="s">
        <v>929</v>
      </c>
      <c r="E12" s="8166"/>
      <c r="F12" s="4784"/>
      <c r="G12" s="4786">
        <f>+SUMIF(WRM!$C$7:$C$127,$D12,WRM!$F$7:$F$127)</f>
        <v>207.05</v>
      </c>
      <c r="H12" s="4786"/>
      <c r="I12" s="4786">
        <f>+SUMIF(WRM!$C$7:$C$127,$D12,WRM!$H$7:$H$127)</f>
        <v>223.45000000000002</v>
      </c>
      <c r="J12" s="4787"/>
      <c r="K12" s="4787">
        <f t="shared" si="1"/>
        <v>430.5</v>
      </c>
      <c r="L12" s="4786"/>
      <c r="M12" s="4786">
        <f>+SUMIF(WRM!$C$7:$C$127,$D12,WRM!$L$7:$L$127)</f>
        <v>699.05000000000007</v>
      </c>
      <c r="N12" s="4788"/>
      <c r="O12" s="4788">
        <f t="shared" si="2"/>
        <v>1129.5500000000002</v>
      </c>
      <c r="P12" s="4786"/>
      <c r="Q12" s="4786">
        <f>+SUMIF(WRM!$C$7:$C$127,$D12,WRM!$P$7:$P$127)</f>
        <v>455.09999999999997</v>
      </c>
      <c r="R12" s="4789"/>
      <c r="S12" s="4787">
        <f t="shared" si="3"/>
        <v>1584.65</v>
      </c>
      <c r="T12" s="4786"/>
      <c r="U12" s="4786">
        <f>+SUMIF(WRM!$C$7:$C$127,$D12,WRM!$T$7:$T$127)</f>
        <v>1242.3</v>
      </c>
      <c r="V12" s="4789"/>
      <c r="W12" s="4787">
        <f t="shared" si="4"/>
        <v>2826.95</v>
      </c>
      <c r="X12" s="4790"/>
      <c r="Y12" s="4804">
        <f>+SUMIF(WRM!$C$7:$C$127,$D12,WRM!$X$7:$X$127)</f>
        <v>742.1</v>
      </c>
      <c r="Z12" s="4788"/>
      <c r="AA12" s="4788">
        <f t="shared" si="5"/>
        <v>2439.5</v>
      </c>
      <c r="AB12" s="4791"/>
      <c r="AC12" s="4792">
        <f t="shared" si="6"/>
        <v>3569.05</v>
      </c>
      <c r="AD12" s="4786"/>
      <c r="AE12" s="4804">
        <f>+SUMIF(WRM!$C$7:$C$127,$D12,WRM!$AD$7:$AD$127)</f>
        <v>0</v>
      </c>
      <c r="AF12" s="4789"/>
      <c r="AG12" s="4787">
        <f t="shared" si="7"/>
        <v>3569.05</v>
      </c>
      <c r="AH12" s="4786"/>
      <c r="AI12" s="4786">
        <f>+SUMIF(WRM!$C$7:$C$127,$D12,WRM!$AH$7:$AH$127)</f>
        <v>1869.6</v>
      </c>
      <c r="AJ12" s="4789"/>
      <c r="AK12" s="4787">
        <f t="shared" si="8"/>
        <v>5438.65</v>
      </c>
      <c r="AL12" s="4786"/>
      <c r="AM12" s="4786">
        <f>+SUMIF(WRM!$C$7:$C$127,$D12,WRM!$AL$7:$AL$127)</f>
        <v>399.75</v>
      </c>
      <c r="AN12" s="4927"/>
      <c r="AO12" s="4788">
        <f t="shared" si="9"/>
        <v>2269.35</v>
      </c>
      <c r="AP12" s="4789"/>
      <c r="AQ12" s="4787">
        <f t="shared" si="0"/>
        <v>5838.4</v>
      </c>
      <c r="AR12" s="4786"/>
      <c r="AS12" s="4786">
        <f>+SUMIF(WRM!$C$7:$C$127,$D12,WRM!$AR$7:$AR$127)</f>
        <v>655.99999999999989</v>
      </c>
      <c r="AT12" s="4789"/>
      <c r="AU12" s="4787">
        <f t="shared" si="10"/>
        <v>6494.4</v>
      </c>
      <c r="AV12" s="4786"/>
      <c r="AW12" s="4786">
        <f>+SUMIF(WRM!$C$7:$C$127,$D12,WRM!$AV$7:$AV$127)</f>
        <v>979.90000000000009</v>
      </c>
      <c r="AX12" s="4789"/>
      <c r="AY12" s="4787">
        <f t="shared" si="11"/>
        <v>7474.2999999999993</v>
      </c>
      <c r="AZ12" s="4786"/>
      <c r="BA12" s="4786">
        <f>+SUMIF(WRM!$C$7:$C$127,$D12,WRM!$AZ$7:$AZ$127)</f>
        <v>186.55</v>
      </c>
      <c r="BB12" s="4927"/>
      <c r="BC12" s="4788">
        <f t="shared" si="12"/>
        <v>1822.45</v>
      </c>
      <c r="BD12" s="4791"/>
      <c r="BE12" s="4792">
        <f t="shared" si="13"/>
        <v>4091.8</v>
      </c>
      <c r="BF12" s="4789"/>
      <c r="BG12" s="4787">
        <f t="shared" si="14"/>
        <v>7660.8499999999995</v>
      </c>
      <c r="BH12" s="25">
        <f t="shared" si="15"/>
        <v>0</v>
      </c>
      <c r="BI12" s="25"/>
    </row>
    <row r="13" spans="1:61" ht="16.5" x14ac:dyDescent="0.25">
      <c r="A13" s="2444"/>
      <c r="B13" s="2444"/>
      <c r="C13" s="4784" t="s">
        <v>16</v>
      </c>
      <c r="D13" s="4785" t="s">
        <v>1544</v>
      </c>
      <c r="E13" s="8166"/>
      <c r="F13" s="4784"/>
      <c r="G13" s="4786">
        <f>+SUMIF(WRM!$C$7:$C$127,$D13,WRM!$F$7:$F$127)</f>
        <v>0</v>
      </c>
      <c r="H13" s="4786"/>
      <c r="I13" s="4786">
        <f>+SUMIF(WRM!$C$7:$C$127,$D13,WRM!$H$7:$H$127)</f>
        <v>0</v>
      </c>
      <c r="J13" s="4787"/>
      <c r="K13" s="4787">
        <f t="shared" si="1"/>
        <v>0</v>
      </c>
      <c r="L13" s="4786"/>
      <c r="M13" s="4786">
        <f>+SUMIF(WRM!$C$7:$C$127,$D13,WRM!$L$7:$L$127)</f>
        <v>0</v>
      </c>
      <c r="N13" s="4788"/>
      <c r="O13" s="4788">
        <f t="shared" si="2"/>
        <v>0</v>
      </c>
      <c r="P13" s="4786"/>
      <c r="Q13" s="4786">
        <f>+SUMIF(WRM!$C$7:$C$127,$D13,WRM!$P$7:$P$127)</f>
        <v>0</v>
      </c>
      <c r="R13" s="4789"/>
      <c r="S13" s="4787">
        <f t="shared" si="3"/>
        <v>0</v>
      </c>
      <c r="T13" s="4786"/>
      <c r="U13" s="4786">
        <f>+SUMIF(WRM!$C$7:$C$127,$D13,WRM!$T$7:$T$127)</f>
        <v>0</v>
      </c>
      <c r="V13" s="4789"/>
      <c r="W13" s="4787">
        <f t="shared" si="4"/>
        <v>0</v>
      </c>
      <c r="X13" s="4790"/>
      <c r="Y13" s="4804">
        <f>+SUMIF(WRM!$C$7:$C$127,$D13,WRM!$X$7:$X$127)</f>
        <v>0</v>
      </c>
      <c r="Z13" s="4788"/>
      <c r="AA13" s="4788">
        <f t="shared" si="5"/>
        <v>0</v>
      </c>
      <c r="AB13" s="4791"/>
      <c r="AC13" s="4792">
        <f t="shared" si="6"/>
        <v>0</v>
      </c>
      <c r="AD13" s="4786"/>
      <c r="AE13" s="4804">
        <f>+SUMIF(WRM!$C$7:$C$127,$D13,WRM!$AD$7:$AD$127)</f>
        <v>0</v>
      </c>
      <c r="AF13" s="4789"/>
      <c r="AG13" s="4787">
        <f t="shared" si="7"/>
        <v>0</v>
      </c>
      <c r="AH13" s="4786"/>
      <c r="AI13" s="4786">
        <f>+SUMIF(WRM!$C$7:$C$127,$D13,WRM!$AH$7:$AH$127)</f>
        <v>0</v>
      </c>
      <c r="AJ13" s="4789"/>
      <c r="AK13" s="4787">
        <f t="shared" si="8"/>
        <v>0</v>
      </c>
      <c r="AL13" s="4786"/>
      <c r="AM13" s="4786">
        <f>+SUMIF(WRM!$C$7:$C$127,$D13,WRM!$AL$7:$AL$127)</f>
        <v>0</v>
      </c>
      <c r="AN13" s="4927"/>
      <c r="AO13" s="4788">
        <f t="shared" si="9"/>
        <v>0</v>
      </c>
      <c r="AP13" s="4789"/>
      <c r="AQ13" s="4787">
        <f t="shared" si="0"/>
        <v>0</v>
      </c>
      <c r="AR13" s="4786"/>
      <c r="AS13" s="4786">
        <f>+SUMIF(WRM!$C$7:$C$127,$D13,WRM!$AR$7:$AR$127)</f>
        <v>0</v>
      </c>
      <c r="AT13" s="4789"/>
      <c r="AU13" s="4787">
        <f t="shared" si="10"/>
        <v>0</v>
      </c>
      <c r="AV13" s="4786"/>
      <c r="AW13" s="4786">
        <f>+SUMIF(WRM!$C$7:$C$127,$D13,WRM!$AV$7:$AV$127)</f>
        <v>0</v>
      </c>
      <c r="AX13" s="4789"/>
      <c r="AY13" s="4787">
        <f t="shared" si="11"/>
        <v>0</v>
      </c>
      <c r="AZ13" s="4786"/>
      <c r="BA13" s="4786">
        <f>+SUMIF(WRM!$C$7:$C$127,$D13,WRM!$AZ$7:$AZ$127)</f>
        <v>0</v>
      </c>
      <c r="BB13" s="4927"/>
      <c r="BC13" s="4788">
        <f t="shared" si="12"/>
        <v>0</v>
      </c>
      <c r="BD13" s="4791"/>
      <c r="BE13" s="4792">
        <f t="shared" si="13"/>
        <v>0</v>
      </c>
      <c r="BF13" s="4789"/>
      <c r="BG13" s="4787">
        <f t="shared" si="14"/>
        <v>0</v>
      </c>
      <c r="BH13" s="25">
        <f t="shared" si="15"/>
        <v>0</v>
      </c>
      <c r="BI13" s="25"/>
    </row>
    <row r="14" spans="1:61" ht="16.5" x14ac:dyDescent="0.25">
      <c r="A14" s="3048"/>
      <c r="B14" s="3048"/>
      <c r="C14" s="4793" t="s">
        <v>16</v>
      </c>
      <c r="D14" s="4794" t="s">
        <v>932</v>
      </c>
      <c r="E14" s="8166"/>
      <c r="F14" s="4793"/>
      <c r="G14" s="4786">
        <f>+SUMIF(WRM!$C$7:$C$127,$D14,WRM!$F$7:$F$127)</f>
        <v>0</v>
      </c>
      <c r="H14" s="4795"/>
      <c r="I14" s="4786">
        <f>+SUMIF(WRM!$C$7:$C$127,$D14,WRM!$H$7:$H$127)</f>
        <v>565.79999999999995</v>
      </c>
      <c r="J14" s="4797"/>
      <c r="K14" s="4787">
        <f t="shared" si="1"/>
        <v>565.79999999999995</v>
      </c>
      <c r="L14" s="4795"/>
      <c r="M14" s="4786">
        <f>+SUMIF(WRM!$C$7:$C$127,$D14,WRM!$L$7:$L$127)</f>
        <v>502.24999999999994</v>
      </c>
      <c r="N14" s="4796"/>
      <c r="O14" s="4788">
        <f t="shared" si="2"/>
        <v>1068.05</v>
      </c>
      <c r="P14" s="4795"/>
      <c r="Q14" s="4786">
        <f>+SUMIF(WRM!$C$7:$C$127,$D14,WRM!$P$7:$P$127)</f>
        <v>338.25</v>
      </c>
      <c r="R14" s="4789"/>
      <c r="S14" s="4787">
        <f t="shared" si="3"/>
        <v>1406.3</v>
      </c>
      <c r="T14" s="4795"/>
      <c r="U14" s="4786">
        <f>+SUMIF(WRM!$C$7:$C$127,$D14,WRM!$T$7:$T$127)</f>
        <v>338.25</v>
      </c>
      <c r="V14" s="4789"/>
      <c r="W14" s="4787">
        <f t="shared" si="4"/>
        <v>1744.55</v>
      </c>
      <c r="X14" s="4790"/>
      <c r="Y14" s="4804">
        <f>+SUMIF(WRM!$C$7:$C$127,$D14,WRM!$X$7:$X$127)</f>
        <v>319.8</v>
      </c>
      <c r="Z14" s="4796"/>
      <c r="AA14" s="4788">
        <f t="shared" si="5"/>
        <v>996.3</v>
      </c>
      <c r="AB14" s="4791"/>
      <c r="AC14" s="4792">
        <f t="shared" si="6"/>
        <v>2064.35</v>
      </c>
      <c r="AD14" s="4795"/>
      <c r="AE14" s="4804">
        <f>+SUMIF(WRM!$C$7:$C$127,$D14,WRM!$AD$7:$AD$127)</f>
        <v>0</v>
      </c>
      <c r="AF14" s="4789"/>
      <c r="AG14" s="4787">
        <f t="shared" si="7"/>
        <v>2064.35</v>
      </c>
      <c r="AH14" s="4795"/>
      <c r="AI14" s="4786">
        <f>+SUMIF(WRM!$C$7:$C$127,$D14,WRM!$AH$7:$AH$127)</f>
        <v>0</v>
      </c>
      <c r="AJ14" s="4789"/>
      <c r="AK14" s="4787">
        <f t="shared" si="8"/>
        <v>2064.35</v>
      </c>
      <c r="AL14" s="4795"/>
      <c r="AM14" s="4786">
        <f>+SUMIF(WRM!$C$7:$C$127,$D14,WRM!$AL$7:$AL$127)</f>
        <v>709.30000000000007</v>
      </c>
      <c r="AN14" s="4927"/>
      <c r="AO14" s="4788">
        <f t="shared" si="9"/>
        <v>709.30000000000007</v>
      </c>
      <c r="AP14" s="4789"/>
      <c r="AQ14" s="4787">
        <f t="shared" si="0"/>
        <v>2773.65</v>
      </c>
      <c r="AR14" s="4795"/>
      <c r="AS14" s="4786">
        <f>+SUMIF(WRM!$C$7:$C$127,$D14,WRM!$AR$7:$AR$127)</f>
        <v>699.05</v>
      </c>
      <c r="AT14" s="4789"/>
      <c r="AU14" s="4787">
        <f t="shared" si="10"/>
        <v>3472.7</v>
      </c>
      <c r="AV14" s="4795"/>
      <c r="AW14" s="4786">
        <f>+SUMIF(WRM!$C$7:$C$127,$D14,WRM!$AV$7:$AV$127)</f>
        <v>0</v>
      </c>
      <c r="AX14" s="4789"/>
      <c r="AY14" s="4787">
        <f t="shared" si="11"/>
        <v>3472.7</v>
      </c>
      <c r="AZ14" s="4795"/>
      <c r="BA14" s="4786">
        <f>+SUMIF(WRM!$C$7:$C$127,$D14,WRM!$AZ$7:$AZ$127)</f>
        <v>120.95</v>
      </c>
      <c r="BB14" s="4927"/>
      <c r="BC14" s="4788">
        <f t="shared" si="12"/>
        <v>820</v>
      </c>
      <c r="BD14" s="4791"/>
      <c r="BE14" s="4792">
        <f t="shared" si="13"/>
        <v>1529.3000000000002</v>
      </c>
      <c r="BF14" s="4789"/>
      <c r="BG14" s="4787">
        <f t="shared" si="14"/>
        <v>3593.6499999999996</v>
      </c>
      <c r="BH14" s="25">
        <f t="shared" si="15"/>
        <v>0</v>
      </c>
      <c r="BI14" s="25"/>
    </row>
    <row r="15" spans="1:61" ht="16.5" x14ac:dyDescent="0.25">
      <c r="C15" s="4784" t="s">
        <v>16</v>
      </c>
      <c r="D15" s="4785" t="s">
        <v>931</v>
      </c>
      <c r="E15" s="8166"/>
      <c r="F15" s="4784"/>
      <c r="G15" s="4786">
        <f>+SUMIF(WRM!$C$7:$C$127,$D15,WRM!$F$7:$F$127)</f>
        <v>1576.4499999999998</v>
      </c>
      <c r="H15" s="4786"/>
      <c r="I15" s="4786">
        <f>+SUMIF(WRM!$C$7:$C$127,$D15,WRM!$H$7:$H$127)</f>
        <v>906.1</v>
      </c>
      <c r="J15" s="4787"/>
      <c r="K15" s="4787">
        <f t="shared" si="1"/>
        <v>2482.5499999999997</v>
      </c>
      <c r="L15" s="4786"/>
      <c r="M15" s="4786">
        <f>+SUMIF(WRM!$C$7:$C$127,$D15,WRM!$L$7:$L$127)</f>
        <v>1012.7</v>
      </c>
      <c r="N15" s="4788"/>
      <c r="O15" s="4788">
        <f t="shared" si="2"/>
        <v>3495.25</v>
      </c>
      <c r="P15" s="4786"/>
      <c r="Q15" s="4786">
        <f>+SUMIF(WRM!$C$7:$C$127,$D15,WRM!$P$7:$P$127)</f>
        <v>1246.3999999999999</v>
      </c>
      <c r="R15" s="4789"/>
      <c r="S15" s="4787">
        <f t="shared" si="3"/>
        <v>4741.6499999999996</v>
      </c>
      <c r="T15" s="4786"/>
      <c r="U15" s="4786">
        <f>+SUMIF(WRM!$C$7:$C$127,$D15,WRM!$T$7:$T$127)</f>
        <v>1609.25</v>
      </c>
      <c r="V15" s="4789"/>
      <c r="W15" s="4787">
        <f t="shared" si="4"/>
        <v>6350.9</v>
      </c>
      <c r="X15" s="4790"/>
      <c r="Y15" s="4804">
        <f>+SUMIF(WRM!$C$7:$C$127,$D15,WRM!$X$7:$X$127)</f>
        <v>1783.5</v>
      </c>
      <c r="Z15" s="4788"/>
      <c r="AA15" s="4788">
        <f t="shared" si="5"/>
        <v>4639.1499999999996</v>
      </c>
      <c r="AB15" s="4791"/>
      <c r="AC15" s="4792">
        <f t="shared" si="6"/>
        <v>8134.4</v>
      </c>
      <c r="AD15" s="4786"/>
      <c r="AE15" s="4804">
        <f>+SUMIF(WRM!$C$7:$C$127,$D15,WRM!$AD$7:$AD$127)</f>
        <v>813.85</v>
      </c>
      <c r="AF15" s="4789"/>
      <c r="AG15" s="4787">
        <f t="shared" si="7"/>
        <v>8948.25</v>
      </c>
      <c r="AH15" s="4786"/>
      <c r="AI15" s="4786">
        <f>+SUMIF(WRM!$C$7:$C$127,$D15,WRM!$AH$7:$AH$127)</f>
        <v>1603.1000000000001</v>
      </c>
      <c r="AJ15" s="4789"/>
      <c r="AK15" s="4787">
        <f t="shared" si="8"/>
        <v>10551.35</v>
      </c>
      <c r="AL15" s="4786"/>
      <c r="AM15" s="4786">
        <f>+SUMIF(WRM!$C$7:$C$127,$D15,WRM!$AL$7:$AL$127)</f>
        <v>1227.9500000000003</v>
      </c>
      <c r="AN15" s="4927"/>
      <c r="AO15" s="4788">
        <f t="shared" si="9"/>
        <v>3644.9000000000005</v>
      </c>
      <c r="AP15" s="4789"/>
      <c r="AQ15" s="4787">
        <f t="shared" si="0"/>
        <v>11779.300000000001</v>
      </c>
      <c r="AR15" s="4786"/>
      <c r="AS15" s="4786">
        <f>+SUMIF(WRM!$C$7:$C$127,$D15,WRM!$AR$7:$AR$127)</f>
        <v>2457.9500000000003</v>
      </c>
      <c r="AT15" s="4789"/>
      <c r="AU15" s="4787">
        <f t="shared" si="10"/>
        <v>14237.250000000002</v>
      </c>
      <c r="AV15" s="4786"/>
      <c r="AW15" s="4786">
        <f>+SUMIF(WRM!$C$7:$C$127,$D15,WRM!$AV$7:$AV$127)</f>
        <v>1457.5500000000004</v>
      </c>
      <c r="AX15" s="4789"/>
      <c r="AY15" s="4787">
        <f t="shared" si="11"/>
        <v>15694.800000000003</v>
      </c>
      <c r="AZ15" s="4786"/>
      <c r="BA15" s="4786">
        <f>+SUMIF(WRM!$C$7:$C$127,$D15,WRM!$AZ$7:$AZ$127)</f>
        <v>1371.4499999999998</v>
      </c>
      <c r="BB15" s="4927"/>
      <c r="BC15" s="4788">
        <f t="shared" si="12"/>
        <v>5286.9500000000007</v>
      </c>
      <c r="BD15" s="4791"/>
      <c r="BE15" s="4792">
        <f t="shared" si="13"/>
        <v>8931.8500000000022</v>
      </c>
      <c r="BF15" s="4789"/>
      <c r="BG15" s="4787">
        <f t="shared" si="14"/>
        <v>17066.250000000004</v>
      </c>
      <c r="BH15" s="25">
        <f t="shared" si="15"/>
        <v>0</v>
      </c>
      <c r="BI15" s="25"/>
    </row>
    <row r="16" spans="1:61" ht="16.5" x14ac:dyDescent="0.25">
      <c r="C16" s="4784" t="s">
        <v>16</v>
      </c>
      <c r="D16" s="4785" t="s">
        <v>1090</v>
      </c>
      <c r="E16" s="8166"/>
      <c r="F16" s="4784"/>
      <c r="G16" s="4786">
        <f>+SUMIF(WRM!$C$7:$C$127,$D16,WRM!$F$7:$F$127)</f>
        <v>123</v>
      </c>
      <c r="H16" s="4786"/>
      <c r="I16" s="4786">
        <f>+SUMIF(WRM!$C$7:$C$127,$D16,WRM!$H$7:$H$127)</f>
        <v>243.95000000000002</v>
      </c>
      <c r="J16" s="4787"/>
      <c r="K16" s="4787">
        <f t="shared" si="1"/>
        <v>366.95000000000005</v>
      </c>
      <c r="L16" s="4786"/>
      <c r="M16" s="4786">
        <f>+SUMIF(WRM!$C$7:$C$127,$D16,WRM!$L$7:$L$127)</f>
        <v>0</v>
      </c>
      <c r="N16" s="4788"/>
      <c r="O16" s="4788">
        <f t="shared" si="2"/>
        <v>366.95000000000005</v>
      </c>
      <c r="P16" s="4786"/>
      <c r="Q16" s="4786">
        <f>+SUMIF(WRM!$C$7:$C$127,$D16,WRM!$P$7:$P$127)</f>
        <v>202.95</v>
      </c>
      <c r="R16" s="4789"/>
      <c r="S16" s="4787">
        <f t="shared" si="3"/>
        <v>569.90000000000009</v>
      </c>
      <c r="T16" s="4786"/>
      <c r="U16" s="4786">
        <f>+SUMIF(WRM!$C$7:$C$127,$D16,WRM!$T$7:$T$127)</f>
        <v>399.74999999999994</v>
      </c>
      <c r="V16" s="4789"/>
      <c r="W16" s="4787">
        <f t="shared" si="4"/>
        <v>969.65000000000009</v>
      </c>
      <c r="X16" s="4790"/>
      <c r="Y16" s="4804">
        <f>+SUMIF(WRM!$C$7:$C$127,$D16,WRM!$X$7:$X$127)</f>
        <v>0</v>
      </c>
      <c r="Z16" s="4788"/>
      <c r="AA16" s="4788">
        <f t="shared" si="5"/>
        <v>602.69999999999993</v>
      </c>
      <c r="AB16" s="4791"/>
      <c r="AC16" s="4792">
        <f t="shared" si="6"/>
        <v>969.65</v>
      </c>
      <c r="AD16" s="4786"/>
      <c r="AE16" s="4804">
        <f>+SUMIF(WRM!$C$7:$C$127,$D16,WRM!$AD$7:$AD$127)</f>
        <v>0</v>
      </c>
      <c r="AF16" s="4789"/>
      <c r="AG16" s="4787">
        <f t="shared" si="7"/>
        <v>969.65</v>
      </c>
      <c r="AH16" s="4786"/>
      <c r="AI16" s="4786">
        <f>+SUMIF(WRM!$C$7:$C$127,$D16,WRM!$AH$7:$AH$127)</f>
        <v>0</v>
      </c>
      <c r="AJ16" s="4789"/>
      <c r="AK16" s="4787">
        <f t="shared" si="8"/>
        <v>969.65</v>
      </c>
      <c r="AL16" s="4786"/>
      <c r="AM16" s="4786">
        <f>+SUMIF(WRM!$C$7:$C$127,$D16,WRM!$AL$7:$AL$127)</f>
        <v>340.3</v>
      </c>
      <c r="AN16" s="4927"/>
      <c r="AO16" s="4788">
        <f t="shared" si="9"/>
        <v>340.3</v>
      </c>
      <c r="AP16" s="4789"/>
      <c r="AQ16" s="4787">
        <f t="shared" si="0"/>
        <v>1309.95</v>
      </c>
      <c r="AR16" s="4786"/>
      <c r="AS16" s="4786">
        <f>+SUMIF(WRM!$C$7:$C$127,$D16,WRM!$AR$7:$AR$127)</f>
        <v>594.5</v>
      </c>
      <c r="AT16" s="4789"/>
      <c r="AU16" s="4787">
        <f t="shared" si="10"/>
        <v>1904.45</v>
      </c>
      <c r="AV16" s="4786"/>
      <c r="AW16" s="4786">
        <f>+SUMIF(WRM!$C$7:$C$127,$D16,WRM!$AV$7:$AV$127)</f>
        <v>291.10000000000002</v>
      </c>
      <c r="AX16" s="4789"/>
      <c r="AY16" s="4787">
        <f t="shared" si="11"/>
        <v>2195.5500000000002</v>
      </c>
      <c r="AZ16" s="4786"/>
      <c r="BA16" s="4786">
        <f>+SUMIF(WRM!$C$7:$C$127,$D16,WRM!$AZ$7:$AZ$127)</f>
        <v>0</v>
      </c>
      <c r="BB16" s="4927"/>
      <c r="BC16" s="4788">
        <f t="shared" si="12"/>
        <v>885.6</v>
      </c>
      <c r="BD16" s="4791"/>
      <c r="BE16" s="4792">
        <f t="shared" si="13"/>
        <v>1225.9000000000001</v>
      </c>
      <c r="BF16" s="4789"/>
      <c r="BG16" s="4787">
        <f t="shared" si="14"/>
        <v>2195.5500000000002</v>
      </c>
      <c r="BH16" s="25">
        <f t="shared" si="15"/>
        <v>0</v>
      </c>
      <c r="BI16" s="25"/>
    </row>
    <row r="17" spans="1:61" ht="16.5" x14ac:dyDescent="0.25">
      <c r="C17" s="4784" t="s">
        <v>16</v>
      </c>
      <c r="D17" s="4785" t="s">
        <v>933</v>
      </c>
      <c r="E17" s="8166"/>
      <c r="F17" s="4784"/>
      <c r="G17" s="4786">
        <f>+SUMIF(WRM!$C$7:$C$127,$D17,WRM!$F$7:$F$127)</f>
        <v>1970.0499999999997</v>
      </c>
      <c r="H17" s="4786"/>
      <c r="I17" s="4786">
        <f>+SUMIF(WRM!$C$7:$C$127,$D17,WRM!$H$7:$H$127)</f>
        <v>2177.1</v>
      </c>
      <c r="J17" s="4787"/>
      <c r="K17" s="4787">
        <f t="shared" si="1"/>
        <v>4147.1499999999996</v>
      </c>
      <c r="L17" s="4786"/>
      <c r="M17" s="4786">
        <f>+SUMIF(WRM!$C$7:$C$127,$D17,WRM!$L$7:$L$127)</f>
        <v>1922.8999999999994</v>
      </c>
      <c r="N17" s="4788"/>
      <c r="O17" s="4788">
        <f t="shared" si="2"/>
        <v>6070.0499999999993</v>
      </c>
      <c r="P17" s="4786"/>
      <c r="Q17" s="4786">
        <f>+SUMIF(WRM!$C$7:$C$127,$D17,WRM!$P$7:$P$127)</f>
        <v>1215.6499999999999</v>
      </c>
      <c r="R17" s="4789"/>
      <c r="S17" s="4787">
        <f t="shared" si="3"/>
        <v>7285.6999999999989</v>
      </c>
      <c r="T17" s="4786"/>
      <c r="U17" s="4786">
        <f>+SUMIF(WRM!$C$7:$C$127,$D17,WRM!$T$7:$T$127)</f>
        <v>2285.7500000000005</v>
      </c>
      <c r="V17" s="4789"/>
      <c r="W17" s="4787">
        <f t="shared" si="4"/>
        <v>9571.4499999999989</v>
      </c>
      <c r="X17" s="4790"/>
      <c r="Y17" s="4804">
        <f>+SUMIF(WRM!$C$7:$C$127,$D17,WRM!$X$7:$X$127)</f>
        <v>1029.0999999999999</v>
      </c>
      <c r="Z17" s="4788"/>
      <c r="AA17" s="4788">
        <f t="shared" si="5"/>
        <v>4530.5</v>
      </c>
      <c r="AB17" s="4791"/>
      <c r="AC17" s="4792">
        <f t="shared" si="6"/>
        <v>10600.55</v>
      </c>
      <c r="AD17" s="4786"/>
      <c r="AE17" s="4804">
        <f>+SUMIF(WRM!$C$7:$C$127,$D17,WRM!$AD$7:$AD$127)</f>
        <v>861.00000000000023</v>
      </c>
      <c r="AF17" s="4789"/>
      <c r="AG17" s="4787">
        <f t="shared" si="7"/>
        <v>11461.55</v>
      </c>
      <c r="AH17" s="4786"/>
      <c r="AI17" s="4786">
        <f>+SUMIF(WRM!$C$7:$C$127,$D17,WRM!$AH$7:$AH$127)</f>
        <v>2410.8000000000002</v>
      </c>
      <c r="AJ17" s="4789"/>
      <c r="AK17" s="4787">
        <f t="shared" si="8"/>
        <v>13872.349999999999</v>
      </c>
      <c r="AL17" s="4786"/>
      <c r="AM17" s="4786">
        <f>+SUMIF(WRM!$C$7:$C$127,$D17,WRM!$AL$7:$AL$127)</f>
        <v>711.34999999999991</v>
      </c>
      <c r="AN17" s="4927"/>
      <c r="AO17" s="4788">
        <f t="shared" si="9"/>
        <v>3983.15</v>
      </c>
      <c r="AP17" s="4789"/>
      <c r="AQ17" s="4787">
        <f t="shared" si="0"/>
        <v>14583.699999999999</v>
      </c>
      <c r="AR17" s="4786"/>
      <c r="AS17" s="4786">
        <f>+SUMIF(WRM!$C$7:$C$127,$D17,WRM!$AR$7:$AR$127)</f>
        <v>2103.3000000000002</v>
      </c>
      <c r="AT17" s="4789"/>
      <c r="AU17" s="4787">
        <f t="shared" si="10"/>
        <v>16687</v>
      </c>
      <c r="AV17" s="4786"/>
      <c r="AW17" s="4786">
        <f>+SUMIF(WRM!$C$7:$C$127,$D17,WRM!$AV$7:$AV$127)</f>
        <v>1033.1999999999998</v>
      </c>
      <c r="AX17" s="4789"/>
      <c r="AY17" s="4787">
        <f t="shared" si="11"/>
        <v>17720.2</v>
      </c>
      <c r="AZ17" s="4786"/>
      <c r="BA17" s="4786">
        <f>+SUMIF(WRM!$C$7:$C$127,$D17,WRM!$AZ$7:$AZ$127)</f>
        <v>2339.0499999999997</v>
      </c>
      <c r="BB17" s="4927"/>
      <c r="BC17" s="4788">
        <f t="shared" si="12"/>
        <v>5475.5499999999993</v>
      </c>
      <c r="BD17" s="4791"/>
      <c r="BE17" s="4792">
        <f t="shared" si="13"/>
        <v>9458.6999999999989</v>
      </c>
      <c r="BF17" s="4789"/>
      <c r="BG17" s="4787">
        <f t="shared" si="14"/>
        <v>20059.25</v>
      </c>
      <c r="BH17" s="25">
        <f t="shared" si="15"/>
        <v>0</v>
      </c>
      <c r="BI17" s="25"/>
    </row>
    <row r="18" spans="1:61" ht="16.5" x14ac:dyDescent="0.25">
      <c r="C18" s="4784" t="s">
        <v>16</v>
      </c>
      <c r="D18" s="4785" t="s">
        <v>1094</v>
      </c>
      <c r="E18" s="8166"/>
      <c r="F18" s="4784"/>
      <c r="G18" s="4786">
        <f>+SUMIF(WRM!$C$7:$C$127,$D18,WRM!$F$7:$F$127)</f>
        <v>0</v>
      </c>
      <c r="H18" s="4786"/>
      <c r="I18" s="4786">
        <f>+SUMIF(WRM!$C$7:$C$127,$D18,WRM!$H$7:$H$127)</f>
        <v>4.0999999999999996</v>
      </c>
      <c r="J18" s="4787"/>
      <c r="K18" s="4787">
        <f t="shared" si="1"/>
        <v>4.0999999999999996</v>
      </c>
      <c r="L18" s="4786"/>
      <c r="M18" s="4786">
        <f>+SUMIF(WRM!$C$7:$C$127,$D18,WRM!$L$7:$L$127)</f>
        <v>98.4</v>
      </c>
      <c r="N18" s="4788"/>
      <c r="O18" s="4788">
        <f t="shared" si="2"/>
        <v>102.5</v>
      </c>
      <c r="P18" s="4786"/>
      <c r="Q18" s="4786">
        <f>+SUMIF(WRM!$C$7:$C$127,$D18,WRM!$P$7:$P$127)</f>
        <v>6.1499999999999995</v>
      </c>
      <c r="R18" s="4789"/>
      <c r="S18" s="4787">
        <f t="shared" si="3"/>
        <v>108.65</v>
      </c>
      <c r="T18" s="4786"/>
      <c r="U18" s="4786">
        <f>+SUMIF(WRM!$C$7:$C$127,$D18,WRM!$T$7:$T$127)</f>
        <v>6.15</v>
      </c>
      <c r="V18" s="4789"/>
      <c r="W18" s="4787">
        <f t="shared" si="4"/>
        <v>114.80000000000001</v>
      </c>
      <c r="X18" s="4790"/>
      <c r="Y18" s="4804">
        <f>+SUMIF(WRM!$C$7:$C$127,$D18,WRM!$X$7:$X$127)</f>
        <v>0</v>
      </c>
      <c r="Z18" s="4788"/>
      <c r="AA18" s="4788">
        <f t="shared" si="5"/>
        <v>12.3</v>
      </c>
      <c r="AB18" s="4791"/>
      <c r="AC18" s="4792">
        <f t="shared" si="6"/>
        <v>114.8</v>
      </c>
      <c r="AD18" s="4786"/>
      <c r="AE18" s="4804">
        <f>+SUMIF(WRM!$C$7:$C$127,$D18,WRM!$AD$7:$AD$127)</f>
        <v>94.3</v>
      </c>
      <c r="AF18" s="4789"/>
      <c r="AG18" s="4787">
        <f t="shared" si="7"/>
        <v>209.1</v>
      </c>
      <c r="AH18" s="4786"/>
      <c r="AI18" s="4786">
        <f>+SUMIF(WRM!$C$7:$C$127,$D18,WRM!$AH$7:$AH$127)</f>
        <v>2.0499999999999998</v>
      </c>
      <c r="AJ18" s="4789"/>
      <c r="AK18" s="4787">
        <f t="shared" si="8"/>
        <v>211.15</v>
      </c>
      <c r="AL18" s="4786"/>
      <c r="AM18" s="4786">
        <f>+SUMIF(WRM!$C$7:$C$127,$D18,WRM!$AL$7:$AL$127)</f>
        <v>92.25</v>
      </c>
      <c r="AN18" s="4927"/>
      <c r="AO18" s="4788">
        <f t="shared" si="9"/>
        <v>188.6</v>
      </c>
      <c r="AP18" s="4789"/>
      <c r="AQ18" s="4787">
        <f t="shared" si="0"/>
        <v>303.39999999999998</v>
      </c>
      <c r="AR18" s="4786"/>
      <c r="AS18" s="4786">
        <f>+SUMIF(WRM!$C$7:$C$127,$D18,WRM!$AR$7:$AR$127)</f>
        <v>0</v>
      </c>
      <c r="AT18" s="4789"/>
      <c r="AU18" s="4787">
        <f t="shared" si="10"/>
        <v>303.39999999999998</v>
      </c>
      <c r="AV18" s="4786"/>
      <c r="AW18" s="4786">
        <f>+SUMIF(WRM!$C$7:$C$127,$D18,WRM!$AV$7:$AV$127)</f>
        <v>225.5</v>
      </c>
      <c r="AX18" s="4789"/>
      <c r="AY18" s="4787">
        <f t="shared" si="11"/>
        <v>528.9</v>
      </c>
      <c r="AZ18" s="4786"/>
      <c r="BA18" s="4786">
        <f>+SUMIF(WRM!$C$7:$C$127,$D18,WRM!$AZ$7:$AZ$127)</f>
        <v>53.3</v>
      </c>
      <c r="BB18" s="4927"/>
      <c r="BC18" s="4788">
        <f t="shared" si="12"/>
        <v>278.8</v>
      </c>
      <c r="BD18" s="4791"/>
      <c r="BE18" s="4792">
        <f t="shared" si="13"/>
        <v>467.4</v>
      </c>
      <c r="BF18" s="4789"/>
      <c r="BG18" s="4787">
        <f t="shared" si="14"/>
        <v>582.19999999999993</v>
      </c>
      <c r="BH18" s="25">
        <f t="shared" si="15"/>
        <v>0</v>
      </c>
      <c r="BI18" s="25"/>
    </row>
    <row r="19" spans="1:61" ht="16.5" x14ac:dyDescent="0.25">
      <c r="A19" s="2491"/>
      <c r="B19" s="2491"/>
      <c r="C19" s="4784" t="s">
        <v>16</v>
      </c>
      <c r="D19" s="4785" t="s">
        <v>934</v>
      </c>
      <c r="E19" s="8166"/>
      <c r="F19" s="4784"/>
      <c r="G19" s="4786">
        <f>+SUMIF(WRM!$C$7:$C$127,$D19,WRM!$F$7:$F$127)</f>
        <v>82</v>
      </c>
      <c r="H19" s="4786"/>
      <c r="I19" s="4786">
        <f>+SUMIF(WRM!$C$7:$C$127,$D19,WRM!$H$7:$H$127)</f>
        <v>0</v>
      </c>
      <c r="J19" s="4787"/>
      <c r="K19" s="4787">
        <f t="shared" si="1"/>
        <v>82</v>
      </c>
      <c r="L19" s="4786"/>
      <c r="M19" s="4786">
        <f>+SUMIF(WRM!$C$7:$C$127,$D19,WRM!$L$7:$L$127)</f>
        <v>0</v>
      </c>
      <c r="N19" s="4788"/>
      <c r="O19" s="4788">
        <f t="shared" si="2"/>
        <v>82</v>
      </c>
      <c r="P19" s="4786"/>
      <c r="Q19" s="4786">
        <f>+SUMIF(WRM!$C$7:$C$127,$D19,WRM!$P$7:$P$127)</f>
        <v>0</v>
      </c>
      <c r="R19" s="4789"/>
      <c r="S19" s="4787">
        <f t="shared" si="3"/>
        <v>82</v>
      </c>
      <c r="T19" s="4786"/>
      <c r="U19" s="4786">
        <f>+SUMIF(WRM!$C$7:$C$127,$D19,WRM!$T$7:$T$127)</f>
        <v>0</v>
      </c>
      <c r="V19" s="4789"/>
      <c r="W19" s="4787">
        <f t="shared" si="4"/>
        <v>82</v>
      </c>
      <c r="X19" s="4790"/>
      <c r="Y19" s="4804">
        <f>+SUMIF(WRM!$C$7:$C$127,$D19,WRM!$X$7:$X$127)</f>
        <v>0</v>
      </c>
      <c r="Z19" s="4788"/>
      <c r="AA19" s="4788">
        <f t="shared" si="5"/>
        <v>0</v>
      </c>
      <c r="AB19" s="4791"/>
      <c r="AC19" s="4792">
        <f t="shared" si="6"/>
        <v>82</v>
      </c>
      <c r="AD19" s="4786"/>
      <c r="AE19" s="4804">
        <f>+SUMIF(WRM!$C$7:$C$127,$D19,WRM!$AD$7:$AD$127)</f>
        <v>0</v>
      </c>
      <c r="AF19" s="4789"/>
      <c r="AG19" s="4787">
        <f t="shared" si="7"/>
        <v>82</v>
      </c>
      <c r="AH19" s="4786"/>
      <c r="AI19" s="4786">
        <f>+SUMIF(WRM!$C$7:$C$127,$D19,WRM!$AH$7:$AH$127)</f>
        <v>0</v>
      </c>
      <c r="AJ19" s="4789"/>
      <c r="AK19" s="4787">
        <f t="shared" si="8"/>
        <v>82</v>
      </c>
      <c r="AL19" s="4786"/>
      <c r="AM19" s="4786">
        <f>+SUMIF(WRM!$C$7:$C$127,$D19,WRM!$AL$7:$AL$127)</f>
        <v>82</v>
      </c>
      <c r="AN19" s="4927"/>
      <c r="AO19" s="4788">
        <f t="shared" si="9"/>
        <v>82</v>
      </c>
      <c r="AP19" s="4789"/>
      <c r="AQ19" s="4787">
        <f t="shared" si="0"/>
        <v>164</v>
      </c>
      <c r="AR19" s="4786"/>
      <c r="AS19" s="4786">
        <f>+SUMIF(WRM!$C$7:$C$127,$D19,WRM!$AR$7:$AR$127)</f>
        <v>0</v>
      </c>
      <c r="AT19" s="4789"/>
      <c r="AU19" s="4787">
        <f t="shared" si="10"/>
        <v>164</v>
      </c>
      <c r="AV19" s="4786"/>
      <c r="AW19" s="4786">
        <f>+SUMIF(WRM!$C$7:$C$127,$D19,WRM!$AV$7:$AV$127)</f>
        <v>375.15</v>
      </c>
      <c r="AX19" s="4789"/>
      <c r="AY19" s="4787">
        <f t="shared" si="11"/>
        <v>539.15</v>
      </c>
      <c r="AZ19" s="4786"/>
      <c r="BA19" s="4786">
        <f>+SUMIF(WRM!$C$7:$C$127,$D19,WRM!$AZ$7:$AZ$127)</f>
        <v>0</v>
      </c>
      <c r="BB19" s="4927"/>
      <c r="BC19" s="4788">
        <f t="shared" si="12"/>
        <v>375.15</v>
      </c>
      <c r="BD19" s="4791"/>
      <c r="BE19" s="4792">
        <f t="shared" si="13"/>
        <v>457.15</v>
      </c>
      <c r="BF19" s="4789"/>
      <c r="BG19" s="4787">
        <f t="shared" si="14"/>
        <v>539.15</v>
      </c>
      <c r="BH19" s="25">
        <f t="shared" si="15"/>
        <v>0</v>
      </c>
      <c r="BI19" s="25"/>
    </row>
    <row r="20" spans="1:61" s="4487" customFormat="1" ht="16.5" x14ac:dyDescent="0.25">
      <c r="C20" s="4784" t="s">
        <v>16</v>
      </c>
      <c r="D20" s="4885" t="s">
        <v>1804</v>
      </c>
      <c r="E20" s="8166"/>
      <c r="F20" s="4873"/>
      <c r="G20" s="4786">
        <f>+SUMIF(WRM!$C$7:$C$127,$D20,WRM!$F$7:$F$127)</f>
        <v>0</v>
      </c>
      <c r="H20" s="4904"/>
      <c r="I20" s="4786">
        <f>+SUMIF(WRM!$C$7:$C$127,$D20,WRM!$H$7:$H$127)</f>
        <v>0</v>
      </c>
      <c r="J20" s="4875"/>
      <c r="K20" s="4787">
        <f t="shared" si="1"/>
        <v>0</v>
      </c>
      <c r="L20" s="4904"/>
      <c r="M20" s="4786">
        <f>+SUMIF(WRM!$C$7:$C$127,$D20,WRM!$L$7:$L$127)</f>
        <v>79.95</v>
      </c>
      <c r="N20" s="4876"/>
      <c r="O20" s="4788">
        <f t="shared" si="2"/>
        <v>79.95</v>
      </c>
      <c r="P20" s="4904"/>
      <c r="Q20" s="4786">
        <f>+SUMIF(WRM!$C$7:$C$127,$D20,WRM!$P$7:$P$127)</f>
        <v>0</v>
      </c>
      <c r="R20" s="4789"/>
      <c r="S20" s="4787">
        <f t="shared" si="3"/>
        <v>79.95</v>
      </c>
      <c r="T20" s="4904"/>
      <c r="U20" s="4786">
        <f>+SUMIF(WRM!$C$7:$C$127,$D20,WRM!$T$7:$T$127)</f>
        <v>0</v>
      </c>
      <c r="V20" s="4789"/>
      <c r="W20" s="4787">
        <f t="shared" si="4"/>
        <v>79.95</v>
      </c>
      <c r="X20" s="4905"/>
      <c r="Y20" s="4804">
        <f>+SUMIF(WRM!$C$7:$C$127,$D20,WRM!$X$7:$X$127)</f>
        <v>0</v>
      </c>
      <c r="Z20" s="4876"/>
      <c r="AA20" s="4788">
        <f t="shared" si="5"/>
        <v>0</v>
      </c>
      <c r="AB20" s="4877"/>
      <c r="AC20" s="4792">
        <f t="shared" si="6"/>
        <v>79.95</v>
      </c>
      <c r="AD20" s="4904"/>
      <c r="AE20" s="4804">
        <f>+SUMIF(WRM!$C$7:$C$127,$D20,WRM!$AD$7:$AD$127)</f>
        <v>0</v>
      </c>
      <c r="AF20" s="4789"/>
      <c r="AG20" s="4787">
        <f t="shared" si="7"/>
        <v>79.95</v>
      </c>
      <c r="AH20" s="4904"/>
      <c r="AI20" s="4786">
        <f>+SUMIF(WRM!$C$7:$C$127,$D20,WRM!$AH$7:$AH$127)</f>
        <v>0</v>
      </c>
      <c r="AJ20" s="4789"/>
      <c r="AK20" s="4787">
        <f t="shared" si="8"/>
        <v>79.95</v>
      </c>
      <c r="AL20" s="4904"/>
      <c r="AM20" s="4786">
        <f>+SUMIF(WRM!$C$7:$C$127,$D20,WRM!$AL$7:$AL$127)</f>
        <v>0</v>
      </c>
      <c r="AN20" s="4927"/>
      <c r="AO20" s="4788">
        <f t="shared" si="9"/>
        <v>0</v>
      </c>
      <c r="AP20" s="4789"/>
      <c r="AQ20" s="4787">
        <f t="shared" si="0"/>
        <v>79.95</v>
      </c>
      <c r="AR20" s="4904"/>
      <c r="AS20" s="4786">
        <f>+SUMIF(WRM!$C$7:$C$127,$D20,WRM!$AR$7:$AR$127)</f>
        <v>0</v>
      </c>
      <c r="AT20" s="4789"/>
      <c r="AU20" s="4787">
        <f t="shared" si="10"/>
        <v>79.95</v>
      </c>
      <c r="AV20" s="4904"/>
      <c r="AW20" s="4786">
        <f>+SUMIF(WRM!$C$7:$C$127,$D20,WRM!$AV$7:$AV$127)</f>
        <v>0</v>
      </c>
      <c r="AX20" s="4789"/>
      <c r="AY20" s="4787">
        <f t="shared" si="11"/>
        <v>79.95</v>
      </c>
      <c r="AZ20" s="4904"/>
      <c r="BA20" s="4786">
        <f>+SUMIF(WRM!$C$7:$C$127,$D20,WRM!$AZ$7:$AZ$127)</f>
        <v>0</v>
      </c>
      <c r="BB20" s="4927"/>
      <c r="BC20" s="4788">
        <f t="shared" si="12"/>
        <v>0</v>
      </c>
      <c r="BD20" s="4877"/>
      <c r="BE20" s="4792">
        <f t="shared" si="13"/>
        <v>0</v>
      </c>
      <c r="BF20" s="4789"/>
      <c r="BG20" s="4787">
        <f t="shared" si="14"/>
        <v>79.95</v>
      </c>
      <c r="BH20" s="25">
        <f t="shared" si="15"/>
        <v>0</v>
      </c>
      <c r="BI20" s="25"/>
    </row>
    <row r="21" spans="1:61" s="4487" customFormat="1" ht="16.5" x14ac:dyDescent="0.25">
      <c r="C21" s="4784" t="s">
        <v>16</v>
      </c>
      <c r="D21" s="4885" t="s">
        <v>1805</v>
      </c>
      <c r="E21" s="8166"/>
      <c r="F21" s="4906"/>
      <c r="G21" s="4786">
        <f>+SUMIF(WRM!$C$7:$C$127,$D21,WRM!$F$7:$F$127)</f>
        <v>0</v>
      </c>
      <c r="H21" s="4907"/>
      <c r="I21" s="4786">
        <f>+SUMIF(WRM!$C$7:$C$127,$D21,WRM!$H$7:$H$127)</f>
        <v>578.1</v>
      </c>
      <c r="J21" s="4908"/>
      <c r="K21" s="4787">
        <f t="shared" si="1"/>
        <v>578.1</v>
      </c>
      <c r="L21" s="4907"/>
      <c r="M21" s="4786">
        <f>+SUMIF(WRM!$C$7:$C$127,$D21,WRM!$L$7:$L$127)</f>
        <v>434.6</v>
      </c>
      <c r="N21" s="4909"/>
      <c r="O21" s="4788">
        <f t="shared" si="2"/>
        <v>1012.7</v>
      </c>
      <c r="P21" s="4907"/>
      <c r="Q21" s="4786">
        <f>+SUMIF(WRM!$C$7:$C$127,$D21,WRM!$P$7:$P$127)</f>
        <v>0</v>
      </c>
      <c r="R21" s="4789"/>
      <c r="S21" s="4787">
        <f t="shared" si="3"/>
        <v>1012.7</v>
      </c>
      <c r="T21" s="4907"/>
      <c r="U21" s="4786">
        <f>+SUMIF(WRM!$C$7:$C$127,$D21,WRM!$T$7:$T$127)</f>
        <v>0</v>
      </c>
      <c r="V21" s="4789"/>
      <c r="W21" s="4787">
        <f t="shared" si="4"/>
        <v>1012.7</v>
      </c>
      <c r="X21" s="4910"/>
      <c r="Y21" s="4804">
        <f>+SUMIF(WRM!$C$7:$C$127,$D21,WRM!$X$7:$X$127)</f>
        <v>0</v>
      </c>
      <c r="Z21" s="4909"/>
      <c r="AA21" s="4788">
        <f t="shared" si="5"/>
        <v>0</v>
      </c>
      <c r="AB21" s="4911"/>
      <c r="AC21" s="4792">
        <f t="shared" si="6"/>
        <v>1012.7</v>
      </c>
      <c r="AD21" s="4907"/>
      <c r="AE21" s="4804">
        <f>+SUMIF(WRM!$C$7:$C$127,$D21,WRM!$AD$7:$AD$127)</f>
        <v>0</v>
      </c>
      <c r="AF21" s="4789"/>
      <c r="AG21" s="4787">
        <f t="shared" si="7"/>
        <v>1012.7</v>
      </c>
      <c r="AH21" s="4907"/>
      <c r="AI21" s="4786">
        <f>+SUMIF(WRM!$C$7:$C$127,$D21,WRM!$AH$7:$AH$127)</f>
        <v>0</v>
      </c>
      <c r="AJ21" s="4789"/>
      <c r="AK21" s="4787">
        <f t="shared" si="8"/>
        <v>1012.7</v>
      </c>
      <c r="AL21" s="4907"/>
      <c r="AM21" s="4786">
        <f>+SUMIF(WRM!$C$7:$C$127,$D21,WRM!$AL$7:$AL$127)</f>
        <v>0</v>
      </c>
      <c r="AN21" s="4927"/>
      <c r="AO21" s="4788">
        <f t="shared" si="9"/>
        <v>0</v>
      </c>
      <c r="AP21" s="4789"/>
      <c r="AQ21" s="4787">
        <f t="shared" si="0"/>
        <v>1012.7</v>
      </c>
      <c r="AR21" s="4907"/>
      <c r="AS21" s="4786">
        <f>+SUMIF(WRM!$C$7:$C$127,$D21,WRM!$AR$7:$AR$127)</f>
        <v>0</v>
      </c>
      <c r="AT21" s="4789"/>
      <c r="AU21" s="4787">
        <f t="shared" si="10"/>
        <v>1012.7</v>
      </c>
      <c r="AV21" s="4907"/>
      <c r="AW21" s="4786">
        <f>+SUMIF(WRM!$C$7:$C$127,$D21,WRM!$AV$7:$AV$127)</f>
        <v>0</v>
      </c>
      <c r="AX21" s="4789"/>
      <c r="AY21" s="4787">
        <f t="shared" si="11"/>
        <v>1012.7</v>
      </c>
      <c r="AZ21" s="4907"/>
      <c r="BA21" s="4786">
        <f>+SUMIF(WRM!$C$7:$C$127,$D21,WRM!$AZ$7:$AZ$127)</f>
        <v>0</v>
      </c>
      <c r="BB21" s="4927"/>
      <c r="BC21" s="4788">
        <f t="shared" si="12"/>
        <v>0</v>
      </c>
      <c r="BD21" s="4911"/>
      <c r="BE21" s="4792">
        <f t="shared" si="13"/>
        <v>0</v>
      </c>
      <c r="BF21" s="4789"/>
      <c r="BG21" s="4787">
        <f t="shared" si="14"/>
        <v>1012.7</v>
      </c>
      <c r="BH21" s="25">
        <f t="shared" si="15"/>
        <v>0</v>
      </c>
      <c r="BI21" s="25"/>
    </row>
    <row r="22" spans="1:61" s="4487" customFormat="1" ht="16.5" x14ac:dyDescent="0.25">
      <c r="C22" s="4784" t="s">
        <v>16</v>
      </c>
      <c r="D22" s="4885" t="s">
        <v>1768</v>
      </c>
      <c r="E22" s="8166"/>
      <c r="F22" s="4873"/>
      <c r="G22" s="4786">
        <f>+SUMIF(WRM!$C$7:$C$127,$D22,WRM!$F$7:$F$127)</f>
        <v>0</v>
      </c>
      <c r="H22" s="4904"/>
      <c r="I22" s="4786">
        <f>+SUMIF(WRM!$C$7:$C$127,$D22,WRM!$H$7:$H$127)</f>
        <v>0</v>
      </c>
      <c r="J22" s="4875"/>
      <c r="K22" s="4787">
        <f t="shared" si="1"/>
        <v>0</v>
      </c>
      <c r="L22" s="4904"/>
      <c r="M22" s="4786">
        <f>+SUMIF(WRM!$C$7:$C$127,$D22,WRM!$L$7:$L$127)</f>
        <v>0</v>
      </c>
      <c r="N22" s="4876"/>
      <c r="O22" s="4788">
        <f t="shared" si="2"/>
        <v>0</v>
      </c>
      <c r="P22" s="4904"/>
      <c r="Q22" s="4786">
        <f>+SUMIF(WRM!$C$7:$C$127,$D22,WRM!$P$7:$P$127)</f>
        <v>0</v>
      </c>
      <c r="R22" s="4789"/>
      <c r="S22" s="4787">
        <f t="shared" si="3"/>
        <v>0</v>
      </c>
      <c r="T22" s="4904"/>
      <c r="U22" s="4786">
        <f>+SUMIF(WRM!$C$7:$C$127,$D22,WRM!$T$7:$T$127)</f>
        <v>0</v>
      </c>
      <c r="V22" s="4789"/>
      <c r="W22" s="4787">
        <f t="shared" si="4"/>
        <v>0</v>
      </c>
      <c r="X22" s="4905"/>
      <c r="Y22" s="4804">
        <f>+SUMIF(WRM!$C$7:$C$127,$D22,WRM!$X$7:$X$127)</f>
        <v>0</v>
      </c>
      <c r="Z22" s="4876"/>
      <c r="AA22" s="4788">
        <f t="shared" si="5"/>
        <v>0</v>
      </c>
      <c r="AB22" s="4877"/>
      <c r="AC22" s="4792">
        <f t="shared" si="6"/>
        <v>0</v>
      </c>
      <c r="AD22" s="4904"/>
      <c r="AE22" s="4804">
        <f>+SUMIF(WRM!$C$7:$C$127,$D22,WRM!$AD$7:$AD$127)</f>
        <v>0</v>
      </c>
      <c r="AF22" s="4789"/>
      <c r="AG22" s="4787">
        <f t="shared" si="7"/>
        <v>0</v>
      </c>
      <c r="AH22" s="4904"/>
      <c r="AI22" s="4786">
        <f>+SUMIF(WRM!$C$7:$C$127,$D22,WRM!$AH$7:$AH$127)</f>
        <v>0</v>
      </c>
      <c r="AJ22" s="4789"/>
      <c r="AK22" s="4787">
        <f t="shared" si="8"/>
        <v>0</v>
      </c>
      <c r="AL22" s="4904"/>
      <c r="AM22" s="4786">
        <f>+SUMIF(WRM!$C$7:$C$127,$D22,WRM!$AL$7:$AL$127)</f>
        <v>0</v>
      </c>
      <c r="AN22" s="4927"/>
      <c r="AO22" s="4788">
        <f t="shared" si="9"/>
        <v>0</v>
      </c>
      <c r="AP22" s="4789"/>
      <c r="AQ22" s="4787">
        <f t="shared" si="0"/>
        <v>0</v>
      </c>
      <c r="AR22" s="4904"/>
      <c r="AS22" s="4786">
        <f>+SUMIF(WRM!$C$7:$C$127,$D22,WRM!$AR$7:$AR$127)</f>
        <v>0</v>
      </c>
      <c r="AT22" s="4789"/>
      <c r="AU22" s="4787">
        <f t="shared" si="10"/>
        <v>0</v>
      </c>
      <c r="AV22" s="4904"/>
      <c r="AW22" s="4786">
        <f>+SUMIF(WRM!$C$7:$C$127,$D22,WRM!$AV$7:$AV$127)</f>
        <v>0</v>
      </c>
      <c r="AX22" s="4789"/>
      <c r="AY22" s="4787">
        <f t="shared" si="11"/>
        <v>0</v>
      </c>
      <c r="AZ22" s="4904"/>
      <c r="BA22" s="4786">
        <f>+SUMIF(WRM!$C$7:$C$127,$D22,WRM!$AZ$7:$AZ$127)</f>
        <v>0</v>
      </c>
      <c r="BB22" s="4927"/>
      <c r="BC22" s="4788">
        <f t="shared" si="12"/>
        <v>0</v>
      </c>
      <c r="BD22" s="4877"/>
      <c r="BE22" s="4792">
        <f t="shared" si="13"/>
        <v>0</v>
      </c>
      <c r="BF22" s="4789"/>
      <c r="BG22" s="4787">
        <f t="shared" si="14"/>
        <v>0</v>
      </c>
      <c r="BH22" s="25">
        <f t="shared" si="15"/>
        <v>0</v>
      </c>
      <c r="BI22" s="25"/>
    </row>
    <row r="23" spans="1:61" ht="16.5" x14ac:dyDescent="0.25">
      <c r="A23" s="2106"/>
      <c r="B23" s="2106"/>
      <c r="C23" s="4784" t="s">
        <v>16</v>
      </c>
      <c r="D23" s="4785" t="s">
        <v>1527</v>
      </c>
      <c r="E23" s="8166"/>
      <c r="F23" s="4784"/>
      <c r="G23" s="4786">
        <f>+SUMIF(WRM!$C$7:$C$127,$D23,WRM!$F$7:$F$127)</f>
        <v>789.25</v>
      </c>
      <c r="H23" s="4786"/>
      <c r="I23" s="4786">
        <f>+SUMIF(WRM!$C$7:$C$127,$D23,WRM!$H$7:$H$127)</f>
        <v>0</v>
      </c>
      <c r="J23" s="4787"/>
      <c r="K23" s="4787">
        <f t="shared" si="1"/>
        <v>789.25</v>
      </c>
      <c r="L23" s="4786"/>
      <c r="M23" s="4786">
        <f>+SUMIF(WRM!$C$7:$C$127,$D23,WRM!$L$7:$L$127)</f>
        <v>0</v>
      </c>
      <c r="N23" s="4788"/>
      <c r="O23" s="4788">
        <f t="shared" si="2"/>
        <v>789.25</v>
      </c>
      <c r="P23" s="4786"/>
      <c r="Q23" s="4786">
        <f>+SUMIF(WRM!$C$7:$C$127,$D23,WRM!$P$7:$P$127)</f>
        <v>0</v>
      </c>
      <c r="R23" s="4789"/>
      <c r="S23" s="4787">
        <f t="shared" si="3"/>
        <v>789.25</v>
      </c>
      <c r="T23" s="4786"/>
      <c r="U23" s="4786">
        <f>+SUMIF(WRM!$C$7:$C$127,$D23,WRM!$T$7:$T$127)</f>
        <v>0</v>
      </c>
      <c r="V23" s="4789"/>
      <c r="W23" s="4787">
        <f t="shared" si="4"/>
        <v>789.25</v>
      </c>
      <c r="X23" s="4790"/>
      <c r="Y23" s="4804">
        <f>+SUMIF(WRM!$C$7:$C$127,$D23,WRM!$X$7:$X$127)</f>
        <v>0</v>
      </c>
      <c r="Z23" s="4788"/>
      <c r="AA23" s="4788">
        <f t="shared" si="5"/>
        <v>0</v>
      </c>
      <c r="AB23" s="4791"/>
      <c r="AC23" s="4792">
        <f t="shared" si="6"/>
        <v>789.25</v>
      </c>
      <c r="AD23" s="4786"/>
      <c r="AE23" s="4804">
        <f>+SUMIF(WRM!$C$7:$C$127,$D23,WRM!$AD$7:$AD$127)</f>
        <v>0</v>
      </c>
      <c r="AF23" s="4789"/>
      <c r="AG23" s="4787">
        <f t="shared" si="7"/>
        <v>789.25</v>
      </c>
      <c r="AH23" s="4786"/>
      <c r="AI23" s="4786">
        <f>+SUMIF(WRM!$C$7:$C$127,$D23,WRM!$AH$7:$AH$127)</f>
        <v>149.65</v>
      </c>
      <c r="AJ23" s="4789"/>
      <c r="AK23" s="4787">
        <f t="shared" si="8"/>
        <v>938.9</v>
      </c>
      <c r="AL23" s="4786"/>
      <c r="AM23" s="4786">
        <f>+SUMIF(WRM!$C$7:$C$127,$D23,WRM!$AL$7:$AL$127)</f>
        <v>0</v>
      </c>
      <c r="AN23" s="4927"/>
      <c r="AO23" s="4788">
        <f t="shared" si="9"/>
        <v>149.65</v>
      </c>
      <c r="AP23" s="4789"/>
      <c r="AQ23" s="4787">
        <f t="shared" si="0"/>
        <v>938.9</v>
      </c>
      <c r="AR23" s="4786"/>
      <c r="AS23" s="4786">
        <f>+SUMIF(WRM!$C$7:$C$127,$D23,WRM!$AR$7:$AR$127)</f>
        <v>512.5</v>
      </c>
      <c r="AT23" s="4789"/>
      <c r="AU23" s="4787">
        <f t="shared" si="10"/>
        <v>1451.4</v>
      </c>
      <c r="AV23" s="4786"/>
      <c r="AW23" s="4786">
        <f>+SUMIF(WRM!$C$7:$C$127,$D23,WRM!$AV$7:$AV$127)</f>
        <v>629.35</v>
      </c>
      <c r="AX23" s="4789"/>
      <c r="AY23" s="4787">
        <f t="shared" si="11"/>
        <v>2080.75</v>
      </c>
      <c r="AZ23" s="4786"/>
      <c r="BA23" s="4786">
        <f>+SUMIF(WRM!$C$7:$C$127,$D23,WRM!$AZ$7:$AZ$127)</f>
        <v>0</v>
      </c>
      <c r="BB23" s="4927"/>
      <c r="BC23" s="4788">
        <f t="shared" si="12"/>
        <v>1141.8499999999999</v>
      </c>
      <c r="BD23" s="4791"/>
      <c r="BE23" s="4792">
        <f t="shared" si="13"/>
        <v>1291.5</v>
      </c>
      <c r="BF23" s="4789"/>
      <c r="BG23" s="4787">
        <f t="shared" si="14"/>
        <v>2080.75</v>
      </c>
      <c r="BH23" s="25">
        <f t="shared" si="15"/>
        <v>0</v>
      </c>
      <c r="BI23" s="25"/>
    </row>
    <row r="24" spans="1:61" ht="16.5" x14ac:dyDescent="0.25">
      <c r="C24" s="4784" t="s">
        <v>16</v>
      </c>
      <c r="D24" s="4785" t="s">
        <v>1095</v>
      </c>
      <c r="E24" s="8166"/>
      <c r="F24" s="4784"/>
      <c r="G24" s="4786">
        <f>+SUMIF(WRM!$C$7:$C$127,$D24,WRM!$F$7:$F$127)</f>
        <v>17759.149999999994</v>
      </c>
      <c r="H24" s="4786"/>
      <c r="I24" s="4786">
        <f>+SUMIF(WRM!$C$7:$C$127,$D24,WRM!$H$7:$H$127)</f>
        <v>3847.85</v>
      </c>
      <c r="J24" s="4787"/>
      <c r="K24" s="4787">
        <f t="shared" si="1"/>
        <v>21606.999999999993</v>
      </c>
      <c r="L24" s="4786"/>
      <c r="M24" s="4786">
        <f>+SUMIF(WRM!$C$7:$C$127,$D24,WRM!$L$7:$L$127)</f>
        <v>6943.3499999999995</v>
      </c>
      <c r="N24" s="4788"/>
      <c r="O24" s="4788">
        <f t="shared" si="2"/>
        <v>28550.349999999991</v>
      </c>
      <c r="P24" s="4786"/>
      <c r="Q24" s="4786">
        <f>+SUMIF(WRM!$C$7:$C$127,$D24,WRM!$P$7:$P$127)</f>
        <v>6264.8</v>
      </c>
      <c r="R24" s="4789"/>
      <c r="S24" s="4787">
        <f t="shared" si="3"/>
        <v>34815.149999999994</v>
      </c>
      <c r="T24" s="4786"/>
      <c r="U24" s="4786">
        <f>+SUMIF(WRM!$C$7:$C$127,$D24,WRM!$T$7:$T$127)</f>
        <v>4844.1500000000005</v>
      </c>
      <c r="V24" s="4789"/>
      <c r="W24" s="4787">
        <f t="shared" si="4"/>
        <v>39659.299999999996</v>
      </c>
      <c r="X24" s="4790"/>
      <c r="Y24" s="4804">
        <f>+SUMIF(WRM!$C$7:$C$127,$D24,WRM!$X$7:$X$127)</f>
        <v>6642</v>
      </c>
      <c r="Z24" s="4788"/>
      <c r="AA24" s="4788">
        <f t="shared" si="5"/>
        <v>17750.95</v>
      </c>
      <c r="AB24" s="4791"/>
      <c r="AC24" s="4792">
        <f t="shared" si="6"/>
        <v>46301.299999999988</v>
      </c>
      <c r="AD24" s="4786"/>
      <c r="AE24" s="4804">
        <f>+SUMIF(WRM!$C$7:$C$127,$D24,WRM!$AD$7:$AD$127)</f>
        <v>9739.5499999999993</v>
      </c>
      <c r="AF24" s="4789"/>
      <c r="AG24" s="4787">
        <f t="shared" si="7"/>
        <v>56040.849999999991</v>
      </c>
      <c r="AH24" s="4786"/>
      <c r="AI24" s="4786">
        <f>+SUMIF(WRM!$C$7:$C$127,$D24,WRM!$AH$7:$AH$127)</f>
        <v>5760.5</v>
      </c>
      <c r="AJ24" s="4789"/>
      <c r="AK24" s="4787">
        <f t="shared" si="8"/>
        <v>61801.349999999991</v>
      </c>
      <c r="AL24" s="4786"/>
      <c r="AM24" s="4786">
        <f>+SUMIF(WRM!$C$7:$C$127,$D24,WRM!$AL$7:$AL$127)</f>
        <v>8384.5</v>
      </c>
      <c r="AN24" s="4927"/>
      <c r="AO24" s="4788">
        <f t="shared" si="9"/>
        <v>23884.55</v>
      </c>
      <c r="AP24" s="4789"/>
      <c r="AQ24" s="4787">
        <f t="shared" si="0"/>
        <v>70185.849999999991</v>
      </c>
      <c r="AR24" s="4786"/>
      <c r="AS24" s="4786">
        <f>+SUMIF(WRM!$C$7:$C$127,$D24,WRM!$AR$7:$AR$127)</f>
        <v>11320.100000000002</v>
      </c>
      <c r="AT24" s="4789"/>
      <c r="AU24" s="4787">
        <f t="shared" si="10"/>
        <v>81505.95</v>
      </c>
      <c r="AV24" s="4786"/>
      <c r="AW24" s="4786">
        <f>+SUMIF(WRM!$C$7:$C$127,$D24,WRM!$AV$7:$AV$127)</f>
        <v>8419.35</v>
      </c>
      <c r="AX24" s="4789"/>
      <c r="AY24" s="4787">
        <f t="shared" si="11"/>
        <v>89925.3</v>
      </c>
      <c r="AZ24" s="4786"/>
      <c r="BA24" s="4786">
        <f>+SUMIF(WRM!$C$7:$C$127,$D24,WRM!$AZ$7:$AZ$127)</f>
        <v>9930.1999999999916</v>
      </c>
      <c r="BB24" s="4927"/>
      <c r="BC24" s="4788">
        <f t="shared" si="12"/>
        <v>29669.649999999994</v>
      </c>
      <c r="BD24" s="4791"/>
      <c r="BE24" s="4792">
        <f t="shared" si="13"/>
        <v>53554.2</v>
      </c>
      <c r="BF24" s="4789"/>
      <c r="BG24" s="4787">
        <f t="shared" si="14"/>
        <v>99855.5</v>
      </c>
      <c r="BH24" s="25">
        <f t="shared" si="15"/>
        <v>0</v>
      </c>
      <c r="BI24" s="25"/>
    </row>
    <row r="25" spans="1:61" ht="16.5" x14ac:dyDescent="0.25">
      <c r="C25" s="4784" t="s">
        <v>16</v>
      </c>
      <c r="D25" s="4785" t="s">
        <v>837</v>
      </c>
      <c r="E25" s="8166"/>
      <c r="F25" s="4784"/>
      <c r="G25" s="4786">
        <f>+SUMIF(WRM!$C$7:$C$127,$D25,WRM!$F$7:$F$127)</f>
        <v>0</v>
      </c>
      <c r="H25" s="4786"/>
      <c r="I25" s="4786">
        <f>+SUMIF(WRM!$C$7:$C$127,$D25,WRM!$H$7:$H$127)</f>
        <v>485.84999999999997</v>
      </c>
      <c r="J25" s="4787"/>
      <c r="K25" s="4787">
        <f t="shared" ref="K25:K75" si="16">+G25+I25</f>
        <v>485.84999999999997</v>
      </c>
      <c r="L25" s="4786"/>
      <c r="M25" s="4786">
        <f>+SUMIF(WRM!$C$7:$C$127,$D25,WRM!$L$7:$L$127)</f>
        <v>508.40000000000003</v>
      </c>
      <c r="N25" s="4788"/>
      <c r="O25" s="4788">
        <f t="shared" si="2"/>
        <v>994.25</v>
      </c>
      <c r="P25" s="4786"/>
      <c r="Q25" s="4786">
        <f>+SUMIF(WRM!$C$7:$C$127,$D25,WRM!$P$7:$P$127)</f>
        <v>0</v>
      </c>
      <c r="R25" s="4789"/>
      <c r="S25" s="4787">
        <f t="shared" si="3"/>
        <v>994.25</v>
      </c>
      <c r="T25" s="4786"/>
      <c r="U25" s="4786">
        <f>+SUMIF(WRM!$C$7:$C$127,$D25,WRM!$T$7:$T$127)</f>
        <v>0</v>
      </c>
      <c r="V25" s="4789"/>
      <c r="W25" s="4787">
        <f t="shared" si="4"/>
        <v>994.25</v>
      </c>
      <c r="X25" s="4790"/>
      <c r="Y25" s="4804">
        <f>+SUMIF(WRM!$C$7:$C$127,$D25,WRM!$X$7:$X$127)</f>
        <v>0</v>
      </c>
      <c r="Z25" s="4788"/>
      <c r="AA25" s="4788">
        <f t="shared" si="5"/>
        <v>0</v>
      </c>
      <c r="AB25" s="4791"/>
      <c r="AC25" s="4792">
        <f t="shared" si="6"/>
        <v>994.25</v>
      </c>
      <c r="AD25" s="4786"/>
      <c r="AE25" s="4804">
        <f>+SUMIF(WRM!$C$7:$C$127,$D25,WRM!$AD$7:$AD$127)</f>
        <v>0</v>
      </c>
      <c r="AF25" s="4789"/>
      <c r="AG25" s="4787">
        <f t="shared" si="7"/>
        <v>994.25</v>
      </c>
      <c r="AH25" s="4786"/>
      <c r="AI25" s="4786">
        <f>+SUMIF(WRM!$C$7:$C$127,$D25,WRM!$AH$7:$AH$127)</f>
        <v>166.04999999999998</v>
      </c>
      <c r="AJ25" s="4789"/>
      <c r="AK25" s="4787">
        <f t="shared" si="8"/>
        <v>1160.3</v>
      </c>
      <c r="AL25" s="4786"/>
      <c r="AM25" s="4786">
        <f>+SUMIF(WRM!$C$7:$C$127,$D25,WRM!$AL$7:$AL$127)</f>
        <v>0</v>
      </c>
      <c r="AN25" s="4927"/>
      <c r="AO25" s="4788">
        <f t="shared" si="9"/>
        <v>166.04999999999998</v>
      </c>
      <c r="AP25" s="4789"/>
      <c r="AQ25" s="4787">
        <f t="shared" si="0"/>
        <v>1160.3</v>
      </c>
      <c r="AR25" s="4786"/>
      <c r="AS25" s="4786">
        <f>+SUMIF(WRM!$C$7:$C$127,$D25,WRM!$AR$7:$AR$127)</f>
        <v>0</v>
      </c>
      <c r="AT25" s="4789"/>
      <c r="AU25" s="4787">
        <f t="shared" si="10"/>
        <v>1160.3</v>
      </c>
      <c r="AV25" s="4786"/>
      <c r="AW25" s="4786">
        <f>+SUMIF(WRM!$C$7:$C$127,$D25,WRM!$AV$7:$AV$127)</f>
        <v>379.25000000000006</v>
      </c>
      <c r="AX25" s="4789"/>
      <c r="AY25" s="4787">
        <f t="shared" si="11"/>
        <v>1539.55</v>
      </c>
      <c r="AZ25" s="4786"/>
      <c r="BA25" s="4786">
        <f>+SUMIF(WRM!$C$7:$C$127,$D25,WRM!$AZ$7:$AZ$127)</f>
        <v>373.1</v>
      </c>
      <c r="BB25" s="4927"/>
      <c r="BC25" s="4788">
        <f t="shared" si="12"/>
        <v>752.35000000000014</v>
      </c>
      <c r="BD25" s="4791"/>
      <c r="BE25" s="4792">
        <f t="shared" si="13"/>
        <v>918.40000000000009</v>
      </c>
      <c r="BF25" s="4789"/>
      <c r="BG25" s="4787">
        <f t="shared" si="14"/>
        <v>1912.65</v>
      </c>
      <c r="BH25" s="25">
        <f t="shared" si="15"/>
        <v>0</v>
      </c>
      <c r="BI25" s="25"/>
    </row>
    <row r="26" spans="1:61" s="4487" customFormat="1" ht="16.5" x14ac:dyDescent="0.25">
      <c r="C26" s="4784" t="s">
        <v>16</v>
      </c>
      <c r="D26" s="4912" t="s">
        <v>1802</v>
      </c>
      <c r="E26" s="8166"/>
      <c r="F26" s="4906"/>
      <c r="G26" s="4786">
        <f>+SUMIF(WRM!$C$7:$C$127,$D26,WRM!$F$7:$F$127)</f>
        <v>0</v>
      </c>
      <c r="H26" s="4907"/>
      <c r="I26" s="4786">
        <f>+SUMIF(WRM!$C$7:$C$127,$D26,WRM!$H$7:$H$127)</f>
        <v>0</v>
      </c>
      <c r="J26" s="4908"/>
      <c r="K26" s="4787">
        <f t="shared" si="16"/>
        <v>0</v>
      </c>
      <c r="L26" s="4907"/>
      <c r="M26" s="4786">
        <f>+SUMIF(WRM!$C$7:$C$127,$D26,WRM!$L$7:$L$127)</f>
        <v>0</v>
      </c>
      <c r="N26" s="4909"/>
      <c r="O26" s="4788">
        <f t="shared" si="2"/>
        <v>0</v>
      </c>
      <c r="P26" s="4907"/>
      <c r="Q26" s="4786">
        <f>+SUMIF(WRM!$C$7:$C$127,$D26,WRM!$P$7:$P$127)</f>
        <v>0</v>
      </c>
      <c r="R26" s="4789"/>
      <c r="S26" s="4787">
        <f t="shared" si="3"/>
        <v>0</v>
      </c>
      <c r="T26" s="4907"/>
      <c r="U26" s="4786">
        <f>+SUMIF(WRM!$C$7:$C$127,$D26,WRM!$T$7:$T$127)</f>
        <v>0</v>
      </c>
      <c r="V26" s="4789"/>
      <c r="W26" s="4787">
        <f t="shared" si="4"/>
        <v>0</v>
      </c>
      <c r="X26" s="4910"/>
      <c r="Y26" s="4804">
        <f>+SUMIF(WRM!$C$7:$C$127,$D26,WRM!$X$7:$X$127)</f>
        <v>0</v>
      </c>
      <c r="Z26" s="4909"/>
      <c r="AA26" s="4788">
        <f t="shared" si="5"/>
        <v>0</v>
      </c>
      <c r="AB26" s="4911"/>
      <c r="AC26" s="4792">
        <f t="shared" si="6"/>
        <v>0</v>
      </c>
      <c r="AD26" s="4907"/>
      <c r="AE26" s="4804">
        <f>+SUMIF(WRM!$C$7:$C$127,$D26,WRM!$AD$7:$AD$127)</f>
        <v>0</v>
      </c>
      <c r="AF26" s="4789"/>
      <c r="AG26" s="4787">
        <f t="shared" si="7"/>
        <v>0</v>
      </c>
      <c r="AH26" s="4907"/>
      <c r="AI26" s="4786">
        <f>+SUMIF(WRM!$C$7:$C$127,$D26,WRM!$AH$7:$AH$127)</f>
        <v>0</v>
      </c>
      <c r="AJ26" s="4789"/>
      <c r="AK26" s="4787">
        <f t="shared" si="8"/>
        <v>0</v>
      </c>
      <c r="AL26" s="4907"/>
      <c r="AM26" s="4786">
        <f>+SUMIF(WRM!$C$7:$C$127,$D26,WRM!$AL$7:$AL$127)</f>
        <v>0</v>
      </c>
      <c r="AN26" s="4927"/>
      <c r="AO26" s="4788">
        <f t="shared" si="9"/>
        <v>0</v>
      </c>
      <c r="AP26" s="4789"/>
      <c r="AQ26" s="4787">
        <f t="shared" si="0"/>
        <v>0</v>
      </c>
      <c r="AR26" s="4907"/>
      <c r="AS26" s="4786">
        <f>+SUMIF(WRM!$C$7:$C$127,$D26,WRM!$AR$7:$AR$127)</f>
        <v>0</v>
      </c>
      <c r="AT26" s="4789"/>
      <c r="AU26" s="4787">
        <f t="shared" si="10"/>
        <v>0</v>
      </c>
      <c r="AV26" s="4907"/>
      <c r="AW26" s="4786">
        <f>+SUMIF(WRM!$C$7:$C$127,$D26,WRM!$AV$7:$AV$127)</f>
        <v>0</v>
      </c>
      <c r="AX26" s="4789"/>
      <c r="AY26" s="4787">
        <f t="shared" si="11"/>
        <v>0</v>
      </c>
      <c r="AZ26" s="4907"/>
      <c r="BA26" s="4786">
        <f>+SUMIF(WRM!$C$7:$C$127,$D26,WRM!$AZ$7:$AZ$127)</f>
        <v>0</v>
      </c>
      <c r="BB26" s="4927"/>
      <c r="BC26" s="4788">
        <f t="shared" si="12"/>
        <v>0</v>
      </c>
      <c r="BD26" s="4911"/>
      <c r="BE26" s="4792">
        <f t="shared" si="13"/>
        <v>0</v>
      </c>
      <c r="BF26" s="4789"/>
      <c r="BG26" s="4787">
        <f t="shared" si="14"/>
        <v>0</v>
      </c>
      <c r="BH26" s="25">
        <f t="shared" si="15"/>
        <v>0</v>
      </c>
      <c r="BI26" s="25"/>
    </row>
    <row r="27" spans="1:61" ht="16.5" x14ac:dyDescent="0.25">
      <c r="C27" s="4784" t="s">
        <v>16</v>
      </c>
      <c r="D27" s="4785" t="s">
        <v>928</v>
      </c>
      <c r="E27" s="8166"/>
      <c r="F27" s="4784"/>
      <c r="G27" s="4786">
        <f>+SUMIF(WRM!$C$7:$C$127,$D27,WRM!$F$7:$F$127)</f>
        <v>0</v>
      </c>
      <c r="H27" s="4786"/>
      <c r="I27" s="4786">
        <f>+SUMIF(WRM!$C$7:$C$127,$D27,WRM!$H$7:$H$127)</f>
        <v>5530.9</v>
      </c>
      <c r="J27" s="4787"/>
      <c r="K27" s="4787">
        <f t="shared" si="16"/>
        <v>5530.9</v>
      </c>
      <c r="L27" s="4786"/>
      <c r="M27" s="4786">
        <f>+SUMIF(WRM!$C$7:$C$127,$D27,WRM!$L$7:$L$127)</f>
        <v>4950.75</v>
      </c>
      <c r="N27" s="4788"/>
      <c r="O27" s="4788">
        <f t="shared" si="2"/>
        <v>10481.65</v>
      </c>
      <c r="P27" s="4786"/>
      <c r="Q27" s="4786">
        <f>+SUMIF(WRM!$C$7:$C$127,$D27,WRM!$P$7:$P$127)</f>
        <v>9462.7999999999993</v>
      </c>
      <c r="R27" s="4789"/>
      <c r="S27" s="4787">
        <f t="shared" si="3"/>
        <v>19944.449999999997</v>
      </c>
      <c r="T27" s="4786"/>
      <c r="U27" s="4786">
        <f>+SUMIF(WRM!$C$7:$C$127,$D27,WRM!$T$7:$T$127)</f>
        <v>10547.25</v>
      </c>
      <c r="V27" s="4789"/>
      <c r="W27" s="4787">
        <f t="shared" si="4"/>
        <v>30491.699999999997</v>
      </c>
      <c r="X27" s="4790"/>
      <c r="Y27" s="4804">
        <f>+SUMIF(WRM!$C$7:$C$127,$D27,WRM!$X$7:$X$127)</f>
        <v>10947</v>
      </c>
      <c r="Z27" s="4788"/>
      <c r="AA27" s="4788">
        <f t="shared" si="5"/>
        <v>30957.05</v>
      </c>
      <c r="AB27" s="4791"/>
      <c r="AC27" s="4792">
        <f t="shared" si="6"/>
        <v>41438.699999999997</v>
      </c>
      <c r="AD27" s="4786"/>
      <c r="AE27" s="4804">
        <f>+SUMIF(WRM!$C$7:$C$127,$D27,WRM!$AD$7:$AD$127)</f>
        <v>7306.2000000000007</v>
      </c>
      <c r="AF27" s="4789"/>
      <c r="AG27" s="4787">
        <f t="shared" si="7"/>
        <v>48744.899999999994</v>
      </c>
      <c r="AH27" s="4786"/>
      <c r="AI27" s="4786">
        <f>+SUMIF(WRM!$C$7:$C$127,$D27,WRM!$AH$7:$AH$127)</f>
        <v>7740.8</v>
      </c>
      <c r="AJ27" s="4789"/>
      <c r="AK27" s="4787">
        <f t="shared" si="8"/>
        <v>56485.7</v>
      </c>
      <c r="AL27" s="4786"/>
      <c r="AM27" s="4786">
        <f>+SUMIF(WRM!$C$7:$C$127,$D27,WRM!$AL$7:$AL$127)</f>
        <v>8146.7</v>
      </c>
      <c r="AN27" s="4927"/>
      <c r="AO27" s="4788">
        <f t="shared" si="9"/>
        <v>23193.7</v>
      </c>
      <c r="AP27" s="4789"/>
      <c r="AQ27" s="4787">
        <f t="shared" si="0"/>
        <v>64632.399999999994</v>
      </c>
      <c r="AR27" s="4786"/>
      <c r="AS27" s="4786">
        <f>+SUMIF(WRM!$C$7:$C$127,$D27,WRM!$AR$7:$AR$127)</f>
        <v>7150.4000000000096</v>
      </c>
      <c r="AT27" s="4789"/>
      <c r="AU27" s="4787">
        <f t="shared" si="10"/>
        <v>71782.8</v>
      </c>
      <c r="AV27" s="4786"/>
      <c r="AW27" s="4786">
        <f>+SUMIF(WRM!$C$7:$C$127,$D27,WRM!$AV$7:$AV$127)</f>
        <v>8312.7500000000036</v>
      </c>
      <c r="AX27" s="4789"/>
      <c r="AY27" s="4787">
        <f t="shared" si="11"/>
        <v>80095.55</v>
      </c>
      <c r="AZ27" s="4786"/>
      <c r="BA27" s="4786">
        <f>+SUMIF(WRM!$C$7:$C$127,$D27,WRM!$AZ$7:$AZ$127)</f>
        <v>0</v>
      </c>
      <c r="BB27" s="4927"/>
      <c r="BC27" s="4788">
        <f t="shared" si="12"/>
        <v>15463.150000000012</v>
      </c>
      <c r="BD27" s="4791"/>
      <c r="BE27" s="4792">
        <f t="shared" si="13"/>
        <v>38656.850000000013</v>
      </c>
      <c r="BF27" s="4789"/>
      <c r="BG27" s="4787">
        <f t="shared" si="14"/>
        <v>80095.55</v>
      </c>
      <c r="BH27" s="25">
        <f t="shared" si="15"/>
        <v>0</v>
      </c>
      <c r="BI27" s="25"/>
    </row>
    <row r="28" spans="1:61" s="4487" customFormat="1" ht="16.5" x14ac:dyDescent="0.25">
      <c r="C28" s="6051" t="s">
        <v>16</v>
      </c>
      <c r="D28" s="6052" t="s">
        <v>2047</v>
      </c>
      <c r="E28" s="8166"/>
      <c r="F28" s="6051"/>
      <c r="G28" s="4786">
        <f>+SUMIF(WRM!$C$7:$C$127,$D28,WRM!$F$7:$F$127)</f>
        <v>0</v>
      </c>
      <c r="H28" s="4786"/>
      <c r="I28" s="4786">
        <f>+SUMIF(WRM!$C$7:$C$127,$D28,WRM!$H$7:$H$127)</f>
        <v>0</v>
      </c>
      <c r="J28" s="4787"/>
      <c r="K28" s="4787">
        <f t="shared" ref="K28" si="17">+G28+I28</f>
        <v>0</v>
      </c>
      <c r="L28" s="4786"/>
      <c r="M28" s="4786">
        <f>+SUMIF(WRM!$C$7:$C$127,$D28,WRM!$L$7:$L$127)</f>
        <v>0</v>
      </c>
      <c r="N28" s="4788"/>
      <c r="O28" s="4788">
        <f t="shared" ref="O28" si="18">+G28+I28+M28</f>
        <v>0</v>
      </c>
      <c r="P28" s="4786"/>
      <c r="Q28" s="4786">
        <f>+SUMIF(WRM!$C$7:$C$127,$D28,WRM!$P$7:$P$127)</f>
        <v>0</v>
      </c>
      <c r="R28" s="4789"/>
      <c r="S28" s="4787">
        <f t="shared" ref="S28" si="19">O28+Q28</f>
        <v>0</v>
      </c>
      <c r="T28" s="4786"/>
      <c r="U28" s="4786">
        <f>+SUMIF(WRM!$C$7:$C$127,$D28,WRM!$T$7:$T$127)</f>
        <v>0</v>
      </c>
      <c r="V28" s="4789"/>
      <c r="W28" s="4787">
        <f t="shared" ref="W28" si="20">S28+U28</f>
        <v>0</v>
      </c>
      <c r="X28" s="4790"/>
      <c r="Y28" s="4804">
        <f>+SUMIF(WRM!$C$7:$C$127,$D28,WRM!$X$7:$X$127)</f>
        <v>94.3</v>
      </c>
      <c r="Z28" s="4788"/>
      <c r="AA28" s="4788">
        <f t="shared" ref="AA28" si="21">Q28+U28+Y28</f>
        <v>94.3</v>
      </c>
      <c r="AB28" s="4791"/>
      <c r="AC28" s="4792">
        <f t="shared" ref="AC28" si="22">O28+AA28</f>
        <v>94.3</v>
      </c>
      <c r="AD28" s="4786"/>
      <c r="AE28" s="4804">
        <f>+SUMIF(WRM!$C$7:$C$127,$D28,WRM!$AD$7:$AD$127)</f>
        <v>0</v>
      </c>
      <c r="AF28" s="4789"/>
      <c r="AG28" s="4787">
        <f t="shared" ref="AG28" si="23">+AC28+AE28</f>
        <v>94.3</v>
      </c>
      <c r="AH28" s="4786"/>
      <c r="AI28" s="4786">
        <f>+SUMIF(WRM!$C$7:$C$127,$D28,WRM!$AH$7:$AH$127)</f>
        <v>0</v>
      </c>
      <c r="AJ28" s="4789"/>
      <c r="AK28" s="4787">
        <f t="shared" si="8"/>
        <v>94.3</v>
      </c>
      <c r="AL28" s="4786"/>
      <c r="AM28" s="4786">
        <f>+SUMIF(WRM!$C$7:$C$127,$D28,WRM!$AL$7:$AL$127)</f>
        <v>0</v>
      </c>
      <c r="AN28" s="4927"/>
      <c r="AO28" s="4788">
        <f t="shared" ref="AO28" si="24">AE28+AI28+AM28</f>
        <v>0</v>
      </c>
      <c r="AP28" s="4789"/>
      <c r="AQ28" s="4787">
        <f t="shared" ref="AQ28" si="25">+AK28+AM28</f>
        <v>94.3</v>
      </c>
      <c r="AR28" s="4786"/>
      <c r="AS28" s="4786">
        <f>+SUMIF(WRM!$C$7:$C$127,$D28,WRM!$AR$7:$AR$127)</f>
        <v>0</v>
      </c>
      <c r="AT28" s="4789"/>
      <c r="AU28" s="4787">
        <f t="shared" ref="AU28" si="26">+AQ28+AS28</f>
        <v>94.3</v>
      </c>
      <c r="AV28" s="4786"/>
      <c r="AW28" s="4786">
        <f>+SUMIF(WRM!$C$7:$C$127,$D28,WRM!$AV$7:$AV$127)</f>
        <v>0</v>
      </c>
      <c r="AX28" s="4789"/>
      <c r="AY28" s="4787">
        <f t="shared" ref="AY28" si="27">+AU28+AW28</f>
        <v>94.3</v>
      </c>
      <c r="AZ28" s="4786"/>
      <c r="BA28" s="4786">
        <f>+SUMIF(WRM!$C$7:$C$127,$D28,WRM!$AZ$7:$AZ$127)</f>
        <v>0</v>
      </c>
      <c r="BB28" s="4927"/>
      <c r="BC28" s="4788">
        <f t="shared" ref="BC28" si="28">AS28+AW28+BA28</f>
        <v>0</v>
      </c>
      <c r="BD28" s="4791"/>
      <c r="BE28" s="4792">
        <f t="shared" ref="BE28" si="29">AO28+BC28</f>
        <v>0</v>
      </c>
      <c r="BF28" s="4789"/>
      <c r="BG28" s="4787">
        <f t="shared" ref="BG28" si="30">+AY28+BA28</f>
        <v>94.3</v>
      </c>
      <c r="BH28" s="25">
        <f t="shared" si="15"/>
        <v>0</v>
      </c>
      <c r="BI28" s="25"/>
    </row>
    <row r="29" spans="1:61" ht="16.5" x14ac:dyDescent="0.25">
      <c r="C29" s="4784" t="s">
        <v>16</v>
      </c>
      <c r="D29" s="4785" t="s">
        <v>930</v>
      </c>
      <c r="E29" s="8166"/>
      <c r="F29" s="4784"/>
      <c r="G29" s="4786">
        <f>+SUMIF(WRM!$C$7:$C$127,$D29,WRM!$F$7:$F$127)</f>
        <v>43.05</v>
      </c>
      <c r="H29" s="4786"/>
      <c r="I29" s="4786">
        <f>+SUMIF(WRM!$C$7:$C$127,$D29,WRM!$H$7:$H$127)</f>
        <v>2564.5499999999997</v>
      </c>
      <c r="J29" s="4787"/>
      <c r="K29" s="4787">
        <f t="shared" si="16"/>
        <v>2607.6</v>
      </c>
      <c r="L29" s="4786"/>
      <c r="M29" s="4786">
        <f>+SUMIF(WRM!$C$7:$C$127,$D29,WRM!$L$7:$L$127)</f>
        <v>1920.8500000000001</v>
      </c>
      <c r="N29" s="4788"/>
      <c r="O29" s="4788">
        <f t="shared" si="2"/>
        <v>4528.45</v>
      </c>
      <c r="P29" s="4786"/>
      <c r="Q29" s="4786">
        <f>+SUMIF(WRM!$C$7:$C$127,$D29,WRM!$P$7:$P$127)</f>
        <v>2345.1999999999985</v>
      </c>
      <c r="R29" s="4789"/>
      <c r="S29" s="4787">
        <f t="shared" si="3"/>
        <v>6873.6499999999978</v>
      </c>
      <c r="T29" s="4786"/>
      <c r="U29" s="4786">
        <f>+SUMIF(WRM!$C$7:$C$127,$D29,WRM!$T$7:$T$127)</f>
        <v>1430.9</v>
      </c>
      <c r="V29" s="4789"/>
      <c r="W29" s="4787">
        <f t="shared" si="4"/>
        <v>8304.5499999999975</v>
      </c>
      <c r="X29" s="4790"/>
      <c r="Y29" s="4804">
        <f>+SUMIF(WRM!$C$7:$C$127,$D29,WRM!$X$7:$X$127)</f>
        <v>1492.4</v>
      </c>
      <c r="Z29" s="4788"/>
      <c r="AA29" s="4788">
        <f t="shared" si="5"/>
        <v>5268.4999999999982</v>
      </c>
      <c r="AB29" s="4791"/>
      <c r="AC29" s="4792">
        <f t="shared" si="6"/>
        <v>9796.9499999999971</v>
      </c>
      <c r="AD29" s="4786"/>
      <c r="AE29" s="4804">
        <f>+SUMIF(WRM!$C$7:$C$127,$D29,WRM!$AD$7:$AD$127)</f>
        <v>535.04999999999995</v>
      </c>
      <c r="AF29" s="4789"/>
      <c r="AG29" s="4787">
        <f t="shared" si="7"/>
        <v>10331.999999999996</v>
      </c>
      <c r="AH29" s="4786"/>
      <c r="AI29" s="4786">
        <f>+SUMIF(WRM!$C$7:$C$127,$D29,WRM!$AH$7:$AH$127)</f>
        <v>2060.25</v>
      </c>
      <c r="AJ29" s="4789"/>
      <c r="AK29" s="4787">
        <f t="shared" si="8"/>
        <v>12392.249999999996</v>
      </c>
      <c r="AL29" s="4786"/>
      <c r="AM29" s="4786">
        <f>+SUMIF(WRM!$C$7:$C$127,$D29,WRM!$AL$7:$AL$127)</f>
        <v>4034.4</v>
      </c>
      <c r="AN29" s="4927"/>
      <c r="AO29" s="4788">
        <f t="shared" si="9"/>
        <v>6629.7000000000007</v>
      </c>
      <c r="AP29" s="4789"/>
      <c r="AQ29" s="4787">
        <f t="shared" si="0"/>
        <v>16426.649999999998</v>
      </c>
      <c r="AR29" s="4786"/>
      <c r="AS29" s="4786">
        <f>+SUMIF(WRM!$C$7:$C$127,$D29,WRM!$AR$7:$AR$127)</f>
        <v>994.25</v>
      </c>
      <c r="AT29" s="4789"/>
      <c r="AU29" s="4787">
        <f t="shared" si="10"/>
        <v>17420.899999999998</v>
      </c>
      <c r="AV29" s="4786"/>
      <c r="AW29" s="4786">
        <f>+SUMIF(WRM!$C$7:$C$127,$D29,WRM!$AV$7:$AV$127)</f>
        <v>1908.55</v>
      </c>
      <c r="AX29" s="4789"/>
      <c r="AY29" s="4787">
        <f t="shared" si="11"/>
        <v>19329.449999999997</v>
      </c>
      <c r="AZ29" s="4786"/>
      <c r="BA29" s="4786">
        <f>+SUMIF(WRM!$C$7:$C$127,$D29,WRM!$AZ$7:$AZ$127)</f>
        <v>1076.2499999999998</v>
      </c>
      <c r="BB29" s="4927"/>
      <c r="BC29" s="4788">
        <f t="shared" si="12"/>
        <v>3979.05</v>
      </c>
      <c r="BD29" s="4791"/>
      <c r="BE29" s="4792">
        <f t="shared" si="13"/>
        <v>10608.75</v>
      </c>
      <c r="BF29" s="4789"/>
      <c r="BG29" s="4787">
        <f t="shared" si="14"/>
        <v>20405.699999999997</v>
      </c>
      <c r="BH29" s="25">
        <f t="shared" si="15"/>
        <v>0</v>
      </c>
      <c r="BI29" s="25"/>
    </row>
    <row r="30" spans="1:61" ht="16.5" x14ac:dyDescent="0.25">
      <c r="C30" s="4784" t="s">
        <v>16</v>
      </c>
      <c r="D30" s="4785" t="s">
        <v>1077</v>
      </c>
      <c r="E30" s="8166"/>
      <c r="F30" s="4784"/>
      <c r="G30" s="4786">
        <f>+SUMIF(WRM!$C$7:$C$127,$D30,WRM!$F$7:$F$127)</f>
        <v>1861.3999999999999</v>
      </c>
      <c r="H30" s="4786"/>
      <c r="I30" s="4786">
        <f>+SUMIF(WRM!$C$7:$C$127,$D30,WRM!$H$7:$H$127)</f>
        <v>2402.5999999999995</v>
      </c>
      <c r="J30" s="4787"/>
      <c r="K30" s="4787">
        <f t="shared" si="16"/>
        <v>4263.9999999999991</v>
      </c>
      <c r="L30" s="4786"/>
      <c r="M30" s="4786">
        <f>+SUMIF(WRM!$C$7:$C$127,$D30,WRM!$L$7:$L$127)</f>
        <v>0</v>
      </c>
      <c r="N30" s="4788"/>
      <c r="O30" s="4788">
        <f t="shared" si="2"/>
        <v>4263.9999999999991</v>
      </c>
      <c r="P30" s="4786"/>
      <c r="Q30" s="4786">
        <f>+SUMIF(WRM!$C$7:$C$127,$D30,WRM!$P$7:$P$127)</f>
        <v>0</v>
      </c>
      <c r="R30" s="4789"/>
      <c r="S30" s="4787">
        <f t="shared" si="3"/>
        <v>4263.9999999999991</v>
      </c>
      <c r="T30" s="4786"/>
      <c r="U30" s="4786">
        <f>+SUMIF(WRM!$C$7:$C$127,$D30,WRM!$T$7:$T$127)</f>
        <v>940.95000000000016</v>
      </c>
      <c r="V30" s="4789"/>
      <c r="W30" s="4787">
        <f t="shared" si="4"/>
        <v>5204.9499999999989</v>
      </c>
      <c r="X30" s="4790"/>
      <c r="Y30" s="4804">
        <f>+SUMIF(WRM!$C$7:$C$127,$D30,WRM!$X$7:$X$127)</f>
        <v>1281.25</v>
      </c>
      <c r="Z30" s="4788"/>
      <c r="AA30" s="4788">
        <f t="shared" si="5"/>
        <v>2222.2000000000003</v>
      </c>
      <c r="AB30" s="4791"/>
      <c r="AC30" s="4792">
        <f t="shared" si="6"/>
        <v>6486.1999999999989</v>
      </c>
      <c r="AD30" s="4786"/>
      <c r="AE30" s="4804">
        <f>+SUMIF(WRM!$C$7:$C$127,$D30,WRM!$AD$7:$AD$127)</f>
        <v>219.35</v>
      </c>
      <c r="AF30" s="4789"/>
      <c r="AG30" s="4787">
        <f t="shared" si="7"/>
        <v>6705.5499999999993</v>
      </c>
      <c r="AH30" s="4786"/>
      <c r="AI30" s="4786">
        <f>+SUMIF(WRM!$C$7:$C$127,$D30,WRM!$AH$7:$AH$127)</f>
        <v>1051.6500000000001</v>
      </c>
      <c r="AJ30" s="4789"/>
      <c r="AK30" s="4787">
        <f t="shared" si="8"/>
        <v>7757.1999999999989</v>
      </c>
      <c r="AL30" s="4786"/>
      <c r="AM30" s="4786">
        <f>+SUMIF(WRM!$C$7:$C$127,$D30,WRM!$AL$7:$AL$127)</f>
        <v>1389.9</v>
      </c>
      <c r="AN30" s="4927"/>
      <c r="AO30" s="4788">
        <f t="shared" si="9"/>
        <v>2660.9</v>
      </c>
      <c r="AP30" s="4789"/>
      <c r="AQ30" s="4787">
        <f t="shared" si="0"/>
        <v>9147.0999999999985</v>
      </c>
      <c r="AR30" s="4786"/>
      <c r="AS30" s="4786">
        <f>+SUMIF(WRM!$C$7:$C$127,$D30,WRM!$AR$7:$AR$127)</f>
        <v>1799.9</v>
      </c>
      <c r="AT30" s="4789"/>
      <c r="AU30" s="4787">
        <f t="shared" si="10"/>
        <v>10946.999999999998</v>
      </c>
      <c r="AV30" s="4786"/>
      <c r="AW30" s="4786">
        <f>+SUMIF(WRM!$C$7:$C$127,$D30,WRM!$AV$7:$AV$127)</f>
        <v>1605.15</v>
      </c>
      <c r="AX30" s="4789"/>
      <c r="AY30" s="4787">
        <f t="shared" si="11"/>
        <v>12552.149999999998</v>
      </c>
      <c r="AZ30" s="4786"/>
      <c r="BA30" s="4786">
        <f>+SUMIF(WRM!$C$7:$C$127,$D30,WRM!$AZ$7:$AZ$127)</f>
        <v>2865.9</v>
      </c>
      <c r="BB30" s="4927"/>
      <c r="BC30" s="4788">
        <f t="shared" si="12"/>
        <v>6270.9500000000007</v>
      </c>
      <c r="BD30" s="4791"/>
      <c r="BE30" s="4792">
        <f t="shared" si="13"/>
        <v>8931.85</v>
      </c>
      <c r="BF30" s="4789"/>
      <c r="BG30" s="4787">
        <f t="shared" si="14"/>
        <v>15418.049999999997</v>
      </c>
      <c r="BH30" s="25">
        <f t="shared" si="15"/>
        <v>0</v>
      </c>
      <c r="BI30" s="25"/>
    </row>
    <row r="31" spans="1:61" ht="16.5" x14ac:dyDescent="0.25">
      <c r="A31" s="2092"/>
      <c r="B31" s="2092"/>
      <c r="C31" s="4784" t="s">
        <v>16</v>
      </c>
      <c r="D31" s="4785" t="s">
        <v>1528</v>
      </c>
      <c r="E31" s="8166"/>
      <c r="F31" s="4784"/>
      <c r="G31" s="4786">
        <f>+SUMIF(WRM!$C$7:$C$127,$D31,WRM!$F$7:$F$127)</f>
        <v>0</v>
      </c>
      <c r="H31" s="4786"/>
      <c r="I31" s="4786">
        <f>+SUMIF(WRM!$C$7:$C$127,$D31,WRM!$H$7:$H$127)</f>
        <v>0</v>
      </c>
      <c r="J31" s="4787"/>
      <c r="K31" s="4787">
        <f t="shared" si="16"/>
        <v>0</v>
      </c>
      <c r="L31" s="4786"/>
      <c r="M31" s="4786">
        <f>+SUMIF(WRM!$C$7:$C$127,$D31,WRM!$L$7:$L$127)</f>
        <v>0</v>
      </c>
      <c r="N31" s="4788"/>
      <c r="O31" s="4788">
        <f t="shared" si="2"/>
        <v>0</v>
      </c>
      <c r="P31" s="4786"/>
      <c r="Q31" s="4786">
        <f>+SUMIF(WRM!$C$7:$C$127,$D31,WRM!$P$7:$P$127)</f>
        <v>0</v>
      </c>
      <c r="R31" s="4789"/>
      <c r="S31" s="4787">
        <f t="shared" si="3"/>
        <v>0</v>
      </c>
      <c r="T31" s="4786"/>
      <c r="U31" s="4786">
        <f>+SUMIF(WRM!$C$7:$C$127,$D31,WRM!$T$7:$T$127)</f>
        <v>0</v>
      </c>
      <c r="V31" s="4789"/>
      <c r="W31" s="4787">
        <f t="shared" si="4"/>
        <v>0</v>
      </c>
      <c r="X31" s="4790"/>
      <c r="Y31" s="4804">
        <f>+SUMIF(WRM!$C$7:$C$127,$D31,WRM!$X$7:$X$127)</f>
        <v>0</v>
      </c>
      <c r="Z31" s="4788"/>
      <c r="AA31" s="4788">
        <f t="shared" si="5"/>
        <v>0</v>
      </c>
      <c r="AB31" s="4791"/>
      <c r="AC31" s="4792">
        <f t="shared" si="6"/>
        <v>0</v>
      </c>
      <c r="AD31" s="4786"/>
      <c r="AE31" s="4804">
        <f>+SUMIF(WRM!$C$7:$C$127,$D31,WRM!$AD$7:$AD$127)</f>
        <v>0</v>
      </c>
      <c r="AF31" s="4789"/>
      <c r="AG31" s="4787">
        <f t="shared" si="7"/>
        <v>0</v>
      </c>
      <c r="AH31" s="4786"/>
      <c r="AI31" s="4786">
        <f>+SUMIF(WRM!$C$7:$C$127,$D31,WRM!$AH$7:$AH$127)</f>
        <v>0</v>
      </c>
      <c r="AJ31" s="4789"/>
      <c r="AK31" s="4787">
        <f t="shared" si="8"/>
        <v>0</v>
      </c>
      <c r="AL31" s="4786"/>
      <c r="AM31" s="4786">
        <f>+SUMIF(WRM!$C$7:$C$127,$D31,WRM!$AL$7:$AL$127)</f>
        <v>0</v>
      </c>
      <c r="AN31" s="4927"/>
      <c r="AO31" s="4788">
        <f t="shared" si="9"/>
        <v>0</v>
      </c>
      <c r="AP31" s="4789"/>
      <c r="AQ31" s="4787">
        <f t="shared" si="0"/>
        <v>0</v>
      </c>
      <c r="AR31" s="4786"/>
      <c r="AS31" s="4786">
        <f>+SUMIF(WRM!$C$7:$C$127,$D31,WRM!$AR$7:$AR$127)</f>
        <v>0</v>
      </c>
      <c r="AT31" s="4789"/>
      <c r="AU31" s="4787">
        <f t="shared" si="10"/>
        <v>0</v>
      </c>
      <c r="AV31" s="4786"/>
      <c r="AW31" s="4786">
        <f>+SUMIF(WRM!$C$7:$C$127,$D31,WRM!$AV$7:$AV$127)</f>
        <v>0</v>
      </c>
      <c r="AX31" s="4789"/>
      <c r="AY31" s="4787">
        <f t="shared" si="11"/>
        <v>0</v>
      </c>
      <c r="AZ31" s="4786"/>
      <c r="BA31" s="4786">
        <f>+SUMIF(WRM!$C$7:$C$127,$D31,WRM!$AZ$7:$AZ$127)</f>
        <v>0</v>
      </c>
      <c r="BB31" s="4927"/>
      <c r="BC31" s="4788">
        <f t="shared" si="12"/>
        <v>0</v>
      </c>
      <c r="BD31" s="4791"/>
      <c r="BE31" s="4792">
        <f t="shared" si="13"/>
        <v>0</v>
      </c>
      <c r="BF31" s="4789"/>
      <c r="BG31" s="4787">
        <f t="shared" si="14"/>
        <v>0</v>
      </c>
      <c r="BH31" s="25">
        <f t="shared" si="15"/>
        <v>0</v>
      </c>
      <c r="BI31" s="25"/>
    </row>
    <row r="32" spans="1:61" ht="16.5" x14ac:dyDescent="0.25">
      <c r="C32" s="4784" t="s">
        <v>16</v>
      </c>
      <c r="D32" s="4785" t="s">
        <v>994</v>
      </c>
      <c r="E32" s="8166"/>
      <c r="F32" s="4784"/>
      <c r="G32" s="4786">
        <f>+SUMIF(WRM!$C$7:$C$127,$D32,WRM!$F$7:$F$127)</f>
        <v>0</v>
      </c>
      <c r="H32" s="4786"/>
      <c r="I32" s="4786">
        <f>+SUMIF(WRM!$C$7:$C$127,$D32,WRM!$H$7:$H$127)</f>
        <v>2585.0500000000002</v>
      </c>
      <c r="J32" s="4787"/>
      <c r="K32" s="4787">
        <f t="shared" ref="K32:K37" si="31">+G32+I32</f>
        <v>2585.0500000000002</v>
      </c>
      <c r="L32" s="4786"/>
      <c r="M32" s="4786">
        <f>+SUMIF(WRM!$C$7:$C$127,$D32,WRM!$L$7:$L$127)</f>
        <v>1785.55</v>
      </c>
      <c r="N32" s="4788"/>
      <c r="O32" s="4788">
        <f t="shared" ref="O32:O37" si="32">+G32+I32+M32</f>
        <v>4370.6000000000004</v>
      </c>
      <c r="P32" s="4786"/>
      <c r="Q32" s="4786">
        <f>+SUMIF(WRM!$C$7:$C$127,$D32,WRM!$P$7:$P$127)</f>
        <v>820</v>
      </c>
      <c r="R32" s="4789"/>
      <c r="S32" s="4787">
        <f t="shared" ref="S32:S37" si="33">O32+Q32</f>
        <v>5190.6000000000004</v>
      </c>
      <c r="T32" s="4786"/>
      <c r="U32" s="4786">
        <f>+SUMIF(WRM!$C$7:$C$127,$D32,WRM!$T$7:$T$127)</f>
        <v>578.1</v>
      </c>
      <c r="V32" s="4789"/>
      <c r="W32" s="4787">
        <f t="shared" si="4"/>
        <v>5768.7000000000007</v>
      </c>
      <c r="X32" s="4790"/>
      <c r="Y32" s="4804">
        <f>+SUMIF(WRM!$C$7:$C$127,$D32,WRM!$X$7:$X$127)</f>
        <v>0</v>
      </c>
      <c r="Z32" s="4788"/>
      <c r="AA32" s="4788">
        <f t="shared" ref="AA32:AA37" si="34">Q32+U32+Y32</f>
        <v>1398.1</v>
      </c>
      <c r="AB32" s="4791"/>
      <c r="AC32" s="4792">
        <f t="shared" ref="AC32:AC37" si="35">O32+AA32</f>
        <v>5768.7000000000007</v>
      </c>
      <c r="AD32" s="4786"/>
      <c r="AE32" s="4804">
        <f>+SUMIF(WRM!$C$7:$C$127,$D32,WRM!$AD$7:$AD$127)</f>
        <v>1053.6999999999998</v>
      </c>
      <c r="AF32" s="4789"/>
      <c r="AG32" s="4787">
        <f t="shared" ref="AG32:AG37" si="36">+AC32+AE32</f>
        <v>6822.4000000000005</v>
      </c>
      <c r="AH32" s="4786"/>
      <c r="AI32" s="4786">
        <f>+SUMIF(WRM!$C$7:$C$127,$D32,WRM!$AH$7:$AH$127)</f>
        <v>172.2</v>
      </c>
      <c r="AJ32" s="4789"/>
      <c r="AK32" s="4787">
        <f t="shared" si="8"/>
        <v>6994.6</v>
      </c>
      <c r="AL32" s="4786"/>
      <c r="AM32" s="4786">
        <f>+SUMIF(WRM!$C$7:$C$127,$D32,WRM!$AL$7:$AL$127)</f>
        <v>2509.2000000000007</v>
      </c>
      <c r="AN32" s="4927"/>
      <c r="AO32" s="4788">
        <f t="shared" ref="AO32:AO37" si="37">AE32+AI32+AM32</f>
        <v>3735.1000000000004</v>
      </c>
      <c r="AP32" s="4789"/>
      <c r="AQ32" s="4787">
        <f t="shared" ref="AQ32:AQ37" si="38">+AK32+AM32</f>
        <v>9503.8000000000011</v>
      </c>
      <c r="AR32" s="4786"/>
      <c r="AS32" s="4786">
        <f>+SUMIF(WRM!$C$7:$C$127,$D32,WRM!$AR$7:$AR$127)</f>
        <v>774.9</v>
      </c>
      <c r="AT32" s="4789"/>
      <c r="AU32" s="4787">
        <f t="shared" ref="AU32:AU37" si="39">+AQ32+AS32</f>
        <v>10278.700000000001</v>
      </c>
      <c r="AV32" s="4786"/>
      <c r="AW32" s="4786">
        <f>+SUMIF(WRM!$C$7:$C$127,$D32,WRM!$AV$7:$AV$127)</f>
        <v>0</v>
      </c>
      <c r="AX32" s="4789"/>
      <c r="AY32" s="4787">
        <f t="shared" si="11"/>
        <v>10278.700000000001</v>
      </c>
      <c r="AZ32" s="4786"/>
      <c r="BA32" s="4786">
        <f>+SUMIF(WRM!$C$7:$C$127,$D32,WRM!$AZ$7:$AZ$127)</f>
        <v>3372.25</v>
      </c>
      <c r="BB32" s="4927"/>
      <c r="BC32" s="4788">
        <f t="shared" si="12"/>
        <v>4147.1499999999996</v>
      </c>
      <c r="BD32" s="4791"/>
      <c r="BE32" s="4792">
        <f t="shared" si="13"/>
        <v>7882.25</v>
      </c>
      <c r="BF32" s="4789"/>
      <c r="BG32" s="4787">
        <f t="shared" si="14"/>
        <v>13650.95</v>
      </c>
      <c r="BH32" s="25">
        <f t="shared" si="15"/>
        <v>0</v>
      </c>
      <c r="BI32" s="25"/>
    </row>
    <row r="33" spans="3:62" ht="16.5" x14ac:dyDescent="0.25">
      <c r="C33" s="4784" t="s">
        <v>16</v>
      </c>
      <c r="D33" s="4785" t="s">
        <v>995</v>
      </c>
      <c r="E33" s="8166"/>
      <c r="F33" s="4784"/>
      <c r="G33" s="4786">
        <f>+SUMIF(WRM!$C$7:$C$127,$D33,WRM!$F$7:$F$127)</f>
        <v>0</v>
      </c>
      <c r="H33" s="4786"/>
      <c r="I33" s="4786">
        <f>+SUMIF(WRM!$C$7:$C$127,$D33,WRM!$H$7:$H$127)</f>
        <v>2457.9500000000003</v>
      </c>
      <c r="J33" s="4787"/>
      <c r="K33" s="4787">
        <f t="shared" si="31"/>
        <v>2457.9500000000003</v>
      </c>
      <c r="L33" s="4786"/>
      <c r="M33" s="4786">
        <f>+SUMIF(WRM!$C$7:$C$127,$D33,WRM!$L$7:$L$127)</f>
        <v>1814.25</v>
      </c>
      <c r="N33" s="4788"/>
      <c r="O33" s="4788">
        <f t="shared" si="32"/>
        <v>4272.2000000000007</v>
      </c>
      <c r="P33" s="4786"/>
      <c r="Q33" s="4786">
        <f>+SUMIF(WRM!$C$7:$C$127,$D33,WRM!$P$7:$P$127)</f>
        <v>1137.75</v>
      </c>
      <c r="R33" s="4789"/>
      <c r="S33" s="4787">
        <f t="shared" si="33"/>
        <v>5409.9500000000007</v>
      </c>
      <c r="T33" s="4786"/>
      <c r="U33" s="4786">
        <f>+SUMIF(WRM!$C$7:$C$127,$D33,WRM!$T$7:$T$127)</f>
        <v>2359.5500000000002</v>
      </c>
      <c r="V33" s="4789"/>
      <c r="W33" s="4787">
        <f t="shared" ref="W33:W37" si="40">S33+U33</f>
        <v>7769.5000000000009</v>
      </c>
      <c r="X33" s="4790"/>
      <c r="Y33" s="4804">
        <f>+SUMIF(WRM!$C$7:$C$127,$D33,WRM!$X$7:$X$127)</f>
        <v>2312.3999999999996</v>
      </c>
      <c r="Z33" s="4788"/>
      <c r="AA33" s="4788">
        <f t="shared" si="34"/>
        <v>5809.7</v>
      </c>
      <c r="AB33" s="4791"/>
      <c r="AC33" s="4792">
        <f t="shared" si="35"/>
        <v>10081.900000000001</v>
      </c>
      <c r="AD33" s="4786"/>
      <c r="AE33" s="4804">
        <f>+SUMIF(WRM!$C$7:$C$127,$D33,WRM!$AD$7:$AD$127)</f>
        <v>1941.3499999999997</v>
      </c>
      <c r="AF33" s="4789"/>
      <c r="AG33" s="4787">
        <f t="shared" si="36"/>
        <v>12023.250000000002</v>
      </c>
      <c r="AH33" s="4786"/>
      <c r="AI33" s="4786">
        <f>+SUMIF(WRM!$C$7:$C$127,$D33,WRM!$AH$7:$AH$127)</f>
        <v>672.39999999999986</v>
      </c>
      <c r="AJ33" s="4789"/>
      <c r="AK33" s="4787">
        <f t="shared" si="8"/>
        <v>12695.650000000001</v>
      </c>
      <c r="AL33" s="4786"/>
      <c r="AM33" s="4786">
        <f>+SUMIF(WRM!$C$7:$C$127,$D33,WRM!$AL$7:$AL$127)</f>
        <v>4637.1000000000004</v>
      </c>
      <c r="AN33" s="4927"/>
      <c r="AO33" s="4788">
        <f t="shared" si="37"/>
        <v>7250.85</v>
      </c>
      <c r="AP33" s="4789"/>
      <c r="AQ33" s="4787">
        <f t="shared" si="38"/>
        <v>17332.75</v>
      </c>
      <c r="AR33" s="4786"/>
      <c r="AS33" s="4786">
        <f>+SUMIF(WRM!$C$7:$C$127,$D33,WRM!$AR$7:$AR$127)</f>
        <v>3862.2</v>
      </c>
      <c r="AT33" s="4789"/>
      <c r="AU33" s="4787">
        <f t="shared" si="39"/>
        <v>21194.95</v>
      </c>
      <c r="AV33" s="4786"/>
      <c r="AW33" s="4786">
        <f>+SUMIF(WRM!$C$7:$C$127,$D33,WRM!$AV$7:$AV$127)</f>
        <v>0</v>
      </c>
      <c r="AX33" s="4789"/>
      <c r="AY33" s="4787">
        <f t="shared" si="11"/>
        <v>21194.95</v>
      </c>
      <c r="AZ33" s="4786"/>
      <c r="BA33" s="4786">
        <f>+SUMIF(WRM!$C$7:$C$127,$D33,WRM!$AZ$7:$AZ$127)</f>
        <v>9263.9499999999989</v>
      </c>
      <c r="BB33" s="4927"/>
      <c r="BC33" s="4788">
        <f t="shared" si="12"/>
        <v>13126.149999999998</v>
      </c>
      <c r="BD33" s="4791"/>
      <c r="BE33" s="4792">
        <f t="shared" si="13"/>
        <v>20377</v>
      </c>
      <c r="BF33" s="4789"/>
      <c r="BG33" s="4787">
        <f t="shared" si="14"/>
        <v>30458.9</v>
      </c>
      <c r="BH33" s="25">
        <f t="shared" si="15"/>
        <v>0</v>
      </c>
      <c r="BI33" s="25"/>
    </row>
    <row r="34" spans="3:62" ht="16.5" x14ac:dyDescent="0.25">
      <c r="C34" s="4784" t="s">
        <v>16</v>
      </c>
      <c r="D34" s="4785" t="s">
        <v>1345</v>
      </c>
      <c r="E34" s="8166"/>
      <c r="F34" s="4784"/>
      <c r="G34" s="4786">
        <f>+SUMIF(WRM!$C$7:$C$127,$D34,WRM!$F$7:$F$127)</f>
        <v>0</v>
      </c>
      <c r="H34" s="4786"/>
      <c r="I34" s="4786">
        <f>+SUMIF(WRM!$C$7:$C$127,$D34,WRM!$H$7:$H$127)</f>
        <v>0</v>
      </c>
      <c r="J34" s="4787"/>
      <c r="K34" s="4787">
        <f t="shared" si="31"/>
        <v>0</v>
      </c>
      <c r="L34" s="4786"/>
      <c r="M34" s="4786">
        <f>+SUMIF(WRM!$C$7:$C$127,$D34,WRM!$L$7:$L$127)</f>
        <v>0</v>
      </c>
      <c r="N34" s="4788"/>
      <c r="O34" s="4788">
        <f t="shared" si="32"/>
        <v>0</v>
      </c>
      <c r="P34" s="4786"/>
      <c r="Q34" s="4786">
        <f>+SUMIF(WRM!$C$7:$C$127,$D34,WRM!$P$7:$P$127)</f>
        <v>0</v>
      </c>
      <c r="R34" s="4789"/>
      <c r="S34" s="4787">
        <f t="shared" si="33"/>
        <v>0</v>
      </c>
      <c r="T34" s="4786"/>
      <c r="U34" s="4786">
        <f>+SUMIF(WRM!$C$7:$C$127,$D34,WRM!$T$7:$T$127)</f>
        <v>0</v>
      </c>
      <c r="V34" s="4789"/>
      <c r="W34" s="4787">
        <f t="shared" si="40"/>
        <v>0</v>
      </c>
      <c r="X34" s="4790"/>
      <c r="Y34" s="4804">
        <f>+SUMIF(WRM!$C$7:$C$127,$D34,WRM!$X$7:$X$127)</f>
        <v>0</v>
      </c>
      <c r="Z34" s="4788"/>
      <c r="AA34" s="4788">
        <f t="shared" si="34"/>
        <v>0</v>
      </c>
      <c r="AB34" s="4791"/>
      <c r="AC34" s="4792">
        <f t="shared" si="35"/>
        <v>0</v>
      </c>
      <c r="AD34" s="4786"/>
      <c r="AE34" s="4804">
        <f>+SUMIF(WRM!$C$7:$C$127,$D34,WRM!$AD$7:$AD$127)</f>
        <v>0</v>
      </c>
      <c r="AF34" s="4789"/>
      <c r="AG34" s="4787">
        <f t="shared" si="36"/>
        <v>0</v>
      </c>
      <c r="AH34" s="4786"/>
      <c r="AI34" s="4786">
        <f>+SUMIF(WRM!$C$7:$C$127,$D34,WRM!$AH$7:$AH$127)</f>
        <v>0</v>
      </c>
      <c r="AJ34" s="4789"/>
      <c r="AK34" s="4787">
        <f t="shared" si="8"/>
        <v>0</v>
      </c>
      <c r="AL34" s="4786"/>
      <c r="AM34" s="4786">
        <f>+SUMIF(WRM!$C$7:$C$127,$D34,WRM!$AL$7:$AL$127)</f>
        <v>0</v>
      </c>
      <c r="AN34" s="4927"/>
      <c r="AO34" s="4788">
        <f t="shared" si="37"/>
        <v>0</v>
      </c>
      <c r="AP34" s="4789"/>
      <c r="AQ34" s="4787">
        <f t="shared" si="38"/>
        <v>0</v>
      </c>
      <c r="AR34" s="4786"/>
      <c r="AS34" s="4786">
        <f>+SUMIF(WRM!$C$7:$C$127,$D34,WRM!$AR$7:$AR$127)</f>
        <v>0</v>
      </c>
      <c r="AT34" s="4789"/>
      <c r="AU34" s="4787">
        <f t="shared" si="39"/>
        <v>0</v>
      </c>
      <c r="AV34" s="4786"/>
      <c r="AW34" s="4786">
        <f>+SUMIF(WRM!$C$7:$C$127,$D34,WRM!$AV$7:$AV$127)</f>
        <v>0</v>
      </c>
      <c r="AX34" s="4789"/>
      <c r="AY34" s="4787">
        <f t="shared" si="11"/>
        <v>0</v>
      </c>
      <c r="AZ34" s="4786"/>
      <c r="BA34" s="4786">
        <f>+SUMIF(WRM!$C$7:$C$127,$D34,WRM!$AZ$7:$AZ$127)</f>
        <v>0</v>
      </c>
      <c r="BB34" s="4927"/>
      <c r="BC34" s="4788">
        <f t="shared" si="12"/>
        <v>0</v>
      </c>
      <c r="BD34" s="4791"/>
      <c r="BE34" s="4792">
        <f t="shared" si="13"/>
        <v>0</v>
      </c>
      <c r="BF34" s="4789"/>
      <c r="BG34" s="4787">
        <f t="shared" si="14"/>
        <v>0</v>
      </c>
      <c r="BH34" s="25">
        <f t="shared" si="15"/>
        <v>0</v>
      </c>
      <c r="BI34" s="25"/>
    </row>
    <row r="35" spans="3:62" ht="16.5" x14ac:dyDescent="0.25">
      <c r="C35" s="4784" t="s">
        <v>16</v>
      </c>
      <c r="D35" s="4785" t="s">
        <v>1395</v>
      </c>
      <c r="E35" s="8166"/>
      <c r="F35" s="4784"/>
      <c r="G35" s="4786">
        <f>+SUMIF(WRM!$C$7:$C$127,$D35,WRM!$F$7:$F$127)</f>
        <v>0</v>
      </c>
      <c r="H35" s="4786"/>
      <c r="I35" s="4786">
        <f>+SUMIF(WRM!$C$7:$C$127,$D35,WRM!$H$7:$H$127)</f>
        <v>0</v>
      </c>
      <c r="J35" s="4787"/>
      <c r="K35" s="4787">
        <f t="shared" si="31"/>
        <v>0</v>
      </c>
      <c r="L35" s="4786"/>
      <c r="M35" s="4786">
        <f>+SUMIF(WRM!$C$7:$C$127,$D35,WRM!$L$7:$L$127)</f>
        <v>0</v>
      </c>
      <c r="N35" s="4788"/>
      <c r="O35" s="4788">
        <f t="shared" si="32"/>
        <v>0</v>
      </c>
      <c r="P35" s="4786"/>
      <c r="Q35" s="4786">
        <f>+SUMIF(WRM!$C$7:$C$127,$D35,WRM!$P$7:$P$127)</f>
        <v>0</v>
      </c>
      <c r="R35" s="4789"/>
      <c r="S35" s="4787">
        <f t="shared" si="33"/>
        <v>0</v>
      </c>
      <c r="T35" s="4786"/>
      <c r="U35" s="4786">
        <f>+SUMIF(WRM!$C$7:$C$127,$D35,WRM!$T$7:$T$127)</f>
        <v>0</v>
      </c>
      <c r="V35" s="4789"/>
      <c r="W35" s="4787">
        <f t="shared" si="40"/>
        <v>0</v>
      </c>
      <c r="X35" s="4790"/>
      <c r="Y35" s="4804">
        <f>+SUMIF(WRM!$C$7:$C$127,$D35,WRM!$X$7:$X$127)</f>
        <v>0</v>
      </c>
      <c r="Z35" s="4788"/>
      <c r="AA35" s="4788">
        <f t="shared" si="34"/>
        <v>0</v>
      </c>
      <c r="AB35" s="4791"/>
      <c r="AC35" s="4792">
        <f t="shared" si="35"/>
        <v>0</v>
      </c>
      <c r="AD35" s="4786"/>
      <c r="AE35" s="4804">
        <f>+SUMIF(WRM!$C$7:$C$127,$D35,WRM!$AD$7:$AD$127)</f>
        <v>0</v>
      </c>
      <c r="AF35" s="4789"/>
      <c r="AG35" s="4787">
        <f t="shared" si="36"/>
        <v>0</v>
      </c>
      <c r="AH35" s="4786"/>
      <c r="AI35" s="4786">
        <f>+SUMIF(WRM!$C$7:$C$127,$D35,WRM!$AH$7:$AH$127)</f>
        <v>0</v>
      </c>
      <c r="AJ35" s="4789"/>
      <c r="AK35" s="4787">
        <f t="shared" si="8"/>
        <v>0</v>
      </c>
      <c r="AL35" s="4786"/>
      <c r="AM35" s="4786">
        <f>+SUMIF(WRM!$C$7:$C$127,$D35,WRM!$AL$7:$AL$127)</f>
        <v>0</v>
      </c>
      <c r="AN35" s="4927"/>
      <c r="AO35" s="4788">
        <f t="shared" si="37"/>
        <v>0</v>
      </c>
      <c r="AP35" s="4789"/>
      <c r="AQ35" s="4787">
        <f t="shared" si="38"/>
        <v>0</v>
      </c>
      <c r="AR35" s="4786"/>
      <c r="AS35" s="4786">
        <f>+SUMIF(WRM!$C$7:$C$127,$D35,WRM!$AR$7:$AR$127)</f>
        <v>0</v>
      </c>
      <c r="AT35" s="4789"/>
      <c r="AU35" s="4787">
        <f t="shared" si="39"/>
        <v>0</v>
      </c>
      <c r="AV35" s="4786"/>
      <c r="AW35" s="4786">
        <f>+SUMIF(WRM!$C$7:$C$127,$D35,WRM!$AV$7:$AV$127)</f>
        <v>0</v>
      </c>
      <c r="AX35" s="4789"/>
      <c r="AY35" s="4787">
        <f t="shared" si="11"/>
        <v>0</v>
      </c>
      <c r="AZ35" s="4786"/>
      <c r="BA35" s="4786">
        <f>+SUMIF(WRM!$C$7:$C$127,$D35,WRM!$AZ$7:$AZ$127)</f>
        <v>0</v>
      </c>
      <c r="BB35" s="4927"/>
      <c r="BC35" s="4788">
        <f t="shared" si="12"/>
        <v>0</v>
      </c>
      <c r="BD35" s="4791"/>
      <c r="BE35" s="4792">
        <f t="shared" si="13"/>
        <v>0</v>
      </c>
      <c r="BF35" s="4789"/>
      <c r="BG35" s="4787">
        <f t="shared" si="14"/>
        <v>0</v>
      </c>
      <c r="BH35" s="25">
        <f t="shared" si="15"/>
        <v>0</v>
      </c>
      <c r="BI35" s="25"/>
    </row>
    <row r="36" spans="3:62" ht="16.5" x14ac:dyDescent="0.25">
      <c r="C36" s="4784" t="s">
        <v>16</v>
      </c>
      <c r="D36" s="4785" t="s">
        <v>1451</v>
      </c>
      <c r="E36" s="8166"/>
      <c r="F36" s="4784"/>
      <c r="G36" s="4786">
        <f>+SUMIF(WRM!$C$7:$C$127,$D36,WRM!$F$7:$F$127)</f>
        <v>0</v>
      </c>
      <c r="H36" s="4786"/>
      <c r="I36" s="4786">
        <f>+SUMIF(WRM!$C$7:$C$127,$D36,WRM!$H$7:$H$127)</f>
        <v>0</v>
      </c>
      <c r="J36" s="4787"/>
      <c r="K36" s="4787">
        <f t="shared" si="31"/>
        <v>0</v>
      </c>
      <c r="L36" s="4786"/>
      <c r="M36" s="4786">
        <f>+SUMIF(WRM!$C$7:$C$127,$D36,WRM!$L$7:$L$127)</f>
        <v>0</v>
      </c>
      <c r="N36" s="4788"/>
      <c r="O36" s="4788">
        <f t="shared" si="32"/>
        <v>0</v>
      </c>
      <c r="P36" s="4786"/>
      <c r="Q36" s="4786">
        <f>+SUMIF(WRM!$C$7:$C$127,$D36,WRM!$P$7:$P$127)</f>
        <v>0</v>
      </c>
      <c r="R36" s="4789"/>
      <c r="S36" s="4787">
        <f t="shared" si="33"/>
        <v>0</v>
      </c>
      <c r="T36" s="4786"/>
      <c r="U36" s="4786">
        <f>+SUMIF(WRM!$C$7:$C$127,$D36,WRM!$T$7:$T$127)</f>
        <v>0</v>
      </c>
      <c r="V36" s="4789"/>
      <c r="W36" s="4787">
        <f t="shared" si="40"/>
        <v>0</v>
      </c>
      <c r="X36" s="4790"/>
      <c r="Y36" s="4804">
        <f>+SUMIF(WRM!$C$7:$C$127,$D36,WRM!$X$7:$X$127)</f>
        <v>0</v>
      </c>
      <c r="Z36" s="4788"/>
      <c r="AA36" s="4788">
        <f t="shared" si="34"/>
        <v>0</v>
      </c>
      <c r="AB36" s="4791"/>
      <c r="AC36" s="4792">
        <f t="shared" si="35"/>
        <v>0</v>
      </c>
      <c r="AD36" s="4786"/>
      <c r="AE36" s="4804">
        <f>+SUMIF(WRM!$C$7:$C$127,$D36,WRM!$AD$7:$AD$127)</f>
        <v>0</v>
      </c>
      <c r="AF36" s="4789"/>
      <c r="AG36" s="4787">
        <f t="shared" si="36"/>
        <v>0</v>
      </c>
      <c r="AH36" s="4786"/>
      <c r="AI36" s="4786">
        <f>+SUMIF(WRM!$C$7:$C$127,$D36,WRM!$AH$7:$AH$127)</f>
        <v>0</v>
      </c>
      <c r="AJ36" s="4789"/>
      <c r="AK36" s="4787">
        <f t="shared" si="8"/>
        <v>0</v>
      </c>
      <c r="AL36" s="4786"/>
      <c r="AM36" s="4786">
        <f>+SUMIF(WRM!$C$7:$C$127,$D36,WRM!$AL$7:$AL$127)</f>
        <v>0</v>
      </c>
      <c r="AN36" s="4927"/>
      <c r="AO36" s="4788">
        <f t="shared" si="37"/>
        <v>0</v>
      </c>
      <c r="AP36" s="4789"/>
      <c r="AQ36" s="4787">
        <f t="shared" si="38"/>
        <v>0</v>
      </c>
      <c r="AR36" s="4786"/>
      <c r="AS36" s="4786">
        <f>+SUMIF(WRM!$C$7:$C$127,$D36,WRM!$AR$7:$AR$127)</f>
        <v>0</v>
      </c>
      <c r="AT36" s="4789"/>
      <c r="AU36" s="4787">
        <f t="shared" si="39"/>
        <v>0</v>
      </c>
      <c r="AV36" s="4786"/>
      <c r="AW36" s="4786">
        <f>+SUMIF(WRM!$C$7:$C$127,$D36,WRM!$AV$7:$AV$127)</f>
        <v>0</v>
      </c>
      <c r="AX36" s="4789"/>
      <c r="AY36" s="4787">
        <f t="shared" si="11"/>
        <v>0</v>
      </c>
      <c r="AZ36" s="4786"/>
      <c r="BA36" s="4786">
        <f>+SUMIF(WRM!$C$7:$C$127,$D36,WRM!$AZ$7:$AZ$127)</f>
        <v>0</v>
      </c>
      <c r="BB36" s="4927"/>
      <c r="BC36" s="4788">
        <f t="shared" si="12"/>
        <v>0</v>
      </c>
      <c r="BD36" s="4791"/>
      <c r="BE36" s="4792">
        <f t="shared" si="13"/>
        <v>0</v>
      </c>
      <c r="BF36" s="4789"/>
      <c r="BG36" s="4787">
        <f t="shared" si="14"/>
        <v>0</v>
      </c>
      <c r="BH36" s="25">
        <f t="shared" si="15"/>
        <v>0</v>
      </c>
      <c r="BI36" s="25"/>
    </row>
    <row r="37" spans="3:62" ht="16.5" x14ac:dyDescent="0.25">
      <c r="C37" s="4784" t="s">
        <v>16</v>
      </c>
      <c r="D37" s="4785" t="s">
        <v>1397</v>
      </c>
      <c r="E37" s="8166"/>
      <c r="F37" s="4784"/>
      <c r="G37" s="4786">
        <f>+SUMIF(WRM!$C$7:$C$127,$D37,WRM!$F$7:$F$127)</f>
        <v>0</v>
      </c>
      <c r="H37" s="4786"/>
      <c r="I37" s="4786">
        <f>+SUMIF(WRM!$C$7:$C$127,$D37,WRM!$H$7:$H$127)</f>
        <v>200.89999999999998</v>
      </c>
      <c r="J37" s="4787"/>
      <c r="K37" s="4787">
        <f t="shared" si="31"/>
        <v>200.89999999999998</v>
      </c>
      <c r="L37" s="4786"/>
      <c r="M37" s="4786">
        <f>+SUMIF(WRM!$C$7:$C$127,$D37,WRM!$L$7:$L$127)</f>
        <v>0</v>
      </c>
      <c r="N37" s="4788"/>
      <c r="O37" s="4788">
        <f t="shared" si="32"/>
        <v>200.89999999999998</v>
      </c>
      <c r="P37" s="4786"/>
      <c r="Q37" s="4786">
        <f>+SUMIF(WRM!$C$7:$C$127,$D37,WRM!$P$7:$P$127)</f>
        <v>0</v>
      </c>
      <c r="R37" s="4789"/>
      <c r="S37" s="4787">
        <f t="shared" si="33"/>
        <v>200.89999999999998</v>
      </c>
      <c r="T37" s="4786"/>
      <c r="U37" s="4786">
        <f>+SUMIF(WRM!$C$7:$C$127,$D37,WRM!$T$7:$T$127)</f>
        <v>0</v>
      </c>
      <c r="V37" s="4789"/>
      <c r="W37" s="4787">
        <f t="shared" si="40"/>
        <v>200.89999999999998</v>
      </c>
      <c r="X37" s="4790"/>
      <c r="Y37" s="4804">
        <f>+SUMIF(WRM!$C$7:$C$127,$D37,WRM!$X$7:$X$127)</f>
        <v>0</v>
      </c>
      <c r="Z37" s="4788"/>
      <c r="AA37" s="4788">
        <f t="shared" si="34"/>
        <v>0</v>
      </c>
      <c r="AB37" s="4791"/>
      <c r="AC37" s="4792">
        <f t="shared" si="35"/>
        <v>200.89999999999998</v>
      </c>
      <c r="AD37" s="4786"/>
      <c r="AE37" s="4804">
        <f>+SUMIF(WRM!$C$7:$C$127,$D37,WRM!$AD$7:$AD$127)</f>
        <v>0</v>
      </c>
      <c r="AF37" s="4789"/>
      <c r="AG37" s="4787">
        <f t="shared" si="36"/>
        <v>200.89999999999998</v>
      </c>
      <c r="AH37" s="4786"/>
      <c r="AI37" s="4786">
        <f>+SUMIF(WRM!$C$7:$C$127,$D37,WRM!$AH$7:$AH$127)</f>
        <v>0</v>
      </c>
      <c r="AJ37" s="4789"/>
      <c r="AK37" s="4787">
        <f t="shared" si="8"/>
        <v>200.89999999999998</v>
      </c>
      <c r="AL37" s="4786"/>
      <c r="AM37" s="4786">
        <f>+SUMIF(WRM!$C$7:$C$127,$D37,WRM!$AL$7:$AL$127)</f>
        <v>20.5</v>
      </c>
      <c r="AN37" s="4927"/>
      <c r="AO37" s="4788">
        <f t="shared" si="37"/>
        <v>20.5</v>
      </c>
      <c r="AP37" s="4789"/>
      <c r="AQ37" s="4787">
        <f t="shared" si="38"/>
        <v>221.39999999999998</v>
      </c>
      <c r="AR37" s="4786"/>
      <c r="AS37" s="4786">
        <f>+SUMIF(WRM!$C$7:$C$127,$D37,WRM!$AR$7:$AR$127)</f>
        <v>182.45</v>
      </c>
      <c r="AT37" s="4789"/>
      <c r="AU37" s="4787">
        <f t="shared" si="39"/>
        <v>403.84999999999997</v>
      </c>
      <c r="AV37" s="4786"/>
      <c r="AW37" s="4786">
        <f>+SUMIF(WRM!$C$7:$C$127,$D37,WRM!$AV$7:$AV$127)</f>
        <v>20.5</v>
      </c>
      <c r="AX37" s="4789"/>
      <c r="AY37" s="4787">
        <f t="shared" si="11"/>
        <v>424.34999999999997</v>
      </c>
      <c r="AZ37" s="4786"/>
      <c r="BA37" s="4786">
        <f>+SUMIF(WRM!$C$7:$C$127,$D37,WRM!$AZ$7:$AZ$127)</f>
        <v>137.35000000000002</v>
      </c>
      <c r="BB37" s="4927"/>
      <c r="BC37" s="4788">
        <f t="shared" si="12"/>
        <v>340.3</v>
      </c>
      <c r="BD37" s="4791"/>
      <c r="BE37" s="4792">
        <f t="shared" si="13"/>
        <v>360.8</v>
      </c>
      <c r="BF37" s="4789"/>
      <c r="BG37" s="4787">
        <f t="shared" si="14"/>
        <v>561.70000000000005</v>
      </c>
      <c r="BH37" s="25">
        <f t="shared" si="15"/>
        <v>0</v>
      </c>
      <c r="BI37" s="25"/>
    </row>
    <row r="38" spans="3:62" ht="16.5" x14ac:dyDescent="0.25">
      <c r="C38" s="8162" t="s">
        <v>925</v>
      </c>
      <c r="D38" s="8162"/>
      <c r="E38" s="8166"/>
      <c r="F38" s="4799"/>
      <c r="G38" s="4800">
        <f t="shared" ref="G38:AM38" si="41">SUM(G4:G37)</f>
        <v>41289.049999999996</v>
      </c>
      <c r="H38" s="4800">
        <f t="shared" si="41"/>
        <v>0</v>
      </c>
      <c r="I38" s="4800">
        <f t="shared" si="41"/>
        <v>36334.199999999997</v>
      </c>
      <c r="J38" s="4800">
        <f t="shared" si="41"/>
        <v>0</v>
      </c>
      <c r="K38" s="4801">
        <f t="shared" si="41"/>
        <v>77623.249999999985</v>
      </c>
      <c r="L38" s="4800">
        <f t="shared" si="41"/>
        <v>0</v>
      </c>
      <c r="M38" s="4800">
        <f t="shared" si="41"/>
        <v>37452.9</v>
      </c>
      <c r="N38" s="4800">
        <f t="shared" si="41"/>
        <v>0</v>
      </c>
      <c r="O38" s="4802">
        <f t="shared" si="41"/>
        <v>115076.14999999998</v>
      </c>
      <c r="P38" s="4800">
        <f t="shared" si="41"/>
        <v>0</v>
      </c>
      <c r="Q38" s="4800">
        <f t="shared" si="41"/>
        <v>44200.05</v>
      </c>
      <c r="R38" s="4800">
        <f t="shared" si="41"/>
        <v>0</v>
      </c>
      <c r="S38" s="4801">
        <f t="shared" si="41"/>
        <v>159276.19999999998</v>
      </c>
      <c r="T38" s="4800">
        <f t="shared" si="41"/>
        <v>0</v>
      </c>
      <c r="U38" s="4800">
        <f t="shared" si="41"/>
        <v>33658.950000000004</v>
      </c>
      <c r="V38" s="4800">
        <f t="shared" si="41"/>
        <v>0</v>
      </c>
      <c r="W38" s="4801">
        <f t="shared" si="41"/>
        <v>192935.15</v>
      </c>
      <c r="X38" s="4800">
        <f t="shared" si="41"/>
        <v>0</v>
      </c>
      <c r="Y38" s="4800">
        <f t="shared" si="41"/>
        <v>37412.5</v>
      </c>
      <c r="Z38" s="4800">
        <f t="shared" si="41"/>
        <v>0</v>
      </c>
      <c r="AA38" s="4802">
        <f t="shared" si="41"/>
        <v>115271.50000000001</v>
      </c>
      <c r="AB38" s="4800">
        <f t="shared" si="41"/>
        <v>0</v>
      </c>
      <c r="AC38" s="4803">
        <f t="shared" si="41"/>
        <v>230347.65000000002</v>
      </c>
      <c r="AD38" s="4800">
        <f t="shared" si="41"/>
        <v>0</v>
      </c>
      <c r="AE38" s="4800">
        <f t="shared" si="41"/>
        <v>28117.8</v>
      </c>
      <c r="AF38" s="4800">
        <f t="shared" si="41"/>
        <v>0</v>
      </c>
      <c r="AG38" s="4801">
        <f t="shared" si="41"/>
        <v>258465.44999999998</v>
      </c>
      <c r="AH38" s="4800">
        <f t="shared" si="41"/>
        <v>0</v>
      </c>
      <c r="AI38" s="4800">
        <f t="shared" si="41"/>
        <v>33991.050000000003</v>
      </c>
      <c r="AJ38" s="4800">
        <f t="shared" si="41"/>
        <v>0</v>
      </c>
      <c r="AK38" s="4801">
        <f t="shared" si="41"/>
        <v>292456.5</v>
      </c>
      <c r="AL38" s="4800">
        <f t="shared" si="41"/>
        <v>0</v>
      </c>
      <c r="AM38" s="4800">
        <f t="shared" si="41"/>
        <v>39526.050000000003</v>
      </c>
      <c r="AN38" s="4928"/>
      <c r="AO38" s="4802">
        <f t="shared" ref="AO38:BA38" si="42">SUM(AO4:AO37)</f>
        <v>101634.90000000001</v>
      </c>
      <c r="AP38" s="4800">
        <f t="shared" si="42"/>
        <v>0</v>
      </c>
      <c r="AQ38" s="4801">
        <f t="shared" si="42"/>
        <v>331982.54999999993</v>
      </c>
      <c r="AR38" s="4800">
        <f t="shared" si="42"/>
        <v>0</v>
      </c>
      <c r="AS38" s="4800">
        <f t="shared" si="42"/>
        <v>39585.500000000007</v>
      </c>
      <c r="AT38" s="4800">
        <f t="shared" si="42"/>
        <v>0</v>
      </c>
      <c r="AU38" s="4801">
        <f t="shared" si="42"/>
        <v>371568.05</v>
      </c>
      <c r="AV38" s="4800">
        <f t="shared" si="42"/>
        <v>0</v>
      </c>
      <c r="AW38" s="4800">
        <f t="shared" si="42"/>
        <v>36941.000000000022</v>
      </c>
      <c r="AX38" s="4800">
        <f t="shared" si="42"/>
        <v>0</v>
      </c>
      <c r="AY38" s="4801">
        <f t="shared" si="42"/>
        <v>408509.05</v>
      </c>
      <c r="AZ38" s="4800">
        <f t="shared" si="42"/>
        <v>0</v>
      </c>
      <c r="BA38" s="4800">
        <f t="shared" si="42"/>
        <v>46047.099999999991</v>
      </c>
      <c r="BB38" s="4928"/>
      <c r="BC38" s="4802">
        <f>SUM(BC4:BC37)</f>
        <v>122573.6</v>
      </c>
      <c r="BD38" s="4800">
        <f>SUM(BD4:BD37)</f>
        <v>0</v>
      </c>
      <c r="BE38" s="4803">
        <f>SUM(BE4:BE37)</f>
        <v>224208.5</v>
      </c>
      <c r="BF38" s="4800">
        <f>SUM(BF4:BF37)</f>
        <v>0</v>
      </c>
      <c r="BG38" s="4801">
        <f>SUM(BG4:BG37)</f>
        <v>454556.15</v>
      </c>
      <c r="BH38" s="25">
        <f t="shared" si="15"/>
        <v>0</v>
      </c>
      <c r="BI38" s="25"/>
    </row>
    <row r="39" spans="3:62" ht="16.5" x14ac:dyDescent="0.25">
      <c r="C39" s="4784" t="s">
        <v>91</v>
      </c>
      <c r="D39" s="4784" t="s">
        <v>999</v>
      </c>
      <c r="E39" s="8166"/>
      <c r="F39" s="4784"/>
      <c r="G39" s="4786">
        <f>+SUMIF(BM!$C$7:$C$42,$D39,BM!$F$7:$F$42)</f>
        <v>0</v>
      </c>
      <c r="H39" s="4786"/>
      <c r="I39" s="4786">
        <f>+SUMIF(BM!$C$7:$C$42,$D39,BM!$H$7:$H$42)</f>
        <v>19895.290000000015</v>
      </c>
      <c r="J39" s="4787"/>
      <c r="K39" s="4787">
        <f t="shared" si="16"/>
        <v>19895.290000000015</v>
      </c>
      <c r="L39" s="4786"/>
      <c r="M39" s="4786">
        <f>+SUMIF(BM!$C$7:$C$42,$D39,BM!$L$7:$L$42)</f>
        <v>13893.16</v>
      </c>
      <c r="N39" s="4788"/>
      <c r="O39" s="4788">
        <f t="shared" si="2"/>
        <v>33788.450000000012</v>
      </c>
      <c r="P39" s="4786"/>
      <c r="Q39" s="4786">
        <f>+SUMIF(BM!$C$7:$C$42,$D39,BM!$P$7:$P$42)</f>
        <v>22964.860000000015</v>
      </c>
      <c r="R39" s="4789"/>
      <c r="S39" s="4787">
        <f t="shared" si="3"/>
        <v>56753.310000000027</v>
      </c>
      <c r="T39" s="4786"/>
      <c r="U39" s="4786">
        <f>+SUMIF(BM!$C$7:$C$42,$D39,BM!$T$7:$T$42)</f>
        <v>5623.75</v>
      </c>
      <c r="V39" s="4789"/>
      <c r="W39" s="4787">
        <f t="shared" si="4"/>
        <v>62377.060000000027</v>
      </c>
      <c r="X39" s="4790"/>
      <c r="Y39" s="4786">
        <f>+SUMIF(BM!$C$7:$C$42,$D39,BM!$X$7:$X$42)</f>
        <v>7496.6249999999991</v>
      </c>
      <c r="Z39" s="4788"/>
      <c r="AA39" s="4788">
        <f t="shared" si="5"/>
        <v>36085.235000000015</v>
      </c>
      <c r="AB39" s="4791"/>
      <c r="AC39" s="4792">
        <f t="shared" si="6"/>
        <v>69873.685000000027</v>
      </c>
      <c r="AD39" s="4786"/>
      <c r="AE39" s="4786">
        <f>+SUMIF(BM!$C$7:$C$42,$D39,BM!$AD$7:$AD$42)</f>
        <v>1136.0549999999998</v>
      </c>
      <c r="AF39" s="4789"/>
      <c r="AG39" s="4787">
        <f t="shared" si="7"/>
        <v>71009.74000000002</v>
      </c>
      <c r="AH39" s="4786"/>
      <c r="AI39" s="4786">
        <f>+SUMIF(BM!$C$7:$C$42,$D39,BM!$AH$7:$AH$42)</f>
        <v>0</v>
      </c>
      <c r="AJ39" s="4789"/>
      <c r="AK39" s="4787">
        <f t="shared" ref="AK39:AK75" si="43">+AG39+AI39</f>
        <v>71009.74000000002</v>
      </c>
      <c r="AL39" s="4786"/>
      <c r="AM39" s="4786">
        <f>+SUMIF(BM!$C$7:$C$42,$D39,BM!$AL$7:$AL$42)</f>
        <v>2696.335</v>
      </c>
      <c r="AN39" s="4927"/>
      <c r="AO39" s="4788">
        <f t="shared" si="9"/>
        <v>3832.39</v>
      </c>
      <c r="AP39" s="4789"/>
      <c r="AQ39" s="4787">
        <f t="shared" ref="AQ39:AQ45" si="44">+AK39+AM39</f>
        <v>73706.075000000026</v>
      </c>
      <c r="AR39" s="4786"/>
      <c r="AS39" s="4786">
        <f>+SUMIF(BM!$C$7:$C$42,$D39,BM!$AR$7:$AR$42)</f>
        <v>6561.7749999999996</v>
      </c>
      <c r="AT39" s="4789"/>
      <c r="AU39" s="4787">
        <f t="shared" ref="AU39:AU45" si="45">+AQ39+AS39</f>
        <v>80267.85000000002</v>
      </c>
      <c r="AV39" s="4786"/>
      <c r="AW39" s="4786">
        <f>+SUMIF(BM!$C$7:$C$42,$D39,BM!$AV$7:$AV$42)</f>
        <v>8664.6650000000009</v>
      </c>
      <c r="AX39" s="4789"/>
      <c r="AY39" s="4787">
        <f t="shared" ref="AY39:AY45" si="46">+AU39+AW39</f>
        <v>88932.515000000014</v>
      </c>
      <c r="AZ39" s="4786"/>
      <c r="BA39" s="4786">
        <f>+SUMIF(BM!$C$7:$C$42,$D39,BM!$AZ$7:$AZ$42)</f>
        <v>9169.8310753426213</v>
      </c>
      <c r="BB39" s="4927"/>
      <c r="BC39" s="4788">
        <f t="shared" ref="BC39:BC45" si="47">AS39+AW39+BA39</f>
        <v>24396.271075342622</v>
      </c>
      <c r="BD39" s="4791"/>
      <c r="BE39" s="4792">
        <f t="shared" si="13"/>
        <v>28228.661075342621</v>
      </c>
      <c r="BF39" s="4789"/>
      <c r="BG39" s="4787">
        <f t="shared" ref="BG39:BG45" si="48">+AY39+BA39</f>
        <v>98102.346075342633</v>
      </c>
      <c r="BH39" s="25">
        <f t="shared" si="15"/>
        <v>0</v>
      </c>
      <c r="BI39" s="25"/>
      <c r="BJ39" s="25"/>
    </row>
    <row r="40" spans="3:62" ht="16.5" x14ac:dyDescent="0.25">
      <c r="C40" s="4784" t="s">
        <v>91</v>
      </c>
      <c r="D40" s="4784" t="s">
        <v>1000</v>
      </c>
      <c r="E40" s="8166"/>
      <c r="F40" s="4784"/>
      <c r="G40" s="4786">
        <f>+SUMIF(BM!$C$7:$C$42,$D40,BM!$F$7:$F$42)</f>
        <v>37275.245000000046</v>
      </c>
      <c r="H40" s="4786"/>
      <c r="I40" s="4786">
        <f>+SUMIF(BM!$C$7:$C$42,$D40,BM!$H$7:$H$42)</f>
        <v>26257.105000000018</v>
      </c>
      <c r="J40" s="4787"/>
      <c r="K40" s="4787">
        <f t="shared" si="16"/>
        <v>63532.350000000064</v>
      </c>
      <c r="L40" s="4786"/>
      <c r="M40" s="4786">
        <f>+SUMIF(BM!$C$7:$C$42,$D40,BM!$L$7:$L$42)</f>
        <v>24809.215000000015</v>
      </c>
      <c r="N40" s="4788"/>
      <c r="O40" s="4788">
        <f t="shared" si="2"/>
        <v>88341.565000000075</v>
      </c>
      <c r="P40" s="4786"/>
      <c r="Q40" s="4786">
        <f>+SUMIF(BM!$C$7:$C$42,$D40,BM!$P$7:$P$42)</f>
        <v>46228.605000000076</v>
      </c>
      <c r="R40" s="4789"/>
      <c r="S40" s="4787">
        <f t="shared" si="3"/>
        <v>134570.17000000016</v>
      </c>
      <c r="T40" s="4786"/>
      <c r="U40" s="4786">
        <f>+SUMIF(BM!$C$7:$C$42,$D40,BM!$T$7:$T$42)</f>
        <v>36993.745000000017</v>
      </c>
      <c r="V40" s="4789"/>
      <c r="W40" s="4787">
        <f t="shared" si="4"/>
        <v>171563.91500000018</v>
      </c>
      <c r="X40" s="4790"/>
      <c r="Y40" s="4786">
        <f>+SUMIF(BM!$C$7:$C$42,$D40,BM!$X$7:$X$42)</f>
        <v>36854.330000000053</v>
      </c>
      <c r="Z40" s="4788"/>
      <c r="AA40" s="4788">
        <f t="shared" si="5"/>
        <v>120076.68000000014</v>
      </c>
      <c r="AB40" s="4791"/>
      <c r="AC40" s="4792">
        <f t="shared" si="6"/>
        <v>208418.24500000023</v>
      </c>
      <c r="AD40" s="4786"/>
      <c r="AE40" s="4786">
        <f>+SUMIF(BM!$C$7:$C$42,$D40,BM!$AD$7:$AD$42)</f>
        <v>39236.38000000007</v>
      </c>
      <c r="AF40" s="4789"/>
      <c r="AG40" s="4787">
        <f t="shared" si="7"/>
        <v>247654.62500000029</v>
      </c>
      <c r="AH40" s="4786"/>
      <c r="AI40" s="4786">
        <f>+SUMIF(BM!$C$7:$C$42,$D40,BM!$AH$7:$AH$42)</f>
        <v>40296.170000000035</v>
      </c>
      <c r="AJ40" s="4789"/>
      <c r="AK40" s="4787">
        <f t="shared" si="43"/>
        <v>287950.79500000033</v>
      </c>
      <c r="AL40" s="4786"/>
      <c r="AM40" s="4786">
        <f>+SUMIF(BM!$C$7:$C$42,$D40,BM!$AL$7:$AL$42)</f>
        <v>42591.195000000109</v>
      </c>
      <c r="AN40" s="4927"/>
      <c r="AO40" s="4788">
        <f t="shared" si="9"/>
        <v>122123.74500000021</v>
      </c>
      <c r="AP40" s="4789"/>
      <c r="AQ40" s="4787">
        <f t="shared" si="44"/>
        <v>330541.99000000046</v>
      </c>
      <c r="AR40" s="4786"/>
      <c r="AS40" s="4786">
        <f>+SUMIF(BM!$C$7:$C$42,$D40,BM!$AR$7:$AR$42)</f>
        <v>48889.360000000073</v>
      </c>
      <c r="AT40" s="4789"/>
      <c r="AU40" s="4787">
        <f t="shared" si="45"/>
        <v>379431.35000000056</v>
      </c>
      <c r="AV40" s="4786"/>
      <c r="AW40" s="4786">
        <f>+SUMIF(BM!$C$7:$C$42,$D40,BM!$AV$7:$AV$42)</f>
        <v>23043.060000000005</v>
      </c>
      <c r="AX40" s="4789"/>
      <c r="AY40" s="4787">
        <f t="shared" si="46"/>
        <v>402474.41000000056</v>
      </c>
      <c r="AZ40" s="4786"/>
      <c r="BA40" s="4786">
        <f>+SUMIF(BM!$C$7:$C$42,$D40,BM!$AZ$7:$AZ$42)</f>
        <v>47438.358295731814</v>
      </c>
      <c r="BB40" s="4927"/>
      <c r="BC40" s="4788">
        <f t="shared" si="47"/>
        <v>119370.77829573189</v>
      </c>
      <c r="BD40" s="4791"/>
      <c r="BE40" s="4792">
        <f t="shared" si="13"/>
        <v>241494.5232957321</v>
      </c>
      <c r="BF40" s="4789"/>
      <c r="BG40" s="4787">
        <f t="shared" si="48"/>
        <v>449912.76829573239</v>
      </c>
      <c r="BH40" s="25">
        <f t="shared" si="15"/>
        <v>0</v>
      </c>
      <c r="BI40" s="25"/>
    </row>
    <row r="41" spans="3:62" ht="16.5" x14ac:dyDescent="0.25">
      <c r="C41" s="4784" t="s">
        <v>91</v>
      </c>
      <c r="D41" s="4784" t="s">
        <v>1100</v>
      </c>
      <c r="E41" s="8166"/>
      <c r="F41" s="4784"/>
      <c r="G41" s="4786">
        <f>+SUMIF(BM!$C$7:$C$42,$D41,BM!$F$7:$F$42)</f>
        <v>34201.175000000025</v>
      </c>
      <c r="H41" s="4786"/>
      <c r="I41" s="4786">
        <f>+SUMIF(BM!$C$7:$C$42,$D41,BM!$H$7:$H$42)</f>
        <v>29282.950000000026</v>
      </c>
      <c r="J41" s="4787"/>
      <c r="K41" s="4787">
        <f t="shared" si="16"/>
        <v>63484.125000000051</v>
      </c>
      <c r="L41" s="4786"/>
      <c r="M41" s="4786">
        <f>+SUMIF(BM!$C$7:$C$42,$D41,BM!$L$7:$L$42)</f>
        <v>32011.095000000038</v>
      </c>
      <c r="N41" s="4788"/>
      <c r="O41" s="4788">
        <f t="shared" si="2"/>
        <v>95495.220000000088</v>
      </c>
      <c r="P41" s="4786"/>
      <c r="Q41" s="4786">
        <f>+SUMIF(BM!$C$7:$C$42,$D41,BM!$P$7:$P$42)</f>
        <v>18863.025000000012</v>
      </c>
      <c r="R41" s="4789"/>
      <c r="S41" s="4787">
        <f t="shared" si="3"/>
        <v>114358.2450000001</v>
      </c>
      <c r="T41" s="4786"/>
      <c r="U41" s="4786">
        <f>+SUMIF(BM!$C$7:$C$42,$D41,BM!$T$7:$T$42)</f>
        <v>28986.125000000029</v>
      </c>
      <c r="V41" s="4789"/>
      <c r="W41" s="4787">
        <f t="shared" si="4"/>
        <v>143344.37000000011</v>
      </c>
      <c r="X41" s="4790"/>
      <c r="Y41" s="4786">
        <f>+SUMIF(BM!$C$7:$C$42,$D41,BM!$X$7:$X$42)</f>
        <v>29188.925000000021</v>
      </c>
      <c r="Z41" s="4788"/>
      <c r="AA41" s="4788">
        <f t="shared" si="5"/>
        <v>77038.075000000055</v>
      </c>
      <c r="AB41" s="4791"/>
      <c r="AC41" s="4792">
        <f t="shared" si="6"/>
        <v>172533.29500000016</v>
      </c>
      <c r="AD41" s="4786"/>
      <c r="AE41" s="4786">
        <f>+SUMIF(BM!$C$7:$C$42,$D41,BM!$AD$7:$AD$42)</f>
        <v>10577.840000000002</v>
      </c>
      <c r="AF41" s="4789"/>
      <c r="AG41" s="4787">
        <f t="shared" si="7"/>
        <v>183111.13500000015</v>
      </c>
      <c r="AH41" s="4786"/>
      <c r="AI41" s="4786">
        <f>+SUMIF(BM!$C$7:$C$42,$D41,BM!$AH$7:$AH$42)</f>
        <v>25310.055000000022</v>
      </c>
      <c r="AJ41" s="4789"/>
      <c r="AK41" s="4787">
        <f t="shared" si="43"/>
        <v>208421.19000000018</v>
      </c>
      <c r="AL41" s="4786"/>
      <c r="AM41" s="4786">
        <f>+SUMIF(BM!$C$7:$C$42,$D41,BM!$AL$7:$AL$42)</f>
        <v>31272.44500000004</v>
      </c>
      <c r="AN41" s="4927"/>
      <c r="AO41" s="4788">
        <f t="shared" si="9"/>
        <v>67160.340000000069</v>
      </c>
      <c r="AP41" s="4789"/>
      <c r="AQ41" s="4787">
        <f t="shared" si="44"/>
        <v>239693.63500000021</v>
      </c>
      <c r="AR41" s="4786"/>
      <c r="AS41" s="4786">
        <f>+SUMIF(BM!$C$7:$C$42,$D41,BM!$AR$7:$AR$42)</f>
        <v>28699.930000000048</v>
      </c>
      <c r="AT41" s="4789"/>
      <c r="AU41" s="4787">
        <f t="shared" si="45"/>
        <v>268393.56500000024</v>
      </c>
      <c r="AV41" s="4786"/>
      <c r="AW41" s="4786">
        <f>+SUMIF(BM!$C$7:$C$42,$D41,BM!$AV$7:$AV$42)</f>
        <v>42350.595000000088</v>
      </c>
      <c r="AX41" s="4789"/>
      <c r="AY41" s="4787">
        <f t="shared" si="46"/>
        <v>310744.16000000032</v>
      </c>
      <c r="AZ41" s="4786"/>
      <c r="BA41" s="4786">
        <f>+SUMIF(BM!$C$7:$C$42,$D41,BM!$AZ$7:$AZ$42)</f>
        <v>24591.810628925559</v>
      </c>
      <c r="BB41" s="4927"/>
      <c r="BC41" s="4788">
        <f t="shared" si="47"/>
        <v>95642.335628925706</v>
      </c>
      <c r="BD41" s="4791"/>
      <c r="BE41" s="4792">
        <f t="shared" si="13"/>
        <v>162802.67562892579</v>
      </c>
      <c r="BF41" s="4789"/>
      <c r="BG41" s="4787">
        <f t="shared" si="48"/>
        <v>335335.97062892589</v>
      </c>
      <c r="BH41" s="25">
        <f t="shared" si="15"/>
        <v>0</v>
      </c>
      <c r="BI41" s="25"/>
    </row>
    <row r="42" spans="3:62" ht="16.5" x14ac:dyDescent="0.25">
      <c r="C42" s="4784" t="s">
        <v>91</v>
      </c>
      <c r="D42" s="4784" t="s">
        <v>1452</v>
      </c>
      <c r="E42" s="8166"/>
      <c r="F42" s="4784"/>
      <c r="G42" s="4786">
        <f>+SUMIF(BM!$C$7:$C$42,$D42,BM!$F$7:$F$42)</f>
        <v>0</v>
      </c>
      <c r="H42" s="4786"/>
      <c r="I42" s="4786">
        <f>+SUMIF(BM!$C$7:$C$42,$D42,BM!$H$7:$H$42)</f>
        <v>0</v>
      </c>
      <c r="J42" s="4787"/>
      <c r="K42" s="4787">
        <f t="shared" si="16"/>
        <v>0</v>
      </c>
      <c r="L42" s="4786"/>
      <c r="M42" s="4786">
        <f>+SUMIF(BM!$C$7:$C$42,$D42,BM!$L$7:$L$42)</f>
        <v>0</v>
      </c>
      <c r="N42" s="4788"/>
      <c r="O42" s="4788">
        <f t="shared" si="2"/>
        <v>0</v>
      </c>
      <c r="P42" s="4786"/>
      <c r="Q42" s="4786">
        <f>+SUMIF(BM!$C$7:$C$42,$D42,BM!$P$7:$P$42)</f>
        <v>0</v>
      </c>
      <c r="R42" s="4789"/>
      <c r="S42" s="4787">
        <f t="shared" si="3"/>
        <v>0</v>
      </c>
      <c r="T42" s="4786"/>
      <c r="U42" s="4786">
        <f>+SUMIF(BM!$C$7:$C$42,$D42,BM!$T$7:$T$42)</f>
        <v>0</v>
      </c>
      <c r="V42" s="4789"/>
      <c r="W42" s="4787">
        <f t="shared" si="4"/>
        <v>0</v>
      </c>
      <c r="X42" s="4790"/>
      <c r="Y42" s="4786">
        <f>+SUMIF(BM!$C$7:$C$42,$D42,BM!$X$7:$X$42)</f>
        <v>0</v>
      </c>
      <c r="Z42" s="4788"/>
      <c r="AA42" s="4788">
        <f t="shared" si="5"/>
        <v>0</v>
      </c>
      <c r="AB42" s="4791"/>
      <c r="AC42" s="4792">
        <f t="shared" si="6"/>
        <v>0</v>
      </c>
      <c r="AD42" s="4786"/>
      <c r="AE42" s="4786">
        <f>+SUMIF(BM!$C$7:$C$42,$D42,BM!$AD$7:$AD$42)</f>
        <v>0</v>
      </c>
      <c r="AF42" s="4789"/>
      <c r="AG42" s="4787">
        <f t="shared" si="7"/>
        <v>0</v>
      </c>
      <c r="AH42" s="4786"/>
      <c r="AI42" s="4786">
        <f>+SUMIF(BM!$C$7:$C$42,$D42,BM!$AH$7:$AH$42)</f>
        <v>0</v>
      </c>
      <c r="AJ42" s="4789"/>
      <c r="AK42" s="4787">
        <f t="shared" si="43"/>
        <v>0</v>
      </c>
      <c r="AL42" s="4786"/>
      <c r="AM42" s="4786">
        <f>+SUMIF(BM!$C$7:$C$42,$D42,BM!$AL$7:$AL$42)</f>
        <v>0</v>
      </c>
      <c r="AN42" s="4927"/>
      <c r="AO42" s="4788">
        <f t="shared" si="9"/>
        <v>0</v>
      </c>
      <c r="AP42" s="4789"/>
      <c r="AQ42" s="4787">
        <f t="shared" si="44"/>
        <v>0</v>
      </c>
      <c r="AR42" s="4786"/>
      <c r="AS42" s="4786">
        <f>+SUMIF(BM!$C$7:$C$42,$D42,BM!$AR$7:$AR$42)</f>
        <v>0</v>
      </c>
      <c r="AT42" s="4789"/>
      <c r="AU42" s="4787">
        <f t="shared" si="45"/>
        <v>0</v>
      </c>
      <c r="AV42" s="4786"/>
      <c r="AW42" s="4786">
        <f>+SUMIF(BM!$C$7:$C$42,$D42,BM!$AV$7:$AV$42)</f>
        <v>0</v>
      </c>
      <c r="AX42" s="4789"/>
      <c r="AY42" s="4787">
        <f t="shared" si="46"/>
        <v>0</v>
      </c>
      <c r="AZ42" s="4786"/>
      <c r="BA42" s="4786">
        <f>+SUMIF(BM!$C$7:$C$42,$D42,BM!$AZ$7:$AZ$42)</f>
        <v>0</v>
      </c>
      <c r="BB42" s="4927"/>
      <c r="BC42" s="4788">
        <f t="shared" si="47"/>
        <v>0</v>
      </c>
      <c r="BD42" s="4791"/>
      <c r="BE42" s="4792">
        <f t="shared" si="13"/>
        <v>0</v>
      </c>
      <c r="BF42" s="4789"/>
      <c r="BG42" s="4787">
        <f t="shared" si="48"/>
        <v>0</v>
      </c>
      <c r="BH42" s="25">
        <f t="shared" si="15"/>
        <v>0</v>
      </c>
      <c r="BI42" s="25"/>
    </row>
    <row r="43" spans="3:62" ht="16.5" x14ac:dyDescent="0.25">
      <c r="C43" s="4784" t="s">
        <v>91</v>
      </c>
      <c r="D43" s="4784" t="s">
        <v>1080</v>
      </c>
      <c r="E43" s="8166"/>
      <c r="F43" s="4784"/>
      <c r="G43" s="4786">
        <f>+SUMIF(BM!$C$7:$C$42,$D43,BM!$F$7:$F$42)</f>
        <v>0</v>
      </c>
      <c r="H43" s="4786"/>
      <c r="I43" s="4786">
        <f>+SUMIF(BM!$C$7:$C$42,$D43,BM!$H$7:$H$42)</f>
        <v>137.01500000000001</v>
      </c>
      <c r="J43" s="4787"/>
      <c r="K43" s="4787">
        <f t="shared" si="16"/>
        <v>137.01500000000001</v>
      </c>
      <c r="L43" s="4786"/>
      <c r="M43" s="4786">
        <f>+SUMIF(BM!$C$7:$C$42,$D43,BM!$L$7:$L$42)</f>
        <v>1015.7500000000002</v>
      </c>
      <c r="N43" s="4788"/>
      <c r="O43" s="4788">
        <f t="shared" si="2"/>
        <v>1152.7650000000003</v>
      </c>
      <c r="P43" s="4786"/>
      <c r="Q43" s="4786">
        <f>+SUMIF(BM!$C$7:$C$42,$D43,BM!$P$7:$P$42)</f>
        <v>0</v>
      </c>
      <c r="R43" s="4789"/>
      <c r="S43" s="4787">
        <f t="shared" si="3"/>
        <v>1152.7650000000003</v>
      </c>
      <c r="T43" s="4786"/>
      <c r="U43" s="4786">
        <f>+SUMIF(BM!$C$7:$C$42,$D43,BM!$T$7:$T$42)</f>
        <v>0</v>
      </c>
      <c r="V43" s="4789"/>
      <c r="W43" s="4787">
        <f t="shared" si="4"/>
        <v>1152.7650000000003</v>
      </c>
      <c r="X43" s="4790"/>
      <c r="Y43" s="4786">
        <f>+SUMIF(BM!$C$7:$C$42,$D43,BM!$X$7:$X$42)</f>
        <v>0</v>
      </c>
      <c r="Z43" s="4788"/>
      <c r="AA43" s="4788">
        <f t="shared" si="5"/>
        <v>0</v>
      </c>
      <c r="AB43" s="4791"/>
      <c r="AC43" s="4792">
        <f t="shared" si="6"/>
        <v>1152.7650000000003</v>
      </c>
      <c r="AD43" s="4786"/>
      <c r="AE43" s="4786">
        <f>+SUMIF(BM!$C$7:$C$42,$D43,BM!$AD$7:$AD$42)</f>
        <v>0</v>
      </c>
      <c r="AF43" s="4789"/>
      <c r="AG43" s="4787">
        <f t="shared" si="7"/>
        <v>1152.7650000000003</v>
      </c>
      <c r="AH43" s="4786"/>
      <c r="AI43" s="4786">
        <f>+SUMIF(BM!$C$7:$C$42,$D43,BM!$AH$7:$AH$42)</f>
        <v>0</v>
      </c>
      <c r="AJ43" s="4789"/>
      <c r="AK43" s="4787">
        <f t="shared" si="43"/>
        <v>1152.7650000000003</v>
      </c>
      <c r="AL43" s="4786"/>
      <c r="AM43" s="4786">
        <f>+SUMIF(BM!$C$7:$C$42,$D43,BM!$AL$7:$AL$42)</f>
        <v>0</v>
      </c>
      <c r="AN43" s="4927"/>
      <c r="AO43" s="4788">
        <f t="shared" si="9"/>
        <v>0</v>
      </c>
      <c r="AP43" s="4789"/>
      <c r="AQ43" s="4787">
        <f t="shared" si="44"/>
        <v>1152.7650000000003</v>
      </c>
      <c r="AR43" s="4786"/>
      <c r="AS43" s="4786">
        <f>+SUMIF(BM!$C$7:$C$42,$D43,BM!$AR$7:$AR$42)</f>
        <v>0</v>
      </c>
      <c r="AT43" s="4789"/>
      <c r="AU43" s="4787">
        <f t="shared" si="45"/>
        <v>1152.7650000000003</v>
      </c>
      <c r="AV43" s="4786"/>
      <c r="AW43" s="4786">
        <f>+SUMIF(BM!$C$7:$C$42,$D43,BM!$AV$7:$AV$42)</f>
        <v>0</v>
      </c>
      <c r="AX43" s="4789"/>
      <c r="AY43" s="4787">
        <f t="shared" si="46"/>
        <v>1152.7650000000003</v>
      </c>
      <c r="AZ43" s="4786"/>
      <c r="BA43" s="4786">
        <f>+SUMIF(BM!$C$7:$C$42,$D43,BM!$AZ$7:$AZ$42)</f>
        <v>0</v>
      </c>
      <c r="BB43" s="4927"/>
      <c r="BC43" s="4788">
        <f t="shared" si="47"/>
        <v>0</v>
      </c>
      <c r="BD43" s="4791"/>
      <c r="BE43" s="4792">
        <f t="shared" si="13"/>
        <v>0</v>
      </c>
      <c r="BF43" s="4789"/>
      <c r="BG43" s="4787">
        <f t="shared" si="48"/>
        <v>1152.7650000000003</v>
      </c>
      <c r="BH43" s="25">
        <f t="shared" si="15"/>
        <v>0</v>
      </c>
      <c r="BI43" s="25"/>
    </row>
    <row r="44" spans="3:62" ht="16.5" x14ac:dyDescent="0.25">
      <c r="C44" s="4784" t="s">
        <v>91</v>
      </c>
      <c r="D44" s="4784" t="s">
        <v>1001</v>
      </c>
      <c r="E44" s="8166"/>
      <c r="F44" s="4784"/>
      <c r="G44" s="4786">
        <f>+SUMIF(BM!$C$7:$C$42,$D44,BM!$F$7:$F$42)</f>
        <v>3184.62</v>
      </c>
      <c r="H44" s="4786"/>
      <c r="I44" s="4786">
        <f>+SUMIF(BM!$C$7:$C$42,$D44,BM!$H$7:$H$42)</f>
        <v>603.27499999999998</v>
      </c>
      <c r="J44" s="4787"/>
      <c r="K44" s="4787">
        <f t="shared" si="16"/>
        <v>3787.895</v>
      </c>
      <c r="L44" s="4786"/>
      <c r="M44" s="4786">
        <f>+SUMIF(BM!$C$7:$C$42,$D44,BM!$L$7:$L$42)</f>
        <v>1914.7949999999998</v>
      </c>
      <c r="N44" s="4788"/>
      <c r="O44" s="4788">
        <f t="shared" si="2"/>
        <v>5702.69</v>
      </c>
      <c r="P44" s="4786"/>
      <c r="Q44" s="4786">
        <f>+SUMIF(BM!$C$7:$C$42,$D44,BM!$P$7:$P$42)</f>
        <v>0</v>
      </c>
      <c r="R44" s="4789"/>
      <c r="S44" s="4787">
        <f t="shared" si="3"/>
        <v>5702.69</v>
      </c>
      <c r="T44" s="4786"/>
      <c r="U44" s="4786">
        <f>+SUMIF(BM!$C$7:$C$42,$D44,BM!$T$7:$T$42)</f>
        <v>4250.0749999999998</v>
      </c>
      <c r="V44" s="4789"/>
      <c r="W44" s="4787">
        <f t="shared" si="4"/>
        <v>9952.7649999999994</v>
      </c>
      <c r="X44" s="4790"/>
      <c r="Y44" s="4786">
        <f>+SUMIF(BM!$C$7:$C$42,$D44,BM!$X$7:$X$42)</f>
        <v>2779.1549999999997</v>
      </c>
      <c r="Z44" s="4788"/>
      <c r="AA44" s="4788">
        <f t="shared" si="5"/>
        <v>7029.23</v>
      </c>
      <c r="AB44" s="4791"/>
      <c r="AC44" s="4792">
        <f t="shared" si="6"/>
        <v>12731.919999999998</v>
      </c>
      <c r="AD44" s="4786"/>
      <c r="AE44" s="4786">
        <f>+SUMIF(BM!$C$7:$C$42,$D44,BM!$AD$7:$AD$42)</f>
        <v>0</v>
      </c>
      <c r="AF44" s="4789"/>
      <c r="AG44" s="4787">
        <f t="shared" si="7"/>
        <v>12731.919999999998</v>
      </c>
      <c r="AH44" s="4786"/>
      <c r="AI44" s="4786">
        <f>+SUMIF(BM!$C$7:$C$42,$D44,BM!$AH$7:$AH$42)</f>
        <v>4114.5399999999991</v>
      </c>
      <c r="AJ44" s="4789"/>
      <c r="AK44" s="4787">
        <f t="shared" si="43"/>
        <v>16846.46</v>
      </c>
      <c r="AL44" s="4786"/>
      <c r="AM44" s="4786">
        <f>+SUMIF(BM!$C$7:$C$42,$D44,BM!$AL$7:$AL$42)</f>
        <v>5056.7899999999991</v>
      </c>
      <c r="AN44" s="4927"/>
      <c r="AO44" s="4788">
        <f t="shared" si="9"/>
        <v>9171.3299999999981</v>
      </c>
      <c r="AP44" s="4789"/>
      <c r="AQ44" s="4787">
        <f t="shared" si="44"/>
        <v>21903.25</v>
      </c>
      <c r="AR44" s="4786"/>
      <c r="AS44" s="4786">
        <f>+SUMIF(BM!$C$7:$C$42,$D44,BM!$AR$7:$AR$42)</f>
        <v>1653.5350000000001</v>
      </c>
      <c r="AT44" s="4789"/>
      <c r="AU44" s="4787">
        <f t="shared" si="45"/>
        <v>23556.785</v>
      </c>
      <c r="AV44" s="4786"/>
      <c r="AW44" s="4786">
        <f>+SUMIF(BM!$C$7:$C$42,$D44,BM!$AV$7:$AV$42)</f>
        <v>0</v>
      </c>
      <c r="AX44" s="4789"/>
      <c r="AY44" s="4787">
        <f t="shared" si="46"/>
        <v>23556.785</v>
      </c>
      <c r="AZ44" s="4786"/>
      <c r="BA44" s="4786">
        <f>+SUMIF(BM!$C$7:$C$42,$D44,BM!$AZ$7:$AZ$42)</f>
        <v>0</v>
      </c>
      <c r="BB44" s="4927"/>
      <c r="BC44" s="4788">
        <f t="shared" si="47"/>
        <v>1653.5350000000001</v>
      </c>
      <c r="BD44" s="4791"/>
      <c r="BE44" s="4792">
        <f t="shared" si="13"/>
        <v>10824.864999999998</v>
      </c>
      <c r="BF44" s="4789"/>
      <c r="BG44" s="4787">
        <f t="shared" si="48"/>
        <v>23556.785</v>
      </c>
      <c r="BH44" s="25">
        <f t="shared" si="15"/>
        <v>0</v>
      </c>
      <c r="BI44" s="25"/>
    </row>
    <row r="45" spans="3:62" ht="16.5" x14ac:dyDescent="0.25">
      <c r="C45" s="4784" t="s">
        <v>91</v>
      </c>
      <c r="D45" s="4784" t="s">
        <v>969</v>
      </c>
      <c r="E45" s="8166"/>
      <c r="F45" s="4784"/>
      <c r="G45" s="4786">
        <f>+SUMIF(BM!$C$7:$C$42,$D45,BM!$F$7:$F$42)</f>
        <v>0</v>
      </c>
      <c r="H45" s="4786"/>
      <c r="I45" s="4786">
        <f>+SUMIF(BM!$C$7:$C$42,$D45,BM!$H$7:$H$42)</f>
        <v>0</v>
      </c>
      <c r="J45" s="4787"/>
      <c r="K45" s="4787">
        <f t="shared" si="16"/>
        <v>0</v>
      </c>
      <c r="L45" s="4786"/>
      <c r="M45" s="4786">
        <f>+SUMIF(BM!$C$7:$C$42,$D45,BM!$L$7:$L$42)</f>
        <v>0</v>
      </c>
      <c r="N45" s="4788"/>
      <c r="O45" s="4788">
        <f t="shared" si="2"/>
        <v>0</v>
      </c>
      <c r="P45" s="4786"/>
      <c r="Q45" s="4786">
        <f>+SUMIF(BM!$C$7:$C$42,$D45,BM!$P$7:$P$42)</f>
        <v>0</v>
      </c>
      <c r="R45" s="4789"/>
      <c r="S45" s="4787">
        <f t="shared" si="3"/>
        <v>0</v>
      </c>
      <c r="T45" s="4786"/>
      <c r="U45" s="4786">
        <f>+SUMIF(BM!$C$7:$C$42,$D45,BM!$T$7:$T$42)</f>
        <v>0</v>
      </c>
      <c r="V45" s="4789"/>
      <c r="W45" s="4787">
        <f t="shared" si="4"/>
        <v>0</v>
      </c>
      <c r="X45" s="4790"/>
      <c r="Y45" s="4786">
        <f>+SUMIF(BM!$C$7:$C$42,$D45,BM!$X$7:$X$42)</f>
        <v>0</v>
      </c>
      <c r="Z45" s="4788"/>
      <c r="AA45" s="4788">
        <f t="shared" si="5"/>
        <v>0</v>
      </c>
      <c r="AB45" s="4791"/>
      <c r="AC45" s="4792">
        <f t="shared" si="6"/>
        <v>0</v>
      </c>
      <c r="AD45" s="4786"/>
      <c r="AE45" s="4786">
        <f>+SUMIF(BM!$C$7:$C$42,$D45,BM!$AD$7:$AD$42)</f>
        <v>0</v>
      </c>
      <c r="AF45" s="4789"/>
      <c r="AG45" s="4787">
        <f t="shared" si="7"/>
        <v>0</v>
      </c>
      <c r="AH45" s="4786"/>
      <c r="AI45" s="4786">
        <f>+SUMIF(BM!$C$7:$C$42,$D45,BM!$AH$7:$AH$42)</f>
        <v>0</v>
      </c>
      <c r="AJ45" s="4789"/>
      <c r="AK45" s="4787">
        <f t="shared" si="43"/>
        <v>0</v>
      </c>
      <c r="AL45" s="4786"/>
      <c r="AM45" s="4786">
        <f>+SUMIF(BM!$C$7:$C$42,$D45,BM!$AL$7:$AL$42)</f>
        <v>0</v>
      </c>
      <c r="AN45" s="4927"/>
      <c r="AO45" s="4788">
        <f t="shared" si="9"/>
        <v>0</v>
      </c>
      <c r="AP45" s="4789"/>
      <c r="AQ45" s="4787">
        <f t="shared" si="44"/>
        <v>0</v>
      </c>
      <c r="AR45" s="4786"/>
      <c r="AS45" s="4786">
        <f>+SUMIF(BM!$C$7:$C$42,$D45,BM!$AR$7:$AR$42)</f>
        <v>0</v>
      </c>
      <c r="AT45" s="4789"/>
      <c r="AU45" s="4787">
        <f t="shared" si="45"/>
        <v>0</v>
      </c>
      <c r="AV45" s="4786"/>
      <c r="AW45" s="4786">
        <f>+SUMIF(BM!$C$7:$C$42,$D45,BM!$AV$7:$AV$42)</f>
        <v>0</v>
      </c>
      <c r="AX45" s="4789"/>
      <c r="AY45" s="4787">
        <f t="shared" si="46"/>
        <v>0</v>
      </c>
      <c r="AZ45" s="4786"/>
      <c r="BA45" s="4786">
        <f>+SUMIF(BM!$C$7:$C$42,$D45,BM!$AZ$7:$AZ$42)</f>
        <v>0</v>
      </c>
      <c r="BB45" s="4927"/>
      <c r="BC45" s="4788">
        <f t="shared" si="47"/>
        <v>0</v>
      </c>
      <c r="BD45" s="4791"/>
      <c r="BE45" s="4792">
        <f t="shared" si="13"/>
        <v>0</v>
      </c>
      <c r="BF45" s="4789"/>
      <c r="BG45" s="4787">
        <f t="shared" si="48"/>
        <v>0</v>
      </c>
      <c r="BH45" s="25">
        <f t="shared" si="15"/>
        <v>0</v>
      </c>
      <c r="BI45" s="25"/>
    </row>
    <row r="46" spans="3:62" ht="16.5" x14ac:dyDescent="0.25">
      <c r="C46" s="8162" t="s">
        <v>926</v>
      </c>
      <c r="D46" s="8162"/>
      <c r="E46" s="8166"/>
      <c r="F46" s="4799"/>
      <c r="G46" s="4800">
        <f>SUM(G39:G45)</f>
        <v>74661.040000000066</v>
      </c>
      <c r="H46" s="4800">
        <f t="shared" ref="H46:AK46" si="49">SUM(H39:H45)</f>
        <v>0</v>
      </c>
      <c r="I46" s="4800">
        <f t="shared" si="49"/>
        <v>76175.635000000053</v>
      </c>
      <c r="J46" s="4800">
        <f t="shared" si="49"/>
        <v>0</v>
      </c>
      <c r="K46" s="4801">
        <f t="shared" si="49"/>
        <v>150836.67500000013</v>
      </c>
      <c r="L46" s="4800">
        <f t="shared" si="49"/>
        <v>0</v>
      </c>
      <c r="M46" s="4800">
        <f t="shared" si="49"/>
        <v>73644.015000000058</v>
      </c>
      <c r="N46" s="4800">
        <f t="shared" si="49"/>
        <v>0</v>
      </c>
      <c r="O46" s="4802">
        <f t="shared" si="49"/>
        <v>224480.69000000018</v>
      </c>
      <c r="P46" s="4800">
        <f t="shared" si="49"/>
        <v>0</v>
      </c>
      <c r="Q46" s="4800">
        <f t="shared" si="49"/>
        <v>88056.490000000093</v>
      </c>
      <c r="R46" s="4800">
        <f t="shared" si="49"/>
        <v>0</v>
      </c>
      <c r="S46" s="4801">
        <f t="shared" si="49"/>
        <v>312537.18000000028</v>
      </c>
      <c r="T46" s="4800">
        <f t="shared" si="49"/>
        <v>0</v>
      </c>
      <c r="U46" s="4800">
        <f t="shared" si="49"/>
        <v>75853.695000000051</v>
      </c>
      <c r="V46" s="4800">
        <f t="shared" si="49"/>
        <v>0</v>
      </c>
      <c r="W46" s="4801">
        <f t="shared" si="49"/>
        <v>388390.87500000035</v>
      </c>
      <c r="X46" s="4800">
        <f t="shared" si="49"/>
        <v>0</v>
      </c>
      <c r="Y46" s="4800">
        <f t="shared" si="49"/>
        <v>76319.035000000076</v>
      </c>
      <c r="Z46" s="4800">
        <f t="shared" si="49"/>
        <v>0</v>
      </c>
      <c r="AA46" s="4802">
        <f t="shared" si="49"/>
        <v>240229.22000000023</v>
      </c>
      <c r="AB46" s="4800">
        <f t="shared" si="49"/>
        <v>0</v>
      </c>
      <c r="AC46" s="4803">
        <f t="shared" si="49"/>
        <v>464709.91000000044</v>
      </c>
      <c r="AD46" s="4800">
        <f t="shared" si="49"/>
        <v>0</v>
      </c>
      <c r="AE46" s="4800">
        <f>SUM(AE39:AE45)</f>
        <v>50950.275000000074</v>
      </c>
      <c r="AF46" s="4800">
        <f t="shared" si="49"/>
        <v>0</v>
      </c>
      <c r="AG46" s="4801">
        <f t="shared" si="49"/>
        <v>515660.18500000046</v>
      </c>
      <c r="AH46" s="4800">
        <f t="shared" si="49"/>
        <v>0</v>
      </c>
      <c r="AI46" s="4800">
        <f t="shared" si="49"/>
        <v>69720.765000000058</v>
      </c>
      <c r="AJ46" s="4800">
        <f t="shared" si="49"/>
        <v>0</v>
      </c>
      <c r="AK46" s="4801">
        <f t="shared" si="49"/>
        <v>585380.95000000054</v>
      </c>
      <c r="AL46" s="4800">
        <f t="shared" ref="AL46:AQ46" si="50">SUM(AL39:AL45)</f>
        <v>0</v>
      </c>
      <c r="AM46" s="4800">
        <f t="shared" si="50"/>
        <v>81616.765000000145</v>
      </c>
      <c r="AN46" s="4928"/>
      <c r="AO46" s="4802">
        <f t="shared" ref="AO46" si="51">SUM(AO39:AO45)</f>
        <v>202287.80500000025</v>
      </c>
      <c r="AP46" s="4800">
        <f t="shared" si="50"/>
        <v>0</v>
      </c>
      <c r="AQ46" s="4801">
        <f t="shared" si="50"/>
        <v>666997.71500000067</v>
      </c>
      <c r="AR46" s="4800">
        <f t="shared" ref="AR46:AU46" si="52">SUM(AR39:AR45)</f>
        <v>0</v>
      </c>
      <c r="AS46" s="4800">
        <f t="shared" si="52"/>
        <v>85804.600000000122</v>
      </c>
      <c r="AT46" s="4800">
        <f t="shared" si="52"/>
        <v>0</v>
      </c>
      <c r="AU46" s="4801">
        <f t="shared" si="52"/>
        <v>752802.31500000088</v>
      </c>
      <c r="AV46" s="4800">
        <f t="shared" ref="AV46:AY46" si="53">SUM(AV39:AV45)</f>
        <v>0</v>
      </c>
      <c r="AW46" s="4800">
        <f t="shared" si="53"/>
        <v>74058.320000000094</v>
      </c>
      <c r="AX46" s="4800">
        <f t="shared" si="53"/>
        <v>0</v>
      </c>
      <c r="AY46" s="4801">
        <f t="shared" si="53"/>
        <v>826860.63500000094</v>
      </c>
      <c r="AZ46" s="4800">
        <f t="shared" ref="AZ46:BG46" si="54">SUM(AZ39:AZ45)</f>
        <v>0</v>
      </c>
      <c r="BA46" s="4800">
        <f t="shared" si="54"/>
        <v>81200</v>
      </c>
      <c r="BB46" s="4928"/>
      <c r="BC46" s="4802">
        <f t="shared" ref="BC46:BE46" si="55">SUM(BC39:BC45)</f>
        <v>241062.92000000022</v>
      </c>
      <c r="BD46" s="4800">
        <f t="shared" si="55"/>
        <v>0</v>
      </c>
      <c r="BE46" s="4803">
        <f t="shared" si="55"/>
        <v>443350.7250000005</v>
      </c>
      <c r="BF46" s="4800">
        <f t="shared" si="54"/>
        <v>0</v>
      </c>
      <c r="BG46" s="4801">
        <f t="shared" si="54"/>
        <v>908060.63500000094</v>
      </c>
      <c r="BH46" s="25">
        <f t="shared" si="15"/>
        <v>0</v>
      </c>
      <c r="BI46" s="25"/>
    </row>
    <row r="47" spans="3:62" ht="16.5" x14ac:dyDescent="0.25">
      <c r="C47" s="4784" t="s">
        <v>109</v>
      </c>
      <c r="D47" s="4784" t="s">
        <v>970</v>
      </c>
      <c r="E47" s="8166"/>
      <c r="F47" s="4784"/>
      <c r="G47" s="4786">
        <f>SUMIF(USM!$C$8:$C$103,$D47,USM!G$8:G$103)</f>
        <v>35688.763999999996</v>
      </c>
      <c r="H47" s="4786"/>
      <c r="I47" s="4786">
        <f>SUMIF(USM!$C$8:$C$103,$D47,USM!I$8:I$103)</f>
        <v>41379.888999999996</v>
      </c>
      <c r="J47" s="4787"/>
      <c r="K47" s="4787">
        <f t="shared" si="16"/>
        <v>77068.652999999991</v>
      </c>
      <c r="L47" s="4786"/>
      <c r="M47" s="4786">
        <f>SUMIF(USM!$C$8:$C$103,$D47,USM!M$8:M$103)</f>
        <v>37591.116999999998</v>
      </c>
      <c r="N47" s="4788"/>
      <c r="O47" s="4788">
        <f t="shared" si="2"/>
        <v>114659.76999999999</v>
      </c>
      <c r="P47" s="4786"/>
      <c r="Q47" s="4786">
        <f>SUMIF(USM!$C$8:$C$103,$D47,USM!Q$8:Q$103)</f>
        <v>37515.043000000005</v>
      </c>
      <c r="R47" s="4789"/>
      <c r="S47" s="4787">
        <f t="shared" si="3"/>
        <v>152174.81299999999</v>
      </c>
      <c r="T47" s="4786"/>
      <c r="U47" s="4786">
        <f>SUMIF(USM!$C$8:$C$103,$D47,USM!U$8:U$103)</f>
        <v>36064.487999999998</v>
      </c>
      <c r="V47" s="4789"/>
      <c r="W47" s="4787">
        <f t="shared" si="4"/>
        <v>188239.30099999998</v>
      </c>
      <c r="X47" s="4790"/>
      <c r="Y47" s="4786">
        <f>SUMIF(USM!$C$8:$C$103,$D47,USM!Y$8:Y$103)</f>
        <v>36027.360000000001</v>
      </c>
      <c r="Z47" s="4788"/>
      <c r="AA47" s="4788">
        <f t="shared" si="5"/>
        <v>109606.891</v>
      </c>
      <c r="AB47" s="4791"/>
      <c r="AC47" s="4792">
        <f t="shared" si="6"/>
        <v>224266.66099999999</v>
      </c>
      <c r="AD47" s="4786"/>
      <c r="AE47" s="4786">
        <f>SUMIF(USM!$C$8:$C$103,$D47,USM!AE$8:AE$103)</f>
        <v>21398.575000000004</v>
      </c>
      <c r="AF47" s="4789"/>
      <c r="AG47" s="4787">
        <f t="shared" si="7"/>
        <v>245665.236</v>
      </c>
      <c r="AH47" s="4786"/>
      <c r="AI47" s="4786">
        <f>SUMIF(USM!$C$8:$C$103,$D47,USM!AI$8:AI$103)</f>
        <v>36895.741999999991</v>
      </c>
      <c r="AJ47" s="4789"/>
      <c r="AK47" s="4787">
        <f t="shared" si="43"/>
        <v>282560.978</v>
      </c>
      <c r="AL47" s="4786"/>
      <c r="AM47" s="4786">
        <f>SUMIF(USM!$C$8:$C$103,$D47,USM!AM$8:AM$103)</f>
        <v>42720.680999999997</v>
      </c>
      <c r="AN47" s="4927"/>
      <c r="AO47" s="4788">
        <f t="shared" si="9"/>
        <v>101014.99799999999</v>
      </c>
      <c r="AP47" s="4789"/>
      <c r="AQ47" s="4787">
        <f t="shared" ref="AQ47:AQ53" si="56">+AK47+AM47</f>
        <v>325281.65899999999</v>
      </c>
      <c r="AR47" s="4786"/>
      <c r="AS47" s="4786">
        <f>SUMIF(USM!$C$8:$C$103,$D47,USM!AS$8:AS$103)</f>
        <v>38285.017999999996</v>
      </c>
      <c r="AT47" s="4789"/>
      <c r="AU47" s="4787">
        <f t="shared" ref="AU47:AU53" si="57">+AQ47+AS47</f>
        <v>363566.67699999997</v>
      </c>
      <c r="AV47" s="4786"/>
      <c r="AW47" s="4786">
        <f>SUMIF(USM!$C$8:$C$103,$D47,USM!AW$8:AW$103)</f>
        <v>47132.118000000009</v>
      </c>
      <c r="AX47" s="4789"/>
      <c r="AY47" s="4787">
        <f t="shared" ref="AY47:AY53" si="58">+AU47+AW47</f>
        <v>410698.79499999998</v>
      </c>
      <c r="AZ47" s="4786"/>
      <c r="BA47" s="4786">
        <f>SUMIF(USM!$C$8:$C$103,$D47,USM!BA$8:BA$103)</f>
        <v>50708.168999999994</v>
      </c>
      <c r="BB47" s="4927"/>
      <c r="BC47" s="4788">
        <f t="shared" ref="BC47:BC53" si="59">AS47+AW47+BA47</f>
        <v>136125.30499999999</v>
      </c>
      <c r="BD47" s="4791"/>
      <c r="BE47" s="4792">
        <f t="shared" si="13"/>
        <v>237140.30299999999</v>
      </c>
      <c r="BF47" s="4789"/>
      <c r="BG47" s="4787">
        <f t="shared" ref="BG47:BG53" si="60">+AY47+BA47</f>
        <v>461406.96399999998</v>
      </c>
      <c r="BH47" s="25">
        <f t="shared" si="15"/>
        <v>0</v>
      </c>
      <c r="BI47" s="25"/>
    </row>
    <row r="48" spans="3:62" ht="16.5" x14ac:dyDescent="0.25">
      <c r="C48" s="4784" t="s">
        <v>109</v>
      </c>
      <c r="D48" s="4784" t="s">
        <v>1299</v>
      </c>
      <c r="E48" s="8166"/>
      <c r="F48" s="4784"/>
      <c r="G48" s="4786">
        <f>SUMIF(USM!$C$8:$C$103,$D48,USM!G$8:G$103)</f>
        <v>2426.3939999999998</v>
      </c>
      <c r="H48" s="4786"/>
      <c r="I48" s="4786">
        <f>SUMIF(USM!$C$8:$C$103,$D48,USM!I$8:I$103)</f>
        <v>3069.2429999999995</v>
      </c>
      <c r="J48" s="4787"/>
      <c r="K48" s="4787">
        <f t="shared" si="16"/>
        <v>5495.6369999999988</v>
      </c>
      <c r="L48" s="4786"/>
      <c r="M48" s="4786">
        <f>SUMIF(USM!$C$8:$C$103,$D48,USM!M$8:M$103)</f>
        <v>2518.1869999999999</v>
      </c>
      <c r="N48" s="4788"/>
      <c r="O48" s="4788">
        <f t="shared" si="2"/>
        <v>8013.8239999999987</v>
      </c>
      <c r="P48" s="4786"/>
      <c r="Q48" s="4786">
        <f>SUMIF(USM!$C$8:$C$103,$D48,USM!Q$8:Q$103)</f>
        <v>2855.9759999999992</v>
      </c>
      <c r="R48" s="4789"/>
      <c r="S48" s="4787">
        <f t="shared" si="3"/>
        <v>10869.799999999997</v>
      </c>
      <c r="T48" s="4786"/>
      <c r="U48" s="4786">
        <f>SUMIF(USM!$C$8:$C$103,$D48,USM!U$8:U$103)</f>
        <v>1438.2529999999997</v>
      </c>
      <c r="V48" s="4789"/>
      <c r="W48" s="4787">
        <f t="shared" si="4"/>
        <v>12308.052999999996</v>
      </c>
      <c r="X48" s="4790"/>
      <c r="Y48" s="4786">
        <f>SUMIF(USM!$C$8:$C$103,$D48,USM!Y$8:Y$103)</f>
        <v>57.984000000000009</v>
      </c>
      <c r="Z48" s="4788"/>
      <c r="AA48" s="4788">
        <f t="shared" si="5"/>
        <v>4352.2129999999997</v>
      </c>
      <c r="AB48" s="4791"/>
      <c r="AC48" s="4792">
        <f t="shared" si="6"/>
        <v>12366.036999999998</v>
      </c>
      <c r="AD48" s="4786"/>
      <c r="AE48" s="4786">
        <f>SUMIF(USM!$C$8:$C$103,$D48,USM!AE$8:AE$103)</f>
        <v>215.73599999999999</v>
      </c>
      <c r="AF48" s="4789"/>
      <c r="AG48" s="4787">
        <f t="shared" si="7"/>
        <v>12581.772999999999</v>
      </c>
      <c r="AH48" s="4786"/>
      <c r="AI48" s="4786">
        <f>SUMIF(USM!$C$8:$C$103,$D48,USM!AI$8:AI$103)</f>
        <v>2549.181</v>
      </c>
      <c r="AJ48" s="4789"/>
      <c r="AK48" s="4787">
        <f t="shared" si="43"/>
        <v>15130.954</v>
      </c>
      <c r="AL48" s="4786"/>
      <c r="AM48" s="4786">
        <f>SUMIF(USM!$C$8:$C$103,$D48,USM!AM$8:AM$103)</f>
        <v>0</v>
      </c>
      <c r="AN48" s="4927"/>
      <c r="AO48" s="4788">
        <f t="shared" si="9"/>
        <v>2764.9169999999999</v>
      </c>
      <c r="AP48" s="4789"/>
      <c r="AQ48" s="4787">
        <f t="shared" si="56"/>
        <v>15130.954</v>
      </c>
      <c r="AR48" s="4786"/>
      <c r="AS48" s="4786">
        <f>SUMIF(USM!$C$8:$C$103,$D48,USM!AS$8:AS$103)</f>
        <v>3795.9500000000007</v>
      </c>
      <c r="AT48" s="4789"/>
      <c r="AU48" s="4787">
        <f t="shared" si="57"/>
        <v>18926.904000000002</v>
      </c>
      <c r="AV48" s="4786"/>
      <c r="AW48" s="4786">
        <f>SUMIF(USM!$C$8:$C$103,$D48,USM!AW$8:AW$103)</f>
        <v>0</v>
      </c>
      <c r="AX48" s="4789"/>
      <c r="AY48" s="4787">
        <f t="shared" si="58"/>
        <v>18926.904000000002</v>
      </c>
      <c r="AZ48" s="4786"/>
      <c r="BA48" s="4786">
        <f>SUMIF(USM!$C$8:$C$103,$D48,USM!BA$8:BA$103)</f>
        <v>1738.6020000000001</v>
      </c>
      <c r="BB48" s="4927"/>
      <c r="BC48" s="4788">
        <f t="shared" si="59"/>
        <v>5534.5520000000006</v>
      </c>
      <c r="BD48" s="4791"/>
      <c r="BE48" s="4792">
        <f t="shared" si="13"/>
        <v>8299.469000000001</v>
      </c>
      <c r="BF48" s="4789"/>
      <c r="BG48" s="4787">
        <f t="shared" si="60"/>
        <v>20665.506000000001</v>
      </c>
      <c r="BH48" s="25">
        <f t="shared" si="15"/>
        <v>0</v>
      </c>
      <c r="BI48" s="25"/>
    </row>
    <row r="49" spans="1:62" ht="16.5" x14ac:dyDescent="0.25">
      <c r="A49" s="2095"/>
      <c r="B49" s="2095"/>
      <c r="C49" s="4784" t="s">
        <v>109</v>
      </c>
      <c r="D49" s="4784" t="s">
        <v>1531</v>
      </c>
      <c r="E49" s="8166"/>
      <c r="F49" s="4784"/>
      <c r="G49" s="4786">
        <f>SUMIF(USM!$C$8:$C$103,$D49,USM!G$8:G$103)</f>
        <v>0</v>
      </c>
      <c r="H49" s="4786"/>
      <c r="I49" s="4786">
        <f>SUMIF(USM!$C$8:$C$103,$D49,USM!I$8:I$103)</f>
        <v>332.20299999999997</v>
      </c>
      <c r="J49" s="4787"/>
      <c r="K49" s="4787">
        <f t="shared" si="16"/>
        <v>332.20299999999997</v>
      </c>
      <c r="L49" s="4786"/>
      <c r="M49" s="4786">
        <f>SUMIF(USM!$C$8:$C$103,$D49,USM!M$8:M$103)</f>
        <v>700.48399999999992</v>
      </c>
      <c r="N49" s="4788"/>
      <c r="O49" s="4788">
        <f t="shared" si="2"/>
        <v>1032.6869999999999</v>
      </c>
      <c r="P49" s="4786"/>
      <c r="Q49" s="4786">
        <f>SUMIF(USM!$C$8:$C$103,$D49,USM!Q$8:Q$103)</f>
        <v>934.69800000000009</v>
      </c>
      <c r="R49" s="4789"/>
      <c r="S49" s="4787">
        <f t="shared" si="3"/>
        <v>1967.385</v>
      </c>
      <c r="T49" s="4786"/>
      <c r="U49" s="4786">
        <f>SUMIF(USM!$C$8:$C$103,$D49,USM!U$8:U$103)</f>
        <v>84.19</v>
      </c>
      <c r="V49" s="4789"/>
      <c r="W49" s="4787">
        <f t="shared" si="4"/>
        <v>2051.5749999999998</v>
      </c>
      <c r="X49" s="4790"/>
      <c r="Y49" s="4786">
        <f>SUMIF(USM!$C$8:$C$103,$D49,USM!Y$8:Y$103)</f>
        <v>471.18099999999998</v>
      </c>
      <c r="Z49" s="4788"/>
      <c r="AA49" s="4788">
        <f t="shared" si="5"/>
        <v>1490.0690000000002</v>
      </c>
      <c r="AB49" s="4791"/>
      <c r="AC49" s="4792">
        <f t="shared" si="6"/>
        <v>2522.7560000000003</v>
      </c>
      <c r="AD49" s="4786"/>
      <c r="AE49" s="4786">
        <f>SUMIF(USM!$C$8:$C$103,$D49,USM!AE$8:AE$103)</f>
        <v>0</v>
      </c>
      <c r="AF49" s="4789"/>
      <c r="AG49" s="4787">
        <f t="shared" si="7"/>
        <v>2522.7560000000003</v>
      </c>
      <c r="AH49" s="4786"/>
      <c r="AI49" s="4786">
        <f>SUMIF(USM!$C$8:$C$103,$D49,USM!AI$8:AI$103)</f>
        <v>368.22899999999998</v>
      </c>
      <c r="AJ49" s="4789"/>
      <c r="AK49" s="4787">
        <f t="shared" si="43"/>
        <v>2890.9850000000001</v>
      </c>
      <c r="AL49" s="4786"/>
      <c r="AM49" s="4786">
        <f>SUMIF(USM!$C$8:$C$103,$D49,USM!AM$8:AM$103)</f>
        <v>34.414000000000001</v>
      </c>
      <c r="AN49" s="4927"/>
      <c r="AO49" s="4788">
        <f t="shared" si="9"/>
        <v>402.64299999999997</v>
      </c>
      <c r="AP49" s="4789"/>
      <c r="AQ49" s="4787">
        <f t="shared" si="56"/>
        <v>2925.3990000000003</v>
      </c>
      <c r="AR49" s="4786"/>
      <c r="AS49" s="4786">
        <f>SUMIF(USM!$C$8:$C$103,$D49,USM!AS$8:AS$103)</f>
        <v>0</v>
      </c>
      <c r="AT49" s="4789"/>
      <c r="AU49" s="4787">
        <f t="shared" si="57"/>
        <v>2925.3990000000003</v>
      </c>
      <c r="AV49" s="4786"/>
      <c r="AW49" s="4786">
        <f>SUMIF(USM!$C$8:$C$103,$D49,USM!AW$8:AW$103)</f>
        <v>112.935</v>
      </c>
      <c r="AX49" s="4789"/>
      <c r="AY49" s="4787">
        <f t="shared" si="58"/>
        <v>3038.3340000000003</v>
      </c>
      <c r="AZ49" s="4786"/>
      <c r="BA49" s="4786">
        <f>SUMIF(USM!$C$8:$C$103,$D49,USM!BA$8:BA$103)</f>
        <v>360.86999999999995</v>
      </c>
      <c r="BB49" s="4927"/>
      <c r="BC49" s="4788">
        <f t="shared" si="59"/>
        <v>473.80499999999995</v>
      </c>
      <c r="BD49" s="4791"/>
      <c r="BE49" s="4792">
        <f t="shared" si="13"/>
        <v>876.44799999999987</v>
      </c>
      <c r="BF49" s="4789"/>
      <c r="BG49" s="4787">
        <f t="shared" si="60"/>
        <v>3399.2040000000002</v>
      </c>
      <c r="BH49" s="25">
        <f t="shared" si="15"/>
        <v>0</v>
      </c>
      <c r="BI49" s="25"/>
      <c r="BJ49" s="25"/>
    </row>
    <row r="50" spans="1:62" ht="16.5" x14ac:dyDescent="0.25">
      <c r="C50" s="4784" t="s">
        <v>109</v>
      </c>
      <c r="D50" s="4784" t="s">
        <v>905</v>
      </c>
      <c r="E50" s="8166"/>
      <c r="F50" s="4784"/>
      <c r="G50" s="4786">
        <f>SUMIF(USM!$C$8:$C$103,$D50,USM!G$8:G$103)</f>
        <v>13092.567999999999</v>
      </c>
      <c r="H50" s="4786"/>
      <c r="I50" s="4786">
        <f>SUMIF(USM!$C$8:$C$103,$D50,USM!I$8:I$103)</f>
        <v>12437.809000000001</v>
      </c>
      <c r="J50" s="4787"/>
      <c r="K50" s="4787">
        <f t="shared" si="16"/>
        <v>25530.377</v>
      </c>
      <c r="L50" s="4786"/>
      <c r="M50" s="4786">
        <f>SUMIF(USM!$C$8:$C$103,$D50,USM!M$8:M$103)</f>
        <v>15766.755000000001</v>
      </c>
      <c r="N50" s="4788"/>
      <c r="O50" s="4788">
        <f t="shared" si="2"/>
        <v>41297.131999999998</v>
      </c>
      <c r="P50" s="4786"/>
      <c r="Q50" s="4786">
        <f>SUMIF(USM!$C$8:$C$103,$D50,USM!Q$8:Q$103)</f>
        <v>11945.610999999999</v>
      </c>
      <c r="R50" s="4789"/>
      <c r="S50" s="4787">
        <f t="shared" si="3"/>
        <v>53242.742999999995</v>
      </c>
      <c r="T50" s="4786"/>
      <c r="U50" s="4786">
        <f>SUMIF(USM!$C$8:$C$103,$D50,USM!U$8:U$103)</f>
        <v>5801.0050000000001</v>
      </c>
      <c r="V50" s="4789"/>
      <c r="W50" s="4787">
        <f t="shared" si="4"/>
        <v>59043.747999999992</v>
      </c>
      <c r="X50" s="4790"/>
      <c r="Y50" s="4786">
        <f>SUMIF(USM!$C$8:$C$103,$D50,USM!Y$8:Y$103)</f>
        <v>11476.604000000001</v>
      </c>
      <c r="Z50" s="4788"/>
      <c r="AA50" s="4788">
        <f t="shared" si="5"/>
        <v>29223.22</v>
      </c>
      <c r="AB50" s="4791"/>
      <c r="AC50" s="4792">
        <f t="shared" si="6"/>
        <v>70520.351999999999</v>
      </c>
      <c r="AD50" s="4786"/>
      <c r="AE50" s="4786">
        <f>SUMIF(USM!$C$8:$C$103,$D50,USM!AE$8:AE$103)</f>
        <v>5961.8090000000002</v>
      </c>
      <c r="AF50" s="4789"/>
      <c r="AG50" s="4787">
        <f t="shared" si="7"/>
        <v>76482.160999999993</v>
      </c>
      <c r="AH50" s="4786"/>
      <c r="AI50" s="4786">
        <f>SUMIF(USM!$C$8:$C$103,$D50,USM!AI$8:AI$103)</f>
        <v>6030.4699999999993</v>
      </c>
      <c r="AJ50" s="4789"/>
      <c r="AK50" s="4787">
        <f t="shared" si="43"/>
        <v>82512.630999999994</v>
      </c>
      <c r="AL50" s="4786"/>
      <c r="AM50" s="4786">
        <f>SUMIF(USM!$C$8:$C$103,$D50,USM!AM$8:AM$103)</f>
        <v>9293.3559999999979</v>
      </c>
      <c r="AN50" s="4927"/>
      <c r="AO50" s="4788">
        <f t="shared" si="9"/>
        <v>21285.634999999995</v>
      </c>
      <c r="AP50" s="4789"/>
      <c r="AQ50" s="4787">
        <f t="shared" si="56"/>
        <v>91805.986999999994</v>
      </c>
      <c r="AR50" s="4786"/>
      <c r="AS50" s="4786">
        <f>SUMIF(USM!$C$8:$C$103,$D50,USM!AS$8:AS$103)</f>
        <v>13085.248000000001</v>
      </c>
      <c r="AT50" s="4789"/>
      <c r="AU50" s="4787">
        <f t="shared" si="57"/>
        <v>104891.235</v>
      </c>
      <c r="AV50" s="4786"/>
      <c r="AW50" s="4786">
        <f>SUMIF(USM!$C$8:$C$103,$D50,USM!AW$8:AW$103)</f>
        <v>6516.0370000000003</v>
      </c>
      <c r="AX50" s="4789"/>
      <c r="AY50" s="4787">
        <f t="shared" si="58"/>
        <v>111407.272</v>
      </c>
      <c r="AZ50" s="4786"/>
      <c r="BA50" s="4786">
        <f>SUMIF(USM!$C$8:$C$103,$D50,USM!BA$8:BA$103)</f>
        <v>10155.597999999998</v>
      </c>
      <c r="BB50" s="4927"/>
      <c r="BC50" s="4788">
        <f t="shared" si="59"/>
        <v>29756.883000000002</v>
      </c>
      <c r="BD50" s="4791"/>
      <c r="BE50" s="4792">
        <f t="shared" si="13"/>
        <v>51042.517999999996</v>
      </c>
      <c r="BF50" s="4789"/>
      <c r="BG50" s="4787">
        <f t="shared" si="60"/>
        <v>121562.87</v>
      </c>
      <c r="BH50" s="25">
        <f t="shared" si="15"/>
        <v>0</v>
      </c>
      <c r="BI50" s="25"/>
    </row>
    <row r="51" spans="1:62" ht="16.5" x14ac:dyDescent="0.25">
      <c r="A51" s="2450"/>
      <c r="B51" s="2450"/>
      <c r="C51" s="4784" t="s">
        <v>109</v>
      </c>
      <c r="D51" s="4784" t="s">
        <v>1545</v>
      </c>
      <c r="E51" s="8166"/>
      <c r="F51" s="4784"/>
      <c r="G51" s="4786">
        <f>SUMIF(USM!$C$8:$C$103,$D51,USM!G$8:G$103)</f>
        <v>1308.4059999999999</v>
      </c>
      <c r="H51" s="4786"/>
      <c r="I51" s="4786">
        <f>SUMIF(USM!$C$8:$C$103,$D51,USM!I$8:I$103)</f>
        <v>0</v>
      </c>
      <c r="J51" s="4787"/>
      <c r="K51" s="4787">
        <f t="shared" si="16"/>
        <v>1308.4059999999999</v>
      </c>
      <c r="L51" s="4786"/>
      <c r="M51" s="4786">
        <f>SUMIF(USM!$C$8:$C$103,$D51,USM!M$8:M$103)</f>
        <v>1868.2280000000001</v>
      </c>
      <c r="N51" s="4788"/>
      <c r="O51" s="4788">
        <f t="shared" si="2"/>
        <v>3176.634</v>
      </c>
      <c r="P51" s="4786"/>
      <c r="Q51" s="4786">
        <f>SUMIF(USM!$C$8:$C$103,$D51,USM!Q$8:Q$103)</f>
        <v>3775.3629999999994</v>
      </c>
      <c r="R51" s="4789"/>
      <c r="S51" s="4787">
        <f t="shared" si="3"/>
        <v>6951.9969999999994</v>
      </c>
      <c r="T51" s="4786"/>
      <c r="U51" s="4786">
        <f>SUMIF(USM!$C$8:$C$103,$D51,USM!U$8:U$103)</f>
        <v>225.51100000000002</v>
      </c>
      <c r="V51" s="4789"/>
      <c r="W51" s="4787">
        <f t="shared" si="4"/>
        <v>7177.5079999999998</v>
      </c>
      <c r="X51" s="4790"/>
      <c r="Y51" s="4786">
        <f>SUMIF(USM!$C$8:$C$103,$D51,USM!Y$8:Y$103)</f>
        <v>1963.587</v>
      </c>
      <c r="Z51" s="4788"/>
      <c r="AA51" s="4788">
        <f t="shared" si="5"/>
        <v>5964.4609999999993</v>
      </c>
      <c r="AB51" s="4791"/>
      <c r="AC51" s="4792">
        <f t="shared" si="6"/>
        <v>9141.0949999999993</v>
      </c>
      <c r="AD51" s="4786"/>
      <c r="AE51" s="4786">
        <f>SUMIF(USM!$C$8:$C$103,$D51,USM!AE$8:AE$103)</f>
        <v>2083.777</v>
      </c>
      <c r="AF51" s="4789"/>
      <c r="AG51" s="4787">
        <f t="shared" si="7"/>
        <v>11224.871999999999</v>
      </c>
      <c r="AH51" s="4786"/>
      <c r="AI51" s="4786">
        <f>SUMIF(USM!$C$8:$C$103,$D51,USM!AI$8:AI$103)</f>
        <v>2886.4169999999999</v>
      </c>
      <c r="AJ51" s="4789"/>
      <c r="AK51" s="4787">
        <f t="shared" si="43"/>
        <v>14111.288999999999</v>
      </c>
      <c r="AL51" s="4786"/>
      <c r="AM51" s="4786">
        <f>SUMIF(USM!$C$8:$C$103,$D51,USM!AM$8:AM$103)</f>
        <v>134.703</v>
      </c>
      <c r="AN51" s="4927"/>
      <c r="AO51" s="4788">
        <f t="shared" si="9"/>
        <v>5104.8969999999999</v>
      </c>
      <c r="AP51" s="4789"/>
      <c r="AQ51" s="4787">
        <f t="shared" si="56"/>
        <v>14245.991999999998</v>
      </c>
      <c r="AR51" s="4786"/>
      <c r="AS51" s="4786">
        <f>SUMIF(USM!$C$8:$C$103,$D51,USM!AS$8:AS$103)</f>
        <v>344.72500000000002</v>
      </c>
      <c r="AT51" s="4789"/>
      <c r="AU51" s="4787">
        <f t="shared" si="57"/>
        <v>14590.716999999999</v>
      </c>
      <c r="AV51" s="4786"/>
      <c r="AW51" s="4786">
        <f>SUMIF(USM!$C$8:$C$103,$D51,USM!AW$8:AW$103)</f>
        <v>518.30800000000011</v>
      </c>
      <c r="AX51" s="4789"/>
      <c r="AY51" s="4787">
        <f t="shared" si="58"/>
        <v>15109.025</v>
      </c>
      <c r="AZ51" s="4786"/>
      <c r="BA51" s="4786">
        <f>SUMIF(USM!$C$8:$C$103,$D51,USM!BA$8:BA$103)</f>
        <v>156.90700000000001</v>
      </c>
      <c r="BB51" s="4927"/>
      <c r="BC51" s="4788">
        <f t="shared" si="59"/>
        <v>1019.9400000000002</v>
      </c>
      <c r="BD51" s="4791"/>
      <c r="BE51" s="4792">
        <f t="shared" si="13"/>
        <v>6124.8370000000004</v>
      </c>
      <c r="BF51" s="4789"/>
      <c r="BG51" s="4787">
        <f t="shared" si="60"/>
        <v>15265.931999999999</v>
      </c>
      <c r="BH51" s="25">
        <f t="shared" si="15"/>
        <v>0</v>
      </c>
      <c r="BI51" s="25"/>
      <c r="BJ51" s="25"/>
    </row>
    <row r="52" spans="1:62" s="4487" customFormat="1" ht="16.5" x14ac:dyDescent="0.25">
      <c r="C52" s="5752" t="s">
        <v>109</v>
      </c>
      <c r="D52" s="5752" t="s">
        <v>1991</v>
      </c>
      <c r="E52" s="8166"/>
      <c r="F52" s="5752"/>
      <c r="G52" s="4786">
        <f>SUMIF(USM!$C$8:$C$103,$D52,USM!G$8:G$103)</f>
        <v>0</v>
      </c>
      <c r="H52" s="4786"/>
      <c r="I52" s="4786">
        <f>SUMIF(USM!$C$8:$C$103,$D52,USM!I$8:I$103)</f>
        <v>0</v>
      </c>
      <c r="J52" s="4787"/>
      <c r="K52" s="4787">
        <f t="shared" ref="K52" si="61">+G52+I52</f>
        <v>0</v>
      </c>
      <c r="L52" s="4786"/>
      <c r="M52" s="4786">
        <f>SUMIF(USM!$C$8:$C$103,$D52,USM!M$8:M$103)</f>
        <v>229.86200000000002</v>
      </c>
      <c r="N52" s="4788"/>
      <c r="O52" s="4788">
        <f t="shared" ref="O52" si="62">+G52+I52+M52</f>
        <v>229.86200000000002</v>
      </c>
      <c r="P52" s="4786"/>
      <c r="Q52" s="4786">
        <f>SUMIF(USM!$C$8:$C$103,$D52,USM!Q$8:Q$103)</f>
        <v>0</v>
      </c>
      <c r="R52" s="4789"/>
      <c r="S52" s="4787">
        <f t="shared" ref="S52" si="63">O52+Q52</f>
        <v>229.86200000000002</v>
      </c>
      <c r="T52" s="4786"/>
      <c r="U52" s="4786">
        <f>SUMIF(USM!$C$8:$C$103,$D52,USM!U$8:U$103)</f>
        <v>0</v>
      </c>
      <c r="V52" s="4789"/>
      <c r="W52" s="4787">
        <f t="shared" ref="W52" si="64">S52+U52</f>
        <v>229.86200000000002</v>
      </c>
      <c r="X52" s="4790"/>
      <c r="Y52" s="4786">
        <f>SUMIF(USM!$C$8:$C$103,$D52,USM!Y$8:Y$103)</f>
        <v>0</v>
      </c>
      <c r="Z52" s="4788"/>
      <c r="AA52" s="4788">
        <f t="shared" ref="AA52" si="65">Q52+U52+Y52</f>
        <v>0</v>
      </c>
      <c r="AB52" s="4791"/>
      <c r="AC52" s="4792">
        <f t="shared" ref="AC52" si="66">O52+AA52</f>
        <v>229.86200000000002</v>
      </c>
      <c r="AD52" s="4786"/>
      <c r="AE52" s="4786">
        <f>SUMIF(USM!$C$8:$C$103,$D52,USM!AE$8:AE$103)</f>
        <v>0</v>
      </c>
      <c r="AF52" s="4789"/>
      <c r="AG52" s="4787">
        <f t="shared" ref="AG52" si="67">+AC52+AE52</f>
        <v>229.86200000000002</v>
      </c>
      <c r="AH52" s="4786"/>
      <c r="AI52" s="4786">
        <f>SUMIF(USM!$C$8:$C$103,$D52,USM!AI$8:AI$103)</f>
        <v>0</v>
      </c>
      <c r="AJ52" s="4789"/>
      <c r="AK52" s="4787">
        <f t="shared" ref="AK52" si="68">+AG52+AI52</f>
        <v>229.86200000000002</v>
      </c>
      <c r="AL52" s="4786"/>
      <c r="AM52" s="4786">
        <f>SUMIF(USM!$C$8:$C$103,$D52,USM!AM$8:AM$103)</f>
        <v>0</v>
      </c>
      <c r="AN52" s="4927"/>
      <c r="AO52" s="4788">
        <f t="shared" ref="AO52" si="69">AE52+AI52+AM52</f>
        <v>0</v>
      </c>
      <c r="AP52" s="4789"/>
      <c r="AQ52" s="4787">
        <f t="shared" ref="AQ52" si="70">+AK52+AM52</f>
        <v>229.86200000000002</v>
      </c>
      <c r="AR52" s="4786"/>
      <c r="AS52" s="4786">
        <f>SUMIF(USM!$C$8:$C$103,$D52,USM!AS$8:AS$103)</f>
        <v>0</v>
      </c>
      <c r="AT52" s="4789"/>
      <c r="AU52" s="4787">
        <f t="shared" ref="AU52" si="71">+AQ52+AS52</f>
        <v>229.86200000000002</v>
      </c>
      <c r="AV52" s="4786"/>
      <c r="AW52" s="4786">
        <f>SUMIF(USM!$C$8:$C$103,$D52,USM!AW$8:AW$103)</f>
        <v>0</v>
      </c>
      <c r="AX52" s="4789"/>
      <c r="AY52" s="4787">
        <f t="shared" ref="AY52" si="72">+AU52+AW52</f>
        <v>229.86200000000002</v>
      </c>
      <c r="AZ52" s="4786"/>
      <c r="BA52" s="4786">
        <f>SUMIF(USM!$C$8:$C$103,$D52,USM!BA$8:BA$103)</f>
        <v>0</v>
      </c>
      <c r="BB52" s="4927"/>
      <c r="BC52" s="4788">
        <f t="shared" ref="BC52" si="73">AS52+AW52+BA52</f>
        <v>0</v>
      </c>
      <c r="BD52" s="4791"/>
      <c r="BE52" s="4792">
        <f t="shared" ref="BE52" si="74">AO52+BC52</f>
        <v>0</v>
      </c>
      <c r="BF52" s="4789"/>
      <c r="BG52" s="4787">
        <f t="shared" ref="BG52" si="75">+AY52+BA52</f>
        <v>229.86200000000002</v>
      </c>
      <c r="BH52" s="25">
        <f t="shared" si="15"/>
        <v>0</v>
      </c>
      <c r="BI52" s="25"/>
    </row>
    <row r="53" spans="1:62" ht="16.5" x14ac:dyDescent="0.25">
      <c r="A53" s="2450"/>
      <c r="B53" s="2450"/>
      <c r="C53" s="4784" t="s">
        <v>109</v>
      </c>
      <c r="D53" s="4784" t="s">
        <v>1546</v>
      </c>
      <c r="E53" s="8166"/>
      <c r="F53" s="4784"/>
      <c r="G53" s="4786">
        <f>SUMIF(USM!$C$8:$C$103,$D53,USM!G$8:G$103)</f>
        <v>0</v>
      </c>
      <c r="H53" s="4786"/>
      <c r="I53" s="4786">
        <f>SUMIF(USM!$C$8:$C$103,$D53,USM!I$8:I$103)</f>
        <v>0</v>
      </c>
      <c r="J53" s="4787"/>
      <c r="K53" s="4787">
        <f t="shared" si="16"/>
        <v>0</v>
      </c>
      <c r="L53" s="4786"/>
      <c r="M53" s="4786">
        <f>SUMIF(USM!$C$8:$C$103,$D53,USM!M$8:M$103)</f>
        <v>0</v>
      </c>
      <c r="N53" s="4788"/>
      <c r="O53" s="4788">
        <f t="shared" si="2"/>
        <v>0</v>
      </c>
      <c r="P53" s="4786"/>
      <c r="Q53" s="4786">
        <f>SUMIF(USM!$C$8:$C$103,$D53,USM!Q$8:Q$103)</f>
        <v>300.69599999999997</v>
      </c>
      <c r="R53" s="4789"/>
      <c r="S53" s="4787">
        <f t="shared" si="3"/>
        <v>300.69599999999997</v>
      </c>
      <c r="T53" s="4786"/>
      <c r="U53" s="4786">
        <f>SUMIF(USM!$C$8:$C$103,$D53,USM!U$8:U$103)</f>
        <v>792.84600000000012</v>
      </c>
      <c r="V53" s="4789"/>
      <c r="W53" s="4787">
        <f t="shared" si="4"/>
        <v>1093.5420000000001</v>
      </c>
      <c r="X53" s="4790"/>
      <c r="Y53" s="4786">
        <f>SUMIF(USM!$C$8:$C$103,$D53,USM!Y$8:Y$103)</f>
        <v>0</v>
      </c>
      <c r="Z53" s="4788"/>
      <c r="AA53" s="4788">
        <f t="shared" si="5"/>
        <v>1093.5420000000001</v>
      </c>
      <c r="AB53" s="4791"/>
      <c r="AC53" s="4792">
        <f t="shared" si="6"/>
        <v>1093.5420000000001</v>
      </c>
      <c r="AD53" s="4786"/>
      <c r="AE53" s="4786">
        <f>SUMIF(USM!$C$8:$C$103,$D53,USM!AE$8:AE$103)</f>
        <v>0</v>
      </c>
      <c r="AF53" s="4789"/>
      <c r="AG53" s="4787">
        <f t="shared" si="7"/>
        <v>1093.5420000000001</v>
      </c>
      <c r="AH53" s="4786"/>
      <c r="AI53" s="4786">
        <f>SUMIF(USM!$C$8:$C$103,$D53,USM!AI$8:AI$103)</f>
        <v>330.005</v>
      </c>
      <c r="AJ53" s="4789"/>
      <c r="AK53" s="4787">
        <f t="shared" si="43"/>
        <v>1423.547</v>
      </c>
      <c r="AL53" s="4786"/>
      <c r="AM53" s="4786">
        <f>SUMIF(USM!$C$8:$C$103,$D53,USM!AM$8:AM$103)</f>
        <v>804.02599999999995</v>
      </c>
      <c r="AN53" s="4927"/>
      <c r="AO53" s="4788">
        <f t="shared" si="9"/>
        <v>1134.0309999999999</v>
      </c>
      <c r="AP53" s="4789"/>
      <c r="AQ53" s="4787">
        <f t="shared" si="56"/>
        <v>2227.5729999999999</v>
      </c>
      <c r="AR53" s="4786"/>
      <c r="AS53" s="4786">
        <f>SUMIF(USM!$C$8:$C$103,$D53,USM!AS$8:AS$103)</f>
        <v>659.03700000000003</v>
      </c>
      <c r="AT53" s="4789"/>
      <c r="AU53" s="4787">
        <f t="shared" si="57"/>
        <v>2886.6099999999997</v>
      </c>
      <c r="AV53" s="4786"/>
      <c r="AW53" s="4786">
        <f>SUMIF(USM!$C$8:$C$103,$D53,USM!AW$8:AW$103)</f>
        <v>0</v>
      </c>
      <c r="AX53" s="4789"/>
      <c r="AY53" s="4787">
        <f t="shared" si="58"/>
        <v>2886.6099999999997</v>
      </c>
      <c r="AZ53" s="4786"/>
      <c r="BA53" s="4786">
        <f>SUMIF(USM!$C$8:$C$103,$D53,USM!BA$8:BA$103)</f>
        <v>0</v>
      </c>
      <c r="BB53" s="4927"/>
      <c r="BC53" s="4788">
        <f t="shared" si="59"/>
        <v>659.03700000000003</v>
      </c>
      <c r="BD53" s="4791"/>
      <c r="BE53" s="4792">
        <f t="shared" si="13"/>
        <v>1793.068</v>
      </c>
      <c r="BF53" s="4789"/>
      <c r="BG53" s="4787">
        <f t="shared" si="60"/>
        <v>2886.6099999999997</v>
      </c>
      <c r="BH53" s="25">
        <f t="shared" si="15"/>
        <v>0</v>
      </c>
      <c r="BI53" s="25"/>
    </row>
    <row r="54" spans="1:62" ht="16.5" x14ac:dyDescent="0.25">
      <c r="C54" s="8162" t="s">
        <v>927</v>
      </c>
      <c r="D54" s="8162"/>
      <c r="E54" s="8166"/>
      <c r="F54" s="4799"/>
      <c r="G54" s="4800">
        <f t="shared" ref="G54:AM54" si="76">SUM(G47:G53)</f>
        <v>52516.131999999998</v>
      </c>
      <c r="H54" s="4800">
        <f t="shared" si="76"/>
        <v>0</v>
      </c>
      <c r="I54" s="4800">
        <f t="shared" si="76"/>
        <v>57219.144</v>
      </c>
      <c r="J54" s="4800">
        <f t="shared" si="76"/>
        <v>0</v>
      </c>
      <c r="K54" s="4801">
        <f t="shared" si="76"/>
        <v>109735.276</v>
      </c>
      <c r="L54" s="4800">
        <f t="shared" si="76"/>
        <v>0</v>
      </c>
      <c r="M54" s="4800">
        <f t="shared" si="76"/>
        <v>58674.632999999994</v>
      </c>
      <c r="N54" s="4800">
        <f t="shared" si="76"/>
        <v>0</v>
      </c>
      <c r="O54" s="4802">
        <f t="shared" si="76"/>
        <v>168409.90899999999</v>
      </c>
      <c r="P54" s="4800">
        <f t="shared" si="76"/>
        <v>0</v>
      </c>
      <c r="Q54" s="4800">
        <f t="shared" si="76"/>
        <v>57327.387000000002</v>
      </c>
      <c r="R54" s="4800">
        <f t="shared" si="76"/>
        <v>0</v>
      </c>
      <c r="S54" s="4801">
        <f t="shared" si="76"/>
        <v>225737.29599999997</v>
      </c>
      <c r="T54" s="4800">
        <f t="shared" si="76"/>
        <v>0</v>
      </c>
      <c r="U54" s="4800">
        <f t="shared" si="76"/>
        <v>44406.292999999991</v>
      </c>
      <c r="V54" s="4800">
        <f t="shared" si="76"/>
        <v>0</v>
      </c>
      <c r="W54" s="4801">
        <f t="shared" si="76"/>
        <v>270143.58899999998</v>
      </c>
      <c r="X54" s="4800">
        <f t="shared" si="76"/>
        <v>0</v>
      </c>
      <c r="Y54" s="4800">
        <f t="shared" si="76"/>
        <v>49996.715999999993</v>
      </c>
      <c r="Z54" s="4800">
        <f t="shared" si="76"/>
        <v>0</v>
      </c>
      <c r="AA54" s="4802">
        <f t="shared" si="76"/>
        <v>151730.39600000001</v>
      </c>
      <c r="AB54" s="4800">
        <f t="shared" si="76"/>
        <v>0</v>
      </c>
      <c r="AC54" s="4803">
        <f t="shared" si="76"/>
        <v>320140.30499999999</v>
      </c>
      <c r="AD54" s="4800">
        <f t="shared" si="76"/>
        <v>0</v>
      </c>
      <c r="AE54" s="4800">
        <f t="shared" si="76"/>
        <v>29659.897000000004</v>
      </c>
      <c r="AF54" s="4800">
        <f t="shared" si="76"/>
        <v>0</v>
      </c>
      <c r="AG54" s="4801">
        <f t="shared" si="76"/>
        <v>349800.20199999999</v>
      </c>
      <c r="AH54" s="4800">
        <f t="shared" si="76"/>
        <v>0</v>
      </c>
      <c r="AI54" s="4800">
        <f t="shared" si="76"/>
        <v>49060.043999999987</v>
      </c>
      <c r="AJ54" s="4800">
        <f t="shared" si="76"/>
        <v>0</v>
      </c>
      <c r="AK54" s="4801">
        <f t="shared" si="76"/>
        <v>398860.24600000004</v>
      </c>
      <c r="AL54" s="4800">
        <f t="shared" si="76"/>
        <v>0</v>
      </c>
      <c r="AM54" s="4800">
        <f t="shared" si="76"/>
        <v>52987.179999999993</v>
      </c>
      <c r="AN54" s="4928"/>
      <c r="AO54" s="4802">
        <f t="shared" ref="AO54:BA54" si="77">SUM(AO47:AO53)</f>
        <v>131707.12099999998</v>
      </c>
      <c r="AP54" s="4800">
        <f t="shared" si="77"/>
        <v>0</v>
      </c>
      <c r="AQ54" s="4801">
        <f t="shared" si="77"/>
        <v>451847.42599999992</v>
      </c>
      <c r="AR54" s="4800">
        <f t="shared" si="77"/>
        <v>0</v>
      </c>
      <c r="AS54" s="4800">
        <f t="shared" si="77"/>
        <v>56169.977999999988</v>
      </c>
      <c r="AT54" s="4800">
        <f t="shared" si="77"/>
        <v>0</v>
      </c>
      <c r="AU54" s="4801">
        <f t="shared" si="77"/>
        <v>508017.40399999992</v>
      </c>
      <c r="AV54" s="4800">
        <f t="shared" si="77"/>
        <v>0</v>
      </c>
      <c r="AW54" s="4800">
        <f t="shared" si="77"/>
        <v>54279.398000000008</v>
      </c>
      <c r="AX54" s="4800">
        <f t="shared" si="77"/>
        <v>0</v>
      </c>
      <c r="AY54" s="4801">
        <f t="shared" si="77"/>
        <v>562296.80199999991</v>
      </c>
      <c r="AZ54" s="4800">
        <f t="shared" si="77"/>
        <v>0</v>
      </c>
      <c r="BA54" s="4800">
        <f t="shared" si="77"/>
        <v>63120.145999999993</v>
      </c>
      <c r="BB54" s="4928"/>
      <c r="BC54" s="4802">
        <f>SUM(BC47:BC53)</f>
        <v>173569.522</v>
      </c>
      <c r="BD54" s="4800">
        <f>SUM(BD47:BD53)</f>
        <v>0</v>
      </c>
      <c r="BE54" s="4803">
        <f>SUM(BE47:BE53)</f>
        <v>305276.64300000004</v>
      </c>
      <c r="BF54" s="4800">
        <f>SUM(BF47:BF53)</f>
        <v>0</v>
      </c>
      <c r="BG54" s="4801">
        <f>SUM(BG47:BG53)</f>
        <v>625416.94799999997</v>
      </c>
      <c r="BH54" s="25">
        <f t="shared" si="15"/>
        <v>0</v>
      </c>
      <c r="BI54" s="25"/>
    </row>
    <row r="55" spans="1:62" ht="18.75" x14ac:dyDescent="0.3">
      <c r="C55" s="4784" t="s">
        <v>936</v>
      </c>
      <c r="D55" s="4784" t="s">
        <v>1872</v>
      </c>
      <c r="E55" s="8166"/>
      <c r="F55" s="4784"/>
      <c r="G55" s="4804">
        <f>7465-12</f>
        <v>7453</v>
      </c>
      <c r="H55" s="4804"/>
      <c r="I55" s="4804">
        <f>9133-750</f>
        <v>8383</v>
      </c>
      <c r="J55" s="4787"/>
      <c r="K55" s="4787">
        <f t="shared" si="16"/>
        <v>15836</v>
      </c>
      <c r="L55" s="4804"/>
      <c r="M55" s="4804">
        <f>12010-131</f>
        <v>11879</v>
      </c>
      <c r="N55" s="4788"/>
      <c r="O55" s="4788">
        <f t="shared" si="2"/>
        <v>27715</v>
      </c>
      <c r="P55" s="4804"/>
      <c r="Q55" s="4804">
        <f>927-685</f>
        <v>242</v>
      </c>
      <c r="R55" s="4789"/>
      <c r="S55" s="4787">
        <f t="shared" si="3"/>
        <v>27957</v>
      </c>
      <c r="T55" s="4804"/>
      <c r="U55" s="4804">
        <f>9644.118-410.116</f>
        <v>9234.0020000000004</v>
      </c>
      <c r="V55" s="4789"/>
      <c r="W55" s="4787">
        <f t="shared" si="4"/>
        <v>37191.002</v>
      </c>
      <c r="X55" s="4790"/>
      <c r="Y55" s="4804">
        <f>12381-5355</f>
        <v>7026</v>
      </c>
      <c r="Z55" s="4788"/>
      <c r="AA55" s="4788">
        <f t="shared" si="5"/>
        <v>16502.002</v>
      </c>
      <c r="AB55" s="4791"/>
      <c r="AC55" s="4792">
        <f t="shared" si="6"/>
        <v>44217.002</v>
      </c>
      <c r="AD55" s="4804"/>
      <c r="AE55" s="4804">
        <f>5821-21</f>
        <v>5800</v>
      </c>
      <c r="AF55" s="4789"/>
      <c r="AG55" s="4787">
        <f t="shared" si="7"/>
        <v>50017.002</v>
      </c>
      <c r="AH55" s="4804"/>
      <c r="AI55" s="4804">
        <f>9273.96400000001-5500.251</f>
        <v>3773.7130000000107</v>
      </c>
      <c r="AJ55" s="4789"/>
      <c r="AK55" s="4787">
        <f t="shared" si="43"/>
        <v>53790.715000000011</v>
      </c>
      <c r="AL55" s="4804"/>
      <c r="AM55" s="4804">
        <f>11166.66-4033</f>
        <v>7133.66</v>
      </c>
      <c r="AN55" s="4929"/>
      <c r="AO55" s="4788">
        <f t="shared" si="9"/>
        <v>16707.373000000011</v>
      </c>
      <c r="AP55" s="4789"/>
      <c r="AQ55" s="4787">
        <f t="shared" ref="AQ55:AQ78" si="78">+AK55+AM55</f>
        <v>60924.375000000015</v>
      </c>
      <c r="AR55" s="4804"/>
      <c r="AS55" s="4804">
        <v>4013</v>
      </c>
      <c r="AT55" s="4789"/>
      <c r="AU55" s="4787">
        <f t="shared" ref="AU55:AU78" si="79">+AQ55+AS55</f>
        <v>64937.375000000015</v>
      </c>
      <c r="AV55" s="4804"/>
      <c r="AW55" s="4804">
        <v>4184.3040000000001</v>
      </c>
      <c r="AX55" s="4789"/>
      <c r="AY55" s="4787">
        <f t="shared" ref="AY55:AY78" si="80">+AU55+AW55</f>
        <v>69121.679000000018</v>
      </c>
      <c r="AZ55" s="4804"/>
      <c r="BA55" s="4804">
        <f>3075.691-111</f>
        <v>2964.6909999999998</v>
      </c>
      <c r="BB55" s="4929"/>
      <c r="BC55" s="4788">
        <f t="shared" ref="BC55:BC78" si="81">AS55+AW55+BA55</f>
        <v>11161.994999999999</v>
      </c>
      <c r="BD55" s="4791"/>
      <c r="BE55" s="4792">
        <f t="shared" si="13"/>
        <v>27869.368000000009</v>
      </c>
      <c r="BF55" s="4789"/>
      <c r="BG55" s="4787">
        <f t="shared" ref="BG55:BG78" si="82">+AY55+BA55</f>
        <v>72086.370000000024</v>
      </c>
      <c r="BH55" s="25">
        <f t="shared" si="15"/>
        <v>0</v>
      </c>
      <c r="BI55" s="553"/>
    </row>
    <row r="56" spans="1:62" s="4233" customFormat="1" ht="18.75" x14ac:dyDescent="0.3">
      <c r="C56" s="4784" t="s">
        <v>936</v>
      </c>
      <c r="D56" s="4793" t="s">
        <v>1780</v>
      </c>
      <c r="E56" s="8166"/>
      <c r="F56" s="4793"/>
      <c r="G56" s="4790"/>
      <c r="H56" s="4790"/>
      <c r="I56" s="4790"/>
      <c r="J56" s="4797"/>
      <c r="K56" s="4787">
        <f t="shared" si="16"/>
        <v>0</v>
      </c>
      <c r="L56" s="4790"/>
      <c r="M56" s="4790"/>
      <c r="N56" s="4796"/>
      <c r="O56" s="4788">
        <f t="shared" si="2"/>
        <v>0</v>
      </c>
      <c r="P56" s="4790"/>
      <c r="Q56" s="4790"/>
      <c r="R56" s="4789"/>
      <c r="S56" s="4787">
        <f t="shared" si="3"/>
        <v>0</v>
      </c>
      <c r="T56" s="4790"/>
      <c r="U56" s="4790"/>
      <c r="V56" s="4789"/>
      <c r="W56" s="4787">
        <f t="shared" si="4"/>
        <v>0</v>
      </c>
      <c r="X56" s="4790"/>
      <c r="Y56" s="4790"/>
      <c r="Z56" s="4796"/>
      <c r="AA56" s="4788">
        <f t="shared" si="5"/>
        <v>0</v>
      </c>
      <c r="AB56" s="4791"/>
      <c r="AC56" s="4792">
        <f t="shared" si="6"/>
        <v>0</v>
      </c>
      <c r="AD56" s="4790"/>
      <c r="AE56" s="4790"/>
      <c r="AF56" s="4789"/>
      <c r="AG56" s="4787">
        <f t="shared" si="7"/>
        <v>0</v>
      </c>
      <c r="AH56" s="4790"/>
      <c r="AI56" s="4790"/>
      <c r="AJ56" s="4789"/>
      <c r="AK56" s="4787">
        <f t="shared" si="43"/>
        <v>0</v>
      </c>
      <c r="AL56" s="4790"/>
      <c r="AM56" s="4790"/>
      <c r="AN56" s="4929"/>
      <c r="AO56" s="4788">
        <f t="shared" si="9"/>
        <v>0</v>
      </c>
      <c r="AP56" s="4789"/>
      <c r="AQ56" s="4787">
        <f t="shared" si="78"/>
        <v>0</v>
      </c>
      <c r="AR56" s="4790"/>
      <c r="AS56" s="4790"/>
      <c r="AT56" s="4789"/>
      <c r="AU56" s="4787">
        <f t="shared" si="79"/>
        <v>0</v>
      </c>
      <c r="AV56" s="4790"/>
      <c r="AW56" s="4790"/>
      <c r="AX56" s="4789"/>
      <c r="AY56" s="4787">
        <f t="shared" si="80"/>
        <v>0</v>
      </c>
      <c r="AZ56" s="4790"/>
      <c r="BA56" s="4790"/>
      <c r="BB56" s="4929"/>
      <c r="BC56" s="4788">
        <f t="shared" si="81"/>
        <v>0</v>
      </c>
      <c r="BD56" s="4791"/>
      <c r="BE56" s="4792">
        <f t="shared" si="13"/>
        <v>0</v>
      </c>
      <c r="BF56" s="4789"/>
      <c r="BG56" s="4787">
        <f t="shared" si="82"/>
        <v>0</v>
      </c>
      <c r="BH56" s="25">
        <f t="shared" si="15"/>
        <v>0</v>
      </c>
      <c r="BI56" s="553"/>
    </row>
    <row r="57" spans="1:62" ht="18.75" x14ac:dyDescent="0.3">
      <c r="C57" s="4784" t="s">
        <v>936</v>
      </c>
      <c r="D57" s="4784" t="s">
        <v>1855</v>
      </c>
      <c r="E57" s="8166"/>
      <c r="F57" s="4784"/>
      <c r="G57" s="4804"/>
      <c r="H57" s="4804"/>
      <c r="I57" s="4804"/>
      <c r="J57" s="4787"/>
      <c r="K57" s="4787">
        <f t="shared" si="16"/>
        <v>0</v>
      </c>
      <c r="L57" s="4804"/>
      <c r="M57" s="4804"/>
      <c r="N57" s="4788"/>
      <c r="O57" s="4788">
        <f t="shared" si="2"/>
        <v>0</v>
      </c>
      <c r="P57" s="4804"/>
      <c r="Q57" s="4804"/>
      <c r="R57" s="4789"/>
      <c r="S57" s="4787">
        <f t="shared" si="3"/>
        <v>0</v>
      </c>
      <c r="T57" s="4804"/>
      <c r="U57" s="4804"/>
      <c r="V57" s="4789"/>
      <c r="W57" s="4787">
        <f t="shared" si="4"/>
        <v>0</v>
      </c>
      <c r="X57" s="4790"/>
      <c r="Y57" s="4804"/>
      <c r="Z57" s="4788"/>
      <c r="AA57" s="4788">
        <f t="shared" si="5"/>
        <v>0</v>
      </c>
      <c r="AB57" s="4791"/>
      <c r="AC57" s="4792">
        <f t="shared" si="6"/>
        <v>0</v>
      </c>
      <c r="AD57" s="4804"/>
      <c r="AE57" s="4804"/>
      <c r="AF57" s="4789"/>
      <c r="AG57" s="4787">
        <f t="shared" si="7"/>
        <v>0</v>
      </c>
      <c r="AH57" s="4804"/>
      <c r="AI57" s="4804"/>
      <c r="AJ57" s="4789"/>
      <c r="AK57" s="4787">
        <f t="shared" si="43"/>
        <v>0</v>
      </c>
      <c r="AL57" s="4804"/>
      <c r="AM57" s="4804">
        <v>106</v>
      </c>
      <c r="AN57" s="4929"/>
      <c r="AO57" s="4788">
        <f t="shared" si="9"/>
        <v>106</v>
      </c>
      <c r="AP57" s="4789"/>
      <c r="AQ57" s="4787">
        <f t="shared" si="78"/>
        <v>106</v>
      </c>
      <c r="AR57" s="4804"/>
      <c r="AS57" s="4804">
        <v>108</v>
      </c>
      <c r="AT57" s="4789"/>
      <c r="AU57" s="4787">
        <f t="shared" si="79"/>
        <v>214</v>
      </c>
      <c r="AV57" s="4804"/>
      <c r="AW57" s="4804"/>
      <c r="AX57" s="4789"/>
      <c r="AY57" s="4787">
        <f t="shared" si="80"/>
        <v>214</v>
      </c>
      <c r="AZ57" s="4804"/>
      <c r="BA57" s="4804"/>
      <c r="BB57" s="4929"/>
      <c r="BC57" s="4788">
        <f t="shared" si="81"/>
        <v>108</v>
      </c>
      <c r="BD57" s="4791"/>
      <c r="BE57" s="4792">
        <f t="shared" si="13"/>
        <v>214</v>
      </c>
      <c r="BF57" s="4789"/>
      <c r="BG57" s="4787">
        <f t="shared" si="82"/>
        <v>214</v>
      </c>
      <c r="BH57" s="25">
        <f t="shared" si="15"/>
        <v>0</v>
      </c>
      <c r="BI57" s="553"/>
      <c r="BJ57" s="25"/>
    </row>
    <row r="58" spans="1:62" ht="18.75" x14ac:dyDescent="0.3">
      <c r="C58" s="4784" t="s">
        <v>936</v>
      </c>
      <c r="D58" s="4784" t="s">
        <v>1246</v>
      </c>
      <c r="E58" s="8166"/>
      <c r="F58" s="4784"/>
      <c r="G58" s="4804">
        <v>4594</v>
      </c>
      <c r="H58" s="4804"/>
      <c r="I58" s="4804">
        <v>4082</v>
      </c>
      <c r="J58" s="4787"/>
      <c r="K58" s="4787">
        <f t="shared" si="16"/>
        <v>8676</v>
      </c>
      <c r="L58" s="4804"/>
      <c r="M58" s="4804">
        <v>5864</v>
      </c>
      <c r="N58" s="4788"/>
      <c r="O58" s="4788">
        <f t="shared" si="2"/>
        <v>14540</v>
      </c>
      <c r="P58" s="4804"/>
      <c r="Q58" s="4804">
        <v>8179</v>
      </c>
      <c r="R58" s="4789"/>
      <c r="S58" s="4787">
        <f t="shared" si="3"/>
        <v>22719</v>
      </c>
      <c r="T58" s="4804"/>
      <c r="U58" s="4804">
        <v>6747.8880000000008</v>
      </c>
      <c r="V58" s="4789"/>
      <c r="W58" s="4787">
        <f t="shared" si="4"/>
        <v>29466.887999999999</v>
      </c>
      <c r="X58" s="4790"/>
      <c r="Y58" s="4804">
        <v>6553</v>
      </c>
      <c r="Z58" s="4788"/>
      <c r="AA58" s="4788">
        <f t="shared" si="5"/>
        <v>21479.887999999999</v>
      </c>
      <c r="AB58" s="4791"/>
      <c r="AC58" s="4792">
        <f t="shared" si="6"/>
        <v>36019.887999999999</v>
      </c>
      <c r="AD58" s="4804"/>
      <c r="AE58" s="4804">
        <v>1913</v>
      </c>
      <c r="AF58" s="4789"/>
      <c r="AG58" s="4787">
        <f t="shared" si="7"/>
        <v>37932.887999999999</v>
      </c>
      <c r="AH58" s="4804"/>
      <c r="AI58" s="4804">
        <v>3328.1819999999998</v>
      </c>
      <c r="AJ58" s="4789"/>
      <c r="AK58" s="4787">
        <f t="shared" si="43"/>
        <v>41261.07</v>
      </c>
      <c r="AL58" s="4804"/>
      <c r="AM58" s="4804">
        <v>3132</v>
      </c>
      <c r="AN58" s="4929"/>
      <c r="AO58" s="4788">
        <f t="shared" si="9"/>
        <v>8373.1820000000007</v>
      </c>
      <c r="AP58" s="4789"/>
      <c r="AQ58" s="4787">
        <f t="shared" si="78"/>
        <v>44393.07</v>
      </c>
      <c r="AR58" s="4804"/>
      <c r="AS58" s="4804">
        <v>376</v>
      </c>
      <c r="AT58" s="4789"/>
      <c r="AU58" s="4787">
        <f t="shared" si="79"/>
        <v>44769.07</v>
      </c>
      <c r="AV58" s="4804"/>
      <c r="AW58" s="4804"/>
      <c r="AX58" s="4789"/>
      <c r="AY58" s="4787">
        <f t="shared" si="80"/>
        <v>44769.07</v>
      </c>
      <c r="AZ58" s="4804"/>
      <c r="BA58" s="4804">
        <v>2306.71</v>
      </c>
      <c r="BB58" s="4929"/>
      <c r="BC58" s="4788">
        <f t="shared" si="81"/>
        <v>2682.71</v>
      </c>
      <c r="BD58" s="4791"/>
      <c r="BE58" s="4792">
        <f t="shared" si="13"/>
        <v>11055.892</v>
      </c>
      <c r="BF58" s="4789"/>
      <c r="BG58" s="4787">
        <f t="shared" si="82"/>
        <v>47075.78</v>
      </c>
      <c r="BH58" s="25">
        <f t="shared" si="15"/>
        <v>0</v>
      </c>
      <c r="BI58" s="553"/>
    </row>
    <row r="59" spans="1:62" ht="18.75" x14ac:dyDescent="0.3">
      <c r="C59" s="4784" t="s">
        <v>936</v>
      </c>
      <c r="D59" s="4784" t="s">
        <v>1227</v>
      </c>
      <c r="E59" s="8166"/>
      <c r="F59" s="4784"/>
      <c r="G59" s="4804"/>
      <c r="H59" s="4804"/>
      <c r="I59" s="4804"/>
      <c r="J59" s="4787"/>
      <c r="K59" s="4787">
        <f t="shared" si="16"/>
        <v>0</v>
      </c>
      <c r="L59" s="4804"/>
      <c r="M59" s="4804"/>
      <c r="N59" s="4788"/>
      <c r="O59" s="4788">
        <f t="shared" si="2"/>
        <v>0</v>
      </c>
      <c r="P59" s="4804"/>
      <c r="Q59" s="4804"/>
      <c r="R59" s="4789"/>
      <c r="S59" s="4787">
        <f t="shared" si="3"/>
        <v>0</v>
      </c>
      <c r="T59" s="4804"/>
      <c r="U59" s="4804"/>
      <c r="V59" s="4789"/>
      <c r="W59" s="4787">
        <f t="shared" si="4"/>
        <v>0</v>
      </c>
      <c r="X59" s="4790"/>
      <c r="Y59" s="4804"/>
      <c r="Z59" s="4788"/>
      <c r="AA59" s="4788">
        <f t="shared" si="5"/>
        <v>0</v>
      </c>
      <c r="AB59" s="4791"/>
      <c r="AC59" s="4792">
        <f t="shared" si="6"/>
        <v>0</v>
      </c>
      <c r="AD59" s="4804"/>
      <c r="AE59" s="4804"/>
      <c r="AF59" s="4789"/>
      <c r="AG59" s="4787">
        <f t="shared" si="7"/>
        <v>0</v>
      </c>
      <c r="AH59" s="4804"/>
      <c r="AI59" s="4804"/>
      <c r="AJ59" s="4789"/>
      <c r="AK59" s="4787">
        <f t="shared" si="43"/>
        <v>0</v>
      </c>
      <c r="AL59" s="4804"/>
      <c r="AM59" s="4804"/>
      <c r="AN59" s="4929"/>
      <c r="AO59" s="4788">
        <f t="shared" si="9"/>
        <v>0</v>
      </c>
      <c r="AP59" s="4789"/>
      <c r="AQ59" s="4787">
        <f t="shared" si="78"/>
        <v>0</v>
      </c>
      <c r="AR59" s="4804"/>
      <c r="AS59" s="4804"/>
      <c r="AT59" s="4789"/>
      <c r="AU59" s="4787">
        <f t="shared" si="79"/>
        <v>0</v>
      </c>
      <c r="AV59" s="4804"/>
      <c r="AW59" s="4804"/>
      <c r="AX59" s="4789"/>
      <c r="AY59" s="4787">
        <f t="shared" si="80"/>
        <v>0</v>
      </c>
      <c r="AZ59" s="4804"/>
      <c r="BA59" s="4804"/>
      <c r="BB59" s="4929"/>
      <c r="BC59" s="4788">
        <f t="shared" si="81"/>
        <v>0</v>
      </c>
      <c r="BD59" s="4791"/>
      <c r="BE59" s="4792">
        <f t="shared" si="13"/>
        <v>0</v>
      </c>
      <c r="BF59" s="4789"/>
      <c r="BG59" s="4787">
        <f t="shared" si="82"/>
        <v>0</v>
      </c>
      <c r="BH59" s="25">
        <f t="shared" si="15"/>
        <v>0</v>
      </c>
      <c r="BI59" s="553"/>
    </row>
    <row r="60" spans="1:62" ht="18.75" x14ac:dyDescent="0.3">
      <c r="C60" s="4784" t="s">
        <v>936</v>
      </c>
      <c r="D60" s="4784" t="s">
        <v>1063</v>
      </c>
      <c r="E60" s="8166"/>
      <c r="F60" s="4784"/>
      <c r="G60" s="4804"/>
      <c r="H60" s="4804"/>
      <c r="I60" s="4804">
        <v>480</v>
      </c>
      <c r="J60" s="4787"/>
      <c r="K60" s="4787">
        <f t="shared" si="16"/>
        <v>480</v>
      </c>
      <c r="L60" s="4804"/>
      <c r="M60" s="4804">
        <v>613</v>
      </c>
      <c r="N60" s="4788"/>
      <c r="O60" s="4788">
        <f t="shared" si="2"/>
        <v>1093</v>
      </c>
      <c r="P60" s="4804"/>
      <c r="Q60" s="4804"/>
      <c r="R60" s="4789"/>
      <c r="S60" s="4787">
        <f t="shared" si="3"/>
        <v>1093</v>
      </c>
      <c r="T60" s="4804"/>
      <c r="U60" s="4804"/>
      <c r="V60" s="4789"/>
      <c r="W60" s="4787">
        <f t="shared" si="4"/>
        <v>1093</v>
      </c>
      <c r="X60" s="4790"/>
      <c r="Y60" s="4804"/>
      <c r="Z60" s="4788"/>
      <c r="AA60" s="4788">
        <f t="shared" si="5"/>
        <v>0</v>
      </c>
      <c r="AB60" s="4791"/>
      <c r="AC60" s="4792">
        <f t="shared" si="6"/>
        <v>1093</v>
      </c>
      <c r="AD60" s="4804"/>
      <c r="AE60" s="4804">
        <v>292</v>
      </c>
      <c r="AF60" s="4789"/>
      <c r="AG60" s="4787">
        <f t="shared" si="7"/>
        <v>1385</v>
      </c>
      <c r="AH60" s="4804"/>
      <c r="AI60" s="4804"/>
      <c r="AJ60" s="4789"/>
      <c r="AK60" s="4787">
        <f t="shared" si="43"/>
        <v>1385</v>
      </c>
      <c r="AL60" s="4804"/>
      <c r="AM60" s="4804">
        <v>153</v>
      </c>
      <c r="AN60" s="4929"/>
      <c r="AO60" s="4788">
        <f t="shared" si="9"/>
        <v>445</v>
      </c>
      <c r="AP60" s="4789"/>
      <c r="AQ60" s="4787">
        <f t="shared" si="78"/>
        <v>1538</v>
      </c>
      <c r="AR60" s="4804"/>
      <c r="AS60" s="4804">
        <v>2353</v>
      </c>
      <c r="AT60" s="4789"/>
      <c r="AU60" s="4787">
        <f t="shared" si="79"/>
        <v>3891</v>
      </c>
      <c r="AV60" s="4804"/>
      <c r="AW60" s="4804"/>
      <c r="AX60" s="4789"/>
      <c r="AY60" s="4787">
        <f t="shared" si="80"/>
        <v>3891</v>
      </c>
      <c r="AZ60" s="4804"/>
      <c r="BA60" s="4804">
        <v>89.292000000000002</v>
      </c>
      <c r="BB60" s="4929"/>
      <c r="BC60" s="4788">
        <f t="shared" si="81"/>
        <v>2442.2919999999999</v>
      </c>
      <c r="BD60" s="4791"/>
      <c r="BE60" s="4792">
        <f t="shared" si="13"/>
        <v>2887.2919999999999</v>
      </c>
      <c r="BF60" s="4789"/>
      <c r="BG60" s="4787">
        <f t="shared" si="82"/>
        <v>3980.2919999999999</v>
      </c>
      <c r="BH60" s="25">
        <f t="shared" si="15"/>
        <v>0</v>
      </c>
      <c r="BI60" s="553"/>
    </row>
    <row r="61" spans="1:62" s="4487" customFormat="1" ht="18.75" x14ac:dyDescent="0.3">
      <c r="C61" s="4784" t="s">
        <v>936</v>
      </c>
      <c r="D61" s="5542" t="s">
        <v>1939</v>
      </c>
      <c r="E61" s="8166"/>
      <c r="F61" s="5542"/>
      <c r="G61" s="5543"/>
      <c r="H61" s="5543"/>
      <c r="I61" s="5543"/>
      <c r="J61" s="5544"/>
      <c r="K61" s="4787">
        <f t="shared" si="16"/>
        <v>0</v>
      </c>
      <c r="L61" s="5543"/>
      <c r="M61" s="5543"/>
      <c r="N61" s="5545"/>
      <c r="O61" s="4788">
        <f t="shared" si="2"/>
        <v>0</v>
      </c>
      <c r="P61" s="5543"/>
      <c r="Q61" s="5543"/>
      <c r="R61" s="4789"/>
      <c r="S61" s="5544"/>
      <c r="T61" s="5543"/>
      <c r="U61" s="5543"/>
      <c r="V61" s="4789"/>
      <c r="W61" s="5544"/>
      <c r="X61" s="5543"/>
      <c r="Y61" s="5543"/>
      <c r="Z61" s="5545"/>
      <c r="AA61" s="4788">
        <f t="shared" si="5"/>
        <v>0</v>
      </c>
      <c r="AB61" s="4791"/>
      <c r="AC61" s="4792">
        <f t="shared" ref="AC61" si="83">O61+AA61</f>
        <v>0</v>
      </c>
      <c r="AD61" s="5543"/>
      <c r="AE61" s="5543"/>
      <c r="AF61" s="4789"/>
      <c r="AG61" s="4787">
        <f t="shared" si="7"/>
        <v>0</v>
      </c>
      <c r="AH61" s="5543"/>
      <c r="AI61" s="5543">
        <v>112.678</v>
      </c>
      <c r="AJ61" s="4789"/>
      <c r="AK61" s="4787">
        <f t="shared" si="43"/>
        <v>112.678</v>
      </c>
      <c r="AL61" s="5543"/>
      <c r="AM61" s="5543"/>
      <c r="AN61" s="4929"/>
      <c r="AO61" s="4788">
        <f t="shared" si="9"/>
        <v>112.678</v>
      </c>
      <c r="AP61" s="4789"/>
      <c r="AQ61" s="4787">
        <f t="shared" si="78"/>
        <v>112.678</v>
      </c>
      <c r="AR61" s="5543"/>
      <c r="AS61" s="5543"/>
      <c r="AT61" s="4789"/>
      <c r="AU61" s="4787">
        <f t="shared" si="79"/>
        <v>112.678</v>
      </c>
      <c r="AV61" s="5543"/>
      <c r="AW61" s="5543"/>
      <c r="AX61" s="4789"/>
      <c r="AY61" s="4787">
        <f t="shared" si="80"/>
        <v>112.678</v>
      </c>
      <c r="AZ61" s="5543"/>
      <c r="BA61" s="5543"/>
      <c r="BB61" s="4929"/>
      <c r="BC61" s="4788">
        <f t="shared" ref="BC61" si="84">AS61+AW61+BA61</f>
        <v>0</v>
      </c>
      <c r="BD61" s="4791"/>
      <c r="BE61" s="4792">
        <f t="shared" ref="BE61" si="85">AO61+BC61</f>
        <v>112.678</v>
      </c>
      <c r="BF61" s="4789"/>
      <c r="BG61" s="4787">
        <f t="shared" si="82"/>
        <v>112.678</v>
      </c>
      <c r="BH61" s="25">
        <f t="shared" si="15"/>
        <v>0</v>
      </c>
      <c r="BI61" s="553"/>
    </row>
    <row r="62" spans="1:62" s="4487" customFormat="1" ht="18.75" x14ac:dyDescent="0.3">
      <c r="C62" s="4793" t="s">
        <v>936</v>
      </c>
      <c r="D62" s="4793" t="s">
        <v>1791</v>
      </c>
      <c r="E62" s="8166"/>
      <c r="F62" s="4793"/>
      <c r="G62" s="4790"/>
      <c r="H62" s="4790"/>
      <c r="I62" s="4790">
        <v>110</v>
      </c>
      <c r="J62" s="4797"/>
      <c r="K62" s="4787">
        <f t="shared" si="16"/>
        <v>110</v>
      </c>
      <c r="L62" s="4790"/>
      <c r="M62" s="4790"/>
      <c r="N62" s="4796"/>
      <c r="O62" s="4788">
        <f t="shared" si="2"/>
        <v>110</v>
      </c>
      <c r="P62" s="4790"/>
      <c r="Q62" s="4790"/>
      <c r="R62" s="4789"/>
      <c r="S62" s="4787">
        <f t="shared" si="3"/>
        <v>110</v>
      </c>
      <c r="T62" s="4790"/>
      <c r="U62" s="4790"/>
      <c r="V62" s="4789"/>
      <c r="W62" s="4787">
        <f t="shared" si="4"/>
        <v>110</v>
      </c>
      <c r="X62" s="4790"/>
      <c r="Y62" s="4790"/>
      <c r="Z62" s="4796"/>
      <c r="AA62" s="4788">
        <f t="shared" si="5"/>
        <v>0</v>
      </c>
      <c r="AB62" s="4791"/>
      <c r="AC62" s="4792">
        <f t="shared" si="6"/>
        <v>110</v>
      </c>
      <c r="AD62" s="4790"/>
      <c r="AE62" s="4790"/>
      <c r="AF62" s="4789"/>
      <c r="AG62" s="4787">
        <f t="shared" si="7"/>
        <v>110</v>
      </c>
      <c r="AH62" s="4790"/>
      <c r="AI62" s="4790"/>
      <c r="AJ62" s="4789"/>
      <c r="AK62" s="4787">
        <f t="shared" si="43"/>
        <v>110</v>
      </c>
      <c r="AL62" s="4790"/>
      <c r="AM62" s="4790"/>
      <c r="AN62" s="4929"/>
      <c r="AO62" s="4788">
        <f t="shared" si="9"/>
        <v>0</v>
      </c>
      <c r="AP62" s="4789"/>
      <c r="AQ62" s="4787">
        <f t="shared" si="78"/>
        <v>110</v>
      </c>
      <c r="AR62" s="4790"/>
      <c r="AS62" s="4790"/>
      <c r="AT62" s="4789"/>
      <c r="AU62" s="4787">
        <f t="shared" si="79"/>
        <v>110</v>
      </c>
      <c r="AV62" s="4790"/>
      <c r="AW62" s="4790"/>
      <c r="AX62" s="4789"/>
      <c r="AY62" s="4787">
        <f t="shared" si="80"/>
        <v>110</v>
      </c>
      <c r="AZ62" s="4790"/>
      <c r="BA62" s="4790"/>
      <c r="BB62" s="4929"/>
      <c r="BC62" s="4788">
        <f t="shared" si="81"/>
        <v>0</v>
      </c>
      <c r="BD62" s="4791"/>
      <c r="BE62" s="4792">
        <f t="shared" si="13"/>
        <v>0</v>
      </c>
      <c r="BF62" s="4789"/>
      <c r="BG62" s="4787">
        <f t="shared" si="82"/>
        <v>110</v>
      </c>
      <c r="BH62" s="25">
        <f t="shared" si="15"/>
        <v>0</v>
      </c>
      <c r="BI62" s="553"/>
    </row>
    <row r="63" spans="1:62" ht="18.75" x14ac:dyDescent="0.3">
      <c r="C63" s="4784" t="s">
        <v>936</v>
      </c>
      <c r="D63" s="4784" t="s">
        <v>1058</v>
      </c>
      <c r="E63" s="8166"/>
      <c r="F63" s="4784"/>
      <c r="G63" s="4804"/>
      <c r="H63" s="4804"/>
      <c r="I63" s="4804"/>
      <c r="J63" s="4787"/>
      <c r="K63" s="4787">
        <f t="shared" si="16"/>
        <v>0</v>
      </c>
      <c r="L63" s="4804"/>
      <c r="M63" s="4804"/>
      <c r="N63" s="4788"/>
      <c r="O63" s="4788">
        <f t="shared" si="2"/>
        <v>0</v>
      </c>
      <c r="P63" s="4804"/>
      <c r="Q63" s="4804"/>
      <c r="R63" s="4789"/>
      <c r="S63" s="4787">
        <f t="shared" si="3"/>
        <v>0</v>
      </c>
      <c r="T63" s="4804"/>
      <c r="U63" s="4804"/>
      <c r="V63" s="4789"/>
      <c r="W63" s="4787">
        <f t="shared" si="4"/>
        <v>0</v>
      </c>
      <c r="X63" s="4790"/>
      <c r="Y63" s="4804"/>
      <c r="Z63" s="4788"/>
      <c r="AA63" s="4788">
        <f t="shared" si="5"/>
        <v>0</v>
      </c>
      <c r="AB63" s="4791"/>
      <c r="AC63" s="4792">
        <f t="shared" si="6"/>
        <v>0</v>
      </c>
      <c r="AD63" s="4804"/>
      <c r="AE63" s="4804"/>
      <c r="AF63" s="4789"/>
      <c r="AG63" s="4787">
        <f t="shared" si="7"/>
        <v>0</v>
      </c>
      <c r="AH63" s="4804"/>
      <c r="AI63" s="4804"/>
      <c r="AJ63" s="4789"/>
      <c r="AK63" s="4787">
        <f t="shared" si="43"/>
        <v>0</v>
      </c>
      <c r="AL63" s="4804"/>
      <c r="AM63" s="4804"/>
      <c r="AN63" s="4929"/>
      <c r="AO63" s="4788">
        <f t="shared" si="9"/>
        <v>0</v>
      </c>
      <c r="AP63" s="4789"/>
      <c r="AQ63" s="4787">
        <f t="shared" si="78"/>
        <v>0</v>
      </c>
      <c r="AR63" s="4804"/>
      <c r="AS63" s="4804"/>
      <c r="AT63" s="4789"/>
      <c r="AU63" s="4787">
        <f t="shared" si="79"/>
        <v>0</v>
      </c>
      <c r="AV63" s="4804"/>
      <c r="AW63" s="4804"/>
      <c r="AX63" s="4789"/>
      <c r="AY63" s="4787">
        <f t="shared" si="80"/>
        <v>0</v>
      </c>
      <c r="AZ63" s="4804"/>
      <c r="BA63" s="4804"/>
      <c r="BB63" s="4929"/>
      <c r="BC63" s="4788">
        <f t="shared" si="81"/>
        <v>0</v>
      </c>
      <c r="BD63" s="4791"/>
      <c r="BE63" s="4792">
        <f t="shared" si="13"/>
        <v>0</v>
      </c>
      <c r="BF63" s="4789"/>
      <c r="BG63" s="4787">
        <f t="shared" si="82"/>
        <v>0</v>
      </c>
      <c r="BH63" s="25">
        <f t="shared" si="15"/>
        <v>0</v>
      </c>
      <c r="BI63" s="553"/>
    </row>
    <row r="64" spans="1:62" ht="18.75" x14ac:dyDescent="0.3">
      <c r="C64" s="4784" t="s">
        <v>936</v>
      </c>
      <c r="D64" s="4784" t="s">
        <v>1032</v>
      </c>
      <c r="E64" s="8166"/>
      <c r="F64" s="4784"/>
      <c r="G64" s="4804">
        <v>1424</v>
      </c>
      <c r="H64" s="4804"/>
      <c r="I64" s="4804"/>
      <c r="J64" s="4787"/>
      <c r="K64" s="4787">
        <f t="shared" si="16"/>
        <v>1424</v>
      </c>
      <c r="L64" s="4804"/>
      <c r="M64" s="4804">
        <v>3911</v>
      </c>
      <c r="N64" s="4788"/>
      <c r="O64" s="4788">
        <f t="shared" si="2"/>
        <v>5335</v>
      </c>
      <c r="P64" s="4804"/>
      <c r="Q64" s="4804"/>
      <c r="R64" s="4789"/>
      <c r="S64" s="4787">
        <f t="shared" si="3"/>
        <v>5335</v>
      </c>
      <c r="T64" s="4804"/>
      <c r="U64" s="4804"/>
      <c r="V64" s="4789"/>
      <c r="W64" s="4787">
        <f t="shared" si="4"/>
        <v>5335</v>
      </c>
      <c r="X64" s="4790"/>
      <c r="Y64" s="4804">
        <v>1778</v>
      </c>
      <c r="Z64" s="4788"/>
      <c r="AA64" s="4788">
        <f t="shared" si="5"/>
        <v>1778</v>
      </c>
      <c r="AB64" s="4791"/>
      <c r="AC64" s="4792">
        <f t="shared" si="6"/>
        <v>7113</v>
      </c>
      <c r="AD64" s="4804"/>
      <c r="AE64" s="4804">
        <v>6209</v>
      </c>
      <c r="AF64" s="4789"/>
      <c r="AG64" s="4787">
        <f t="shared" si="7"/>
        <v>13322</v>
      </c>
      <c r="AH64" s="4804"/>
      <c r="AI64" s="4804">
        <v>3737.4479999999999</v>
      </c>
      <c r="AJ64" s="4789"/>
      <c r="AK64" s="4787">
        <f t="shared" si="43"/>
        <v>17059.448</v>
      </c>
      <c r="AL64" s="4804"/>
      <c r="AM64" s="4804">
        <v>3995</v>
      </c>
      <c r="AN64" s="4929"/>
      <c r="AO64" s="4788">
        <f t="shared" si="9"/>
        <v>13941.448</v>
      </c>
      <c r="AP64" s="4789"/>
      <c r="AQ64" s="4787">
        <f t="shared" si="78"/>
        <v>21054.448</v>
      </c>
      <c r="AR64" s="4804"/>
      <c r="AS64" s="4804">
        <v>3115</v>
      </c>
      <c r="AT64" s="4789"/>
      <c r="AU64" s="4787">
        <f t="shared" si="79"/>
        <v>24169.448</v>
      </c>
      <c r="AV64" s="4804"/>
      <c r="AW64" s="4804">
        <v>1894.2660000000001</v>
      </c>
      <c r="AX64" s="4789"/>
      <c r="AY64" s="4787">
        <f t="shared" si="80"/>
        <v>26063.714</v>
      </c>
      <c r="AZ64" s="4804"/>
      <c r="BA64" s="4804">
        <v>4694.2079999999996</v>
      </c>
      <c r="BB64" s="4929"/>
      <c r="BC64" s="4788">
        <f t="shared" si="81"/>
        <v>9703.4739999999983</v>
      </c>
      <c r="BD64" s="4791"/>
      <c r="BE64" s="4792">
        <f t="shared" si="13"/>
        <v>23644.921999999999</v>
      </c>
      <c r="BF64" s="4789"/>
      <c r="BG64" s="4787">
        <f t="shared" si="82"/>
        <v>30757.921999999999</v>
      </c>
      <c r="BH64" s="25">
        <f t="shared" si="15"/>
        <v>0</v>
      </c>
      <c r="BI64" s="553"/>
    </row>
    <row r="65" spans="1:61" ht="18.75" x14ac:dyDescent="0.3">
      <c r="A65" s="2450"/>
      <c r="B65" s="2450"/>
      <c r="C65" s="4784" t="s">
        <v>936</v>
      </c>
      <c r="D65" s="4784" t="s">
        <v>1459</v>
      </c>
      <c r="E65" s="8166"/>
      <c r="F65" s="4784"/>
      <c r="G65" s="4804"/>
      <c r="H65" s="4804"/>
      <c r="I65" s="4804"/>
      <c r="J65" s="4787"/>
      <c r="K65" s="4787">
        <f t="shared" si="16"/>
        <v>0</v>
      </c>
      <c r="L65" s="4804"/>
      <c r="M65" s="4804"/>
      <c r="N65" s="4788"/>
      <c r="O65" s="4788">
        <f t="shared" si="2"/>
        <v>0</v>
      </c>
      <c r="P65" s="4804"/>
      <c r="Q65" s="4804"/>
      <c r="R65" s="4789"/>
      <c r="S65" s="4787">
        <f t="shared" si="3"/>
        <v>0</v>
      </c>
      <c r="T65" s="4804"/>
      <c r="U65" s="4804"/>
      <c r="V65" s="4789"/>
      <c r="W65" s="4787">
        <f t="shared" si="4"/>
        <v>0</v>
      </c>
      <c r="X65" s="4790"/>
      <c r="Y65" s="4804"/>
      <c r="Z65" s="4788"/>
      <c r="AA65" s="4788">
        <f t="shared" si="5"/>
        <v>0</v>
      </c>
      <c r="AB65" s="4791"/>
      <c r="AC65" s="4792">
        <f t="shared" si="6"/>
        <v>0</v>
      </c>
      <c r="AD65" s="4804"/>
      <c r="AE65" s="4804"/>
      <c r="AF65" s="4789"/>
      <c r="AG65" s="4787">
        <f t="shared" si="7"/>
        <v>0</v>
      </c>
      <c r="AH65" s="4804"/>
      <c r="AI65" s="4804"/>
      <c r="AJ65" s="4789"/>
      <c r="AK65" s="4787">
        <f t="shared" si="43"/>
        <v>0</v>
      </c>
      <c r="AL65" s="4804"/>
      <c r="AM65" s="4804"/>
      <c r="AN65" s="4929"/>
      <c r="AO65" s="4788">
        <f t="shared" si="9"/>
        <v>0</v>
      </c>
      <c r="AP65" s="4789"/>
      <c r="AQ65" s="4787">
        <f t="shared" si="78"/>
        <v>0</v>
      </c>
      <c r="AR65" s="4804"/>
      <c r="AS65" s="4804"/>
      <c r="AT65" s="4789"/>
      <c r="AU65" s="4787">
        <f t="shared" si="79"/>
        <v>0</v>
      </c>
      <c r="AV65" s="4804"/>
      <c r="AW65" s="4804"/>
      <c r="AX65" s="4789"/>
      <c r="AY65" s="4787">
        <f t="shared" si="80"/>
        <v>0</v>
      </c>
      <c r="AZ65" s="4804"/>
      <c r="BA65" s="4804"/>
      <c r="BB65" s="4929"/>
      <c r="BC65" s="4788">
        <f t="shared" si="81"/>
        <v>0</v>
      </c>
      <c r="BD65" s="4791"/>
      <c r="BE65" s="4792">
        <f t="shared" si="13"/>
        <v>0</v>
      </c>
      <c r="BF65" s="4789"/>
      <c r="BG65" s="4787">
        <f t="shared" si="82"/>
        <v>0</v>
      </c>
      <c r="BH65" s="25">
        <f t="shared" si="15"/>
        <v>0</v>
      </c>
      <c r="BI65" s="553"/>
    </row>
    <row r="66" spans="1:61" ht="18.75" x14ac:dyDescent="0.3">
      <c r="C66" s="4784" t="s">
        <v>936</v>
      </c>
      <c r="D66" s="4784" t="s">
        <v>1033</v>
      </c>
      <c r="E66" s="8166"/>
      <c r="F66" s="4784"/>
      <c r="G66" s="4804">
        <v>134</v>
      </c>
      <c r="H66" s="4804"/>
      <c r="I66" s="4804"/>
      <c r="J66" s="4787"/>
      <c r="K66" s="4787">
        <f t="shared" si="16"/>
        <v>134</v>
      </c>
      <c r="L66" s="4804"/>
      <c r="M66" s="4804"/>
      <c r="N66" s="4788"/>
      <c r="O66" s="4788">
        <f t="shared" si="2"/>
        <v>134</v>
      </c>
      <c r="P66" s="4804"/>
      <c r="Q66" s="4804"/>
      <c r="R66" s="4789"/>
      <c r="S66" s="4787">
        <f t="shared" si="3"/>
        <v>134</v>
      </c>
      <c r="T66" s="4804"/>
      <c r="U66" s="4804"/>
      <c r="V66" s="4789"/>
      <c r="W66" s="4787">
        <f t="shared" si="4"/>
        <v>134</v>
      </c>
      <c r="X66" s="4790"/>
      <c r="Y66" s="4804"/>
      <c r="Z66" s="4788"/>
      <c r="AA66" s="4788">
        <f t="shared" si="5"/>
        <v>0</v>
      </c>
      <c r="AB66" s="4791"/>
      <c r="AC66" s="4792">
        <f t="shared" si="6"/>
        <v>134</v>
      </c>
      <c r="AD66" s="4804"/>
      <c r="AE66" s="4804"/>
      <c r="AF66" s="4789"/>
      <c r="AG66" s="4787">
        <f t="shared" si="7"/>
        <v>134</v>
      </c>
      <c r="AH66" s="4804"/>
      <c r="AI66" s="4804"/>
      <c r="AJ66" s="4789"/>
      <c r="AK66" s="4787">
        <f t="shared" si="43"/>
        <v>134</v>
      </c>
      <c r="AL66" s="4804"/>
      <c r="AM66" s="4804"/>
      <c r="AN66" s="4929"/>
      <c r="AO66" s="4788">
        <f t="shared" si="9"/>
        <v>0</v>
      </c>
      <c r="AP66" s="4789"/>
      <c r="AQ66" s="4787">
        <f t="shared" si="78"/>
        <v>134</v>
      </c>
      <c r="AR66" s="4804"/>
      <c r="AS66" s="4804"/>
      <c r="AT66" s="4789"/>
      <c r="AU66" s="4787">
        <f t="shared" si="79"/>
        <v>134</v>
      </c>
      <c r="AV66" s="4804"/>
      <c r="AW66" s="4804"/>
      <c r="AX66" s="4789"/>
      <c r="AY66" s="4787">
        <f t="shared" si="80"/>
        <v>134</v>
      </c>
      <c r="AZ66" s="4804"/>
      <c r="BA66" s="4804"/>
      <c r="BB66" s="4929"/>
      <c r="BC66" s="4788">
        <f t="shared" si="81"/>
        <v>0</v>
      </c>
      <c r="BD66" s="4791"/>
      <c r="BE66" s="4792">
        <f t="shared" si="13"/>
        <v>0</v>
      </c>
      <c r="BF66" s="4789"/>
      <c r="BG66" s="4787">
        <f t="shared" si="82"/>
        <v>134</v>
      </c>
      <c r="BH66" s="25">
        <f t="shared" si="15"/>
        <v>0</v>
      </c>
      <c r="BI66" s="553"/>
    </row>
    <row r="67" spans="1:61" s="7093" customFormat="1" ht="18.75" x14ac:dyDescent="0.3">
      <c r="C67" s="4784" t="s">
        <v>936</v>
      </c>
      <c r="D67" s="7094" t="s">
        <v>1826</v>
      </c>
      <c r="E67" s="8166"/>
      <c r="F67" s="7094"/>
      <c r="G67" s="7095">
        <v>6490</v>
      </c>
      <c r="H67" s="7095"/>
      <c r="I67" s="7095">
        <v>750</v>
      </c>
      <c r="J67" s="7096"/>
      <c r="K67" s="4787">
        <f t="shared" si="16"/>
        <v>7240</v>
      </c>
      <c r="L67" s="7095"/>
      <c r="M67" s="7095">
        <v>131</v>
      </c>
      <c r="N67" s="7097"/>
      <c r="O67" s="4788">
        <f t="shared" si="2"/>
        <v>7371</v>
      </c>
      <c r="P67" s="7095"/>
      <c r="Q67" s="7095">
        <v>685</v>
      </c>
      <c r="R67" s="4789"/>
      <c r="S67" s="4787">
        <f t="shared" si="3"/>
        <v>8056</v>
      </c>
      <c r="T67" s="7095"/>
      <c r="U67" s="7095">
        <v>410.11599999999999</v>
      </c>
      <c r="V67" s="4789"/>
      <c r="W67" s="7096">
        <v>2232.116</v>
      </c>
      <c r="X67" s="7095"/>
      <c r="Y67" s="7095">
        <v>5355</v>
      </c>
      <c r="Z67" s="7097"/>
      <c r="AA67" s="4788">
        <f t="shared" si="5"/>
        <v>6450.116</v>
      </c>
      <c r="AB67" s="7098"/>
      <c r="AC67" s="4792">
        <f t="shared" si="6"/>
        <v>13821.116</v>
      </c>
      <c r="AD67" s="7095"/>
      <c r="AE67" s="7095">
        <v>21</v>
      </c>
      <c r="AF67" s="4789"/>
      <c r="AG67" s="4787">
        <f t="shared" si="7"/>
        <v>13842.116</v>
      </c>
      <c r="AH67" s="7095"/>
      <c r="AI67" s="7095">
        <v>5500.2509999999993</v>
      </c>
      <c r="AJ67" s="4789"/>
      <c r="AK67" s="4787">
        <f t="shared" si="43"/>
        <v>19342.366999999998</v>
      </c>
      <c r="AL67" s="7095"/>
      <c r="AM67" s="7095">
        <v>4033</v>
      </c>
      <c r="AN67" s="4929"/>
      <c r="AO67" s="4788">
        <f t="shared" si="9"/>
        <v>9554.2510000000002</v>
      </c>
      <c r="AP67" s="4789"/>
      <c r="AQ67" s="4787">
        <f t="shared" si="78"/>
        <v>23375.366999999998</v>
      </c>
      <c r="AR67" s="7095"/>
      <c r="AS67" s="7095">
        <v>38</v>
      </c>
      <c r="AT67" s="4789"/>
      <c r="AU67" s="4787">
        <f t="shared" si="79"/>
        <v>23413.366999999998</v>
      </c>
      <c r="AV67" s="7095"/>
      <c r="AW67" s="7095">
        <v>3165.614</v>
      </c>
      <c r="AX67" s="4789"/>
      <c r="AY67" s="4787">
        <f t="shared" si="80"/>
        <v>26578.981</v>
      </c>
      <c r="AZ67" s="7095"/>
      <c r="BA67" s="7095">
        <v>2130.252</v>
      </c>
      <c r="BB67" s="4929"/>
      <c r="BC67" s="4788">
        <f t="shared" ref="BC67" si="86">AS67+AW67+BA67</f>
        <v>5333.866</v>
      </c>
      <c r="BD67" s="4791"/>
      <c r="BE67" s="4792">
        <f t="shared" ref="BE67" si="87">AO67+BC67</f>
        <v>14888.117</v>
      </c>
      <c r="BF67" s="4789"/>
      <c r="BG67" s="4787">
        <f t="shared" si="82"/>
        <v>28709.233</v>
      </c>
      <c r="BH67" s="25">
        <f t="shared" si="15"/>
        <v>0</v>
      </c>
      <c r="BI67" s="553"/>
    </row>
    <row r="68" spans="1:61" ht="18.75" x14ac:dyDescent="0.3">
      <c r="A68" s="1658"/>
      <c r="B68" s="1658"/>
      <c r="C68" s="4784" t="s">
        <v>936</v>
      </c>
      <c r="D68" s="4784" t="s">
        <v>1488</v>
      </c>
      <c r="E68" s="8166"/>
      <c r="F68" s="4784"/>
      <c r="G68" s="4804"/>
      <c r="H68" s="4804"/>
      <c r="I68" s="4804">
        <v>590</v>
      </c>
      <c r="J68" s="4787"/>
      <c r="K68" s="4787">
        <f t="shared" si="16"/>
        <v>590</v>
      </c>
      <c r="L68" s="4804"/>
      <c r="M68" s="4804">
        <v>619</v>
      </c>
      <c r="N68" s="4788"/>
      <c r="O68" s="4788">
        <f t="shared" si="2"/>
        <v>1209</v>
      </c>
      <c r="P68" s="4804"/>
      <c r="Q68" s="4804">
        <v>583</v>
      </c>
      <c r="R68" s="4789"/>
      <c r="S68" s="4787">
        <f t="shared" si="3"/>
        <v>1792</v>
      </c>
      <c r="T68" s="4804"/>
      <c r="U68" s="4804">
        <v>112.042</v>
      </c>
      <c r="V68" s="4789"/>
      <c r="W68" s="4787">
        <f t="shared" si="4"/>
        <v>1904.0419999999999</v>
      </c>
      <c r="X68" s="4790"/>
      <c r="Y68" s="4804">
        <v>674</v>
      </c>
      <c r="Z68" s="4788"/>
      <c r="AA68" s="4788">
        <f t="shared" si="5"/>
        <v>1369.0419999999999</v>
      </c>
      <c r="AB68" s="4791"/>
      <c r="AC68" s="4792">
        <f t="shared" si="6"/>
        <v>2578.0419999999999</v>
      </c>
      <c r="AD68" s="4804"/>
      <c r="AE68" s="4804">
        <v>543</v>
      </c>
      <c r="AF68" s="4789"/>
      <c r="AG68" s="4787">
        <f t="shared" si="7"/>
        <v>3121.0419999999999</v>
      </c>
      <c r="AH68" s="4804"/>
      <c r="AI68" s="4804">
        <v>722.36599999999999</v>
      </c>
      <c r="AJ68" s="4789"/>
      <c r="AK68" s="4787">
        <f t="shared" si="43"/>
        <v>3843.4079999999999</v>
      </c>
      <c r="AL68" s="4804"/>
      <c r="AM68" s="4804">
        <v>412</v>
      </c>
      <c r="AN68" s="4929"/>
      <c r="AO68" s="4788">
        <f t="shared" si="9"/>
        <v>1677.366</v>
      </c>
      <c r="AP68" s="4789"/>
      <c r="AQ68" s="4787">
        <f t="shared" si="78"/>
        <v>4255.4079999999994</v>
      </c>
      <c r="AR68" s="4804"/>
      <c r="AS68" s="4804"/>
      <c r="AT68" s="4789"/>
      <c r="AU68" s="4787">
        <f t="shared" si="79"/>
        <v>4255.4079999999994</v>
      </c>
      <c r="AV68" s="4804"/>
      <c r="AW68" s="4804"/>
      <c r="AX68" s="4789"/>
      <c r="AY68" s="4787">
        <f t="shared" si="80"/>
        <v>4255.4079999999994</v>
      </c>
      <c r="AZ68" s="4804"/>
      <c r="BA68" s="4804"/>
      <c r="BB68" s="4929"/>
      <c r="BC68" s="4788">
        <f t="shared" si="81"/>
        <v>0</v>
      </c>
      <c r="BD68" s="4791"/>
      <c r="BE68" s="4792">
        <f t="shared" si="13"/>
        <v>1677.366</v>
      </c>
      <c r="BF68" s="4789"/>
      <c r="BG68" s="4787">
        <f t="shared" si="82"/>
        <v>4255.4079999999994</v>
      </c>
      <c r="BH68" s="25">
        <f t="shared" ref="BH68:BH133" si="88">BA68++AW68+AS68+AM68+AI68+AE68+Y68+U68+Q68+M68+I68+G68-BG68</f>
        <v>0</v>
      </c>
      <c r="BI68" s="553"/>
    </row>
    <row r="69" spans="1:61" ht="18.75" x14ac:dyDescent="0.3">
      <c r="A69" s="2820"/>
      <c r="B69" s="2820"/>
      <c r="C69" s="4805" t="s">
        <v>936</v>
      </c>
      <c r="D69" s="4805" t="s">
        <v>1615</v>
      </c>
      <c r="E69" s="8166"/>
      <c r="F69" s="4805"/>
      <c r="G69" s="4806"/>
      <c r="H69" s="4806"/>
      <c r="I69" s="4806">
        <v>258</v>
      </c>
      <c r="J69" s="4807"/>
      <c r="K69" s="4787">
        <f t="shared" si="16"/>
        <v>258</v>
      </c>
      <c r="L69" s="4806"/>
      <c r="M69" s="4806"/>
      <c r="N69" s="4808"/>
      <c r="O69" s="4788">
        <f t="shared" si="2"/>
        <v>258</v>
      </c>
      <c r="P69" s="4806"/>
      <c r="Q69" s="4806">
        <v>560</v>
      </c>
      <c r="R69" s="4789"/>
      <c r="S69" s="4787">
        <f t="shared" si="3"/>
        <v>818</v>
      </c>
      <c r="T69" s="4806"/>
      <c r="U69" s="4806"/>
      <c r="V69" s="4789"/>
      <c r="W69" s="4787">
        <f t="shared" si="4"/>
        <v>818</v>
      </c>
      <c r="X69" s="4790"/>
      <c r="Y69" s="4806"/>
      <c r="Z69" s="4808"/>
      <c r="AA69" s="4788">
        <f t="shared" si="5"/>
        <v>560</v>
      </c>
      <c r="AB69" s="4791"/>
      <c r="AC69" s="4792">
        <f t="shared" si="6"/>
        <v>818</v>
      </c>
      <c r="AD69" s="4806"/>
      <c r="AE69" s="4806"/>
      <c r="AF69" s="4789"/>
      <c r="AG69" s="4787">
        <f t="shared" si="7"/>
        <v>818</v>
      </c>
      <c r="AH69" s="4806"/>
      <c r="AI69" s="4806"/>
      <c r="AJ69" s="4789"/>
      <c r="AK69" s="4787">
        <f t="shared" si="43"/>
        <v>818</v>
      </c>
      <c r="AL69" s="4806"/>
      <c r="AM69" s="4806">
        <v>436</v>
      </c>
      <c r="AN69" s="4929"/>
      <c r="AO69" s="4788">
        <f t="shared" si="9"/>
        <v>436</v>
      </c>
      <c r="AP69" s="4789"/>
      <c r="AQ69" s="4787">
        <f t="shared" si="78"/>
        <v>1254</v>
      </c>
      <c r="AR69" s="4806"/>
      <c r="AS69" s="4806"/>
      <c r="AT69" s="4789"/>
      <c r="AU69" s="4787">
        <f t="shared" si="79"/>
        <v>1254</v>
      </c>
      <c r="AV69" s="4806"/>
      <c r="AW69" s="4806"/>
      <c r="AX69" s="4789"/>
      <c r="AY69" s="4787">
        <f t="shared" si="80"/>
        <v>1254</v>
      </c>
      <c r="AZ69" s="4806"/>
      <c r="BA69" s="4806"/>
      <c r="BB69" s="4929"/>
      <c r="BC69" s="4788">
        <f t="shared" si="81"/>
        <v>0</v>
      </c>
      <c r="BD69" s="4791"/>
      <c r="BE69" s="4792">
        <f t="shared" si="13"/>
        <v>436</v>
      </c>
      <c r="BF69" s="4789"/>
      <c r="BG69" s="4787">
        <f t="shared" si="82"/>
        <v>1254</v>
      </c>
      <c r="BH69" s="25">
        <f t="shared" si="88"/>
        <v>0</v>
      </c>
      <c r="BI69" s="553"/>
    </row>
    <row r="70" spans="1:61" ht="18.75" x14ac:dyDescent="0.3">
      <c r="A70" s="2496"/>
      <c r="B70" s="2496"/>
      <c r="C70" s="4784" t="s">
        <v>936</v>
      </c>
      <c r="D70" s="4784" t="s">
        <v>1565</v>
      </c>
      <c r="E70" s="8166"/>
      <c r="F70" s="4784"/>
      <c r="G70" s="4804"/>
      <c r="H70" s="4804"/>
      <c r="I70" s="4804"/>
      <c r="J70" s="4787"/>
      <c r="K70" s="4787">
        <f t="shared" si="16"/>
        <v>0</v>
      </c>
      <c r="L70" s="4804"/>
      <c r="M70" s="4804"/>
      <c r="N70" s="4788"/>
      <c r="O70" s="4788">
        <f t="shared" si="2"/>
        <v>0</v>
      </c>
      <c r="P70" s="4804"/>
      <c r="Q70" s="4804"/>
      <c r="R70" s="4789"/>
      <c r="S70" s="4787">
        <f t="shared" si="3"/>
        <v>0</v>
      </c>
      <c r="T70" s="4804"/>
      <c r="U70" s="4804"/>
      <c r="V70" s="4789"/>
      <c r="W70" s="4787">
        <f t="shared" si="4"/>
        <v>0</v>
      </c>
      <c r="X70" s="4790"/>
      <c r="Y70" s="4804"/>
      <c r="Z70" s="4788"/>
      <c r="AA70" s="4788">
        <f t="shared" si="5"/>
        <v>0</v>
      </c>
      <c r="AB70" s="4791"/>
      <c r="AC70" s="4792">
        <f t="shared" si="6"/>
        <v>0</v>
      </c>
      <c r="AD70" s="4804"/>
      <c r="AE70" s="4804"/>
      <c r="AF70" s="4789"/>
      <c r="AG70" s="4787">
        <f t="shared" si="7"/>
        <v>0</v>
      </c>
      <c r="AH70" s="4804"/>
      <c r="AI70" s="4804"/>
      <c r="AJ70" s="4789"/>
      <c r="AK70" s="4787">
        <f t="shared" si="43"/>
        <v>0</v>
      </c>
      <c r="AL70" s="4804"/>
      <c r="AM70" s="4804"/>
      <c r="AN70" s="4929"/>
      <c r="AO70" s="4788">
        <f t="shared" si="9"/>
        <v>0</v>
      </c>
      <c r="AP70" s="4789"/>
      <c r="AQ70" s="4787">
        <f t="shared" si="78"/>
        <v>0</v>
      </c>
      <c r="AR70" s="4804"/>
      <c r="AS70" s="4804"/>
      <c r="AT70" s="4789"/>
      <c r="AU70" s="4787">
        <f t="shared" si="79"/>
        <v>0</v>
      </c>
      <c r="AV70" s="4804"/>
      <c r="AW70" s="4804"/>
      <c r="AX70" s="4789"/>
      <c r="AY70" s="4787">
        <f t="shared" si="80"/>
        <v>0</v>
      </c>
      <c r="AZ70" s="4804"/>
      <c r="BA70" s="4804"/>
      <c r="BB70" s="4929"/>
      <c r="BC70" s="4788">
        <f t="shared" si="81"/>
        <v>0</v>
      </c>
      <c r="BD70" s="4791"/>
      <c r="BE70" s="4792">
        <f t="shared" si="13"/>
        <v>0</v>
      </c>
      <c r="BF70" s="4789"/>
      <c r="BG70" s="4787">
        <f t="shared" si="82"/>
        <v>0</v>
      </c>
      <c r="BH70" s="25">
        <f t="shared" si="88"/>
        <v>0</v>
      </c>
      <c r="BI70" s="553"/>
    </row>
    <row r="71" spans="1:61" s="4487" customFormat="1" ht="18.75" x14ac:dyDescent="0.3">
      <c r="C71" s="4784" t="s">
        <v>936</v>
      </c>
      <c r="D71" s="4809" t="s">
        <v>1807</v>
      </c>
      <c r="E71" s="8166"/>
      <c r="F71" s="4809"/>
      <c r="G71" s="4810"/>
      <c r="H71" s="4810"/>
      <c r="I71" s="4810"/>
      <c r="J71" s="4811"/>
      <c r="K71" s="4787">
        <f t="shared" si="16"/>
        <v>0</v>
      </c>
      <c r="L71" s="4810"/>
      <c r="M71" s="4810"/>
      <c r="N71" s="4812"/>
      <c r="O71" s="4788">
        <f t="shared" si="2"/>
        <v>0</v>
      </c>
      <c r="P71" s="4810"/>
      <c r="Q71" s="4810">
        <v>264</v>
      </c>
      <c r="R71" s="4789"/>
      <c r="S71" s="4787">
        <f t="shared" si="3"/>
        <v>264</v>
      </c>
      <c r="T71" s="4810"/>
      <c r="U71" s="4810"/>
      <c r="V71" s="4789"/>
      <c r="W71" s="4787">
        <f t="shared" si="4"/>
        <v>264</v>
      </c>
      <c r="X71" s="4810"/>
      <c r="Y71" s="4810"/>
      <c r="Z71" s="4812"/>
      <c r="AA71" s="4788">
        <f t="shared" si="5"/>
        <v>264</v>
      </c>
      <c r="AB71" s="4813"/>
      <c r="AC71" s="4792">
        <f t="shared" si="6"/>
        <v>264</v>
      </c>
      <c r="AD71" s="4810"/>
      <c r="AE71" s="4810"/>
      <c r="AF71" s="4789"/>
      <c r="AG71" s="4787">
        <f t="shared" si="7"/>
        <v>264</v>
      </c>
      <c r="AH71" s="4810"/>
      <c r="AI71" s="4810"/>
      <c r="AJ71" s="4789"/>
      <c r="AK71" s="4787">
        <f t="shared" si="43"/>
        <v>264</v>
      </c>
      <c r="AL71" s="4810"/>
      <c r="AM71" s="4810"/>
      <c r="AN71" s="4929"/>
      <c r="AO71" s="4788">
        <f t="shared" si="9"/>
        <v>0</v>
      </c>
      <c r="AP71" s="4789"/>
      <c r="AQ71" s="4787">
        <f t="shared" si="78"/>
        <v>264</v>
      </c>
      <c r="AR71" s="4810"/>
      <c r="AS71" s="4810"/>
      <c r="AT71" s="4789"/>
      <c r="AU71" s="4787">
        <f t="shared" si="79"/>
        <v>264</v>
      </c>
      <c r="AV71" s="4810"/>
      <c r="AW71" s="4810"/>
      <c r="AX71" s="4789"/>
      <c r="AY71" s="4787">
        <f t="shared" si="80"/>
        <v>264</v>
      </c>
      <c r="AZ71" s="4810"/>
      <c r="BA71" s="4810"/>
      <c r="BB71" s="4929"/>
      <c r="BC71" s="4788">
        <f t="shared" si="81"/>
        <v>0</v>
      </c>
      <c r="BD71" s="4813"/>
      <c r="BE71" s="4792">
        <f t="shared" si="13"/>
        <v>0</v>
      </c>
      <c r="BF71" s="4789"/>
      <c r="BG71" s="4787">
        <f t="shared" si="82"/>
        <v>264</v>
      </c>
      <c r="BH71" s="25">
        <f t="shared" si="88"/>
        <v>0</v>
      </c>
      <c r="BI71" s="553"/>
    </row>
    <row r="72" spans="1:61" ht="18.75" x14ac:dyDescent="0.3">
      <c r="A72" s="2496"/>
      <c r="B72" s="2496"/>
      <c r="C72" s="4784" t="s">
        <v>936</v>
      </c>
      <c r="D72" s="4784" t="s">
        <v>1566</v>
      </c>
      <c r="E72" s="8166"/>
      <c r="F72" s="4784"/>
      <c r="G72" s="4804"/>
      <c r="H72" s="4804"/>
      <c r="I72" s="4804"/>
      <c r="J72" s="4787"/>
      <c r="K72" s="4787">
        <f t="shared" si="16"/>
        <v>0</v>
      </c>
      <c r="L72" s="4804"/>
      <c r="M72" s="4804"/>
      <c r="N72" s="4788"/>
      <c r="O72" s="4788">
        <f t="shared" si="2"/>
        <v>0</v>
      </c>
      <c r="P72" s="4804"/>
      <c r="Q72" s="4804"/>
      <c r="R72" s="4789"/>
      <c r="S72" s="4787">
        <f t="shared" si="3"/>
        <v>0</v>
      </c>
      <c r="T72" s="4804"/>
      <c r="U72" s="4804"/>
      <c r="V72" s="4789"/>
      <c r="W72" s="4787">
        <f t="shared" si="4"/>
        <v>0</v>
      </c>
      <c r="X72" s="4790"/>
      <c r="Y72" s="4804"/>
      <c r="Z72" s="4788"/>
      <c r="AA72" s="4788">
        <f t="shared" si="5"/>
        <v>0</v>
      </c>
      <c r="AB72" s="4791"/>
      <c r="AC72" s="4792">
        <f t="shared" si="6"/>
        <v>0</v>
      </c>
      <c r="AD72" s="4804"/>
      <c r="AE72" s="4804"/>
      <c r="AF72" s="4789"/>
      <c r="AG72" s="4787">
        <f t="shared" si="7"/>
        <v>0</v>
      </c>
      <c r="AH72" s="4804"/>
      <c r="AI72" s="4804"/>
      <c r="AJ72" s="4789"/>
      <c r="AK72" s="4787">
        <f t="shared" si="43"/>
        <v>0</v>
      </c>
      <c r="AL72" s="4804"/>
      <c r="AM72" s="4804"/>
      <c r="AN72" s="4929"/>
      <c r="AO72" s="4788">
        <f t="shared" si="9"/>
        <v>0</v>
      </c>
      <c r="AP72" s="4789"/>
      <c r="AQ72" s="4787">
        <f t="shared" si="78"/>
        <v>0</v>
      </c>
      <c r="AR72" s="4804"/>
      <c r="AS72" s="4804"/>
      <c r="AT72" s="4789"/>
      <c r="AU72" s="4787">
        <f t="shared" si="79"/>
        <v>0</v>
      </c>
      <c r="AV72" s="4804"/>
      <c r="AW72" s="4804"/>
      <c r="AX72" s="4789"/>
      <c r="AY72" s="4787">
        <f t="shared" si="80"/>
        <v>0</v>
      </c>
      <c r="AZ72" s="4804"/>
      <c r="BA72" s="4804"/>
      <c r="BB72" s="4929"/>
      <c r="BC72" s="4788">
        <f t="shared" si="81"/>
        <v>0</v>
      </c>
      <c r="BD72" s="4791"/>
      <c r="BE72" s="4792">
        <f t="shared" ref="BE72:BE92" si="89">AO72+BC72</f>
        <v>0</v>
      </c>
      <c r="BF72" s="4789"/>
      <c r="BG72" s="4787">
        <f t="shared" si="82"/>
        <v>0</v>
      </c>
      <c r="BH72" s="25">
        <f t="shared" si="88"/>
        <v>0</v>
      </c>
      <c r="BI72" s="553"/>
    </row>
    <row r="73" spans="1:61" ht="18.75" x14ac:dyDescent="0.3">
      <c r="C73" s="4784" t="s">
        <v>936</v>
      </c>
      <c r="D73" s="4784" t="s">
        <v>1306</v>
      </c>
      <c r="E73" s="8166"/>
      <c r="F73" s="4784"/>
      <c r="G73" s="4804"/>
      <c r="H73" s="4804"/>
      <c r="I73" s="4804"/>
      <c r="J73" s="4787"/>
      <c r="K73" s="4787">
        <f t="shared" si="16"/>
        <v>0</v>
      </c>
      <c r="L73" s="4804"/>
      <c r="M73" s="4804"/>
      <c r="N73" s="4788"/>
      <c r="O73" s="4788">
        <f t="shared" si="2"/>
        <v>0</v>
      </c>
      <c r="P73" s="4804"/>
      <c r="Q73" s="4804"/>
      <c r="R73" s="4789"/>
      <c r="S73" s="4787">
        <f t="shared" si="3"/>
        <v>0</v>
      </c>
      <c r="T73" s="4804"/>
      <c r="U73" s="4804"/>
      <c r="V73" s="4789"/>
      <c r="W73" s="4787">
        <f t="shared" si="4"/>
        <v>0</v>
      </c>
      <c r="X73" s="4790"/>
      <c r="Y73" s="4804"/>
      <c r="Z73" s="4788"/>
      <c r="AA73" s="4788">
        <f t="shared" si="5"/>
        <v>0</v>
      </c>
      <c r="AB73" s="4791"/>
      <c r="AC73" s="4792">
        <f t="shared" si="6"/>
        <v>0</v>
      </c>
      <c r="AD73" s="4804"/>
      <c r="AE73" s="4804"/>
      <c r="AF73" s="4789"/>
      <c r="AG73" s="4787">
        <f t="shared" si="7"/>
        <v>0</v>
      </c>
      <c r="AH73" s="4804"/>
      <c r="AI73" s="4804"/>
      <c r="AJ73" s="4789"/>
      <c r="AK73" s="4787">
        <f t="shared" si="43"/>
        <v>0</v>
      </c>
      <c r="AL73" s="4804"/>
      <c r="AM73" s="4804"/>
      <c r="AN73" s="4929"/>
      <c r="AO73" s="4788">
        <f t="shared" si="9"/>
        <v>0</v>
      </c>
      <c r="AP73" s="4789"/>
      <c r="AQ73" s="4787">
        <f t="shared" si="78"/>
        <v>0</v>
      </c>
      <c r="AR73" s="4804"/>
      <c r="AS73" s="4804"/>
      <c r="AT73" s="4789"/>
      <c r="AU73" s="4787">
        <f t="shared" si="79"/>
        <v>0</v>
      </c>
      <c r="AV73" s="4804"/>
      <c r="AW73" s="4804"/>
      <c r="AX73" s="4789"/>
      <c r="AY73" s="4787">
        <f t="shared" si="80"/>
        <v>0</v>
      </c>
      <c r="AZ73" s="4804"/>
      <c r="BA73" s="4804"/>
      <c r="BB73" s="4929"/>
      <c r="BC73" s="4788">
        <f t="shared" si="81"/>
        <v>0</v>
      </c>
      <c r="BD73" s="4791"/>
      <c r="BE73" s="4792">
        <f t="shared" si="89"/>
        <v>0</v>
      </c>
      <c r="BF73" s="4789"/>
      <c r="BG73" s="4787">
        <f t="shared" si="82"/>
        <v>0</v>
      </c>
      <c r="BH73" s="25">
        <f t="shared" si="88"/>
        <v>0</v>
      </c>
      <c r="BI73" s="553"/>
    </row>
    <row r="74" spans="1:61" ht="18.75" x14ac:dyDescent="0.3">
      <c r="C74" s="4784" t="s">
        <v>936</v>
      </c>
      <c r="D74" s="4784" t="s">
        <v>1228</v>
      </c>
      <c r="E74" s="8166"/>
      <c r="F74" s="4784"/>
      <c r="G74" s="4804"/>
      <c r="H74" s="4804"/>
      <c r="I74" s="4804"/>
      <c r="J74" s="4787"/>
      <c r="K74" s="4787">
        <f t="shared" si="16"/>
        <v>0</v>
      </c>
      <c r="L74" s="4804"/>
      <c r="M74" s="4804"/>
      <c r="N74" s="4788"/>
      <c r="O74" s="4788">
        <f t="shared" si="2"/>
        <v>0</v>
      </c>
      <c r="P74" s="4804"/>
      <c r="Q74" s="4804"/>
      <c r="R74" s="4789"/>
      <c r="S74" s="4787">
        <f t="shared" si="3"/>
        <v>0</v>
      </c>
      <c r="T74" s="4804"/>
      <c r="U74" s="4804"/>
      <c r="V74" s="4789"/>
      <c r="W74" s="4787">
        <f t="shared" si="4"/>
        <v>0</v>
      </c>
      <c r="X74" s="4790"/>
      <c r="Y74" s="4804"/>
      <c r="Z74" s="4788"/>
      <c r="AA74" s="4788">
        <f t="shared" si="5"/>
        <v>0</v>
      </c>
      <c r="AB74" s="4791"/>
      <c r="AC74" s="4792">
        <f t="shared" si="6"/>
        <v>0</v>
      </c>
      <c r="AD74" s="4804"/>
      <c r="AE74" s="4804"/>
      <c r="AF74" s="4789"/>
      <c r="AG74" s="4787">
        <f t="shared" si="7"/>
        <v>0</v>
      </c>
      <c r="AH74" s="4804"/>
      <c r="AI74" s="4804"/>
      <c r="AJ74" s="4789"/>
      <c r="AK74" s="4787">
        <f t="shared" si="43"/>
        <v>0</v>
      </c>
      <c r="AL74" s="4804"/>
      <c r="AM74" s="4804"/>
      <c r="AN74" s="4929"/>
      <c r="AO74" s="4788">
        <f t="shared" si="9"/>
        <v>0</v>
      </c>
      <c r="AP74" s="4789"/>
      <c r="AQ74" s="4787">
        <f t="shared" si="78"/>
        <v>0</v>
      </c>
      <c r="AR74" s="4804"/>
      <c r="AS74" s="4804"/>
      <c r="AT74" s="4789"/>
      <c r="AU74" s="4787">
        <f t="shared" si="79"/>
        <v>0</v>
      </c>
      <c r="AV74" s="4804"/>
      <c r="AW74" s="4804"/>
      <c r="AX74" s="4789"/>
      <c r="AY74" s="4787">
        <f t="shared" si="80"/>
        <v>0</v>
      </c>
      <c r="AZ74" s="4804"/>
      <c r="BA74" s="4804"/>
      <c r="BB74" s="4929"/>
      <c r="BC74" s="4788">
        <f t="shared" si="81"/>
        <v>0</v>
      </c>
      <c r="BD74" s="4791"/>
      <c r="BE74" s="4792">
        <f t="shared" si="89"/>
        <v>0</v>
      </c>
      <c r="BF74" s="4789"/>
      <c r="BG74" s="4787">
        <f t="shared" si="82"/>
        <v>0</v>
      </c>
      <c r="BH74" s="25">
        <f t="shared" si="88"/>
        <v>0</v>
      </c>
      <c r="BI74" s="553"/>
    </row>
    <row r="75" spans="1:61" ht="18.75" x14ac:dyDescent="0.3">
      <c r="C75" s="4784" t="s">
        <v>936</v>
      </c>
      <c r="D75" s="4784" t="s">
        <v>1217</v>
      </c>
      <c r="E75" s="8166"/>
      <c r="F75" s="4784"/>
      <c r="G75" s="4804"/>
      <c r="H75" s="4804"/>
      <c r="I75" s="4804">
        <v>104</v>
      </c>
      <c r="J75" s="4787"/>
      <c r="K75" s="4787">
        <f t="shared" si="16"/>
        <v>104</v>
      </c>
      <c r="L75" s="4804"/>
      <c r="M75" s="4804">
        <v>235</v>
      </c>
      <c r="N75" s="4788"/>
      <c r="O75" s="4788">
        <f t="shared" si="2"/>
        <v>339</v>
      </c>
      <c r="P75" s="4804"/>
      <c r="Q75" s="4804">
        <v>116</v>
      </c>
      <c r="R75" s="4798"/>
      <c r="S75" s="4787">
        <f t="shared" si="3"/>
        <v>455</v>
      </c>
      <c r="T75" s="4804"/>
      <c r="U75" s="4804"/>
      <c r="V75" s="4798"/>
      <c r="W75" s="4787">
        <f t="shared" si="4"/>
        <v>455</v>
      </c>
      <c r="X75" s="4790"/>
      <c r="Y75" s="4804"/>
      <c r="Z75" s="4788"/>
      <c r="AA75" s="4788">
        <f t="shared" si="5"/>
        <v>116</v>
      </c>
      <c r="AB75" s="4791"/>
      <c r="AC75" s="4792">
        <f t="shared" si="6"/>
        <v>455</v>
      </c>
      <c r="AD75" s="4804"/>
      <c r="AE75" s="4804"/>
      <c r="AF75" s="4798"/>
      <c r="AG75" s="4787">
        <f t="shared" si="7"/>
        <v>455</v>
      </c>
      <c r="AH75" s="4804"/>
      <c r="AI75" s="4804"/>
      <c r="AJ75" s="4798"/>
      <c r="AK75" s="4787">
        <f t="shared" si="43"/>
        <v>455</v>
      </c>
      <c r="AL75" s="4804"/>
      <c r="AM75" s="4804"/>
      <c r="AN75" s="4929"/>
      <c r="AO75" s="4788">
        <f t="shared" si="9"/>
        <v>0</v>
      </c>
      <c r="AP75" s="4798"/>
      <c r="AQ75" s="4787">
        <f t="shared" si="78"/>
        <v>455</v>
      </c>
      <c r="AR75" s="4804"/>
      <c r="AS75" s="4804"/>
      <c r="AT75" s="4798"/>
      <c r="AU75" s="4787">
        <f t="shared" si="79"/>
        <v>455</v>
      </c>
      <c r="AV75" s="4804"/>
      <c r="AW75" s="4804"/>
      <c r="AX75" s="4798"/>
      <c r="AY75" s="4787">
        <f t="shared" si="80"/>
        <v>455</v>
      </c>
      <c r="AZ75" s="4804"/>
      <c r="BA75" s="4804"/>
      <c r="BB75" s="4929"/>
      <c r="BC75" s="4788">
        <f t="shared" si="81"/>
        <v>0</v>
      </c>
      <c r="BD75" s="4791"/>
      <c r="BE75" s="4792">
        <f t="shared" si="89"/>
        <v>0</v>
      </c>
      <c r="BF75" s="4798"/>
      <c r="BG75" s="4787">
        <f t="shared" si="82"/>
        <v>455</v>
      </c>
      <c r="BH75" s="25">
        <f t="shared" si="88"/>
        <v>0</v>
      </c>
      <c r="BI75" s="553"/>
    </row>
    <row r="76" spans="1:61" ht="18.75" x14ac:dyDescent="0.3">
      <c r="C76" s="4784" t="s">
        <v>936</v>
      </c>
      <c r="D76" s="4784" t="s">
        <v>1088</v>
      </c>
      <c r="E76" s="8166"/>
      <c r="F76" s="4784"/>
      <c r="G76" s="4804"/>
      <c r="H76" s="4804"/>
      <c r="I76" s="4804">
        <v>268.39999999999998</v>
      </c>
      <c r="J76" s="4787"/>
      <c r="K76" s="4787">
        <f t="shared" ref="K76:K92" si="90">+G76+I76</f>
        <v>268.39999999999998</v>
      </c>
      <c r="L76" s="4804"/>
      <c r="M76" s="4804"/>
      <c r="N76" s="4788"/>
      <c r="O76" s="4788">
        <f t="shared" ref="O76:O78" si="91">+G76+I76+M76</f>
        <v>268.39999999999998</v>
      </c>
      <c r="P76" s="4804"/>
      <c r="Q76" s="4804"/>
      <c r="R76" s="4789"/>
      <c r="S76" s="4787">
        <f t="shared" ref="S76:S92" si="92">O76+Q76</f>
        <v>268.39999999999998</v>
      </c>
      <c r="T76" s="4804"/>
      <c r="U76" s="4804">
        <v>353.03800000000001</v>
      </c>
      <c r="V76" s="4789"/>
      <c r="W76" s="4787">
        <f t="shared" ref="W76:W92" si="93">S76+U76</f>
        <v>621.43799999999999</v>
      </c>
      <c r="X76" s="4790"/>
      <c r="Y76" s="4804">
        <v>114</v>
      </c>
      <c r="Z76" s="4788"/>
      <c r="AA76" s="4788">
        <f t="shared" ref="AA76:AA78" si="94">Q76+U76+Y76</f>
        <v>467.03800000000001</v>
      </c>
      <c r="AB76" s="4791"/>
      <c r="AC76" s="4792">
        <f t="shared" ref="AC76:AC92" si="95">O76+AA76</f>
        <v>735.43799999999999</v>
      </c>
      <c r="AD76" s="4804"/>
      <c r="AE76" s="4804">
        <v>114</v>
      </c>
      <c r="AF76" s="4789"/>
      <c r="AG76" s="4787">
        <f t="shared" ref="AG76:AG92" si="96">+AC76+AE76</f>
        <v>849.43799999999999</v>
      </c>
      <c r="AH76" s="4804"/>
      <c r="AI76" s="4804">
        <v>114.804</v>
      </c>
      <c r="AJ76" s="4789"/>
      <c r="AK76" s="4787">
        <f t="shared" ref="AK76:AK92" si="97">+AG76+AI76</f>
        <v>964.24199999999996</v>
      </c>
      <c r="AL76" s="4804"/>
      <c r="AM76" s="4804">
        <v>249</v>
      </c>
      <c r="AN76" s="4929"/>
      <c r="AO76" s="4788">
        <f t="shared" ref="AO76:AO78" si="98">AE76+AI76+AM76</f>
        <v>477.80399999999997</v>
      </c>
      <c r="AP76" s="4789"/>
      <c r="AQ76" s="4787">
        <f t="shared" si="78"/>
        <v>1213.242</v>
      </c>
      <c r="AR76" s="4804"/>
      <c r="AS76" s="4804">
        <v>203</v>
      </c>
      <c r="AT76" s="4789"/>
      <c r="AU76" s="4787">
        <f t="shared" si="79"/>
        <v>1416.242</v>
      </c>
      <c r="AV76" s="4804"/>
      <c r="AW76" s="4804"/>
      <c r="AX76" s="4789"/>
      <c r="AY76" s="4787">
        <f t="shared" si="80"/>
        <v>1416.242</v>
      </c>
      <c r="AZ76" s="4804"/>
      <c r="BA76" s="4804">
        <v>150.946</v>
      </c>
      <c r="BB76" s="4929"/>
      <c r="BC76" s="4788">
        <f t="shared" si="81"/>
        <v>353.94600000000003</v>
      </c>
      <c r="BD76" s="4791"/>
      <c r="BE76" s="4792">
        <f t="shared" si="89"/>
        <v>831.75</v>
      </c>
      <c r="BF76" s="4789"/>
      <c r="BG76" s="4787">
        <f t="shared" si="82"/>
        <v>1567.1879999999999</v>
      </c>
      <c r="BH76" s="25">
        <f t="shared" si="88"/>
        <v>0</v>
      </c>
      <c r="BI76" s="553"/>
    </row>
    <row r="77" spans="1:61" ht="18.75" x14ac:dyDescent="0.3">
      <c r="C77" s="4784" t="s">
        <v>936</v>
      </c>
      <c r="D77" s="4784" t="s">
        <v>902</v>
      </c>
      <c r="E77" s="8166"/>
      <c r="F77" s="4784"/>
      <c r="G77" s="4804">
        <v>10001</v>
      </c>
      <c r="H77" s="4814"/>
      <c r="I77" s="4804">
        <v>17368</v>
      </c>
      <c r="J77" s="4815"/>
      <c r="K77" s="4787">
        <f t="shared" si="90"/>
        <v>27369</v>
      </c>
      <c r="L77" s="4814"/>
      <c r="M77" s="4804">
        <v>12849</v>
      </c>
      <c r="N77" s="4816"/>
      <c r="O77" s="4788">
        <f t="shared" si="91"/>
        <v>40218</v>
      </c>
      <c r="P77" s="4814"/>
      <c r="Q77" s="4804">
        <v>18517</v>
      </c>
      <c r="R77" s="4789"/>
      <c r="S77" s="4787">
        <f t="shared" si="92"/>
        <v>58735</v>
      </c>
      <c r="T77" s="4814"/>
      <c r="U77" s="4804">
        <v>14098.266</v>
      </c>
      <c r="V77" s="4789"/>
      <c r="W77" s="4787">
        <f t="shared" si="93"/>
        <v>72833.266000000003</v>
      </c>
      <c r="X77" s="4790"/>
      <c r="Y77" s="4804">
        <v>17181</v>
      </c>
      <c r="Z77" s="4816"/>
      <c r="AA77" s="4788">
        <f t="shared" si="94"/>
        <v>49796.266000000003</v>
      </c>
      <c r="AB77" s="4791"/>
      <c r="AC77" s="4792">
        <f t="shared" si="95"/>
        <v>90014.266000000003</v>
      </c>
      <c r="AD77" s="4814"/>
      <c r="AE77" s="4804">
        <v>21466</v>
      </c>
      <c r="AF77" s="4789"/>
      <c r="AG77" s="4787">
        <f t="shared" si="96"/>
        <v>111480.266</v>
      </c>
      <c r="AH77" s="4814"/>
      <c r="AI77" s="4804">
        <v>25111.692000000003</v>
      </c>
      <c r="AJ77" s="4789"/>
      <c r="AK77" s="4787">
        <f t="shared" si="97"/>
        <v>136591.95800000001</v>
      </c>
      <c r="AL77" s="4814"/>
      <c r="AM77" s="4804">
        <v>9723</v>
      </c>
      <c r="AN77" s="4929"/>
      <c r="AO77" s="4788">
        <f t="shared" si="98"/>
        <v>56300.692000000003</v>
      </c>
      <c r="AP77" s="4789"/>
      <c r="AQ77" s="4787">
        <f t="shared" si="78"/>
        <v>146314.95800000001</v>
      </c>
      <c r="AR77" s="4814"/>
      <c r="AS77" s="4804">
        <v>11151</v>
      </c>
      <c r="AT77" s="4789"/>
      <c r="AU77" s="4787">
        <f t="shared" si="79"/>
        <v>157465.95800000001</v>
      </c>
      <c r="AV77" s="4814"/>
      <c r="AW77" s="4804">
        <v>3937.3519999999999</v>
      </c>
      <c r="AX77" s="4789"/>
      <c r="AY77" s="4787">
        <f t="shared" si="80"/>
        <v>161403.31000000003</v>
      </c>
      <c r="AZ77" s="4814"/>
      <c r="BA77" s="4804">
        <v>10396.14</v>
      </c>
      <c r="BB77" s="4929"/>
      <c r="BC77" s="4788">
        <f t="shared" si="81"/>
        <v>25484.491999999998</v>
      </c>
      <c r="BD77" s="4791"/>
      <c r="BE77" s="4792">
        <f t="shared" si="89"/>
        <v>81785.184000000008</v>
      </c>
      <c r="BF77" s="4789"/>
      <c r="BG77" s="4787">
        <f t="shared" si="82"/>
        <v>171799.45</v>
      </c>
      <c r="BH77" s="25">
        <f t="shared" si="88"/>
        <v>0</v>
      </c>
      <c r="BI77" s="553"/>
    </row>
    <row r="78" spans="1:61" ht="18.75" x14ac:dyDescent="0.3">
      <c r="C78" s="4784" t="s">
        <v>936</v>
      </c>
      <c r="D78" s="4784" t="s">
        <v>948</v>
      </c>
      <c r="E78" s="8166"/>
      <c r="F78" s="4784"/>
      <c r="G78" s="4804">
        <v>3712</v>
      </c>
      <c r="H78" s="4814"/>
      <c r="I78" s="4804">
        <v>13247</v>
      </c>
      <c r="J78" s="4815"/>
      <c r="K78" s="4787">
        <f t="shared" si="90"/>
        <v>16959</v>
      </c>
      <c r="L78" s="4814"/>
      <c r="M78" s="4804">
        <v>15189</v>
      </c>
      <c r="N78" s="4816"/>
      <c r="O78" s="4788">
        <f t="shared" si="91"/>
        <v>32148</v>
      </c>
      <c r="P78" s="4814"/>
      <c r="Q78" s="4804">
        <v>17017</v>
      </c>
      <c r="R78" s="4798"/>
      <c r="S78" s="4787">
        <f t="shared" si="92"/>
        <v>49165</v>
      </c>
      <c r="T78" s="4814"/>
      <c r="U78" s="4804">
        <v>14747.263999999999</v>
      </c>
      <c r="V78" s="4798"/>
      <c r="W78" s="4787">
        <f t="shared" si="93"/>
        <v>63912.263999999996</v>
      </c>
      <c r="X78" s="4790"/>
      <c r="Y78" s="4804">
        <v>10684</v>
      </c>
      <c r="Z78" s="4816"/>
      <c r="AA78" s="4788">
        <f t="shared" si="94"/>
        <v>42448.263999999996</v>
      </c>
      <c r="AB78" s="4791"/>
      <c r="AC78" s="4792">
        <f t="shared" si="95"/>
        <v>74596.263999999996</v>
      </c>
      <c r="AD78" s="4814"/>
      <c r="AE78" s="4804">
        <v>14218</v>
      </c>
      <c r="AF78" s="4798"/>
      <c r="AG78" s="4787">
        <f t="shared" si="96"/>
        <v>88814.263999999996</v>
      </c>
      <c r="AH78" s="4814"/>
      <c r="AI78" s="4804">
        <v>14613.73</v>
      </c>
      <c r="AJ78" s="4798"/>
      <c r="AK78" s="4787">
        <f t="shared" si="97"/>
        <v>103427.99399999999</v>
      </c>
      <c r="AL78" s="4814"/>
      <c r="AM78" s="4804">
        <v>19136</v>
      </c>
      <c r="AN78" s="4929"/>
      <c r="AO78" s="4788">
        <f t="shared" si="98"/>
        <v>47967.729999999996</v>
      </c>
      <c r="AP78" s="4798"/>
      <c r="AQ78" s="4787">
        <f t="shared" si="78"/>
        <v>122563.99399999999</v>
      </c>
      <c r="AR78" s="4814"/>
      <c r="AS78" s="4804">
        <v>5141</v>
      </c>
      <c r="AT78" s="4798"/>
      <c r="AU78" s="4787">
        <f t="shared" si="79"/>
        <v>127704.99399999999</v>
      </c>
      <c r="AV78" s="4814"/>
      <c r="AW78" s="4804"/>
      <c r="AX78" s="4798"/>
      <c r="AY78" s="4787">
        <f t="shared" si="80"/>
        <v>127704.99399999999</v>
      </c>
      <c r="AZ78" s="4814"/>
      <c r="BA78" s="4804">
        <v>10972.29</v>
      </c>
      <c r="BB78" s="4929"/>
      <c r="BC78" s="4788">
        <f t="shared" si="81"/>
        <v>16113.29</v>
      </c>
      <c r="BD78" s="4791"/>
      <c r="BE78" s="4792">
        <f t="shared" si="89"/>
        <v>64081.02</v>
      </c>
      <c r="BF78" s="4798"/>
      <c r="BG78" s="4787">
        <f t="shared" si="82"/>
        <v>138677.28399999999</v>
      </c>
      <c r="BH78" s="25">
        <f t="shared" si="88"/>
        <v>0</v>
      </c>
      <c r="BI78" s="553"/>
    </row>
    <row r="79" spans="1:61" ht="18.75" x14ac:dyDescent="0.3">
      <c r="C79" s="8162" t="s">
        <v>997</v>
      </c>
      <c r="D79" s="8162"/>
      <c r="E79" s="8166"/>
      <c r="F79" s="4799"/>
      <c r="G79" s="4800">
        <f t="shared" ref="G79:AM79" si="99">SUM(G55:G78)</f>
        <v>33808</v>
      </c>
      <c r="H79" s="4800">
        <f t="shared" si="99"/>
        <v>0</v>
      </c>
      <c r="I79" s="4800">
        <f t="shared" si="99"/>
        <v>45640.4</v>
      </c>
      <c r="J79" s="4800">
        <f t="shared" si="99"/>
        <v>0</v>
      </c>
      <c r="K79" s="4801">
        <f t="shared" si="99"/>
        <v>79448.399999999994</v>
      </c>
      <c r="L79" s="4800">
        <f t="shared" si="99"/>
        <v>0</v>
      </c>
      <c r="M79" s="4800">
        <f t="shared" si="99"/>
        <v>51290</v>
      </c>
      <c r="N79" s="4800">
        <f t="shared" si="99"/>
        <v>0</v>
      </c>
      <c r="O79" s="4802">
        <f t="shared" si="99"/>
        <v>130738.4</v>
      </c>
      <c r="P79" s="4800">
        <f t="shared" si="99"/>
        <v>0</v>
      </c>
      <c r="Q79" s="4800">
        <f t="shared" si="99"/>
        <v>46163</v>
      </c>
      <c r="R79" s="4800">
        <f t="shared" si="99"/>
        <v>0</v>
      </c>
      <c r="S79" s="4801">
        <f t="shared" si="99"/>
        <v>176901.4</v>
      </c>
      <c r="T79" s="4800">
        <f t="shared" si="99"/>
        <v>0</v>
      </c>
      <c r="U79" s="4800">
        <f t="shared" si="99"/>
        <v>45702.616000000002</v>
      </c>
      <c r="V79" s="4800">
        <f t="shared" si="99"/>
        <v>0</v>
      </c>
      <c r="W79" s="4801">
        <f t="shared" si="99"/>
        <v>216370.01599999997</v>
      </c>
      <c r="X79" s="4800">
        <f t="shared" si="99"/>
        <v>0</v>
      </c>
      <c r="Y79" s="4800">
        <f t="shared" si="99"/>
        <v>49365</v>
      </c>
      <c r="Z79" s="4800">
        <f t="shared" si="99"/>
        <v>0</v>
      </c>
      <c r="AA79" s="4802">
        <f t="shared" si="99"/>
        <v>141230.61600000001</v>
      </c>
      <c r="AB79" s="4800">
        <f t="shared" si="99"/>
        <v>0</v>
      </c>
      <c r="AC79" s="4803">
        <f t="shared" si="99"/>
        <v>271969.01599999995</v>
      </c>
      <c r="AD79" s="4800">
        <f t="shared" si="99"/>
        <v>0</v>
      </c>
      <c r="AE79" s="4800">
        <f t="shared" si="99"/>
        <v>50576</v>
      </c>
      <c r="AF79" s="4800">
        <f t="shared" si="99"/>
        <v>0</v>
      </c>
      <c r="AG79" s="4801">
        <f t="shared" si="99"/>
        <v>322545.01599999995</v>
      </c>
      <c r="AH79" s="4800">
        <f t="shared" si="99"/>
        <v>0</v>
      </c>
      <c r="AI79" s="4800">
        <f t="shared" si="99"/>
        <v>57014.864000000001</v>
      </c>
      <c r="AJ79" s="4800">
        <f t="shared" si="99"/>
        <v>0</v>
      </c>
      <c r="AK79" s="4801">
        <f t="shared" si="99"/>
        <v>379559.88</v>
      </c>
      <c r="AL79" s="4800">
        <f t="shared" si="99"/>
        <v>0</v>
      </c>
      <c r="AM79" s="4800">
        <f t="shared" si="99"/>
        <v>48508.66</v>
      </c>
      <c r="AN79" s="4928"/>
      <c r="AO79" s="4802">
        <f t="shared" ref="AO79:AY79" si="100">SUM(AO55:AO78)</f>
        <v>156099.52400000003</v>
      </c>
      <c r="AP79" s="4800">
        <f t="shared" si="100"/>
        <v>0</v>
      </c>
      <c r="AQ79" s="4801">
        <f t="shared" si="100"/>
        <v>428068.54000000004</v>
      </c>
      <c r="AR79" s="4800">
        <f t="shared" si="100"/>
        <v>0</v>
      </c>
      <c r="AS79" s="4800">
        <f t="shared" si="100"/>
        <v>26498</v>
      </c>
      <c r="AT79" s="4800">
        <f t="shared" si="100"/>
        <v>0</v>
      </c>
      <c r="AU79" s="4801">
        <f t="shared" si="100"/>
        <v>454566.54</v>
      </c>
      <c r="AV79" s="4800">
        <f t="shared" si="100"/>
        <v>0</v>
      </c>
      <c r="AW79" s="4800">
        <f t="shared" si="100"/>
        <v>13181.536</v>
      </c>
      <c r="AX79" s="4800">
        <f t="shared" si="100"/>
        <v>0</v>
      </c>
      <c r="AY79" s="4801">
        <f t="shared" si="100"/>
        <v>467748.07600000006</v>
      </c>
      <c r="AZ79" s="4800">
        <f t="shared" ref="AZ79:BG79" si="101">SUM(AZ55:AZ78)</f>
        <v>0</v>
      </c>
      <c r="BA79" s="4800">
        <f t="shared" si="101"/>
        <v>33704.529000000002</v>
      </c>
      <c r="BB79" s="4928"/>
      <c r="BC79" s="4802">
        <f t="shared" ref="BC79:BE79" si="102">SUM(BC55:BC78)</f>
        <v>73384.065000000002</v>
      </c>
      <c r="BD79" s="4800">
        <f t="shared" si="102"/>
        <v>0</v>
      </c>
      <c r="BE79" s="4803">
        <f t="shared" si="102"/>
        <v>229483.58900000001</v>
      </c>
      <c r="BF79" s="4800">
        <f t="shared" si="101"/>
        <v>0</v>
      </c>
      <c r="BG79" s="4801">
        <f t="shared" si="101"/>
        <v>501452.60499999998</v>
      </c>
      <c r="BH79" s="25">
        <f t="shared" si="88"/>
        <v>0</v>
      </c>
      <c r="BI79" s="553"/>
    </row>
    <row r="80" spans="1:61" ht="18.75" hidden="1" x14ac:dyDescent="0.3">
      <c r="A80" s="212"/>
      <c r="B80" s="212"/>
      <c r="C80" s="4817" t="s">
        <v>937</v>
      </c>
      <c r="D80" s="4817" t="s">
        <v>611</v>
      </c>
      <c r="E80" s="8166"/>
      <c r="F80" s="4818"/>
      <c r="G80" s="4819"/>
      <c r="H80" s="4820"/>
      <c r="I80" s="4819">
        <v>79</v>
      </c>
      <c r="J80" s="4821"/>
      <c r="K80" s="4787">
        <f t="shared" si="90"/>
        <v>79</v>
      </c>
      <c r="L80" s="4820"/>
      <c r="M80" s="4819"/>
      <c r="N80" s="4822"/>
      <c r="O80" s="4788">
        <f t="shared" ref="O80:O92" si="103">+G80+I80+M80</f>
        <v>79</v>
      </c>
      <c r="P80" s="4820"/>
      <c r="Q80" s="4823"/>
      <c r="R80" s="4824"/>
      <c r="S80" s="4787">
        <f t="shared" si="92"/>
        <v>79</v>
      </c>
      <c r="T80" s="4820"/>
      <c r="U80" s="4823">
        <v>82.082000000000335</v>
      </c>
      <c r="V80" s="4824"/>
      <c r="W80" s="4787">
        <f t="shared" si="93"/>
        <v>161.08200000000033</v>
      </c>
      <c r="X80" s="4825"/>
      <c r="Y80" s="4823"/>
      <c r="Z80" s="4822"/>
      <c r="AA80" s="4788">
        <f t="shared" ref="AA80:AA92" si="104">Q80+U80+Y80</f>
        <v>82.082000000000335</v>
      </c>
      <c r="AB80" s="4791"/>
      <c r="AC80" s="4792">
        <f t="shared" si="95"/>
        <v>161.08200000000033</v>
      </c>
      <c r="AD80" s="4820"/>
      <c r="AE80" s="4823"/>
      <c r="AF80" s="4826"/>
      <c r="AG80" s="4787">
        <f t="shared" si="96"/>
        <v>161.08200000000033</v>
      </c>
      <c r="AH80" s="4820"/>
      <c r="AI80" s="4823"/>
      <c r="AJ80" s="4826"/>
      <c r="AK80" s="4787">
        <f t="shared" si="97"/>
        <v>161.08200000000033</v>
      </c>
      <c r="AL80" s="4820"/>
      <c r="AM80" s="4823"/>
      <c r="AN80" s="4930"/>
      <c r="AO80" s="4788">
        <f t="shared" ref="AO80:AO92" si="105">AE80+AI80+AM80</f>
        <v>0</v>
      </c>
      <c r="AP80" s="4826"/>
      <c r="AQ80" s="4787">
        <f t="shared" ref="AQ80:AQ92" si="106">+AK80+AM80</f>
        <v>161.08200000000033</v>
      </c>
      <c r="AR80" s="4820"/>
      <c r="AS80" s="4823">
        <v>1074.1600000000001</v>
      </c>
      <c r="AT80" s="4826"/>
      <c r="AU80" s="4787">
        <f t="shared" ref="AU80:AU92" si="107">+AQ80+AS80</f>
        <v>1235.2420000000004</v>
      </c>
      <c r="AV80" s="4820"/>
      <c r="AW80" s="4823">
        <v>2.3719999999998436</v>
      </c>
      <c r="AX80" s="4826"/>
      <c r="AY80" s="4787">
        <f t="shared" ref="AY80:AY92" si="108">+AU80+AW80</f>
        <v>1237.6140000000003</v>
      </c>
      <c r="AZ80" s="4820"/>
      <c r="BA80" s="4823"/>
      <c r="BB80" s="4930"/>
      <c r="BC80" s="4788">
        <f t="shared" ref="BC80:BC92" si="109">AS80+AW80+BA80</f>
        <v>1076.5319999999999</v>
      </c>
      <c r="BD80" s="4791"/>
      <c r="BE80" s="4792">
        <f t="shared" si="89"/>
        <v>1076.5319999999999</v>
      </c>
      <c r="BF80" s="4826"/>
      <c r="BG80" s="4787">
        <f t="shared" ref="BG80:BG92" si="110">+AY80+BA80</f>
        <v>1237.6140000000003</v>
      </c>
      <c r="BH80" s="25">
        <f t="shared" si="88"/>
        <v>0</v>
      </c>
      <c r="BI80" s="553"/>
    </row>
    <row r="81" spans="1:61" ht="18.75" hidden="1" x14ac:dyDescent="0.3">
      <c r="C81" s="4784" t="s">
        <v>937</v>
      </c>
      <c r="D81" s="4784" t="s">
        <v>949</v>
      </c>
      <c r="E81" s="8166"/>
      <c r="F81" s="4784"/>
      <c r="G81" s="4804"/>
      <c r="H81" s="4827"/>
      <c r="I81" s="4804"/>
      <c r="J81" s="4815"/>
      <c r="K81" s="4787">
        <f t="shared" si="90"/>
        <v>0</v>
      </c>
      <c r="L81" s="4827"/>
      <c r="M81" s="4804"/>
      <c r="N81" s="4816"/>
      <c r="O81" s="4788">
        <f t="shared" si="103"/>
        <v>0</v>
      </c>
      <c r="P81" s="4827"/>
      <c r="Q81" s="4786"/>
      <c r="R81" s="4789"/>
      <c r="S81" s="4787">
        <f t="shared" si="92"/>
        <v>0</v>
      </c>
      <c r="T81" s="4827"/>
      <c r="U81" s="4786"/>
      <c r="V81" s="4789"/>
      <c r="W81" s="4787">
        <f t="shared" si="93"/>
        <v>0</v>
      </c>
      <c r="X81" s="4790"/>
      <c r="Y81" s="4786"/>
      <c r="Z81" s="4816"/>
      <c r="AA81" s="4788">
        <f t="shared" si="104"/>
        <v>0</v>
      </c>
      <c r="AB81" s="4791"/>
      <c r="AC81" s="4792">
        <f t="shared" si="95"/>
        <v>0</v>
      </c>
      <c r="AD81" s="4827"/>
      <c r="AE81" s="4786"/>
      <c r="AF81" s="4789"/>
      <c r="AG81" s="4787">
        <f t="shared" si="96"/>
        <v>0</v>
      </c>
      <c r="AH81" s="4827"/>
      <c r="AI81" s="4786"/>
      <c r="AJ81" s="4789"/>
      <c r="AK81" s="4787">
        <f t="shared" si="97"/>
        <v>0</v>
      </c>
      <c r="AL81" s="4926"/>
      <c r="AM81" s="4786"/>
      <c r="AN81" s="4927"/>
      <c r="AO81" s="4788">
        <f t="shared" si="105"/>
        <v>0</v>
      </c>
      <c r="AP81" s="4789"/>
      <c r="AQ81" s="4787">
        <f t="shared" si="106"/>
        <v>0</v>
      </c>
      <c r="AR81" s="4981"/>
      <c r="AS81" s="4786"/>
      <c r="AT81" s="4789"/>
      <c r="AU81" s="4787">
        <f t="shared" si="107"/>
        <v>0</v>
      </c>
      <c r="AV81" s="5080"/>
      <c r="AW81" s="4786"/>
      <c r="AX81" s="4789"/>
      <c r="AY81" s="4787">
        <f t="shared" si="108"/>
        <v>0</v>
      </c>
      <c r="AZ81" s="5124"/>
      <c r="BA81" s="4786"/>
      <c r="BB81" s="4927"/>
      <c r="BC81" s="4788">
        <f t="shared" si="109"/>
        <v>0</v>
      </c>
      <c r="BD81" s="4791"/>
      <c r="BE81" s="4792">
        <f t="shared" si="89"/>
        <v>0</v>
      </c>
      <c r="BF81" s="4789"/>
      <c r="BG81" s="4787">
        <f t="shared" si="110"/>
        <v>0</v>
      </c>
      <c r="BH81" s="25">
        <f t="shared" si="88"/>
        <v>0</v>
      </c>
      <c r="BI81" s="553"/>
    </row>
    <row r="82" spans="1:61" ht="18.75" hidden="1" x14ac:dyDescent="0.3">
      <c r="A82" s="2106"/>
      <c r="B82" s="2106"/>
      <c r="C82" s="4784" t="s">
        <v>937</v>
      </c>
      <c r="D82" s="4784" t="s">
        <v>1538</v>
      </c>
      <c r="E82" s="8166"/>
      <c r="F82" s="4784"/>
      <c r="G82" s="4804"/>
      <c r="H82" s="4827"/>
      <c r="I82" s="4804"/>
      <c r="J82" s="4815"/>
      <c r="K82" s="4787">
        <f t="shared" si="90"/>
        <v>0</v>
      </c>
      <c r="L82" s="4827"/>
      <c r="M82" s="4804"/>
      <c r="N82" s="4816"/>
      <c r="O82" s="4788">
        <f t="shared" si="103"/>
        <v>0</v>
      </c>
      <c r="P82" s="4827"/>
      <c r="Q82" s="4786"/>
      <c r="R82" s="4789"/>
      <c r="S82" s="4787">
        <f t="shared" si="92"/>
        <v>0</v>
      </c>
      <c r="T82" s="4827"/>
      <c r="U82" s="4786"/>
      <c r="V82" s="4789"/>
      <c r="W82" s="4787">
        <f t="shared" si="93"/>
        <v>0</v>
      </c>
      <c r="X82" s="4828"/>
      <c r="Y82" s="4786"/>
      <c r="Z82" s="4816"/>
      <c r="AA82" s="4788">
        <f t="shared" si="104"/>
        <v>0</v>
      </c>
      <c r="AB82" s="4791"/>
      <c r="AC82" s="4792">
        <f t="shared" si="95"/>
        <v>0</v>
      </c>
      <c r="AD82" s="4827"/>
      <c r="AE82" s="4786"/>
      <c r="AF82" s="4789"/>
      <c r="AG82" s="4787">
        <f t="shared" si="96"/>
        <v>0</v>
      </c>
      <c r="AH82" s="4827"/>
      <c r="AI82" s="4786"/>
      <c r="AJ82" s="4789"/>
      <c r="AK82" s="4787">
        <f t="shared" si="97"/>
        <v>0</v>
      </c>
      <c r="AL82" s="4926"/>
      <c r="AM82" s="4786"/>
      <c r="AN82" s="4927"/>
      <c r="AO82" s="4788">
        <f t="shared" si="105"/>
        <v>0</v>
      </c>
      <c r="AP82" s="4789"/>
      <c r="AQ82" s="4787">
        <f t="shared" si="106"/>
        <v>0</v>
      </c>
      <c r="AR82" s="4981"/>
      <c r="AS82" s="4786">
        <v>1882</v>
      </c>
      <c r="AT82" s="4789"/>
      <c r="AU82" s="4787">
        <f t="shared" si="107"/>
        <v>1882</v>
      </c>
      <c r="AV82" s="5080"/>
      <c r="AW82" s="4786">
        <v>1221.2460000000001</v>
      </c>
      <c r="AX82" s="4789"/>
      <c r="AY82" s="4787">
        <f t="shared" si="108"/>
        <v>3103.2460000000001</v>
      </c>
      <c r="AZ82" s="5124"/>
      <c r="BA82" s="4786"/>
      <c r="BB82" s="4927"/>
      <c r="BC82" s="4788">
        <f t="shared" si="109"/>
        <v>3103.2460000000001</v>
      </c>
      <c r="BD82" s="4791"/>
      <c r="BE82" s="4792">
        <f t="shared" si="89"/>
        <v>3103.2460000000001</v>
      </c>
      <c r="BF82" s="4789"/>
      <c r="BG82" s="4787">
        <f t="shared" si="110"/>
        <v>3103.2460000000001</v>
      </c>
      <c r="BH82" s="25">
        <f t="shared" si="88"/>
        <v>0</v>
      </c>
      <c r="BI82" s="553"/>
    </row>
    <row r="83" spans="1:61" ht="18.75" hidden="1" x14ac:dyDescent="0.3">
      <c r="C83" s="4784" t="s">
        <v>937</v>
      </c>
      <c r="D83" s="4784" t="s">
        <v>643</v>
      </c>
      <c r="E83" s="8166"/>
      <c r="F83" s="4784"/>
      <c r="G83" s="4804"/>
      <c r="H83" s="4827"/>
      <c r="I83" s="4804">
        <v>2204</v>
      </c>
      <c r="J83" s="4815"/>
      <c r="K83" s="4787">
        <f t="shared" si="90"/>
        <v>2204</v>
      </c>
      <c r="L83" s="4827"/>
      <c r="M83" s="4804"/>
      <c r="N83" s="4816"/>
      <c r="O83" s="4788">
        <f t="shared" si="103"/>
        <v>2204</v>
      </c>
      <c r="P83" s="4827"/>
      <c r="Q83" s="4786"/>
      <c r="R83" s="4789"/>
      <c r="S83" s="4787">
        <f t="shared" si="92"/>
        <v>2204</v>
      </c>
      <c r="T83" s="4827"/>
      <c r="U83" s="4786">
        <v>5899.3739999999998</v>
      </c>
      <c r="V83" s="4789"/>
      <c r="W83" s="4787">
        <f t="shared" si="93"/>
        <v>8103.3739999999998</v>
      </c>
      <c r="X83" s="4828"/>
      <c r="Y83" s="4786"/>
      <c r="Z83" s="4816"/>
      <c r="AA83" s="4788">
        <f t="shared" si="104"/>
        <v>5899.3739999999998</v>
      </c>
      <c r="AB83" s="4791"/>
      <c r="AC83" s="4792">
        <f t="shared" si="95"/>
        <v>8103.3739999999998</v>
      </c>
      <c r="AD83" s="4827"/>
      <c r="AE83" s="4786">
        <v>9050</v>
      </c>
      <c r="AF83" s="4789"/>
      <c r="AG83" s="4787">
        <f t="shared" si="96"/>
        <v>17153.374</v>
      </c>
      <c r="AH83" s="4827"/>
      <c r="AI83" s="4786"/>
      <c r="AJ83" s="4789"/>
      <c r="AK83" s="4787">
        <f t="shared" si="97"/>
        <v>17153.374</v>
      </c>
      <c r="AL83" s="4926"/>
      <c r="AM83" s="4786"/>
      <c r="AN83" s="4927"/>
      <c r="AO83" s="4788">
        <f t="shared" si="105"/>
        <v>9050</v>
      </c>
      <c r="AP83" s="4789"/>
      <c r="AQ83" s="4787">
        <f t="shared" si="106"/>
        <v>17153.374</v>
      </c>
      <c r="AR83" s="4981"/>
      <c r="AS83" s="4786"/>
      <c r="AT83" s="4789"/>
      <c r="AU83" s="4787">
        <f t="shared" si="107"/>
        <v>17153.374</v>
      </c>
      <c r="AV83" s="5080"/>
      <c r="AW83" s="4786"/>
      <c r="AX83" s="4789"/>
      <c r="AY83" s="4787">
        <f t="shared" si="108"/>
        <v>17153.374</v>
      </c>
      <c r="AZ83" s="5124"/>
      <c r="BA83" s="4786"/>
      <c r="BB83" s="4927"/>
      <c r="BC83" s="4788">
        <f t="shared" si="109"/>
        <v>0</v>
      </c>
      <c r="BD83" s="4791"/>
      <c r="BE83" s="4792">
        <f t="shared" si="89"/>
        <v>9050</v>
      </c>
      <c r="BF83" s="4789"/>
      <c r="BG83" s="4787">
        <f t="shared" si="110"/>
        <v>17153.374</v>
      </c>
      <c r="BH83" s="25">
        <f t="shared" si="88"/>
        <v>0</v>
      </c>
      <c r="BI83" s="553"/>
    </row>
    <row r="84" spans="1:61" ht="18.75" hidden="1" x14ac:dyDescent="0.3">
      <c r="C84" s="4784" t="s">
        <v>937</v>
      </c>
      <c r="D84" s="4784" t="s">
        <v>1076</v>
      </c>
      <c r="E84" s="8166"/>
      <c r="F84" s="4784"/>
      <c r="G84" s="4804"/>
      <c r="H84" s="4827"/>
      <c r="I84" s="4804"/>
      <c r="J84" s="4815"/>
      <c r="K84" s="4787">
        <f t="shared" si="90"/>
        <v>0</v>
      </c>
      <c r="L84" s="4827"/>
      <c r="M84" s="4804"/>
      <c r="N84" s="4816"/>
      <c r="O84" s="4788">
        <f t="shared" si="103"/>
        <v>0</v>
      </c>
      <c r="P84" s="4827"/>
      <c r="Q84" s="4827"/>
      <c r="R84" s="4789"/>
      <c r="S84" s="4787">
        <f t="shared" si="92"/>
        <v>0</v>
      </c>
      <c r="T84" s="4827"/>
      <c r="U84" s="4827"/>
      <c r="V84" s="4789"/>
      <c r="W84" s="4787">
        <f t="shared" si="93"/>
        <v>0</v>
      </c>
      <c r="X84" s="4790"/>
      <c r="Y84" s="4827"/>
      <c r="Z84" s="4816"/>
      <c r="AA84" s="4788">
        <f t="shared" si="104"/>
        <v>0</v>
      </c>
      <c r="AB84" s="4791"/>
      <c r="AC84" s="4792">
        <f t="shared" si="95"/>
        <v>0</v>
      </c>
      <c r="AD84" s="4827"/>
      <c r="AE84" s="4827"/>
      <c r="AF84" s="4789"/>
      <c r="AG84" s="4787">
        <f t="shared" si="96"/>
        <v>0</v>
      </c>
      <c r="AH84" s="4827"/>
      <c r="AI84" s="4827"/>
      <c r="AJ84" s="4789"/>
      <c r="AK84" s="4787">
        <f t="shared" si="97"/>
        <v>0</v>
      </c>
      <c r="AL84" s="4926"/>
      <c r="AM84" s="4926"/>
      <c r="AN84" s="4931"/>
      <c r="AO84" s="4788">
        <f t="shared" si="105"/>
        <v>0</v>
      </c>
      <c r="AP84" s="4789"/>
      <c r="AQ84" s="4787">
        <f t="shared" si="106"/>
        <v>0</v>
      </c>
      <c r="AR84" s="4981"/>
      <c r="AS84" s="4981"/>
      <c r="AT84" s="4789"/>
      <c r="AU84" s="4787">
        <f t="shared" si="107"/>
        <v>0</v>
      </c>
      <c r="AV84" s="5080"/>
      <c r="AW84" s="5080"/>
      <c r="AX84" s="4789"/>
      <c r="AY84" s="4787">
        <f t="shared" si="108"/>
        <v>0</v>
      </c>
      <c r="AZ84" s="5124"/>
      <c r="BA84" s="5124"/>
      <c r="BB84" s="4931"/>
      <c r="BC84" s="4788">
        <f t="shared" si="109"/>
        <v>0</v>
      </c>
      <c r="BD84" s="4791"/>
      <c r="BE84" s="4792">
        <f t="shared" si="89"/>
        <v>0</v>
      </c>
      <c r="BF84" s="4789"/>
      <c r="BG84" s="4787">
        <f t="shared" si="110"/>
        <v>0</v>
      </c>
      <c r="BH84" s="25">
        <f t="shared" si="88"/>
        <v>0</v>
      </c>
      <c r="BI84" s="553"/>
    </row>
    <row r="85" spans="1:61" s="4487" customFormat="1" ht="18.75" hidden="1" x14ac:dyDescent="0.3">
      <c r="C85" s="4784" t="s">
        <v>937</v>
      </c>
      <c r="D85" s="6728" t="s">
        <v>2212</v>
      </c>
      <c r="E85" s="8166"/>
      <c r="F85" s="6728"/>
      <c r="G85" s="6729"/>
      <c r="H85" s="6730"/>
      <c r="I85" s="6729"/>
      <c r="J85" s="6731"/>
      <c r="K85" s="6732"/>
      <c r="L85" s="6730"/>
      <c r="M85" s="6729"/>
      <c r="N85" s="6733"/>
      <c r="O85" s="6734"/>
      <c r="P85" s="6730"/>
      <c r="Q85" s="6730"/>
      <c r="R85" s="4789"/>
      <c r="S85" s="6732"/>
      <c r="T85" s="6730"/>
      <c r="U85" s="6730"/>
      <c r="V85" s="4789"/>
      <c r="W85" s="6732"/>
      <c r="X85" s="6729"/>
      <c r="Y85" s="6730"/>
      <c r="Z85" s="6733"/>
      <c r="AA85" s="6734"/>
      <c r="AB85" s="6735"/>
      <c r="AC85" s="6735"/>
      <c r="AD85" s="6730"/>
      <c r="AE85" s="6730"/>
      <c r="AF85" s="4789"/>
      <c r="AG85" s="6732"/>
      <c r="AH85" s="6730"/>
      <c r="AI85" s="6730"/>
      <c r="AJ85" s="4789"/>
      <c r="AK85" s="6732"/>
      <c r="AL85" s="6730"/>
      <c r="AM85" s="6730"/>
      <c r="AN85" s="4931"/>
      <c r="AO85" s="4788">
        <f t="shared" si="105"/>
        <v>0</v>
      </c>
      <c r="AP85" s="4789"/>
      <c r="AQ85" s="4787">
        <f t="shared" si="106"/>
        <v>0</v>
      </c>
      <c r="AR85" s="6730"/>
      <c r="AS85" s="6730">
        <v>1655</v>
      </c>
      <c r="AT85" s="4789"/>
      <c r="AU85" s="4787">
        <f t="shared" si="107"/>
        <v>1655</v>
      </c>
      <c r="AV85" s="6730"/>
      <c r="AW85" s="6730"/>
      <c r="AX85" s="4789"/>
      <c r="AY85" s="4787">
        <f t="shared" si="108"/>
        <v>1655</v>
      </c>
      <c r="AZ85" s="6730"/>
      <c r="BA85" s="7099">
        <v>2258.1779999999999</v>
      </c>
      <c r="BB85" s="4931"/>
      <c r="BC85" s="4788">
        <f t="shared" ref="BC85:BC86" si="111">AS85+AW85+BA85</f>
        <v>3913.1779999999999</v>
      </c>
      <c r="BD85" s="4791"/>
      <c r="BE85" s="4792">
        <f t="shared" ref="BE85:BE86" si="112">AO85+BC85</f>
        <v>3913.1779999999999</v>
      </c>
      <c r="BF85" s="4789"/>
      <c r="BG85" s="4787">
        <f t="shared" ref="BG85:BG86" si="113">+AY85+BA85</f>
        <v>3913.1779999999999</v>
      </c>
      <c r="BH85" s="25">
        <f t="shared" si="88"/>
        <v>0</v>
      </c>
      <c r="BI85" s="553"/>
    </row>
    <row r="86" spans="1:61" s="4487" customFormat="1" ht="18.75" hidden="1" x14ac:dyDescent="0.3">
      <c r="C86" s="4784" t="s">
        <v>937</v>
      </c>
      <c r="D86" s="6728" t="s">
        <v>2213</v>
      </c>
      <c r="E86" s="8166"/>
      <c r="F86" s="6728"/>
      <c r="G86" s="6729"/>
      <c r="H86" s="6730"/>
      <c r="I86" s="6729"/>
      <c r="J86" s="6731"/>
      <c r="K86" s="6732"/>
      <c r="L86" s="6730"/>
      <c r="M86" s="6729"/>
      <c r="N86" s="6733"/>
      <c r="O86" s="6734"/>
      <c r="P86" s="6730"/>
      <c r="Q86" s="6730"/>
      <c r="R86" s="4789"/>
      <c r="S86" s="6732"/>
      <c r="T86" s="6730"/>
      <c r="U86" s="6730"/>
      <c r="V86" s="4789"/>
      <c r="W86" s="6732"/>
      <c r="X86" s="6729"/>
      <c r="Y86" s="6730"/>
      <c r="Z86" s="6733"/>
      <c r="AA86" s="6734"/>
      <c r="AB86" s="6735"/>
      <c r="AC86" s="6735"/>
      <c r="AD86" s="6730"/>
      <c r="AE86" s="6730"/>
      <c r="AF86" s="4789"/>
      <c r="AG86" s="6732"/>
      <c r="AH86" s="6730"/>
      <c r="AI86" s="6730"/>
      <c r="AJ86" s="4789"/>
      <c r="AK86" s="6732"/>
      <c r="AL86" s="6730"/>
      <c r="AM86" s="6730"/>
      <c r="AN86" s="4931"/>
      <c r="AO86" s="4788">
        <f t="shared" si="105"/>
        <v>0</v>
      </c>
      <c r="AP86" s="4789"/>
      <c r="AQ86" s="4787">
        <f t="shared" si="106"/>
        <v>0</v>
      </c>
      <c r="AR86" s="6730"/>
      <c r="AS86" s="6730">
        <v>573</v>
      </c>
      <c r="AT86" s="4789"/>
      <c r="AU86" s="4787">
        <f t="shared" si="107"/>
        <v>573</v>
      </c>
      <c r="AV86" s="6730"/>
      <c r="AW86" s="6730"/>
      <c r="AX86" s="4789"/>
      <c r="AY86" s="4787">
        <f t="shared" si="108"/>
        <v>573</v>
      </c>
      <c r="AZ86" s="6730"/>
      <c r="BA86" s="7099">
        <v>372.60599999999999</v>
      </c>
      <c r="BB86" s="4931"/>
      <c r="BC86" s="4788">
        <f t="shared" si="111"/>
        <v>945.60599999999999</v>
      </c>
      <c r="BD86" s="4791"/>
      <c r="BE86" s="4792">
        <f t="shared" si="112"/>
        <v>945.60599999999999</v>
      </c>
      <c r="BF86" s="4789"/>
      <c r="BG86" s="4787">
        <f t="shared" si="113"/>
        <v>945.60599999999999</v>
      </c>
      <c r="BH86" s="25">
        <f t="shared" si="88"/>
        <v>0</v>
      </c>
      <c r="BI86" s="553"/>
    </row>
    <row r="87" spans="1:61" ht="18.75" hidden="1" x14ac:dyDescent="0.3">
      <c r="C87" s="4784" t="s">
        <v>937</v>
      </c>
      <c r="D87" s="4784" t="s">
        <v>642</v>
      </c>
      <c r="E87" s="8166"/>
      <c r="F87" s="4784"/>
      <c r="G87" s="4804"/>
      <c r="H87" s="4827"/>
      <c r="I87" s="4804"/>
      <c r="J87" s="4815"/>
      <c r="K87" s="4787">
        <f t="shared" si="90"/>
        <v>0</v>
      </c>
      <c r="L87" s="4827"/>
      <c r="M87" s="4804"/>
      <c r="N87" s="4816"/>
      <c r="O87" s="4788">
        <f t="shared" si="103"/>
        <v>0</v>
      </c>
      <c r="P87" s="4827"/>
      <c r="Q87" s="4786"/>
      <c r="R87" s="4789"/>
      <c r="S87" s="4787">
        <f t="shared" si="92"/>
        <v>0</v>
      </c>
      <c r="T87" s="4827"/>
      <c r="U87" s="4786"/>
      <c r="V87" s="4789"/>
      <c r="W87" s="4787">
        <f t="shared" si="93"/>
        <v>0</v>
      </c>
      <c r="X87" s="4790"/>
      <c r="Y87" s="4786"/>
      <c r="Z87" s="4816"/>
      <c r="AA87" s="4788">
        <f t="shared" si="104"/>
        <v>0</v>
      </c>
      <c r="AB87" s="4791"/>
      <c r="AC87" s="4792">
        <f t="shared" si="95"/>
        <v>0</v>
      </c>
      <c r="AD87" s="4827"/>
      <c r="AE87" s="4786"/>
      <c r="AF87" s="4789"/>
      <c r="AG87" s="4787">
        <f t="shared" si="96"/>
        <v>0</v>
      </c>
      <c r="AH87" s="4827"/>
      <c r="AI87" s="4786"/>
      <c r="AJ87" s="4789"/>
      <c r="AK87" s="4787">
        <f t="shared" si="97"/>
        <v>0</v>
      </c>
      <c r="AL87" s="4926"/>
      <c r="AM87" s="4786"/>
      <c r="AN87" s="4927"/>
      <c r="AO87" s="4788">
        <f t="shared" si="105"/>
        <v>0</v>
      </c>
      <c r="AP87" s="4789"/>
      <c r="AQ87" s="4787">
        <f t="shared" si="106"/>
        <v>0</v>
      </c>
      <c r="AR87" s="4981"/>
      <c r="AS87" s="4786"/>
      <c r="AT87" s="4789"/>
      <c r="AU87" s="4787">
        <f t="shared" si="107"/>
        <v>0</v>
      </c>
      <c r="AV87" s="5080"/>
      <c r="AW87" s="4786"/>
      <c r="AX87" s="4789"/>
      <c r="AY87" s="4787">
        <f t="shared" si="108"/>
        <v>0</v>
      </c>
      <c r="AZ87" s="5124"/>
      <c r="BA87" s="4786"/>
      <c r="BB87" s="4927"/>
      <c r="BC87" s="4788">
        <f t="shared" si="109"/>
        <v>0</v>
      </c>
      <c r="BD87" s="4791"/>
      <c r="BE87" s="4792">
        <f t="shared" si="89"/>
        <v>0</v>
      </c>
      <c r="BF87" s="4789"/>
      <c r="BG87" s="4787">
        <f t="shared" si="110"/>
        <v>0</v>
      </c>
      <c r="BH87" s="25">
        <f t="shared" si="88"/>
        <v>0</v>
      </c>
      <c r="BI87" s="553"/>
    </row>
    <row r="88" spans="1:61" ht="18.75" hidden="1" x14ac:dyDescent="0.3">
      <c r="C88" s="4784" t="s">
        <v>937</v>
      </c>
      <c r="D88" s="4784" t="s">
        <v>1035</v>
      </c>
      <c r="E88" s="8166"/>
      <c r="F88" s="4784"/>
      <c r="G88" s="4804"/>
      <c r="H88" s="4827"/>
      <c r="I88" s="4804"/>
      <c r="J88" s="4815"/>
      <c r="K88" s="4787">
        <f t="shared" si="90"/>
        <v>0</v>
      </c>
      <c r="L88" s="4827"/>
      <c r="M88" s="4804"/>
      <c r="N88" s="4816"/>
      <c r="O88" s="4788">
        <f t="shared" si="103"/>
        <v>0</v>
      </c>
      <c r="P88" s="4827"/>
      <c r="Q88" s="4786"/>
      <c r="R88" s="4789"/>
      <c r="S88" s="4787">
        <f t="shared" si="92"/>
        <v>0</v>
      </c>
      <c r="T88" s="4827"/>
      <c r="U88" s="4786"/>
      <c r="V88" s="4789"/>
      <c r="W88" s="4787">
        <f t="shared" si="93"/>
        <v>0</v>
      </c>
      <c r="X88" s="4790"/>
      <c r="Y88" s="4786"/>
      <c r="Z88" s="4816"/>
      <c r="AA88" s="4788">
        <f t="shared" si="104"/>
        <v>0</v>
      </c>
      <c r="AB88" s="4791"/>
      <c r="AC88" s="4792">
        <f t="shared" si="95"/>
        <v>0</v>
      </c>
      <c r="AD88" s="4827"/>
      <c r="AE88" s="4786"/>
      <c r="AF88" s="4789"/>
      <c r="AG88" s="4787">
        <f t="shared" si="96"/>
        <v>0</v>
      </c>
      <c r="AH88" s="4827"/>
      <c r="AI88" s="4786"/>
      <c r="AJ88" s="4789"/>
      <c r="AK88" s="4787">
        <f t="shared" si="97"/>
        <v>0</v>
      </c>
      <c r="AL88" s="4926"/>
      <c r="AM88" s="4786"/>
      <c r="AN88" s="4927"/>
      <c r="AO88" s="4788">
        <f t="shared" si="105"/>
        <v>0</v>
      </c>
      <c r="AP88" s="4789"/>
      <c r="AQ88" s="4787">
        <f t="shared" si="106"/>
        <v>0</v>
      </c>
      <c r="AR88" s="4981"/>
      <c r="AS88" s="4786"/>
      <c r="AT88" s="4789"/>
      <c r="AU88" s="4787">
        <f t="shared" si="107"/>
        <v>0</v>
      </c>
      <c r="AV88" s="5080"/>
      <c r="AW88" s="4786"/>
      <c r="AX88" s="4789"/>
      <c r="AY88" s="4787">
        <f t="shared" si="108"/>
        <v>0</v>
      </c>
      <c r="AZ88" s="5124"/>
      <c r="BA88" s="4786"/>
      <c r="BB88" s="4927"/>
      <c r="BC88" s="4788">
        <f t="shared" si="109"/>
        <v>0</v>
      </c>
      <c r="BD88" s="4791"/>
      <c r="BE88" s="4792">
        <f t="shared" si="89"/>
        <v>0</v>
      </c>
      <c r="BF88" s="4789"/>
      <c r="BG88" s="4787">
        <f t="shared" si="110"/>
        <v>0</v>
      </c>
      <c r="BH88" s="25">
        <f t="shared" si="88"/>
        <v>0</v>
      </c>
      <c r="BI88" s="553"/>
    </row>
    <row r="89" spans="1:61" ht="18.75" hidden="1" x14ac:dyDescent="0.3">
      <c r="C89" s="4784" t="s">
        <v>937</v>
      </c>
      <c r="D89" s="4784" t="s">
        <v>612</v>
      </c>
      <c r="E89" s="8166"/>
      <c r="F89" s="4784"/>
      <c r="G89" s="4804"/>
      <c r="H89" s="4827"/>
      <c r="I89" s="4804"/>
      <c r="J89" s="4815"/>
      <c r="K89" s="4787">
        <f t="shared" si="90"/>
        <v>0</v>
      </c>
      <c r="L89" s="4827"/>
      <c r="M89" s="4804"/>
      <c r="N89" s="4816"/>
      <c r="O89" s="4788">
        <f t="shared" si="103"/>
        <v>0</v>
      </c>
      <c r="P89" s="4827"/>
      <c r="Q89" s="4786"/>
      <c r="R89" s="4789"/>
      <c r="S89" s="4787">
        <f t="shared" si="92"/>
        <v>0</v>
      </c>
      <c r="T89" s="4827"/>
      <c r="U89" s="4786"/>
      <c r="V89" s="4789"/>
      <c r="W89" s="4787">
        <f t="shared" si="93"/>
        <v>0</v>
      </c>
      <c r="X89" s="4828"/>
      <c r="Y89" s="4786"/>
      <c r="Z89" s="4816"/>
      <c r="AA89" s="4788">
        <f t="shared" si="104"/>
        <v>0</v>
      </c>
      <c r="AB89" s="4791"/>
      <c r="AC89" s="4792">
        <f t="shared" si="95"/>
        <v>0</v>
      </c>
      <c r="AD89" s="4827"/>
      <c r="AE89" s="4786"/>
      <c r="AF89" s="4789"/>
      <c r="AG89" s="4787">
        <f t="shared" si="96"/>
        <v>0</v>
      </c>
      <c r="AH89" s="4827"/>
      <c r="AI89" s="4786"/>
      <c r="AJ89" s="4789"/>
      <c r="AK89" s="4787">
        <f t="shared" si="97"/>
        <v>0</v>
      </c>
      <c r="AL89" s="4926"/>
      <c r="AM89" s="4786"/>
      <c r="AN89" s="4927"/>
      <c r="AO89" s="4788">
        <f t="shared" si="105"/>
        <v>0</v>
      </c>
      <c r="AP89" s="4789"/>
      <c r="AQ89" s="4787">
        <f t="shared" si="106"/>
        <v>0</v>
      </c>
      <c r="AR89" s="4981"/>
      <c r="AS89" s="4786"/>
      <c r="AT89" s="4789"/>
      <c r="AU89" s="4787">
        <f t="shared" si="107"/>
        <v>0</v>
      </c>
      <c r="AV89" s="5080"/>
      <c r="AW89" s="4786"/>
      <c r="AX89" s="4789"/>
      <c r="AY89" s="4787">
        <f t="shared" si="108"/>
        <v>0</v>
      </c>
      <c r="AZ89" s="5124"/>
      <c r="BA89" s="4786"/>
      <c r="BB89" s="4927"/>
      <c r="BC89" s="4788">
        <f t="shared" si="109"/>
        <v>0</v>
      </c>
      <c r="BD89" s="4791"/>
      <c r="BE89" s="4792">
        <f t="shared" si="89"/>
        <v>0</v>
      </c>
      <c r="BF89" s="4789"/>
      <c r="BG89" s="4787">
        <f t="shared" si="110"/>
        <v>0</v>
      </c>
      <c r="BH89" s="25">
        <f t="shared" si="88"/>
        <v>0</v>
      </c>
      <c r="BI89" s="553"/>
    </row>
    <row r="90" spans="1:61" ht="18.75" hidden="1" x14ac:dyDescent="0.3">
      <c r="C90" s="4784" t="s">
        <v>937</v>
      </c>
      <c r="D90" s="4784" t="s">
        <v>1323</v>
      </c>
      <c r="E90" s="8166"/>
      <c r="F90" s="4784"/>
      <c r="G90" s="4804"/>
      <c r="H90" s="4827"/>
      <c r="I90" s="4804"/>
      <c r="J90" s="4815"/>
      <c r="K90" s="4787">
        <f t="shared" si="90"/>
        <v>0</v>
      </c>
      <c r="L90" s="4827"/>
      <c r="M90" s="4804"/>
      <c r="N90" s="4816"/>
      <c r="O90" s="4788">
        <f t="shared" si="103"/>
        <v>0</v>
      </c>
      <c r="P90" s="4827"/>
      <c r="Q90" s="4786"/>
      <c r="R90" s="4789"/>
      <c r="S90" s="4787">
        <f t="shared" si="92"/>
        <v>0</v>
      </c>
      <c r="T90" s="4827"/>
      <c r="U90" s="4786"/>
      <c r="V90" s="4789"/>
      <c r="W90" s="4787">
        <f t="shared" si="93"/>
        <v>0</v>
      </c>
      <c r="X90" s="4790"/>
      <c r="Y90" s="4786"/>
      <c r="Z90" s="4816"/>
      <c r="AA90" s="4788">
        <f t="shared" si="104"/>
        <v>0</v>
      </c>
      <c r="AB90" s="4791"/>
      <c r="AC90" s="4792">
        <f t="shared" si="95"/>
        <v>0</v>
      </c>
      <c r="AD90" s="4827"/>
      <c r="AE90" s="4786"/>
      <c r="AF90" s="4789"/>
      <c r="AG90" s="4787">
        <f t="shared" si="96"/>
        <v>0</v>
      </c>
      <c r="AH90" s="4827"/>
      <c r="AI90" s="4786"/>
      <c r="AJ90" s="4789"/>
      <c r="AK90" s="4787">
        <f t="shared" si="97"/>
        <v>0</v>
      </c>
      <c r="AL90" s="4926"/>
      <c r="AM90" s="4786"/>
      <c r="AN90" s="4927"/>
      <c r="AO90" s="4788">
        <f t="shared" si="105"/>
        <v>0</v>
      </c>
      <c r="AP90" s="4789"/>
      <c r="AQ90" s="4787">
        <f t="shared" si="106"/>
        <v>0</v>
      </c>
      <c r="AR90" s="4981"/>
      <c r="AS90" s="4786"/>
      <c r="AT90" s="4789"/>
      <c r="AU90" s="4787">
        <f t="shared" si="107"/>
        <v>0</v>
      </c>
      <c r="AV90" s="5080"/>
      <c r="AW90" s="4786"/>
      <c r="AX90" s="4789"/>
      <c r="AY90" s="4787">
        <f t="shared" si="108"/>
        <v>0</v>
      </c>
      <c r="AZ90" s="5124"/>
      <c r="BA90" s="4786"/>
      <c r="BB90" s="4927"/>
      <c r="BC90" s="4788">
        <f t="shared" si="109"/>
        <v>0</v>
      </c>
      <c r="BD90" s="4791"/>
      <c r="BE90" s="4792">
        <f t="shared" si="89"/>
        <v>0</v>
      </c>
      <c r="BF90" s="4789"/>
      <c r="BG90" s="4787">
        <f t="shared" si="110"/>
        <v>0</v>
      </c>
      <c r="BH90" s="25">
        <f t="shared" si="88"/>
        <v>0</v>
      </c>
      <c r="BI90" s="553"/>
    </row>
    <row r="91" spans="1:61" ht="18.75" hidden="1" x14ac:dyDescent="0.3">
      <c r="A91" s="607"/>
      <c r="B91" s="607"/>
      <c r="C91" s="4784" t="s">
        <v>937</v>
      </c>
      <c r="D91" s="4784" t="s">
        <v>981</v>
      </c>
      <c r="E91" s="8166"/>
      <c r="F91" s="4784"/>
      <c r="G91" s="4804"/>
      <c r="H91" s="4827"/>
      <c r="I91" s="4804"/>
      <c r="J91" s="4815"/>
      <c r="K91" s="4787">
        <f t="shared" si="90"/>
        <v>0</v>
      </c>
      <c r="L91" s="4827"/>
      <c r="M91" s="4804"/>
      <c r="N91" s="4816"/>
      <c r="O91" s="4788">
        <f t="shared" si="103"/>
        <v>0</v>
      </c>
      <c r="P91" s="4827"/>
      <c r="Q91" s="4827"/>
      <c r="R91" s="4798"/>
      <c r="S91" s="4787">
        <f t="shared" si="92"/>
        <v>0</v>
      </c>
      <c r="T91" s="4827"/>
      <c r="U91" s="4827"/>
      <c r="V91" s="4798"/>
      <c r="W91" s="4787">
        <f t="shared" si="93"/>
        <v>0</v>
      </c>
      <c r="X91" s="4790"/>
      <c r="Y91" s="4827"/>
      <c r="Z91" s="4816"/>
      <c r="AA91" s="4788">
        <f t="shared" si="104"/>
        <v>0</v>
      </c>
      <c r="AB91" s="4791"/>
      <c r="AC91" s="4792">
        <f t="shared" si="95"/>
        <v>0</v>
      </c>
      <c r="AD91" s="4827"/>
      <c r="AE91" s="4827"/>
      <c r="AF91" s="4798"/>
      <c r="AG91" s="4787">
        <f t="shared" si="96"/>
        <v>0</v>
      </c>
      <c r="AH91" s="4827"/>
      <c r="AI91" s="4827"/>
      <c r="AJ91" s="4798"/>
      <c r="AK91" s="4787">
        <f t="shared" si="97"/>
        <v>0</v>
      </c>
      <c r="AL91" s="4926"/>
      <c r="AM91" s="4926"/>
      <c r="AN91" s="4931"/>
      <c r="AO91" s="4788">
        <f t="shared" si="105"/>
        <v>0</v>
      </c>
      <c r="AP91" s="4798"/>
      <c r="AQ91" s="4787">
        <f t="shared" si="106"/>
        <v>0</v>
      </c>
      <c r="AR91" s="4981"/>
      <c r="AS91" s="4981"/>
      <c r="AT91" s="4798"/>
      <c r="AU91" s="4787">
        <f t="shared" si="107"/>
        <v>0</v>
      </c>
      <c r="AV91" s="5080"/>
      <c r="AW91" s="5080"/>
      <c r="AX91" s="4798"/>
      <c r="AY91" s="4787">
        <f t="shared" si="108"/>
        <v>0</v>
      </c>
      <c r="AZ91" s="5124"/>
      <c r="BA91" s="5124"/>
      <c r="BB91" s="4931"/>
      <c r="BC91" s="4788">
        <f t="shared" si="109"/>
        <v>0</v>
      </c>
      <c r="BD91" s="4791"/>
      <c r="BE91" s="4792">
        <f t="shared" si="89"/>
        <v>0</v>
      </c>
      <c r="BF91" s="4798"/>
      <c r="BG91" s="4787">
        <f t="shared" si="110"/>
        <v>0</v>
      </c>
      <c r="BH91" s="25">
        <f t="shared" si="88"/>
        <v>0</v>
      </c>
      <c r="BI91" s="553"/>
    </row>
    <row r="92" spans="1:61" ht="18.75" hidden="1" x14ac:dyDescent="0.3">
      <c r="C92" s="4784" t="s">
        <v>937</v>
      </c>
      <c r="D92" s="4784" t="s">
        <v>964</v>
      </c>
      <c r="E92" s="8166"/>
      <c r="F92" s="4784"/>
      <c r="G92" s="4804"/>
      <c r="H92" s="4827"/>
      <c r="I92" s="4804"/>
      <c r="J92" s="4815"/>
      <c r="K92" s="4787">
        <f t="shared" si="90"/>
        <v>0</v>
      </c>
      <c r="L92" s="4827"/>
      <c r="M92" s="4804"/>
      <c r="N92" s="4816"/>
      <c r="O92" s="4788">
        <f t="shared" si="103"/>
        <v>0</v>
      </c>
      <c r="P92" s="4827"/>
      <c r="Q92" s="4827"/>
      <c r="R92" s="4789"/>
      <c r="S92" s="4787">
        <f t="shared" si="92"/>
        <v>0</v>
      </c>
      <c r="T92" s="4827"/>
      <c r="U92" s="4827"/>
      <c r="V92" s="4789"/>
      <c r="W92" s="4787">
        <f t="shared" si="93"/>
        <v>0</v>
      </c>
      <c r="X92" s="4790"/>
      <c r="Y92" s="4827"/>
      <c r="Z92" s="4816"/>
      <c r="AA92" s="4788">
        <f t="shared" si="104"/>
        <v>0</v>
      </c>
      <c r="AB92" s="4791"/>
      <c r="AC92" s="4792">
        <f t="shared" si="95"/>
        <v>0</v>
      </c>
      <c r="AD92" s="4827"/>
      <c r="AE92" s="4827"/>
      <c r="AF92" s="4789"/>
      <c r="AG92" s="4787">
        <f t="shared" si="96"/>
        <v>0</v>
      </c>
      <c r="AH92" s="4827"/>
      <c r="AI92" s="4827"/>
      <c r="AJ92" s="4789"/>
      <c r="AK92" s="4787">
        <f t="shared" si="97"/>
        <v>0</v>
      </c>
      <c r="AL92" s="4926"/>
      <c r="AM92" s="4926"/>
      <c r="AN92" s="4931"/>
      <c r="AO92" s="4788">
        <f t="shared" si="105"/>
        <v>0</v>
      </c>
      <c r="AP92" s="4789"/>
      <c r="AQ92" s="4787">
        <f t="shared" si="106"/>
        <v>0</v>
      </c>
      <c r="AR92" s="4981"/>
      <c r="AS92" s="4981"/>
      <c r="AT92" s="4789"/>
      <c r="AU92" s="4787">
        <f t="shared" si="107"/>
        <v>0</v>
      </c>
      <c r="AV92" s="5080"/>
      <c r="AW92" s="5080"/>
      <c r="AX92" s="4789"/>
      <c r="AY92" s="4787">
        <f t="shared" si="108"/>
        <v>0</v>
      </c>
      <c r="AZ92" s="5124"/>
      <c r="BA92" s="5124"/>
      <c r="BB92" s="4931"/>
      <c r="BC92" s="4788">
        <f t="shared" si="109"/>
        <v>0</v>
      </c>
      <c r="BD92" s="4791"/>
      <c r="BE92" s="4792">
        <f t="shared" si="89"/>
        <v>0</v>
      </c>
      <c r="BF92" s="4789"/>
      <c r="BG92" s="4787">
        <f t="shared" si="110"/>
        <v>0</v>
      </c>
      <c r="BH92" s="25">
        <f t="shared" si="88"/>
        <v>0</v>
      </c>
      <c r="BI92" s="553"/>
    </row>
    <row r="93" spans="1:61" ht="18.75" hidden="1" x14ac:dyDescent="0.3">
      <c r="C93" s="8162" t="s">
        <v>998</v>
      </c>
      <c r="D93" s="8162"/>
      <c r="E93" s="8166"/>
      <c r="F93" s="4799"/>
      <c r="G93" s="4800">
        <f t="shared" ref="G93:AM93" si="114">SUM(G80:G92)</f>
        <v>0</v>
      </c>
      <c r="H93" s="4800">
        <f t="shared" si="114"/>
        <v>0</v>
      </c>
      <c r="I93" s="4800">
        <f t="shared" si="114"/>
        <v>2283</v>
      </c>
      <c r="J93" s="4800">
        <f t="shared" si="114"/>
        <v>0</v>
      </c>
      <c r="K93" s="4801">
        <f t="shared" si="114"/>
        <v>2283</v>
      </c>
      <c r="L93" s="4800">
        <f t="shared" si="114"/>
        <v>0</v>
      </c>
      <c r="M93" s="4800">
        <f t="shared" si="114"/>
        <v>0</v>
      </c>
      <c r="N93" s="4800">
        <f t="shared" si="114"/>
        <v>0</v>
      </c>
      <c r="O93" s="4802">
        <f t="shared" si="114"/>
        <v>2283</v>
      </c>
      <c r="P93" s="4800">
        <f t="shared" si="114"/>
        <v>0</v>
      </c>
      <c r="Q93" s="4800">
        <f t="shared" si="114"/>
        <v>0</v>
      </c>
      <c r="R93" s="4800">
        <f t="shared" si="114"/>
        <v>0</v>
      </c>
      <c r="S93" s="4801">
        <f t="shared" si="114"/>
        <v>2283</v>
      </c>
      <c r="T93" s="4800">
        <f t="shared" si="114"/>
        <v>0</v>
      </c>
      <c r="U93" s="4800">
        <f t="shared" si="114"/>
        <v>5981.4560000000001</v>
      </c>
      <c r="V93" s="4800">
        <f t="shared" si="114"/>
        <v>0</v>
      </c>
      <c r="W93" s="4801">
        <f t="shared" si="114"/>
        <v>8264.4560000000001</v>
      </c>
      <c r="X93" s="4800">
        <f t="shared" si="114"/>
        <v>0</v>
      </c>
      <c r="Y93" s="4800">
        <f t="shared" si="114"/>
        <v>0</v>
      </c>
      <c r="Z93" s="4800">
        <f t="shared" si="114"/>
        <v>0</v>
      </c>
      <c r="AA93" s="4802">
        <f t="shared" si="114"/>
        <v>5981.4560000000001</v>
      </c>
      <c r="AB93" s="4800">
        <f t="shared" si="114"/>
        <v>0</v>
      </c>
      <c r="AC93" s="4803">
        <f t="shared" si="114"/>
        <v>8264.4560000000001</v>
      </c>
      <c r="AD93" s="4800">
        <f t="shared" si="114"/>
        <v>0</v>
      </c>
      <c r="AE93" s="4800">
        <f t="shared" si="114"/>
        <v>9050</v>
      </c>
      <c r="AF93" s="4800">
        <f t="shared" si="114"/>
        <v>0</v>
      </c>
      <c r="AG93" s="4801">
        <f t="shared" si="114"/>
        <v>17314.455999999998</v>
      </c>
      <c r="AH93" s="4800">
        <f t="shared" si="114"/>
        <v>0</v>
      </c>
      <c r="AI93" s="4800">
        <f t="shared" si="114"/>
        <v>0</v>
      </c>
      <c r="AJ93" s="4800">
        <f t="shared" si="114"/>
        <v>0</v>
      </c>
      <c r="AK93" s="4801">
        <f t="shared" si="114"/>
        <v>17314.455999999998</v>
      </c>
      <c r="AL93" s="4800">
        <f t="shared" si="114"/>
        <v>0</v>
      </c>
      <c r="AM93" s="4800">
        <f t="shared" si="114"/>
        <v>0</v>
      </c>
      <c r="AN93" s="4928"/>
      <c r="AO93" s="4802">
        <f t="shared" ref="AO93:BA93" si="115">SUM(AO80:AO92)</f>
        <v>9050</v>
      </c>
      <c r="AP93" s="4800">
        <f t="shared" si="115"/>
        <v>0</v>
      </c>
      <c r="AQ93" s="4801">
        <f t="shared" si="115"/>
        <v>17314.455999999998</v>
      </c>
      <c r="AR93" s="4800">
        <f t="shared" si="115"/>
        <v>0</v>
      </c>
      <c r="AS93" s="4800">
        <f t="shared" si="115"/>
        <v>5184.16</v>
      </c>
      <c r="AT93" s="4800">
        <f t="shared" si="115"/>
        <v>0</v>
      </c>
      <c r="AU93" s="4801">
        <f t="shared" si="115"/>
        <v>22498.616000000002</v>
      </c>
      <c r="AV93" s="4800">
        <f t="shared" si="115"/>
        <v>0</v>
      </c>
      <c r="AW93" s="4800">
        <f t="shared" si="115"/>
        <v>1223.6179999999999</v>
      </c>
      <c r="AX93" s="4800">
        <f t="shared" si="115"/>
        <v>0</v>
      </c>
      <c r="AY93" s="4801">
        <f t="shared" si="115"/>
        <v>23722.234</v>
      </c>
      <c r="AZ93" s="4800">
        <f t="shared" si="115"/>
        <v>0</v>
      </c>
      <c r="BA93" s="4800">
        <f t="shared" si="115"/>
        <v>2630.7839999999997</v>
      </c>
      <c r="BB93" s="4928"/>
      <c r="BC93" s="4802">
        <f>SUM(BC80:BC92)</f>
        <v>9038.5619999999999</v>
      </c>
      <c r="BD93" s="4800">
        <f>SUM(BD80:BD92)</f>
        <v>0</v>
      </c>
      <c r="BE93" s="4803">
        <f>SUM(BE80:BE92)</f>
        <v>18088.561999999998</v>
      </c>
      <c r="BF93" s="4800">
        <f>SUM(BF80:BF92)</f>
        <v>0</v>
      </c>
      <c r="BG93" s="4801">
        <f>SUM(BG80:BG92)</f>
        <v>26353.018</v>
      </c>
      <c r="BH93" s="25">
        <f t="shared" si="88"/>
        <v>0</v>
      </c>
      <c r="BI93" s="553"/>
    </row>
    <row r="94" spans="1:61" ht="18.75" x14ac:dyDescent="0.3">
      <c r="C94" s="8163" t="s">
        <v>938</v>
      </c>
      <c r="D94" s="8163"/>
      <c r="E94" s="8167"/>
      <c r="F94" s="4829"/>
      <c r="G94" s="4830">
        <f t="shared" ref="G94:AM94" si="116">+G93+G79+G54+G46+G38</f>
        <v>202274.22200000007</v>
      </c>
      <c r="H94" s="4830">
        <f t="shared" si="116"/>
        <v>0</v>
      </c>
      <c r="I94" s="4830">
        <f t="shared" si="116"/>
        <v>217652.37900000007</v>
      </c>
      <c r="J94" s="4830">
        <f t="shared" si="116"/>
        <v>0</v>
      </c>
      <c r="K94" s="4801">
        <f t="shared" si="116"/>
        <v>419926.60100000014</v>
      </c>
      <c r="L94" s="4830">
        <f t="shared" si="116"/>
        <v>0</v>
      </c>
      <c r="M94" s="4830">
        <f t="shared" si="116"/>
        <v>221061.54800000004</v>
      </c>
      <c r="N94" s="4830">
        <f t="shared" si="116"/>
        <v>0</v>
      </c>
      <c r="O94" s="4802">
        <f t="shared" si="116"/>
        <v>640988.14900000021</v>
      </c>
      <c r="P94" s="4830">
        <f t="shared" si="116"/>
        <v>0</v>
      </c>
      <c r="Q94" s="4830">
        <f t="shared" si="116"/>
        <v>235746.92700000008</v>
      </c>
      <c r="R94" s="4830">
        <f t="shared" si="116"/>
        <v>0</v>
      </c>
      <c r="S94" s="4801">
        <f t="shared" si="116"/>
        <v>876735.07600000023</v>
      </c>
      <c r="T94" s="4830">
        <f t="shared" si="116"/>
        <v>0</v>
      </c>
      <c r="U94" s="4830">
        <f t="shared" si="116"/>
        <v>205603.01000000007</v>
      </c>
      <c r="V94" s="4830">
        <f t="shared" si="116"/>
        <v>0</v>
      </c>
      <c r="W94" s="4801">
        <f t="shared" si="116"/>
        <v>1076104.0860000004</v>
      </c>
      <c r="X94" s="4830">
        <f t="shared" si="116"/>
        <v>0</v>
      </c>
      <c r="Y94" s="4830">
        <f t="shared" si="116"/>
        <v>213093.25100000005</v>
      </c>
      <c r="Z94" s="4830">
        <f t="shared" si="116"/>
        <v>0</v>
      </c>
      <c r="AA94" s="4802">
        <f t="shared" si="116"/>
        <v>654443.1880000002</v>
      </c>
      <c r="AB94" s="4830">
        <f t="shared" si="116"/>
        <v>0</v>
      </c>
      <c r="AC94" s="4803">
        <f t="shared" si="116"/>
        <v>1295431.3370000003</v>
      </c>
      <c r="AD94" s="4830">
        <f t="shared" si="116"/>
        <v>0</v>
      </c>
      <c r="AE94" s="4830">
        <f t="shared" si="116"/>
        <v>168353.97200000007</v>
      </c>
      <c r="AF94" s="4830">
        <f t="shared" si="116"/>
        <v>0</v>
      </c>
      <c r="AG94" s="4801">
        <f t="shared" si="116"/>
        <v>1463785.3090000004</v>
      </c>
      <c r="AH94" s="4830">
        <f t="shared" si="116"/>
        <v>0</v>
      </c>
      <c r="AI94" s="4830">
        <f t="shared" si="116"/>
        <v>209786.72300000006</v>
      </c>
      <c r="AJ94" s="4830">
        <f t="shared" si="116"/>
        <v>0</v>
      </c>
      <c r="AK94" s="4801">
        <f t="shared" si="116"/>
        <v>1673572.0320000006</v>
      </c>
      <c r="AL94" s="4830">
        <f t="shared" si="116"/>
        <v>0</v>
      </c>
      <c r="AM94" s="4830">
        <f t="shared" si="116"/>
        <v>222638.65500000014</v>
      </c>
      <c r="AN94" s="4932"/>
      <c r="AO94" s="4802">
        <f t="shared" ref="AO94:BA94" si="117">+AO93+AO79+AO54+AO46+AO38</f>
        <v>600779.35000000033</v>
      </c>
      <c r="AP94" s="4830">
        <f t="shared" si="117"/>
        <v>0</v>
      </c>
      <c r="AQ94" s="4801">
        <f t="shared" si="117"/>
        <v>1896210.6870000004</v>
      </c>
      <c r="AR94" s="4830">
        <f t="shared" si="117"/>
        <v>0</v>
      </c>
      <c r="AS94" s="4830">
        <f t="shared" si="117"/>
        <v>213242.23800000013</v>
      </c>
      <c r="AT94" s="4830">
        <f t="shared" si="117"/>
        <v>0</v>
      </c>
      <c r="AU94" s="4801">
        <f t="shared" si="117"/>
        <v>2109452.9250000007</v>
      </c>
      <c r="AV94" s="4830">
        <f t="shared" si="117"/>
        <v>0</v>
      </c>
      <c r="AW94" s="4830">
        <f t="shared" si="117"/>
        <v>179683.87200000012</v>
      </c>
      <c r="AX94" s="4830">
        <f t="shared" si="117"/>
        <v>0</v>
      </c>
      <c r="AY94" s="4801">
        <f t="shared" si="117"/>
        <v>2289136.7970000007</v>
      </c>
      <c r="AZ94" s="4830">
        <f t="shared" si="117"/>
        <v>0</v>
      </c>
      <c r="BA94" s="4830">
        <f t="shared" si="117"/>
        <v>226702.55900000001</v>
      </c>
      <c r="BB94" s="4932"/>
      <c r="BC94" s="4802">
        <f>+BC93+BC79+BC54+BC46+BC38</f>
        <v>619628.66900000023</v>
      </c>
      <c r="BD94" s="4830">
        <f>+BD93+BD79+BD54+BD46+BD38</f>
        <v>0</v>
      </c>
      <c r="BE94" s="4803">
        <f>+BE93+BE79+BE54+BE46+BE38</f>
        <v>1220408.0190000006</v>
      </c>
      <c r="BF94" s="4830">
        <f>+BF93+BF79+BF54+BF46+BF38</f>
        <v>0</v>
      </c>
      <c r="BG94" s="4801">
        <f>+BG93+BG79+BG54+BG46+BG38</f>
        <v>2515839.3560000011</v>
      </c>
      <c r="BH94" s="25">
        <f t="shared" si="88"/>
        <v>0</v>
      </c>
      <c r="BI94" s="553"/>
    </row>
    <row r="95" spans="1:61" ht="18.75" x14ac:dyDescent="0.3">
      <c r="C95" s="8161" t="s">
        <v>939</v>
      </c>
      <c r="D95" s="8161"/>
      <c r="E95" s="4831" t="s">
        <v>940</v>
      </c>
      <c r="F95" s="4784"/>
      <c r="G95" s="5541">
        <f>+G94/G97</f>
        <v>0.96912560678923221</v>
      </c>
      <c r="H95" s="4832">
        <f t="shared" ref="H95:AK95" si="118">+H94/H97</f>
        <v>0</v>
      </c>
      <c r="I95" s="5541">
        <f t="shared" si="118"/>
        <v>0.95335050507686125</v>
      </c>
      <c r="J95" s="5541">
        <f t="shared" si="118"/>
        <v>0</v>
      </c>
      <c r="K95" s="5662">
        <f t="shared" si="118"/>
        <v>0.96088458946321531</v>
      </c>
      <c r="L95" s="4832">
        <f t="shared" si="118"/>
        <v>0</v>
      </c>
      <c r="M95" s="4998">
        <f t="shared" si="118"/>
        <v>0.970019175318518</v>
      </c>
      <c r="N95" s="4832">
        <f t="shared" si="118"/>
        <v>0</v>
      </c>
      <c r="O95" s="5880">
        <f t="shared" si="118"/>
        <v>0.96401539229273558</v>
      </c>
      <c r="P95" s="5541">
        <f t="shared" si="118"/>
        <v>0</v>
      </c>
      <c r="Q95" s="4998">
        <f t="shared" si="118"/>
        <v>0.96929923093953663</v>
      </c>
      <c r="R95" s="5541">
        <f t="shared" si="118"/>
        <v>0</v>
      </c>
      <c r="S95" s="5662">
        <f t="shared" si="118"/>
        <v>0.96543050279311415</v>
      </c>
      <c r="T95" s="4832">
        <f t="shared" si="118"/>
        <v>0</v>
      </c>
      <c r="U95" s="4998">
        <f t="shared" si="118"/>
        <v>0.93871710698489919</v>
      </c>
      <c r="V95" s="4832">
        <f t="shared" si="118"/>
        <v>0</v>
      </c>
      <c r="W95" s="4833">
        <f t="shared" si="118"/>
        <v>0.95470888536511578</v>
      </c>
      <c r="X95" s="4832">
        <f t="shared" si="118"/>
        <v>0</v>
      </c>
      <c r="Y95" s="4998">
        <f t="shared" si="118"/>
        <v>0.95638181822253732</v>
      </c>
      <c r="Z95" s="4998">
        <f t="shared" si="118"/>
        <v>0</v>
      </c>
      <c r="AA95" s="5006">
        <f t="shared" si="118"/>
        <v>0.95532010201292905</v>
      </c>
      <c r="AB95" s="4998">
        <f t="shared" si="118"/>
        <v>0</v>
      </c>
      <c r="AC95" s="6113">
        <f t="shared" si="118"/>
        <v>0.95960289682987632</v>
      </c>
      <c r="AD95" s="4832">
        <f t="shared" si="118"/>
        <v>0</v>
      </c>
      <c r="AE95" s="4832">
        <f t="shared" si="118"/>
        <v>0.95410784373076263</v>
      </c>
      <c r="AF95" s="4832">
        <f t="shared" si="118"/>
        <v>0</v>
      </c>
      <c r="AG95" s="4833">
        <f t="shared" si="118"/>
        <v>0.95896767651442261</v>
      </c>
      <c r="AH95" s="4832">
        <f t="shared" si="118"/>
        <v>0</v>
      </c>
      <c r="AI95" s="4832">
        <f t="shared" si="118"/>
        <v>0.9781404139863179</v>
      </c>
      <c r="AJ95" s="4832">
        <f t="shared" si="118"/>
        <v>0</v>
      </c>
      <c r="AK95" s="4833">
        <f t="shared" si="118"/>
        <v>0.96132972540993333</v>
      </c>
      <c r="AL95" s="4832">
        <f t="shared" ref="AL95:AQ95" si="119">+AL94/AL97</f>
        <v>0</v>
      </c>
      <c r="AM95" s="4998">
        <f t="shared" si="119"/>
        <v>0.96104830093304561</v>
      </c>
      <c r="AN95" s="4933"/>
      <c r="AO95" s="5006">
        <f t="shared" ref="AO95" si="120">+AO94/AO97</f>
        <v>0.96496930826328853</v>
      </c>
      <c r="AP95" s="4998">
        <f t="shared" si="119"/>
        <v>0</v>
      </c>
      <c r="AQ95" s="4999">
        <f t="shared" si="119"/>
        <v>0.9612966741460367</v>
      </c>
      <c r="AR95" s="4998">
        <f t="shared" ref="AR95:AU95" si="121">+AR94/AR97</f>
        <v>0</v>
      </c>
      <c r="AS95" s="4998">
        <f t="shared" si="121"/>
        <v>0.94959127747489103</v>
      </c>
      <c r="AT95" s="4998">
        <f t="shared" si="121"/>
        <v>0</v>
      </c>
      <c r="AU95" s="4999">
        <f t="shared" si="121"/>
        <v>0.96010029339995262</v>
      </c>
      <c r="AV95" s="4998">
        <f t="shared" ref="AV95:AY95" si="122">+AV94/AV97</f>
        <v>0</v>
      </c>
      <c r="AW95" s="4998">
        <f t="shared" si="122"/>
        <v>0.97548026193947091</v>
      </c>
      <c r="AX95" s="4998">
        <f t="shared" si="122"/>
        <v>0</v>
      </c>
      <c r="AY95" s="4999">
        <f t="shared" si="122"/>
        <v>0.96128996946088674</v>
      </c>
      <c r="AZ95" s="4998">
        <f t="shared" ref="AZ95:BG95" si="123">+AZ94/AZ97</f>
        <v>0</v>
      </c>
      <c r="BA95" s="4998">
        <f t="shared" si="123"/>
        <v>0.97158422090464358</v>
      </c>
      <c r="BB95" s="4933"/>
      <c r="BC95" s="5006">
        <f t="shared" ref="BC95:BE95" si="124">+BC94/BC97</f>
        <v>0.9650102296863996</v>
      </c>
      <c r="BD95" s="4832">
        <f t="shared" si="124"/>
        <v>0</v>
      </c>
      <c r="BE95" s="4834">
        <f t="shared" si="124"/>
        <v>0.96499008455877233</v>
      </c>
      <c r="BF95" s="4998">
        <f t="shared" si="123"/>
        <v>0</v>
      </c>
      <c r="BG95" s="4999">
        <f t="shared" si="123"/>
        <v>0.962208634278646</v>
      </c>
      <c r="BH95" s="25">
        <f t="shared" si="88"/>
        <v>10.58463712802207</v>
      </c>
      <c r="BI95" s="553"/>
    </row>
    <row r="96" spans="1:61" s="4487" customFormat="1" ht="18.75" x14ac:dyDescent="0.3">
      <c r="BH96" s="25">
        <f t="shared" si="88"/>
        <v>0</v>
      </c>
      <c r="BI96" s="553"/>
    </row>
    <row r="97" spans="1:61" s="4892" customFormat="1" ht="20.25" x14ac:dyDescent="0.3">
      <c r="C97" s="8157" t="s">
        <v>996</v>
      </c>
      <c r="D97" s="8158"/>
      <c r="E97" s="4893" t="s">
        <v>66</v>
      </c>
      <c r="F97" s="4894">
        <f>+'Maj Production Summ'!E37</f>
        <v>181999.95710934181</v>
      </c>
      <c r="G97" s="4894">
        <f>+'Maj Production Summ'!F37</f>
        <v>208718.27200000006</v>
      </c>
      <c r="H97" s="4894">
        <f>+'Maj Production Summ'!G37</f>
        <v>236499.57667165709</v>
      </c>
      <c r="I97" s="4894">
        <f>+'Maj Production Summ'!H37</f>
        <v>228302.57900000006</v>
      </c>
      <c r="J97" s="4894">
        <f>+'Maj Production Summ'!I37</f>
        <v>418499.5337809989</v>
      </c>
      <c r="K97" s="4894">
        <f>+'Maj Production Summ'!J37</f>
        <v>437020.85100000014</v>
      </c>
      <c r="L97" s="4894">
        <f>+'Maj Production Summ'!K37</f>
        <v>229000.11088311521</v>
      </c>
      <c r="M97" s="4894">
        <f>+'Maj Production Summ'!L37</f>
        <v>227893.99800000005</v>
      </c>
      <c r="N97" s="4894">
        <f>+'Maj Production Summ'!M37</f>
        <v>647499.64466411411</v>
      </c>
      <c r="O97" s="4894">
        <f>+'Maj Production Summ'!N37</f>
        <v>664914.84900000016</v>
      </c>
      <c r="P97" s="4894">
        <f>+'Maj Production Summ'!O37</f>
        <v>231500.1413553209</v>
      </c>
      <c r="Q97" s="4894">
        <f>+'Maj Production Summ'!P37</f>
        <v>243213.77700000012</v>
      </c>
      <c r="R97" s="4894">
        <f>+'Maj Production Summ'!Q37</f>
        <v>878999.78601943492</v>
      </c>
      <c r="S97" s="4894">
        <f>+'Maj Production Summ'!R37</f>
        <v>908128.62600000028</v>
      </c>
      <c r="T97" s="4894">
        <f>+'Maj Production Summ'!S37</f>
        <v>231500.1413553209</v>
      </c>
      <c r="U97" s="4894">
        <f>+'Maj Production Summ'!T37</f>
        <v>219025.52800000005</v>
      </c>
      <c r="V97" s="4894">
        <f>+'Maj Production Summ'!U37</f>
        <v>1110499.927374756</v>
      </c>
      <c r="W97" s="4894">
        <f>+'Maj Production Summ'!V37</f>
        <v>1127154.1540000003</v>
      </c>
      <c r="X97" s="4894">
        <f>+'Maj Production Summ'!W37</f>
        <v>121300.0147648532</v>
      </c>
      <c r="Y97" s="4894">
        <f>+'Maj Production Summ'!X37</f>
        <v>222811.90100000007</v>
      </c>
      <c r="Z97" s="4894">
        <f>+'Maj Production Summ'!Y37</f>
        <v>584300.29747549503</v>
      </c>
      <c r="AA97" s="4894">
        <f>+'Maj Production Summ'!Z37</f>
        <v>685051.20600000012</v>
      </c>
      <c r="AB97" s="4894">
        <f>+'Maj Production Summ'!AA37</f>
        <v>1231799.942139609</v>
      </c>
      <c r="AC97" s="4894">
        <f>+'Maj Production Summ'!AB37</f>
        <v>1349966.0550000002</v>
      </c>
      <c r="AD97" s="4894">
        <f>+'Maj Production Summ'!AC37</f>
        <v>236499.5281597563</v>
      </c>
      <c r="AE97" s="4894">
        <f>+'Maj Production Summ'!AD37</f>
        <v>176451.7220000001</v>
      </c>
      <c r="AF97" s="4894">
        <f>+'Maj Production Summ'!AE37</f>
        <v>1468299.4702993655</v>
      </c>
      <c r="AG97" s="4894">
        <f>+'Maj Production Summ'!AF37</f>
        <v>1526417.7770000002</v>
      </c>
      <c r="AH97" s="4894">
        <f>+'Maj Production Summ'!AG37</f>
        <v>228999.58845567459</v>
      </c>
      <c r="AI97" s="4894">
        <f>+'Maj Production Summ'!AH37</f>
        <v>214475.0590000001</v>
      </c>
      <c r="AJ97" s="4894">
        <f>+'Maj Production Summ'!AI37</f>
        <v>1697299.0587550399</v>
      </c>
      <c r="AK97" s="4894">
        <f>+'Maj Production Summ'!AJ37</f>
        <v>1740892.8360000006</v>
      </c>
      <c r="AL97" s="4894">
        <f>+'Maj Production Summ'!AK37</f>
        <v>236500.05424421642</v>
      </c>
      <c r="AM97" s="4894">
        <f>+'Maj Production Summ'!AL37</f>
        <v>231662.29500000016</v>
      </c>
      <c r="AN97" s="4934"/>
      <c r="AO97" s="4894">
        <f>+'Maj Production Summ'!AN37</f>
        <v>622589.07600000035</v>
      </c>
      <c r="AP97" s="4894">
        <f>+'Maj Production Summ'!AM37</f>
        <v>701999.17085964722</v>
      </c>
      <c r="AQ97" s="4894">
        <f>+'Maj Production Summ'!AP37</f>
        <v>1972555.1310000008</v>
      </c>
      <c r="AR97" s="4894">
        <f>+'Maj Production Summ'!AQ37</f>
        <v>239999.66467846395</v>
      </c>
      <c r="AS97" s="4894">
        <f>+'Maj Production Summ'!AR37</f>
        <v>224562.12800000014</v>
      </c>
      <c r="AT97" s="4894">
        <f>+'Maj Production Summ'!AS37</f>
        <v>2173798.7776777204</v>
      </c>
      <c r="AU97" s="4894">
        <f>+'Maj Production Summ'!AT37</f>
        <v>2197117.259000001</v>
      </c>
      <c r="AV97" s="4894">
        <f>+'Maj Production Summ'!AU37</f>
        <v>214000.01042920374</v>
      </c>
      <c r="AW97" s="4894">
        <f>+'Maj Production Summ'!AV37</f>
        <v>184200.41800000009</v>
      </c>
      <c r="AX97" s="4894">
        <f>+'Maj Production Summ'!AW37</f>
        <v>2387798.7881069239</v>
      </c>
      <c r="AY97" s="4894">
        <f>+'Maj Production Summ'!AX37</f>
        <v>2381317.6770000011</v>
      </c>
      <c r="AZ97" s="4894">
        <f>+'Maj Production Summ'!AY37</f>
        <v>239999.69076292397</v>
      </c>
      <c r="BA97" s="4894">
        <f>+'Maj Production Summ'!AZ37</f>
        <v>233332.89499999999</v>
      </c>
      <c r="BB97" s="4934"/>
      <c r="BC97" s="4894">
        <f>+'Maj Production Summ'!BB37</f>
        <v>642095.44100000022</v>
      </c>
      <c r="BD97" s="4894">
        <f>+'Maj Production Summ'!BC37</f>
        <v>1395998.5367302389</v>
      </c>
      <c r="BE97" s="4894">
        <f>+'Maj Production Summ'!BD37</f>
        <v>1264684.5170000005</v>
      </c>
      <c r="BF97" s="4894">
        <f>+'Maj Production Summ'!BE37</f>
        <v>2627798.478869848</v>
      </c>
      <c r="BG97" s="4894">
        <f>+'Maj Production Summ'!BF37</f>
        <v>2614650.5720000006</v>
      </c>
      <c r="BH97" s="25">
        <f t="shared" si="88"/>
        <v>0</v>
      </c>
      <c r="BI97" s="553"/>
    </row>
    <row r="98" spans="1:61" s="4487" customFormat="1" ht="19.5" thickBot="1" x14ac:dyDescent="0.35">
      <c r="BH98" s="25">
        <f t="shared" si="88"/>
        <v>0</v>
      </c>
      <c r="BI98" s="553"/>
    </row>
    <row r="99" spans="1:61" ht="15.75" hidden="1" customHeight="1" thickBot="1" x14ac:dyDescent="0.3">
      <c r="C99" s="4789"/>
      <c r="D99" s="4789"/>
      <c r="E99" s="4840"/>
      <c r="F99" s="4789"/>
      <c r="G99" s="4789"/>
      <c r="H99" s="4789"/>
      <c r="I99" s="4789"/>
      <c r="J99" s="4789"/>
      <c r="K99" s="4836"/>
      <c r="L99" s="4789"/>
      <c r="M99" s="4789"/>
      <c r="N99" s="4789"/>
      <c r="O99" s="4837"/>
      <c r="P99" s="4789"/>
      <c r="Q99" s="4789"/>
      <c r="R99" s="4789"/>
      <c r="S99" s="4836"/>
      <c r="T99" s="4789"/>
      <c r="U99" s="4789"/>
      <c r="V99" s="4789"/>
      <c r="W99" s="4836"/>
      <c r="X99" s="4835"/>
      <c r="Y99" s="4789"/>
      <c r="Z99" s="4789"/>
      <c r="AA99" s="4837"/>
      <c r="AB99" s="4838"/>
      <c r="AC99" s="4838"/>
      <c r="AD99" s="4789"/>
      <c r="AE99" s="4789"/>
      <c r="AF99" s="4789"/>
      <c r="AG99" s="4836"/>
      <c r="AH99" s="4789"/>
      <c r="AI99" s="4789"/>
      <c r="AJ99" s="4789"/>
      <c r="AK99" s="4836"/>
      <c r="AL99" s="4789"/>
      <c r="AM99" s="4789"/>
      <c r="AN99" s="4789"/>
      <c r="AO99" s="4789"/>
      <c r="AP99" s="4789"/>
      <c r="AQ99" s="4836"/>
      <c r="AR99" s="4789"/>
      <c r="AS99" s="4789"/>
      <c r="AT99" s="4789"/>
      <c r="AU99" s="4836"/>
      <c r="AV99" s="4789"/>
      <c r="AW99" s="4789"/>
      <c r="AX99" s="4789"/>
      <c r="AY99" s="4836"/>
      <c r="AZ99" s="4789"/>
      <c r="BA99" s="4789"/>
      <c r="BB99" s="4789"/>
      <c r="BC99" s="4789"/>
      <c r="BD99" s="4838"/>
      <c r="BE99" s="4838"/>
      <c r="BF99" s="4789"/>
      <c r="BG99" s="4836"/>
      <c r="BH99" s="25">
        <f t="shared" si="88"/>
        <v>0</v>
      </c>
      <c r="BI99" s="25"/>
    </row>
    <row r="100" spans="1:61" ht="15.75" hidden="1" customHeight="1" thickBot="1" x14ac:dyDescent="0.3">
      <c r="C100" s="4789"/>
      <c r="D100" s="4789" t="s">
        <v>1390</v>
      </c>
      <c r="E100" s="4840"/>
      <c r="F100" s="4789"/>
      <c r="G100" s="4798">
        <f>+'Maj Production Summ'!F34</f>
        <v>38383.019999999997</v>
      </c>
      <c r="H100" s="4798"/>
      <c r="I100" s="4798">
        <f>+'Maj Production Summ'!H34</f>
        <v>52556</v>
      </c>
      <c r="J100" s="4798"/>
      <c r="K100" s="4841">
        <f>+G100+I100</f>
        <v>90939.01999999999</v>
      </c>
      <c r="L100" s="4798"/>
      <c r="M100" s="4798">
        <f>+'Maj Production Summ'!L34</f>
        <v>56218</v>
      </c>
      <c r="N100" s="4789"/>
      <c r="O100" s="4842">
        <f t="shared" ref="O100:O102" si="125">+G100+I100+M100</f>
        <v>147157.01999999999</v>
      </c>
      <c r="P100" s="4798"/>
      <c r="Q100" s="4798">
        <f>+'Maj Production Summ'!P34</f>
        <v>50303</v>
      </c>
      <c r="R100" s="4789"/>
      <c r="S100" s="4841">
        <f>+O100+Q100</f>
        <v>197460.02</v>
      </c>
      <c r="T100" s="4798"/>
      <c r="U100" s="4798">
        <f>+'Maj Production Summ'!S34</f>
        <v>43500.141355320899</v>
      </c>
      <c r="V100" s="4789"/>
      <c r="W100" s="4841">
        <f>+R100+U100</f>
        <v>43500.141355320899</v>
      </c>
      <c r="X100" s="4843"/>
      <c r="Y100" s="4798">
        <f>+'Maj Production Summ'!W34</f>
        <v>15300.0147648532</v>
      </c>
      <c r="Z100" s="4789"/>
      <c r="AA100" s="4842">
        <f t="shared" ref="AA100:AA102" si="126">+R100+T100+Y100</f>
        <v>15300.0147648532</v>
      </c>
      <c r="AB100" s="4844"/>
      <c r="AC100" s="4838"/>
      <c r="AD100" s="4798"/>
      <c r="AE100" s="4798">
        <f>+'Maj Production Summ'!AA34</f>
        <v>219799.668738026</v>
      </c>
      <c r="AF100" s="4789"/>
      <c r="AG100" s="4841">
        <f>+AA100+AE100</f>
        <v>235099.6835028792</v>
      </c>
      <c r="AH100" s="4798"/>
      <c r="AI100" s="4798">
        <f>+'Maj Production Summ'!AE34</f>
        <v>268799.19689778227</v>
      </c>
      <c r="AJ100" s="4789"/>
      <c r="AK100" s="4841">
        <f>+AE100+AI100</f>
        <v>488598.86563580827</v>
      </c>
      <c r="AL100" s="4798"/>
      <c r="AM100" s="4798">
        <f>+'Maj Production Summ'!AI34</f>
        <v>314298.78535345686</v>
      </c>
      <c r="AN100" s="4798"/>
      <c r="AO100" s="4798"/>
      <c r="AP100" s="4789"/>
      <c r="AQ100" s="4841">
        <f>+AI100+AM100</f>
        <v>583097.98225123913</v>
      </c>
      <c r="AR100" s="4798"/>
      <c r="AS100" s="4798">
        <f>+'Maj Production Summ'!AO34</f>
        <v>360298.83959767327</v>
      </c>
      <c r="AT100" s="4789"/>
      <c r="AU100" s="4841">
        <f>+AO100+AS100</f>
        <v>360298.83959767327</v>
      </c>
      <c r="AV100" s="4798"/>
      <c r="AW100" s="4798">
        <f>+'Maj Production Summ'!AS34</f>
        <v>408798.50427613722</v>
      </c>
      <c r="AX100" s="4789"/>
      <c r="AY100" s="4841">
        <f>+AS100+AW100</f>
        <v>769097.34387381049</v>
      </c>
      <c r="AZ100" s="4798"/>
      <c r="BA100" s="4798">
        <f>+'Maj Production Summ'!AW34</f>
        <v>450298.51470534096</v>
      </c>
      <c r="BB100" s="4798"/>
      <c r="BC100" s="4798"/>
      <c r="BD100" s="4844"/>
      <c r="BE100" s="4838"/>
      <c r="BF100" s="4789"/>
      <c r="BG100" s="4841">
        <f>+AW100+BA100</f>
        <v>859097.01898147818</v>
      </c>
      <c r="BH100" s="25">
        <f t="shared" si="88"/>
        <v>1419456.666707112</v>
      </c>
      <c r="BI100" s="25"/>
    </row>
    <row r="101" spans="1:61" ht="15.75" hidden="1" customHeight="1" thickBot="1" x14ac:dyDescent="0.3">
      <c r="C101" s="4789"/>
      <c r="D101" s="4789" t="s">
        <v>1391</v>
      </c>
      <c r="E101" s="4840"/>
      <c r="F101" s="4789"/>
      <c r="G101" s="4798">
        <f>+SMS!F36</f>
        <v>290</v>
      </c>
      <c r="H101" s="4789"/>
      <c r="I101" s="4798">
        <f>+SMS!H36</f>
        <v>154</v>
      </c>
      <c r="J101" s="4789"/>
      <c r="K101" s="4841">
        <f>+G101+I101</f>
        <v>444</v>
      </c>
      <c r="L101" s="4789"/>
      <c r="M101" s="4798">
        <f>+SMS!L36</f>
        <v>56</v>
      </c>
      <c r="N101" s="4789"/>
      <c r="O101" s="4842">
        <f t="shared" si="125"/>
        <v>500</v>
      </c>
      <c r="P101" s="4789"/>
      <c r="Q101" s="4798">
        <f>+SMS!P36</f>
        <v>26</v>
      </c>
      <c r="R101" s="4789"/>
      <c r="S101" s="4841">
        <f t="shared" ref="S101:S102" si="127">+O101+Q101</f>
        <v>526</v>
      </c>
      <c r="T101" s="4789"/>
      <c r="U101" s="4798">
        <f>+SMS!S36</f>
        <v>0</v>
      </c>
      <c r="V101" s="4789"/>
      <c r="W101" s="4841">
        <f t="shared" ref="W101:W102" si="128">+R101+U101</f>
        <v>0</v>
      </c>
      <c r="X101" s="4843"/>
      <c r="Y101" s="4798">
        <f>+SMS!W36</f>
        <v>0</v>
      </c>
      <c r="Z101" s="4789"/>
      <c r="AA101" s="4842">
        <f t="shared" si="126"/>
        <v>0</v>
      </c>
      <c r="AB101" s="4844"/>
      <c r="AC101" s="4838"/>
      <c r="AD101" s="4789"/>
      <c r="AE101" s="4798">
        <f>+SMS!AA36</f>
        <v>0</v>
      </c>
      <c r="AF101" s="4789"/>
      <c r="AG101" s="4841">
        <f t="shared" ref="AG101:AG102" si="129">+AA101+AE101</f>
        <v>0</v>
      </c>
      <c r="AH101" s="4789"/>
      <c r="AI101" s="4798">
        <f>+SMS!AE36</f>
        <v>0</v>
      </c>
      <c r="AJ101" s="4789"/>
      <c r="AK101" s="4841">
        <f t="shared" ref="AK101:AK102" si="130">+AE101+AI101</f>
        <v>0</v>
      </c>
      <c r="AL101" s="4789"/>
      <c r="AM101" s="4798">
        <f>+SMS!AI36</f>
        <v>0</v>
      </c>
      <c r="AN101" s="4798"/>
      <c r="AO101" s="4798"/>
      <c r="AP101" s="4789"/>
      <c r="AQ101" s="4841">
        <f>+AI101+AM101</f>
        <v>0</v>
      </c>
      <c r="AR101" s="4789"/>
      <c r="AS101" s="4798">
        <f>+SMS!AO36</f>
        <v>0</v>
      </c>
      <c r="AT101" s="4789"/>
      <c r="AU101" s="4841">
        <f t="shared" ref="AU101:AU102" si="131">+AO101+AS101</f>
        <v>0</v>
      </c>
      <c r="AV101" s="4789"/>
      <c r="AW101" s="4798">
        <f>+SMS!AS36</f>
        <v>0</v>
      </c>
      <c r="AX101" s="4789"/>
      <c r="AY101" s="4841">
        <f t="shared" ref="AY101:AY102" si="132">+AS101+AW101</f>
        <v>0</v>
      </c>
      <c r="AZ101" s="4789"/>
      <c r="BA101" s="4798">
        <f>+SMS!AW36</f>
        <v>0</v>
      </c>
      <c r="BB101" s="4798"/>
      <c r="BC101" s="4798"/>
      <c r="BD101" s="4844"/>
      <c r="BE101" s="4838"/>
      <c r="BF101" s="4789"/>
      <c r="BG101" s="4841">
        <f t="shared" ref="BG101:BG102" si="133">+AW101+BA101</f>
        <v>0</v>
      </c>
      <c r="BH101" s="25">
        <f t="shared" si="88"/>
        <v>526</v>
      </c>
      <c r="BI101" s="25"/>
    </row>
    <row r="102" spans="1:61" ht="15.75" hidden="1" customHeight="1" thickBot="1" x14ac:dyDescent="0.3">
      <c r="C102" s="4789"/>
      <c r="D102" s="4789" t="s">
        <v>1392</v>
      </c>
      <c r="E102" s="4840"/>
      <c r="F102" s="4789"/>
      <c r="G102" s="4798" t="e">
        <f>+SUM('GRD SUMM RCL 150X150 '!#REF!)</f>
        <v>#REF!</v>
      </c>
      <c r="H102" s="4789"/>
      <c r="I102" s="4798" t="e">
        <f>+SUM('GRD SUMM RCL 150X150 '!#REF!)</f>
        <v>#REF!</v>
      </c>
      <c r="J102" s="4789"/>
      <c r="K102" s="4841" t="e">
        <f>+G102+I102</f>
        <v>#REF!</v>
      </c>
      <c r="L102" s="4789"/>
      <c r="M102" s="4798" t="e">
        <f>+SUM('GRD SUMM RCL 150X150 '!#REF!)</f>
        <v>#REF!</v>
      </c>
      <c r="N102" s="4789"/>
      <c r="O102" s="4842" t="e">
        <f t="shared" si="125"/>
        <v>#REF!</v>
      </c>
      <c r="P102" s="4789"/>
      <c r="Q102" s="4798" t="e">
        <f>+SUM('GRD SUMM RCL 150X150 '!#REF!)</f>
        <v>#REF!</v>
      </c>
      <c r="R102" s="4789"/>
      <c r="S102" s="4841" t="e">
        <f t="shared" si="127"/>
        <v>#REF!</v>
      </c>
      <c r="T102" s="4789"/>
      <c r="U102" s="4798" t="e">
        <f>+SUM('GRD SUMM RCL 150X150 '!#REF!)</f>
        <v>#REF!</v>
      </c>
      <c r="V102" s="4789"/>
      <c r="W102" s="4841" t="e">
        <f t="shared" si="128"/>
        <v>#REF!</v>
      </c>
      <c r="X102" s="4843"/>
      <c r="Y102" s="4798" t="e">
        <f>+SUM('GRD SUMM RCL 150X150 '!#REF!)</f>
        <v>#REF!</v>
      </c>
      <c r="Z102" s="4789"/>
      <c r="AA102" s="4842" t="e">
        <f t="shared" si="126"/>
        <v>#REF!</v>
      </c>
      <c r="AB102" s="4844"/>
      <c r="AC102" s="4838"/>
      <c r="AD102" s="4789"/>
      <c r="AE102" s="4798" t="e">
        <f>+SUM('GRD SUMM RCL 150X150 '!#REF!)</f>
        <v>#REF!</v>
      </c>
      <c r="AF102" s="4789"/>
      <c r="AG102" s="4841" t="e">
        <f t="shared" si="129"/>
        <v>#REF!</v>
      </c>
      <c r="AH102" s="4789"/>
      <c r="AI102" s="4798" t="e">
        <f>+SUM('GRD SUMM RCL 150X150 '!#REF!)</f>
        <v>#REF!</v>
      </c>
      <c r="AJ102" s="4789"/>
      <c r="AK102" s="4841" t="e">
        <f t="shared" si="130"/>
        <v>#REF!</v>
      </c>
      <c r="AL102" s="4789"/>
      <c r="AM102" s="4798" t="e">
        <f>+SUM('GRD SUMM RCL 150X150 '!#REF!)</f>
        <v>#REF!</v>
      </c>
      <c r="AN102" s="4798"/>
      <c r="AO102" s="4798"/>
      <c r="AP102" s="4789"/>
      <c r="AQ102" s="4841" t="e">
        <f>+AI102+AM102</f>
        <v>#REF!</v>
      </c>
      <c r="AR102" s="4789"/>
      <c r="AS102" s="4798" t="e">
        <f>+SUM('GRD SUMM RCL 150X150 '!#REF!)</f>
        <v>#REF!</v>
      </c>
      <c r="AT102" s="4789"/>
      <c r="AU102" s="4841" t="e">
        <f t="shared" si="131"/>
        <v>#REF!</v>
      </c>
      <c r="AV102" s="4789"/>
      <c r="AW102" s="4798" t="e">
        <f>+SUM('GRD SUMM RCL 150X150 '!#REF!)</f>
        <v>#REF!</v>
      </c>
      <c r="AX102" s="4789"/>
      <c r="AY102" s="4841" t="e">
        <f t="shared" si="132"/>
        <v>#REF!</v>
      </c>
      <c r="AZ102" s="4789"/>
      <c r="BA102" s="4798" t="e">
        <f>+SUM('GRD SUMM RCL 150X150 '!#REF!)</f>
        <v>#REF!</v>
      </c>
      <c r="BB102" s="4798"/>
      <c r="BC102" s="4798"/>
      <c r="BD102" s="4844"/>
      <c r="BE102" s="4838"/>
      <c r="BF102" s="4789"/>
      <c r="BG102" s="4841" t="e">
        <f t="shared" si="133"/>
        <v>#REF!</v>
      </c>
      <c r="BH102" s="25" t="e">
        <f t="shared" si="88"/>
        <v>#REF!</v>
      </c>
      <c r="BI102" s="25"/>
    </row>
    <row r="103" spans="1:61" ht="15.75" hidden="1" customHeight="1" thickBot="1" x14ac:dyDescent="0.3">
      <c r="C103" s="4789"/>
      <c r="D103" s="4789"/>
      <c r="E103" s="4840"/>
      <c r="F103" s="4789"/>
      <c r="G103" s="4798" t="e">
        <f>+G100-G101-G102</f>
        <v>#REF!</v>
      </c>
      <c r="H103" s="4789"/>
      <c r="I103" s="4798" t="e">
        <f>+I100-I101-I102</f>
        <v>#REF!</v>
      </c>
      <c r="J103" s="4798">
        <f t="shared" ref="J103:S103" si="134">+J100-J101-J102</f>
        <v>0</v>
      </c>
      <c r="K103" s="4841" t="e">
        <f t="shared" si="134"/>
        <v>#REF!</v>
      </c>
      <c r="L103" s="4798">
        <f t="shared" si="134"/>
        <v>0</v>
      </c>
      <c r="M103" s="4798" t="e">
        <f>+M100-M101-M102</f>
        <v>#REF!</v>
      </c>
      <c r="N103" s="4798">
        <f t="shared" si="134"/>
        <v>0</v>
      </c>
      <c r="O103" s="4842" t="e">
        <f t="shared" si="134"/>
        <v>#REF!</v>
      </c>
      <c r="P103" s="4798">
        <f t="shared" si="134"/>
        <v>0</v>
      </c>
      <c r="Q103" s="4798" t="e">
        <f t="shared" si="134"/>
        <v>#REF!</v>
      </c>
      <c r="R103" s="4798">
        <f t="shared" si="134"/>
        <v>0</v>
      </c>
      <c r="S103" s="4841" t="e">
        <f t="shared" si="134"/>
        <v>#REF!</v>
      </c>
      <c r="T103" s="4798">
        <f t="shared" ref="T103" si="135">+T100-T101-T102</f>
        <v>0</v>
      </c>
      <c r="U103" s="4798" t="e">
        <f t="shared" ref="U103:AA103" si="136">+U100-U101-U102</f>
        <v>#REF!</v>
      </c>
      <c r="V103" s="4798">
        <f t="shared" si="136"/>
        <v>0</v>
      </c>
      <c r="W103" s="4841" t="e">
        <f t="shared" si="136"/>
        <v>#REF!</v>
      </c>
      <c r="X103" s="4843"/>
      <c r="Y103" s="4798" t="e">
        <f t="shared" ref="Y103" si="137">+Y100-Y101-Y102</f>
        <v>#REF!</v>
      </c>
      <c r="Z103" s="4798">
        <f t="shared" si="136"/>
        <v>0</v>
      </c>
      <c r="AA103" s="4842" t="e">
        <f t="shared" si="136"/>
        <v>#REF!</v>
      </c>
      <c r="AB103" s="4844"/>
      <c r="AC103" s="4838"/>
      <c r="AD103" s="4798">
        <f t="shared" ref="AD103:AG103" si="138">+AD100-AD101-AD102</f>
        <v>0</v>
      </c>
      <c r="AE103" s="4798" t="e">
        <f t="shared" si="138"/>
        <v>#REF!</v>
      </c>
      <c r="AF103" s="4798">
        <f t="shared" si="138"/>
        <v>0</v>
      </c>
      <c r="AG103" s="4841" t="e">
        <f t="shared" si="138"/>
        <v>#REF!</v>
      </c>
      <c r="AH103" s="4798">
        <f t="shared" ref="AH103:AK103" si="139">+AH100-AH101-AH102</f>
        <v>0</v>
      </c>
      <c r="AI103" s="4798" t="e">
        <f t="shared" si="139"/>
        <v>#REF!</v>
      </c>
      <c r="AJ103" s="4798">
        <f t="shared" si="139"/>
        <v>0</v>
      </c>
      <c r="AK103" s="4841" t="e">
        <f t="shared" si="139"/>
        <v>#REF!</v>
      </c>
      <c r="AL103" s="4798">
        <f t="shared" ref="AL103:AQ103" si="140">+AL100-AL101-AL102</f>
        <v>0</v>
      </c>
      <c r="AM103" s="4798" t="e">
        <f t="shared" si="140"/>
        <v>#REF!</v>
      </c>
      <c r="AN103" s="4798"/>
      <c r="AO103" s="4798"/>
      <c r="AP103" s="4798">
        <f t="shared" si="140"/>
        <v>0</v>
      </c>
      <c r="AQ103" s="4841" t="e">
        <f t="shared" si="140"/>
        <v>#REF!</v>
      </c>
      <c r="AR103" s="4798">
        <f t="shared" ref="AR103:AU103" si="141">+AR100-AR101-AR102</f>
        <v>0</v>
      </c>
      <c r="AS103" s="4798" t="e">
        <f t="shared" si="141"/>
        <v>#REF!</v>
      </c>
      <c r="AT103" s="4798">
        <f t="shared" si="141"/>
        <v>0</v>
      </c>
      <c r="AU103" s="4841" t="e">
        <f t="shared" si="141"/>
        <v>#REF!</v>
      </c>
      <c r="AV103" s="4798">
        <f t="shared" ref="AV103:AY103" si="142">+AV100-AV101-AV102</f>
        <v>0</v>
      </c>
      <c r="AW103" s="4798" t="e">
        <f t="shared" si="142"/>
        <v>#REF!</v>
      </c>
      <c r="AX103" s="4798">
        <f t="shared" si="142"/>
        <v>0</v>
      </c>
      <c r="AY103" s="4841" t="e">
        <f t="shared" si="142"/>
        <v>#REF!</v>
      </c>
      <c r="AZ103" s="4798">
        <f t="shared" ref="AZ103:BG103" si="143">+AZ100-AZ101-AZ102</f>
        <v>0</v>
      </c>
      <c r="BA103" s="4798" t="e">
        <f t="shared" si="143"/>
        <v>#REF!</v>
      </c>
      <c r="BB103" s="4798"/>
      <c r="BC103" s="4798"/>
      <c r="BD103" s="4844"/>
      <c r="BE103" s="4838"/>
      <c r="BF103" s="4798">
        <f t="shared" si="143"/>
        <v>0</v>
      </c>
      <c r="BG103" s="4841" t="e">
        <f t="shared" si="143"/>
        <v>#REF!</v>
      </c>
      <c r="BH103" s="25" t="e">
        <f t="shared" si="88"/>
        <v>#REF!</v>
      </c>
      <c r="BI103" s="25"/>
    </row>
    <row r="104" spans="1:61" ht="15.75" hidden="1" customHeight="1" thickBot="1" x14ac:dyDescent="0.3">
      <c r="C104" s="4789"/>
      <c r="D104" s="4789"/>
      <c r="E104" s="4840"/>
      <c r="F104" s="4789"/>
      <c r="G104" s="4798" t="e">
        <f>+G103-G79</f>
        <v>#REF!</v>
      </c>
      <c r="H104" s="4789"/>
      <c r="I104" s="4798" t="e">
        <f t="shared" ref="I104:W104" si="144">+I103-I79</f>
        <v>#REF!</v>
      </c>
      <c r="J104" s="4798">
        <f t="shared" si="144"/>
        <v>0</v>
      </c>
      <c r="K104" s="4841" t="e">
        <f t="shared" si="144"/>
        <v>#REF!</v>
      </c>
      <c r="L104" s="4798">
        <f t="shared" si="144"/>
        <v>0</v>
      </c>
      <c r="M104" s="4798" t="e">
        <f t="shared" si="144"/>
        <v>#REF!</v>
      </c>
      <c r="N104" s="4798">
        <f t="shared" si="144"/>
        <v>0</v>
      </c>
      <c r="O104" s="4842" t="e">
        <f t="shared" si="144"/>
        <v>#REF!</v>
      </c>
      <c r="P104" s="4798">
        <f t="shared" si="144"/>
        <v>0</v>
      </c>
      <c r="Q104" s="4798" t="e">
        <f t="shared" si="144"/>
        <v>#REF!</v>
      </c>
      <c r="R104" s="4798">
        <f t="shared" si="144"/>
        <v>0</v>
      </c>
      <c r="S104" s="4841" t="e">
        <f t="shared" si="144"/>
        <v>#REF!</v>
      </c>
      <c r="T104" s="4798">
        <f t="shared" si="144"/>
        <v>0</v>
      </c>
      <c r="U104" s="4798" t="e">
        <f t="shared" si="144"/>
        <v>#REF!</v>
      </c>
      <c r="V104" s="4798">
        <f t="shared" si="144"/>
        <v>0</v>
      </c>
      <c r="W104" s="4841" t="e">
        <f t="shared" si="144"/>
        <v>#REF!</v>
      </c>
      <c r="X104" s="4843"/>
      <c r="Y104" s="4798" t="e">
        <f>+Y103-Y79</f>
        <v>#REF!</v>
      </c>
      <c r="Z104" s="4798">
        <f>+Z103-Z79</f>
        <v>0</v>
      </c>
      <c r="AA104" s="4842" t="e">
        <f>+AA103-AA79</f>
        <v>#REF!</v>
      </c>
      <c r="AB104" s="4844"/>
      <c r="AC104" s="4838"/>
      <c r="AD104" s="4798">
        <f t="shared" ref="AD104:AM104" si="145">+AD103-AD79</f>
        <v>0</v>
      </c>
      <c r="AE104" s="4798" t="e">
        <f t="shared" si="145"/>
        <v>#REF!</v>
      </c>
      <c r="AF104" s="4798">
        <f t="shared" si="145"/>
        <v>0</v>
      </c>
      <c r="AG104" s="4841" t="e">
        <f t="shared" si="145"/>
        <v>#REF!</v>
      </c>
      <c r="AH104" s="4798">
        <f t="shared" si="145"/>
        <v>0</v>
      </c>
      <c r="AI104" s="4798" t="e">
        <f t="shared" si="145"/>
        <v>#REF!</v>
      </c>
      <c r="AJ104" s="4798">
        <f t="shared" si="145"/>
        <v>0</v>
      </c>
      <c r="AK104" s="4841" t="e">
        <f t="shared" si="145"/>
        <v>#REF!</v>
      </c>
      <c r="AL104" s="4798">
        <f t="shared" si="145"/>
        <v>0</v>
      </c>
      <c r="AM104" s="4798" t="e">
        <f t="shared" si="145"/>
        <v>#REF!</v>
      </c>
      <c r="AN104" s="4798"/>
      <c r="AO104" s="4798"/>
      <c r="AP104" s="4798">
        <f t="shared" ref="AP104:BA104" si="146">+AP103-AP79</f>
        <v>0</v>
      </c>
      <c r="AQ104" s="4841" t="e">
        <f t="shared" si="146"/>
        <v>#REF!</v>
      </c>
      <c r="AR104" s="4798">
        <f t="shared" si="146"/>
        <v>0</v>
      </c>
      <c r="AS104" s="4798" t="e">
        <f t="shared" si="146"/>
        <v>#REF!</v>
      </c>
      <c r="AT104" s="4798">
        <f t="shared" si="146"/>
        <v>0</v>
      </c>
      <c r="AU104" s="4841" t="e">
        <f t="shared" si="146"/>
        <v>#REF!</v>
      </c>
      <c r="AV104" s="4798">
        <f t="shared" si="146"/>
        <v>0</v>
      </c>
      <c r="AW104" s="4798" t="e">
        <f t="shared" si="146"/>
        <v>#REF!</v>
      </c>
      <c r="AX104" s="4798">
        <f t="shared" si="146"/>
        <v>0</v>
      </c>
      <c r="AY104" s="4841" t="e">
        <f t="shared" si="146"/>
        <v>#REF!</v>
      </c>
      <c r="AZ104" s="4798">
        <f t="shared" si="146"/>
        <v>0</v>
      </c>
      <c r="BA104" s="4798" t="e">
        <f t="shared" si="146"/>
        <v>#REF!</v>
      </c>
      <c r="BB104" s="4798"/>
      <c r="BC104" s="4798"/>
      <c r="BD104" s="4844"/>
      <c r="BE104" s="4838"/>
      <c r="BF104" s="4798">
        <f>+BF103-BF79</f>
        <v>0</v>
      </c>
      <c r="BG104" s="4841" t="e">
        <f>+BG103-BG79</f>
        <v>#REF!</v>
      </c>
      <c r="BH104" s="25" t="e">
        <f t="shared" si="88"/>
        <v>#REF!</v>
      </c>
      <c r="BI104" s="25"/>
    </row>
    <row r="105" spans="1:61" ht="15.75" hidden="1" customHeight="1" thickBot="1" x14ac:dyDescent="0.3">
      <c r="C105" s="4789"/>
      <c r="D105" s="4789"/>
      <c r="E105" s="4840"/>
      <c r="F105" s="4789"/>
      <c r="G105" s="4789"/>
      <c r="H105" s="4789"/>
      <c r="I105" s="4789"/>
      <c r="J105" s="4789"/>
      <c r="K105" s="4836"/>
      <c r="L105" s="4789"/>
      <c r="M105" s="4789"/>
      <c r="N105" s="4789"/>
      <c r="O105" s="4837"/>
      <c r="P105" s="4789"/>
      <c r="Q105" s="4789"/>
      <c r="R105" s="4789"/>
      <c r="S105" s="4841"/>
      <c r="T105" s="4789"/>
      <c r="U105" s="4789"/>
      <c r="V105" s="4789"/>
      <c r="W105" s="4841"/>
      <c r="X105" s="4843"/>
      <c r="Y105" s="4789"/>
      <c r="Z105" s="4789"/>
      <c r="AA105" s="4837"/>
      <c r="AB105" s="4838"/>
      <c r="AC105" s="4838"/>
      <c r="AD105" s="4789"/>
      <c r="AE105" s="4789"/>
      <c r="AF105" s="4789"/>
      <c r="AG105" s="4841"/>
      <c r="AH105" s="4789"/>
      <c r="AI105" s="4789"/>
      <c r="AJ105" s="4789"/>
      <c r="AK105" s="4841"/>
      <c r="AL105" s="4789"/>
      <c r="AM105" s="4789"/>
      <c r="AN105" s="4789"/>
      <c r="AO105" s="4789"/>
      <c r="AP105" s="4789"/>
      <c r="AQ105" s="4841"/>
      <c r="AR105" s="4789"/>
      <c r="AS105" s="4789"/>
      <c r="AT105" s="4789"/>
      <c r="AU105" s="4841"/>
      <c r="AV105" s="4789"/>
      <c r="AW105" s="4789"/>
      <c r="AX105" s="4789"/>
      <c r="AY105" s="4841"/>
      <c r="AZ105" s="4789"/>
      <c r="BA105" s="4789"/>
      <c r="BB105" s="4789"/>
      <c r="BC105" s="4789"/>
      <c r="BD105" s="4838"/>
      <c r="BE105" s="4838"/>
      <c r="BF105" s="4789"/>
      <c r="BG105" s="4841"/>
      <c r="BH105" s="25">
        <f t="shared" si="88"/>
        <v>0</v>
      </c>
      <c r="BI105" s="25"/>
    </row>
    <row r="106" spans="1:61" ht="15.75" hidden="1" customHeight="1" thickBot="1" x14ac:dyDescent="0.3">
      <c r="C106" s="4789"/>
      <c r="D106" s="4789"/>
      <c r="E106" s="4840"/>
      <c r="F106" s="4789"/>
      <c r="G106" s="4789"/>
      <c r="H106" s="4789"/>
      <c r="I106" s="4789"/>
      <c r="J106" s="4789"/>
      <c r="K106" s="4836"/>
      <c r="L106" s="4789"/>
      <c r="M106" s="4789"/>
      <c r="N106" s="4789"/>
      <c r="O106" s="4837"/>
      <c r="P106" s="4789"/>
      <c r="Q106" s="4789"/>
      <c r="R106" s="4789"/>
      <c r="S106" s="4841"/>
      <c r="T106" s="4789"/>
      <c r="U106" s="4789"/>
      <c r="V106" s="4789"/>
      <c r="W106" s="4841"/>
      <c r="X106" s="4843"/>
      <c r="Y106" s="4789"/>
      <c r="Z106" s="4789"/>
      <c r="AA106" s="4837"/>
      <c r="AB106" s="4838"/>
      <c r="AC106" s="4838"/>
      <c r="AD106" s="4789"/>
      <c r="AE106" s="4789"/>
      <c r="AF106" s="4789"/>
      <c r="AG106" s="4841"/>
      <c r="AH106" s="4789"/>
      <c r="AI106" s="4789"/>
      <c r="AJ106" s="4789"/>
      <c r="AK106" s="4841"/>
      <c r="AL106" s="4789"/>
      <c r="AM106" s="4789"/>
      <c r="AN106" s="4789"/>
      <c r="AO106" s="4789"/>
      <c r="AP106" s="4789"/>
      <c r="AQ106" s="4841"/>
      <c r="AR106" s="4789"/>
      <c r="AS106" s="4789"/>
      <c r="AT106" s="4789"/>
      <c r="AU106" s="4841"/>
      <c r="AV106" s="4789"/>
      <c r="AW106" s="4789"/>
      <c r="AX106" s="4789"/>
      <c r="AY106" s="4841"/>
      <c r="AZ106" s="4789"/>
      <c r="BA106" s="4789"/>
      <c r="BB106" s="4789"/>
      <c r="BC106" s="4789"/>
      <c r="BD106" s="4838"/>
      <c r="BE106" s="4838"/>
      <c r="BF106" s="4789"/>
      <c r="BG106" s="4841"/>
      <c r="BH106" s="25">
        <f t="shared" si="88"/>
        <v>0</v>
      </c>
      <c r="BI106" s="25"/>
    </row>
    <row r="107" spans="1:61" ht="18.75" customHeight="1" thickBot="1" x14ac:dyDescent="0.3">
      <c r="C107" s="8172" t="s">
        <v>16</v>
      </c>
      <c r="D107" s="4862" t="s">
        <v>1443</v>
      </c>
      <c r="E107" s="4862"/>
      <c r="F107" s="4845"/>
      <c r="G107" s="4863">
        <f>+WRM!F159</f>
        <v>41532.999999999985</v>
      </c>
      <c r="H107" s="4863"/>
      <c r="I107" s="4863">
        <f>+WRM!H159</f>
        <v>39351.799999999996</v>
      </c>
      <c r="J107" s="4863"/>
      <c r="K107" s="4868">
        <f t="shared" ref="K107:K108" si="147">+G107+I107</f>
        <v>80884.799999999988</v>
      </c>
      <c r="L107" s="4863"/>
      <c r="M107" s="4863">
        <f>+WRM!L159</f>
        <v>38291.349999999991</v>
      </c>
      <c r="N107" s="4863"/>
      <c r="O107" s="4869">
        <f t="shared" ref="O107:O108" si="148">+G107+I107+M107</f>
        <v>119176.14999999998</v>
      </c>
      <c r="P107" s="4863"/>
      <c r="Q107" s="4863">
        <f>+WRM!P159</f>
        <v>47063.899999999994</v>
      </c>
      <c r="R107" s="4863"/>
      <c r="S107" s="4868">
        <f t="shared" ref="S107:S108" si="149">O107+Q107</f>
        <v>166240.04999999999</v>
      </c>
      <c r="T107" s="4863"/>
      <c r="U107" s="4863">
        <f>+WRM!T159</f>
        <v>38718.350000000006</v>
      </c>
      <c r="V107" s="4863"/>
      <c r="W107" s="4868">
        <f t="shared" ref="W107:W108" si="150">S107+U107</f>
        <v>204958.4</v>
      </c>
      <c r="X107" s="4863"/>
      <c r="Y107" s="4863">
        <f>+WRM!X159</f>
        <v>41006.150000000009</v>
      </c>
      <c r="Z107" s="4863"/>
      <c r="AA107" s="4869">
        <f t="shared" ref="AA107:AA108" si="151">Q107+U107+Y107</f>
        <v>126788.40000000001</v>
      </c>
      <c r="AB107" s="4863"/>
      <c r="AC107" s="4870">
        <f t="shared" ref="AC107:AC108" si="152">O107+AA107</f>
        <v>245964.55</v>
      </c>
      <c r="AD107" s="4863"/>
      <c r="AE107" s="4863">
        <f>+WRM!AD159</f>
        <v>30034.550000000003</v>
      </c>
      <c r="AF107" s="4863"/>
      <c r="AG107" s="4868">
        <f t="shared" ref="AG107:AG108" si="153">+AC107+AE107</f>
        <v>275999.09999999998</v>
      </c>
      <c r="AH107" s="4863"/>
      <c r="AI107" s="4863">
        <f>+WRM!AH159</f>
        <v>34614.250000000007</v>
      </c>
      <c r="AJ107" s="4863"/>
      <c r="AK107" s="4871">
        <f t="shared" ref="AK107:AK108" si="154">+AG107+AI107</f>
        <v>310613.34999999998</v>
      </c>
      <c r="AL107" s="4863"/>
      <c r="AM107" s="4863">
        <f>+WRM!AL159</f>
        <v>44007.350000000013</v>
      </c>
      <c r="AN107" s="4863"/>
      <c r="AO107" s="4869">
        <f t="shared" ref="AO107:AO108" si="155">AE107+AI107+AM107</f>
        <v>108656.15000000002</v>
      </c>
      <c r="AP107" s="4863"/>
      <c r="AQ107" s="4871">
        <f>+AK107+AM107</f>
        <v>354620.7</v>
      </c>
      <c r="AR107" s="4863"/>
      <c r="AS107" s="4863">
        <f>+WRM!AR159</f>
        <v>44589.550000000017</v>
      </c>
      <c r="AT107" s="4863"/>
      <c r="AU107" s="4871">
        <f t="shared" ref="AU107:AU108" si="156">+AQ107+AS107</f>
        <v>399210.25</v>
      </c>
      <c r="AV107" s="4863"/>
      <c r="AW107" s="4863">
        <f>+WRM!AV159</f>
        <v>37420.700000000019</v>
      </c>
      <c r="AX107" s="4863"/>
      <c r="AY107" s="4871">
        <f t="shared" ref="AY107:AY108" si="157">+AU107+AW107</f>
        <v>436630.95</v>
      </c>
      <c r="AZ107" s="4863"/>
      <c r="BA107" s="4863">
        <f>+WRM!AZ159</f>
        <v>46692.85</v>
      </c>
      <c r="BB107" s="4863"/>
      <c r="BC107" s="4869">
        <f t="shared" ref="BC107:BC108" si="158">AS107+AW107+BA107</f>
        <v>128703.10000000003</v>
      </c>
      <c r="BD107" s="4863"/>
      <c r="BE107" s="4870">
        <f>AO107+BC107</f>
        <v>237359.25000000006</v>
      </c>
      <c r="BF107" s="4863"/>
      <c r="BG107" s="4871">
        <f t="shared" ref="BG107:BG108" si="159">+AY107+BA107</f>
        <v>483323.8</v>
      </c>
      <c r="BH107" s="25">
        <f t="shared" si="88"/>
        <v>0</v>
      </c>
      <c r="BI107" s="25"/>
    </row>
    <row r="108" spans="1:61" ht="18.75" customHeight="1" x14ac:dyDescent="0.25">
      <c r="C108" s="8173"/>
      <c r="D108" s="4872" t="s">
        <v>2283</v>
      </c>
      <c r="E108" s="4872"/>
      <c r="F108" s="4873"/>
      <c r="G108" s="4874">
        <f>+G38</f>
        <v>41289.049999999996</v>
      </c>
      <c r="H108" s="4874"/>
      <c r="I108" s="4874">
        <f>+I38</f>
        <v>36334.199999999997</v>
      </c>
      <c r="J108" s="4874"/>
      <c r="K108" s="4875">
        <f t="shared" si="147"/>
        <v>77623.25</v>
      </c>
      <c r="L108" s="4874"/>
      <c r="M108" s="4874">
        <f>+M38</f>
        <v>37452.9</v>
      </c>
      <c r="N108" s="4874"/>
      <c r="O108" s="4876">
        <f t="shared" si="148"/>
        <v>115076.15</v>
      </c>
      <c r="P108" s="4874"/>
      <c r="Q108" s="4874">
        <f>+Q38</f>
        <v>44200.05</v>
      </c>
      <c r="R108" s="4874"/>
      <c r="S108" s="4875">
        <f t="shared" si="149"/>
        <v>159276.20000000001</v>
      </c>
      <c r="T108" s="4874"/>
      <c r="U108" s="4874">
        <f>+U38</f>
        <v>33658.950000000004</v>
      </c>
      <c r="V108" s="4874"/>
      <c r="W108" s="4875">
        <f t="shared" si="150"/>
        <v>192935.15000000002</v>
      </c>
      <c r="X108" s="4874"/>
      <c r="Y108" s="4874">
        <f>+Y38</f>
        <v>37412.5</v>
      </c>
      <c r="Z108" s="4874"/>
      <c r="AA108" s="4876">
        <f t="shared" si="151"/>
        <v>115271.5</v>
      </c>
      <c r="AB108" s="4874"/>
      <c r="AC108" s="4877">
        <f t="shared" si="152"/>
        <v>230347.65</v>
      </c>
      <c r="AD108" s="4874"/>
      <c r="AE108" s="4874">
        <f>+AE38</f>
        <v>28117.8</v>
      </c>
      <c r="AF108" s="4874"/>
      <c r="AG108" s="4875">
        <f t="shared" si="153"/>
        <v>258465.44999999998</v>
      </c>
      <c r="AH108" s="4874"/>
      <c r="AI108" s="4874">
        <f>+AI38</f>
        <v>33991.050000000003</v>
      </c>
      <c r="AJ108" s="4874"/>
      <c r="AK108" s="4878">
        <f t="shared" si="154"/>
        <v>292456.5</v>
      </c>
      <c r="AL108" s="4874"/>
      <c r="AM108" s="4874">
        <f>+AM38</f>
        <v>39526.050000000003</v>
      </c>
      <c r="AN108" s="4935"/>
      <c r="AO108" s="4876">
        <f t="shared" si="155"/>
        <v>101634.90000000001</v>
      </c>
      <c r="AP108" s="4874"/>
      <c r="AQ108" s="4878">
        <f>+AK108+AM108</f>
        <v>331982.55</v>
      </c>
      <c r="AR108" s="4874"/>
      <c r="AS108" s="4874">
        <f>+AS38</f>
        <v>39585.500000000007</v>
      </c>
      <c r="AT108" s="4874"/>
      <c r="AU108" s="4878">
        <f t="shared" si="156"/>
        <v>371568.05</v>
      </c>
      <c r="AV108" s="4874"/>
      <c r="AW108" s="4874">
        <f>+AW38</f>
        <v>36941.000000000022</v>
      </c>
      <c r="AX108" s="4874"/>
      <c r="AY108" s="4878">
        <f t="shared" si="157"/>
        <v>408509.05</v>
      </c>
      <c r="AZ108" s="4874"/>
      <c r="BA108" s="4874">
        <f>+BA38</f>
        <v>46047.099999999991</v>
      </c>
      <c r="BB108" s="4935"/>
      <c r="BC108" s="4876">
        <f t="shared" si="158"/>
        <v>122573.60000000002</v>
      </c>
      <c r="BD108" s="4874"/>
      <c r="BE108" s="4870">
        <f>AO108+BC108</f>
        <v>224208.50000000003</v>
      </c>
      <c r="BF108" s="4874"/>
      <c r="BG108" s="4878">
        <f t="shared" si="159"/>
        <v>454556.14999999997</v>
      </c>
      <c r="BH108" s="25">
        <f t="shared" si="88"/>
        <v>0</v>
      </c>
      <c r="BI108" s="25"/>
    </row>
    <row r="109" spans="1:61" ht="18.75" customHeight="1" thickBot="1" x14ac:dyDescent="0.3">
      <c r="C109" s="8173"/>
      <c r="D109" s="4872" t="s">
        <v>1444</v>
      </c>
      <c r="E109" s="4872"/>
      <c r="F109" s="4873"/>
      <c r="G109" s="7660">
        <f>+G108/G107</f>
        <v>0.99412635735439314</v>
      </c>
      <c r="H109" s="4879"/>
      <c r="I109" s="4879">
        <f>+I108/I107</f>
        <v>0.9233173577828715</v>
      </c>
      <c r="J109" s="4879"/>
      <c r="K109" s="4880">
        <f t="shared" ref="K109:AG109" si="160">+K108/K107</f>
        <v>0.95967660178426617</v>
      </c>
      <c r="L109" s="4879"/>
      <c r="M109" s="4879">
        <f>+M108/M107</f>
        <v>0.97810340977792665</v>
      </c>
      <c r="N109" s="4879"/>
      <c r="O109" s="4881">
        <f t="shared" si="160"/>
        <v>0.9655971433881696</v>
      </c>
      <c r="P109" s="4879"/>
      <c r="Q109" s="4879">
        <f t="shared" si="160"/>
        <v>0.93914975172053328</v>
      </c>
      <c r="R109" s="4879"/>
      <c r="S109" s="4880">
        <f t="shared" si="160"/>
        <v>0.95810967333082508</v>
      </c>
      <c r="T109" s="4879"/>
      <c r="U109" s="4879">
        <f t="shared" si="160"/>
        <v>0.86932810928151638</v>
      </c>
      <c r="V109" s="4879"/>
      <c r="W109" s="4880">
        <f t="shared" si="160"/>
        <v>0.94133809592580753</v>
      </c>
      <c r="X109" s="4879"/>
      <c r="Y109" s="4879">
        <f t="shared" ref="Y109" si="161">+Y108/Y107</f>
        <v>0.91236314552817055</v>
      </c>
      <c r="Z109" s="4879"/>
      <c r="AA109" s="4881">
        <f t="shared" si="160"/>
        <v>0.90916440305264512</v>
      </c>
      <c r="AB109" s="4879"/>
      <c r="AC109" s="4882">
        <f t="shared" si="160"/>
        <v>0.93650751703853263</v>
      </c>
      <c r="AD109" s="4879"/>
      <c r="AE109" s="4879">
        <f t="shared" si="160"/>
        <v>0.9361818305917684</v>
      </c>
      <c r="AF109" s="4879"/>
      <c r="AG109" s="4880">
        <f t="shared" si="160"/>
        <v>0.93647207545241995</v>
      </c>
      <c r="AH109" s="4879"/>
      <c r="AI109" s="4879">
        <f t="shared" ref="AI109" si="162">+AI108/AI107</f>
        <v>0.98199585430855774</v>
      </c>
      <c r="AJ109" s="4879"/>
      <c r="AK109" s="4883">
        <f t="shared" ref="AK109" si="163">+AK108/AK107</f>
        <v>0.94154517183501618</v>
      </c>
      <c r="AL109" s="4879"/>
      <c r="AM109" s="4879">
        <f t="shared" ref="AM109" si="164">+AM108/AM107</f>
        <v>0.89816928308566613</v>
      </c>
      <c r="AN109" s="4936"/>
      <c r="AO109" s="4881">
        <f t="shared" ref="AO109" si="165">+AO108/AO107</f>
        <v>0.93538101616889602</v>
      </c>
      <c r="AP109" s="4879"/>
      <c r="AQ109" s="4883">
        <f t="shared" ref="AQ109" si="166">+AQ108/AQ107</f>
        <v>0.93616235600459863</v>
      </c>
      <c r="AR109" s="4879"/>
      <c r="AS109" s="4879">
        <f t="shared" ref="AS109" si="167">+AS108/AS107</f>
        <v>0.88777527470001361</v>
      </c>
      <c r="AT109" s="4879"/>
      <c r="AU109" s="4883">
        <f t="shared" ref="AU109" si="168">+AU108/AU107</f>
        <v>0.93075778991145641</v>
      </c>
      <c r="AV109" s="4879"/>
      <c r="AW109" s="4879">
        <f t="shared" ref="AW109" si="169">+AW108/AW107</f>
        <v>0.98718089185931857</v>
      </c>
      <c r="AX109" s="4879"/>
      <c r="AY109" s="4883">
        <f t="shared" ref="AY109" si="170">+AY108/AY107</f>
        <v>0.93559343422631858</v>
      </c>
      <c r="AZ109" s="4879"/>
      <c r="BA109" s="4879">
        <f t="shared" ref="BA109" si="171">+BA108/BA107</f>
        <v>0.98617025947227455</v>
      </c>
      <c r="BB109" s="4936"/>
      <c r="BC109" s="4881">
        <f t="shared" ref="BC109" si="172">+BC108/BC107</f>
        <v>0.95237488452104091</v>
      </c>
      <c r="BD109" s="4879"/>
      <c r="BE109" s="4882">
        <f t="shared" ref="BE109" si="173">+BE108/BE107</f>
        <v>0.94459558664766585</v>
      </c>
      <c r="BF109" s="4879"/>
      <c r="BG109" s="7222">
        <f t="shared" ref="BG109" si="174">+BG108/BG107</f>
        <v>0.94047955014836837</v>
      </c>
      <c r="BH109" s="25">
        <f t="shared" si="88"/>
        <v>10.353381975314642</v>
      </c>
      <c r="BI109" s="25"/>
    </row>
    <row r="110" spans="1:61" ht="18.75" customHeight="1" thickBot="1" x14ac:dyDescent="0.3">
      <c r="C110" s="8173"/>
      <c r="D110" s="4872" t="s">
        <v>1442</v>
      </c>
      <c r="E110" s="4872"/>
      <c r="F110" s="4873"/>
      <c r="G110" s="4874">
        <f>+G107-G108</f>
        <v>243.94999999998981</v>
      </c>
      <c r="H110" s="4874"/>
      <c r="I110" s="4874">
        <f>+I107-I108</f>
        <v>3017.5999999999985</v>
      </c>
      <c r="J110" s="4874"/>
      <c r="K110" s="4875">
        <f t="shared" ref="K110:K116" si="175">+G110+I110</f>
        <v>3261.5499999999884</v>
      </c>
      <c r="L110" s="4874"/>
      <c r="M110" s="4874">
        <f>+M107-M108</f>
        <v>838.44999999998981</v>
      </c>
      <c r="N110" s="4874"/>
      <c r="O110" s="4876">
        <f t="shared" ref="O110:O116" si="176">+G110+I110+M110</f>
        <v>4099.9999999999782</v>
      </c>
      <c r="P110" s="4874"/>
      <c r="Q110" s="4874">
        <f t="shared" ref="Q110:AE110" si="177">+Q107-Q108</f>
        <v>2863.8499999999913</v>
      </c>
      <c r="R110" s="4874"/>
      <c r="S110" s="4875">
        <f t="shared" ref="S110:S116" si="178">O110+Q110</f>
        <v>6963.8499999999694</v>
      </c>
      <c r="T110" s="4874"/>
      <c r="U110" s="4874">
        <f t="shared" si="177"/>
        <v>5059.4000000000015</v>
      </c>
      <c r="V110" s="4874"/>
      <c r="W110" s="4875">
        <f t="shared" ref="W110:W116" si="179">S110+U110</f>
        <v>12023.249999999971</v>
      </c>
      <c r="X110" s="4874"/>
      <c r="Y110" s="4874">
        <f t="shared" ref="Y110" si="180">+Y107-Y108</f>
        <v>3593.6500000000087</v>
      </c>
      <c r="Z110" s="4874"/>
      <c r="AA110" s="4876">
        <f t="shared" ref="AA110:AA116" si="181">Q110+U110+Y110</f>
        <v>11516.900000000001</v>
      </c>
      <c r="AB110" s="4874"/>
      <c r="AC110" s="4877">
        <f t="shared" ref="AC110:AC116" si="182">O110+AA110</f>
        <v>15616.89999999998</v>
      </c>
      <c r="AD110" s="4874"/>
      <c r="AE110" s="4874">
        <f t="shared" si="177"/>
        <v>1916.7500000000036</v>
      </c>
      <c r="AF110" s="4874"/>
      <c r="AG110" s="4875">
        <f t="shared" ref="AG110:AG116" si="183">+AC110+AE110</f>
        <v>17533.649999999983</v>
      </c>
      <c r="AH110" s="4874"/>
      <c r="AI110" s="4874">
        <f t="shared" ref="AI110" si="184">+AI107-AI108</f>
        <v>623.20000000000437</v>
      </c>
      <c r="AJ110" s="4874"/>
      <c r="AK110" s="4878">
        <f t="shared" ref="AK110:AK116" si="185">+AG110+AI110</f>
        <v>18156.849999999988</v>
      </c>
      <c r="AL110" s="4874"/>
      <c r="AM110" s="4874">
        <f t="shared" ref="AM110" si="186">+AM107-AM108</f>
        <v>4481.3000000000102</v>
      </c>
      <c r="AN110" s="4935"/>
      <c r="AO110" s="4876">
        <f t="shared" ref="AO110:AO116" si="187">AE110+AI110+AM110</f>
        <v>7021.2500000000182</v>
      </c>
      <c r="AP110" s="4874"/>
      <c r="AQ110" s="4878">
        <f t="shared" ref="AQ110:AQ116" si="188">+AK110+AM110</f>
        <v>22638.149999999998</v>
      </c>
      <c r="AR110" s="4874"/>
      <c r="AS110" s="4874">
        <f t="shared" ref="AS110" si="189">+AS107-AS108</f>
        <v>5004.0500000000102</v>
      </c>
      <c r="AT110" s="4874"/>
      <c r="AU110" s="4878">
        <f t="shared" ref="AU110:AU116" si="190">+AQ110+AS110</f>
        <v>27642.200000000008</v>
      </c>
      <c r="AV110" s="4874"/>
      <c r="AW110" s="4874">
        <f t="shared" ref="AW110" si="191">+AW107-AW108</f>
        <v>479.69999999999709</v>
      </c>
      <c r="AX110" s="4874"/>
      <c r="AY110" s="4878">
        <f t="shared" ref="AY110:AY116" si="192">+AU110+AW110</f>
        <v>28121.900000000005</v>
      </c>
      <c r="AZ110" s="4874"/>
      <c r="BA110" s="4874">
        <f t="shared" ref="BA110" si="193">+BA107-BA108</f>
        <v>645.75000000000728</v>
      </c>
      <c r="BB110" s="4935"/>
      <c r="BC110" s="4876">
        <f t="shared" ref="BC110:BC116" si="194">AS110+AW110+BA110</f>
        <v>6129.5000000000146</v>
      </c>
      <c r="BD110" s="4874"/>
      <c r="BE110" s="4870">
        <f t="shared" ref="BE110:BE116" si="195">AO110+BC110</f>
        <v>13150.750000000033</v>
      </c>
      <c r="BF110" s="4874"/>
      <c r="BG110" s="4878">
        <f t="shared" ref="BG110:BG116" si="196">+AY110+BA110</f>
        <v>28767.650000000012</v>
      </c>
      <c r="BH110" s="25">
        <f t="shared" si="88"/>
        <v>0</v>
      </c>
      <c r="BI110" s="25"/>
    </row>
    <row r="111" spans="1:61" ht="15" customHeight="1" thickBot="1" x14ac:dyDescent="0.3">
      <c r="A111" s="1192"/>
      <c r="B111" s="1192"/>
      <c r="C111" s="8173"/>
      <c r="D111" s="4884" t="s">
        <v>935</v>
      </c>
      <c r="E111" s="4884"/>
      <c r="F111" s="4885"/>
      <c r="G111" s="4886">
        <f>+SUMIF(WRM!$C$7:$C$141,$D111,WRM!F$7:F$141)</f>
        <v>0</v>
      </c>
      <c r="H111" s="4886">
        <f>+SUMIF(WRM!$C$7:$C$141,$D111,WRM!G$7:G$141)</f>
        <v>0</v>
      </c>
      <c r="I111" s="4886">
        <f>+SUMIF(WRM!$C$7:$C$141,$D111,WRM!H$7:H$141)</f>
        <v>1344.8000000000002</v>
      </c>
      <c r="J111" s="4886">
        <f>+SUMIF(WRM!$C$7:$C$141,$D111,WRM!I$7:I$141)</f>
        <v>0</v>
      </c>
      <c r="K111" s="4875">
        <f t="shared" si="175"/>
        <v>1344.8000000000002</v>
      </c>
      <c r="L111" s="4886">
        <f>+SUMIF(WRM!$C$7:$C$141,$D111,WRM!K$7:K$141)</f>
        <v>0</v>
      </c>
      <c r="M111" s="4886">
        <f>+SUMIF(WRM!$C$7:$C$141,$D111,WRM!L$7:L$141)</f>
        <v>0</v>
      </c>
      <c r="N111" s="4886"/>
      <c r="O111" s="4876">
        <f t="shared" si="176"/>
        <v>1344.8000000000002</v>
      </c>
      <c r="P111" s="4886"/>
      <c r="Q111" s="4886">
        <f>+SUMIF(WRM!$C$7:$C$141,$D111,WRM!P$7:P$141)</f>
        <v>1381.7</v>
      </c>
      <c r="R111" s="4886">
        <f>+SUMIF(WRM!$C$7:$C$141,$D111,WRM!Q$7:Q$141)</f>
        <v>0</v>
      </c>
      <c r="S111" s="4875">
        <f t="shared" si="178"/>
        <v>2726.5</v>
      </c>
      <c r="T111" s="4886">
        <f>+SUMIF(WRM!$C$7:$C$141,$D111,WRM!S$7:S$141)</f>
        <v>0</v>
      </c>
      <c r="U111" s="4886">
        <f>+SUMIF(WRM!$C$7:$C$141,$D111,WRM!T$7:T$141)</f>
        <v>457.15000000000003</v>
      </c>
      <c r="V111" s="4886">
        <f>+SUMIF(WRM!$C$7:$C$141,$D111,WRM!U$7:U$141)</f>
        <v>0</v>
      </c>
      <c r="W111" s="4875">
        <f t="shared" si="179"/>
        <v>3183.65</v>
      </c>
      <c r="X111" s="4886">
        <f>+SUMIF(WRM!$C$7:$C$141,$D111,WRM!W$7:W$141)</f>
        <v>0</v>
      </c>
      <c r="Y111" s="4886">
        <f>+SUMIF(WRM!$C$7:$C$141,$D111,WRM!X$7:X$141)</f>
        <v>530.95000000000005</v>
      </c>
      <c r="Z111" s="4886"/>
      <c r="AA111" s="4876">
        <f t="shared" si="181"/>
        <v>2369.8000000000002</v>
      </c>
      <c r="AB111" s="4886"/>
      <c r="AC111" s="4877">
        <f t="shared" si="182"/>
        <v>3714.6000000000004</v>
      </c>
      <c r="AD111" s="4886"/>
      <c r="AE111" s="4886">
        <f>+SUMIF(WRM!$C$7:$C$141,$D111,WRM!AD$7:AD$141)</f>
        <v>1262.8</v>
      </c>
      <c r="AF111" s="4886">
        <f>+SUMIF(WRM!$C$7:$C$141,$D111,WRM!AE$7:AE$141)</f>
        <v>0</v>
      </c>
      <c r="AG111" s="4875">
        <f t="shared" si="183"/>
        <v>4977.4000000000005</v>
      </c>
      <c r="AH111" s="4886">
        <f>+SUMIF(WRM!$C$7:$C$141,$D111,WRM!AG$7:AG$141)</f>
        <v>0</v>
      </c>
      <c r="AI111" s="4886">
        <f>+SUMIF(WRM!$C$7:$C$141,$D111,WRM!AH$7:AH$141)</f>
        <v>209.1</v>
      </c>
      <c r="AJ111" s="4886"/>
      <c r="AK111" s="4878">
        <f t="shared" si="185"/>
        <v>5186.5000000000009</v>
      </c>
      <c r="AL111" s="4886">
        <f>+SUMIF(WRM!$C$7:$C$141,$D111,WRM!AK$7:AK$141)</f>
        <v>0</v>
      </c>
      <c r="AM111" s="4886">
        <f>+SUMIF(WRM!$C$7:$C$141,$D111,WRM!AL$7:AL$141)</f>
        <v>2218.1000000000004</v>
      </c>
      <c r="AN111" s="4937"/>
      <c r="AO111" s="4876">
        <f t="shared" si="187"/>
        <v>3690</v>
      </c>
      <c r="AP111" s="4886"/>
      <c r="AQ111" s="4878">
        <f t="shared" si="188"/>
        <v>7404.6000000000013</v>
      </c>
      <c r="AR111" s="4886">
        <f>+SUMIF(WRM!$C$7:$C$141,$D111,WRM!AQ$7:AQ$141)</f>
        <v>0</v>
      </c>
      <c r="AS111" s="4886">
        <f>+SUMIF(WRM!$C$7:$C$141,$D111,WRM!AR$7:AR$141)</f>
        <v>2568.6500000000005</v>
      </c>
      <c r="AT111" s="4886"/>
      <c r="AU111" s="4878">
        <f t="shared" si="190"/>
        <v>9973.2500000000018</v>
      </c>
      <c r="AV111" s="4886">
        <f>+SUMIF(WRM!$C$7:$C$141,$D111,WRM!AU$7:AU$141)</f>
        <v>0</v>
      </c>
      <c r="AW111" s="4886">
        <f>+SUMIF(WRM!$C$7:$C$141,$D111,WRM!AV$7:AV$141)</f>
        <v>186.54999999999995</v>
      </c>
      <c r="AX111" s="4886"/>
      <c r="AY111" s="4878">
        <f t="shared" si="192"/>
        <v>10159.800000000001</v>
      </c>
      <c r="AZ111" s="4886">
        <f>+SUMIF(WRM!$C$7:$C$141,$D111,WRM!AY$7:AY$141)</f>
        <v>0</v>
      </c>
      <c r="BA111" s="4886">
        <f>+SUMIF(WRM!$C$7:$C$141,$D111,WRM!AZ$7:AZ$141)</f>
        <v>0</v>
      </c>
      <c r="BB111" s="4937"/>
      <c r="BC111" s="4876">
        <f t="shared" si="194"/>
        <v>2755.2000000000007</v>
      </c>
      <c r="BD111" s="4886"/>
      <c r="BE111" s="4870">
        <f t="shared" si="195"/>
        <v>6445.2000000000007</v>
      </c>
      <c r="BF111" s="4886"/>
      <c r="BG111" s="4878">
        <f t="shared" si="196"/>
        <v>10159.800000000001</v>
      </c>
      <c r="BH111" s="25">
        <f t="shared" si="88"/>
        <v>0</v>
      </c>
      <c r="BI111" s="25"/>
    </row>
    <row r="112" spans="1:61" ht="15" customHeight="1" thickBot="1" x14ac:dyDescent="0.3">
      <c r="A112" s="1192"/>
      <c r="B112" s="1192"/>
      <c r="C112" s="8173"/>
      <c r="D112" s="4884" t="s">
        <v>1091</v>
      </c>
      <c r="E112" s="4884"/>
      <c r="F112" s="4885"/>
      <c r="G112" s="4886">
        <f>+SUMIF(WRM!$C$7:$C$141,$D112,WRM!F$7:F$141)</f>
        <v>198.85000000000002</v>
      </c>
      <c r="H112" s="4886"/>
      <c r="I112" s="4886">
        <f>+SUMIF(WRM!$C$7:$C$141,$D112,WRM!H$7:H$141)</f>
        <v>1125.45</v>
      </c>
      <c r="J112" s="4886">
        <f>+SUMIF(WRM!$C$7:$C$141,$D112,WRM!I$7:I$141)</f>
        <v>0</v>
      </c>
      <c r="K112" s="4875">
        <f t="shared" si="175"/>
        <v>1324.3000000000002</v>
      </c>
      <c r="L112" s="4886">
        <f>+SUMIF(WRM!$C$7:$C$141,$D112,WRM!K$7:K$141)</f>
        <v>0</v>
      </c>
      <c r="M112" s="4886">
        <f>+SUMIF(WRM!$C$7:$C$141,$D112,WRM!L$7:L$141)</f>
        <v>578.1</v>
      </c>
      <c r="N112" s="4886"/>
      <c r="O112" s="4876">
        <f t="shared" si="176"/>
        <v>1902.4</v>
      </c>
      <c r="P112" s="4886"/>
      <c r="Q112" s="4886">
        <f>+SUMIF(WRM!$C$7:$C$141,$D112,WRM!P$7:P$141)</f>
        <v>1443.2000000000003</v>
      </c>
      <c r="R112" s="4886">
        <f>+SUMIF(WRM!$C$7:$C$141,$D112,WRM!Q$7:Q$141)</f>
        <v>0</v>
      </c>
      <c r="S112" s="4875">
        <f t="shared" si="178"/>
        <v>3345.6000000000004</v>
      </c>
      <c r="T112" s="4886">
        <f>+SUMIF(WRM!$C$7:$C$141,$D112,WRM!S$7:S$141)</f>
        <v>0</v>
      </c>
      <c r="U112" s="4886">
        <f>+SUMIF(WRM!$C$7:$C$141,$D112,WRM!T$7:T$141)</f>
        <v>4214.8</v>
      </c>
      <c r="V112" s="4886">
        <f>+SUMIF(WRM!$C$7:$C$141,$D112,WRM!U$7:U$141)</f>
        <v>0</v>
      </c>
      <c r="W112" s="4875">
        <f t="shared" si="179"/>
        <v>7560.4000000000005</v>
      </c>
      <c r="X112" s="4886">
        <f>+SUMIF(WRM!$C$7:$C$141,$D112,WRM!W$7:W$141)</f>
        <v>0</v>
      </c>
      <c r="Y112" s="4886">
        <f>+SUMIF(WRM!$C$7:$C$141,$D112,WRM!X$7:X$141)</f>
        <v>2433.35</v>
      </c>
      <c r="Z112" s="4886"/>
      <c r="AA112" s="4876">
        <f t="shared" si="181"/>
        <v>8091.35</v>
      </c>
      <c r="AB112" s="4886"/>
      <c r="AC112" s="4877">
        <f t="shared" si="182"/>
        <v>9993.75</v>
      </c>
      <c r="AD112" s="4886"/>
      <c r="AE112" s="4886">
        <f>+SUMIF(WRM!$C$7:$C$141,$D112,WRM!AD$7:AD$141)</f>
        <v>590.40000000000009</v>
      </c>
      <c r="AF112" s="4886">
        <f>+SUMIF(WRM!$C$7:$C$141,$D112,WRM!AE$7:AE$141)</f>
        <v>0</v>
      </c>
      <c r="AG112" s="4875">
        <f t="shared" si="183"/>
        <v>10584.15</v>
      </c>
      <c r="AH112" s="4886">
        <f>+SUMIF(WRM!$C$7:$C$141,$D112,WRM!AG$7:AG$141)</f>
        <v>0</v>
      </c>
      <c r="AI112" s="4886">
        <f>+SUMIF(WRM!$C$7:$C$141,$D112,WRM!AH$7:AH$141)</f>
        <v>389.5</v>
      </c>
      <c r="AJ112" s="4886"/>
      <c r="AK112" s="4878">
        <f t="shared" si="185"/>
        <v>10973.65</v>
      </c>
      <c r="AL112" s="4886">
        <f>+SUMIF(WRM!$C$7:$C$141,$D112,WRM!AK$7:AK$141)</f>
        <v>0</v>
      </c>
      <c r="AM112" s="4886">
        <f>+SUMIF(WRM!$C$7:$C$141,$D112,WRM!AL$7:AL$141)</f>
        <v>2166.8500000000004</v>
      </c>
      <c r="AN112" s="4937"/>
      <c r="AO112" s="4876">
        <f t="shared" si="187"/>
        <v>3146.7500000000005</v>
      </c>
      <c r="AP112" s="4886"/>
      <c r="AQ112" s="4878">
        <f t="shared" si="188"/>
        <v>13140.5</v>
      </c>
      <c r="AR112" s="4886">
        <f>+SUMIF(WRM!$C$7:$C$141,$D112,WRM!AQ$7:AQ$141)</f>
        <v>0</v>
      </c>
      <c r="AS112" s="4886">
        <f>+SUMIF(WRM!$C$7:$C$141,$D112,WRM!AR$7:AR$141)</f>
        <v>2164.7999999999993</v>
      </c>
      <c r="AT112" s="4886"/>
      <c r="AU112" s="4878">
        <f t="shared" si="190"/>
        <v>15305.3</v>
      </c>
      <c r="AV112" s="4886">
        <f>+SUMIF(WRM!$C$7:$C$141,$D112,WRM!AU$7:AU$141)</f>
        <v>0</v>
      </c>
      <c r="AW112" s="4886">
        <f>+SUMIF(WRM!$C$7:$C$141,$D112,WRM!AV$7:AV$141)</f>
        <v>235.75</v>
      </c>
      <c r="AX112" s="4886"/>
      <c r="AY112" s="4878">
        <f t="shared" si="192"/>
        <v>15541.05</v>
      </c>
      <c r="AZ112" s="4886">
        <f>+SUMIF(WRM!$C$7:$C$141,$D112,WRM!AY$7:AY$141)</f>
        <v>0</v>
      </c>
      <c r="BA112" s="4886">
        <f>+SUMIF(WRM!$C$7:$C$141,$D112,WRM!AZ$7:AZ$141)</f>
        <v>328</v>
      </c>
      <c r="BB112" s="4937"/>
      <c r="BC112" s="4876">
        <f t="shared" si="194"/>
        <v>2728.5499999999993</v>
      </c>
      <c r="BD112" s="4886"/>
      <c r="BE112" s="4870">
        <f t="shared" si="195"/>
        <v>5875.2999999999993</v>
      </c>
      <c r="BF112" s="4886"/>
      <c r="BG112" s="4878">
        <f t="shared" si="196"/>
        <v>15869.05</v>
      </c>
      <c r="BH112" s="25">
        <f t="shared" si="88"/>
        <v>0</v>
      </c>
      <c r="BI112" s="25"/>
    </row>
    <row r="113" spans="1:61" s="4487" customFormat="1" ht="15" customHeight="1" thickBot="1" x14ac:dyDescent="0.3">
      <c r="A113" s="1192"/>
      <c r="B113" s="1192"/>
      <c r="C113" s="8174"/>
      <c r="D113" s="7220" t="s">
        <v>1851</v>
      </c>
      <c r="E113" s="7220"/>
      <c r="F113" s="7221"/>
      <c r="G113" s="4886">
        <f>+SUMIF(WRM!$C$7:$C$141,$D113,WRM!F$7:F$141)</f>
        <v>0</v>
      </c>
      <c r="H113" s="4886"/>
      <c r="I113" s="4886">
        <f>+SUMIF(WRM!$C$7:$C$141,$D113,WRM!H$7:H$141)</f>
        <v>225.5</v>
      </c>
      <c r="J113" s="4886">
        <f>+SUMIF(WRM!$C$7:$C$141,$D113,WRM!I$7:I$141)</f>
        <v>0</v>
      </c>
      <c r="K113" s="4875">
        <f t="shared" ref="K113" si="197">+G113+I113</f>
        <v>225.5</v>
      </c>
      <c r="L113" s="4886">
        <f>+SUMIF(WRM!$C$7:$C$141,$D113,WRM!K$7:K$141)</f>
        <v>0</v>
      </c>
      <c r="M113" s="4886">
        <f>+SUMIF(WRM!$C$7:$C$141,$D113,WRM!L$7:L$141)</f>
        <v>209.1</v>
      </c>
      <c r="N113" s="4886"/>
      <c r="O113" s="4876">
        <f t="shared" ref="O113" si="198">+G113+I113+M113</f>
        <v>434.6</v>
      </c>
      <c r="P113" s="4886"/>
      <c r="Q113" s="4886">
        <f>+SUMIF(WRM!$C$7:$C$141,$D113,WRM!P$7:P$141)</f>
        <v>0</v>
      </c>
      <c r="R113" s="4886">
        <f>+SUMIF(WRM!$C$7:$C$141,$D113,WRM!Q$7:Q$141)</f>
        <v>0</v>
      </c>
      <c r="S113" s="4875">
        <f t="shared" ref="S113" si="199">O113+Q113</f>
        <v>434.6</v>
      </c>
      <c r="T113" s="4886">
        <f>+SUMIF(WRM!$C$7:$C$141,$D113,WRM!S$7:S$141)</f>
        <v>0</v>
      </c>
      <c r="U113" s="4886">
        <f>+SUMIF(WRM!$C$7:$C$141,$D113,WRM!T$7:T$141)</f>
        <v>217.3</v>
      </c>
      <c r="V113" s="4886">
        <f>+SUMIF(WRM!$C$7:$C$141,$D113,WRM!U$7:U$141)</f>
        <v>0</v>
      </c>
      <c r="W113" s="4875">
        <f t="shared" ref="W113" si="200">S113+U113</f>
        <v>651.90000000000009</v>
      </c>
      <c r="X113" s="4886">
        <f>+SUMIF(WRM!$C$7:$C$141,$D113,WRM!W$7:W$141)</f>
        <v>0</v>
      </c>
      <c r="Y113" s="4886">
        <f>+SUMIF(WRM!$C$7:$C$141,$D113,WRM!X$7:X$141)</f>
        <v>608.85</v>
      </c>
      <c r="Z113" s="4886"/>
      <c r="AA113" s="4876">
        <f t="shared" ref="AA113" si="201">Q113+U113+Y113</f>
        <v>826.15000000000009</v>
      </c>
      <c r="AB113" s="4886"/>
      <c r="AC113" s="4877">
        <f t="shared" ref="AC113" si="202">O113+AA113</f>
        <v>1260.75</v>
      </c>
      <c r="AD113" s="4886"/>
      <c r="AE113" s="4886">
        <f>+SUMIF(WRM!$C$7:$C$141,$D113,WRM!AD$7:AD$141)</f>
        <v>0</v>
      </c>
      <c r="AF113" s="4886">
        <f>+SUMIF(WRM!$C$7:$C$141,$D113,WRM!AE$7:AE$141)</f>
        <v>0</v>
      </c>
      <c r="AG113" s="4875">
        <f t="shared" ref="AG113" si="203">+AC113+AE113</f>
        <v>1260.75</v>
      </c>
      <c r="AH113" s="4886">
        <f>+SUMIF(WRM!$C$7:$C$141,$D113,WRM!AG$7:AG$141)</f>
        <v>0</v>
      </c>
      <c r="AI113" s="4886">
        <f>+SUMIF(WRM!$C$7:$C$141,$D113,WRM!AH$7:AH$141)</f>
        <v>0</v>
      </c>
      <c r="AJ113" s="4886"/>
      <c r="AK113" s="4878">
        <f t="shared" ref="AK113" si="204">+AG113+AI113</f>
        <v>1260.75</v>
      </c>
      <c r="AL113" s="4886">
        <f>+SUMIF(WRM!$C$7:$C$141,$D113,WRM!AK$7:AK$141)</f>
        <v>0</v>
      </c>
      <c r="AM113" s="4886">
        <f>+SUMIF(WRM!$C$7:$C$141,$D113,WRM!AL$7:AL$141)</f>
        <v>0</v>
      </c>
      <c r="AN113" s="4937"/>
      <c r="AO113" s="4876">
        <f t="shared" ref="AO113" si="205">AE113+AI113+AM113</f>
        <v>0</v>
      </c>
      <c r="AP113" s="4886"/>
      <c r="AQ113" s="4878">
        <f t="shared" si="188"/>
        <v>1260.75</v>
      </c>
      <c r="AR113" s="4886">
        <f>+SUMIF(WRM!$C$7:$C$141,$D113,WRM!AQ$7:AQ$141)</f>
        <v>0</v>
      </c>
      <c r="AS113" s="4886">
        <f>+SUMIF(WRM!$C$7:$C$141,$D113,WRM!AR$7:AR$141)</f>
        <v>239.85</v>
      </c>
      <c r="AT113" s="4886"/>
      <c r="AU113" s="4878">
        <f t="shared" ref="AU113" si="206">+AQ113+AS113</f>
        <v>1500.6</v>
      </c>
      <c r="AV113" s="4886">
        <f>+SUMIF(WRM!$C$7:$C$141,$D113,WRM!AU$7:AU$141)</f>
        <v>0</v>
      </c>
      <c r="AW113" s="4886">
        <f>+SUMIF(WRM!$C$7:$C$141,$D113,WRM!AV$7:AV$141)</f>
        <v>0</v>
      </c>
      <c r="AX113" s="4886"/>
      <c r="AY113" s="4878">
        <f t="shared" ref="AY113" si="207">+AU113+AW113</f>
        <v>1500.6</v>
      </c>
      <c r="AZ113" s="4886">
        <f>+SUMIF(WRM!$C$7:$C$141,$D113,WRM!AY$7:AY$141)</f>
        <v>0</v>
      </c>
      <c r="BA113" s="4886">
        <f>+SUMIF(WRM!$C$7:$C$141,$D113,WRM!AZ$7:AZ$141)</f>
        <v>0</v>
      </c>
      <c r="BB113" s="4937"/>
      <c r="BC113" s="4876">
        <f t="shared" ref="BC113" si="208">AS113+AW113+BA113</f>
        <v>239.85</v>
      </c>
      <c r="BD113" s="4886"/>
      <c r="BE113" s="4870">
        <f t="shared" ref="BE113" si="209">AO113+BC113</f>
        <v>239.85</v>
      </c>
      <c r="BF113" s="4886"/>
      <c r="BG113" s="4878">
        <f t="shared" ref="BG113" si="210">+AY113+BA113</f>
        <v>1500.6</v>
      </c>
      <c r="BH113" s="25"/>
      <c r="BI113" s="25"/>
    </row>
    <row r="114" spans="1:61" s="4487" customFormat="1" ht="15" customHeight="1" thickBot="1" x14ac:dyDescent="0.3">
      <c r="A114" s="1192"/>
      <c r="B114" s="1192"/>
      <c r="C114" s="8174"/>
      <c r="D114" s="7220" t="s">
        <v>2277</v>
      </c>
      <c r="E114" s="7220"/>
      <c r="F114" s="7221"/>
      <c r="G114" s="4886">
        <f>+SUMIF(WRM!$C$7:$C$141,$D114,WRM!F$7:F$141)</f>
        <v>0</v>
      </c>
      <c r="H114" s="4886"/>
      <c r="I114" s="4886">
        <f>+SUMIF(WRM!$C$7:$C$141,$D114,WRM!H$7:H$141)</f>
        <v>0</v>
      </c>
      <c r="J114" s="4886">
        <f>+SUMIF(WRM!$C$7:$C$141,$D114,WRM!I$7:I$141)</f>
        <v>0</v>
      </c>
      <c r="K114" s="4875">
        <f t="shared" ref="K114" si="211">+G114+I114</f>
        <v>0</v>
      </c>
      <c r="L114" s="4886">
        <f>+SUMIF(WRM!$C$7:$C$141,$D114,WRM!K$7:K$141)</f>
        <v>0</v>
      </c>
      <c r="M114" s="4886">
        <f>+SUMIF(WRM!$C$7:$C$141,$D114,WRM!L$7:L$141)</f>
        <v>0</v>
      </c>
      <c r="N114" s="4886"/>
      <c r="O114" s="4876">
        <f t="shared" ref="O114" si="212">+G114+I114+M114</f>
        <v>0</v>
      </c>
      <c r="P114" s="4886"/>
      <c r="Q114" s="4886">
        <f>+SUMIF(WRM!$C$7:$C$141,$D114,WRM!P$7:P$141)</f>
        <v>0</v>
      </c>
      <c r="R114" s="4886">
        <f>+SUMIF(WRM!$C$7:$C$141,$D114,WRM!Q$7:Q$141)</f>
        <v>0</v>
      </c>
      <c r="S114" s="4875">
        <f t="shared" ref="S114" si="213">O114+Q114</f>
        <v>0</v>
      </c>
      <c r="T114" s="4886">
        <f>+SUMIF(WRM!$C$7:$C$141,$D114,WRM!S$7:S$141)</f>
        <v>0</v>
      </c>
      <c r="U114" s="4886">
        <f>+SUMIF(WRM!$C$7:$C$141,$D114,WRM!T$7:T$141)</f>
        <v>0</v>
      </c>
      <c r="V114" s="4886">
        <f>+SUMIF(WRM!$C$7:$C$141,$D114,WRM!U$7:U$141)</f>
        <v>0</v>
      </c>
      <c r="W114" s="4875">
        <f t="shared" ref="W114" si="214">S114+U114</f>
        <v>0</v>
      </c>
      <c r="X114" s="4886">
        <f>+SUMIF(WRM!$C$7:$C$141,$D114,WRM!W$7:W$141)</f>
        <v>0</v>
      </c>
      <c r="Y114" s="4886">
        <f>+SUMIF(WRM!$C$7:$C$141,$D114,WRM!X$7:X$141)</f>
        <v>0</v>
      </c>
      <c r="Z114" s="4886"/>
      <c r="AA114" s="4876">
        <f t="shared" ref="AA114" si="215">Q114+U114+Y114</f>
        <v>0</v>
      </c>
      <c r="AB114" s="4886"/>
      <c r="AC114" s="4877">
        <f t="shared" ref="AC114" si="216">O114+AA114</f>
        <v>0</v>
      </c>
      <c r="AD114" s="4886"/>
      <c r="AE114" s="4886">
        <f>+SUMIF(WRM!$C$7:$C$141,$D114,WRM!AD$7:AD$141)</f>
        <v>0</v>
      </c>
      <c r="AF114" s="4886">
        <f>+SUMIF(WRM!$C$7:$C$141,$D114,WRM!AE$7:AE$141)</f>
        <v>0</v>
      </c>
      <c r="AG114" s="4875">
        <f t="shared" ref="AG114" si="217">+AC114+AE114</f>
        <v>0</v>
      </c>
      <c r="AH114" s="4886">
        <f>+SUMIF(WRM!$C$7:$C$141,$D114,WRM!AG$7:AG$141)</f>
        <v>0</v>
      </c>
      <c r="AI114" s="4886">
        <f>+SUMIF(WRM!$C$7:$C$141,$D114,WRM!AH$7:AH$141)</f>
        <v>0</v>
      </c>
      <c r="AJ114" s="4886"/>
      <c r="AK114" s="4878">
        <f t="shared" ref="AK114" si="218">+AG114+AI114</f>
        <v>0</v>
      </c>
      <c r="AL114" s="4886">
        <f>+SUMIF(WRM!$C$7:$C$141,$D114,WRM!AK$7:AK$141)</f>
        <v>0</v>
      </c>
      <c r="AM114" s="4886">
        <f>+SUMIF(WRM!$C$7:$C$141,$D114,WRM!AL$7:AL$141)</f>
        <v>0</v>
      </c>
      <c r="AN114" s="4937"/>
      <c r="AO114" s="4876">
        <f t="shared" ref="AO114" si="219">AE114+AI114+AM114</f>
        <v>0</v>
      </c>
      <c r="AP114" s="4886"/>
      <c r="AQ114" s="4878">
        <f t="shared" si="188"/>
        <v>0</v>
      </c>
      <c r="AR114" s="4886">
        <f>+SUMIF(WRM!$C$7:$C$141,$D114,WRM!AQ$7:AQ$141)</f>
        <v>0</v>
      </c>
      <c r="AS114" s="4886">
        <f>+SUMIF(WRM!$C$7:$C$141,$D114,WRM!AR$7:AR$141)</f>
        <v>0</v>
      </c>
      <c r="AT114" s="4886"/>
      <c r="AU114" s="4878">
        <f t="shared" ref="AU114" si="220">+AQ114+AS114</f>
        <v>0</v>
      </c>
      <c r="AV114" s="4886">
        <f>+SUMIF(WRM!$C$7:$C$141,$D114,WRM!AU$7:AU$141)</f>
        <v>0</v>
      </c>
      <c r="AW114" s="4886">
        <f>+SUMIF(WRM!$C$7:$C$141,$D114,WRM!AV$7:AV$141)</f>
        <v>0</v>
      </c>
      <c r="AX114" s="4886"/>
      <c r="AY114" s="4878">
        <f t="shared" ref="AY114" si="221">+AU114+AW114</f>
        <v>0</v>
      </c>
      <c r="AZ114" s="4886">
        <f>+SUMIF(WRM!$C$7:$C$141,$D114,WRM!AY$7:AY$141)</f>
        <v>0</v>
      </c>
      <c r="BA114" s="4886">
        <f>+SUMIF(WRM!$C$7:$C$141,$D114,WRM!AZ$7:AZ$141)</f>
        <v>278.8</v>
      </c>
      <c r="BB114" s="4937"/>
      <c r="BC114" s="4876">
        <f t="shared" ref="BC114" si="222">AS114+AW114+BA114</f>
        <v>278.8</v>
      </c>
      <c r="BD114" s="4886"/>
      <c r="BE114" s="4870">
        <f t="shared" ref="BE114" si="223">AO114+BC114</f>
        <v>278.8</v>
      </c>
      <c r="BF114" s="4886"/>
      <c r="BG114" s="4878">
        <f t="shared" ref="BG114" si="224">+AY114+BA114</f>
        <v>278.8</v>
      </c>
      <c r="BH114" s="25"/>
      <c r="BI114" s="25"/>
    </row>
    <row r="115" spans="1:61" ht="15" customHeight="1" thickBot="1" x14ac:dyDescent="0.3">
      <c r="A115" s="1192"/>
      <c r="B115" s="1192"/>
      <c r="C115" s="8173"/>
      <c r="D115" s="4884" t="s">
        <v>1028</v>
      </c>
      <c r="E115" s="4884"/>
      <c r="F115" s="4885"/>
      <c r="G115" s="4886">
        <f>+SUMIF(WRM!$C$7:$C$141,$D115,WRM!F$7:F$141)</f>
        <v>45.1</v>
      </c>
      <c r="H115" s="4886"/>
      <c r="I115" s="4886">
        <f>+SUMIF(WRM!$C$7:$C$141,$D115,WRM!H$7:H$141)</f>
        <v>321.85000000000002</v>
      </c>
      <c r="J115" s="4886">
        <f>+SUMIF(WRM!$C$7:$C$141,$D115,WRM!I$7:I$141)</f>
        <v>0</v>
      </c>
      <c r="K115" s="4875">
        <f t="shared" si="175"/>
        <v>366.95000000000005</v>
      </c>
      <c r="L115" s="4886">
        <f>+SUMIF(WRM!$C$7:$C$141,$D115,WRM!K$7:K$141)</f>
        <v>0</v>
      </c>
      <c r="M115" s="4886">
        <f>+SUMIF(WRM!$C$7:$C$141,$D115,WRM!L$7:L$141)</f>
        <v>51.25</v>
      </c>
      <c r="N115" s="4886"/>
      <c r="O115" s="4876">
        <f t="shared" si="176"/>
        <v>418.20000000000005</v>
      </c>
      <c r="P115" s="4886"/>
      <c r="Q115" s="4886">
        <f>+SUMIF(WRM!$C$7:$C$141,$D115,WRM!P$7:P$141)</f>
        <v>38.949999999999996</v>
      </c>
      <c r="R115" s="4886">
        <f>+SUMIF(WRM!$C$7:$C$141,$D115,WRM!Q$7:Q$141)</f>
        <v>0</v>
      </c>
      <c r="S115" s="4875">
        <f t="shared" si="178"/>
        <v>457.15000000000003</v>
      </c>
      <c r="T115" s="4886">
        <f>+SUMIF(WRM!$C$7:$C$141,$D115,WRM!S$7:S$141)</f>
        <v>0</v>
      </c>
      <c r="U115" s="4886">
        <f>+SUMIF(WRM!$C$7:$C$141,$D115,WRM!T$7:T$141)</f>
        <v>170.15</v>
      </c>
      <c r="V115" s="4886">
        <f>+SUMIF(WRM!$C$7:$C$141,$D115,WRM!U$7:U$141)</f>
        <v>0</v>
      </c>
      <c r="W115" s="4875">
        <f t="shared" si="179"/>
        <v>627.30000000000007</v>
      </c>
      <c r="X115" s="4886">
        <f>+SUMIF(WRM!$C$7:$C$141,$D115,WRM!W$7:W$141)</f>
        <v>0</v>
      </c>
      <c r="Y115" s="4886">
        <f>+SUMIF(WRM!$C$7:$C$141,$D115,WRM!X$7:X$141)</f>
        <v>20.5</v>
      </c>
      <c r="Z115" s="4886"/>
      <c r="AA115" s="4876">
        <f t="shared" si="181"/>
        <v>229.6</v>
      </c>
      <c r="AB115" s="4886"/>
      <c r="AC115" s="4877">
        <f t="shared" si="182"/>
        <v>647.80000000000007</v>
      </c>
      <c r="AD115" s="4886"/>
      <c r="AE115" s="4886">
        <f>+SUMIF(WRM!$C$7:$C$141,$D115,WRM!AD$7:AD$141)</f>
        <v>63.55</v>
      </c>
      <c r="AF115" s="4886">
        <f>+SUMIF(WRM!$C$7:$C$141,$D115,WRM!AE$7:AE$141)</f>
        <v>0</v>
      </c>
      <c r="AG115" s="4875">
        <f t="shared" si="183"/>
        <v>711.35</v>
      </c>
      <c r="AH115" s="4886">
        <f>+SUMIF(WRM!$C$7:$C$141,$D115,WRM!AG$7:AG$141)</f>
        <v>0</v>
      </c>
      <c r="AI115" s="4886">
        <f>+SUMIF(WRM!$C$7:$C$141,$D115,WRM!AH$7:AH$141)</f>
        <v>24.6</v>
      </c>
      <c r="AJ115" s="4886"/>
      <c r="AK115" s="4878">
        <f t="shared" si="185"/>
        <v>735.95</v>
      </c>
      <c r="AL115" s="4886">
        <f>+SUMIF(WRM!$C$7:$C$141,$D115,WRM!AK$7:AK$141)</f>
        <v>0</v>
      </c>
      <c r="AM115" s="4886">
        <f>+SUMIF(WRM!$C$7:$C$141,$D115,WRM!AL$7:AL$141)</f>
        <v>96.35</v>
      </c>
      <c r="AN115" s="4937"/>
      <c r="AO115" s="4876">
        <f t="shared" si="187"/>
        <v>184.5</v>
      </c>
      <c r="AP115" s="4886"/>
      <c r="AQ115" s="4878">
        <f t="shared" si="188"/>
        <v>832.30000000000007</v>
      </c>
      <c r="AR115" s="4886">
        <f>+SUMIF(WRM!$C$7:$C$141,$D115,WRM!AQ$7:AQ$141)</f>
        <v>0</v>
      </c>
      <c r="AS115" s="4886">
        <f>+SUMIF(WRM!$C$7:$C$141,$D115,WRM!AR$7:AR$141)</f>
        <v>30.75</v>
      </c>
      <c r="AT115" s="4886"/>
      <c r="AU115" s="4878">
        <f t="shared" si="190"/>
        <v>863.05000000000007</v>
      </c>
      <c r="AV115" s="4886">
        <f>+SUMIF(WRM!$C$7:$C$141,$D115,WRM!AU$7:AU$141)</f>
        <v>0</v>
      </c>
      <c r="AW115" s="4886">
        <f>+SUMIF(WRM!$C$7:$C$141,$D115,WRM!AV$7:AV$141)</f>
        <v>57.4</v>
      </c>
      <c r="AX115" s="4886"/>
      <c r="AY115" s="4878">
        <f t="shared" si="192"/>
        <v>920.45</v>
      </c>
      <c r="AZ115" s="4886">
        <f>+SUMIF(WRM!$C$7:$C$141,$D115,WRM!AY$7:AY$141)</f>
        <v>0</v>
      </c>
      <c r="BA115" s="4886">
        <f>+SUMIF(WRM!$C$7:$C$141,$D115,WRM!AZ$7:AZ$141)</f>
        <v>38.950000000000003</v>
      </c>
      <c r="BB115" s="4937"/>
      <c r="BC115" s="4876">
        <f t="shared" si="194"/>
        <v>127.10000000000001</v>
      </c>
      <c r="BD115" s="4886"/>
      <c r="BE115" s="4870">
        <f t="shared" si="195"/>
        <v>311.60000000000002</v>
      </c>
      <c r="BF115" s="4886"/>
      <c r="BG115" s="4878">
        <f t="shared" si="196"/>
        <v>959.40000000000009</v>
      </c>
      <c r="BH115" s="25">
        <f t="shared" si="88"/>
        <v>0</v>
      </c>
      <c r="BI115" s="25"/>
    </row>
    <row r="116" spans="1:61" ht="15.75" customHeight="1" thickBot="1" x14ac:dyDescent="0.3">
      <c r="C116" s="8175"/>
      <c r="D116" s="4852" t="s">
        <v>2</v>
      </c>
      <c r="E116" s="4852"/>
      <c r="F116" s="4847"/>
      <c r="G116" s="4853">
        <f>SUM(G111:G115)</f>
        <v>243.95000000000002</v>
      </c>
      <c r="H116" s="4853"/>
      <c r="I116" s="4853">
        <f>SUM(I111:I115)</f>
        <v>3017.6</v>
      </c>
      <c r="J116" s="4853"/>
      <c r="K116" s="4888">
        <f t="shared" si="175"/>
        <v>3261.5499999999997</v>
      </c>
      <c r="L116" s="4853"/>
      <c r="M116" s="4853">
        <f>SUM(M111:M115)</f>
        <v>838.45</v>
      </c>
      <c r="N116" s="4853"/>
      <c r="O116" s="4889">
        <f t="shared" si="176"/>
        <v>4100</v>
      </c>
      <c r="P116" s="4853"/>
      <c r="Q116" s="4853">
        <f t="shared" ref="Q116:AE116" si="225">SUM(Q111:Q115)</f>
        <v>2863.8500000000004</v>
      </c>
      <c r="R116" s="4853"/>
      <c r="S116" s="4888">
        <f t="shared" si="178"/>
        <v>6963.85</v>
      </c>
      <c r="T116" s="4853"/>
      <c r="U116" s="4853">
        <f t="shared" si="225"/>
        <v>5059.3999999999996</v>
      </c>
      <c r="V116" s="4853"/>
      <c r="W116" s="4888">
        <f t="shared" si="179"/>
        <v>12023.25</v>
      </c>
      <c r="X116" s="4853"/>
      <c r="Y116" s="4853">
        <f t="shared" ref="Y116" si="226">SUM(Y111:Y115)</f>
        <v>3593.65</v>
      </c>
      <c r="Z116" s="4853"/>
      <c r="AA116" s="4889">
        <f t="shared" si="181"/>
        <v>11516.9</v>
      </c>
      <c r="AB116" s="4853"/>
      <c r="AC116" s="4890">
        <f t="shared" si="182"/>
        <v>15616.9</v>
      </c>
      <c r="AD116" s="4853"/>
      <c r="AE116" s="4853">
        <f t="shared" si="225"/>
        <v>1916.75</v>
      </c>
      <c r="AF116" s="4853"/>
      <c r="AG116" s="4888">
        <f t="shared" si="183"/>
        <v>17533.650000000001</v>
      </c>
      <c r="AH116" s="4853"/>
      <c r="AI116" s="4853">
        <f t="shared" ref="AI116" si="227">SUM(AI111:AI115)</f>
        <v>623.20000000000005</v>
      </c>
      <c r="AJ116" s="4853"/>
      <c r="AK116" s="4891">
        <f t="shared" si="185"/>
        <v>18156.850000000002</v>
      </c>
      <c r="AL116" s="4853"/>
      <c r="AM116" s="4853">
        <f t="shared" ref="AM116" si="228">SUM(AM111:AM115)</f>
        <v>4481.3000000000011</v>
      </c>
      <c r="AN116" s="4853"/>
      <c r="AO116" s="4889">
        <f t="shared" si="187"/>
        <v>7021.2500000000009</v>
      </c>
      <c r="AP116" s="4853"/>
      <c r="AQ116" s="4891">
        <f t="shared" si="188"/>
        <v>22638.15</v>
      </c>
      <c r="AR116" s="4853"/>
      <c r="AS116" s="4853">
        <f t="shared" ref="AS116" si="229">SUM(AS111:AS115)</f>
        <v>5004.05</v>
      </c>
      <c r="AT116" s="4853"/>
      <c r="AU116" s="4891">
        <f t="shared" si="190"/>
        <v>27642.2</v>
      </c>
      <c r="AV116" s="4853"/>
      <c r="AW116" s="4853">
        <f t="shared" ref="AW116" si="230">SUM(AW111:AW115)</f>
        <v>479.69999999999993</v>
      </c>
      <c r="AX116" s="4853"/>
      <c r="AY116" s="4891">
        <f t="shared" si="192"/>
        <v>28121.9</v>
      </c>
      <c r="AZ116" s="4853"/>
      <c r="BA116" s="4853">
        <f t="shared" ref="BA116" si="231">SUM(BA111:BA115)</f>
        <v>645.75</v>
      </c>
      <c r="BB116" s="4853"/>
      <c r="BC116" s="4889">
        <f t="shared" si="194"/>
        <v>6129.5</v>
      </c>
      <c r="BD116" s="4853"/>
      <c r="BE116" s="4870">
        <f t="shared" si="195"/>
        <v>13150.75</v>
      </c>
      <c r="BF116" s="4853"/>
      <c r="BG116" s="4891">
        <f t="shared" si="196"/>
        <v>28767.65</v>
      </c>
      <c r="BH116" s="25">
        <f t="shared" si="88"/>
        <v>0</v>
      </c>
      <c r="BI116" s="25"/>
    </row>
    <row r="117" spans="1:61" s="7233" customFormat="1" ht="21.75" hidden="1" customHeight="1" thickBot="1" x14ac:dyDescent="0.3">
      <c r="C117" s="7256"/>
      <c r="D117" s="7257" t="s">
        <v>1437</v>
      </c>
      <c r="E117" s="7258"/>
      <c r="F117" s="7258"/>
      <c r="G117" s="4886">
        <f>+G110-G116</f>
        <v>-1.0203393685515039E-11</v>
      </c>
      <c r="H117" s="4886">
        <f t="shared" ref="H117:AK117" si="232">+H110-H116</f>
        <v>0</v>
      </c>
      <c r="I117" s="4886">
        <f t="shared" si="232"/>
        <v>0</v>
      </c>
      <c r="J117" s="4886">
        <f t="shared" si="232"/>
        <v>0</v>
      </c>
      <c r="K117" s="4886">
        <f t="shared" si="232"/>
        <v>-1.1368683772161603E-11</v>
      </c>
      <c r="L117" s="4886">
        <f t="shared" si="232"/>
        <v>0</v>
      </c>
      <c r="M117" s="4886">
        <f t="shared" si="232"/>
        <v>-1.0231815394945443E-11</v>
      </c>
      <c r="N117" s="4886">
        <f t="shared" si="232"/>
        <v>0</v>
      </c>
      <c r="O117" s="4886">
        <f t="shared" si="232"/>
        <v>-2.1827872842550278E-11</v>
      </c>
      <c r="P117" s="4886">
        <f t="shared" si="232"/>
        <v>0</v>
      </c>
      <c r="Q117" s="4886">
        <f t="shared" si="232"/>
        <v>-9.0949470177292824E-12</v>
      </c>
      <c r="R117" s="4886">
        <f t="shared" si="232"/>
        <v>0</v>
      </c>
      <c r="S117" s="4886">
        <f t="shared" si="232"/>
        <v>-3.092281986027956E-11</v>
      </c>
      <c r="T117" s="4886">
        <f t="shared" si="232"/>
        <v>0</v>
      </c>
      <c r="U117" s="4886">
        <f t="shared" si="232"/>
        <v>0</v>
      </c>
      <c r="V117" s="4886">
        <f t="shared" si="232"/>
        <v>0</v>
      </c>
      <c r="W117" s="4886">
        <f t="shared" si="232"/>
        <v>-2.9103830456733704E-11</v>
      </c>
      <c r="X117" s="4886">
        <f t="shared" si="232"/>
        <v>0</v>
      </c>
      <c r="Y117" s="4886">
        <f t="shared" si="232"/>
        <v>8.6401996668428183E-12</v>
      </c>
      <c r="Z117" s="4886">
        <f t="shared" si="232"/>
        <v>0</v>
      </c>
      <c r="AA117" s="4886">
        <f t="shared" si="232"/>
        <v>0</v>
      </c>
      <c r="AB117" s="4886">
        <f t="shared" si="232"/>
        <v>0</v>
      </c>
      <c r="AC117" s="4886">
        <f t="shared" si="232"/>
        <v>-2.0008883439004421E-11</v>
      </c>
      <c r="AD117" s="4886">
        <f t="shared" si="232"/>
        <v>0</v>
      </c>
      <c r="AE117" s="4886">
        <f t="shared" si="232"/>
        <v>3.637978807091713E-12</v>
      </c>
      <c r="AF117" s="4886">
        <f t="shared" si="232"/>
        <v>0</v>
      </c>
      <c r="AG117" s="4886">
        <f t="shared" si="232"/>
        <v>0</v>
      </c>
      <c r="AH117" s="4886">
        <f t="shared" si="232"/>
        <v>0</v>
      </c>
      <c r="AI117" s="4886">
        <f t="shared" si="232"/>
        <v>4.3200998334214091E-12</v>
      </c>
      <c r="AJ117" s="4886">
        <f t="shared" si="232"/>
        <v>0</v>
      </c>
      <c r="AK117" s="4886">
        <f t="shared" si="232"/>
        <v>0</v>
      </c>
      <c r="AL117" s="4886">
        <f t="shared" ref="AL117:AQ117" si="233">+AL110-AL116</f>
        <v>0</v>
      </c>
      <c r="AM117" s="4886">
        <f t="shared" si="233"/>
        <v>9.0949470177292824E-12</v>
      </c>
      <c r="AN117" s="4937"/>
      <c r="AO117" s="4886">
        <f t="shared" ref="AO117" si="234">+AO110-AO116</f>
        <v>1.7280399333685637E-11</v>
      </c>
      <c r="AP117" s="4886">
        <f t="shared" si="233"/>
        <v>0</v>
      </c>
      <c r="AQ117" s="4886">
        <f t="shared" si="233"/>
        <v>0</v>
      </c>
      <c r="AR117" s="4886">
        <f t="shared" ref="AR117:AU117" si="235">+AR110-AR116</f>
        <v>0</v>
      </c>
      <c r="AS117" s="4886">
        <f t="shared" si="235"/>
        <v>1.0004441719502211E-11</v>
      </c>
      <c r="AT117" s="4886">
        <f t="shared" si="235"/>
        <v>0</v>
      </c>
      <c r="AU117" s="4886">
        <f t="shared" si="235"/>
        <v>0</v>
      </c>
      <c r="AV117" s="4886">
        <f t="shared" ref="AV117:AY117" si="236">+AV110-AV116</f>
        <v>0</v>
      </c>
      <c r="AW117" s="4886">
        <f t="shared" si="236"/>
        <v>-2.8421709430404007E-12</v>
      </c>
      <c r="AX117" s="4886">
        <f t="shared" si="236"/>
        <v>0</v>
      </c>
      <c r="AY117" s="4886">
        <f t="shared" si="236"/>
        <v>0</v>
      </c>
      <c r="AZ117" s="4886">
        <f t="shared" ref="AZ117:BG117" si="237">+AZ110-AZ116</f>
        <v>0</v>
      </c>
      <c r="BA117" s="4886">
        <f t="shared" si="237"/>
        <v>7.2759576141834259E-12</v>
      </c>
      <c r="BB117" s="4937"/>
      <c r="BC117" s="4886">
        <f t="shared" ref="BC117:BE117" si="238">+BC110-BC116</f>
        <v>1.4551915228366852E-11</v>
      </c>
      <c r="BD117" s="4886">
        <f t="shared" si="238"/>
        <v>0</v>
      </c>
      <c r="BE117" s="4886">
        <f t="shared" si="238"/>
        <v>3.2741809263825417E-11</v>
      </c>
      <c r="BF117" s="4886">
        <f t="shared" si="237"/>
        <v>0</v>
      </c>
      <c r="BG117" s="4886">
        <f t="shared" si="237"/>
        <v>0</v>
      </c>
      <c r="BH117" s="4152">
        <f t="shared" si="88"/>
        <v>1.0601297617540695E-11</v>
      </c>
      <c r="BI117" s="4152"/>
    </row>
    <row r="118" spans="1:61" s="4487" customFormat="1" ht="21.75" customHeight="1" thickBot="1" x14ac:dyDescent="0.3">
      <c r="BH118" s="25">
        <f t="shared" si="88"/>
        <v>0</v>
      </c>
      <c r="BI118" s="25"/>
    </row>
    <row r="119" spans="1:61" ht="18.75" customHeight="1" thickBot="1" x14ac:dyDescent="0.3">
      <c r="C119" s="8169" t="s">
        <v>91</v>
      </c>
      <c r="D119" s="4862" t="s">
        <v>1443</v>
      </c>
      <c r="E119" s="4862"/>
      <c r="F119" s="4845"/>
      <c r="G119" s="4863">
        <f>+BM!F56</f>
        <v>74661.040000000066</v>
      </c>
      <c r="H119" s="4863"/>
      <c r="I119" s="4863">
        <f>+BM!H56</f>
        <v>76175.635000000068</v>
      </c>
      <c r="J119" s="4863"/>
      <c r="K119" s="4868">
        <f t="shared" ref="K119:K120" si="239">+G119+I119</f>
        <v>150836.67500000013</v>
      </c>
      <c r="L119" s="4863"/>
      <c r="M119" s="4863">
        <f>+BM!L56</f>
        <v>73644.015000000058</v>
      </c>
      <c r="N119" s="4863"/>
      <c r="O119" s="4869">
        <f t="shared" ref="O119:O120" si="240">+G119+I119+M119</f>
        <v>224480.69000000018</v>
      </c>
      <c r="P119" s="4863"/>
      <c r="Q119" s="4863">
        <f>+BM!P56</f>
        <v>88056.490000000107</v>
      </c>
      <c r="R119" s="4863"/>
      <c r="S119" s="4868">
        <f t="shared" ref="S119:S120" si="241">O119+Q119</f>
        <v>312537.18000000028</v>
      </c>
      <c r="T119" s="4863"/>
      <c r="U119" s="4863">
        <f>+BM!T56</f>
        <v>75853.695000000036</v>
      </c>
      <c r="V119" s="4863"/>
      <c r="W119" s="4868">
        <f t="shared" ref="W119:W120" si="242">S119+U119</f>
        <v>388390.87500000035</v>
      </c>
      <c r="X119" s="4863"/>
      <c r="Y119" s="4863">
        <f>+BM!X56</f>
        <v>76319.035000000062</v>
      </c>
      <c r="Z119" s="4863"/>
      <c r="AA119" s="4869">
        <f t="shared" ref="AA119:AA120" si="243">Q119+U119+Y119</f>
        <v>240229.2200000002</v>
      </c>
      <c r="AB119" s="4863"/>
      <c r="AC119" s="4870">
        <f t="shared" ref="AC119:AC120" si="244">O119+AA119</f>
        <v>464709.91000000038</v>
      </c>
      <c r="AD119" s="4863"/>
      <c r="AE119" s="4863">
        <f>+BM!AD56</f>
        <v>50950.275000000081</v>
      </c>
      <c r="AF119" s="4863"/>
      <c r="AG119" s="4868">
        <f t="shared" ref="AG119:AG120" si="245">+AC119+AE119</f>
        <v>515660.18500000046</v>
      </c>
      <c r="AH119" s="4863"/>
      <c r="AI119" s="4863">
        <f>+BM!AH56</f>
        <v>69720.765000000058</v>
      </c>
      <c r="AJ119" s="4863"/>
      <c r="AK119" s="4871">
        <f t="shared" ref="AK119:AK120" si="246">+AG119+AI119</f>
        <v>585380.95000000054</v>
      </c>
      <c r="AL119" s="4863"/>
      <c r="AM119" s="4863">
        <f>+BM!AL56</f>
        <v>81616.765000000145</v>
      </c>
      <c r="AN119" s="4863"/>
      <c r="AO119" s="4869">
        <f t="shared" ref="AO119:AO120" si="247">AE119+AI119+AM119</f>
        <v>202287.80500000028</v>
      </c>
      <c r="AP119" s="4863"/>
      <c r="AQ119" s="4871">
        <f>+AK119+AM119</f>
        <v>666997.71500000067</v>
      </c>
      <c r="AR119" s="4863"/>
      <c r="AS119" s="4863">
        <f>+BM!AR56</f>
        <v>85804.600000000122</v>
      </c>
      <c r="AT119" s="4863"/>
      <c r="AU119" s="4871">
        <f t="shared" ref="AU119:AU120" si="248">+AQ119+AS119</f>
        <v>752802.31500000076</v>
      </c>
      <c r="AV119" s="4863"/>
      <c r="AW119" s="4863">
        <f>+BM!AV56</f>
        <v>74058.320000000094</v>
      </c>
      <c r="AX119" s="4863"/>
      <c r="AY119" s="4871">
        <f t="shared" ref="AY119:AY120" si="249">+AU119+AW119</f>
        <v>826860.63500000082</v>
      </c>
      <c r="AZ119" s="4863"/>
      <c r="BA119" s="4863">
        <f>+BM!AZ56</f>
        <v>81200</v>
      </c>
      <c r="BB119" s="4863"/>
      <c r="BC119" s="4869">
        <f t="shared" ref="BC119:BC120" si="250">AS119+AW119+BA119</f>
        <v>241062.92000000022</v>
      </c>
      <c r="BD119" s="4863"/>
      <c r="BE119" s="4870">
        <f t="shared" ref="BE119:BE120" si="251">AO119+BC119</f>
        <v>443350.7250000005</v>
      </c>
      <c r="BF119" s="4863"/>
      <c r="BG119" s="4871">
        <f t="shared" ref="BG119:BG120" si="252">+AY119+BA119</f>
        <v>908060.63500000082</v>
      </c>
      <c r="BH119" s="25">
        <f t="shared" si="88"/>
        <v>0</v>
      </c>
      <c r="BI119" s="25"/>
    </row>
    <row r="120" spans="1:61" ht="18.75" customHeight="1" x14ac:dyDescent="0.25">
      <c r="C120" s="8170"/>
      <c r="D120" s="4872" t="s">
        <v>2283</v>
      </c>
      <c r="E120" s="4872"/>
      <c r="F120" s="4846"/>
      <c r="G120" s="4858">
        <f>+G46</f>
        <v>74661.040000000066</v>
      </c>
      <c r="H120" s="4858"/>
      <c r="I120" s="4858">
        <f>+I46</f>
        <v>76175.635000000053</v>
      </c>
      <c r="J120" s="4858"/>
      <c r="K120" s="4875">
        <f t="shared" si="239"/>
        <v>150836.6750000001</v>
      </c>
      <c r="L120" s="4858"/>
      <c r="M120" s="4858">
        <f>+M46</f>
        <v>73644.015000000058</v>
      </c>
      <c r="N120" s="4858"/>
      <c r="O120" s="4876">
        <f t="shared" si="240"/>
        <v>224480.69000000018</v>
      </c>
      <c r="P120" s="4858"/>
      <c r="Q120" s="4858">
        <f>+Q46</f>
        <v>88056.490000000093</v>
      </c>
      <c r="R120" s="4858"/>
      <c r="S120" s="4875">
        <f t="shared" si="241"/>
        <v>312537.18000000028</v>
      </c>
      <c r="T120" s="4858"/>
      <c r="U120" s="4858">
        <f>+U46</f>
        <v>75853.695000000051</v>
      </c>
      <c r="V120" s="4858"/>
      <c r="W120" s="4875">
        <f t="shared" si="242"/>
        <v>388390.87500000035</v>
      </c>
      <c r="X120" s="4858"/>
      <c r="Y120" s="4858">
        <f>+Y46</f>
        <v>76319.035000000076</v>
      </c>
      <c r="Z120" s="4858"/>
      <c r="AA120" s="4876">
        <f t="shared" si="243"/>
        <v>240229.2200000002</v>
      </c>
      <c r="AB120" s="4858"/>
      <c r="AC120" s="4877">
        <f t="shared" si="244"/>
        <v>464709.91000000038</v>
      </c>
      <c r="AD120" s="4858"/>
      <c r="AE120" s="4858">
        <f>+AE46</f>
        <v>50950.275000000074</v>
      </c>
      <c r="AF120" s="4858"/>
      <c r="AG120" s="4875">
        <f t="shared" si="245"/>
        <v>515660.18500000046</v>
      </c>
      <c r="AH120" s="4858"/>
      <c r="AI120" s="4858">
        <f>+AI46</f>
        <v>69720.765000000058</v>
      </c>
      <c r="AJ120" s="4858"/>
      <c r="AK120" s="4878">
        <f t="shared" si="246"/>
        <v>585380.95000000054</v>
      </c>
      <c r="AL120" s="4858"/>
      <c r="AM120" s="4858">
        <f>+AM46</f>
        <v>81616.765000000145</v>
      </c>
      <c r="AN120" s="4858"/>
      <c r="AO120" s="4876">
        <f t="shared" si="247"/>
        <v>202287.80500000028</v>
      </c>
      <c r="AP120" s="4858"/>
      <c r="AQ120" s="4878">
        <f>+AK120+AM120</f>
        <v>666997.71500000067</v>
      </c>
      <c r="AR120" s="4858"/>
      <c r="AS120" s="4858">
        <f>+AS46</f>
        <v>85804.600000000122</v>
      </c>
      <c r="AT120" s="4858"/>
      <c r="AU120" s="4878">
        <f t="shared" si="248"/>
        <v>752802.31500000076</v>
      </c>
      <c r="AV120" s="4858"/>
      <c r="AW120" s="4858">
        <f>+AW46</f>
        <v>74058.320000000094</v>
      </c>
      <c r="AX120" s="4858"/>
      <c r="AY120" s="4878">
        <f t="shared" si="249"/>
        <v>826860.63500000082</v>
      </c>
      <c r="AZ120" s="4858"/>
      <c r="BA120" s="4858">
        <f>+BA46</f>
        <v>81200</v>
      </c>
      <c r="BB120" s="4858"/>
      <c r="BC120" s="4876">
        <f t="shared" si="250"/>
        <v>241062.92000000022</v>
      </c>
      <c r="BD120" s="4858"/>
      <c r="BE120" s="4870">
        <f t="shared" si="251"/>
        <v>443350.7250000005</v>
      </c>
      <c r="BF120" s="4858"/>
      <c r="BG120" s="4878">
        <f t="shared" si="252"/>
        <v>908060.63500000082</v>
      </c>
      <c r="BH120" s="25">
        <f t="shared" si="88"/>
        <v>0</v>
      </c>
      <c r="BI120" s="25"/>
    </row>
    <row r="121" spans="1:61" ht="19.5" customHeight="1" thickBot="1" x14ac:dyDescent="0.3">
      <c r="C121" s="8171"/>
      <c r="D121" s="4865" t="s">
        <v>1444</v>
      </c>
      <c r="E121" s="4865"/>
      <c r="F121" s="4847"/>
      <c r="G121" s="4866">
        <f>+G120/G119</f>
        <v>1</v>
      </c>
      <c r="H121" s="4866"/>
      <c r="I121" s="4866">
        <f>+I120/I119</f>
        <v>0.99999999999999978</v>
      </c>
      <c r="J121" s="4866"/>
      <c r="K121" s="4854">
        <f t="shared" ref="K121:AG121" si="253">+K120/K119</f>
        <v>0.99999999999999978</v>
      </c>
      <c r="L121" s="4866"/>
      <c r="M121" s="4866">
        <f>+M120/M119</f>
        <v>1</v>
      </c>
      <c r="N121" s="4866"/>
      <c r="O121" s="4855">
        <f t="shared" si="253"/>
        <v>1</v>
      </c>
      <c r="P121" s="4866"/>
      <c r="Q121" s="4866">
        <f t="shared" si="253"/>
        <v>0.99999999999999989</v>
      </c>
      <c r="R121" s="4866"/>
      <c r="S121" s="4854">
        <f t="shared" si="253"/>
        <v>1</v>
      </c>
      <c r="T121" s="4866"/>
      <c r="U121" s="4866">
        <f t="shared" si="253"/>
        <v>1.0000000000000002</v>
      </c>
      <c r="V121" s="4866"/>
      <c r="W121" s="4854">
        <f t="shared" si="253"/>
        <v>1</v>
      </c>
      <c r="X121" s="4866"/>
      <c r="Y121" s="4866">
        <f t="shared" ref="Y121" si="254">+Y120/Y119</f>
        <v>1.0000000000000002</v>
      </c>
      <c r="Z121" s="4866"/>
      <c r="AA121" s="4855">
        <f t="shared" si="253"/>
        <v>1</v>
      </c>
      <c r="AB121" s="4866"/>
      <c r="AC121" s="4856">
        <f t="shared" si="253"/>
        <v>1</v>
      </c>
      <c r="AD121" s="4866"/>
      <c r="AE121" s="4866">
        <f t="shared" si="253"/>
        <v>0.99999999999999989</v>
      </c>
      <c r="AF121" s="4866"/>
      <c r="AG121" s="4854">
        <f t="shared" si="253"/>
        <v>1</v>
      </c>
      <c r="AH121" s="4866"/>
      <c r="AI121" s="4866">
        <f t="shared" ref="AI121" si="255">+AI120/AI119</f>
        <v>1</v>
      </c>
      <c r="AJ121" s="4866"/>
      <c r="AK121" s="4895">
        <f t="shared" ref="AK121" si="256">+AK120/AK119</f>
        <v>1</v>
      </c>
      <c r="AL121" s="4866"/>
      <c r="AM121" s="4866">
        <f t="shared" ref="AM121" si="257">+AM120/AM119</f>
        <v>1</v>
      </c>
      <c r="AN121" s="4866"/>
      <c r="AO121" s="4855">
        <f t="shared" ref="AO121" si="258">+AO120/AO119</f>
        <v>1</v>
      </c>
      <c r="AP121" s="4866"/>
      <c r="AQ121" s="4895">
        <f t="shared" ref="AQ121" si="259">+AQ120/AQ119</f>
        <v>1</v>
      </c>
      <c r="AR121" s="4866"/>
      <c r="AS121" s="4866">
        <f t="shared" ref="AS121" si="260">+AS120/AS119</f>
        <v>1</v>
      </c>
      <c r="AT121" s="4866"/>
      <c r="AU121" s="4895">
        <f t="shared" ref="AU121" si="261">+AU120/AU119</f>
        <v>1</v>
      </c>
      <c r="AV121" s="4866"/>
      <c r="AW121" s="4866">
        <f t="shared" ref="AW121" si="262">+AW120/AW119</f>
        <v>1</v>
      </c>
      <c r="AX121" s="4866"/>
      <c r="AY121" s="4895">
        <f t="shared" ref="AY121" si="263">+AY120/AY119</f>
        <v>1</v>
      </c>
      <c r="AZ121" s="4866"/>
      <c r="BA121" s="4866">
        <f t="shared" ref="BA121" si="264">+BA120/BA119</f>
        <v>1</v>
      </c>
      <c r="BB121" s="4866"/>
      <c r="BC121" s="4855">
        <f t="shared" ref="BC121" si="265">+BC120/BC119</f>
        <v>1</v>
      </c>
      <c r="BD121" s="4866"/>
      <c r="BE121" s="4856">
        <f t="shared" ref="BE121" si="266">+BE120/BE119</f>
        <v>1</v>
      </c>
      <c r="BF121" s="4866"/>
      <c r="BG121" s="4895">
        <f t="shared" ref="BG121" si="267">+BG120/BG119</f>
        <v>1</v>
      </c>
      <c r="BH121" s="25">
        <f t="shared" si="88"/>
        <v>11</v>
      </c>
      <c r="BI121" s="25"/>
    </row>
    <row r="122" spans="1:61" s="4487" customFormat="1" ht="15.75" thickBot="1" x14ac:dyDescent="0.3">
      <c r="BH122" s="25">
        <f t="shared" si="88"/>
        <v>0</v>
      </c>
      <c r="BI122" s="25"/>
    </row>
    <row r="123" spans="1:61" ht="18.75" customHeight="1" thickBot="1" x14ac:dyDescent="0.3">
      <c r="C123" s="8169" t="s">
        <v>109</v>
      </c>
      <c r="D123" s="4862" t="s">
        <v>1443</v>
      </c>
      <c r="E123" s="4862"/>
      <c r="F123" s="4845"/>
      <c r="G123" s="4863">
        <f>+USM!G122</f>
        <v>52516.132000000005</v>
      </c>
      <c r="H123" s="4863"/>
      <c r="I123" s="4863">
        <f>+USM!I122</f>
        <v>57219.144</v>
      </c>
      <c r="J123" s="4863"/>
      <c r="K123" s="4868">
        <f t="shared" ref="K123:K124" si="268">+G123+I123</f>
        <v>109735.27600000001</v>
      </c>
      <c r="L123" s="4863"/>
      <c r="M123" s="4863">
        <f>+USM!M122</f>
        <v>58674.632999999994</v>
      </c>
      <c r="N123" s="4864"/>
      <c r="O123" s="4869">
        <f t="shared" ref="O123:O124" si="269">+G123+I123+M123</f>
        <v>168409.90900000001</v>
      </c>
      <c r="P123" s="4864"/>
      <c r="Q123" s="4863">
        <f>+USM!Q122</f>
        <v>57327.387000000002</v>
      </c>
      <c r="R123" s="4864"/>
      <c r="S123" s="4868">
        <f t="shared" ref="S123:S124" si="270">O123+Q123</f>
        <v>225737.29600000003</v>
      </c>
      <c r="T123" s="4864"/>
      <c r="U123" s="4863">
        <f>+USM!U122</f>
        <v>44406.292999999998</v>
      </c>
      <c r="V123" s="4863"/>
      <c r="W123" s="4868">
        <f t="shared" ref="W123:W124" si="271">S123+U123</f>
        <v>270143.58900000004</v>
      </c>
      <c r="X123" s="4863"/>
      <c r="Y123" s="4863">
        <f>+USM!Y122</f>
        <v>49996.715999999993</v>
      </c>
      <c r="Z123" s="4864"/>
      <c r="AA123" s="4869">
        <f t="shared" ref="AA123:AA124" si="272">Q123+U123+Y123</f>
        <v>151730.39599999998</v>
      </c>
      <c r="AB123" s="4864"/>
      <c r="AC123" s="4870">
        <f t="shared" ref="AC123:AC124" si="273">O123+AA123</f>
        <v>320140.30499999999</v>
      </c>
      <c r="AD123" s="4864"/>
      <c r="AE123" s="4863">
        <f>+USM!AE122</f>
        <v>29659.897000000008</v>
      </c>
      <c r="AF123" s="4864"/>
      <c r="AG123" s="4868">
        <f t="shared" ref="AG123:AG124" si="274">+AC123+AE123</f>
        <v>349800.20199999999</v>
      </c>
      <c r="AH123" s="4864"/>
      <c r="AI123" s="4863">
        <f>+USM!AI122</f>
        <v>49060.044000000016</v>
      </c>
      <c r="AJ123" s="4864"/>
      <c r="AK123" s="4871">
        <f t="shared" ref="AK123:AK124" si="275">+AG123+AI123</f>
        <v>398860.24599999998</v>
      </c>
      <c r="AL123" s="4864"/>
      <c r="AM123" s="4863">
        <f>+USM!AM122</f>
        <v>52987.18</v>
      </c>
      <c r="AN123" s="4863"/>
      <c r="AO123" s="4869">
        <f t="shared" ref="AO123:AO124" si="276">AE123+AI123+AM123</f>
        <v>131707.12100000001</v>
      </c>
      <c r="AP123" s="4864"/>
      <c r="AQ123" s="4871">
        <f>+AK123+AM123</f>
        <v>451847.42599999998</v>
      </c>
      <c r="AR123" s="4864"/>
      <c r="AS123" s="4863">
        <f>+USM!AS122</f>
        <v>56169.977999999988</v>
      </c>
      <c r="AT123" s="4864"/>
      <c r="AU123" s="4871">
        <f t="shared" ref="AU123:AU124" si="277">+AQ123+AS123</f>
        <v>508017.40399999998</v>
      </c>
      <c r="AV123" s="4864"/>
      <c r="AW123" s="4863">
        <f>+USM!AW122</f>
        <v>54279.397999999994</v>
      </c>
      <c r="AX123" s="4864"/>
      <c r="AY123" s="4871">
        <f t="shared" ref="AY123:AY124" si="278">+AU123+AW123</f>
        <v>562296.80200000003</v>
      </c>
      <c r="AZ123" s="4864"/>
      <c r="BA123" s="4863">
        <f>+USM!BA122</f>
        <v>63120.145999999993</v>
      </c>
      <c r="BB123" s="4863"/>
      <c r="BC123" s="4869">
        <f t="shared" ref="BC123:BC124" si="279">AS123+AW123+BA123</f>
        <v>173569.522</v>
      </c>
      <c r="BD123" s="4864"/>
      <c r="BE123" s="4870">
        <f t="shared" ref="BE123:BE124" si="280">AO123+BC123</f>
        <v>305276.64300000004</v>
      </c>
      <c r="BF123" s="4864"/>
      <c r="BG123" s="4871">
        <f t="shared" ref="BG123:BG124" si="281">+AY123+BA123</f>
        <v>625416.94799999997</v>
      </c>
      <c r="BH123" s="25">
        <f t="shared" si="88"/>
        <v>0</v>
      </c>
      <c r="BI123" s="25"/>
    </row>
    <row r="124" spans="1:61" ht="18.75" customHeight="1" x14ac:dyDescent="0.25">
      <c r="C124" s="8170"/>
      <c r="D124" s="4872" t="s">
        <v>2283</v>
      </c>
      <c r="E124" s="4872"/>
      <c r="F124" s="4846"/>
      <c r="G124" s="4858">
        <f>+G54</f>
        <v>52516.131999999998</v>
      </c>
      <c r="H124" s="4858"/>
      <c r="I124" s="4858">
        <f>+I54</f>
        <v>57219.144</v>
      </c>
      <c r="J124" s="4858"/>
      <c r="K124" s="4875">
        <f t="shared" si="268"/>
        <v>109735.276</v>
      </c>
      <c r="L124" s="4858"/>
      <c r="M124" s="4858">
        <f>+M54</f>
        <v>58674.632999999994</v>
      </c>
      <c r="N124" s="4858"/>
      <c r="O124" s="4876">
        <f t="shared" si="269"/>
        <v>168409.90899999999</v>
      </c>
      <c r="P124" s="4858"/>
      <c r="Q124" s="4858">
        <f>+Q54</f>
        <v>57327.387000000002</v>
      </c>
      <c r="R124" s="4858"/>
      <c r="S124" s="4875">
        <f t="shared" si="270"/>
        <v>225737.29599999997</v>
      </c>
      <c r="T124" s="4858"/>
      <c r="U124" s="4858">
        <f>+U54</f>
        <v>44406.292999999991</v>
      </c>
      <c r="V124" s="4858"/>
      <c r="W124" s="4875">
        <f t="shared" si="271"/>
        <v>270143.58899999998</v>
      </c>
      <c r="X124" s="4858"/>
      <c r="Y124" s="4858">
        <f>+Y54</f>
        <v>49996.715999999993</v>
      </c>
      <c r="Z124" s="4858"/>
      <c r="AA124" s="4876">
        <f t="shared" si="272"/>
        <v>151730.39599999998</v>
      </c>
      <c r="AB124" s="4858"/>
      <c r="AC124" s="4877">
        <f t="shared" si="273"/>
        <v>320140.30499999993</v>
      </c>
      <c r="AD124" s="4858"/>
      <c r="AE124" s="4858">
        <f>+AE54</f>
        <v>29659.897000000004</v>
      </c>
      <c r="AF124" s="4858"/>
      <c r="AG124" s="4875">
        <f t="shared" si="274"/>
        <v>349800.20199999993</v>
      </c>
      <c r="AH124" s="4858"/>
      <c r="AI124" s="4858">
        <f>+AI54</f>
        <v>49060.043999999987</v>
      </c>
      <c r="AJ124" s="4858"/>
      <c r="AK124" s="4878">
        <f t="shared" si="275"/>
        <v>398860.24599999993</v>
      </c>
      <c r="AL124" s="4858"/>
      <c r="AM124" s="4858">
        <f>+AM54</f>
        <v>52987.179999999993</v>
      </c>
      <c r="AN124" s="4858"/>
      <c r="AO124" s="4876">
        <f t="shared" si="276"/>
        <v>131707.12099999998</v>
      </c>
      <c r="AP124" s="4858"/>
      <c r="AQ124" s="4878">
        <f>+AK124+AM124</f>
        <v>451847.42599999992</v>
      </c>
      <c r="AR124" s="4858"/>
      <c r="AS124" s="4858">
        <f>+AS54</f>
        <v>56169.977999999988</v>
      </c>
      <c r="AT124" s="4858"/>
      <c r="AU124" s="4878">
        <f t="shared" si="277"/>
        <v>508017.40399999992</v>
      </c>
      <c r="AV124" s="4858"/>
      <c r="AW124" s="4858">
        <f>+AW54</f>
        <v>54279.398000000008</v>
      </c>
      <c r="AX124" s="4858"/>
      <c r="AY124" s="4878">
        <f t="shared" si="278"/>
        <v>562296.80199999991</v>
      </c>
      <c r="AZ124" s="4858"/>
      <c r="BA124" s="4858">
        <f>+BA54</f>
        <v>63120.145999999993</v>
      </c>
      <c r="BB124" s="4858"/>
      <c r="BC124" s="4876">
        <f t="shared" si="279"/>
        <v>173569.522</v>
      </c>
      <c r="BD124" s="4858"/>
      <c r="BE124" s="4870">
        <f t="shared" si="280"/>
        <v>305276.64299999998</v>
      </c>
      <c r="BF124" s="4858"/>
      <c r="BG124" s="4878">
        <f t="shared" si="281"/>
        <v>625416.94799999986</v>
      </c>
      <c r="BH124" s="25">
        <f t="shared" si="88"/>
        <v>0</v>
      </c>
      <c r="BI124" s="25"/>
    </row>
    <row r="125" spans="1:61" ht="19.5" customHeight="1" thickBot="1" x14ac:dyDescent="0.3">
      <c r="C125" s="8171"/>
      <c r="D125" s="4865" t="s">
        <v>1444</v>
      </c>
      <c r="E125" s="4865"/>
      <c r="F125" s="4847"/>
      <c r="G125" s="4866">
        <f>+G124/G123</f>
        <v>0.99999999999999989</v>
      </c>
      <c r="H125" s="4866"/>
      <c r="I125" s="4866">
        <f>+I124/I123</f>
        <v>1</v>
      </c>
      <c r="J125" s="4866"/>
      <c r="K125" s="4854">
        <f t="shared" ref="K125:AG125" si="282">+K124/K123</f>
        <v>0.99999999999999989</v>
      </c>
      <c r="L125" s="4866"/>
      <c r="M125" s="4866">
        <f>+M124/M123</f>
        <v>1</v>
      </c>
      <c r="N125" s="4866"/>
      <c r="O125" s="4855">
        <f t="shared" si="282"/>
        <v>0.99999999999999978</v>
      </c>
      <c r="P125" s="4866"/>
      <c r="Q125" s="4866">
        <f t="shared" si="282"/>
        <v>1</v>
      </c>
      <c r="R125" s="4866"/>
      <c r="S125" s="4854">
        <f t="shared" si="282"/>
        <v>0.99999999999999978</v>
      </c>
      <c r="T125" s="4866"/>
      <c r="U125" s="4866">
        <f t="shared" si="282"/>
        <v>0.99999999999999989</v>
      </c>
      <c r="V125" s="4866"/>
      <c r="W125" s="4854">
        <f t="shared" si="282"/>
        <v>0.99999999999999978</v>
      </c>
      <c r="X125" s="4866"/>
      <c r="Y125" s="4866">
        <f t="shared" ref="Y125" si="283">+Y124/Y123</f>
        <v>1</v>
      </c>
      <c r="Z125" s="4866"/>
      <c r="AA125" s="4855">
        <f t="shared" si="282"/>
        <v>1</v>
      </c>
      <c r="AB125" s="4866"/>
      <c r="AC125" s="4856">
        <f t="shared" si="282"/>
        <v>0.99999999999999978</v>
      </c>
      <c r="AD125" s="4866"/>
      <c r="AE125" s="4866">
        <f t="shared" si="282"/>
        <v>0.99999999999999989</v>
      </c>
      <c r="AF125" s="4866"/>
      <c r="AG125" s="4854">
        <f t="shared" si="282"/>
        <v>0.99999999999999989</v>
      </c>
      <c r="AH125" s="4866"/>
      <c r="AI125" s="4866">
        <f t="shared" ref="AI125" si="284">+AI124/AI123</f>
        <v>0.99999999999999944</v>
      </c>
      <c r="AJ125" s="4866"/>
      <c r="AK125" s="4895">
        <f t="shared" ref="AK125" si="285">+AK124/AK123</f>
        <v>0.99999999999999989</v>
      </c>
      <c r="AL125" s="4866"/>
      <c r="AM125" s="4866">
        <f t="shared" ref="AM125" si="286">+AM124/AM123</f>
        <v>0.99999999999999989</v>
      </c>
      <c r="AN125" s="4866"/>
      <c r="AO125" s="4855">
        <f t="shared" ref="AO125" si="287">+AO124/AO123</f>
        <v>0.99999999999999978</v>
      </c>
      <c r="AP125" s="4866"/>
      <c r="AQ125" s="4895">
        <f t="shared" ref="AQ125" si="288">+AQ124/AQ123</f>
        <v>0.99999999999999989</v>
      </c>
      <c r="AR125" s="4866"/>
      <c r="AS125" s="4866">
        <f t="shared" ref="AS125" si="289">+AS124/AS123</f>
        <v>1</v>
      </c>
      <c r="AT125" s="4866"/>
      <c r="AU125" s="4895">
        <f t="shared" ref="AU125" si="290">+AU124/AU123</f>
        <v>0.99999999999999989</v>
      </c>
      <c r="AV125" s="4866"/>
      <c r="AW125" s="4866">
        <f t="shared" ref="AW125" si="291">+AW124/AW123</f>
        <v>1.0000000000000002</v>
      </c>
      <c r="AX125" s="4866"/>
      <c r="AY125" s="4895">
        <f t="shared" ref="AY125" si="292">+AY124/AY123</f>
        <v>0.99999999999999978</v>
      </c>
      <c r="AZ125" s="4866"/>
      <c r="BA125" s="4866">
        <f t="shared" ref="BA125" si="293">+BA124/BA123</f>
        <v>1</v>
      </c>
      <c r="BB125" s="4866"/>
      <c r="BC125" s="4855">
        <f t="shared" ref="BC125" si="294">+BC124/BC123</f>
        <v>1</v>
      </c>
      <c r="BD125" s="4866"/>
      <c r="BE125" s="4856">
        <f t="shared" ref="BE125" si="295">+BE124/BE123</f>
        <v>0.99999999999999978</v>
      </c>
      <c r="BF125" s="4866"/>
      <c r="BG125" s="4895">
        <f t="shared" ref="BG125" si="296">+BG124/BG123</f>
        <v>0.99999999999999978</v>
      </c>
      <c r="BH125" s="25">
        <f t="shared" si="88"/>
        <v>11</v>
      </c>
      <c r="BI125" s="25"/>
    </row>
    <row r="126" spans="1:61" s="4487" customFormat="1" ht="15.75" thickBot="1" x14ac:dyDescent="0.3">
      <c r="BH126" s="25">
        <f t="shared" si="88"/>
        <v>0</v>
      </c>
      <c r="BI126" s="25"/>
    </row>
    <row r="127" spans="1:61" ht="18.75" customHeight="1" thickBot="1" x14ac:dyDescent="0.3">
      <c r="C127" s="8169" t="s">
        <v>1446</v>
      </c>
      <c r="D127" s="4862" t="s">
        <v>1443</v>
      </c>
      <c r="E127" s="4862"/>
      <c r="F127" s="4845"/>
      <c r="G127" s="4863">
        <f>+'Maj Production Summ'!F34</f>
        <v>38383.019999999997</v>
      </c>
      <c r="H127" s="4864"/>
      <c r="I127" s="4864">
        <f>+'Maj Production Summ'!H34</f>
        <v>52556</v>
      </c>
      <c r="J127" s="4864"/>
      <c r="K127" s="4868">
        <f t="shared" ref="K127:K128" si="297">+G127+I127</f>
        <v>90939.01999999999</v>
      </c>
      <c r="L127" s="4864"/>
      <c r="M127" s="4864">
        <f>+'Maj Production Summ'!L34</f>
        <v>56218</v>
      </c>
      <c r="N127" s="4864"/>
      <c r="O127" s="4869">
        <f t="shared" ref="O127:O128" si="298">+G127+I127+M127</f>
        <v>147157.01999999999</v>
      </c>
      <c r="P127" s="4864"/>
      <c r="Q127" s="4864">
        <f>+'Maj Production Summ'!P34</f>
        <v>50303</v>
      </c>
      <c r="R127" s="4864"/>
      <c r="S127" s="4868">
        <f t="shared" ref="S127:S128" si="299">O127+Q127</f>
        <v>197460.02</v>
      </c>
      <c r="T127" s="4864"/>
      <c r="U127" s="4863">
        <f>+'Maj Production Summ'!T34</f>
        <v>51235.42</v>
      </c>
      <c r="V127" s="4864"/>
      <c r="W127" s="4868">
        <f t="shared" ref="W127:W128" si="300">S127+U127</f>
        <v>248695.44</v>
      </c>
      <c r="X127" s="4864"/>
      <c r="Y127" s="4864">
        <f>+'Maj Production Summ'!X34</f>
        <v>54076</v>
      </c>
      <c r="Z127" s="4864"/>
      <c r="AA127" s="4869">
        <f t="shared" ref="AA127:AA146" si="301">Q127+U127+Y127</f>
        <v>155614.41999999998</v>
      </c>
      <c r="AB127" s="4864"/>
      <c r="AC127" s="4870">
        <f t="shared" ref="AC127:AC128" si="302">O127+AA127</f>
        <v>302771.43999999994</v>
      </c>
      <c r="AD127" s="4864"/>
      <c r="AE127" s="4864">
        <f>+'Maj Production Summ'!AD34</f>
        <v>54595</v>
      </c>
      <c r="AF127" s="4864"/>
      <c r="AG127" s="4868">
        <f t="shared" ref="AG127:AG128" si="303">+AC127+AE127</f>
        <v>357366.43999999994</v>
      </c>
      <c r="AH127" s="4864"/>
      <c r="AI127" s="4864">
        <f>+'Maj Production Summ'!AH34</f>
        <v>61080</v>
      </c>
      <c r="AJ127" s="4864"/>
      <c r="AK127" s="4871">
        <f t="shared" ref="AK127:AK128" si="304">+AG127+AI127</f>
        <v>418446.43999999994</v>
      </c>
      <c r="AL127" s="4864"/>
      <c r="AM127" s="4864">
        <f>+'Maj Production Summ'!AL34</f>
        <v>52347.66</v>
      </c>
      <c r="AN127" s="4864"/>
      <c r="AO127" s="4869">
        <f t="shared" ref="AO127:AO146" si="305">AE127+AI127+AM127</f>
        <v>168022.66</v>
      </c>
      <c r="AP127" s="4864"/>
      <c r="AQ127" s="4871">
        <f>+AK127+AM127</f>
        <v>470794.1</v>
      </c>
      <c r="AR127" s="4864"/>
      <c r="AS127" s="4864">
        <f>+'Maj Production Summ'!AR34</f>
        <v>30958</v>
      </c>
      <c r="AT127" s="4864"/>
      <c r="AU127" s="4871">
        <f t="shared" ref="AU127:AU128" si="306">+AQ127+AS127</f>
        <v>501752.1</v>
      </c>
      <c r="AV127" s="4864"/>
      <c r="AW127" s="4864">
        <f>+'Maj Production Summ'!AV34</f>
        <v>16550</v>
      </c>
      <c r="AX127" s="4864"/>
      <c r="AY127" s="4871">
        <f t="shared" ref="AY127:AY128" si="307">+AU127+AW127</f>
        <v>518302.1</v>
      </c>
      <c r="AZ127" s="4864"/>
      <c r="BA127" s="4864">
        <f>+'Maj Production Summ'!AZ34</f>
        <v>38028.639000000003</v>
      </c>
      <c r="BB127" s="4864"/>
      <c r="BC127" s="4869">
        <f t="shared" ref="BC127:BC128" si="308">AS127+AW127+BA127</f>
        <v>85536.638999999996</v>
      </c>
      <c r="BD127" s="4864"/>
      <c r="BE127" s="4870">
        <f t="shared" ref="BE127:BE128" si="309">AO127+BC127</f>
        <v>253559.299</v>
      </c>
      <c r="BF127" s="4864"/>
      <c r="BG127" s="4871">
        <f t="shared" ref="BG127:BG128" si="310">+AY127+BA127</f>
        <v>556330.73899999994</v>
      </c>
      <c r="BH127" s="25">
        <f t="shared" si="88"/>
        <v>0</v>
      </c>
      <c r="BI127" s="25"/>
    </row>
    <row r="128" spans="1:61" ht="18.75" customHeight="1" x14ac:dyDescent="0.25">
      <c r="C128" s="8170"/>
      <c r="D128" s="4872" t="s">
        <v>2283</v>
      </c>
      <c r="E128" s="4872"/>
      <c r="F128" s="4848"/>
      <c r="G128" s="4867">
        <f>+G79</f>
        <v>33808</v>
      </c>
      <c r="H128" s="4867"/>
      <c r="I128" s="4867">
        <f>+I79</f>
        <v>45640.4</v>
      </c>
      <c r="J128" s="4867"/>
      <c r="K128" s="4875">
        <f t="shared" si="297"/>
        <v>79448.399999999994</v>
      </c>
      <c r="L128" s="4867"/>
      <c r="M128" s="4867">
        <f>+M79</f>
        <v>51290</v>
      </c>
      <c r="N128" s="4867"/>
      <c r="O128" s="4876">
        <f t="shared" si="298"/>
        <v>130738.4</v>
      </c>
      <c r="P128" s="4867"/>
      <c r="Q128" s="4867">
        <f>+Q79</f>
        <v>46163</v>
      </c>
      <c r="R128" s="4867"/>
      <c r="S128" s="4875">
        <f t="shared" si="299"/>
        <v>176901.4</v>
      </c>
      <c r="T128" s="4867"/>
      <c r="U128" s="4867">
        <f>+U79</f>
        <v>45702.616000000002</v>
      </c>
      <c r="V128" s="4867"/>
      <c r="W128" s="4875">
        <f t="shared" si="300"/>
        <v>222604.016</v>
      </c>
      <c r="X128" s="4867"/>
      <c r="Y128" s="4867">
        <f>+Y79</f>
        <v>49365</v>
      </c>
      <c r="Z128" s="4867"/>
      <c r="AA128" s="4876">
        <f t="shared" si="301"/>
        <v>141230.61600000001</v>
      </c>
      <c r="AB128" s="4867"/>
      <c r="AC128" s="4877">
        <f t="shared" si="302"/>
        <v>271969.016</v>
      </c>
      <c r="AD128" s="4867"/>
      <c r="AE128" s="4867">
        <f>+AE79</f>
        <v>50576</v>
      </c>
      <c r="AF128" s="4867"/>
      <c r="AG128" s="4875">
        <f t="shared" si="303"/>
        <v>322545.016</v>
      </c>
      <c r="AH128" s="4867"/>
      <c r="AI128" s="4867">
        <f>+AI79</f>
        <v>57014.864000000001</v>
      </c>
      <c r="AJ128" s="4867"/>
      <c r="AK128" s="4878">
        <f t="shared" si="304"/>
        <v>379559.88</v>
      </c>
      <c r="AL128" s="4867"/>
      <c r="AM128" s="4867">
        <f>+AM79</f>
        <v>48508.66</v>
      </c>
      <c r="AN128" s="4867"/>
      <c r="AO128" s="4876">
        <f t="shared" si="305"/>
        <v>156099.524</v>
      </c>
      <c r="AP128" s="4867"/>
      <c r="AQ128" s="4878">
        <f>+AK128+AM128</f>
        <v>428068.54000000004</v>
      </c>
      <c r="AR128" s="4867"/>
      <c r="AS128" s="4867">
        <f>+AS79</f>
        <v>26498</v>
      </c>
      <c r="AT128" s="4867"/>
      <c r="AU128" s="4878">
        <f t="shared" si="306"/>
        <v>454566.54000000004</v>
      </c>
      <c r="AV128" s="4867"/>
      <c r="AW128" s="4867">
        <f>+AW79</f>
        <v>13181.536</v>
      </c>
      <c r="AX128" s="4867"/>
      <c r="AY128" s="4878">
        <f t="shared" si="307"/>
        <v>467748.07600000006</v>
      </c>
      <c r="AZ128" s="4867"/>
      <c r="BA128" s="4867">
        <f>+BA79</f>
        <v>33704.529000000002</v>
      </c>
      <c r="BB128" s="4867"/>
      <c r="BC128" s="4876">
        <f t="shared" si="308"/>
        <v>73384.065000000002</v>
      </c>
      <c r="BD128" s="4867"/>
      <c r="BE128" s="4870">
        <f t="shared" si="309"/>
        <v>229483.58900000001</v>
      </c>
      <c r="BF128" s="4867"/>
      <c r="BG128" s="4878">
        <f t="shared" si="310"/>
        <v>501452.60500000004</v>
      </c>
      <c r="BH128" s="25">
        <f t="shared" si="88"/>
        <v>0</v>
      </c>
      <c r="BI128" s="25"/>
    </row>
    <row r="129" spans="1:62" ht="18.75" customHeight="1" thickBot="1" x14ac:dyDescent="0.3">
      <c r="C129" s="8170"/>
      <c r="D129" s="4872" t="s">
        <v>1444</v>
      </c>
      <c r="E129" s="4872"/>
      <c r="F129" s="4873"/>
      <c r="G129" s="4879">
        <f>+G128/G127</f>
        <v>0.88080614813529534</v>
      </c>
      <c r="H129" s="4879"/>
      <c r="I129" s="4879">
        <f>+I128/I127</f>
        <v>0.8684146434279626</v>
      </c>
      <c r="J129" s="4879"/>
      <c r="K129" s="4880">
        <f t="shared" ref="K129:AG129" si="311">+K128/K127</f>
        <v>0.87364477866596768</v>
      </c>
      <c r="L129" s="4879"/>
      <c r="M129" s="4879">
        <f>+M128/M127</f>
        <v>0.91234124301825037</v>
      </c>
      <c r="N129" s="4879"/>
      <c r="O129" s="4881">
        <f t="shared" si="311"/>
        <v>0.88842788471796996</v>
      </c>
      <c r="P129" s="4879"/>
      <c r="Q129" s="4879">
        <f t="shared" si="311"/>
        <v>0.91769874560165399</v>
      </c>
      <c r="R129" s="4879"/>
      <c r="S129" s="4880">
        <f t="shared" si="311"/>
        <v>0.89588464540821988</v>
      </c>
      <c r="T129" s="4879"/>
      <c r="U129" s="4879">
        <f t="shared" si="311"/>
        <v>0.89201212754770043</v>
      </c>
      <c r="V129" s="4879"/>
      <c r="W129" s="4880">
        <f t="shared" si="311"/>
        <v>0.89508684196220079</v>
      </c>
      <c r="X129" s="4879"/>
      <c r="Y129" s="4879">
        <f t="shared" ref="Y129" si="312">+Y128/Y127</f>
        <v>0.9128818699607959</v>
      </c>
      <c r="Z129" s="4879"/>
      <c r="AA129" s="4881">
        <f t="shared" si="311"/>
        <v>0.90756766628696761</v>
      </c>
      <c r="AB129" s="4879"/>
      <c r="AC129" s="4882">
        <f t="shared" si="311"/>
        <v>0.89826509395998533</v>
      </c>
      <c r="AD129" s="4879"/>
      <c r="AE129" s="4879">
        <f t="shared" si="311"/>
        <v>0.92638520010990022</v>
      </c>
      <c r="AF129" s="4879"/>
      <c r="AG129" s="4880">
        <f t="shared" si="311"/>
        <v>0.90256101272408251</v>
      </c>
      <c r="AH129" s="4879"/>
      <c r="AI129" s="4879">
        <f t="shared" ref="AI129" si="313">+AI128/AI127</f>
        <v>0.93344571054354941</v>
      </c>
      <c r="AJ129" s="4879"/>
      <c r="AK129" s="4883">
        <f t="shared" ref="AK129" si="314">+AK128/AK127</f>
        <v>0.90706920579847694</v>
      </c>
      <c r="AL129" s="4879"/>
      <c r="AM129" s="4879">
        <f t="shared" ref="AM129" si="315">+AM128/AM127</f>
        <v>0.92666338858317643</v>
      </c>
      <c r="AN129" s="4936"/>
      <c r="AO129" s="4881">
        <f t="shared" ref="AO129" si="316">+AO128/AO127</f>
        <v>0.92903852373245377</v>
      </c>
      <c r="AP129" s="4879"/>
      <c r="AQ129" s="4883">
        <f t="shared" ref="AQ129" si="317">+AQ128/AQ127</f>
        <v>0.90924788564682535</v>
      </c>
      <c r="AR129" s="4879"/>
      <c r="AS129" s="4879">
        <f t="shared" ref="AS129" si="318">+AS128/AS127</f>
        <v>0.85593384585567545</v>
      </c>
      <c r="AT129" s="4879"/>
      <c r="AU129" s="4883">
        <f t="shared" ref="AU129" si="319">+AU128/AU127</f>
        <v>0.9059584205028739</v>
      </c>
      <c r="AV129" s="4879"/>
      <c r="AW129" s="4879">
        <f t="shared" ref="AW129" si="320">+AW128/AW127</f>
        <v>0.79646743202416914</v>
      </c>
      <c r="AX129" s="4879"/>
      <c r="AY129" s="4883">
        <f t="shared" ref="AY129" si="321">+AY128/AY127</f>
        <v>0.90246224354483628</v>
      </c>
      <c r="AZ129" s="4879"/>
      <c r="BA129" s="4879">
        <f t="shared" ref="BA129" si="322">+BA128/BA127</f>
        <v>0.88629332751035339</v>
      </c>
      <c r="BB129" s="4936"/>
      <c r="BC129" s="4881">
        <f t="shared" ref="BC129" si="323">+BC128/BC127</f>
        <v>0.85792551423490004</v>
      </c>
      <c r="BD129" s="4879"/>
      <c r="BE129" s="4882">
        <f t="shared" ref="BE129" si="324">+BE128/BE127</f>
        <v>0.90504899605358191</v>
      </c>
      <c r="BF129" s="4879"/>
      <c r="BG129" s="4883">
        <f t="shared" ref="BG129" si="325">+BG128/BG127</f>
        <v>0.90135699835920824</v>
      </c>
      <c r="BH129" s="25">
        <f t="shared" si="88"/>
        <v>9.8079866839592746</v>
      </c>
      <c r="BI129" s="25"/>
    </row>
    <row r="130" spans="1:62" ht="18.75" customHeight="1" thickBot="1" x14ac:dyDescent="0.3">
      <c r="C130" s="8170"/>
      <c r="D130" s="4872" t="s">
        <v>1442</v>
      </c>
      <c r="E130" s="4872"/>
      <c r="F130" s="4873"/>
      <c r="G130" s="4874">
        <f>+G127-G128</f>
        <v>4575.0199999999968</v>
      </c>
      <c r="H130" s="4874"/>
      <c r="I130" s="4874">
        <f>+I127-I128</f>
        <v>6915.5999999999985</v>
      </c>
      <c r="J130" s="4874"/>
      <c r="K130" s="4875">
        <f t="shared" ref="K130:K134" si="326">+G130+I130</f>
        <v>11490.619999999995</v>
      </c>
      <c r="L130" s="4874"/>
      <c r="M130" s="4874">
        <f>+M127-M128</f>
        <v>4928</v>
      </c>
      <c r="N130" s="4874"/>
      <c r="O130" s="4876">
        <f t="shared" ref="O130:O134" si="327">+G130+I130+M130</f>
        <v>16418.619999999995</v>
      </c>
      <c r="P130" s="4874"/>
      <c r="Q130" s="4874">
        <f t="shared" ref="Q130:AE130" si="328">+Q127-Q128</f>
        <v>4140</v>
      </c>
      <c r="R130" s="4874"/>
      <c r="S130" s="4875">
        <f t="shared" ref="S130:S134" si="329">O130+Q130</f>
        <v>20558.619999999995</v>
      </c>
      <c r="T130" s="4874"/>
      <c r="U130" s="4874">
        <f t="shared" si="328"/>
        <v>5532.8039999999964</v>
      </c>
      <c r="V130" s="4874"/>
      <c r="W130" s="4875">
        <f t="shared" ref="W130:W134" si="330">S130+U130</f>
        <v>26091.423999999992</v>
      </c>
      <c r="X130" s="4874"/>
      <c r="Y130" s="4874">
        <f t="shared" ref="Y130" si="331">+Y127-Y128</f>
        <v>4711</v>
      </c>
      <c r="Z130" s="4874"/>
      <c r="AA130" s="4876">
        <f t="shared" si="301"/>
        <v>14383.803999999996</v>
      </c>
      <c r="AB130" s="4874"/>
      <c r="AC130" s="4877">
        <f t="shared" ref="AC130:AC134" si="332">O130+AA130</f>
        <v>30802.423999999992</v>
      </c>
      <c r="AD130" s="4874"/>
      <c r="AE130" s="4874">
        <f t="shared" si="328"/>
        <v>4019</v>
      </c>
      <c r="AF130" s="4874"/>
      <c r="AG130" s="4875">
        <f t="shared" ref="AG130:AG134" si="333">+AC130+AE130</f>
        <v>34821.423999999992</v>
      </c>
      <c r="AH130" s="4874"/>
      <c r="AI130" s="4874">
        <f t="shared" ref="AI130" si="334">+AI127-AI128</f>
        <v>4065.1359999999986</v>
      </c>
      <c r="AJ130" s="4874"/>
      <c r="AK130" s="4878">
        <f t="shared" ref="AK130:AK134" si="335">+AG130+AI130</f>
        <v>38886.55999999999</v>
      </c>
      <c r="AL130" s="4874"/>
      <c r="AM130" s="4874">
        <f t="shared" ref="AM130" si="336">+AM127-AM128</f>
        <v>3839</v>
      </c>
      <c r="AN130" s="4935"/>
      <c r="AO130" s="4876">
        <f t="shared" si="305"/>
        <v>11923.135999999999</v>
      </c>
      <c r="AP130" s="4874"/>
      <c r="AQ130" s="4878">
        <f t="shared" ref="AQ130:AQ134" si="337">+AK130+AM130</f>
        <v>42725.55999999999</v>
      </c>
      <c r="AR130" s="4874"/>
      <c r="AS130" s="4874">
        <f t="shared" ref="AS130" si="338">+AS127-AS128</f>
        <v>4460</v>
      </c>
      <c r="AT130" s="4874"/>
      <c r="AU130" s="4878">
        <f t="shared" ref="AU130:AU134" si="339">+AQ130+AS130</f>
        <v>47185.55999999999</v>
      </c>
      <c r="AV130" s="4874"/>
      <c r="AW130" s="4874">
        <f t="shared" ref="AW130" si="340">+AW127-AW128</f>
        <v>3368.4639999999999</v>
      </c>
      <c r="AX130" s="4874"/>
      <c r="AY130" s="4878">
        <f t="shared" ref="AY130:AY134" si="341">+AU130+AW130</f>
        <v>50554.02399999999</v>
      </c>
      <c r="AZ130" s="4874"/>
      <c r="BA130" s="4874">
        <f t="shared" ref="BA130" si="342">+BA127-BA128</f>
        <v>4324.1100000000006</v>
      </c>
      <c r="BB130" s="4935"/>
      <c r="BC130" s="4876">
        <f t="shared" ref="BC130:BC134" si="343">AS130+AW130+BA130</f>
        <v>12152.574000000001</v>
      </c>
      <c r="BD130" s="4874"/>
      <c r="BE130" s="4870">
        <f t="shared" ref="BE130:BE134" si="344">AO130+BC130</f>
        <v>24075.71</v>
      </c>
      <c r="BF130" s="4874"/>
      <c r="BG130" s="4878">
        <f t="shared" ref="BG130:BG134" si="345">+AY130+BA130</f>
        <v>54878.133999999991</v>
      </c>
      <c r="BH130" s="25">
        <f t="shared" si="88"/>
        <v>0</v>
      </c>
      <c r="BI130" s="25"/>
    </row>
    <row r="131" spans="1:62" ht="15" customHeight="1" thickBot="1" x14ac:dyDescent="0.3">
      <c r="A131" s="1192"/>
      <c r="B131" s="2940"/>
      <c r="C131" s="8170"/>
      <c r="D131" s="4884" t="str">
        <f>+'GRD SUMM RCL 150X150 '!E58</f>
        <v>BLOOM CB C25 HMN 150*150</v>
      </c>
      <c r="E131" s="4884"/>
      <c r="F131" s="4885"/>
      <c r="G131" s="4886">
        <f>+SUMIF('GRD SUMM RCL 150X150 '!$E$6:$E$59,$D131,'GRD SUMM RCL 150X150 '!AU$6:AU$59)</f>
        <v>1939</v>
      </c>
      <c r="H131" s="4886">
        <f>+SUMIF('GRD SUMM RCL 150X150 '!$E$6:$E$59,$D131,'GRD SUMM RCL 150X150 '!AV$6:AV$59)</f>
        <v>0</v>
      </c>
      <c r="I131" s="4886">
        <f>+SUMIF('GRD SUMM RCL 150X150 '!$E$6:$E$59,$D131,'GRD SUMM RCL 150X150 '!AW$6:AW$59)</f>
        <v>526</v>
      </c>
      <c r="J131" s="4886">
        <f>+SUMIF('GRD SUMM RCL 150X150 '!$E$6:$E$59,$D131,'GRD SUMM RCL 150X150 '!AX$6:AX$59)</f>
        <v>0</v>
      </c>
      <c r="K131" s="4875">
        <f t="shared" si="326"/>
        <v>2465</v>
      </c>
      <c r="L131" s="4886">
        <f>+SUMIF('GRD SUMM RCL 150X150 '!$E$6:$E$59,$D131,'GRD SUMM RCL 150X150 '!AZ$6:AZ$59)</f>
        <v>0</v>
      </c>
      <c r="M131" s="4886">
        <f>+SUMIF('GRD SUMM RCL 150X150 '!$E$6:$E$59,$D131,'GRD SUMM RCL 150X150 '!BA$6:BA$59)</f>
        <v>150</v>
      </c>
      <c r="N131" s="4886"/>
      <c r="O131" s="4876">
        <f t="shared" si="327"/>
        <v>2615</v>
      </c>
      <c r="P131" s="4886"/>
      <c r="Q131" s="4886">
        <f>+SUMIF('GRD SUMM RCL 150X150 '!$E$6:$E$59,$D131,'GRD SUMM RCL 150X150 '!BE$6:BE$59)</f>
        <v>332</v>
      </c>
      <c r="R131" s="4886">
        <f>+SUMIF('GRD SUMM RCL 150X150 '!$E$6:$E$59,$D131,'GRD SUMM RCL 150X150 '!BF$6:BF$59)</f>
        <v>0</v>
      </c>
      <c r="S131" s="4875">
        <f t="shared" si="329"/>
        <v>2947</v>
      </c>
      <c r="T131" s="4886">
        <f>+SUMIF('GRD SUMM RCL 150X150 '!$E$6:$E$59,$D131,'GRD SUMM RCL 150X150 '!BH$6:BH$59)</f>
        <v>0</v>
      </c>
      <c r="U131" s="4886">
        <f>+SUMIF('GRD SUMM RCL 150X150 '!$E$6:$E$59,$D131,'GRD SUMM RCL 150X150 '!BI$6:BI$59)</f>
        <v>610.94600000000003</v>
      </c>
      <c r="V131" s="4886">
        <f>+SUMIF('GRD SUMM RCL 150X150 '!$E$6:$E$59,$D131,'GRD SUMM RCL 150X150 '!BJ$6:BJ$59)</f>
        <v>0</v>
      </c>
      <c r="W131" s="4875">
        <f t="shared" si="330"/>
        <v>3557.9459999999999</v>
      </c>
      <c r="X131" s="4886">
        <f>+SUMIF('GRD SUMM RCL 150X150 '!$E$6:$E$59,$D131,'GRD SUMM RCL 150X150 '!BL$6:BL$59)</f>
        <v>0</v>
      </c>
      <c r="Y131" s="4886">
        <f>+SUMIF('GRD SUMM RCL 150X150 '!$E$6:$E$59,$D131,'GRD SUMM RCL 150X150 '!BM$6:BM$59)</f>
        <v>774</v>
      </c>
      <c r="Z131" s="4886"/>
      <c r="AA131" s="4876">
        <f t="shared" si="301"/>
        <v>1716.9459999999999</v>
      </c>
      <c r="AB131" s="4886"/>
      <c r="AC131" s="4877">
        <f t="shared" si="332"/>
        <v>4331.9459999999999</v>
      </c>
      <c r="AD131" s="4886"/>
      <c r="AE131" s="4886">
        <f>+SUMIF('GRD SUMM RCL 150X150 '!$E$6:$E$59,$D131,'GRD SUMM RCL 150X150 '!BS$6:BS$59)</f>
        <v>161</v>
      </c>
      <c r="AF131" s="4886">
        <f>+SUMIF('GRD SUMM RCL 150X150 '!$E$6:$E$59,$D131,'GRD SUMM RCL 150X150 '!BT$6:BT$59)</f>
        <v>0</v>
      </c>
      <c r="AG131" s="4875">
        <f t="shared" si="333"/>
        <v>4492.9459999999999</v>
      </c>
      <c r="AH131" s="4886">
        <f>+SUMIF('GRD SUMM RCL 150X150 '!$E$6:$E$59,$D131,'GRD SUMM RCL 150X150 '!BV$6:BV$59)</f>
        <v>0</v>
      </c>
      <c r="AI131" s="4886">
        <f>+SUMIF('GRD SUMM RCL 150X150 '!$E$6:$E$59,$D131,'GRD SUMM RCL 150X150 '!BW$6:BW$59)</f>
        <v>188.70699999999999</v>
      </c>
      <c r="AJ131" s="4886"/>
      <c r="AK131" s="4878">
        <f t="shared" si="335"/>
        <v>4681.6530000000002</v>
      </c>
      <c r="AL131" s="4886">
        <f>+SUMIF('GRD SUMM RCL 150X150 '!$E$6:$E$59,$D131,'GRD SUMM RCL 150X150 '!BZ$6:BZ$59)</f>
        <v>0</v>
      </c>
      <c r="AM131" s="4886">
        <f>+SUMIF('GRD SUMM RCL 150X150 '!$E$6:$E$59,$D131,'GRD SUMM RCL 150X150 '!CA$6:CA$59)</f>
        <v>157</v>
      </c>
      <c r="AN131" s="4937"/>
      <c r="AO131" s="4876">
        <f t="shared" si="305"/>
        <v>506.70699999999999</v>
      </c>
      <c r="AP131" s="4886"/>
      <c r="AQ131" s="4878">
        <f t="shared" si="337"/>
        <v>4838.6530000000002</v>
      </c>
      <c r="AR131" s="4886">
        <f>+SUMIF('GRD SUMM RCL 150X150 '!$E$6:$E$59,$D131,'GRD SUMM RCL 150X150 '!CF$6:CF$59)</f>
        <v>0</v>
      </c>
      <c r="AS131" s="4886">
        <f>+SUMIF('GRD SUMM RCL 150X150 '!$E$6:$E$59,$D131,'GRD SUMM RCL 150X150 '!CG$6:CG$59)</f>
        <v>217</v>
      </c>
      <c r="AT131" s="4886"/>
      <c r="AU131" s="4878">
        <f t="shared" si="339"/>
        <v>5055.6530000000002</v>
      </c>
      <c r="AV131" s="4886">
        <f>+SUMIF('GRD SUMM RCL 150X150 '!$E$6:$E$59,$D131,'GRD SUMM RCL 150X150 '!CJ$6:CJ$59)</f>
        <v>0</v>
      </c>
      <c r="AW131" s="4886">
        <f>+SUMIF('GRD SUMM RCL 150X150 '!$E$6:$E$59,$D131,'GRD SUMM RCL 150X150 '!CK$6:CK$59)</f>
        <v>80.787999999999997</v>
      </c>
      <c r="AX131" s="4886"/>
      <c r="AY131" s="4878">
        <f t="shared" si="341"/>
        <v>5136.4409999999998</v>
      </c>
      <c r="AZ131" s="4886">
        <f>+SUMIF('GRD SUMM RCL 150X150 '!$E$6:$E$59,$D131,'GRD SUMM RCL 150X150 '!CN$6:CN$59)</f>
        <v>0</v>
      </c>
      <c r="BA131" s="4886">
        <f>+SUMIF('GRD SUMM RCL 150X150 '!$E$6:$E$59,$D131,'GRD SUMM RCL 150X150 '!CO$6:CO$59)</f>
        <v>131.81200000000001</v>
      </c>
      <c r="BB131" s="4937"/>
      <c r="BC131" s="4876">
        <f t="shared" si="343"/>
        <v>429.6</v>
      </c>
      <c r="BD131" s="4886"/>
      <c r="BE131" s="4870">
        <f t="shared" si="344"/>
        <v>936.30700000000002</v>
      </c>
      <c r="BF131" s="4886"/>
      <c r="BG131" s="4878">
        <f t="shared" si="345"/>
        <v>5268.2529999999997</v>
      </c>
      <c r="BH131" s="25">
        <f t="shared" si="88"/>
        <v>0</v>
      </c>
      <c r="BI131" s="25"/>
    </row>
    <row r="132" spans="1:62" ht="15" customHeight="1" thickBot="1" x14ac:dyDescent="0.3">
      <c r="A132" s="1192"/>
      <c r="B132" s="1192"/>
      <c r="C132" s="8170"/>
      <c r="D132" s="4884" t="str">
        <f>+'GRD SUMM RCL 150X150 '!E59</f>
        <v>ASSORTED BILLET (CCP)150*150</v>
      </c>
      <c r="E132" s="4884"/>
      <c r="F132" s="4885"/>
      <c r="G132" s="4886">
        <f>+SUMIF('GRD SUMM RCL 150X150 '!$E$6:$E$59,$D132,'GRD SUMM RCL 150X150 '!AU$6:AU$59)</f>
        <v>2346</v>
      </c>
      <c r="H132" s="4886">
        <f>+SUMIF('GRD SUMM RCL 150X150 '!$E$6:$E$59,$D132,'GRD SUMM RCL 150X150 '!AV$6:AV$59)</f>
        <v>0</v>
      </c>
      <c r="I132" s="4886">
        <f>+SUMIF('GRD SUMM RCL 150X150 '!$E$6:$E$59,$D132,'GRD SUMM RCL 150X150 '!AW$6:AW$59)</f>
        <v>930</v>
      </c>
      <c r="J132" s="4886">
        <f>+SUMIF('GRD SUMM RCL 150X150 '!$E$6:$E$59,$D132,'GRD SUMM RCL 150X150 '!AX$6:AX$59)</f>
        <v>0</v>
      </c>
      <c r="K132" s="4875">
        <f t="shared" si="326"/>
        <v>3276</v>
      </c>
      <c r="L132" s="4886">
        <f>+SUMIF('GRD SUMM RCL 150X150 '!$E$6:$E$59,$D132,'GRD SUMM RCL 150X150 '!AZ$6:AZ$59)</f>
        <v>0</v>
      </c>
      <c r="M132" s="4886">
        <f>+SUMIF('GRD SUMM RCL 150X150 '!$E$6:$E$59,$D132,'GRD SUMM RCL 150X150 '!BA$6:BA$59)</f>
        <v>444</v>
      </c>
      <c r="N132" s="4886"/>
      <c r="O132" s="4876">
        <f t="shared" si="327"/>
        <v>3720</v>
      </c>
      <c r="P132" s="4886"/>
      <c r="Q132" s="4886">
        <f>+SUMIF('GRD SUMM RCL 150X150 '!$E$6:$E$59,$D132,'GRD SUMM RCL 150X150 '!BE$6:BE$59)</f>
        <v>630</v>
      </c>
      <c r="R132" s="4886">
        <f>+SUMIF('GRD SUMM RCL 150X150 '!$E$6:$E$59,$D132,'GRD SUMM RCL 150X150 '!BF$6:BF$59)</f>
        <v>0</v>
      </c>
      <c r="S132" s="4875">
        <f t="shared" si="329"/>
        <v>4350</v>
      </c>
      <c r="T132" s="4886">
        <f>+SUMIF('GRD SUMM RCL 150X150 '!$E$6:$E$59,$D132,'GRD SUMM RCL 150X150 '!BH$6:BH$59)</f>
        <v>0</v>
      </c>
      <c r="U132" s="4886">
        <f>+SUMIF('GRD SUMM RCL 150X150 '!$E$6:$E$59,$D132,'GRD SUMM RCL 150X150 '!BI$6:BI$59)</f>
        <v>507.36</v>
      </c>
      <c r="V132" s="4886">
        <f>+SUMIF('GRD SUMM RCL 150X150 '!$E$6:$E$59,$D132,'GRD SUMM RCL 150X150 '!BJ$6:BJ$59)</f>
        <v>0</v>
      </c>
      <c r="W132" s="4875">
        <f t="shared" si="330"/>
        <v>4857.3599999999997</v>
      </c>
      <c r="X132" s="4886">
        <f>+SUMIF('GRD SUMM RCL 150X150 '!$E$6:$E$59,$D132,'GRD SUMM RCL 150X150 '!BL$6:BL$59)</f>
        <v>0</v>
      </c>
      <c r="Y132" s="4886">
        <f>+SUMIF('GRD SUMM RCL 150X150 '!$E$6:$E$59,$D132,'GRD SUMM RCL 150X150 '!BM$6:BM$59)</f>
        <v>564</v>
      </c>
      <c r="Z132" s="4886"/>
      <c r="AA132" s="4876">
        <f t="shared" si="301"/>
        <v>1701.3600000000001</v>
      </c>
      <c r="AB132" s="4886"/>
      <c r="AC132" s="4877">
        <f t="shared" si="332"/>
        <v>5421.3600000000006</v>
      </c>
      <c r="AD132" s="4886"/>
      <c r="AE132" s="4886">
        <f>+SUMIF('GRD SUMM RCL 150X150 '!$E$6:$E$59,$D132,'GRD SUMM RCL 150X150 '!BS$6:BS$59)</f>
        <v>334</v>
      </c>
      <c r="AF132" s="4886">
        <f>+SUMIF('GRD SUMM RCL 150X150 '!$E$6:$E$59,$D132,'GRD SUMM RCL 150X150 '!BT$6:BT$59)</f>
        <v>0</v>
      </c>
      <c r="AG132" s="4875">
        <f t="shared" si="333"/>
        <v>5755.3600000000006</v>
      </c>
      <c r="AH132" s="4886">
        <f>+SUMIF('GRD SUMM RCL 150X150 '!$E$6:$E$59,$D132,'GRD SUMM RCL 150X150 '!BV$6:BV$59)</f>
        <v>0</v>
      </c>
      <c r="AI132" s="4886">
        <f>+SUMIF('GRD SUMM RCL 150X150 '!$E$6:$E$59,$D132,'GRD SUMM RCL 150X150 '!BW$6:BW$59)</f>
        <v>411.45600000000002</v>
      </c>
      <c r="AJ132" s="4886"/>
      <c r="AK132" s="4878">
        <f t="shared" si="335"/>
        <v>6166.8160000000007</v>
      </c>
      <c r="AL132" s="4886">
        <f>+SUMIF('GRD SUMM RCL 150X150 '!$E$6:$E$59,$D132,'GRD SUMM RCL 150X150 '!BZ$6:BZ$59)</f>
        <v>0</v>
      </c>
      <c r="AM132" s="4886">
        <f>+SUMIF('GRD SUMM RCL 150X150 '!$E$6:$E$59,$D132,'GRD SUMM RCL 150X150 '!CA$6:CA$59)</f>
        <v>729</v>
      </c>
      <c r="AN132" s="4937"/>
      <c r="AO132" s="4876">
        <f t="shared" si="305"/>
        <v>1474.4560000000001</v>
      </c>
      <c r="AP132" s="4886"/>
      <c r="AQ132" s="4878">
        <f t="shared" si="337"/>
        <v>6895.8160000000007</v>
      </c>
      <c r="AR132" s="4886">
        <f>+SUMIF('GRD SUMM RCL 150X150 '!$E$6:$E$59,$D132,'GRD SUMM RCL 150X150 '!CF$6:CF$59)</f>
        <v>0</v>
      </c>
      <c r="AS132" s="4886">
        <f>+SUMIF('GRD SUMM RCL 150X150 '!$E$6:$E$59,$D132,'GRD SUMM RCL 150X150 '!CG$6:CG$59)</f>
        <v>638</v>
      </c>
      <c r="AT132" s="4886"/>
      <c r="AU132" s="4878">
        <f t="shared" si="339"/>
        <v>7533.8160000000007</v>
      </c>
      <c r="AV132" s="4886">
        <f>+SUMIF('GRD SUMM RCL 150X150 '!$E$6:$E$59,$D132,'GRD SUMM RCL 150X150 '!CJ$6:CJ$59)</f>
        <v>0</v>
      </c>
      <c r="AW132" s="4886">
        <f>+SUMIF('GRD SUMM RCL 150X150 '!$E$6:$E$59,$D132,'GRD SUMM RCL 150X150 '!CK$6:CK$59)</f>
        <v>372.05</v>
      </c>
      <c r="AX132" s="4886"/>
      <c r="AY132" s="4878">
        <f t="shared" si="341"/>
        <v>7905.8660000000009</v>
      </c>
      <c r="AZ132" s="4886">
        <f>+SUMIF('GRD SUMM RCL 150X150 '!$E$6:$E$59,$D132,'GRD SUMM RCL 150X150 '!CN$6:CN$59)</f>
        <v>0</v>
      </c>
      <c r="BA132" s="4886">
        <f>+SUMIF('GRD SUMM RCL 150X150 '!$E$6:$E$59,$D132,'GRD SUMM RCL 150X150 '!CO$6:CO$59)</f>
        <v>684.572</v>
      </c>
      <c r="BB132" s="4937"/>
      <c r="BC132" s="4876">
        <f t="shared" si="343"/>
        <v>1694.6219999999998</v>
      </c>
      <c r="BD132" s="4886"/>
      <c r="BE132" s="4870">
        <f t="shared" si="344"/>
        <v>3169.078</v>
      </c>
      <c r="BF132" s="4886"/>
      <c r="BG132" s="4878">
        <f t="shared" si="345"/>
        <v>8590.4380000000001</v>
      </c>
      <c r="BH132" s="25">
        <f t="shared" si="88"/>
        <v>0</v>
      </c>
      <c r="BI132" s="25"/>
    </row>
    <row r="133" spans="1:62" ht="15" customHeight="1" thickBot="1" x14ac:dyDescent="0.3">
      <c r="C133" s="8170"/>
      <c r="D133" s="4887" t="s">
        <v>1445</v>
      </c>
      <c r="E133" s="4887"/>
      <c r="F133" s="4873"/>
      <c r="G133" s="4886">
        <f>+SMS!F36</f>
        <v>290</v>
      </c>
      <c r="H133" s="4886">
        <f>+SUMIF('GRD SUMM RCL 150X150 '!$E$6:$E$59,$D133,'GRD SUMM RCL 150X150 '!AV$6:AV$59)</f>
        <v>0</v>
      </c>
      <c r="I133" s="4886">
        <f>+SMS!H36</f>
        <v>154</v>
      </c>
      <c r="J133" s="4886">
        <f>+SUMIF('GRD SUMM RCL 150X150 '!$E$6:$E$59,$D133,'GRD SUMM RCL 150X150 '!AX$6:AX$59)</f>
        <v>0</v>
      </c>
      <c r="K133" s="4875">
        <f t="shared" si="326"/>
        <v>444</v>
      </c>
      <c r="L133" s="4886">
        <f>+SUMIF('GRD SUMM RCL 150X150 '!$E$6:$E$59,$D133,'GRD SUMM RCL 150X150 '!AZ$6:AZ$59)</f>
        <v>0</v>
      </c>
      <c r="M133" s="4886">
        <f>+SMS!L36</f>
        <v>56</v>
      </c>
      <c r="N133" s="4874"/>
      <c r="O133" s="4876">
        <f t="shared" si="327"/>
        <v>500</v>
      </c>
      <c r="P133" s="4874"/>
      <c r="Q133" s="4886">
        <f>+SMS!P36</f>
        <v>26</v>
      </c>
      <c r="R133" s="4886">
        <f>+SUMIF('GRD SUMM RCL 150X150 '!$E$6:$E$59,$D133,'GRD SUMM RCL 150X150 '!BF$6:BF$59)</f>
        <v>0</v>
      </c>
      <c r="S133" s="4875">
        <f t="shared" si="329"/>
        <v>526</v>
      </c>
      <c r="T133" s="4886">
        <f>+SUMIF('GRD SUMM RCL 150X150 '!$E$6:$E$59,$D133,'GRD SUMM RCL 150X150 '!BH$6:BH$59)</f>
        <v>0</v>
      </c>
      <c r="U133" s="4886">
        <f>+SMS!T36</f>
        <v>66</v>
      </c>
      <c r="V133" s="4886">
        <f>+SUMIF('GRD SUMM RCL 150X150 '!$E$6:$E$59,$D133,'GRD SUMM RCL 150X150 '!BJ$6:BJ$59)</f>
        <v>0</v>
      </c>
      <c r="W133" s="4875">
        <f t="shared" si="330"/>
        <v>592</v>
      </c>
      <c r="X133" s="4886">
        <f>+SUMIF('GRD SUMM RCL 150X150 '!$E$6:$E$59,$D133,'GRD SUMM RCL 150X150 '!BL$6:BL$59)</f>
        <v>0</v>
      </c>
      <c r="Y133" s="4886">
        <f>+SMS!X36</f>
        <v>260</v>
      </c>
      <c r="Z133" s="4874"/>
      <c r="AA133" s="4876">
        <f t="shared" si="301"/>
        <v>352</v>
      </c>
      <c r="AB133" s="4874"/>
      <c r="AC133" s="4877">
        <f t="shared" si="332"/>
        <v>852</v>
      </c>
      <c r="AD133" s="4874"/>
      <c r="AE133" s="4886">
        <f>+SMS!AD36</f>
        <v>95</v>
      </c>
      <c r="AF133" s="4886">
        <f>+SUMIF('GRD SUMM RCL 150X150 '!$E$6:$E$59,$D133,'GRD SUMM RCL 150X150 '!BT$6:BT$59)</f>
        <v>0</v>
      </c>
      <c r="AG133" s="4875">
        <f t="shared" si="333"/>
        <v>947</v>
      </c>
      <c r="AH133" s="4886">
        <f>+SUMIF('GRD SUMM RCL 150X150 '!$E$6:$E$59,$D133,'GRD SUMM RCL 150X150 '!BV$6:BV$59)</f>
        <v>0</v>
      </c>
      <c r="AI133" s="4886">
        <f>+SMS!AH36</f>
        <v>0</v>
      </c>
      <c r="AJ133" s="4874"/>
      <c r="AK133" s="4878">
        <f t="shared" si="335"/>
        <v>947</v>
      </c>
      <c r="AL133" s="4886">
        <f>+SUMIF('GRD SUMM RCL 150X150 '!$E$6:$E$59,$D133,'GRD SUMM RCL 150X150 '!BZ$6:BZ$59)</f>
        <v>0</v>
      </c>
      <c r="AM133" s="4886">
        <f>+SMS!AL36</f>
        <v>38</v>
      </c>
      <c r="AN133" s="4937"/>
      <c r="AO133" s="4876">
        <f t="shared" si="305"/>
        <v>133</v>
      </c>
      <c r="AP133" s="4874"/>
      <c r="AQ133" s="4878">
        <f t="shared" si="337"/>
        <v>985</v>
      </c>
      <c r="AR133" s="4886">
        <f>+SUMIF('GRD SUMM RCL 150X150 '!$E$6:$E$59,$D133,'GRD SUMM RCL 150X150 '!CF$6:CF$59)</f>
        <v>0</v>
      </c>
      <c r="AS133" s="4886">
        <f>+SMS!AR36</f>
        <v>367</v>
      </c>
      <c r="AT133" s="4874"/>
      <c r="AU133" s="4878">
        <f t="shared" si="339"/>
        <v>1352</v>
      </c>
      <c r="AV133" s="4886">
        <f>+SUMIF('GRD SUMM RCL 150X150 '!$E$6:$E$59,$D133,'GRD SUMM RCL 150X150 '!CJ$6:CJ$59)</f>
        <v>0</v>
      </c>
      <c r="AW133" s="4886">
        <f>+SMS!AV36</f>
        <v>256</v>
      </c>
      <c r="AX133" s="4874"/>
      <c r="AY133" s="4878">
        <f t="shared" si="341"/>
        <v>1608</v>
      </c>
      <c r="AZ133" s="4886">
        <f>+SUMIF('GRD SUMM RCL 150X150 '!$E$6:$E$59,$D133,'GRD SUMM RCL 150X150 '!CN$6:CN$59)</f>
        <v>0</v>
      </c>
      <c r="BA133" s="4886">
        <f>+SMS!AZ36</f>
        <v>104</v>
      </c>
      <c r="BB133" s="4937"/>
      <c r="BC133" s="4876">
        <f t="shared" si="343"/>
        <v>727</v>
      </c>
      <c r="BD133" s="4874"/>
      <c r="BE133" s="4870">
        <f t="shared" si="344"/>
        <v>860</v>
      </c>
      <c r="BF133" s="4874"/>
      <c r="BG133" s="4878">
        <f t="shared" si="345"/>
        <v>1712</v>
      </c>
      <c r="BH133" s="25">
        <f t="shared" si="88"/>
        <v>0</v>
      </c>
      <c r="BI133" s="25"/>
    </row>
    <row r="134" spans="1:62" ht="15.75" customHeight="1" thickBot="1" x14ac:dyDescent="0.3">
      <c r="C134" s="8171"/>
      <c r="D134" s="4852" t="s">
        <v>21</v>
      </c>
      <c r="E134" s="4852"/>
      <c r="F134" s="4847"/>
      <c r="G134" s="4853">
        <f>SUM(G131:G133)</f>
        <v>4575</v>
      </c>
      <c r="H134" s="4853"/>
      <c r="I134" s="4853">
        <f>SUM(I131:I133)</f>
        <v>1610</v>
      </c>
      <c r="J134" s="4853"/>
      <c r="K134" s="4888">
        <f t="shared" si="326"/>
        <v>6185</v>
      </c>
      <c r="L134" s="4853"/>
      <c r="M134" s="4853">
        <f>SUM(M131:M133)</f>
        <v>650</v>
      </c>
      <c r="N134" s="4853"/>
      <c r="O134" s="4889">
        <f t="shared" si="327"/>
        <v>6835</v>
      </c>
      <c r="P134" s="4853"/>
      <c r="Q134" s="4853">
        <f>SUM(Q131:Q133)</f>
        <v>988</v>
      </c>
      <c r="R134" s="4853"/>
      <c r="S134" s="4888">
        <f t="shared" si="329"/>
        <v>7823</v>
      </c>
      <c r="T134" s="4853"/>
      <c r="U134" s="4853">
        <f>SUM(U131:U133)</f>
        <v>1184.306</v>
      </c>
      <c r="V134" s="4853"/>
      <c r="W134" s="4888">
        <f t="shared" si="330"/>
        <v>9007.3060000000005</v>
      </c>
      <c r="X134" s="4853"/>
      <c r="Y134" s="4853">
        <f>SUM(Y131:Y133)</f>
        <v>1598</v>
      </c>
      <c r="Z134" s="4853"/>
      <c r="AA134" s="4889">
        <f t="shared" si="301"/>
        <v>3770.306</v>
      </c>
      <c r="AB134" s="4853"/>
      <c r="AC134" s="4890">
        <f t="shared" si="332"/>
        <v>10605.306</v>
      </c>
      <c r="AD134" s="4853"/>
      <c r="AE134" s="4853">
        <f>SUM(AE131:AE133)</f>
        <v>590</v>
      </c>
      <c r="AF134" s="4853"/>
      <c r="AG134" s="4888">
        <f t="shared" si="333"/>
        <v>11195.306</v>
      </c>
      <c r="AH134" s="4853"/>
      <c r="AI134" s="4853">
        <f>SUM(AI131:AI133)</f>
        <v>600.16300000000001</v>
      </c>
      <c r="AJ134" s="4853"/>
      <c r="AK134" s="4891">
        <f t="shared" si="335"/>
        <v>11795.469000000001</v>
      </c>
      <c r="AL134" s="4853"/>
      <c r="AM134" s="4853">
        <f>SUM(AM131:AM133)</f>
        <v>924</v>
      </c>
      <c r="AN134" s="4853"/>
      <c r="AO134" s="4889">
        <f t="shared" si="305"/>
        <v>2114.163</v>
      </c>
      <c r="AP134" s="4853"/>
      <c r="AQ134" s="4891">
        <f t="shared" si="337"/>
        <v>12719.469000000001</v>
      </c>
      <c r="AR134" s="4853"/>
      <c r="AS134" s="4853">
        <f>SUM(AS131:AS133)</f>
        <v>1222</v>
      </c>
      <c r="AT134" s="4853"/>
      <c r="AU134" s="4891">
        <f t="shared" si="339"/>
        <v>13941.469000000001</v>
      </c>
      <c r="AV134" s="4853"/>
      <c r="AW134" s="4853">
        <f>SUM(AW131:AW133)</f>
        <v>708.83799999999997</v>
      </c>
      <c r="AX134" s="4853"/>
      <c r="AY134" s="4891">
        <f t="shared" si="341"/>
        <v>14650.307000000001</v>
      </c>
      <c r="AZ134" s="4853"/>
      <c r="BA134" s="4853">
        <f>SUM(BA131:BA133)</f>
        <v>920.38400000000001</v>
      </c>
      <c r="BB134" s="4853"/>
      <c r="BC134" s="4889">
        <f t="shared" si="343"/>
        <v>2851.2219999999998</v>
      </c>
      <c r="BD134" s="4853"/>
      <c r="BE134" s="4870">
        <f t="shared" si="344"/>
        <v>4965.3850000000002</v>
      </c>
      <c r="BF134" s="4853"/>
      <c r="BG134" s="4891">
        <f t="shared" si="345"/>
        <v>15570.691000000001</v>
      </c>
      <c r="BH134" s="25">
        <f t="shared" ref="BH134:BH146" si="346">BA134++AW134+AS134+AM134+AI134+AE134+Y134+U134+Q134+M134+I134+G134-BG134</f>
        <v>0</v>
      </c>
      <c r="BI134" s="25"/>
    </row>
    <row r="135" spans="1:62" s="4487" customFormat="1" ht="15.75" hidden="1" customHeight="1" thickBot="1" x14ac:dyDescent="0.3">
      <c r="C135" s="4896"/>
      <c r="D135" s="7685" t="s">
        <v>1437</v>
      </c>
      <c r="E135" s="7686"/>
      <c r="F135" s="7686"/>
      <c r="G135" s="4886">
        <f t="shared" ref="G135:AM135" si="347">+G130-G134</f>
        <v>1.9999999996798579E-2</v>
      </c>
      <c r="H135" s="4897">
        <f t="shared" si="347"/>
        <v>0</v>
      </c>
      <c r="I135" s="4897">
        <f t="shared" si="347"/>
        <v>5305.5999999999985</v>
      </c>
      <c r="J135" s="4897">
        <f t="shared" si="347"/>
        <v>0</v>
      </c>
      <c r="K135" s="4897">
        <f t="shared" si="347"/>
        <v>5305.6199999999953</v>
      </c>
      <c r="L135" s="4897">
        <f t="shared" si="347"/>
        <v>0</v>
      </c>
      <c r="M135" s="4897">
        <f t="shared" si="347"/>
        <v>4278</v>
      </c>
      <c r="N135" s="4897">
        <f t="shared" si="347"/>
        <v>0</v>
      </c>
      <c r="O135" s="4897">
        <f t="shared" si="347"/>
        <v>9583.6199999999953</v>
      </c>
      <c r="P135" s="4897">
        <f t="shared" si="347"/>
        <v>0</v>
      </c>
      <c r="Q135" s="4897">
        <f t="shared" si="347"/>
        <v>3152</v>
      </c>
      <c r="R135" s="4897">
        <f t="shared" si="347"/>
        <v>0</v>
      </c>
      <c r="S135" s="4897">
        <f t="shared" si="347"/>
        <v>12735.619999999995</v>
      </c>
      <c r="T135" s="4897">
        <f t="shared" si="347"/>
        <v>0</v>
      </c>
      <c r="U135" s="4897">
        <f t="shared" si="347"/>
        <v>4348.497999999996</v>
      </c>
      <c r="V135" s="4897">
        <f t="shared" si="347"/>
        <v>0</v>
      </c>
      <c r="W135" s="4897">
        <f t="shared" si="347"/>
        <v>17084.117999999991</v>
      </c>
      <c r="X135" s="4897">
        <f t="shared" si="347"/>
        <v>0</v>
      </c>
      <c r="Y135" s="4897">
        <f t="shared" si="347"/>
        <v>3113</v>
      </c>
      <c r="Z135" s="4897">
        <f t="shared" si="347"/>
        <v>0</v>
      </c>
      <c r="AA135" s="4897">
        <f t="shared" si="347"/>
        <v>10613.497999999996</v>
      </c>
      <c r="AB135" s="4897">
        <f t="shared" si="347"/>
        <v>0</v>
      </c>
      <c r="AC135" s="4897">
        <f t="shared" si="347"/>
        <v>20197.117999999991</v>
      </c>
      <c r="AD135" s="4897">
        <f t="shared" si="347"/>
        <v>0</v>
      </c>
      <c r="AE135" s="4897">
        <f t="shared" si="347"/>
        <v>3429</v>
      </c>
      <c r="AF135" s="4897">
        <f t="shared" si="347"/>
        <v>0</v>
      </c>
      <c r="AG135" s="4897">
        <f t="shared" si="347"/>
        <v>23626.117999999991</v>
      </c>
      <c r="AH135" s="4897">
        <f t="shared" si="347"/>
        <v>0</v>
      </c>
      <c r="AI135" s="4897">
        <f t="shared" si="347"/>
        <v>3464.9729999999986</v>
      </c>
      <c r="AJ135" s="4897">
        <f t="shared" si="347"/>
        <v>0</v>
      </c>
      <c r="AK135" s="4897">
        <f t="shared" si="347"/>
        <v>27091.090999999989</v>
      </c>
      <c r="AL135" s="4897">
        <f t="shared" si="347"/>
        <v>0</v>
      </c>
      <c r="AM135" s="4897">
        <f t="shared" si="347"/>
        <v>2915</v>
      </c>
      <c r="AN135" s="4938"/>
      <c r="AO135" s="4897">
        <f t="shared" ref="AO135:BA135" si="348">+AO130-AO134</f>
        <v>9808.9729999999981</v>
      </c>
      <c r="AP135" s="4897">
        <f t="shared" si="348"/>
        <v>0</v>
      </c>
      <c r="AQ135" s="4897">
        <f t="shared" si="348"/>
        <v>30006.090999999989</v>
      </c>
      <c r="AR135" s="4897">
        <f t="shared" si="348"/>
        <v>0</v>
      </c>
      <c r="AS135" s="4897">
        <f t="shared" si="348"/>
        <v>3238</v>
      </c>
      <c r="AT135" s="4897">
        <f t="shared" si="348"/>
        <v>0</v>
      </c>
      <c r="AU135" s="4897">
        <f t="shared" si="348"/>
        <v>33244.090999999986</v>
      </c>
      <c r="AV135" s="4897">
        <f t="shared" si="348"/>
        <v>0</v>
      </c>
      <c r="AW135" s="4897">
        <f t="shared" si="348"/>
        <v>2659.6260000000002</v>
      </c>
      <c r="AX135" s="4897">
        <f t="shared" si="348"/>
        <v>0</v>
      </c>
      <c r="AY135" s="4897">
        <f t="shared" si="348"/>
        <v>35903.71699999999</v>
      </c>
      <c r="AZ135" s="4897">
        <f t="shared" si="348"/>
        <v>0</v>
      </c>
      <c r="BA135" s="4897">
        <f t="shared" si="348"/>
        <v>3403.7260000000006</v>
      </c>
      <c r="BB135" s="4938"/>
      <c r="BC135" s="4897">
        <f>+BC130-BC134</f>
        <v>9301.3520000000008</v>
      </c>
      <c r="BD135" s="4897">
        <f>+BD130-BD134</f>
        <v>0</v>
      </c>
      <c r="BE135" s="4897">
        <f>+BE130-BE134</f>
        <v>19110.324999999997</v>
      </c>
      <c r="BF135" s="4897">
        <f>+BF130-BF134</f>
        <v>0</v>
      </c>
      <c r="BG135" s="4897">
        <f>+BG130-BG134</f>
        <v>39307.442999999992</v>
      </c>
      <c r="BH135" s="25">
        <f t="shared" si="346"/>
        <v>0</v>
      </c>
      <c r="BI135" s="25"/>
    </row>
    <row r="136" spans="1:62" ht="30" customHeight="1" thickBot="1" x14ac:dyDescent="0.3">
      <c r="C136" s="4849"/>
      <c r="D136" s="4857"/>
      <c r="E136" s="4857"/>
      <c r="F136" s="4846"/>
      <c r="G136" s="4858"/>
      <c r="H136" s="4858"/>
      <c r="I136" s="4858"/>
      <c r="J136" s="4858"/>
      <c r="K136" s="4859"/>
      <c r="L136" s="4858"/>
      <c r="M136" s="4858"/>
      <c r="N136" s="4858"/>
      <c r="O136" s="4860"/>
      <c r="P136" s="4858"/>
      <c r="Q136" s="4858"/>
      <c r="R136" s="4858"/>
      <c r="S136" s="4859"/>
      <c r="T136" s="4858"/>
      <c r="U136" s="4858"/>
      <c r="V136" s="4858"/>
      <c r="W136" s="4859"/>
      <c r="X136" s="4858"/>
      <c r="Y136" s="4858"/>
      <c r="Z136" s="4858"/>
      <c r="AA136" s="4860"/>
      <c r="AB136" s="4858"/>
      <c r="AC136" s="4861"/>
      <c r="AD136" s="4858"/>
      <c r="AE136" s="4858"/>
      <c r="AF136" s="4858"/>
      <c r="AG136" s="4859"/>
      <c r="AH136" s="4858"/>
      <c r="AI136" s="4858"/>
      <c r="AJ136" s="4858"/>
      <c r="AK136" s="4859"/>
      <c r="AL136" s="4858"/>
      <c r="AM136" s="4858"/>
      <c r="AN136" s="4858"/>
      <c r="AO136" s="4860"/>
      <c r="AP136" s="4858"/>
      <c r="AQ136" s="4859"/>
      <c r="AR136" s="4858"/>
      <c r="AS136" s="4858"/>
      <c r="AT136" s="4858"/>
      <c r="AU136" s="4859"/>
      <c r="AV136" s="4858"/>
      <c r="AW136" s="4858"/>
      <c r="AX136" s="4858"/>
      <c r="AY136" s="4859"/>
      <c r="AZ136" s="4858"/>
      <c r="BA136" s="4858"/>
      <c r="BB136" s="4858"/>
      <c r="BC136" s="4860"/>
      <c r="BD136" s="4858"/>
      <c r="BE136" s="4861"/>
      <c r="BF136" s="4858"/>
      <c r="BG136" s="4859"/>
      <c r="BH136" s="25">
        <f t="shared" si="346"/>
        <v>0</v>
      </c>
      <c r="BI136" s="25"/>
    </row>
    <row r="137" spans="1:62" ht="18.75" customHeight="1" thickBot="1" x14ac:dyDescent="0.3">
      <c r="C137" s="8169" t="s">
        <v>1447</v>
      </c>
      <c r="D137" s="4862" t="s">
        <v>1443</v>
      </c>
      <c r="E137" s="4862"/>
      <c r="F137" s="4845"/>
      <c r="G137" s="4863">
        <f>+'Maj Production Summ'!F35</f>
        <v>1625.08</v>
      </c>
      <c r="H137" s="4863"/>
      <c r="I137" s="4863">
        <f>+'Maj Production Summ'!H35</f>
        <v>3000</v>
      </c>
      <c r="J137" s="4863"/>
      <c r="K137" s="4868">
        <f t="shared" ref="K137:K138" si="349">+G137+I137</f>
        <v>4625.08</v>
      </c>
      <c r="L137" s="4863"/>
      <c r="M137" s="4863">
        <f>+'Maj Production Summ'!L35</f>
        <v>1066</v>
      </c>
      <c r="N137" s="4863"/>
      <c r="O137" s="4869">
        <f t="shared" ref="O137:O138" si="350">+G137+I137+M137</f>
        <v>5691.08</v>
      </c>
      <c r="P137" s="4863"/>
      <c r="Q137" s="4863">
        <f>+'Maj Production Summ'!P35</f>
        <v>463</v>
      </c>
      <c r="R137" s="4863"/>
      <c r="S137" s="4868">
        <f t="shared" ref="S137:S138" si="351">O137+Q137</f>
        <v>6154.08</v>
      </c>
      <c r="T137" s="4863"/>
      <c r="U137" s="4863">
        <f>+'Maj Production Summ'!T35</f>
        <v>8811.77</v>
      </c>
      <c r="V137" s="4863"/>
      <c r="W137" s="4868">
        <f t="shared" ref="W137:W138" si="352">S137+U137</f>
        <v>14965.85</v>
      </c>
      <c r="X137" s="4863"/>
      <c r="Y137" s="4863">
        <f>+'Maj Production Summ'!X35</f>
        <v>1414</v>
      </c>
      <c r="Z137" s="4863"/>
      <c r="AA137" s="4869">
        <f t="shared" si="301"/>
        <v>10688.77</v>
      </c>
      <c r="AB137" s="4863"/>
      <c r="AC137" s="4870">
        <f t="shared" ref="AC137:AC138" si="353">O137+AA137</f>
        <v>16379.85</v>
      </c>
      <c r="AD137" s="4863"/>
      <c r="AE137" s="4863">
        <f>+'Maj Production Summ'!AD35</f>
        <v>11212</v>
      </c>
      <c r="AF137" s="4863"/>
      <c r="AG137" s="4868">
        <f t="shared" ref="AG137:AG138" si="354">+AC137+AE137</f>
        <v>27591.85</v>
      </c>
      <c r="AH137" s="4863"/>
      <c r="AI137" s="4863">
        <f>+'Maj Production Summ'!AH35</f>
        <v>0</v>
      </c>
      <c r="AJ137" s="4863"/>
      <c r="AK137" s="4871">
        <f t="shared" ref="AK137:AK138" si="355">+AG137+AI137</f>
        <v>27591.85</v>
      </c>
      <c r="AL137" s="4863"/>
      <c r="AM137" s="4863">
        <f>+'Maj Production Summ'!AL35</f>
        <v>703.34</v>
      </c>
      <c r="AN137" s="4863"/>
      <c r="AO137" s="4869">
        <f t="shared" si="305"/>
        <v>11915.34</v>
      </c>
      <c r="AP137" s="4863"/>
      <c r="AQ137" s="4871">
        <f>+AK137+AM137</f>
        <v>28295.19</v>
      </c>
      <c r="AR137" s="4863"/>
      <c r="AS137" s="4863">
        <f>+'Maj Production Summ'!AR35</f>
        <v>7040</v>
      </c>
      <c r="AT137" s="4863"/>
      <c r="AU137" s="4871">
        <f t="shared" ref="AU137:AU138" si="356">+AQ137+AS137</f>
        <v>35335.19</v>
      </c>
      <c r="AV137" s="4863"/>
      <c r="AW137" s="4863">
        <f>+'Maj Production Summ'!AV35</f>
        <v>1892</v>
      </c>
      <c r="AX137" s="4863"/>
      <c r="AY137" s="4871">
        <f t="shared" ref="AY137:AY138" si="357">+AU137+AW137</f>
        <v>37227.19</v>
      </c>
      <c r="AZ137" s="4863"/>
      <c r="BA137" s="7259">
        <f>+'Maj Production Summ'!AZ35</f>
        <v>4291.26</v>
      </c>
      <c r="BB137" s="4863"/>
      <c r="BC137" s="4869">
        <f t="shared" ref="BC137:BC138" si="358">AS137+AW137+BA137</f>
        <v>13223.26</v>
      </c>
      <c r="BD137" s="4863"/>
      <c r="BE137" s="4870">
        <f t="shared" ref="BE137:BE138" si="359">AO137+BC137</f>
        <v>25138.6</v>
      </c>
      <c r="BF137" s="4863"/>
      <c r="BG137" s="4871">
        <f t="shared" ref="BG137:BG138" si="360">+AY137+BA137</f>
        <v>41518.450000000004</v>
      </c>
      <c r="BH137" s="25">
        <f t="shared" si="346"/>
        <v>0</v>
      </c>
      <c r="BI137" s="25"/>
    </row>
    <row r="138" spans="1:62" ht="18.75" customHeight="1" x14ac:dyDescent="0.25">
      <c r="C138" s="8170"/>
      <c r="D138" s="4872" t="s">
        <v>2283</v>
      </c>
      <c r="E138" s="4872"/>
      <c r="F138" s="4873"/>
      <c r="G138" s="4874">
        <f>+G93</f>
        <v>0</v>
      </c>
      <c r="H138" s="4874"/>
      <c r="I138" s="4874">
        <f>+I93</f>
        <v>2283</v>
      </c>
      <c r="J138" s="4874"/>
      <c r="K138" s="4875">
        <f t="shared" si="349"/>
        <v>2283</v>
      </c>
      <c r="L138" s="4874"/>
      <c r="M138" s="4874">
        <f>+M93</f>
        <v>0</v>
      </c>
      <c r="N138" s="4874"/>
      <c r="O138" s="4876">
        <f t="shared" si="350"/>
        <v>2283</v>
      </c>
      <c r="P138" s="4874"/>
      <c r="Q138" s="4874">
        <f>+Q93</f>
        <v>0</v>
      </c>
      <c r="R138" s="4874"/>
      <c r="S138" s="4875">
        <f t="shared" si="351"/>
        <v>2283</v>
      </c>
      <c r="T138" s="4874"/>
      <c r="U138" s="4874">
        <f>+U93</f>
        <v>5981.4560000000001</v>
      </c>
      <c r="V138" s="4874"/>
      <c r="W138" s="4875">
        <f t="shared" si="352"/>
        <v>8264.4560000000001</v>
      </c>
      <c r="X138" s="4874"/>
      <c r="Y138" s="4874">
        <f>+Y93</f>
        <v>0</v>
      </c>
      <c r="Z138" s="4874"/>
      <c r="AA138" s="4876">
        <f t="shared" si="301"/>
        <v>5981.4560000000001</v>
      </c>
      <c r="AB138" s="4874"/>
      <c r="AC138" s="4877">
        <f t="shared" si="353"/>
        <v>8264.4560000000001</v>
      </c>
      <c r="AD138" s="4874"/>
      <c r="AE138" s="4874">
        <f>+AE93</f>
        <v>9050</v>
      </c>
      <c r="AF138" s="4874"/>
      <c r="AG138" s="4875">
        <f t="shared" si="354"/>
        <v>17314.455999999998</v>
      </c>
      <c r="AH138" s="4874"/>
      <c r="AI138" s="4874">
        <f>+AI93</f>
        <v>0</v>
      </c>
      <c r="AJ138" s="4874"/>
      <c r="AK138" s="4878">
        <f t="shared" si="355"/>
        <v>17314.455999999998</v>
      </c>
      <c r="AL138" s="4874"/>
      <c r="AM138" s="4874">
        <f>+AM93</f>
        <v>0</v>
      </c>
      <c r="AN138" s="4935"/>
      <c r="AO138" s="4876">
        <f t="shared" si="305"/>
        <v>9050</v>
      </c>
      <c r="AP138" s="4874"/>
      <c r="AQ138" s="4878">
        <f>+AK138+AM138</f>
        <v>17314.455999999998</v>
      </c>
      <c r="AR138" s="4874"/>
      <c r="AS138" s="4874">
        <f>+AS93</f>
        <v>5184.16</v>
      </c>
      <c r="AT138" s="4874"/>
      <c r="AU138" s="4878">
        <f t="shared" si="356"/>
        <v>22498.615999999998</v>
      </c>
      <c r="AV138" s="4874"/>
      <c r="AW138" s="4874">
        <f>+AW93</f>
        <v>1223.6179999999999</v>
      </c>
      <c r="AX138" s="4874"/>
      <c r="AY138" s="4878">
        <f t="shared" si="357"/>
        <v>23722.233999999997</v>
      </c>
      <c r="AZ138" s="4874"/>
      <c r="BA138" s="4886">
        <f>+BA93</f>
        <v>2630.7839999999997</v>
      </c>
      <c r="BB138" s="4935"/>
      <c r="BC138" s="4876">
        <f t="shared" si="358"/>
        <v>9038.5619999999999</v>
      </c>
      <c r="BD138" s="4874"/>
      <c r="BE138" s="4870">
        <f t="shared" si="359"/>
        <v>18088.561999999998</v>
      </c>
      <c r="BF138" s="4874"/>
      <c r="BG138" s="4878">
        <f t="shared" si="360"/>
        <v>26353.017999999996</v>
      </c>
      <c r="BH138" s="25">
        <f t="shared" si="346"/>
        <v>0</v>
      </c>
      <c r="BI138" s="25"/>
      <c r="BJ138" s="25"/>
    </row>
    <row r="139" spans="1:62" ht="18.75" customHeight="1" thickBot="1" x14ac:dyDescent="0.3">
      <c r="C139" s="8170"/>
      <c r="D139" s="4872" t="s">
        <v>1444</v>
      </c>
      <c r="E139" s="4872"/>
      <c r="F139" s="4873"/>
      <c r="G139" s="4879">
        <f>+G138/G137</f>
        <v>0</v>
      </c>
      <c r="H139" s="4879"/>
      <c r="I139" s="4879">
        <f>+I138/I137</f>
        <v>0.76100000000000001</v>
      </c>
      <c r="J139" s="4879"/>
      <c r="K139" s="4880">
        <f t="shared" ref="K139:AG139" si="361">+K138/K137</f>
        <v>0.49361308344936738</v>
      </c>
      <c r="L139" s="4879"/>
      <c r="M139" s="4879">
        <f>+M138/M137</f>
        <v>0</v>
      </c>
      <c r="N139" s="4879"/>
      <c r="O139" s="4881">
        <f t="shared" si="361"/>
        <v>0.40115408674627662</v>
      </c>
      <c r="P139" s="4879"/>
      <c r="Q139" s="4879">
        <f t="shared" si="361"/>
        <v>0</v>
      </c>
      <c r="R139" s="4879"/>
      <c r="S139" s="4880">
        <f t="shared" si="361"/>
        <v>0.3709734030106856</v>
      </c>
      <c r="T139" s="4879"/>
      <c r="U139" s="4879">
        <f t="shared" si="361"/>
        <v>0.67880301006494725</v>
      </c>
      <c r="V139" s="4879"/>
      <c r="W139" s="4880">
        <f t="shared" si="361"/>
        <v>0.55222095637735247</v>
      </c>
      <c r="X139" s="4879"/>
      <c r="Y139" s="4879">
        <f t="shared" ref="Y139" si="362">+Y138/Y137</f>
        <v>0</v>
      </c>
      <c r="Z139" s="4879"/>
      <c r="AA139" s="4881">
        <f t="shared" si="361"/>
        <v>0.55960189993797227</v>
      </c>
      <c r="AB139" s="4879"/>
      <c r="AC139" s="4882">
        <f t="shared" si="361"/>
        <v>0.50455016376828843</v>
      </c>
      <c r="AD139" s="4879"/>
      <c r="AE139" s="4879">
        <f t="shared" si="361"/>
        <v>0.80717088833392792</v>
      </c>
      <c r="AF139" s="4879"/>
      <c r="AG139" s="4880">
        <f t="shared" si="361"/>
        <v>0.6275206628044151</v>
      </c>
      <c r="AH139" s="4879"/>
      <c r="AI139" s="4879" t="e">
        <f t="shared" ref="AI139" si="363">+AI138/AI137</f>
        <v>#DIV/0!</v>
      </c>
      <c r="AJ139" s="4879"/>
      <c r="AK139" s="4883">
        <f t="shared" ref="AK139" si="364">+AK138/AK137</f>
        <v>0.6275206628044151</v>
      </c>
      <c r="AL139" s="4879"/>
      <c r="AM139" s="4879">
        <f t="shared" ref="AM139" si="365">+AM138/AM137</f>
        <v>0</v>
      </c>
      <c r="AN139" s="4936"/>
      <c r="AO139" s="4881">
        <f t="shared" ref="AO139" si="366">+AO138/AO137</f>
        <v>0.75952511636260478</v>
      </c>
      <c r="AP139" s="4879"/>
      <c r="AQ139" s="4883">
        <f t="shared" ref="AQ139" si="367">+AQ138/AQ137</f>
        <v>0.61192223837337723</v>
      </c>
      <c r="AR139" s="4879"/>
      <c r="AS139" s="4879">
        <f t="shared" ref="AS139" si="368">+AS138/AS137</f>
        <v>0.73638636363636356</v>
      </c>
      <c r="AT139" s="4879"/>
      <c r="AU139" s="4883">
        <f t="shared" ref="AU139" si="369">+AU138/AU137</f>
        <v>0.63671982519409109</v>
      </c>
      <c r="AV139" s="4879"/>
      <c r="AW139" s="4879">
        <f t="shared" ref="AW139" si="370">+AW138/AW137</f>
        <v>0.6467325581395349</v>
      </c>
      <c r="AX139" s="4879"/>
      <c r="AY139" s="4883">
        <f t="shared" ref="AY139" si="371">+AY138/AY137</f>
        <v>0.63722870299907119</v>
      </c>
      <c r="AZ139" s="4879"/>
      <c r="BA139" s="7260">
        <f t="shared" ref="BA139" si="372">+BA138/BA137</f>
        <v>0.61305630514114728</v>
      </c>
      <c r="BB139" s="4936"/>
      <c r="BC139" s="4881">
        <f t="shared" ref="BC139" si="373">+BC138/BC137</f>
        <v>0.68353507380177048</v>
      </c>
      <c r="BD139" s="4879"/>
      <c r="BE139" s="4882">
        <f t="shared" ref="BE139" si="374">+BE138/BE137</f>
        <v>0.71955327663433921</v>
      </c>
      <c r="BF139" s="4879"/>
      <c r="BG139" s="4883">
        <f t="shared" ref="BG139" si="375">+BG138/BG137</f>
        <v>0.63473029460396502</v>
      </c>
      <c r="BH139" s="25" t="e">
        <f t="shared" si="346"/>
        <v>#DIV/0!</v>
      </c>
      <c r="BI139" s="25"/>
    </row>
    <row r="140" spans="1:62" ht="18.75" customHeight="1" thickBot="1" x14ac:dyDescent="0.3">
      <c r="C140" s="8170"/>
      <c r="D140" s="4872" t="s">
        <v>1442</v>
      </c>
      <c r="E140" s="4872"/>
      <c r="F140" s="4873"/>
      <c r="G140" s="4874">
        <f>+G137-G138</f>
        <v>1625.08</v>
      </c>
      <c r="H140" s="4874"/>
      <c r="I140" s="4874">
        <f>+I137-I138</f>
        <v>717</v>
      </c>
      <c r="J140" s="4874"/>
      <c r="K140" s="4875">
        <f t="shared" ref="K140:K146" si="376">+G140+I140</f>
        <v>2342.08</v>
      </c>
      <c r="L140" s="4874"/>
      <c r="M140" s="4874">
        <f>+M137-M138</f>
        <v>1066</v>
      </c>
      <c r="N140" s="4874"/>
      <c r="O140" s="4876">
        <f t="shared" ref="O140:O146" si="377">+G140+I140+M140</f>
        <v>3408.08</v>
      </c>
      <c r="P140" s="4874"/>
      <c r="Q140" s="4874">
        <f t="shared" ref="Q140:AE140" si="378">+Q137-Q138</f>
        <v>463</v>
      </c>
      <c r="R140" s="4874"/>
      <c r="S140" s="4875">
        <f t="shared" ref="S140:S146" si="379">O140+Q140</f>
        <v>3871.08</v>
      </c>
      <c r="T140" s="4874"/>
      <c r="U140" s="4874">
        <f t="shared" si="378"/>
        <v>2830.3140000000003</v>
      </c>
      <c r="V140" s="4874"/>
      <c r="W140" s="4875">
        <f t="shared" ref="W140:W146" si="380">S140+U140</f>
        <v>6701.3940000000002</v>
      </c>
      <c r="X140" s="4874"/>
      <c r="Y140" s="4874">
        <f t="shared" ref="Y140" si="381">+Y137-Y138</f>
        <v>1414</v>
      </c>
      <c r="Z140" s="4874"/>
      <c r="AA140" s="4876">
        <f t="shared" si="301"/>
        <v>4707.3140000000003</v>
      </c>
      <c r="AB140" s="4874"/>
      <c r="AC140" s="4877">
        <f t="shared" ref="AC140:AC146" si="382">O140+AA140</f>
        <v>8115.3940000000002</v>
      </c>
      <c r="AD140" s="4874"/>
      <c r="AE140" s="4874">
        <f t="shared" si="378"/>
        <v>2162</v>
      </c>
      <c r="AF140" s="4874"/>
      <c r="AG140" s="4875">
        <f t="shared" ref="AG140:AG146" si="383">+AC140+AE140</f>
        <v>10277.394</v>
      </c>
      <c r="AH140" s="4874"/>
      <c r="AI140" s="4874">
        <f t="shared" ref="AI140" si="384">+AI137-AI138</f>
        <v>0</v>
      </c>
      <c r="AJ140" s="4874"/>
      <c r="AK140" s="4878">
        <f t="shared" ref="AK140:AK146" si="385">+AG140+AI140</f>
        <v>10277.394</v>
      </c>
      <c r="AL140" s="4874"/>
      <c r="AM140" s="4874">
        <f t="shared" ref="AM140" si="386">+AM137-AM138</f>
        <v>703.34</v>
      </c>
      <c r="AN140" s="4935"/>
      <c r="AO140" s="4876">
        <f t="shared" si="305"/>
        <v>2865.34</v>
      </c>
      <c r="AP140" s="4874"/>
      <c r="AQ140" s="4878">
        <f t="shared" ref="AQ140:AQ146" si="387">+AK140+AM140</f>
        <v>10980.734</v>
      </c>
      <c r="AR140" s="4874"/>
      <c r="AS140" s="4874">
        <f t="shared" ref="AS140" si="388">+AS137-AS138</f>
        <v>1855.8400000000001</v>
      </c>
      <c r="AT140" s="4874"/>
      <c r="AU140" s="4878">
        <f t="shared" ref="AU140:AU146" si="389">+AQ140+AS140</f>
        <v>12836.574000000001</v>
      </c>
      <c r="AV140" s="4874"/>
      <c r="AW140" s="4874">
        <f t="shared" ref="AW140" si="390">+AW137-AW138</f>
        <v>668.38200000000006</v>
      </c>
      <c r="AX140" s="4874"/>
      <c r="AY140" s="4878">
        <f t="shared" ref="AY140:AY146" si="391">+AU140+AW140</f>
        <v>13504.956</v>
      </c>
      <c r="AZ140" s="4874"/>
      <c r="BA140" s="4886">
        <f>+BA137-BA138</f>
        <v>1660.4760000000006</v>
      </c>
      <c r="BB140" s="4935"/>
      <c r="BC140" s="4876">
        <f t="shared" ref="BC140:BC146" si="392">AS140+AW140+BA140</f>
        <v>4184.6980000000003</v>
      </c>
      <c r="BD140" s="4874"/>
      <c r="BE140" s="4870">
        <f t="shared" ref="BE140:BE145" si="393">AO140+BC140</f>
        <v>7050.0380000000005</v>
      </c>
      <c r="BF140" s="4874"/>
      <c r="BG140" s="4878">
        <f t="shared" ref="BG140:BG146" si="394">+AY140+BA140</f>
        <v>15165.432000000001</v>
      </c>
      <c r="BH140" s="25">
        <f t="shared" si="346"/>
        <v>0</v>
      </c>
      <c r="BI140" s="25"/>
      <c r="BJ140" s="25"/>
    </row>
    <row r="141" spans="1:62" ht="15" customHeight="1" thickBot="1" x14ac:dyDescent="0.3">
      <c r="A141" s="1192"/>
      <c r="B141" s="1192"/>
      <c r="C141" s="8170"/>
      <c r="D141" s="4884" t="s">
        <v>1290</v>
      </c>
      <c r="E141" s="4884"/>
      <c r="F141" s="4885"/>
      <c r="G141" s="4886">
        <f>+SUMIF('GRD SUMM RCL CASTER 3'!$A$7:$A$17,$D141,'GRD SUMM RCL CASTER 3'!C$7:C$17)</f>
        <v>0</v>
      </c>
      <c r="H141" s="4886"/>
      <c r="I141" s="4886">
        <f>+SUMIF('GRD SUMM RCL CASTER 3'!$A$7:$A$17,$D141,'GRD SUMM RCL CASTER 3'!E$7:E$17)</f>
        <v>69</v>
      </c>
      <c r="J141" s="4886"/>
      <c r="K141" s="4875">
        <f t="shared" si="376"/>
        <v>69</v>
      </c>
      <c r="L141" s="4886"/>
      <c r="M141" s="4886">
        <f>+SUMIF('GRD SUMM RCL CASTER 3'!$A$7:$A$17,$D141,'GRD SUMM RCL CASTER 3'!I$7:I$17)</f>
        <v>0</v>
      </c>
      <c r="N141" s="4886"/>
      <c r="O141" s="4876">
        <f t="shared" si="377"/>
        <v>69</v>
      </c>
      <c r="P141" s="4886"/>
      <c r="Q141" s="4886">
        <f>+SUMIF('GRD SUMM RCL CASTER 3'!$A$7:$A$17,$D141,'GRD SUMM RCL CASTER 3'!M$7:M$17)</f>
        <v>0</v>
      </c>
      <c r="R141" s="4886"/>
      <c r="S141" s="4875">
        <f t="shared" si="379"/>
        <v>69</v>
      </c>
      <c r="T141" s="4886"/>
      <c r="U141" s="4886">
        <f>+SUMIF('GRD SUMM RCL CASTER 3'!$A$7:$A$17,$D141,'GRD SUMM RCL CASTER 3'!Q$7:Q$17)</f>
        <v>274.29000000000002</v>
      </c>
      <c r="V141" s="4886"/>
      <c r="W141" s="4875">
        <f t="shared" si="380"/>
        <v>343.29</v>
      </c>
      <c r="X141" s="4886"/>
      <c r="Y141" s="4886">
        <f>+SUMIF('GRD SUMM RCL CASTER 3'!$A$7:$A$17,$D141,'GRD SUMM RCL CASTER 3'!U$7:U$17)</f>
        <v>0</v>
      </c>
      <c r="Z141" s="4886"/>
      <c r="AA141" s="4876">
        <f t="shared" si="301"/>
        <v>274.29000000000002</v>
      </c>
      <c r="AB141" s="4886"/>
      <c r="AC141" s="4877">
        <f t="shared" si="382"/>
        <v>343.29</v>
      </c>
      <c r="AD141" s="4886"/>
      <c r="AE141" s="4886">
        <f>+SUMIF('GRD SUMM RCL CASTER 3'!$A$7:$A$17,$D141,'GRD SUMM RCL CASTER 3'!AA$7:AA$17)</f>
        <v>107</v>
      </c>
      <c r="AF141" s="4886"/>
      <c r="AG141" s="4875">
        <f t="shared" si="383"/>
        <v>450.29</v>
      </c>
      <c r="AH141" s="4886"/>
      <c r="AI141" s="4886">
        <f>+SUMIF('GRD SUMM RCL CASTER 3'!$A$7:$A$17,$D141,'GRD SUMM RCL CASTER 3'!AE$7:AE$17)</f>
        <v>0</v>
      </c>
      <c r="AJ141" s="4886"/>
      <c r="AK141" s="4878">
        <f t="shared" si="385"/>
        <v>450.29</v>
      </c>
      <c r="AL141" s="4886"/>
      <c r="AM141" s="4886">
        <f>+SUMIF('GRD SUMM RCL CASTER 3'!$A$7:$A$17,$D141,'GRD SUMM RCL CASTER 3'!AI$7:AI$17)</f>
        <v>0</v>
      </c>
      <c r="AN141" s="4937"/>
      <c r="AO141" s="4876">
        <f t="shared" si="305"/>
        <v>107</v>
      </c>
      <c r="AP141" s="4886"/>
      <c r="AQ141" s="4878">
        <f t="shared" si="387"/>
        <v>450.29</v>
      </c>
      <c r="AR141" s="4886"/>
      <c r="AS141" s="4886">
        <f>+SUMIF('GRD SUMM RCL CASTER 3'!$A$7:$A$17,$D141,'GRD SUMM RCL CASTER 3'!AO$7:AO$17)</f>
        <v>199</v>
      </c>
      <c r="AT141" s="4886"/>
      <c r="AU141" s="4878">
        <f t="shared" si="389"/>
        <v>649.29</v>
      </c>
      <c r="AV141" s="4886"/>
      <c r="AW141" s="4886">
        <f>+SUMIF('GRD SUMM RCL CASTER 3'!$A$7:$A$17,$D141,'GRD SUMM RCL CASTER 3'!AS$7:AS$17)</f>
        <v>89.55</v>
      </c>
      <c r="AX141" s="4886"/>
      <c r="AY141" s="4878">
        <f t="shared" si="391"/>
        <v>738.83999999999992</v>
      </c>
      <c r="AZ141" s="4886"/>
      <c r="BA141" s="4886">
        <f>+SUMIF('GRD SUMM RCL CASTER 3'!$A$7:$A$17,$D141,'GRD SUMM RCL CASTER 3'!AW$7:AW$17)</f>
        <v>111.07899999999999</v>
      </c>
      <c r="BB141" s="4937"/>
      <c r="BC141" s="4876">
        <f t="shared" si="392"/>
        <v>399.62900000000002</v>
      </c>
      <c r="BD141" s="4886"/>
      <c r="BE141" s="4870">
        <f t="shared" si="393"/>
        <v>506.62900000000002</v>
      </c>
      <c r="BF141" s="4886"/>
      <c r="BG141" s="4878">
        <f t="shared" si="394"/>
        <v>849.91899999999987</v>
      </c>
      <c r="BH141" s="25">
        <f t="shared" si="346"/>
        <v>0</v>
      </c>
      <c r="BI141" s="25"/>
    </row>
    <row r="142" spans="1:62" ht="15" customHeight="1" thickBot="1" x14ac:dyDescent="0.3">
      <c r="A142" s="1192"/>
      <c r="B142" s="1192"/>
      <c r="C142" s="8170"/>
      <c r="D142" s="4884" t="s">
        <v>1889</v>
      </c>
      <c r="E142" s="4884"/>
      <c r="F142" s="4885"/>
      <c r="G142" s="4886">
        <f>+SUMIF('GRD SUMM RCL CASTER 3'!$A$7:$A$17,$D142,'GRD SUMM RCL CASTER 3'!C$7:C$17)</f>
        <v>0</v>
      </c>
      <c r="H142" s="4886"/>
      <c r="I142" s="4886">
        <f>+SUMIF('GRD SUMM RCL CASTER 3'!$A$7:$A$17,$D142,'GRD SUMM RCL CASTER 3'!E$7:E$17)</f>
        <v>8</v>
      </c>
      <c r="J142" s="4886"/>
      <c r="K142" s="4875">
        <f t="shared" si="376"/>
        <v>8</v>
      </c>
      <c r="L142" s="4886"/>
      <c r="M142" s="4886">
        <f>+SUMIF('GRD SUMM RCL CASTER 3'!$A$7:$A$17,$D142,'GRD SUMM RCL CASTER 3'!I$7:I$17)</f>
        <v>0</v>
      </c>
      <c r="N142" s="4886"/>
      <c r="O142" s="4876">
        <f t="shared" si="377"/>
        <v>8</v>
      </c>
      <c r="P142" s="4886"/>
      <c r="Q142" s="4886">
        <f>+SUMIF('GRD SUMM RCL CASTER 3'!$A$7:$A$17,$D142,'GRD SUMM RCL CASTER 3'!M$7:M$17)</f>
        <v>0</v>
      </c>
      <c r="R142" s="4886"/>
      <c r="S142" s="4875">
        <f t="shared" si="379"/>
        <v>8</v>
      </c>
      <c r="T142" s="4886"/>
      <c r="U142" s="4886">
        <f>+SUMIF('GRD SUMM RCL CASTER 3'!$A$7:$A$17,$D142,'GRD SUMM RCL CASTER 3'!Q$7:Q$17)</f>
        <v>307.10399999999998</v>
      </c>
      <c r="V142" s="4886"/>
      <c r="W142" s="4875">
        <f t="shared" si="380"/>
        <v>315.10399999999998</v>
      </c>
      <c r="X142" s="4886"/>
      <c r="Y142" s="4886">
        <f>+SUMIF('GRD SUMM RCL CASTER 3'!$A$7:$A$17,$D142,'GRD SUMM RCL CASTER 3'!U$7:U$17)</f>
        <v>0</v>
      </c>
      <c r="Z142" s="4886"/>
      <c r="AA142" s="4876">
        <f t="shared" si="301"/>
        <v>307.10399999999998</v>
      </c>
      <c r="AB142" s="4886"/>
      <c r="AC142" s="4877">
        <f t="shared" si="382"/>
        <v>315.10399999999998</v>
      </c>
      <c r="AD142" s="4886"/>
      <c r="AE142" s="4886">
        <f>+SUMIF('GRD SUMM RCL CASTER 3'!$A$7:$A$17,$D142,'GRD SUMM RCL CASTER 3'!AA$7:AA$17)</f>
        <v>34</v>
      </c>
      <c r="AF142" s="4886"/>
      <c r="AG142" s="4875">
        <f t="shared" si="383"/>
        <v>349.10399999999998</v>
      </c>
      <c r="AH142" s="4886"/>
      <c r="AI142" s="4886">
        <f>+SUMIF('GRD SUMM RCL CASTER 3'!$A$7:$A$17,$D142,'GRD SUMM RCL CASTER 3'!AE$7:AE$17)</f>
        <v>0</v>
      </c>
      <c r="AJ142" s="4886"/>
      <c r="AK142" s="4878">
        <f t="shared" si="385"/>
        <v>349.10399999999998</v>
      </c>
      <c r="AL142" s="4886"/>
      <c r="AM142" s="4886">
        <f>+SUMIF('GRD SUMM RCL CASTER 3'!$A$7:$A$17,$D142,'GRD SUMM RCL CASTER 3'!AI$7:AI$17)</f>
        <v>0</v>
      </c>
      <c r="AN142" s="4937"/>
      <c r="AO142" s="4876">
        <f t="shared" si="305"/>
        <v>34</v>
      </c>
      <c r="AP142" s="4886"/>
      <c r="AQ142" s="4878">
        <f t="shared" si="387"/>
        <v>349.10399999999998</v>
      </c>
      <c r="AR142" s="4886"/>
      <c r="AS142" s="4886">
        <f>+SUMIF('GRD SUMM RCL CASTER 3'!$A$7:$A$17,$D142,'GRD SUMM RCL CASTER 3'!AO$7:AO$17)</f>
        <v>32</v>
      </c>
      <c r="AT142" s="4886"/>
      <c r="AU142" s="4878">
        <f t="shared" si="389"/>
        <v>381.10399999999998</v>
      </c>
      <c r="AV142" s="4886"/>
      <c r="AW142" s="4886">
        <f>+SUMIF('GRD SUMM RCL CASTER 3'!$A$7:$A$17,$D142,'GRD SUMM RCL CASTER 3'!AS$7:AS$17)</f>
        <v>75.492000000000004</v>
      </c>
      <c r="AX142" s="4886"/>
      <c r="AY142" s="4878">
        <f t="shared" si="391"/>
        <v>456.596</v>
      </c>
      <c r="AZ142" s="4886"/>
      <c r="BA142" s="4886">
        <f>+SUMIF('GRD SUMM RCL CASTER 3'!$A$7:$A$17,$D142,'GRD SUMM RCL CASTER 3'!AW$7:AW$17)</f>
        <v>5.2160000000000002</v>
      </c>
      <c r="BB142" s="4937"/>
      <c r="BC142" s="4876">
        <f t="shared" si="392"/>
        <v>112.708</v>
      </c>
      <c r="BD142" s="4886"/>
      <c r="BE142" s="4870">
        <f t="shared" si="393"/>
        <v>146.708</v>
      </c>
      <c r="BF142" s="4886"/>
      <c r="BG142" s="4878">
        <f t="shared" si="394"/>
        <v>461.81200000000001</v>
      </c>
      <c r="BH142" s="25">
        <f t="shared" si="346"/>
        <v>0</v>
      </c>
      <c r="BI142" s="25"/>
    </row>
    <row r="143" spans="1:62" ht="15" customHeight="1" thickBot="1" x14ac:dyDescent="0.3">
      <c r="C143" s="8170"/>
      <c r="D143" s="4887" t="s">
        <v>1449</v>
      </c>
      <c r="E143" s="4887"/>
      <c r="F143" s="4873"/>
      <c r="G143" s="4874">
        <f>+'Direct sales IPT details'!E16</f>
        <v>1625.08</v>
      </c>
      <c r="H143" s="4874"/>
      <c r="I143" s="4874">
        <f>+'Direct sales IPT details'!G16</f>
        <v>640.46</v>
      </c>
      <c r="J143" s="4874"/>
      <c r="K143" s="4875">
        <f t="shared" si="376"/>
        <v>2265.54</v>
      </c>
      <c r="L143" s="4874"/>
      <c r="M143" s="4874">
        <f>+'Direct sales IPT details'!K16</f>
        <v>1065.5999999999999</v>
      </c>
      <c r="N143" s="4874"/>
      <c r="O143" s="4876">
        <f t="shared" si="377"/>
        <v>3331.14</v>
      </c>
      <c r="P143" s="4874"/>
      <c r="Q143" s="4874">
        <f>+'Direct sales IPT details'!O16</f>
        <v>463.1</v>
      </c>
      <c r="R143" s="4874"/>
      <c r="S143" s="4875">
        <f t="shared" si="379"/>
        <v>3794.24</v>
      </c>
      <c r="T143" s="4874"/>
      <c r="U143" s="4874">
        <f>+'Direct sales IPT details'!S16</f>
        <v>2248.92</v>
      </c>
      <c r="V143" s="4874"/>
      <c r="W143" s="4875">
        <f t="shared" si="380"/>
        <v>6043.16</v>
      </c>
      <c r="X143" s="4874"/>
      <c r="Y143" s="4874">
        <f>+'Direct sales IPT details'!W16</f>
        <v>1413.7700000000002</v>
      </c>
      <c r="Z143" s="4874"/>
      <c r="AA143" s="4876">
        <f t="shared" si="301"/>
        <v>4125.79</v>
      </c>
      <c r="AB143" s="4874"/>
      <c r="AC143" s="4877">
        <f t="shared" si="382"/>
        <v>7456.93</v>
      </c>
      <c r="AD143" s="4874"/>
      <c r="AE143" s="4874">
        <f>+'Direct sales IPT details'!AC16</f>
        <v>2004.1</v>
      </c>
      <c r="AF143" s="4874"/>
      <c r="AG143" s="4875">
        <f t="shared" si="383"/>
        <v>9461.0300000000007</v>
      </c>
      <c r="AH143" s="4874"/>
      <c r="AI143" s="4874">
        <f>+'Direct sales IPT details'!AG16</f>
        <v>0</v>
      </c>
      <c r="AJ143" s="4874"/>
      <c r="AK143" s="4878">
        <f t="shared" si="385"/>
        <v>9461.0300000000007</v>
      </c>
      <c r="AL143" s="4874"/>
      <c r="AM143" s="4874">
        <f>+'Direct sales IPT details'!AK16</f>
        <v>703.34</v>
      </c>
      <c r="AN143" s="4935"/>
      <c r="AO143" s="4876">
        <f t="shared" si="305"/>
        <v>2707.44</v>
      </c>
      <c r="AP143" s="4874"/>
      <c r="AQ143" s="4878">
        <f t="shared" si="387"/>
        <v>10164.370000000001</v>
      </c>
      <c r="AR143" s="4874"/>
      <c r="AS143" s="4874">
        <f>+'Direct sales IPT details'!AQ16</f>
        <v>1589.84</v>
      </c>
      <c r="AT143" s="4874"/>
      <c r="AU143" s="4878">
        <f t="shared" si="389"/>
        <v>11754.210000000001</v>
      </c>
      <c r="AV143" s="4874"/>
      <c r="AW143" s="4874">
        <f>+'Direct sales IPT details'!AU16</f>
        <v>481.34000000000003</v>
      </c>
      <c r="AX143" s="4874"/>
      <c r="AY143" s="4878">
        <f t="shared" si="391"/>
        <v>12235.550000000001</v>
      </c>
      <c r="AZ143" s="4874"/>
      <c r="BA143" s="4886">
        <f>+'Direct sales IPT details'!AY16</f>
        <v>1544.2600000000002</v>
      </c>
      <c r="BB143" s="4935"/>
      <c r="BC143" s="4876">
        <f t="shared" si="392"/>
        <v>3615.44</v>
      </c>
      <c r="BD143" s="4874"/>
      <c r="BE143" s="4870">
        <f t="shared" si="393"/>
        <v>6322.88</v>
      </c>
      <c r="BF143" s="4874"/>
      <c r="BG143" s="4878">
        <f t="shared" si="394"/>
        <v>13779.810000000001</v>
      </c>
      <c r="BH143" s="25">
        <f t="shared" si="346"/>
        <v>0</v>
      </c>
      <c r="BI143" s="25"/>
    </row>
    <row r="144" spans="1:62" ht="15" customHeight="1" thickBot="1" x14ac:dyDescent="0.3">
      <c r="C144" s="8170"/>
      <c r="D144" s="4887" t="s">
        <v>1448</v>
      </c>
      <c r="E144" s="4887"/>
      <c r="F144" s="4873"/>
      <c r="G144" s="4874">
        <f>+SMS!F42</f>
        <v>0</v>
      </c>
      <c r="H144" s="4874"/>
      <c r="I144" s="4874">
        <f>+SMS!H42</f>
        <v>0</v>
      </c>
      <c r="J144" s="4874"/>
      <c r="K144" s="4875">
        <f t="shared" si="376"/>
        <v>0</v>
      </c>
      <c r="L144" s="4874"/>
      <c r="M144" s="4874">
        <f>+SMS!L42</f>
        <v>0</v>
      </c>
      <c r="N144" s="4874"/>
      <c r="O144" s="4876">
        <f t="shared" si="377"/>
        <v>0</v>
      </c>
      <c r="P144" s="4874"/>
      <c r="Q144" s="4874">
        <f>+SMS!P42</f>
        <v>0</v>
      </c>
      <c r="R144" s="4874"/>
      <c r="S144" s="4875">
        <f t="shared" si="379"/>
        <v>0</v>
      </c>
      <c r="T144" s="4874"/>
      <c r="U144" s="4874">
        <f>+SMS!T42</f>
        <v>0</v>
      </c>
      <c r="V144" s="4874"/>
      <c r="W144" s="4875">
        <f t="shared" si="380"/>
        <v>0</v>
      </c>
      <c r="X144" s="4874"/>
      <c r="Y144" s="4874">
        <f>+SMS!X42</f>
        <v>0</v>
      </c>
      <c r="Z144" s="4874"/>
      <c r="AA144" s="4876">
        <f t="shared" si="301"/>
        <v>0</v>
      </c>
      <c r="AB144" s="4874"/>
      <c r="AC144" s="4877">
        <f t="shared" si="382"/>
        <v>0</v>
      </c>
      <c r="AD144" s="4874"/>
      <c r="AE144" s="4874">
        <f>+SMS!AD42</f>
        <v>17</v>
      </c>
      <c r="AF144" s="4874"/>
      <c r="AG144" s="4875">
        <f t="shared" si="383"/>
        <v>17</v>
      </c>
      <c r="AH144" s="4874"/>
      <c r="AI144" s="4874">
        <f>+SMS!AH42</f>
        <v>0</v>
      </c>
      <c r="AJ144" s="4874"/>
      <c r="AK144" s="4878">
        <f t="shared" si="385"/>
        <v>17</v>
      </c>
      <c r="AL144" s="4874"/>
      <c r="AM144" s="4874">
        <f>+SMS!AL42</f>
        <v>0</v>
      </c>
      <c r="AN144" s="4935"/>
      <c r="AO144" s="4876">
        <f t="shared" si="305"/>
        <v>17</v>
      </c>
      <c r="AP144" s="4874"/>
      <c r="AQ144" s="4878">
        <f t="shared" si="387"/>
        <v>17</v>
      </c>
      <c r="AR144" s="4874"/>
      <c r="AS144" s="4874">
        <f>+SMS!AR42</f>
        <v>35</v>
      </c>
      <c r="AT144" s="4874"/>
      <c r="AU144" s="4878">
        <f t="shared" si="389"/>
        <v>52</v>
      </c>
      <c r="AV144" s="4874"/>
      <c r="AW144" s="4874">
        <f>+SMS!AV42</f>
        <v>22</v>
      </c>
      <c r="AX144" s="4874"/>
      <c r="AY144" s="4878">
        <f t="shared" si="391"/>
        <v>74</v>
      </c>
      <c r="AZ144" s="4874"/>
      <c r="BA144" s="4874">
        <f>+SMS!AZ42</f>
        <v>0</v>
      </c>
      <c r="BB144" s="4935"/>
      <c r="BC144" s="4876">
        <f t="shared" si="392"/>
        <v>57</v>
      </c>
      <c r="BD144" s="4874"/>
      <c r="BE144" s="4870">
        <f t="shared" si="393"/>
        <v>74</v>
      </c>
      <c r="BF144" s="4874"/>
      <c r="BG144" s="4878">
        <f t="shared" si="394"/>
        <v>74</v>
      </c>
      <c r="BH144" s="25">
        <f t="shared" si="346"/>
        <v>0</v>
      </c>
      <c r="BI144" s="25"/>
    </row>
    <row r="145" spans="3:61" ht="15.75" customHeight="1" thickBot="1" x14ac:dyDescent="0.3">
      <c r="C145" s="8171"/>
      <c r="D145" s="4852" t="s">
        <v>21</v>
      </c>
      <c r="E145" s="4852"/>
      <c r="F145" s="4847"/>
      <c r="G145" s="4853">
        <f t="shared" ref="G145" si="395">SUM(G141:G144)</f>
        <v>1625.08</v>
      </c>
      <c r="H145" s="4853"/>
      <c r="I145" s="4853">
        <f t="shared" ref="I145" si="396">SUM(I141:I144)</f>
        <v>717.46</v>
      </c>
      <c r="J145" s="4853"/>
      <c r="K145" s="4888">
        <f t="shared" si="376"/>
        <v>2342.54</v>
      </c>
      <c r="L145" s="4853"/>
      <c r="M145" s="4853">
        <f t="shared" ref="M145" si="397">SUM(M141:M144)</f>
        <v>1065.5999999999999</v>
      </c>
      <c r="N145" s="4853"/>
      <c r="O145" s="4889">
        <f t="shared" si="377"/>
        <v>3408.14</v>
      </c>
      <c r="P145" s="4853"/>
      <c r="Q145" s="4853">
        <f t="shared" ref="Q145:AE145" si="398">SUM(Q141:Q144)</f>
        <v>463.1</v>
      </c>
      <c r="R145" s="4853"/>
      <c r="S145" s="4888">
        <f t="shared" si="379"/>
        <v>3871.24</v>
      </c>
      <c r="T145" s="4853"/>
      <c r="U145" s="4853">
        <f t="shared" si="398"/>
        <v>2830.3140000000003</v>
      </c>
      <c r="V145" s="4853"/>
      <c r="W145" s="4888">
        <f t="shared" si="380"/>
        <v>6701.5540000000001</v>
      </c>
      <c r="X145" s="4853"/>
      <c r="Y145" s="4853">
        <f t="shared" ref="Y145" si="399">SUM(Y141:Y144)</f>
        <v>1413.7700000000002</v>
      </c>
      <c r="Z145" s="4853"/>
      <c r="AA145" s="4889">
        <f t="shared" si="301"/>
        <v>4707.1840000000002</v>
      </c>
      <c r="AB145" s="4853"/>
      <c r="AC145" s="4890">
        <f t="shared" si="382"/>
        <v>8115.3240000000005</v>
      </c>
      <c r="AD145" s="4853"/>
      <c r="AE145" s="4853">
        <f t="shared" si="398"/>
        <v>2162.1</v>
      </c>
      <c r="AF145" s="4853"/>
      <c r="AG145" s="4888">
        <f t="shared" si="383"/>
        <v>10277.424000000001</v>
      </c>
      <c r="AH145" s="4853"/>
      <c r="AI145" s="4853">
        <f t="shared" ref="AI145" si="400">SUM(AI141:AI144)</f>
        <v>0</v>
      </c>
      <c r="AJ145" s="4853"/>
      <c r="AK145" s="4891">
        <f t="shared" si="385"/>
        <v>10277.424000000001</v>
      </c>
      <c r="AL145" s="4853"/>
      <c r="AM145" s="4853">
        <f t="shared" ref="AM145" si="401">SUM(AM141:AM144)</f>
        <v>703.34</v>
      </c>
      <c r="AN145" s="4853"/>
      <c r="AO145" s="4889">
        <f t="shared" si="305"/>
        <v>2865.44</v>
      </c>
      <c r="AP145" s="4853"/>
      <c r="AQ145" s="4891">
        <f t="shared" si="387"/>
        <v>10980.764000000001</v>
      </c>
      <c r="AR145" s="4853"/>
      <c r="AS145" s="4853">
        <f t="shared" ref="AS145" si="402">SUM(AS141:AS144)</f>
        <v>1855.84</v>
      </c>
      <c r="AT145" s="4853"/>
      <c r="AU145" s="4891">
        <f t="shared" si="389"/>
        <v>12836.604000000001</v>
      </c>
      <c r="AV145" s="4853"/>
      <c r="AW145" s="4853">
        <f t="shared" ref="AW145" si="403">SUM(AW141:AW144)</f>
        <v>668.38200000000006</v>
      </c>
      <c r="AX145" s="4853"/>
      <c r="AY145" s="4891">
        <f t="shared" si="391"/>
        <v>13504.986000000001</v>
      </c>
      <c r="AZ145" s="4853"/>
      <c r="BA145" s="4853">
        <f t="shared" ref="BA145" si="404">SUM(BA141:BA144)</f>
        <v>1660.5550000000003</v>
      </c>
      <c r="BB145" s="4853"/>
      <c r="BC145" s="4889">
        <f t="shared" si="392"/>
        <v>4184.777</v>
      </c>
      <c r="BD145" s="4853"/>
      <c r="BE145" s="4870">
        <f t="shared" si="393"/>
        <v>7050.2170000000006</v>
      </c>
      <c r="BF145" s="4853"/>
      <c r="BG145" s="4891">
        <f t="shared" si="394"/>
        <v>15165.541000000001</v>
      </c>
      <c r="BH145" s="25">
        <f t="shared" si="346"/>
        <v>0</v>
      </c>
      <c r="BI145" s="25"/>
    </row>
    <row r="146" spans="3:61" s="212" customFormat="1" ht="17.25" hidden="1" thickBot="1" x14ac:dyDescent="0.3">
      <c r="C146" s="4898"/>
      <c r="D146" s="7685" t="s">
        <v>1437</v>
      </c>
      <c r="E146" s="7685"/>
      <c r="F146" s="7687"/>
      <c r="G146" s="7688">
        <f>+G140-G145</f>
        <v>0</v>
      </c>
      <c r="H146" s="4899"/>
      <c r="I146" s="4899">
        <f>+I140-I145</f>
        <v>-0.46000000000003638</v>
      </c>
      <c r="J146" s="4899"/>
      <c r="K146" s="4900">
        <f t="shared" si="376"/>
        <v>-0.46000000000003638</v>
      </c>
      <c r="L146" s="4899"/>
      <c r="M146" s="4899">
        <f>+M140-M145</f>
        <v>0.40000000000009095</v>
      </c>
      <c r="N146" s="4899"/>
      <c r="O146" s="4901">
        <f t="shared" si="377"/>
        <v>-5.999999999994543E-2</v>
      </c>
      <c r="P146" s="4899"/>
      <c r="Q146" s="4899">
        <f t="shared" ref="Q146:AE146" si="405">+Q140-Q145</f>
        <v>-0.10000000000002274</v>
      </c>
      <c r="R146" s="4899"/>
      <c r="S146" s="4900">
        <f t="shared" si="379"/>
        <v>-0.15999999999996817</v>
      </c>
      <c r="T146" s="4899"/>
      <c r="U146" s="4899">
        <f t="shared" si="405"/>
        <v>0</v>
      </c>
      <c r="V146" s="4899"/>
      <c r="W146" s="4900">
        <f t="shared" si="380"/>
        <v>-0.15999999999996817</v>
      </c>
      <c r="X146" s="4899"/>
      <c r="Y146" s="4899">
        <f t="shared" ref="Y146" si="406">+Y140-Y145</f>
        <v>0.22999999999979082</v>
      </c>
      <c r="Z146" s="4899"/>
      <c r="AA146" s="4901">
        <f t="shared" si="301"/>
        <v>0.12999999999976808</v>
      </c>
      <c r="AB146" s="4899"/>
      <c r="AC146" s="4902">
        <f t="shared" si="382"/>
        <v>6.9999999999822649E-2</v>
      </c>
      <c r="AD146" s="4899"/>
      <c r="AE146" s="4899">
        <f t="shared" si="405"/>
        <v>-9.9999999999909051E-2</v>
      </c>
      <c r="AF146" s="4899"/>
      <c r="AG146" s="4900">
        <f t="shared" si="383"/>
        <v>-3.0000000000086402E-2</v>
      </c>
      <c r="AH146" s="4899"/>
      <c r="AI146" s="4899">
        <f t="shared" ref="AI146" si="407">+AI140-AI145</f>
        <v>0</v>
      </c>
      <c r="AJ146" s="4899"/>
      <c r="AK146" s="4903">
        <f t="shared" si="385"/>
        <v>-3.0000000000086402E-2</v>
      </c>
      <c r="AL146" s="4899"/>
      <c r="AM146" s="4899">
        <f t="shared" ref="AM146" si="408">+AM140-AM145</f>
        <v>0</v>
      </c>
      <c r="AN146" s="4899"/>
      <c r="AO146" s="4901">
        <f t="shared" si="305"/>
        <v>-9.9999999999909051E-2</v>
      </c>
      <c r="AP146" s="4899"/>
      <c r="AQ146" s="4903">
        <f t="shared" si="387"/>
        <v>-3.0000000000086402E-2</v>
      </c>
      <c r="AR146" s="4899"/>
      <c r="AS146" s="4899">
        <f t="shared" ref="AS146" si="409">+AS140-AS145</f>
        <v>0</v>
      </c>
      <c r="AT146" s="4899"/>
      <c r="AU146" s="4903">
        <f t="shared" si="389"/>
        <v>-3.0000000000086402E-2</v>
      </c>
      <c r="AV146" s="4899"/>
      <c r="AW146" s="4899">
        <f t="shared" ref="AW146" si="410">+AW140-AW145</f>
        <v>0</v>
      </c>
      <c r="AX146" s="4899"/>
      <c r="AY146" s="4903">
        <f t="shared" si="391"/>
        <v>-3.0000000000086402E-2</v>
      </c>
      <c r="AZ146" s="4899"/>
      <c r="BA146" s="4899">
        <f>+BA140-BA145</f>
        <v>-7.8999999999723514E-2</v>
      </c>
      <c r="BB146" s="4899"/>
      <c r="BC146" s="4901">
        <f t="shared" si="392"/>
        <v>-7.8999999999723514E-2</v>
      </c>
      <c r="BD146" s="4899"/>
      <c r="BE146" s="4902">
        <f t="shared" ref="BE146" si="411">AQ146+BC146</f>
        <v>-0.10899999999980992</v>
      </c>
      <c r="BF146" s="4899"/>
      <c r="BG146" s="4903">
        <f t="shared" si="394"/>
        <v>-0.10899999999980992</v>
      </c>
      <c r="BH146" s="25">
        <f t="shared" si="346"/>
        <v>0</v>
      </c>
    </row>
    <row r="147" spans="3:61" s="4487" customFormat="1" x14ac:dyDescent="0.25">
      <c r="AV147" s="212"/>
    </row>
    <row r="148" spans="3:61" s="4487" customFormat="1" x14ac:dyDescent="0.25"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 spans="3:61" s="4487" customFormat="1" x14ac:dyDescent="0.25"/>
    <row r="150" spans="3:61" s="4487" customFormat="1" x14ac:dyDescent="0.25"/>
    <row r="151" spans="3:61" s="4487" customFormat="1" x14ac:dyDescent="0.25"/>
    <row r="152" spans="3:61" s="4487" customFormat="1" x14ac:dyDescent="0.25"/>
    <row r="153" spans="3:61" s="4487" customFormat="1" x14ac:dyDescent="0.25"/>
    <row r="154" spans="3:61" s="4487" customFormat="1" x14ac:dyDescent="0.25"/>
    <row r="155" spans="3:61" s="4487" customFormat="1" x14ac:dyDescent="0.25"/>
    <row r="156" spans="3:61" s="4487" customFormat="1" x14ac:dyDescent="0.25"/>
    <row r="157" spans="3:61" s="4487" customFormat="1" x14ac:dyDescent="0.25"/>
    <row r="158" spans="3:61" s="4487" customFormat="1" x14ac:dyDescent="0.25"/>
    <row r="159" spans="3:61" s="4487" customFormat="1" x14ac:dyDescent="0.25"/>
    <row r="160" spans="3:61" s="4487" customFormat="1" x14ac:dyDescent="0.25"/>
    <row r="161" s="4487" customFormat="1" x14ac:dyDescent="0.25"/>
    <row r="162" s="4487" customFormat="1" x14ac:dyDescent="0.25"/>
    <row r="163" s="4487" customFormat="1" x14ac:dyDescent="0.25"/>
    <row r="164" s="4487" customFormat="1" x14ac:dyDescent="0.25"/>
    <row r="165" s="4487" customFormat="1" x14ac:dyDescent="0.25"/>
    <row r="166" s="4487" customFormat="1" x14ac:dyDescent="0.25"/>
    <row r="167" s="4487" customFormat="1" x14ac:dyDescent="0.25"/>
    <row r="168" s="4487" customFormat="1" x14ac:dyDescent="0.25"/>
    <row r="169" s="4487" customFormat="1" x14ac:dyDescent="0.25"/>
    <row r="170" s="4487" customFormat="1" x14ac:dyDescent="0.25"/>
    <row r="171" s="4487" customFormat="1" x14ac:dyDescent="0.25"/>
    <row r="172" s="4487" customFormat="1" x14ac:dyDescent="0.25"/>
    <row r="173" s="4487" customFormat="1" x14ac:dyDescent="0.25"/>
    <row r="174" s="4487" customFormat="1" x14ac:dyDescent="0.25"/>
    <row r="175" s="4487" customFormat="1" x14ac:dyDescent="0.25"/>
    <row r="176" s="4487" customFormat="1" x14ac:dyDescent="0.25"/>
    <row r="177" spans="5:48" s="4487" customFormat="1" x14ac:dyDescent="0.25"/>
    <row r="178" spans="5:48" s="4487" customFormat="1" x14ac:dyDescent="0.25"/>
    <row r="179" spans="5:48" s="4487" customFormat="1" x14ac:dyDescent="0.25"/>
    <row r="180" spans="5:48" s="4487" customFormat="1" x14ac:dyDescent="0.25"/>
    <row r="181" spans="5:48" s="4487" customFormat="1" x14ac:dyDescent="0.25"/>
    <row r="182" spans="5:48" s="4487" customFormat="1" x14ac:dyDescent="0.25"/>
    <row r="183" spans="5:48" s="4487" customFormat="1" x14ac:dyDescent="0.25"/>
    <row r="184" spans="5:48" s="4487" customFormat="1" x14ac:dyDescent="0.25"/>
    <row r="185" spans="5:48" s="4487" customFormat="1" x14ac:dyDescent="0.25"/>
    <row r="186" spans="5:48" x14ac:dyDescent="0.25">
      <c r="E186" s="1612"/>
      <c r="F186" s="1612"/>
      <c r="G186" s="1612"/>
      <c r="H186" s="1612"/>
      <c r="I186" s="1612"/>
      <c r="J186" s="1612"/>
      <c r="L186" s="1612"/>
      <c r="M186" s="1612"/>
      <c r="N186" s="1612"/>
      <c r="P186" s="1612"/>
      <c r="Q186" s="1612"/>
      <c r="R186" s="1612"/>
      <c r="AV186" s="4487"/>
    </row>
    <row r="187" spans="5:48" x14ac:dyDescent="0.25">
      <c r="E187" s="1612"/>
      <c r="F187" s="1612"/>
      <c r="G187" s="1612"/>
      <c r="H187" s="1612"/>
      <c r="I187" s="1612"/>
      <c r="J187" s="1612"/>
      <c r="L187" s="1612"/>
      <c r="M187" s="1612"/>
      <c r="N187" s="1612"/>
      <c r="P187" s="1612"/>
      <c r="Q187" s="1612"/>
      <c r="R187" s="1612"/>
    </row>
  </sheetData>
  <mergeCells count="39">
    <mergeCell ref="C1:AQ1"/>
    <mergeCell ref="C137:C145"/>
    <mergeCell ref="V3:W3"/>
    <mergeCell ref="C107:C116"/>
    <mergeCell ref="C119:C121"/>
    <mergeCell ref="C123:C125"/>
    <mergeCell ref="C127:C134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7:D97"/>
    <mergeCell ref="N3:O3"/>
    <mergeCell ref="C95:D95"/>
    <mergeCell ref="C38:D38"/>
    <mergeCell ref="C46:D46"/>
    <mergeCell ref="C54:D54"/>
    <mergeCell ref="C79:D79"/>
    <mergeCell ref="C93:D93"/>
    <mergeCell ref="C94:D94"/>
    <mergeCell ref="F3:G3"/>
    <mergeCell ref="H3:I3"/>
    <mergeCell ref="E4:E94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3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R106"/>
  <sheetViews>
    <sheetView zoomScaleNormal="100" zoomScaleSheetLayoutView="98" workbookViewId="0">
      <pane xSplit="8" topLeftCell="I1" activePane="topRight" state="frozen"/>
      <selection activeCell="BG78" sqref="BG78"/>
      <selection pane="topRight" activeCell="J28" sqref="J28"/>
    </sheetView>
  </sheetViews>
  <sheetFormatPr defaultColWidth="9.140625" defaultRowHeight="15" x14ac:dyDescent="0.25"/>
  <cols>
    <col min="1" max="1" width="16.85546875" style="258" hidden="1" customWidth="1"/>
    <col min="2" max="2" width="56.7109375" hidden="1" customWidth="1"/>
    <col min="3" max="3" width="6.140625" style="259" hidden="1" customWidth="1"/>
    <col min="4" max="4" width="11.140625" style="262" hidden="1" customWidth="1"/>
    <col min="5" max="5" width="8.140625" hidden="1" customWidth="1"/>
    <col min="6" max="6" width="13.28515625" customWidth="1"/>
    <col min="7" max="7" width="8.42578125" style="240" bestFit="1" customWidth="1"/>
    <col min="8" max="8" width="55" bestFit="1" customWidth="1"/>
    <col min="9" max="10" width="11.7109375" bestFit="1" customWidth="1"/>
    <col min="11" max="11" width="11.7109375" hidden="1" customWidth="1"/>
    <col min="12" max="13" width="14.28515625" hidden="1" customWidth="1"/>
    <col min="14" max="14" width="14.140625" hidden="1" customWidth="1"/>
    <col min="15" max="15" width="11.28515625" style="139" hidden="1" customWidth="1"/>
    <col min="16" max="16" width="11.7109375" hidden="1" customWidth="1"/>
    <col min="17" max="18" width="12.28515625" hidden="1" customWidth="1"/>
    <col min="19" max="19" width="11.7109375" style="139" hidden="1" customWidth="1"/>
    <col min="20" max="21" width="11.7109375" hidden="1" customWidth="1"/>
    <col min="22" max="22" width="14.140625" hidden="1" customWidth="1"/>
    <col min="23" max="23" width="11.7109375" style="139" hidden="1" customWidth="1"/>
    <col min="24" max="25" width="11.7109375" style="4233" hidden="1" customWidth="1"/>
    <col min="26" max="26" width="14.140625" style="4233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58" hidden="1" customWidth="1"/>
    <col min="35" max="35" width="12.85546875" style="258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556" hidden="1" customWidth="1"/>
    <col min="44" max="44" width="11.7109375" style="2556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2802" hidden="1" customWidth="1"/>
    <col min="59" max="59" width="12.85546875" style="2802" hidden="1" customWidth="1"/>
    <col min="60" max="60" width="11.7109375" style="2802" hidden="1" customWidth="1"/>
    <col min="61" max="62" width="12.85546875" hidden="1" customWidth="1"/>
    <col min="63" max="63" width="13.7109375" style="3130" bestFit="1" customWidth="1"/>
    <col min="64" max="64" width="11.28515625" customWidth="1"/>
    <col min="65" max="65" width="13.7109375" bestFit="1" customWidth="1"/>
    <col min="66" max="66" width="15.7109375" bestFit="1" customWidth="1"/>
    <col min="67" max="67" width="12.28515625" bestFit="1" customWidth="1"/>
    <col min="69" max="69" width="12" bestFit="1" customWidth="1"/>
    <col min="70" max="70" width="10.7109375" bestFit="1" customWidth="1"/>
  </cols>
  <sheetData>
    <row r="1" spans="1:70" ht="22.5" x14ac:dyDescent="0.3">
      <c r="B1" s="16" t="s">
        <v>473</v>
      </c>
      <c r="C1" s="261"/>
      <c r="G1" s="854"/>
      <c r="H1" s="365" t="s">
        <v>473</v>
      </c>
      <c r="I1" s="4776"/>
      <c r="J1" s="4776"/>
      <c r="K1" s="4776"/>
      <c r="L1" s="4776"/>
      <c r="M1" s="4776"/>
      <c r="N1" s="4776"/>
      <c r="O1" s="4776"/>
      <c r="P1" s="4776"/>
      <c r="Q1" s="4776"/>
      <c r="R1" s="4776"/>
      <c r="S1" s="4776"/>
      <c r="T1" s="4776"/>
      <c r="U1" s="4776"/>
      <c r="V1" s="4776"/>
      <c r="W1" s="4776"/>
      <c r="X1" s="4776"/>
      <c r="Y1" s="4776"/>
      <c r="Z1" s="4776"/>
      <c r="AA1" s="4776"/>
      <c r="AB1" s="4776"/>
      <c r="AC1" s="4776"/>
      <c r="AD1" s="4776"/>
      <c r="AE1" s="4776"/>
      <c r="AF1" s="4776"/>
      <c r="AG1" s="4776"/>
      <c r="AH1" s="4776"/>
      <c r="AI1" s="4776"/>
      <c r="AJ1" s="4941"/>
      <c r="AK1" s="4941"/>
      <c r="AL1" s="4941"/>
      <c r="AM1" s="4776"/>
      <c r="AN1" s="4776"/>
    </row>
    <row r="2" spans="1:70" x14ac:dyDescent="0.25">
      <c r="B2" s="4"/>
      <c r="C2" s="261"/>
      <c r="G2" s="854"/>
      <c r="H2" s="43"/>
      <c r="I2" s="43"/>
      <c r="J2" s="90"/>
      <c r="K2" s="90"/>
      <c r="L2" s="90"/>
      <c r="M2" s="90"/>
      <c r="N2" s="90"/>
      <c r="O2" s="144"/>
      <c r="P2" s="90"/>
      <c r="Q2" s="90"/>
      <c r="R2" s="90"/>
      <c r="S2" s="144"/>
      <c r="T2" s="90"/>
      <c r="U2" s="90"/>
      <c r="V2" s="90"/>
      <c r="W2" s="144"/>
      <c r="X2" s="90"/>
      <c r="Y2" s="90"/>
      <c r="Z2" s="90"/>
      <c r="AA2" s="90"/>
      <c r="AB2" s="4699"/>
      <c r="AC2" s="90"/>
      <c r="AD2" s="90"/>
      <c r="AE2" s="90"/>
      <c r="AF2" s="90"/>
      <c r="AH2" s="4699"/>
      <c r="AI2" s="90"/>
      <c r="AK2" s="1137"/>
    </row>
    <row r="3" spans="1:70" ht="15.75" thickBot="1" x14ac:dyDescent="0.3">
      <c r="B3" s="23"/>
      <c r="C3" s="24"/>
      <c r="D3" s="263">
        <v>30</v>
      </c>
      <c r="E3" s="263">
        <v>31</v>
      </c>
      <c r="G3" s="854"/>
      <c r="H3" s="43"/>
      <c r="I3" s="191">
        <v>30</v>
      </c>
      <c r="J3" s="324">
        <v>30</v>
      </c>
      <c r="K3" s="324">
        <v>31</v>
      </c>
      <c r="L3" s="324">
        <v>31</v>
      </c>
      <c r="M3" s="855">
        <f>+I3+K3</f>
        <v>61</v>
      </c>
      <c r="N3" s="855">
        <f>+J3+L3</f>
        <v>61</v>
      </c>
      <c r="O3" s="609">
        <v>30</v>
      </c>
      <c r="P3" s="324">
        <v>30</v>
      </c>
      <c r="Q3" s="324">
        <f>+M3+O3</f>
        <v>91</v>
      </c>
      <c r="R3" s="324">
        <f>+N3+P3</f>
        <v>91</v>
      </c>
      <c r="S3" s="547">
        <v>31</v>
      </c>
      <c r="T3" s="324">
        <v>31</v>
      </c>
      <c r="U3" s="855">
        <f>+Q3+S3</f>
        <v>122</v>
      </c>
      <c r="V3" s="855">
        <f>+R3+T3</f>
        <v>122</v>
      </c>
      <c r="W3" s="547">
        <v>31</v>
      </c>
      <c r="X3" s="324">
        <v>31</v>
      </c>
      <c r="Y3" s="4357">
        <f>+U3+W3</f>
        <v>153</v>
      </c>
      <c r="Z3" s="4357">
        <f>+V3+X3</f>
        <v>153</v>
      </c>
      <c r="AA3" s="324">
        <v>30</v>
      </c>
      <c r="AB3" s="324">
        <v>30</v>
      </c>
      <c r="AC3" s="324">
        <f>+AA3+W3+S3</f>
        <v>92</v>
      </c>
      <c r="AD3" s="324">
        <f>+AB3+X3+T3</f>
        <v>92</v>
      </c>
      <c r="AE3" s="855">
        <f>+Y3+AA3</f>
        <v>183</v>
      </c>
      <c r="AF3" s="855">
        <f>+Z3+AB3</f>
        <v>183</v>
      </c>
      <c r="AG3" s="324">
        <v>31</v>
      </c>
      <c r="AH3" s="324">
        <v>31</v>
      </c>
      <c r="AI3" s="2446">
        <f>+AE3+AG3</f>
        <v>214</v>
      </c>
      <c r="AJ3" s="2446">
        <f>+AF3+AH3</f>
        <v>214</v>
      </c>
      <c r="AK3" s="324">
        <v>30</v>
      </c>
      <c r="AL3" s="324">
        <v>30</v>
      </c>
      <c r="AM3" s="2487">
        <f>+AI3+AK3</f>
        <v>244</v>
      </c>
      <c r="AN3" s="2487">
        <f>+AJ3+AL3</f>
        <v>244</v>
      </c>
      <c r="AO3" s="324">
        <v>31</v>
      </c>
      <c r="AP3" s="324">
        <v>31</v>
      </c>
      <c r="AQ3" s="324">
        <f>+AO3+AK3+AG3</f>
        <v>92</v>
      </c>
      <c r="AR3" s="324">
        <f>+AP3+AL3+AH3</f>
        <v>92</v>
      </c>
      <c r="AS3" s="2558">
        <f>+AM3+AO3</f>
        <v>275</v>
      </c>
      <c r="AT3" s="2558">
        <f>+AN3+AP3</f>
        <v>275</v>
      </c>
      <c r="AU3" s="324">
        <v>31</v>
      </c>
      <c r="AV3" s="324">
        <v>31</v>
      </c>
      <c r="AW3" s="2605">
        <f>+AS3+AU3</f>
        <v>306</v>
      </c>
      <c r="AX3" s="2605">
        <f>+AT3+AV3</f>
        <v>306</v>
      </c>
      <c r="AY3" s="324">
        <v>28</v>
      </c>
      <c r="AZ3" s="324">
        <v>28</v>
      </c>
      <c r="BA3" s="2643">
        <f>+AW3+AY3</f>
        <v>334</v>
      </c>
      <c r="BB3" s="2643">
        <f>+AX3+AZ3</f>
        <v>334</v>
      </c>
      <c r="BC3" s="324">
        <v>31</v>
      </c>
      <c r="BD3" s="324">
        <v>31</v>
      </c>
      <c r="BE3" s="324">
        <f>+BC3+AY3+AU3</f>
        <v>90</v>
      </c>
      <c r="BF3" s="324">
        <f>+BD3+AZ3+AV3</f>
        <v>90</v>
      </c>
      <c r="BG3" s="2803">
        <f>AQ3+BE3</f>
        <v>182</v>
      </c>
      <c r="BH3" s="2803">
        <f>AR3+BF3</f>
        <v>182</v>
      </c>
      <c r="BI3" s="2803">
        <f>+BA3+BC3</f>
        <v>365</v>
      </c>
      <c r="BJ3" s="2803">
        <f>+BB3+BD3</f>
        <v>365</v>
      </c>
    </row>
    <row r="4" spans="1:70" ht="22.5" x14ac:dyDescent="0.25">
      <c r="B4" s="264" t="s">
        <v>135</v>
      </c>
      <c r="C4" s="8193" t="s">
        <v>172</v>
      </c>
      <c r="D4" s="265" t="s">
        <v>644</v>
      </c>
      <c r="E4" s="266" t="s">
        <v>645</v>
      </c>
      <c r="G4" s="856"/>
      <c r="H4" s="1332" t="s">
        <v>135</v>
      </c>
      <c r="I4" s="8197" t="s">
        <v>2319</v>
      </c>
      <c r="J4" s="7732"/>
      <c r="K4" s="8106" t="s">
        <v>1956</v>
      </c>
      <c r="L4" s="8178"/>
      <c r="M4" s="8179" t="s">
        <v>14</v>
      </c>
      <c r="N4" s="8180"/>
      <c r="O4" s="8198" t="s">
        <v>1986</v>
      </c>
      <c r="P4" s="7732"/>
      <c r="Q4" s="8185" t="s">
        <v>763</v>
      </c>
      <c r="R4" s="8186"/>
      <c r="S4" s="8106" t="s">
        <v>2008</v>
      </c>
      <c r="T4" s="8178"/>
      <c r="U4" s="8179" t="s">
        <v>17</v>
      </c>
      <c r="V4" s="8180"/>
      <c r="W4" s="8106" t="s">
        <v>2011</v>
      </c>
      <c r="X4" s="8178"/>
      <c r="Y4" s="8179" t="s">
        <v>18</v>
      </c>
      <c r="Z4" s="8180"/>
      <c r="AA4" s="8106" t="s">
        <v>2042</v>
      </c>
      <c r="AB4" s="8178"/>
      <c r="AC4" s="8185" t="s">
        <v>801</v>
      </c>
      <c r="AD4" s="8186"/>
      <c r="AE4" s="8187" t="s">
        <v>626</v>
      </c>
      <c r="AF4" s="8188"/>
      <c r="AG4" s="8106" t="s">
        <v>2067</v>
      </c>
      <c r="AH4" s="8178"/>
      <c r="AI4" s="8179" t="s">
        <v>24</v>
      </c>
      <c r="AJ4" s="8180"/>
      <c r="AK4" s="8106" t="s">
        <v>2170</v>
      </c>
      <c r="AL4" s="8178"/>
      <c r="AM4" s="8179" t="s">
        <v>27</v>
      </c>
      <c r="AN4" s="8180"/>
      <c r="AO4" s="8106" t="s">
        <v>2194</v>
      </c>
      <c r="AP4" s="8178"/>
      <c r="AQ4" s="8185" t="s">
        <v>1574</v>
      </c>
      <c r="AR4" s="8186"/>
      <c r="AS4" s="8179" t="s">
        <v>1575</v>
      </c>
      <c r="AT4" s="8180"/>
      <c r="AU4" s="8106" t="s">
        <v>2206</v>
      </c>
      <c r="AV4" s="8178"/>
      <c r="AW4" s="8179" t="s">
        <v>28</v>
      </c>
      <c r="AX4" s="8180"/>
      <c r="AY4" s="8106" t="s">
        <v>2243</v>
      </c>
      <c r="AZ4" s="8178"/>
      <c r="BA4" s="8179" t="s">
        <v>30</v>
      </c>
      <c r="BB4" s="8180"/>
      <c r="BC4" s="8106" t="s">
        <v>2261</v>
      </c>
      <c r="BD4" s="8178"/>
      <c r="BE4" s="8185" t="s">
        <v>1610</v>
      </c>
      <c r="BF4" s="8186"/>
      <c r="BG4" s="8187" t="s">
        <v>638</v>
      </c>
      <c r="BH4" s="8188"/>
      <c r="BI4" s="8179" t="s">
        <v>1984</v>
      </c>
      <c r="BJ4" s="8180"/>
    </row>
    <row r="5" spans="1:70" ht="15.75" thickBot="1" x14ac:dyDescent="0.3">
      <c r="A5" s="253" t="s">
        <v>711</v>
      </c>
      <c r="B5" s="267" t="s">
        <v>395</v>
      </c>
      <c r="C5" s="8194"/>
      <c r="D5" s="265" t="s">
        <v>174</v>
      </c>
      <c r="E5" s="266" t="s">
        <v>174</v>
      </c>
      <c r="G5" s="858"/>
      <c r="H5" s="840"/>
      <c r="I5" s="1226" t="s">
        <v>173</v>
      </c>
      <c r="J5" s="663" t="s">
        <v>174</v>
      </c>
      <c r="K5" s="663" t="s">
        <v>173</v>
      </c>
      <c r="L5" s="735" t="s">
        <v>174</v>
      </c>
      <c r="M5" s="664" t="s">
        <v>173</v>
      </c>
      <c r="N5" s="859" t="s">
        <v>174</v>
      </c>
      <c r="O5" s="1451" t="s">
        <v>173</v>
      </c>
      <c r="P5" s="663" t="s">
        <v>174</v>
      </c>
      <c r="Q5" s="665" t="s">
        <v>173</v>
      </c>
      <c r="R5" s="860" t="s">
        <v>174</v>
      </c>
      <c r="S5" s="761" t="s">
        <v>173</v>
      </c>
      <c r="T5" s="735" t="s">
        <v>174</v>
      </c>
      <c r="U5" s="664" t="s">
        <v>173</v>
      </c>
      <c r="V5" s="859" t="s">
        <v>174</v>
      </c>
      <c r="W5" s="761" t="s">
        <v>173</v>
      </c>
      <c r="X5" s="735" t="s">
        <v>174</v>
      </c>
      <c r="Y5" s="4356" t="s">
        <v>173</v>
      </c>
      <c r="Z5" s="859" t="s">
        <v>174</v>
      </c>
      <c r="AA5" s="761" t="s">
        <v>173</v>
      </c>
      <c r="AB5" s="735" t="s">
        <v>174</v>
      </c>
      <c r="AC5" s="665" t="s">
        <v>173</v>
      </c>
      <c r="AD5" s="860" t="s">
        <v>174</v>
      </c>
      <c r="AE5" s="748" t="s">
        <v>173</v>
      </c>
      <c r="AF5" s="750" t="s">
        <v>174</v>
      </c>
      <c r="AG5" s="761" t="s">
        <v>173</v>
      </c>
      <c r="AH5" s="735" t="s">
        <v>174</v>
      </c>
      <c r="AI5" s="2447" t="s">
        <v>173</v>
      </c>
      <c r="AJ5" s="859" t="s">
        <v>174</v>
      </c>
      <c r="AK5" s="761" t="s">
        <v>173</v>
      </c>
      <c r="AL5" s="735" t="s">
        <v>174</v>
      </c>
      <c r="AM5" s="2489" t="s">
        <v>173</v>
      </c>
      <c r="AN5" s="859" t="s">
        <v>174</v>
      </c>
      <c r="AO5" s="761" t="s">
        <v>173</v>
      </c>
      <c r="AP5" s="735" t="s">
        <v>174</v>
      </c>
      <c r="AQ5" s="2559" t="s">
        <v>173</v>
      </c>
      <c r="AR5" s="860" t="s">
        <v>174</v>
      </c>
      <c r="AS5" s="2560" t="s">
        <v>173</v>
      </c>
      <c r="AT5" s="859" t="s">
        <v>174</v>
      </c>
      <c r="AU5" s="761" t="s">
        <v>173</v>
      </c>
      <c r="AV5" s="735" t="s">
        <v>174</v>
      </c>
      <c r="AW5" s="2606" t="s">
        <v>173</v>
      </c>
      <c r="AX5" s="859" t="s">
        <v>174</v>
      </c>
      <c r="AY5" s="761" t="s">
        <v>173</v>
      </c>
      <c r="AZ5" s="735" t="s">
        <v>174</v>
      </c>
      <c r="BA5" s="2645" t="s">
        <v>173</v>
      </c>
      <c r="BB5" s="859" t="s">
        <v>174</v>
      </c>
      <c r="BC5" s="761" t="s">
        <v>173</v>
      </c>
      <c r="BD5" s="735" t="s">
        <v>174</v>
      </c>
      <c r="BE5" s="2804" t="s">
        <v>173</v>
      </c>
      <c r="BF5" s="860" t="s">
        <v>174</v>
      </c>
      <c r="BG5" s="2806" t="s">
        <v>173</v>
      </c>
      <c r="BH5" s="750" t="s">
        <v>174</v>
      </c>
      <c r="BI5" s="2805" t="s">
        <v>173</v>
      </c>
      <c r="BJ5" s="859" t="s">
        <v>174</v>
      </c>
    </row>
    <row r="6" spans="1:70" ht="15.75" x14ac:dyDescent="0.25">
      <c r="A6" s="253">
        <v>1</v>
      </c>
      <c r="B6" s="268" t="s">
        <v>457</v>
      </c>
      <c r="C6" s="15" t="s">
        <v>213</v>
      </c>
      <c r="D6" s="269">
        <v>0</v>
      </c>
      <c r="E6" s="270">
        <v>0</v>
      </c>
      <c r="G6" s="861">
        <v>1</v>
      </c>
      <c r="H6" s="1333" t="s">
        <v>712</v>
      </c>
      <c r="I6" s="1338">
        <f>SUM(I7:I11)</f>
        <v>101395594.23986326</v>
      </c>
      <c r="J6" s="300">
        <f>SUM(J7:J11)</f>
        <v>113426564.04999998</v>
      </c>
      <c r="K6" s="1338">
        <f>SUM(K7:K11)</f>
        <v>121454935.41389656</v>
      </c>
      <c r="L6" s="300">
        <f>SUM(L7:L11)</f>
        <v>114962072.7</v>
      </c>
      <c r="M6" s="863">
        <f>+I6+K6</f>
        <v>222850529.65375984</v>
      </c>
      <c r="N6" s="863">
        <f>+J6+L6</f>
        <v>228388636.75</v>
      </c>
      <c r="O6" s="1338">
        <f>SUM(O7:O11)</f>
        <v>117487319.29746184</v>
      </c>
      <c r="P6" s="300">
        <f>SUM(P7:P11)</f>
        <v>113950420.5</v>
      </c>
      <c r="Q6" s="1412">
        <f>+I6+K6+O6</f>
        <v>340337848.9512217</v>
      </c>
      <c r="R6" s="337">
        <f>+J6+L6+P6</f>
        <v>342339057.25</v>
      </c>
      <c r="S6" s="1338">
        <f>SUM(S7:S11)</f>
        <v>120523307.19417045</v>
      </c>
      <c r="T6" s="300">
        <f>SUM(T7:T11)</f>
        <v>118817105.80799998</v>
      </c>
      <c r="U6" s="863">
        <f>+Q6+S6</f>
        <v>460861156.14539218</v>
      </c>
      <c r="V6" s="863">
        <f>+R6+T6</f>
        <v>461156163.05799997</v>
      </c>
      <c r="W6" s="1338">
        <f>SUM(W7:W11)</f>
        <v>120523307.19417045</v>
      </c>
      <c r="X6" s="300">
        <f>SUM(X7:X11)</f>
        <v>115814820.9999999</v>
      </c>
      <c r="Y6" s="863">
        <f>+U6+W6</f>
        <v>581384463.33956265</v>
      </c>
      <c r="Z6" s="863">
        <f>+V6+X6</f>
        <v>576970984.05799985</v>
      </c>
      <c r="AA6" s="1338">
        <f>SUM(AA7:AA11)</f>
        <v>83308631.099244505</v>
      </c>
      <c r="AB6" s="300">
        <f>SUM(AB7:AB11)</f>
        <v>113325124</v>
      </c>
      <c r="AC6" s="1412">
        <f>S6+W6+AA6</f>
        <v>324355245.48758543</v>
      </c>
      <c r="AD6" s="337">
        <f>T6+X6+AB6</f>
        <v>347957050.80799985</v>
      </c>
      <c r="AE6" s="864">
        <f>Q6+AC6</f>
        <v>664693094.43880713</v>
      </c>
      <c r="AF6" s="864">
        <f>R6+AD6</f>
        <v>690296108.05799985</v>
      </c>
      <c r="AG6" s="1338">
        <f>SUM(AG7:AG11)</f>
        <v>121237124.22770301</v>
      </c>
      <c r="AH6" s="300">
        <f>SUM(AH7:AH11)</f>
        <v>103549486.47</v>
      </c>
      <c r="AI6" s="863">
        <f>+AE6+AG6</f>
        <v>785930218.66651011</v>
      </c>
      <c r="AJ6" s="863">
        <f>+AF6+AH6</f>
        <v>793845594.52799988</v>
      </c>
      <c r="AK6" s="1338">
        <f>SUM(AK7:AK11)</f>
        <v>117829577.65108055</v>
      </c>
      <c r="AL6" s="300">
        <f>SUM(AL7:AL11)</f>
        <v>111417799</v>
      </c>
      <c r="AM6" s="863">
        <f>+AI6+AK6</f>
        <v>903759796.31759071</v>
      </c>
      <c r="AN6" s="863">
        <f>+AJ6+AL6</f>
        <v>905263393.52799988</v>
      </c>
      <c r="AO6" s="1338">
        <f>SUM(AO7:AO11)</f>
        <v>121746433.12751524</v>
      </c>
      <c r="AP6" s="300">
        <f>SUM(AP7:AP11)</f>
        <v>113137667</v>
      </c>
      <c r="AQ6" s="1412">
        <f>AG6+AK6+AO6</f>
        <v>360813135.00629878</v>
      </c>
      <c r="AR6" s="337">
        <f>AH6+AL6+AP6</f>
        <v>328104952.47000003</v>
      </c>
      <c r="AS6" s="863">
        <f>+AM6+AO6</f>
        <v>1025506229.4451059</v>
      </c>
      <c r="AT6" s="862">
        <f>+AN6+AP6</f>
        <v>1018401060.5279999</v>
      </c>
      <c r="AU6" s="1338">
        <f>SUM(AU7:AU11)</f>
        <v>122457691.60293768</v>
      </c>
      <c r="AV6" s="300">
        <f>SUM(AV7:AV11)</f>
        <v>113978078.25000007</v>
      </c>
      <c r="AW6" s="863">
        <f>+AS6+AU6</f>
        <v>1147963921.0480435</v>
      </c>
      <c r="AX6" s="862">
        <f>+AT6+AV6</f>
        <v>1132379138.7779999</v>
      </c>
      <c r="AY6" s="1338">
        <f>SUM(AY7:AY11)</f>
        <v>110169158.02639693</v>
      </c>
      <c r="AZ6" s="300">
        <f>SUM(AZ7:AZ11)</f>
        <v>100873469.33999999</v>
      </c>
      <c r="BA6" s="863">
        <f>+AW6+AY6</f>
        <v>1258133079.0744405</v>
      </c>
      <c r="BB6" s="862">
        <f>+AX6+AZ6</f>
        <v>1233252608.1179998</v>
      </c>
      <c r="BC6" s="1338">
        <f>SUM(BC7:BC11)</f>
        <v>122583410.07221156</v>
      </c>
      <c r="BD6" s="300">
        <f>SUM(BD7:BD11)</f>
        <v>115328542.40000013</v>
      </c>
      <c r="BE6" s="1412">
        <f>AU6+AY6+BC6</f>
        <v>355210259.70154619</v>
      </c>
      <c r="BF6" s="337">
        <f>AV6+AZ6+BD6</f>
        <v>330180089.99000019</v>
      </c>
      <c r="BG6" s="864">
        <f>AQ6+BE6</f>
        <v>716023394.70784497</v>
      </c>
      <c r="BH6" s="864">
        <f>AR6+BF6</f>
        <v>658285042.46000028</v>
      </c>
      <c r="BI6" s="863">
        <f t="shared" ref="BI6:BJ11" si="0">+BA6+BC6</f>
        <v>1380716489.146652</v>
      </c>
      <c r="BJ6" s="862">
        <f t="shared" si="0"/>
        <v>1348581150.5179999</v>
      </c>
      <c r="BK6" s="1137"/>
      <c r="BL6" s="1137"/>
      <c r="BM6" s="1137"/>
      <c r="BN6" s="7068"/>
      <c r="BO6" s="7068"/>
      <c r="BP6" s="1137"/>
      <c r="BQ6" s="1137"/>
      <c r="BR6" s="25"/>
    </row>
    <row r="7" spans="1:70" x14ac:dyDescent="0.25">
      <c r="A7" s="253">
        <v>3</v>
      </c>
      <c r="B7" s="274" t="s">
        <v>458</v>
      </c>
      <c r="C7" s="12" t="s">
        <v>213</v>
      </c>
      <c r="D7" s="272">
        <v>3137000</v>
      </c>
      <c r="E7" s="273">
        <v>766000</v>
      </c>
      <c r="G7" s="858">
        <v>1.1000000000000001</v>
      </c>
      <c r="H7" s="840" t="s">
        <v>560</v>
      </c>
      <c r="I7" s="1340">
        <f>+I55*I$3*24*1000</f>
        <v>30501545.064016741</v>
      </c>
      <c r="J7" s="299">
        <v>37991799.999999985</v>
      </c>
      <c r="K7" s="1340">
        <f>+K55*K$3*24*1000</f>
        <v>39844723.250093497</v>
      </c>
      <c r="L7" s="299">
        <v>34691000</v>
      </c>
      <c r="M7" s="865">
        <f t="shared" ref="M7:N46" si="1">+I7+K7</f>
        <v>70346268.314110234</v>
      </c>
      <c r="N7" s="865">
        <f t="shared" si="1"/>
        <v>72682799.999999985</v>
      </c>
      <c r="O7" s="1340">
        <f>+O55*O$3*24*1000</f>
        <v>38443313.060934715</v>
      </c>
      <c r="P7" s="299">
        <v>39300399.999999993</v>
      </c>
      <c r="Q7" s="1414">
        <f t="shared" ref="Q7:Q10" si="2">+I7+K7+O7</f>
        <v>108789581.37504494</v>
      </c>
      <c r="R7" s="336">
        <f t="shared" ref="R7:R10" si="3">+J7+L7+P7</f>
        <v>111983199.99999997</v>
      </c>
      <c r="S7" s="1340">
        <f>+S55*S$3*24*1000</f>
        <v>39910513.372167096</v>
      </c>
      <c r="T7" s="299">
        <v>42763699.999999993</v>
      </c>
      <c r="U7" s="865">
        <f t="shared" ref="U7:U32" si="4">+Q7+S7</f>
        <v>148700094.74721205</v>
      </c>
      <c r="V7" s="865">
        <f t="shared" ref="V7:V32" si="5">+R7+T7</f>
        <v>154746899.99999997</v>
      </c>
      <c r="W7" s="1340">
        <f>+W55*W$3*24*1000</f>
        <v>39330490.682108618</v>
      </c>
      <c r="X7" s="299">
        <v>41038899.999999896</v>
      </c>
      <c r="Y7" s="865">
        <f t="shared" ref="Y7:Y32" si="6">+U7+W7</f>
        <v>188030585.42932066</v>
      </c>
      <c r="Z7" s="865">
        <f t="shared" ref="Z7:Z32" si="7">+V7+X7</f>
        <v>195785799.99999988</v>
      </c>
      <c r="AA7" s="1340">
        <f>+AA55*AA$3*24*1000</f>
        <v>29457715.358904649</v>
      </c>
      <c r="AB7" s="299">
        <v>38265400</v>
      </c>
      <c r="AC7" s="1413">
        <f t="shared" ref="AC7:AC11" si="8">S7+W7+AA7</f>
        <v>108698719.41318037</v>
      </c>
      <c r="AD7" s="1413">
        <f t="shared" ref="AD7:AD11" si="9">T7+X7+AB7</f>
        <v>122067999.99999988</v>
      </c>
      <c r="AE7" s="866">
        <f t="shared" ref="AE7:AE11" si="10">Q7+AC7</f>
        <v>217488300.78822529</v>
      </c>
      <c r="AF7" s="866">
        <f t="shared" ref="AF7:AF11" si="11">R7+AD7</f>
        <v>234051199.99999985</v>
      </c>
      <c r="AG7" s="1340">
        <f>+AG55*AG$3*24*1000</f>
        <v>39486904.219020285</v>
      </c>
      <c r="AH7" s="299">
        <v>34346299.999999993</v>
      </c>
      <c r="AI7" s="865">
        <f t="shared" ref="AI7:AI32" si="12">+AE7+AG7</f>
        <v>256975205.00724557</v>
      </c>
      <c r="AJ7" s="865">
        <f t="shared" ref="AJ7:AJ32" si="13">+AF7+AH7</f>
        <v>268397499.99999985</v>
      </c>
      <c r="AK7" s="1340">
        <f>+AK55*AK$3*24*1000</f>
        <v>31321589.518975388</v>
      </c>
      <c r="AL7" s="299">
        <v>37637500</v>
      </c>
      <c r="AM7" s="865">
        <f t="shared" ref="AM7:AM32" si="14">+AI7+AK7</f>
        <v>288296794.52622098</v>
      </c>
      <c r="AN7" s="865">
        <f t="shared" ref="AN7:AN32" si="15">+AJ7+AL7</f>
        <v>306034999.99999988</v>
      </c>
      <c r="AO7" s="1340">
        <f>+AO55*AO$3*24*1000</f>
        <v>32337111.699331369</v>
      </c>
      <c r="AP7" s="299">
        <v>37124000</v>
      </c>
      <c r="AQ7" s="1413">
        <f t="shared" ref="AQ7:AQ11" si="16">AG7+AK7+AO7</f>
        <v>103145605.43732704</v>
      </c>
      <c r="AR7" s="1413">
        <f t="shared" ref="AR7:AR11" si="17">AH7+AL7+AP7</f>
        <v>109107800</v>
      </c>
      <c r="AS7" s="865">
        <f t="shared" ref="AS7:AS32" si="18">+AM7+AO7</f>
        <v>320633906.22555232</v>
      </c>
      <c r="AT7" s="865">
        <f t="shared" ref="AT7:AT32" si="19">+AN7+AP7</f>
        <v>343158999.99999988</v>
      </c>
      <c r="AU7" s="1340">
        <f>+AU55*AU$3*24*1000</f>
        <v>31663576.551385369</v>
      </c>
      <c r="AV7" s="299">
        <v>35634300.000000075</v>
      </c>
      <c r="AW7" s="865">
        <f t="shared" ref="AW7:AW32" si="20">+AS7+AU7</f>
        <v>352297482.77693766</v>
      </c>
      <c r="AX7" s="865">
        <f t="shared" ref="AX7:AX32" si="21">+AT7+AV7</f>
        <v>378793299.99999994</v>
      </c>
      <c r="AY7" s="1340">
        <f>+AY55*AY$3*24*1000</f>
        <v>28957942.811745428</v>
      </c>
      <c r="AZ7" s="299">
        <v>30300499.999999996</v>
      </c>
      <c r="BA7" s="865">
        <f t="shared" ref="BA7:BA32" si="22">+AW7+AY7</f>
        <v>381255425.58868307</v>
      </c>
      <c r="BB7" s="865">
        <f t="shared" ref="BB7:BB32" si="23">+AX7+AZ7</f>
        <v>409093799.99999994</v>
      </c>
      <c r="BC7" s="1340">
        <f>+BC55*BC$3*24*1000</f>
        <v>38558395.645938836</v>
      </c>
      <c r="BD7" s="299">
        <v>37147200.000000037</v>
      </c>
      <c r="BE7" s="1413">
        <f t="shared" ref="BE7:BE12" si="24">AU7+AY7+BC7</f>
        <v>99179915.009069622</v>
      </c>
      <c r="BF7" s="1413">
        <f t="shared" ref="BF7:BF11" si="25">AV7+AZ7+BD7</f>
        <v>103082000.00000012</v>
      </c>
      <c r="BG7" s="866">
        <f t="shared" ref="BG7:BH11" si="26">AQ7+BE7</f>
        <v>202325520.44639665</v>
      </c>
      <c r="BH7" s="866">
        <f t="shared" si="26"/>
        <v>212189800.00000012</v>
      </c>
      <c r="BI7" s="865">
        <f t="shared" si="0"/>
        <v>419813821.23462188</v>
      </c>
      <c r="BJ7" s="865">
        <f t="shared" si="0"/>
        <v>446241000</v>
      </c>
      <c r="BK7" s="1137"/>
      <c r="BL7" s="1137"/>
      <c r="BM7" s="1137"/>
      <c r="BN7" s="7068"/>
      <c r="BO7" s="7068"/>
      <c r="BP7" s="1137"/>
      <c r="BQ7" s="1137"/>
      <c r="BR7" s="25"/>
    </row>
    <row r="8" spans="1:70" x14ac:dyDescent="0.25">
      <c r="A8" s="253">
        <v>4</v>
      </c>
      <c r="B8" s="274" t="s">
        <v>459</v>
      </c>
      <c r="C8" s="12" t="s">
        <v>213</v>
      </c>
      <c r="D8" s="272">
        <v>56402000</v>
      </c>
      <c r="E8" s="273">
        <v>65310000</v>
      </c>
      <c r="G8" s="858">
        <v>1.2</v>
      </c>
      <c r="H8" s="840" t="s">
        <v>2343</v>
      </c>
      <c r="I8" s="1340">
        <f>+I56*I$3*24*1000</f>
        <v>3600000</v>
      </c>
      <c r="J8" s="299">
        <v>3565939.53</v>
      </c>
      <c r="K8" s="1340">
        <f>+K56*K$3*24*1000</f>
        <v>3720000</v>
      </c>
      <c r="L8" s="299">
        <v>3582801</v>
      </c>
      <c r="M8" s="865">
        <f t="shared" si="1"/>
        <v>7320000</v>
      </c>
      <c r="N8" s="865">
        <f t="shared" si="1"/>
        <v>7148740.5299999993</v>
      </c>
      <c r="O8" s="1340">
        <f>+O56*O$3*24*1000</f>
        <v>3600000</v>
      </c>
      <c r="P8" s="299">
        <v>3381201</v>
      </c>
      <c r="Q8" s="1414">
        <f t="shared" si="2"/>
        <v>10920000</v>
      </c>
      <c r="R8" s="336">
        <f t="shared" si="3"/>
        <v>10529941.529999999</v>
      </c>
      <c r="S8" s="1340">
        <f>+S56*S$3*24*1000</f>
        <v>3720000</v>
      </c>
      <c r="T8" s="299">
        <v>2712598</v>
      </c>
      <c r="U8" s="865">
        <f t="shared" si="4"/>
        <v>14640000</v>
      </c>
      <c r="V8" s="865">
        <f t="shared" si="5"/>
        <v>13242539.529999999</v>
      </c>
      <c r="W8" s="1340">
        <f>+W56*W$3*24*1000</f>
        <v>3720000</v>
      </c>
      <c r="X8" s="299">
        <v>3125705</v>
      </c>
      <c r="Y8" s="865">
        <f t="shared" si="6"/>
        <v>18360000</v>
      </c>
      <c r="Z8" s="865">
        <f t="shared" si="7"/>
        <v>16368244.529999999</v>
      </c>
      <c r="AA8" s="1340">
        <f>+AA56*AA$3*24*1000</f>
        <v>3600000</v>
      </c>
      <c r="AB8" s="299">
        <v>3614598</v>
      </c>
      <c r="AC8" s="1413">
        <f t="shared" si="8"/>
        <v>11040000</v>
      </c>
      <c r="AD8" s="1413">
        <f t="shared" si="9"/>
        <v>9452901</v>
      </c>
      <c r="AE8" s="866">
        <f t="shared" si="10"/>
        <v>21960000</v>
      </c>
      <c r="AF8" s="866">
        <f t="shared" si="11"/>
        <v>19982842.530000001</v>
      </c>
      <c r="AG8" s="1340">
        <f>+AG56*AG$3*24*1000</f>
        <v>3720000</v>
      </c>
      <c r="AH8" s="299">
        <v>3255599.87</v>
      </c>
      <c r="AI8" s="865">
        <f t="shared" si="12"/>
        <v>25680000</v>
      </c>
      <c r="AJ8" s="865">
        <f t="shared" si="13"/>
        <v>23238442.400000002</v>
      </c>
      <c r="AK8" s="1340">
        <f>+AK56*AK$3*24*1000</f>
        <v>3600000</v>
      </c>
      <c r="AL8" s="299">
        <v>2919400</v>
      </c>
      <c r="AM8" s="865">
        <f t="shared" si="14"/>
        <v>29280000</v>
      </c>
      <c r="AN8" s="865">
        <f t="shared" si="15"/>
        <v>26157842.400000002</v>
      </c>
      <c r="AO8" s="1340">
        <f>+AO56*AO$3*24*1000</f>
        <v>3720000</v>
      </c>
      <c r="AP8" s="299">
        <v>3139600</v>
      </c>
      <c r="AQ8" s="1413">
        <f t="shared" si="16"/>
        <v>11040000</v>
      </c>
      <c r="AR8" s="1413">
        <f t="shared" si="17"/>
        <v>9314599.870000001</v>
      </c>
      <c r="AS8" s="865">
        <f t="shared" si="18"/>
        <v>33000000</v>
      </c>
      <c r="AT8" s="865">
        <f t="shared" si="19"/>
        <v>29297442.400000002</v>
      </c>
      <c r="AU8" s="1340">
        <f>+AU56*AU$3*24*1000</f>
        <v>3720000</v>
      </c>
      <c r="AV8" s="299">
        <v>3390100.54</v>
      </c>
      <c r="AW8" s="865">
        <f t="shared" si="20"/>
        <v>36720000</v>
      </c>
      <c r="AX8" s="865">
        <f t="shared" si="21"/>
        <v>32687542.940000001</v>
      </c>
      <c r="AY8" s="1340">
        <f>+AY56*AY$3*24*1000</f>
        <v>3360000</v>
      </c>
      <c r="AZ8" s="299">
        <v>2725197.84</v>
      </c>
      <c r="BA8" s="865">
        <f t="shared" si="22"/>
        <v>40080000</v>
      </c>
      <c r="BB8" s="865">
        <f t="shared" si="23"/>
        <v>35412740.780000001</v>
      </c>
      <c r="BC8" s="1340">
        <f>+BC56*BC$3*24*1000</f>
        <v>3720000</v>
      </c>
      <c r="BD8" s="299">
        <v>3156462.25</v>
      </c>
      <c r="BE8" s="1413">
        <f t="shared" si="24"/>
        <v>10800000</v>
      </c>
      <c r="BF8" s="1413">
        <f t="shared" si="25"/>
        <v>9271760.629999999</v>
      </c>
      <c r="BG8" s="866">
        <f t="shared" si="26"/>
        <v>21840000</v>
      </c>
      <c r="BH8" s="866">
        <f t="shared" si="26"/>
        <v>18586360.5</v>
      </c>
      <c r="BI8" s="865">
        <f t="shared" si="0"/>
        <v>43800000</v>
      </c>
      <c r="BJ8" s="865">
        <f t="shared" si="0"/>
        <v>38569203.030000001</v>
      </c>
      <c r="BK8" s="1137"/>
      <c r="BL8" s="1137"/>
      <c r="BM8" s="1137"/>
      <c r="BN8" s="7068"/>
      <c r="BO8" s="7068"/>
      <c r="BP8" s="1137"/>
      <c r="BQ8" s="1137"/>
      <c r="BR8" s="25"/>
    </row>
    <row r="9" spans="1:70" ht="15.75" thickBot="1" x14ac:dyDescent="0.3">
      <c r="A9" s="253">
        <v>5</v>
      </c>
      <c r="B9" s="275" t="s">
        <v>460</v>
      </c>
      <c r="C9" s="13" t="s">
        <v>213</v>
      </c>
      <c r="D9" s="272">
        <v>514390</v>
      </c>
      <c r="E9" s="273">
        <v>517460.00000000029</v>
      </c>
      <c r="G9" s="858">
        <v>1.3</v>
      </c>
      <c r="H9" s="840" t="s">
        <v>459</v>
      </c>
      <c r="I9" s="1340">
        <f>+I57*I$3*24*1000</f>
        <v>66149249.175846517</v>
      </c>
      <c r="J9" s="299">
        <v>70648004.599999994</v>
      </c>
      <c r="K9" s="1340">
        <f>+K57*K$3*24*1000</f>
        <v>76588212.163803056</v>
      </c>
      <c r="L9" s="299">
        <v>75383046</v>
      </c>
      <c r="M9" s="865">
        <f t="shared" si="1"/>
        <v>142737461.33964956</v>
      </c>
      <c r="N9" s="865">
        <f t="shared" si="1"/>
        <v>146031050.59999999</v>
      </c>
      <c r="O9" s="1340">
        <f>+O57*O$3*24*1000</f>
        <v>74184006.236527115</v>
      </c>
      <c r="P9" s="299">
        <v>70337003</v>
      </c>
      <c r="Q9" s="1414">
        <f t="shared" si="2"/>
        <v>216921467.57617667</v>
      </c>
      <c r="R9" s="336">
        <f t="shared" si="3"/>
        <v>216368053.59999999</v>
      </c>
      <c r="S9" s="1340">
        <f>+S57*S$3*24*1000</f>
        <v>75590793.82200335</v>
      </c>
      <c r="T9" s="299">
        <v>72496939.008000001</v>
      </c>
      <c r="U9" s="865">
        <f t="shared" si="4"/>
        <v>292512261.39818001</v>
      </c>
      <c r="V9" s="865">
        <f t="shared" si="5"/>
        <v>288864992.60799998</v>
      </c>
      <c r="W9" s="1340">
        <f>+W57*W$3*24*1000</f>
        <v>76170816.512061834</v>
      </c>
      <c r="X9" s="299">
        <v>70569001</v>
      </c>
      <c r="Y9" s="865">
        <f t="shared" si="6"/>
        <v>368683077.91024184</v>
      </c>
      <c r="Z9" s="865">
        <f t="shared" si="7"/>
        <v>359433993.60799998</v>
      </c>
      <c r="AA9" s="1340">
        <f>+AA57*AA$3*24*1000</f>
        <v>48990915.74033986</v>
      </c>
      <c r="AB9" s="299">
        <v>70384025</v>
      </c>
      <c r="AC9" s="1413">
        <f t="shared" si="8"/>
        <v>200752526.07440507</v>
      </c>
      <c r="AD9" s="1413">
        <f t="shared" si="9"/>
        <v>213449965.00800002</v>
      </c>
      <c r="AE9" s="866">
        <f t="shared" si="10"/>
        <v>417673993.65058172</v>
      </c>
      <c r="AF9" s="866">
        <f t="shared" si="11"/>
        <v>429818018.60800004</v>
      </c>
      <c r="AG9" s="1340">
        <f>+AG57*AG$3*24*1000</f>
        <v>76728220.008682713</v>
      </c>
      <c r="AH9" s="299">
        <v>64899012.600000001</v>
      </c>
      <c r="AI9" s="865">
        <f t="shared" si="12"/>
        <v>494402213.65926445</v>
      </c>
      <c r="AJ9" s="865">
        <f t="shared" si="13"/>
        <v>494717031.20800006</v>
      </c>
      <c r="AK9" s="1340">
        <f>+AK57*AK$3*24*1000</f>
        <v>81647988.132105157</v>
      </c>
      <c r="AL9" s="299">
        <v>69897000</v>
      </c>
      <c r="AM9" s="865">
        <f t="shared" si="14"/>
        <v>576050201.79136956</v>
      </c>
      <c r="AN9" s="865">
        <f t="shared" si="15"/>
        <v>564614031.20800006</v>
      </c>
      <c r="AO9" s="1340">
        <f>+AO57*AO$3*24*1000</f>
        <v>84387321.428183869</v>
      </c>
      <c r="AP9" s="299">
        <v>71946000</v>
      </c>
      <c r="AQ9" s="1413">
        <f t="shared" si="16"/>
        <v>242763529.56897175</v>
      </c>
      <c r="AR9" s="1413">
        <f t="shared" si="17"/>
        <v>206742012.59999999</v>
      </c>
      <c r="AS9" s="865">
        <f t="shared" si="18"/>
        <v>660437523.21955347</v>
      </c>
      <c r="AT9" s="865">
        <f t="shared" si="19"/>
        <v>636560031.20800006</v>
      </c>
      <c r="AU9" s="1340">
        <f>+AU57*AU$3*24*1000</f>
        <v>85772115.051552311</v>
      </c>
      <c r="AV9" s="299">
        <v>73959980.409999996</v>
      </c>
      <c r="AW9" s="865">
        <f t="shared" si="20"/>
        <v>746209638.27110577</v>
      </c>
      <c r="AX9" s="865">
        <f t="shared" si="21"/>
        <v>710520011.61800003</v>
      </c>
      <c r="AY9" s="1340">
        <f>+AY57*AY$3*24*1000</f>
        <v>76675215.214651495</v>
      </c>
      <c r="AZ9" s="299">
        <v>66817949.700000003</v>
      </c>
      <c r="BA9" s="865">
        <f t="shared" si="22"/>
        <v>822884853.48575723</v>
      </c>
      <c r="BB9" s="865">
        <f t="shared" si="23"/>
        <v>777337961.31800008</v>
      </c>
      <c r="BC9" s="1340">
        <f>+BC57*BC$3*24*1000</f>
        <v>79003014.42627272</v>
      </c>
      <c r="BD9" s="299">
        <v>73892102.150000095</v>
      </c>
      <c r="BE9" s="1413">
        <f t="shared" si="24"/>
        <v>241450344.69247654</v>
      </c>
      <c r="BF9" s="1413">
        <f t="shared" si="25"/>
        <v>214670032.26000011</v>
      </c>
      <c r="BG9" s="866">
        <f t="shared" si="26"/>
        <v>484213874.26144826</v>
      </c>
      <c r="BH9" s="866">
        <f t="shared" si="26"/>
        <v>421412044.86000013</v>
      </c>
      <c r="BI9" s="865">
        <f t="shared" si="0"/>
        <v>901887867.91202998</v>
      </c>
      <c r="BJ9" s="865">
        <f t="shared" si="0"/>
        <v>851230063.46800017</v>
      </c>
      <c r="BK9" s="1137"/>
      <c r="BL9" s="1137"/>
      <c r="BM9" s="1137"/>
      <c r="BN9" s="7068"/>
      <c r="BO9" s="7068"/>
      <c r="BP9" s="1137"/>
      <c r="BQ9" s="1137"/>
      <c r="BR9" s="25"/>
    </row>
    <row r="10" spans="1:70" ht="16.5" thickBot="1" x14ac:dyDescent="0.3">
      <c r="A10" s="253">
        <v>6</v>
      </c>
      <c r="B10" s="276" t="s">
        <v>461</v>
      </c>
      <c r="C10" s="14" t="s">
        <v>213</v>
      </c>
      <c r="D10" s="277">
        <f>SUM(D6:D9)</f>
        <v>60053390</v>
      </c>
      <c r="E10" s="278">
        <f>SUM(E6:E9)</f>
        <v>66593460</v>
      </c>
      <c r="G10" s="858">
        <v>1.4</v>
      </c>
      <c r="H10" s="840" t="s">
        <v>460</v>
      </c>
      <c r="I10" s="1339">
        <f>+I58*I$3*24*1000</f>
        <v>424799.99999999994</v>
      </c>
      <c r="J10" s="299">
        <v>495729.99999999779</v>
      </c>
      <c r="K10" s="1339">
        <f>+K58*K$3*24*1000</f>
        <v>558000</v>
      </c>
      <c r="L10" s="299">
        <v>491550.00000000105</v>
      </c>
      <c r="M10" s="865">
        <f t="shared" si="1"/>
        <v>982800</v>
      </c>
      <c r="N10" s="865">
        <f t="shared" si="1"/>
        <v>987279.99999999884</v>
      </c>
      <c r="O10" s="1339">
        <f>+O58*O$3*24*1000</f>
        <v>540000</v>
      </c>
      <c r="P10" s="299">
        <v>330650.00000000146</v>
      </c>
      <c r="Q10" s="1413">
        <f t="shared" si="2"/>
        <v>1522800</v>
      </c>
      <c r="R10" s="335">
        <f t="shared" si="3"/>
        <v>1317930.0000000002</v>
      </c>
      <c r="S10" s="1339">
        <f>+S58*S$3*24*1000</f>
        <v>558000</v>
      </c>
      <c r="T10" s="299">
        <v>267680.00000000029</v>
      </c>
      <c r="U10" s="865">
        <f t="shared" si="4"/>
        <v>2080800</v>
      </c>
      <c r="V10" s="865">
        <f t="shared" si="5"/>
        <v>1585610.0000000005</v>
      </c>
      <c r="W10" s="1339">
        <f>+W58*W$3*24*1000</f>
        <v>558000</v>
      </c>
      <c r="X10" s="299">
        <v>504279.99999999977</v>
      </c>
      <c r="Y10" s="865">
        <f t="shared" si="6"/>
        <v>2638800</v>
      </c>
      <c r="Z10" s="865">
        <f t="shared" si="7"/>
        <v>2089890.0000000002</v>
      </c>
      <c r="AA10" s="1339">
        <f>+AA58*AA$3*24*1000</f>
        <v>540000</v>
      </c>
      <c r="AB10" s="299">
        <v>483870.00000000012</v>
      </c>
      <c r="AC10" s="1413">
        <f t="shared" si="8"/>
        <v>1656000</v>
      </c>
      <c r="AD10" s="1413">
        <f t="shared" si="9"/>
        <v>1255830</v>
      </c>
      <c r="AE10" s="866">
        <f t="shared" si="10"/>
        <v>3178800</v>
      </c>
      <c r="AF10" s="866">
        <f t="shared" si="11"/>
        <v>2573760</v>
      </c>
      <c r="AG10" s="1339">
        <f>+AG58*AG$3*24*1000</f>
        <v>558000</v>
      </c>
      <c r="AH10" s="299">
        <v>503900.00000000023</v>
      </c>
      <c r="AI10" s="865">
        <f t="shared" si="12"/>
        <v>3736800</v>
      </c>
      <c r="AJ10" s="865">
        <f t="shared" si="13"/>
        <v>3077660</v>
      </c>
      <c r="AK10" s="1339">
        <f>+AK58*AK$3*24*1000</f>
        <v>540000</v>
      </c>
      <c r="AL10" s="299">
        <v>492269.99999999901</v>
      </c>
      <c r="AM10" s="865">
        <f t="shared" si="14"/>
        <v>4276800</v>
      </c>
      <c r="AN10" s="865">
        <f t="shared" si="15"/>
        <v>3569929.9999999991</v>
      </c>
      <c r="AO10" s="1339">
        <f>+AO58*AO$3*24*1000</f>
        <v>558000</v>
      </c>
      <c r="AP10" s="299">
        <v>502220</v>
      </c>
      <c r="AQ10" s="1413">
        <f t="shared" si="16"/>
        <v>1656000</v>
      </c>
      <c r="AR10" s="1413">
        <f t="shared" si="17"/>
        <v>1498389.9999999993</v>
      </c>
      <c r="AS10" s="865">
        <f t="shared" si="18"/>
        <v>4834800</v>
      </c>
      <c r="AT10" s="865">
        <f t="shared" si="19"/>
        <v>4072149.9999999991</v>
      </c>
      <c r="AU10" s="1339">
        <f>+AU58*AU$3*24*1000</f>
        <v>558000</v>
      </c>
      <c r="AV10" s="299">
        <v>503299.99999999977</v>
      </c>
      <c r="AW10" s="865">
        <f t="shared" si="20"/>
        <v>5392800</v>
      </c>
      <c r="AX10" s="865">
        <f t="shared" si="21"/>
        <v>4575449.9999999991</v>
      </c>
      <c r="AY10" s="1339">
        <f>+AY58*AY$3*24*1000</f>
        <v>504000</v>
      </c>
      <c r="AZ10" s="299">
        <v>456230.0000000014</v>
      </c>
      <c r="BA10" s="865">
        <f t="shared" si="22"/>
        <v>5896800</v>
      </c>
      <c r="BB10" s="865">
        <f t="shared" si="23"/>
        <v>5031680</v>
      </c>
      <c r="BC10" s="1339">
        <f>+BC58*BC$3*24*1000</f>
        <v>558000</v>
      </c>
      <c r="BD10" s="299">
        <v>509829.99999999988</v>
      </c>
      <c r="BE10" s="1413">
        <f t="shared" si="24"/>
        <v>1620000</v>
      </c>
      <c r="BF10" s="1413">
        <f t="shared" si="25"/>
        <v>1469360.0000000009</v>
      </c>
      <c r="BG10" s="866">
        <f t="shared" si="26"/>
        <v>3276000</v>
      </c>
      <c r="BH10" s="866">
        <f t="shared" si="26"/>
        <v>2967750</v>
      </c>
      <c r="BI10" s="865">
        <f t="shared" si="0"/>
        <v>6454800</v>
      </c>
      <c r="BJ10" s="865">
        <f t="shared" si="0"/>
        <v>5541510</v>
      </c>
      <c r="BK10" s="1137"/>
      <c r="BL10" s="1137"/>
      <c r="BM10" s="1137"/>
      <c r="BN10" s="7068"/>
      <c r="BO10" s="7068"/>
      <c r="BP10" s="1137"/>
      <c r="BQ10" s="1137"/>
      <c r="BR10" s="25"/>
    </row>
    <row r="11" spans="1:70" s="2654" customFormat="1" ht="15.75" x14ac:dyDescent="0.25">
      <c r="A11" s="2670"/>
      <c r="B11" s="2671"/>
      <c r="C11" s="2672"/>
      <c r="D11" s="2673"/>
      <c r="E11" s="278"/>
      <c r="G11" s="858">
        <v>1.5</v>
      </c>
      <c r="H11" s="840" t="s">
        <v>1604</v>
      </c>
      <c r="I11" s="1339">
        <f>+I59*I$3*24*1000</f>
        <v>720000</v>
      </c>
      <c r="J11" s="299">
        <v>725089.91999999946</v>
      </c>
      <c r="K11" s="1339">
        <f>+K59*K$3*24*1000</f>
        <v>744000</v>
      </c>
      <c r="L11" s="299">
        <v>813675.69999999972</v>
      </c>
      <c r="M11" s="865">
        <f t="shared" ref="M11" si="27">+I11+K11</f>
        <v>1464000</v>
      </c>
      <c r="N11" s="865">
        <f t="shared" ref="N11" si="28">+J11+L11</f>
        <v>1538765.6199999992</v>
      </c>
      <c r="O11" s="1339">
        <f>+O59*O$3*24*1000</f>
        <v>720000</v>
      </c>
      <c r="P11" s="299">
        <v>601166.50000000047</v>
      </c>
      <c r="Q11" s="1413">
        <f t="shared" ref="Q11" si="29">+I11+K11+O11</f>
        <v>2184000</v>
      </c>
      <c r="R11" s="335">
        <f t="shared" ref="R11" si="30">+J11+L11+P11</f>
        <v>2139932.1199999996</v>
      </c>
      <c r="S11" s="1339">
        <f>+S59*S$3*24*1000</f>
        <v>744000</v>
      </c>
      <c r="T11" s="299">
        <v>576188.7999999997</v>
      </c>
      <c r="U11" s="865">
        <f t="shared" ref="U11" si="31">+Q11+S11</f>
        <v>2928000</v>
      </c>
      <c r="V11" s="865">
        <f t="shared" ref="V11" si="32">+R11+T11</f>
        <v>2716120.9199999995</v>
      </c>
      <c r="W11" s="1339">
        <f>+W59*W$3*24*1000</f>
        <v>744000</v>
      </c>
      <c r="X11" s="299">
        <v>576934.99999999907</v>
      </c>
      <c r="Y11" s="865">
        <f t="shared" si="6"/>
        <v>3672000</v>
      </c>
      <c r="Z11" s="865">
        <f t="shared" si="7"/>
        <v>3293055.9199999985</v>
      </c>
      <c r="AA11" s="1339">
        <f>+AA59*AA$3*24*1000</f>
        <v>720000</v>
      </c>
      <c r="AB11" s="299">
        <v>577231.00000000035</v>
      </c>
      <c r="AC11" s="1413">
        <f t="shared" si="8"/>
        <v>2208000</v>
      </c>
      <c r="AD11" s="1413">
        <f t="shared" si="9"/>
        <v>1730354.7999999993</v>
      </c>
      <c r="AE11" s="866">
        <f t="shared" si="10"/>
        <v>4392000</v>
      </c>
      <c r="AF11" s="866">
        <f t="shared" si="11"/>
        <v>3870286.919999999</v>
      </c>
      <c r="AG11" s="1339">
        <f>+AG59*AG$3*24*1000</f>
        <v>744000</v>
      </c>
      <c r="AH11" s="299">
        <v>544673.99999999942</v>
      </c>
      <c r="AI11" s="865">
        <f t="shared" si="12"/>
        <v>5136000</v>
      </c>
      <c r="AJ11" s="865">
        <f t="shared" si="13"/>
        <v>4414960.9199999981</v>
      </c>
      <c r="AK11" s="1339">
        <f>+AK59*AK$3*24*1000</f>
        <v>720000</v>
      </c>
      <c r="AL11" s="299">
        <v>471629</v>
      </c>
      <c r="AM11" s="865">
        <f t="shared" si="14"/>
        <v>5856000</v>
      </c>
      <c r="AN11" s="865">
        <f t="shared" si="15"/>
        <v>4886589.9199999981</v>
      </c>
      <c r="AO11" s="1339">
        <f>+AO59*AO$3*24*1000</f>
        <v>744000</v>
      </c>
      <c r="AP11" s="299">
        <v>425846.99999999889</v>
      </c>
      <c r="AQ11" s="1413">
        <f t="shared" si="16"/>
        <v>2208000</v>
      </c>
      <c r="AR11" s="1413">
        <f t="shared" si="17"/>
        <v>1442149.9999999984</v>
      </c>
      <c r="AS11" s="865">
        <f t="shared" si="18"/>
        <v>6600000</v>
      </c>
      <c r="AT11" s="865">
        <f t="shared" si="19"/>
        <v>5312436.9199999971</v>
      </c>
      <c r="AU11" s="1339">
        <f>+AU59*AU$3*24*1000</f>
        <v>744000</v>
      </c>
      <c r="AV11" s="299">
        <v>490397.30000000133</v>
      </c>
      <c r="AW11" s="865">
        <f t="shared" si="20"/>
        <v>7344000</v>
      </c>
      <c r="AX11" s="865">
        <f t="shared" si="21"/>
        <v>5802834.2199999988</v>
      </c>
      <c r="AY11" s="1339">
        <f>+AY59*AY$3*24*1000</f>
        <v>672000</v>
      </c>
      <c r="AZ11" s="299">
        <v>573591.80000000063</v>
      </c>
      <c r="BA11" s="865">
        <f t="shared" si="22"/>
        <v>8016000</v>
      </c>
      <c r="BB11" s="865">
        <f t="shared" si="23"/>
        <v>6376426.0199999996</v>
      </c>
      <c r="BC11" s="1339">
        <f>+BC59*BC$3*24*1000</f>
        <v>744000</v>
      </c>
      <c r="BD11" s="299">
        <v>622947.9999999993</v>
      </c>
      <c r="BE11" s="1413">
        <f t="shared" si="24"/>
        <v>2160000</v>
      </c>
      <c r="BF11" s="1413">
        <f t="shared" si="25"/>
        <v>1686937.1000000013</v>
      </c>
      <c r="BG11" s="866">
        <f t="shared" si="26"/>
        <v>4368000</v>
      </c>
      <c r="BH11" s="866">
        <f t="shared" ref="BH11" si="33">AR11+BF11</f>
        <v>3129087.0999999996</v>
      </c>
      <c r="BI11" s="865">
        <f t="shared" si="0"/>
        <v>8760000</v>
      </c>
      <c r="BJ11" s="865">
        <f t="shared" ref="BJ11:BJ32" si="34">+BB11+BD11</f>
        <v>6999374.0199999986</v>
      </c>
      <c r="BK11" s="1137"/>
      <c r="BL11" s="1137"/>
      <c r="BM11" s="1137"/>
      <c r="BN11" s="7068"/>
      <c r="BO11" s="7068"/>
      <c r="BP11" s="1137"/>
      <c r="BQ11" s="1137"/>
      <c r="BR11" s="25"/>
    </row>
    <row r="12" spans="1:70" ht="15.75" x14ac:dyDescent="0.25">
      <c r="A12" s="253">
        <v>7</v>
      </c>
      <c r="B12" s="268" t="s">
        <v>467</v>
      </c>
      <c r="C12" s="15" t="s">
        <v>213</v>
      </c>
      <c r="D12" s="272">
        <v>261981.80799999906</v>
      </c>
      <c r="E12" s="273">
        <v>317978.65699999966</v>
      </c>
      <c r="G12" s="861">
        <v>2</v>
      </c>
      <c r="H12" s="1333" t="s">
        <v>713</v>
      </c>
      <c r="I12" s="1338">
        <f>SUM(I13:I14)</f>
        <v>1584000</v>
      </c>
      <c r="J12" s="300">
        <f>SUM(J13:J14)</f>
        <v>1310215.4929999951</v>
      </c>
      <c r="K12" s="1338">
        <f>SUM(K13:K14)</f>
        <v>2232000</v>
      </c>
      <c r="L12" s="300">
        <f>SUM(L13:L14)</f>
        <v>1306006.854900006</v>
      </c>
      <c r="M12" s="863">
        <f t="shared" si="1"/>
        <v>3816000</v>
      </c>
      <c r="N12" s="863">
        <f t="shared" si="1"/>
        <v>2616222.3479000013</v>
      </c>
      <c r="O12" s="1338">
        <f>SUM(O13:O14)</f>
        <v>2160000</v>
      </c>
      <c r="P12" s="300">
        <f>SUM(P13:P14)</f>
        <v>894713.84900014149</v>
      </c>
      <c r="Q12" s="1412">
        <f t="shared" ref="Q12:Q46" si="35">+I12+K12+O12</f>
        <v>5976000</v>
      </c>
      <c r="R12" s="337">
        <f t="shared" ref="R12:R46" si="36">+J12+L12+P12</f>
        <v>3510936.1969001428</v>
      </c>
      <c r="S12" s="1338">
        <f>SUM(S13:S14)</f>
        <v>2232000</v>
      </c>
      <c r="T12" s="300">
        <f>SUM(T13:T14)</f>
        <v>1088152.0349998996</v>
      </c>
      <c r="U12" s="863">
        <f t="shared" si="4"/>
        <v>8208000</v>
      </c>
      <c r="V12" s="863">
        <f t="shared" si="5"/>
        <v>4599088.2319000419</v>
      </c>
      <c r="W12" s="1338">
        <f>SUM(W13:W14)</f>
        <v>2232000</v>
      </c>
      <c r="X12" s="300">
        <f>SUM(X13:X14)</f>
        <v>1092419.1020000172</v>
      </c>
      <c r="Y12" s="863">
        <f t="shared" si="6"/>
        <v>10440000</v>
      </c>
      <c r="Z12" s="863">
        <f t="shared" si="7"/>
        <v>5691507.3339000586</v>
      </c>
      <c r="AA12" s="1338">
        <f>SUM(AA13:AA14)</f>
        <v>2160000</v>
      </c>
      <c r="AB12" s="300">
        <f>SUM(AB13:AB14)</f>
        <v>1012213.6640000013</v>
      </c>
      <c r="AC12" s="1412">
        <f>S12+W12+AA12</f>
        <v>6624000</v>
      </c>
      <c r="AD12" s="1412">
        <f>T12+X12+AB12</f>
        <v>3192784.800999918</v>
      </c>
      <c r="AE12" s="864">
        <f>Q12+AC12</f>
        <v>12600000</v>
      </c>
      <c r="AF12" s="864">
        <f>R12+AD12</f>
        <v>6703720.9979000613</v>
      </c>
      <c r="AG12" s="1338">
        <f>SUM(AG13:AG14)</f>
        <v>2232000</v>
      </c>
      <c r="AH12" s="300">
        <f>SUM(AH13:AH14)</f>
        <v>1336921.4069999279</v>
      </c>
      <c r="AI12" s="863">
        <f t="shared" si="12"/>
        <v>14832000</v>
      </c>
      <c r="AJ12" s="863">
        <f t="shared" si="13"/>
        <v>8040642.4048999893</v>
      </c>
      <c r="AK12" s="1338">
        <f>SUM(AK13:AK14)</f>
        <v>2160000</v>
      </c>
      <c r="AL12" s="300">
        <f>SUM(AL13:AL14)</f>
        <v>997227.28899979964</v>
      </c>
      <c r="AM12" s="863">
        <f t="shared" si="14"/>
        <v>16992000</v>
      </c>
      <c r="AN12" s="863">
        <f t="shared" si="15"/>
        <v>9037869.693899788</v>
      </c>
      <c r="AO12" s="1338">
        <f>SUM(AO13:AO14)</f>
        <v>2232000</v>
      </c>
      <c r="AP12" s="300">
        <f>SUM(AP13:AP14)</f>
        <v>1238806.680000185</v>
      </c>
      <c r="AQ12" s="1412">
        <f>AG12+AK12+AO12</f>
        <v>6624000</v>
      </c>
      <c r="AR12" s="1412">
        <f>AH12+AL12+AP12</f>
        <v>3572955.3759999126</v>
      </c>
      <c r="AS12" s="863">
        <f t="shared" si="18"/>
        <v>19224000</v>
      </c>
      <c r="AT12" s="863">
        <f t="shared" si="19"/>
        <v>10276676.373899974</v>
      </c>
      <c r="AU12" s="1338">
        <f>SUM(AU13:AU14)</f>
        <v>2232000</v>
      </c>
      <c r="AV12" s="300">
        <f>SUM(AV13:AV14)</f>
        <v>1279545.3970000362</v>
      </c>
      <c r="AW12" s="863">
        <f t="shared" si="20"/>
        <v>21456000</v>
      </c>
      <c r="AX12" s="863">
        <f t="shared" si="21"/>
        <v>11556221.770900011</v>
      </c>
      <c r="AY12" s="1338">
        <f>SUM(AY13:AY14)</f>
        <v>2015999.9999999998</v>
      </c>
      <c r="AZ12" s="300">
        <f>SUM(AZ13:AZ14)</f>
        <v>864873.96499997843</v>
      </c>
      <c r="BA12" s="863">
        <f t="shared" si="22"/>
        <v>23472000</v>
      </c>
      <c r="BB12" s="863">
        <f t="shared" si="23"/>
        <v>12421095.735899989</v>
      </c>
      <c r="BC12" s="1338">
        <f>SUM(BC13:BC14)</f>
        <v>2232000</v>
      </c>
      <c r="BD12" s="300">
        <f>SUM(BD13:BD14)</f>
        <v>1452622.6810000818</v>
      </c>
      <c r="BE12" s="1413">
        <f t="shared" si="24"/>
        <v>6480000</v>
      </c>
      <c r="BF12" s="1412">
        <f>AV12+AZ12+BD12</f>
        <v>3597042.0430000965</v>
      </c>
      <c r="BG12" s="864">
        <f>AQ12+BE12</f>
        <v>13104000</v>
      </c>
      <c r="BH12" s="864">
        <f>AR12+BF12</f>
        <v>7169997.4190000091</v>
      </c>
      <c r="BI12" s="863">
        <f t="shared" ref="BI12:BI32" si="37">+BA12+BC12</f>
        <v>25704000</v>
      </c>
      <c r="BJ12" s="863">
        <f t="shared" si="34"/>
        <v>13873718.41690007</v>
      </c>
      <c r="BK12" s="1137"/>
      <c r="BL12" s="1137"/>
      <c r="BM12" s="1137"/>
      <c r="BN12" s="7068"/>
      <c r="BO12" s="7068"/>
      <c r="BP12" s="1137"/>
      <c r="BQ12" s="1137"/>
      <c r="BR12" s="25"/>
    </row>
    <row r="13" spans="1:70" ht="15.75" thickBot="1" x14ac:dyDescent="0.3">
      <c r="A13" s="253">
        <v>8</v>
      </c>
      <c r="B13" s="279" t="s">
        <v>468</v>
      </c>
      <c r="C13" s="13" t="s">
        <v>213</v>
      </c>
      <c r="D13" s="272">
        <v>1020193.9999999553</v>
      </c>
      <c r="E13" s="273">
        <v>1775455.3000000119</v>
      </c>
      <c r="G13" s="858">
        <v>2.1</v>
      </c>
      <c r="H13" s="840" t="s">
        <v>467</v>
      </c>
      <c r="I13" s="1339">
        <f>+I61*I$3*24*1000</f>
        <v>288000</v>
      </c>
      <c r="J13" s="299">
        <v>311858.77299999632</v>
      </c>
      <c r="K13" s="1339">
        <f>+K61*K$3*24*1000</f>
        <v>297600</v>
      </c>
      <c r="L13" s="299">
        <v>225405.70490000001</v>
      </c>
      <c r="M13" s="865">
        <f t="shared" si="1"/>
        <v>585600</v>
      </c>
      <c r="N13" s="865">
        <f t="shared" si="1"/>
        <v>537264.47789999633</v>
      </c>
      <c r="O13" s="1339">
        <f>+O61*O$3*24*1000</f>
        <v>288000</v>
      </c>
      <c r="P13" s="299">
        <v>321440.58900000202</v>
      </c>
      <c r="Q13" s="1413">
        <f t="shared" si="35"/>
        <v>873600</v>
      </c>
      <c r="R13" s="336">
        <f t="shared" si="36"/>
        <v>858705.06689999835</v>
      </c>
      <c r="S13" s="1339">
        <f>+S61*S$3*24*1000</f>
        <v>297600</v>
      </c>
      <c r="T13" s="299">
        <v>287445.36700000614</v>
      </c>
      <c r="U13" s="865">
        <f t="shared" si="4"/>
        <v>1171200</v>
      </c>
      <c r="V13" s="865">
        <f t="shared" si="5"/>
        <v>1146150.4339000045</v>
      </c>
      <c r="W13" s="1339">
        <f>+W61*W$3*24*1000</f>
        <v>297600</v>
      </c>
      <c r="X13" s="299">
        <v>378572.24199998798</v>
      </c>
      <c r="Y13" s="865">
        <f t="shared" si="6"/>
        <v>1468800</v>
      </c>
      <c r="Z13" s="865">
        <f t="shared" si="7"/>
        <v>1524722.6758999925</v>
      </c>
      <c r="AA13" s="1339">
        <f>+AA61*AA$3*24*1000</f>
        <v>288000</v>
      </c>
      <c r="AB13" s="299">
        <v>353067.78400000598</v>
      </c>
      <c r="AC13" s="1414">
        <f t="shared" ref="AC13:AC14" si="38">S13+W13+AA13</f>
        <v>883200</v>
      </c>
      <c r="AD13" s="1414">
        <f t="shared" ref="AD13:AD14" si="39">T13+X13+AB13</f>
        <v>1019085.3930000002</v>
      </c>
      <c r="AE13" s="866">
        <f t="shared" ref="AE13:AE32" si="40">Q13+AC13</f>
        <v>1756800</v>
      </c>
      <c r="AF13" s="866">
        <f t="shared" ref="AF13:AF32" si="41">R13+AD13</f>
        <v>1877790.4598999985</v>
      </c>
      <c r="AG13" s="1339">
        <f>+AG61*AG$3*24*1000</f>
        <v>297600</v>
      </c>
      <c r="AH13" s="299">
        <v>318775.90700000245</v>
      </c>
      <c r="AI13" s="865">
        <f t="shared" si="12"/>
        <v>2054400</v>
      </c>
      <c r="AJ13" s="865">
        <f t="shared" si="13"/>
        <v>2196566.3669000007</v>
      </c>
      <c r="AK13" s="1339">
        <f>+AK61*AK$3*24*1000</f>
        <v>288000</v>
      </c>
      <c r="AL13" s="299">
        <v>166716.68899999931</v>
      </c>
      <c r="AM13" s="865">
        <f t="shared" si="14"/>
        <v>2342400</v>
      </c>
      <c r="AN13" s="865">
        <f t="shared" si="15"/>
        <v>2363283.0559</v>
      </c>
      <c r="AO13" s="1339">
        <f>+AO61*AO$3*24*1000</f>
        <v>297600</v>
      </c>
      <c r="AP13" s="299">
        <v>271408.07999999728</v>
      </c>
      <c r="AQ13" s="1414">
        <f t="shared" ref="AQ13:AQ32" si="42">AG13+AK13+AO13</f>
        <v>883200</v>
      </c>
      <c r="AR13" s="1414">
        <f t="shared" ref="AR13:AR32" si="43">AH13+AL13+AP13</f>
        <v>756900.67599999905</v>
      </c>
      <c r="AS13" s="865">
        <f t="shared" si="18"/>
        <v>2640000</v>
      </c>
      <c r="AT13" s="865">
        <f t="shared" si="19"/>
        <v>2634691.1358999973</v>
      </c>
      <c r="AU13" s="1339">
        <f>+AU61*AU$3*24*1000</f>
        <v>297600</v>
      </c>
      <c r="AV13" s="299">
        <v>325915.68699999806</v>
      </c>
      <c r="AW13" s="865">
        <f t="shared" si="20"/>
        <v>2937600</v>
      </c>
      <c r="AX13" s="865">
        <f t="shared" si="21"/>
        <v>2960606.8228999954</v>
      </c>
      <c r="AY13" s="1339">
        <f>+AY61*AY$3*24*1000</f>
        <v>268800</v>
      </c>
      <c r="AZ13" s="299">
        <v>325911.96499999333</v>
      </c>
      <c r="BA13" s="865">
        <f t="shared" si="22"/>
        <v>3206400</v>
      </c>
      <c r="BB13" s="865">
        <f t="shared" si="23"/>
        <v>3286518.7878999887</v>
      </c>
      <c r="BC13" s="1339">
        <f>+BC61*BC$3*24*1000</f>
        <v>297600</v>
      </c>
      <c r="BD13" s="299">
        <v>385358.1310000103</v>
      </c>
      <c r="BE13" s="1414">
        <f t="shared" ref="BE13:BE32" si="44">AU13+AY13+BC13</f>
        <v>864000</v>
      </c>
      <c r="BF13" s="1414">
        <f t="shared" ref="BF13:BF32" si="45">AV13+AZ13+BD13</f>
        <v>1037185.7830000017</v>
      </c>
      <c r="BG13" s="866">
        <f t="shared" ref="BG13:BH14" si="46">AQ13+BE13</f>
        <v>1747200</v>
      </c>
      <c r="BH13" s="866">
        <f t="shared" si="46"/>
        <v>1794086.4590000007</v>
      </c>
      <c r="BI13" s="865">
        <f t="shared" si="37"/>
        <v>3504000</v>
      </c>
      <c r="BJ13" s="865">
        <f t="shared" si="34"/>
        <v>3671876.918899999</v>
      </c>
      <c r="BK13" s="1137"/>
      <c r="BL13" s="1137"/>
      <c r="BM13" s="1137"/>
      <c r="BN13" s="7068"/>
      <c r="BO13" s="7068"/>
      <c r="BP13" s="1137"/>
      <c r="BQ13" s="1137"/>
      <c r="BR13" s="25"/>
    </row>
    <row r="14" spans="1:70" ht="16.5" thickBot="1" x14ac:dyDescent="0.3">
      <c r="A14" s="253">
        <v>9</v>
      </c>
      <c r="B14" s="276" t="s">
        <v>469</v>
      </c>
      <c r="C14" s="14" t="s">
        <v>213</v>
      </c>
      <c r="D14" s="277">
        <f>SUM(D12:D13)</f>
        <v>1282175.8079999543</v>
      </c>
      <c r="E14" s="278">
        <f>SUM(E12:E13)</f>
        <v>2093433.9570000116</v>
      </c>
      <c r="G14" s="858">
        <v>2.2000000000000002</v>
      </c>
      <c r="H14" s="840" t="s">
        <v>468</v>
      </c>
      <c r="I14" s="1339">
        <f>+I62*I$3*24*1000</f>
        <v>1296000</v>
      </c>
      <c r="J14" s="299">
        <v>998356.71999999881</v>
      </c>
      <c r="K14" s="1339">
        <f>+K62*K$3*24*1000</f>
        <v>1934400</v>
      </c>
      <c r="L14" s="299">
        <v>1080601.150000006</v>
      </c>
      <c r="M14" s="865">
        <f t="shared" si="1"/>
        <v>3230400</v>
      </c>
      <c r="N14" s="865">
        <f t="shared" si="1"/>
        <v>2078957.8700000048</v>
      </c>
      <c r="O14" s="1339">
        <f>+O62*O$3*24*1000</f>
        <v>1872000</v>
      </c>
      <c r="P14" s="299">
        <v>573273.26000013947</v>
      </c>
      <c r="Q14" s="1413">
        <f t="shared" ref="Q14" si="47">+I14+K14+O14</f>
        <v>5102400</v>
      </c>
      <c r="R14" s="336">
        <f t="shared" ref="R14" si="48">+J14+L14+P14</f>
        <v>2652231.1300001442</v>
      </c>
      <c r="S14" s="1339">
        <f>+S62*S$3*24*1000</f>
        <v>1934400</v>
      </c>
      <c r="T14" s="299">
        <v>800706.66799989343</v>
      </c>
      <c r="U14" s="865">
        <f t="shared" si="4"/>
        <v>7036800</v>
      </c>
      <c r="V14" s="865">
        <f t="shared" si="5"/>
        <v>3452937.7980000377</v>
      </c>
      <c r="W14" s="1339">
        <f>+W62*W$3*24*1000</f>
        <v>1934400</v>
      </c>
      <c r="X14" s="299">
        <v>713846.86000002921</v>
      </c>
      <c r="Y14" s="865">
        <f t="shared" si="6"/>
        <v>8971200</v>
      </c>
      <c r="Z14" s="865">
        <f t="shared" si="7"/>
        <v>4166784.6580000669</v>
      </c>
      <c r="AA14" s="1339">
        <f>+AA62*AA$3*24*1000</f>
        <v>1872000</v>
      </c>
      <c r="AB14" s="299">
        <v>659145.87999999523</v>
      </c>
      <c r="AC14" s="1414">
        <f t="shared" si="38"/>
        <v>5740800</v>
      </c>
      <c r="AD14" s="1414">
        <f t="shared" si="39"/>
        <v>2173699.4079999179</v>
      </c>
      <c r="AE14" s="866">
        <f t="shared" si="40"/>
        <v>10843200</v>
      </c>
      <c r="AF14" s="866">
        <f t="shared" si="41"/>
        <v>4825930.5380000621</v>
      </c>
      <c r="AG14" s="1339">
        <f>+AG62*AG$3*24*1000</f>
        <v>1934400</v>
      </c>
      <c r="AH14" s="299">
        <v>1018145.4999999255</v>
      </c>
      <c r="AI14" s="865">
        <f t="shared" si="12"/>
        <v>12777600</v>
      </c>
      <c r="AJ14" s="865">
        <f t="shared" si="13"/>
        <v>5844076.0379999876</v>
      </c>
      <c r="AK14" s="1339">
        <f>+AK62*AK$3*24*1000</f>
        <v>1872000</v>
      </c>
      <c r="AL14" s="299">
        <v>830510.59999980032</v>
      </c>
      <c r="AM14" s="865">
        <f t="shared" si="14"/>
        <v>14649600</v>
      </c>
      <c r="AN14" s="865">
        <f t="shared" si="15"/>
        <v>6674586.6379997879</v>
      </c>
      <c r="AO14" s="1339">
        <f>+AO62*AO$3*24*1000</f>
        <v>1934400</v>
      </c>
      <c r="AP14" s="299">
        <v>967398.60000018775</v>
      </c>
      <c r="AQ14" s="1414">
        <f t="shared" si="42"/>
        <v>5740800</v>
      </c>
      <c r="AR14" s="1414">
        <f t="shared" si="43"/>
        <v>2816054.6999999136</v>
      </c>
      <c r="AS14" s="865">
        <f t="shared" si="18"/>
        <v>16584000</v>
      </c>
      <c r="AT14" s="865">
        <f t="shared" si="19"/>
        <v>7641985.2379999757</v>
      </c>
      <c r="AU14" s="1339">
        <f>+AU62*AU$3*24*1000</f>
        <v>1934400</v>
      </c>
      <c r="AV14" s="299">
        <v>953629.71000003815</v>
      </c>
      <c r="AW14" s="865">
        <f t="shared" si="20"/>
        <v>18518400</v>
      </c>
      <c r="AX14" s="865">
        <f t="shared" si="21"/>
        <v>8595614.9480000138</v>
      </c>
      <c r="AY14" s="1339">
        <f>+AY62*AY$3*24*1000</f>
        <v>1747199.9999999998</v>
      </c>
      <c r="AZ14" s="299">
        <v>538961.9999999851</v>
      </c>
      <c r="BA14" s="865">
        <f t="shared" si="22"/>
        <v>20265600</v>
      </c>
      <c r="BB14" s="865">
        <f t="shared" si="23"/>
        <v>9134576.9479999989</v>
      </c>
      <c r="BC14" s="1339">
        <f>+BC62*BC$3*24*1000</f>
        <v>1934400</v>
      </c>
      <c r="BD14" s="299">
        <v>1067264.5500000715</v>
      </c>
      <c r="BE14" s="1414">
        <f t="shared" si="44"/>
        <v>5616000</v>
      </c>
      <c r="BF14" s="1414">
        <f t="shared" si="45"/>
        <v>2559856.2600000948</v>
      </c>
      <c r="BG14" s="866">
        <f t="shared" si="46"/>
        <v>11356800</v>
      </c>
      <c r="BH14" s="866">
        <f t="shared" si="46"/>
        <v>5375910.9600000083</v>
      </c>
      <c r="BI14" s="865">
        <f t="shared" si="37"/>
        <v>22200000</v>
      </c>
      <c r="BJ14" s="865">
        <f t="shared" si="34"/>
        <v>10201841.49800007</v>
      </c>
      <c r="BK14" s="1137"/>
      <c r="BL14" s="1137"/>
      <c r="BM14" s="1137"/>
      <c r="BN14" s="7068"/>
      <c r="BO14" s="7068"/>
      <c r="BP14" s="1137"/>
      <c r="BQ14" s="1137"/>
      <c r="BR14" s="25"/>
    </row>
    <row r="15" spans="1:70" ht="16.5" thickBot="1" x14ac:dyDescent="0.3">
      <c r="A15" s="253">
        <v>10</v>
      </c>
      <c r="B15" s="280" t="s">
        <v>125</v>
      </c>
      <c r="C15" s="14" t="s">
        <v>213</v>
      </c>
      <c r="D15" s="281">
        <f>+D10-D14</f>
        <v>58771214.192000046</v>
      </c>
      <c r="E15" s="282">
        <f>+E10-E14</f>
        <v>64500026.04299999</v>
      </c>
      <c r="G15" s="861">
        <v>3</v>
      </c>
      <c r="H15" s="1333" t="s">
        <v>714</v>
      </c>
      <c r="I15" s="1338">
        <f>I6-I12</f>
        <v>99811594.239863262</v>
      </c>
      <c r="J15" s="340">
        <f>J6-J12</f>
        <v>112116348.55699998</v>
      </c>
      <c r="K15" s="1338">
        <f>K6-K12</f>
        <v>119222935.41389656</v>
      </c>
      <c r="L15" s="340">
        <f>L6-L12</f>
        <v>113656065.8451</v>
      </c>
      <c r="M15" s="863">
        <f t="shared" si="1"/>
        <v>219034529.65375984</v>
      </c>
      <c r="N15" s="863">
        <f t="shared" si="1"/>
        <v>225772414.40209997</v>
      </c>
      <c r="O15" s="1338">
        <f>O6-O12</f>
        <v>115327319.29746184</v>
      </c>
      <c r="P15" s="340">
        <f>P6-P12</f>
        <v>113055706.65099986</v>
      </c>
      <c r="Q15" s="1412">
        <f t="shared" si="35"/>
        <v>334361848.9512217</v>
      </c>
      <c r="R15" s="337">
        <f t="shared" si="36"/>
        <v>338828121.05309981</v>
      </c>
      <c r="S15" s="1338">
        <f>S6-S12</f>
        <v>118291307.19417045</v>
      </c>
      <c r="T15" s="340">
        <f>T6-T12</f>
        <v>117728953.77300009</v>
      </c>
      <c r="U15" s="863">
        <f t="shared" si="4"/>
        <v>452653156.14539218</v>
      </c>
      <c r="V15" s="863">
        <f t="shared" si="5"/>
        <v>456557074.82609987</v>
      </c>
      <c r="W15" s="1338">
        <f>W6-W12</f>
        <v>118291307.19417045</v>
      </c>
      <c r="X15" s="340">
        <f>X6-X12</f>
        <v>114722401.89799988</v>
      </c>
      <c r="Y15" s="863">
        <f t="shared" si="6"/>
        <v>570944463.33956265</v>
      </c>
      <c r="Z15" s="863">
        <f t="shared" si="7"/>
        <v>571279476.72409976</v>
      </c>
      <c r="AA15" s="1338">
        <f>AA6-AA12</f>
        <v>81148631.099244505</v>
      </c>
      <c r="AB15" s="340">
        <f>AB6-AB12</f>
        <v>112312910.336</v>
      </c>
      <c r="AC15" s="1412">
        <f t="shared" ref="AC15:AD17" si="49">S15+W15+AA15</f>
        <v>317731245.48758543</v>
      </c>
      <c r="AD15" s="1412">
        <f t="shared" si="49"/>
        <v>344764266.00699997</v>
      </c>
      <c r="AE15" s="864">
        <f t="shared" si="40"/>
        <v>652093094.43880713</v>
      </c>
      <c r="AF15" s="864">
        <f t="shared" si="41"/>
        <v>683592387.06009984</v>
      </c>
      <c r="AG15" s="1338">
        <f>AG6-AG12</f>
        <v>119005124.22770301</v>
      </c>
      <c r="AH15" s="340">
        <f>AH6-AH12</f>
        <v>102212565.06300007</v>
      </c>
      <c r="AI15" s="863">
        <f t="shared" si="12"/>
        <v>771098218.66651011</v>
      </c>
      <c r="AJ15" s="863">
        <f t="shared" si="13"/>
        <v>785804952.12309992</v>
      </c>
      <c r="AK15" s="1338">
        <f>AK6-AK12</f>
        <v>115669577.65108055</v>
      </c>
      <c r="AL15" s="340">
        <f>AL6-AL12</f>
        <v>110420571.7110002</v>
      </c>
      <c r="AM15" s="863">
        <f t="shared" si="14"/>
        <v>886767796.31759071</v>
      </c>
      <c r="AN15" s="863">
        <f t="shared" si="15"/>
        <v>896225523.83410013</v>
      </c>
      <c r="AO15" s="1338">
        <f>AO6-AO12</f>
        <v>119514433.12751524</v>
      </c>
      <c r="AP15" s="340">
        <f>AP6-AP12</f>
        <v>111898860.31999981</v>
      </c>
      <c r="AQ15" s="1412">
        <f t="shared" si="42"/>
        <v>354189135.00629878</v>
      </c>
      <c r="AR15" s="1412">
        <f t="shared" si="43"/>
        <v>324531997.0940001</v>
      </c>
      <c r="AS15" s="863">
        <f t="shared" si="18"/>
        <v>1006282229.4451059</v>
      </c>
      <c r="AT15" s="863">
        <f t="shared" si="19"/>
        <v>1008124384.1540999</v>
      </c>
      <c r="AU15" s="1338">
        <f>AU6-AU12</f>
        <v>120225691.60293768</v>
      </c>
      <c r="AV15" s="340">
        <f>AV6-AV12</f>
        <v>112698532.85300004</v>
      </c>
      <c r="AW15" s="863">
        <f t="shared" si="20"/>
        <v>1126507921.0480435</v>
      </c>
      <c r="AX15" s="863">
        <f t="shared" si="21"/>
        <v>1120822917.0071001</v>
      </c>
      <c r="AY15" s="1338">
        <f>AY6-AY12</f>
        <v>108153158.02639693</v>
      </c>
      <c r="AZ15" s="340">
        <f>AZ6-AZ12</f>
        <v>100008595.37500001</v>
      </c>
      <c r="BA15" s="863">
        <f t="shared" si="22"/>
        <v>1234661079.0744405</v>
      </c>
      <c r="BB15" s="863">
        <f t="shared" si="23"/>
        <v>1220831512.3821001</v>
      </c>
      <c r="BC15" s="1338">
        <f>BC6-BC12</f>
        <v>120351410.07221156</v>
      </c>
      <c r="BD15" s="340">
        <f>BD6-BD12</f>
        <v>113875919.71900004</v>
      </c>
      <c r="BE15" s="1412">
        <f t="shared" si="44"/>
        <v>348730259.70154619</v>
      </c>
      <c r="BF15" s="1412">
        <f t="shared" si="45"/>
        <v>326583047.94700009</v>
      </c>
      <c r="BG15" s="864">
        <f t="shared" ref="BG15:BH16" si="50">AQ15+BE15</f>
        <v>702919394.70784497</v>
      </c>
      <c r="BH15" s="864">
        <f t="shared" si="50"/>
        <v>651115045.04100013</v>
      </c>
      <c r="BI15" s="863">
        <f t="shared" si="37"/>
        <v>1355012489.146652</v>
      </c>
      <c r="BJ15" s="863">
        <f t="shared" si="34"/>
        <v>1334707432.1011002</v>
      </c>
      <c r="BK15" s="1137"/>
      <c r="BL15" s="1137"/>
      <c r="BM15" s="1137"/>
      <c r="BN15" s="7068"/>
      <c r="BO15" s="7068"/>
      <c r="BP15" s="1137"/>
      <c r="BQ15" s="1137"/>
      <c r="BR15" s="25"/>
    </row>
    <row r="16" spans="1:70" ht="15.75" x14ac:dyDescent="0.25">
      <c r="A16" s="253">
        <v>11</v>
      </c>
      <c r="B16" s="271" t="s">
        <v>697</v>
      </c>
      <c r="C16" s="12" t="s">
        <v>213</v>
      </c>
      <c r="D16" s="272">
        <v>1093290</v>
      </c>
      <c r="E16" s="273">
        <v>1171532.8</v>
      </c>
      <c r="G16" s="861">
        <v>4</v>
      </c>
      <c r="H16" s="1333" t="s">
        <v>715</v>
      </c>
      <c r="I16" s="1338">
        <f>I17+I39</f>
        <v>99811594.239863232</v>
      </c>
      <c r="J16" s="340">
        <f>J17+J39</f>
        <v>112116348.55699997</v>
      </c>
      <c r="K16" s="1338">
        <f>K17+K39</f>
        <v>119222935.41389655</v>
      </c>
      <c r="L16" s="340">
        <f>L17+L39</f>
        <v>113656065.84509999</v>
      </c>
      <c r="M16" s="863">
        <f t="shared" si="1"/>
        <v>219034529.65375978</v>
      </c>
      <c r="N16" s="863">
        <f t="shared" si="1"/>
        <v>225772414.40209997</v>
      </c>
      <c r="O16" s="1338">
        <f>O17+O39</f>
        <v>115327319.29746182</v>
      </c>
      <c r="P16" s="340">
        <f>P17+P39</f>
        <v>113055705.65099986</v>
      </c>
      <c r="Q16" s="1412">
        <f t="shared" si="35"/>
        <v>334361848.95122159</v>
      </c>
      <c r="R16" s="337">
        <f t="shared" si="36"/>
        <v>338828120.05309981</v>
      </c>
      <c r="S16" s="1338">
        <f>S17+S39</f>
        <v>118291307.19417048</v>
      </c>
      <c r="T16" s="340">
        <f>T17+T39</f>
        <v>117728953.77300008</v>
      </c>
      <c r="U16" s="863">
        <f t="shared" si="4"/>
        <v>452653156.14539206</v>
      </c>
      <c r="V16" s="863">
        <f t="shared" si="5"/>
        <v>456557073.82609987</v>
      </c>
      <c r="W16" s="1338">
        <f>W17+W39</f>
        <v>118291307.19417048</v>
      </c>
      <c r="X16" s="340">
        <f>X17+X39</f>
        <v>114722401.89799993</v>
      </c>
      <c r="Y16" s="863">
        <f t="shared" si="6"/>
        <v>570944463.33956254</v>
      </c>
      <c r="Z16" s="863">
        <f t="shared" si="7"/>
        <v>571279475.72409976</v>
      </c>
      <c r="AA16" s="1338">
        <f>AA17+AA39</f>
        <v>81148631.099244505</v>
      </c>
      <c r="AB16" s="340">
        <f>AB17+AB39</f>
        <v>112312910.33599998</v>
      </c>
      <c r="AC16" s="1412">
        <f t="shared" si="49"/>
        <v>317731245.48758543</v>
      </c>
      <c r="AD16" s="1412">
        <f t="shared" si="49"/>
        <v>344764266.00699997</v>
      </c>
      <c r="AE16" s="864">
        <f t="shared" si="40"/>
        <v>652093094.43880701</v>
      </c>
      <c r="AF16" s="864">
        <f t="shared" si="41"/>
        <v>683592386.06009984</v>
      </c>
      <c r="AG16" s="1338">
        <f>AG17+AG39</f>
        <v>119005124.22770299</v>
      </c>
      <c r="AH16" s="340">
        <f>AH17+AH39</f>
        <v>102212565.06300005</v>
      </c>
      <c r="AI16" s="863">
        <f t="shared" si="12"/>
        <v>771098218.66650999</v>
      </c>
      <c r="AJ16" s="863">
        <f t="shared" si="13"/>
        <v>785804951.12309992</v>
      </c>
      <c r="AK16" s="1338">
        <f>AK17+AK39</f>
        <v>115669577.65108055</v>
      </c>
      <c r="AL16" s="340">
        <f>AL17+AL39</f>
        <v>110420571.71100014</v>
      </c>
      <c r="AM16" s="863">
        <f t="shared" si="14"/>
        <v>886767796.31759048</v>
      </c>
      <c r="AN16" s="863">
        <f t="shared" si="15"/>
        <v>896225522.83410001</v>
      </c>
      <c r="AO16" s="1338">
        <f>AO17+AO39</f>
        <v>119514433.12751526</v>
      </c>
      <c r="AP16" s="340">
        <f>AP17+AP39</f>
        <v>111898860.31999983</v>
      </c>
      <c r="AQ16" s="1412">
        <f t="shared" si="42"/>
        <v>354189135.00629878</v>
      </c>
      <c r="AR16" s="1412">
        <f t="shared" si="43"/>
        <v>324531997.09400004</v>
      </c>
      <c r="AS16" s="863">
        <f t="shared" si="18"/>
        <v>1006282229.4451058</v>
      </c>
      <c r="AT16" s="863">
        <f t="shared" si="19"/>
        <v>1008124383.1540998</v>
      </c>
      <c r="AU16" s="1338">
        <f>AU17+AU39</f>
        <v>120225691.60293768</v>
      </c>
      <c r="AV16" s="340">
        <f>AV17+AV39</f>
        <v>112698532.85300003</v>
      </c>
      <c r="AW16" s="863">
        <f t="shared" si="20"/>
        <v>1126507921.0480435</v>
      </c>
      <c r="AX16" s="863">
        <f t="shared" si="21"/>
        <v>1120822916.0070999</v>
      </c>
      <c r="AY16" s="1338">
        <f>AY17+AY39</f>
        <v>108153158.02639693</v>
      </c>
      <c r="AZ16" s="340">
        <f>AZ17+AZ39</f>
        <v>100008595.37500001</v>
      </c>
      <c r="BA16" s="863">
        <f t="shared" si="22"/>
        <v>1234661079.0744405</v>
      </c>
      <c r="BB16" s="863">
        <f t="shared" si="23"/>
        <v>1220831511.3820999</v>
      </c>
      <c r="BC16" s="1338">
        <f>BC17+BC39</f>
        <v>120351410.07221158</v>
      </c>
      <c r="BD16" s="340">
        <f>BD17+BD39</f>
        <v>113819919.719</v>
      </c>
      <c r="BE16" s="1412">
        <f t="shared" si="44"/>
        <v>348730259.70154619</v>
      </c>
      <c r="BF16" s="1412">
        <f t="shared" si="45"/>
        <v>326527047.94700003</v>
      </c>
      <c r="BG16" s="864">
        <f t="shared" si="50"/>
        <v>702919394.70784497</v>
      </c>
      <c r="BH16" s="864">
        <f t="shared" si="50"/>
        <v>651059045.04100013</v>
      </c>
      <c r="BI16" s="863">
        <f t="shared" si="37"/>
        <v>1355012489.146652</v>
      </c>
      <c r="BJ16" s="863">
        <f t="shared" si="34"/>
        <v>1334651431.1011</v>
      </c>
      <c r="BK16" s="1137"/>
      <c r="BL16" s="1137"/>
      <c r="BM16" s="1137"/>
      <c r="BN16" s="7068"/>
      <c r="BO16" s="7068"/>
      <c r="BP16" s="1137"/>
      <c r="BQ16" s="1137"/>
      <c r="BR16" s="25"/>
    </row>
    <row r="17" spans="1:70" ht="15.75" x14ac:dyDescent="0.25">
      <c r="A17" s="253">
        <v>12</v>
      </c>
      <c r="B17" s="271" t="s">
        <v>689</v>
      </c>
      <c r="C17" s="12" t="s">
        <v>213</v>
      </c>
      <c r="D17" s="272">
        <v>5090630.0000000047</v>
      </c>
      <c r="E17" s="273">
        <v>4892460.0000000009</v>
      </c>
      <c r="G17" s="867">
        <v>4.0999999999999996</v>
      </c>
      <c r="H17" s="1334" t="s">
        <v>709</v>
      </c>
      <c r="I17" s="1341">
        <f>I18+I34</f>
        <v>90163594.239863232</v>
      </c>
      <c r="J17" s="301">
        <f>J18+J34</f>
        <v>102810581.79333331</v>
      </c>
      <c r="K17" s="1341">
        <f>K18+K34</f>
        <v>109309135.41389655</v>
      </c>
      <c r="L17" s="301">
        <f>L18+L34</f>
        <v>104010835.19743332</v>
      </c>
      <c r="M17" s="171">
        <f t="shared" si="1"/>
        <v>199472729.65375978</v>
      </c>
      <c r="N17" s="171">
        <f t="shared" si="1"/>
        <v>206821416.99076664</v>
      </c>
      <c r="O17" s="1341">
        <f>O18+O34</f>
        <v>105733319.29746182</v>
      </c>
      <c r="P17" s="301">
        <f>P18+P34</f>
        <v>103286034.35333319</v>
      </c>
      <c r="Q17" s="1415">
        <f t="shared" si="35"/>
        <v>305206048.95122159</v>
      </c>
      <c r="R17" s="1416">
        <f t="shared" si="36"/>
        <v>310107451.34409982</v>
      </c>
      <c r="S17" s="1341">
        <f>S18+S34</f>
        <v>108377507.19417048</v>
      </c>
      <c r="T17" s="301">
        <f>T18+T34</f>
        <v>107683835.92866676</v>
      </c>
      <c r="U17" s="1486">
        <f t="shared" si="4"/>
        <v>413583556.14539206</v>
      </c>
      <c r="V17" s="1486">
        <f t="shared" si="5"/>
        <v>417791287.27276659</v>
      </c>
      <c r="W17" s="1341">
        <f>W18+W34</f>
        <v>108377507.19417048</v>
      </c>
      <c r="X17" s="301">
        <f>X18+X34</f>
        <v>104855082.12733324</v>
      </c>
      <c r="Y17" s="1486">
        <f t="shared" si="6"/>
        <v>521961063.33956254</v>
      </c>
      <c r="Z17" s="1486">
        <f t="shared" si="7"/>
        <v>522646369.40009981</v>
      </c>
      <c r="AA17" s="1341">
        <f>AA18+AA34</f>
        <v>71554631.099244505</v>
      </c>
      <c r="AB17" s="301">
        <f>AB18+AB34</f>
        <v>102645175.81166665</v>
      </c>
      <c r="AC17" s="1415">
        <f t="shared" si="49"/>
        <v>288309645.48758543</v>
      </c>
      <c r="AD17" s="1416">
        <f t="shared" si="49"/>
        <v>315184093.86766666</v>
      </c>
      <c r="AE17" s="1557">
        <f t="shared" si="40"/>
        <v>593515694.43880701</v>
      </c>
      <c r="AF17" s="1557">
        <f t="shared" si="41"/>
        <v>625291545.21176648</v>
      </c>
      <c r="AG17" s="1341">
        <f>AG18+AG34</f>
        <v>109091324.22770299</v>
      </c>
      <c r="AH17" s="301">
        <f>AH18+AH34</f>
        <v>93286300.57766673</v>
      </c>
      <c r="AI17" s="1486">
        <f t="shared" si="12"/>
        <v>702607018.66650999</v>
      </c>
      <c r="AJ17" s="1486">
        <f t="shared" si="13"/>
        <v>718577845.78943324</v>
      </c>
      <c r="AK17" s="1341">
        <f>AK18+AK34</f>
        <v>106075577.65108055</v>
      </c>
      <c r="AL17" s="301">
        <f>AL18+AL34</f>
        <v>101571789.45733348</v>
      </c>
      <c r="AM17" s="1486">
        <f t="shared" si="14"/>
        <v>808682596.31759048</v>
      </c>
      <c r="AN17" s="1486">
        <f t="shared" si="15"/>
        <v>820149635.24676669</v>
      </c>
      <c r="AO17" s="1341">
        <f>AO18+AO34</f>
        <v>109600633.12751526</v>
      </c>
      <c r="AP17" s="301">
        <f>AP18+AP34</f>
        <v>102832934.62699983</v>
      </c>
      <c r="AQ17" s="1415">
        <f t="shared" si="42"/>
        <v>324767535.00629878</v>
      </c>
      <c r="AR17" s="1416">
        <f t="shared" si="43"/>
        <v>297691024.66200006</v>
      </c>
      <c r="AS17" s="1486">
        <f t="shared" si="18"/>
        <v>918283229.44510579</v>
      </c>
      <c r="AT17" s="1486">
        <f t="shared" si="19"/>
        <v>922982569.87376654</v>
      </c>
      <c r="AU17" s="1341">
        <f>AU18+AU34</f>
        <v>110311891.60293768</v>
      </c>
      <c r="AV17" s="301">
        <f>AV18+AV34</f>
        <v>103812028.72700003</v>
      </c>
      <c r="AW17" s="1486">
        <f t="shared" si="20"/>
        <v>1028595121.0480435</v>
      </c>
      <c r="AX17" s="1486">
        <f t="shared" si="21"/>
        <v>1026794598.6007665</v>
      </c>
      <c r="AY17" s="1341">
        <f>AY18+AY34</f>
        <v>99198758.02639693</v>
      </c>
      <c r="AZ17" s="301">
        <f>AZ18+AZ34</f>
        <v>92705168.716000006</v>
      </c>
      <c r="BA17" s="1486">
        <f t="shared" si="22"/>
        <v>1127793879.0744405</v>
      </c>
      <c r="BB17" s="1486">
        <f t="shared" si="23"/>
        <v>1119499767.3167665</v>
      </c>
      <c r="BC17" s="1341">
        <f>BC18+BC34</f>
        <v>110437610.07221158</v>
      </c>
      <c r="BD17" s="301">
        <f>BD18+BD34</f>
        <v>105190911.32333334</v>
      </c>
      <c r="BE17" s="1415">
        <f t="shared" si="44"/>
        <v>319948259.70154619</v>
      </c>
      <c r="BF17" s="1416">
        <f t="shared" si="45"/>
        <v>301708108.76633334</v>
      </c>
      <c r="BG17" s="1557">
        <f>AQ17+BE17</f>
        <v>644715794.70784497</v>
      </c>
      <c r="BH17" s="1557">
        <f>AR17+BF17</f>
        <v>599399133.4283334</v>
      </c>
      <c r="BI17" s="1486">
        <f t="shared" si="37"/>
        <v>1238231489.146652</v>
      </c>
      <c r="BJ17" s="1486">
        <f t="shared" si="34"/>
        <v>1224690678.6400998</v>
      </c>
      <c r="BK17" s="1137"/>
      <c r="BL17" s="1137"/>
      <c r="BM17" s="1137"/>
      <c r="BN17" s="7068"/>
      <c r="BO17" s="7068"/>
      <c r="BP17" s="1137"/>
      <c r="BQ17" s="1137"/>
      <c r="BR17" s="25"/>
    </row>
    <row r="18" spans="1:70" ht="15.75" x14ac:dyDescent="0.25">
      <c r="A18" s="253">
        <v>13</v>
      </c>
      <c r="B18" s="271" t="s">
        <v>604</v>
      </c>
      <c r="C18" s="12" t="s">
        <v>213</v>
      </c>
      <c r="D18" s="272">
        <v>1555939.9999999995</v>
      </c>
      <c r="E18" s="273">
        <v>1505040</v>
      </c>
      <c r="G18" s="868" t="s">
        <v>716</v>
      </c>
      <c r="H18" s="1335" t="s">
        <v>688</v>
      </c>
      <c r="I18" s="1342">
        <f>SUM(I19:I32)</f>
        <v>88457134.719863236</v>
      </c>
      <c r="J18" s="302">
        <f>SUM(J19:J32)</f>
        <v>101327143.49999997</v>
      </c>
      <c r="K18" s="1342">
        <f>SUM(K19:K32)</f>
        <v>107433099.73389654</v>
      </c>
      <c r="L18" s="302">
        <f>SUM(L19:L32)</f>
        <v>102322747.63999999</v>
      </c>
      <c r="M18" s="869">
        <f t="shared" si="1"/>
        <v>195890234.45375979</v>
      </c>
      <c r="N18" s="869">
        <f t="shared" si="1"/>
        <v>203649891.13999996</v>
      </c>
      <c r="O18" s="1342">
        <f>SUM(O19:O32)</f>
        <v>103966924.09746182</v>
      </c>
      <c r="P18" s="302">
        <f>SUM(P19:P32)</f>
        <v>101691418.23999986</v>
      </c>
      <c r="Q18" s="1417">
        <f t="shared" si="35"/>
        <v>299857158.55122161</v>
      </c>
      <c r="R18" s="1418">
        <f t="shared" si="36"/>
        <v>305341309.37999982</v>
      </c>
      <c r="S18" s="1342">
        <f>SUM(S19:S32)</f>
        <v>106552232.15417047</v>
      </c>
      <c r="T18" s="302">
        <f>SUM(T19:T32)</f>
        <v>106066937.44000009</v>
      </c>
      <c r="U18" s="869">
        <f t="shared" si="4"/>
        <v>406409390.70539206</v>
      </c>
      <c r="V18" s="869">
        <f t="shared" si="5"/>
        <v>411408246.81999993</v>
      </c>
      <c r="W18" s="1342">
        <f>SUM(W19:W32)</f>
        <v>106552232.15417047</v>
      </c>
      <c r="X18" s="302">
        <f>SUM(X19:X32)</f>
        <v>103288592.13999991</v>
      </c>
      <c r="Y18" s="869">
        <f t="shared" si="6"/>
        <v>512961622.85956252</v>
      </c>
      <c r="Z18" s="869">
        <f t="shared" si="7"/>
        <v>514696838.95999986</v>
      </c>
      <c r="AA18" s="1342">
        <f>SUM(AA19:AA32)</f>
        <v>69811569.419244498</v>
      </c>
      <c r="AB18" s="302">
        <f>SUM(AB19:AB32)</f>
        <v>101067071.11999999</v>
      </c>
      <c r="AC18" s="1417">
        <f t="shared" ref="AC18:AC32" si="51">S18+W18+AA18</f>
        <v>282916033.72758543</v>
      </c>
      <c r="AD18" s="1418">
        <f t="shared" ref="AD18:AD32" si="52">T18+X18+AB18</f>
        <v>310422600.69999999</v>
      </c>
      <c r="AE18" s="870">
        <f t="shared" si="40"/>
        <v>582773192.27880704</v>
      </c>
      <c r="AF18" s="870">
        <f t="shared" si="41"/>
        <v>615763910.0799998</v>
      </c>
      <c r="AG18" s="1342">
        <f>SUM(AG19:AG32)</f>
        <v>107266049.18770298</v>
      </c>
      <c r="AH18" s="302">
        <f>SUM(AH19:AH32)</f>
        <v>91702051.100000069</v>
      </c>
      <c r="AI18" s="869">
        <f t="shared" si="12"/>
        <v>690039241.46651006</v>
      </c>
      <c r="AJ18" s="869">
        <f t="shared" si="13"/>
        <v>707465961.17999983</v>
      </c>
      <c r="AK18" s="1342">
        <f>SUM(AK19:AK32)</f>
        <v>104309182.45108055</v>
      </c>
      <c r="AL18" s="302">
        <f>SUM(AL19:AL32)</f>
        <v>99979868.40000014</v>
      </c>
      <c r="AM18" s="869">
        <f t="shared" si="14"/>
        <v>794348423.91759062</v>
      </c>
      <c r="AN18" s="869">
        <f t="shared" si="15"/>
        <v>807445829.57999992</v>
      </c>
      <c r="AO18" s="1342">
        <f>SUM(AO19:AO32)</f>
        <v>107775358.08751525</v>
      </c>
      <c r="AP18" s="302">
        <f>SUM(AP19:AP32)</f>
        <v>101258028.39999983</v>
      </c>
      <c r="AQ18" s="1417">
        <f t="shared" si="42"/>
        <v>319350589.72629875</v>
      </c>
      <c r="AR18" s="1418">
        <f t="shared" si="43"/>
        <v>292939947.90000004</v>
      </c>
      <c r="AS18" s="869">
        <f t="shared" si="18"/>
        <v>902123782.00510585</v>
      </c>
      <c r="AT18" s="869">
        <f t="shared" si="19"/>
        <v>908703857.97999978</v>
      </c>
      <c r="AU18" s="1342">
        <f>SUM(AU19:AU32)</f>
        <v>108486616.56293768</v>
      </c>
      <c r="AV18" s="302">
        <f>SUM(AV19:AV32)</f>
        <v>102228038.00000003</v>
      </c>
      <c r="AW18" s="869">
        <f t="shared" si="20"/>
        <v>1010610398.5680435</v>
      </c>
      <c r="AX18" s="869">
        <f t="shared" si="21"/>
        <v>1010931895.9799998</v>
      </c>
      <c r="AY18" s="1342">
        <f>SUM(AY19:AY32)</f>
        <v>97550122.506396934</v>
      </c>
      <c r="AZ18" s="302">
        <f>SUM(AZ19:AZ32)</f>
        <v>91404309.5</v>
      </c>
      <c r="BA18" s="869">
        <f t="shared" si="22"/>
        <v>1108160521.0744405</v>
      </c>
      <c r="BB18" s="869">
        <f t="shared" si="23"/>
        <v>1102336205.4799998</v>
      </c>
      <c r="BC18" s="1342">
        <f>SUM(BC19:BC32)</f>
        <v>108612335.03221157</v>
      </c>
      <c r="BD18" s="302">
        <f>SUM(BD19:BD32)</f>
        <v>103747850.60000001</v>
      </c>
      <c r="BE18" s="1417">
        <f t="shared" si="44"/>
        <v>314649074.10154617</v>
      </c>
      <c r="BF18" s="1418">
        <f t="shared" si="45"/>
        <v>297380198.10000002</v>
      </c>
      <c r="BG18" s="864">
        <f>AQ18+BE18</f>
        <v>633999663.82784486</v>
      </c>
      <c r="BH18" s="864">
        <f>AR18+BF18</f>
        <v>590320146</v>
      </c>
      <c r="BI18" s="869">
        <f t="shared" si="37"/>
        <v>1216772856.106652</v>
      </c>
      <c r="BJ18" s="869">
        <f t="shared" si="34"/>
        <v>1206084056.0799997</v>
      </c>
      <c r="BK18" s="1137"/>
      <c r="BL18" s="1137"/>
      <c r="BM18" s="1137"/>
      <c r="BN18" s="7068"/>
      <c r="BO18" s="7068"/>
      <c r="BP18" s="1137"/>
      <c r="BQ18" s="1137"/>
      <c r="BR18" s="25"/>
    </row>
    <row r="19" spans="1:70" x14ac:dyDescent="0.25">
      <c r="A19" s="253">
        <v>14</v>
      </c>
      <c r="B19" s="271" t="s">
        <v>462</v>
      </c>
      <c r="C19" s="12" t="s">
        <v>213</v>
      </c>
      <c r="D19" s="272">
        <v>7954979.9999999814</v>
      </c>
      <c r="E19" s="273">
        <v>8018420.0000000149</v>
      </c>
      <c r="G19" s="858" t="s">
        <v>717</v>
      </c>
      <c r="H19" s="840" t="s">
        <v>689</v>
      </c>
      <c r="I19" s="1340">
        <f t="shared" ref="I19:I32" si="53">+I67*I$3*24*1000</f>
        <v>4761773.352</v>
      </c>
      <c r="J19" s="299">
        <v>4800473.7999999989</v>
      </c>
      <c r="K19" s="1340">
        <f t="shared" ref="K19:K32" si="54">+K67*K$3*24*1000</f>
        <v>5443259.0310000004</v>
      </c>
      <c r="L19" s="299">
        <v>5230424.8400000054</v>
      </c>
      <c r="M19" s="865">
        <f t="shared" si="1"/>
        <v>10205032.383000001</v>
      </c>
      <c r="N19" s="865">
        <f t="shared" si="1"/>
        <v>10030898.640000004</v>
      </c>
      <c r="O19" s="1340">
        <f t="shared" ref="O19:O32" si="55">+O67*O$3*24*1000</f>
        <v>5267670.03</v>
      </c>
      <c r="P19" s="299">
        <v>4982808.9399999864</v>
      </c>
      <c r="Q19" s="1414">
        <f t="shared" si="35"/>
        <v>15472702.413000003</v>
      </c>
      <c r="R19" s="336">
        <f t="shared" si="36"/>
        <v>15013707.579999991</v>
      </c>
      <c r="S19" s="1340">
        <f t="shared" ref="S19:S32" si="56">+S67*S$3*24*1000</f>
        <v>5443259.0310000004</v>
      </c>
      <c r="T19" s="299">
        <v>5165082.3400000138</v>
      </c>
      <c r="U19" s="865">
        <f t="shared" si="4"/>
        <v>20915961.444000002</v>
      </c>
      <c r="V19" s="865">
        <f t="shared" si="5"/>
        <v>20178789.920000006</v>
      </c>
      <c r="W19" s="1340">
        <f t="shared" ref="W19:W32" si="57">+W67*W$3*24*1000</f>
        <v>5443259.0310000004</v>
      </c>
      <c r="X19" s="299">
        <v>4967620.5999999903</v>
      </c>
      <c r="Y19" s="865">
        <f t="shared" si="6"/>
        <v>26359220.475000001</v>
      </c>
      <c r="Z19" s="865">
        <f t="shared" si="7"/>
        <v>25146410.519999996</v>
      </c>
      <c r="AA19" s="1340">
        <f t="shared" ref="AA19:AA32" si="58">+AA67*AA$3*24*1000</f>
        <v>5025787.2224999992</v>
      </c>
      <c r="AB19" s="299">
        <v>4729684.800000011</v>
      </c>
      <c r="AC19" s="1414">
        <f t="shared" si="51"/>
        <v>15912305.284499999</v>
      </c>
      <c r="AD19" s="336">
        <f t="shared" si="52"/>
        <v>14862387.740000017</v>
      </c>
      <c r="AE19" s="866">
        <f t="shared" si="40"/>
        <v>31385007.697500002</v>
      </c>
      <c r="AF19" s="866">
        <f t="shared" si="41"/>
        <v>29876095.320000008</v>
      </c>
      <c r="AG19" s="1340">
        <f t="shared" ref="AG19:AG32" si="59">+AG67*AG$3*24*1000</f>
        <v>5443259.0310000004</v>
      </c>
      <c r="AH19" s="299">
        <v>4972368.8999999939</v>
      </c>
      <c r="AI19" s="865">
        <f t="shared" si="12"/>
        <v>36828266.728500001</v>
      </c>
      <c r="AJ19" s="865">
        <f t="shared" si="13"/>
        <v>34848464.219999999</v>
      </c>
      <c r="AK19" s="1340">
        <f t="shared" ref="AK19:AK32" si="60">+AK67*AK$3*24*1000</f>
        <v>5267670.03</v>
      </c>
      <c r="AL19" s="299">
        <v>5090430.7000000188</v>
      </c>
      <c r="AM19" s="865">
        <f t="shared" si="14"/>
        <v>42095936.758500002</v>
      </c>
      <c r="AN19" s="865">
        <f t="shared" si="15"/>
        <v>39938894.920000017</v>
      </c>
      <c r="AO19" s="1340">
        <f t="shared" ref="AO19:AO32" si="61">+AO67*AO$3*24*1000</f>
        <v>5443259.0310000004</v>
      </c>
      <c r="AP19" s="299">
        <v>5200091.999999986</v>
      </c>
      <c r="AQ19" s="1414">
        <f t="shared" si="42"/>
        <v>16154188.092</v>
      </c>
      <c r="AR19" s="336">
        <f t="shared" si="43"/>
        <v>15262891.599999998</v>
      </c>
      <c r="AS19" s="865">
        <f t="shared" si="18"/>
        <v>47539195.789500006</v>
      </c>
      <c r="AT19" s="865">
        <f t="shared" si="19"/>
        <v>45138986.920000002</v>
      </c>
      <c r="AU19" s="1340">
        <f t="shared" ref="AU19:AU32" si="62">+AU67*AU$3*24*1000</f>
        <v>5443259.0310000004</v>
      </c>
      <c r="AV19" s="299">
        <v>5008155.8999999892</v>
      </c>
      <c r="AW19" s="865">
        <f t="shared" si="20"/>
        <v>52982454.820500009</v>
      </c>
      <c r="AX19" s="865">
        <f t="shared" si="21"/>
        <v>50147142.819999993</v>
      </c>
      <c r="AY19" s="1340">
        <f t="shared" ref="AY19:AY32" si="63">+AY67*AY$3*24*1000</f>
        <v>4916492.0280000009</v>
      </c>
      <c r="AZ19" s="299">
        <v>4650549.8000000147</v>
      </c>
      <c r="BA19" s="865">
        <f t="shared" si="22"/>
        <v>57898946.848500013</v>
      </c>
      <c r="BB19" s="865">
        <f t="shared" si="23"/>
        <v>54797692.620000005</v>
      </c>
      <c r="BC19" s="1340">
        <f t="shared" ref="BC19:BC32" si="64">+BC67*BC$3*24*1000</f>
        <v>5443259.0310000004</v>
      </c>
      <c r="BD19" s="299">
        <v>5022713.2999999952</v>
      </c>
      <c r="BE19" s="1414">
        <f t="shared" si="44"/>
        <v>15803010.09</v>
      </c>
      <c r="BF19" s="336">
        <f t="shared" si="45"/>
        <v>14681418.999999998</v>
      </c>
      <c r="BG19" s="866">
        <f t="shared" ref="BG19:BH32" si="65">AQ19+BE19</f>
        <v>31957198.182</v>
      </c>
      <c r="BH19" s="866">
        <f t="shared" si="65"/>
        <v>29944310.599999994</v>
      </c>
      <c r="BI19" s="865">
        <f t="shared" si="37"/>
        <v>63342205.879500017</v>
      </c>
      <c r="BJ19" s="865">
        <f t="shared" si="34"/>
        <v>59820405.920000002</v>
      </c>
      <c r="BK19" s="1137"/>
      <c r="BL19" s="1137"/>
      <c r="BM19" s="1137"/>
      <c r="BN19" s="7068"/>
      <c r="BO19" s="7068"/>
      <c r="BP19" s="1137"/>
      <c r="BQ19" s="1137"/>
      <c r="BR19" s="25"/>
    </row>
    <row r="20" spans="1:70" s="2485" customFormat="1" x14ac:dyDescent="0.25">
      <c r="A20" s="253">
        <v>15</v>
      </c>
      <c r="B20" s="271" t="s">
        <v>690</v>
      </c>
      <c r="C20" s="12" t="s">
        <v>213</v>
      </c>
      <c r="D20" s="272">
        <v>9405013.9999999981</v>
      </c>
      <c r="E20" s="273">
        <v>9828956</v>
      </c>
      <c r="G20" s="858" t="s">
        <v>718</v>
      </c>
      <c r="H20" s="840" t="s">
        <v>604</v>
      </c>
      <c r="I20" s="1340">
        <f t="shared" si="53"/>
        <v>2232000</v>
      </c>
      <c r="J20" s="299">
        <v>2059379.9999999974</v>
      </c>
      <c r="K20" s="1340">
        <f t="shared" si="54"/>
        <v>2157600</v>
      </c>
      <c r="L20" s="299">
        <v>2055209.999999996</v>
      </c>
      <c r="M20" s="865">
        <f t="shared" si="1"/>
        <v>4389600</v>
      </c>
      <c r="N20" s="865">
        <f t="shared" si="1"/>
        <v>4114589.9999999935</v>
      </c>
      <c r="O20" s="1340">
        <f t="shared" si="55"/>
        <v>2088000</v>
      </c>
      <c r="P20" s="299">
        <v>2115320</v>
      </c>
      <c r="Q20" s="1414">
        <f t="shared" ref="Q20:Q32" si="66">+I20+K20+O20</f>
        <v>6477600</v>
      </c>
      <c r="R20" s="336">
        <f t="shared" ref="R20:R32" si="67">+J20+L20+P20</f>
        <v>6229909.9999999935</v>
      </c>
      <c r="S20" s="1340">
        <f t="shared" si="56"/>
        <v>2157600</v>
      </c>
      <c r="T20" s="299">
        <v>2432859.9999999972</v>
      </c>
      <c r="U20" s="865">
        <f t="shared" si="4"/>
        <v>8635200</v>
      </c>
      <c r="V20" s="865">
        <f t="shared" si="5"/>
        <v>8662769.9999999907</v>
      </c>
      <c r="W20" s="1340">
        <f t="shared" si="57"/>
        <v>2157600</v>
      </c>
      <c r="X20" s="299">
        <v>2330123.0000000047</v>
      </c>
      <c r="Y20" s="865">
        <f t="shared" si="6"/>
        <v>10792800</v>
      </c>
      <c r="Z20" s="865">
        <f t="shared" si="7"/>
        <v>10992892.999999996</v>
      </c>
      <c r="AA20" s="1340">
        <f t="shared" si="58"/>
        <v>1447199.9999999998</v>
      </c>
      <c r="AB20" s="299">
        <v>2252446.9999999991</v>
      </c>
      <c r="AC20" s="1414">
        <f t="shared" si="51"/>
        <v>5762400</v>
      </c>
      <c r="AD20" s="336">
        <f t="shared" si="52"/>
        <v>7015430.0000000009</v>
      </c>
      <c r="AE20" s="866">
        <f t="shared" si="40"/>
        <v>12240000</v>
      </c>
      <c r="AF20" s="866">
        <f t="shared" si="41"/>
        <v>13245339.999999994</v>
      </c>
      <c r="AG20" s="1340">
        <f t="shared" si="59"/>
        <v>2157600</v>
      </c>
      <c r="AH20" s="299">
        <v>2151319.9999999981</v>
      </c>
      <c r="AI20" s="865">
        <f t="shared" si="12"/>
        <v>14397600</v>
      </c>
      <c r="AJ20" s="865">
        <f t="shared" si="13"/>
        <v>15396659.999999993</v>
      </c>
      <c r="AK20" s="1340">
        <f t="shared" si="60"/>
        <v>2088000</v>
      </c>
      <c r="AL20" s="299">
        <v>2153549.9999999995</v>
      </c>
      <c r="AM20" s="865">
        <f t="shared" si="14"/>
        <v>16485600</v>
      </c>
      <c r="AN20" s="865">
        <f t="shared" si="15"/>
        <v>17550209.999999993</v>
      </c>
      <c r="AO20" s="1340">
        <f t="shared" si="61"/>
        <v>2157600</v>
      </c>
      <c r="AP20" s="299">
        <v>2185450.0000000033</v>
      </c>
      <c r="AQ20" s="1414">
        <f t="shared" si="42"/>
        <v>6403200</v>
      </c>
      <c r="AR20" s="336">
        <f t="shared" si="43"/>
        <v>6490320.0000000019</v>
      </c>
      <c r="AS20" s="865">
        <f t="shared" si="18"/>
        <v>18643200</v>
      </c>
      <c r="AT20" s="865">
        <f t="shared" si="19"/>
        <v>19735659.999999996</v>
      </c>
      <c r="AU20" s="1340">
        <f t="shared" si="62"/>
        <v>2157600</v>
      </c>
      <c r="AV20" s="299">
        <v>2194230</v>
      </c>
      <c r="AW20" s="865">
        <f t="shared" si="20"/>
        <v>20800800</v>
      </c>
      <c r="AX20" s="865">
        <f t="shared" si="21"/>
        <v>21929889.999999996</v>
      </c>
      <c r="AY20" s="1340">
        <f t="shared" si="63"/>
        <v>1948800.0000000002</v>
      </c>
      <c r="AZ20" s="299">
        <v>1876840.0000000014</v>
      </c>
      <c r="BA20" s="865">
        <f t="shared" si="22"/>
        <v>22749600</v>
      </c>
      <c r="BB20" s="865">
        <f t="shared" si="23"/>
        <v>23806729.999999996</v>
      </c>
      <c r="BC20" s="1340">
        <f t="shared" si="64"/>
        <v>2157600</v>
      </c>
      <c r="BD20" s="299">
        <v>2113349.9999999995</v>
      </c>
      <c r="BE20" s="1414">
        <f t="shared" si="44"/>
        <v>6264000</v>
      </c>
      <c r="BF20" s="336">
        <f t="shared" si="45"/>
        <v>6184420.0000000009</v>
      </c>
      <c r="BG20" s="866">
        <f>AQ20+BE20</f>
        <v>12667200</v>
      </c>
      <c r="BH20" s="866">
        <f t="shared" si="65"/>
        <v>12674740.000000004</v>
      </c>
      <c r="BI20" s="865">
        <f t="shared" si="37"/>
        <v>24907200</v>
      </c>
      <c r="BJ20" s="865">
        <f t="shared" si="34"/>
        <v>25920079.999999996</v>
      </c>
      <c r="BK20" s="1137"/>
      <c r="BL20" s="1137"/>
      <c r="BM20" s="1137"/>
      <c r="BN20" s="7068"/>
      <c r="BO20" s="7068"/>
      <c r="BP20" s="1137"/>
      <c r="BQ20" s="1137"/>
      <c r="BR20" s="25"/>
    </row>
    <row r="21" spans="1:70" x14ac:dyDescent="0.25">
      <c r="A21" s="253">
        <v>16</v>
      </c>
      <c r="B21" s="271" t="s">
        <v>691</v>
      </c>
      <c r="C21" s="12" t="s">
        <v>213</v>
      </c>
      <c r="D21" s="272">
        <v>16006660.000000006</v>
      </c>
      <c r="E21" s="273">
        <v>16895070</v>
      </c>
      <c r="G21" s="858" t="s">
        <v>719</v>
      </c>
      <c r="H21" s="840" t="s">
        <v>462</v>
      </c>
      <c r="I21" s="1340">
        <f t="shared" si="53"/>
        <v>8858244.3057163507</v>
      </c>
      <c r="J21" s="299">
        <v>11705460</v>
      </c>
      <c r="K21" s="1340">
        <f t="shared" si="54"/>
        <v>11860620.924496397</v>
      </c>
      <c r="L21" s="299">
        <v>11134429.999999994</v>
      </c>
      <c r="M21" s="865">
        <f t="shared" si="1"/>
        <v>20718865.230212748</v>
      </c>
      <c r="N21" s="865">
        <f t="shared" si="1"/>
        <v>22839889.999999993</v>
      </c>
      <c r="O21" s="1340">
        <f t="shared" si="55"/>
        <v>11514717.277581625</v>
      </c>
      <c r="P21" s="299">
        <v>11736979.999999998</v>
      </c>
      <c r="Q21" s="1414">
        <f t="shared" si="66"/>
        <v>32233582.507794373</v>
      </c>
      <c r="R21" s="336">
        <f t="shared" si="67"/>
        <v>34576869.999999993</v>
      </c>
      <c r="S21" s="1340">
        <f t="shared" si="56"/>
        <v>11644431.145174664</v>
      </c>
      <c r="T21" s="299">
        <v>12452919.999999998</v>
      </c>
      <c r="U21" s="865">
        <f t="shared" si="4"/>
        <v>43878013.652969033</v>
      </c>
      <c r="V21" s="865">
        <f t="shared" si="5"/>
        <v>47029789.999999993</v>
      </c>
      <c r="W21" s="1340">
        <f t="shared" si="57"/>
        <v>11644431.145174664</v>
      </c>
      <c r="X21" s="299">
        <v>12425240.000000002</v>
      </c>
      <c r="Y21" s="865">
        <f t="shared" si="6"/>
        <v>55522444.7981437</v>
      </c>
      <c r="Z21" s="865">
        <f t="shared" si="7"/>
        <v>59455029.999999993</v>
      </c>
      <c r="AA21" s="1340">
        <f t="shared" si="58"/>
        <v>6424565.2608682904</v>
      </c>
      <c r="AB21" s="299">
        <v>12303829.999999996</v>
      </c>
      <c r="AC21" s="1414">
        <f t="shared" si="51"/>
        <v>29713427.551217616</v>
      </c>
      <c r="AD21" s="336">
        <f t="shared" si="52"/>
        <v>37181990</v>
      </c>
      <c r="AE21" s="866">
        <f t="shared" si="40"/>
        <v>61947010.059011988</v>
      </c>
      <c r="AF21" s="866">
        <f t="shared" si="41"/>
        <v>71758860</v>
      </c>
      <c r="AG21" s="1340">
        <f t="shared" si="59"/>
        <v>11860620.924496397</v>
      </c>
      <c r="AH21" s="299">
        <v>10323149.999999998</v>
      </c>
      <c r="AI21" s="865">
        <f t="shared" si="12"/>
        <v>73807630.983508378</v>
      </c>
      <c r="AJ21" s="865">
        <f t="shared" si="13"/>
        <v>82082010</v>
      </c>
      <c r="AK21" s="1340">
        <f t="shared" si="60"/>
        <v>11638467.757534873</v>
      </c>
      <c r="AL21" s="299">
        <v>11758380.000000009</v>
      </c>
      <c r="AM21" s="865">
        <f t="shared" si="14"/>
        <v>85446098.741043255</v>
      </c>
      <c r="AN21" s="865">
        <f t="shared" si="15"/>
        <v>93840390.000000015</v>
      </c>
      <c r="AO21" s="1340">
        <f t="shared" si="61"/>
        <v>11984371.404449644</v>
      </c>
      <c r="AP21" s="299">
        <v>10587819.999999993</v>
      </c>
      <c r="AQ21" s="1414">
        <f t="shared" si="42"/>
        <v>35483460.086480916</v>
      </c>
      <c r="AR21" s="336">
        <f t="shared" si="43"/>
        <v>32669350</v>
      </c>
      <c r="AS21" s="865">
        <f t="shared" si="18"/>
        <v>97430470.145492896</v>
      </c>
      <c r="AT21" s="865">
        <f t="shared" si="19"/>
        <v>104428210</v>
      </c>
      <c r="AU21" s="1340">
        <f t="shared" si="62"/>
        <v>12033572.747953784</v>
      </c>
      <c r="AV21" s="299">
        <v>11832350.000000006</v>
      </c>
      <c r="AW21" s="865">
        <f t="shared" si="20"/>
        <v>109464042.89344668</v>
      </c>
      <c r="AX21" s="865">
        <f t="shared" si="21"/>
        <v>116260560</v>
      </c>
      <c r="AY21" s="1340">
        <f t="shared" si="63"/>
        <v>10822909.983752074</v>
      </c>
      <c r="AZ21" s="299">
        <v>10396270</v>
      </c>
      <c r="BA21" s="865">
        <f t="shared" si="22"/>
        <v>120286952.87719876</v>
      </c>
      <c r="BB21" s="865">
        <f t="shared" si="23"/>
        <v>126656830</v>
      </c>
      <c r="BC21" s="1340">
        <f t="shared" si="64"/>
        <v>12033572.747953784</v>
      </c>
      <c r="BD21" s="299">
        <v>12188319.999999996</v>
      </c>
      <c r="BE21" s="1414">
        <f t="shared" si="44"/>
        <v>34890055.479659647</v>
      </c>
      <c r="BF21" s="336">
        <f t="shared" si="45"/>
        <v>34416940</v>
      </c>
      <c r="BG21" s="866">
        <f t="shared" si="65"/>
        <v>70373515.566140562</v>
      </c>
      <c r="BH21" s="866">
        <f t="shared" si="65"/>
        <v>67086290</v>
      </c>
      <c r="BI21" s="865">
        <f t="shared" si="37"/>
        <v>132320525.62515254</v>
      </c>
      <c r="BJ21" s="865">
        <f t="shared" si="34"/>
        <v>138845150</v>
      </c>
      <c r="BK21" s="1137"/>
      <c r="BL21" s="1137"/>
      <c r="BM21" s="1137"/>
      <c r="BN21" s="7068"/>
      <c r="BO21" s="7068"/>
      <c r="BP21" s="1137"/>
      <c r="BQ21" s="1137"/>
      <c r="BR21" s="25"/>
    </row>
    <row r="22" spans="1:70" x14ac:dyDescent="0.25">
      <c r="A22" s="253">
        <v>17</v>
      </c>
      <c r="B22" s="271" t="s">
        <v>82</v>
      </c>
      <c r="C22" s="12" t="s">
        <v>213</v>
      </c>
      <c r="D22" s="272">
        <v>961360.0000000014</v>
      </c>
      <c r="E22" s="273">
        <v>1006979.9999999992</v>
      </c>
      <c r="G22" s="858" t="s">
        <v>720</v>
      </c>
      <c r="H22" s="840" t="s">
        <v>690</v>
      </c>
      <c r="I22" s="1340">
        <f t="shared" si="53"/>
        <v>9595039.9999999981</v>
      </c>
      <c r="J22" s="299">
        <v>12014494.000000004</v>
      </c>
      <c r="K22" s="1340">
        <f t="shared" si="54"/>
        <v>12221413.704123424</v>
      </c>
      <c r="L22" s="299">
        <v>12162087.999999993</v>
      </c>
      <c r="M22" s="865">
        <f t="shared" si="1"/>
        <v>21816453.704123423</v>
      </c>
      <c r="N22" s="865">
        <f t="shared" si="1"/>
        <v>24176581.999999996</v>
      </c>
      <c r="O22" s="1340">
        <f t="shared" si="55"/>
        <v>11845370.205535013</v>
      </c>
      <c r="P22" s="299">
        <v>12313432.000000006</v>
      </c>
      <c r="Q22" s="1414">
        <f t="shared" si="66"/>
        <v>33661823.909658432</v>
      </c>
      <c r="R22" s="336">
        <f t="shared" si="67"/>
        <v>36490014</v>
      </c>
      <c r="S22" s="1340">
        <f t="shared" si="56"/>
        <v>11986386.517505666</v>
      </c>
      <c r="T22" s="299">
        <v>12668533.999999953</v>
      </c>
      <c r="U22" s="865">
        <f t="shared" si="4"/>
        <v>45648210.4271641</v>
      </c>
      <c r="V22" s="865">
        <f t="shared" si="5"/>
        <v>49158547.999999955</v>
      </c>
      <c r="W22" s="1340">
        <f t="shared" si="57"/>
        <v>11986386.517505666</v>
      </c>
      <c r="X22" s="299">
        <v>12400062.000000037</v>
      </c>
      <c r="Y22" s="865">
        <f t="shared" si="6"/>
        <v>57634596.944669768</v>
      </c>
      <c r="Z22" s="865">
        <f t="shared" si="7"/>
        <v>61558609.999999993</v>
      </c>
      <c r="AA22" s="1340">
        <f t="shared" si="58"/>
        <v>8474361.2252972294</v>
      </c>
      <c r="AB22" s="299">
        <v>12240051.999999998</v>
      </c>
      <c r="AC22" s="1414">
        <f t="shared" si="51"/>
        <v>32447134.260308564</v>
      </c>
      <c r="AD22" s="336">
        <f t="shared" si="52"/>
        <v>37308647.999999993</v>
      </c>
      <c r="AE22" s="866">
        <f t="shared" si="40"/>
        <v>66108958.169966996</v>
      </c>
      <c r="AF22" s="866">
        <f t="shared" si="41"/>
        <v>73798662</v>
      </c>
      <c r="AG22" s="1340">
        <f t="shared" si="59"/>
        <v>12221413.704123424</v>
      </c>
      <c r="AH22" s="299">
        <v>11183425.999999981</v>
      </c>
      <c r="AI22" s="865">
        <f t="shared" si="12"/>
        <v>78330371.874090418</v>
      </c>
      <c r="AJ22" s="865">
        <f t="shared" si="13"/>
        <v>84982087.999999985</v>
      </c>
      <c r="AK22" s="1340">
        <f t="shared" si="60"/>
        <v>11845370.205535013</v>
      </c>
      <c r="AL22" s="299">
        <v>12323946.00000003</v>
      </c>
      <c r="AM22" s="865">
        <f t="shared" si="14"/>
        <v>90175742.079625428</v>
      </c>
      <c r="AN22" s="865">
        <f t="shared" si="15"/>
        <v>97306034.000000015</v>
      </c>
      <c r="AO22" s="1340">
        <f t="shared" si="61"/>
        <v>12221413.704123424</v>
      </c>
      <c r="AP22" s="299">
        <v>12037367.999999981</v>
      </c>
      <c r="AQ22" s="1414">
        <f t="shared" si="42"/>
        <v>36288197.613781862</v>
      </c>
      <c r="AR22" s="336">
        <f t="shared" si="43"/>
        <v>35544739.999999993</v>
      </c>
      <c r="AS22" s="865">
        <f t="shared" si="18"/>
        <v>102397155.78374885</v>
      </c>
      <c r="AT22" s="865">
        <f t="shared" si="19"/>
        <v>109343402</v>
      </c>
      <c r="AU22" s="1340">
        <f t="shared" si="62"/>
        <v>12409435.453417631</v>
      </c>
      <c r="AV22" s="299">
        <v>11958026.000000011</v>
      </c>
      <c r="AW22" s="865">
        <f t="shared" si="20"/>
        <v>114806591.23716648</v>
      </c>
      <c r="AX22" s="865">
        <f t="shared" si="21"/>
        <v>121301428.00000001</v>
      </c>
      <c r="AY22" s="1340">
        <f t="shared" si="63"/>
        <v>11093283.208358185</v>
      </c>
      <c r="AZ22" s="299">
        <v>10781632.000000009</v>
      </c>
      <c r="BA22" s="865">
        <f t="shared" si="22"/>
        <v>125899874.44552466</v>
      </c>
      <c r="BB22" s="865">
        <f t="shared" si="23"/>
        <v>132083060.00000003</v>
      </c>
      <c r="BC22" s="1340">
        <f t="shared" si="64"/>
        <v>12409435.453417631</v>
      </c>
      <c r="BD22" s="299">
        <v>11861079.99999998</v>
      </c>
      <c r="BE22" s="1414">
        <f t="shared" si="44"/>
        <v>35912154.115193449</v>
      </c>
      <c r="BF22" s="336">
        <f t="shared" si="45"/>
        <v>34600738</v>
      </c>
      <c r="BG22" s="866">
        <f t="shared" si="65"/>
        <v>72200351.728975311</v>
      </c>
      <c r="BH22" s="866">
        <f t="shared" si="65"/>
        <v>70145478</v>
      </c>
      <c r="BI22" s="865">
        <f t="shared" si="37"/>
        <v>138309309.89894229</v>
      </c>
      <c r="BJ22" s="865">
        <f t="shared" si="34"/>
        <v>143944140</v>
      </c>
      <c r="BK22" s="1137"/>
      <c r="BL22" s="1137"/>
      <c r="BM22" s="1137"/>
      <c r="BN22" s="7068"/>
      <c r="BO22" s="7068"/>
      <c r="BP22" s="1137"/>
      <c r="BQ22" s="1137"/>
      <c r="BR22" s="25"/>
    </row>
    <row r="23" spans="1:70" x14ac:dyDescent="0.25">
      <c r="A23" s="253">
        <v>18</v>
      </c>
      <c r="B23" s="271" t="s">
        <v>463</v>
      </c>
      <c r="C23" s="12" t="s">
        <v>213</v>
      </c>
      <c r="D23" s="272">
        <v>3675250.0000000093</v>
      </c>
      <c r="E23" s="273">
        <v>4377139.9999999879</v>
      </c>
      <c r="G23" s="858" t="s">
        <v>721</v>
      </c>
      <c r="H23" s="840" t="s">
        <v>691</v>
      </c>
      <c r="I23" s="1340">
        <f t="shared" si="53"/>
        <v>16432757.062146895</v>
      </c>
      <c r="J23" s="299">
        <v>20585170.000000004</v>
      </c>
      <c r="K23" s="1340">
        <f t="shared" si="54"/>
        <v>22264494.80642115</v>
      </c>
      <c r="L23" s="299">
        <v>20855320.000000004</v>
      </c>
      <c r="M23" s="865">
        <f t="shared" si="1"/>
        <v>38697251.868568048</v>
      </c>
      <c r="N23" s="865">
        <f t="shared" si="1"/>
        <v>41440490.000000007</v>
      </c>
      <c r="O23" s="1340">
        <f t="shared" si="55"/>
        <v>21577053.824362602</v>
      </c>
      <c r="P23" s="299">
        <v>19860070</v>
      </c>
      <c r="Q23" s="1414">
        <f t="shared" si="66"/>
        <v>60274305.692930654</v>
      </c>
      <c r="R23" s="336">
        <f t="shared" si="67"/>
        <v>61300560.000000007</v>
      </c>
      <c r="S23" s="1340">
        <f t="shared" si="56"/>
        <v>21834844.192634564</v>
      </c>
      <c r="T23" s="299">
        <v>20412479.999999993</v>
      </c>
      <c r="U23" s="865">
        <f t="shared" si="4"/>
        <v>82109149.885565221</v>
      </c>
      <c r="V23" s="865">
        <f t="shared" si="5"/>
        <v>81713040</v>
      </c>
      <c r="W23" s="1340">
        <f t="shared" si="57"/>
        <v>21834844.192634564</v>
      </c>
      <c r="X23" s="299">
        <v>19977985.000000007</v>
      </c>
      <c r="Y23" s="865">
        <f t="shared" si="6"/>
        <v>103943994.07819979</v>
      </c>
      <c r="Z23" s="865">
        <f t="shared" si="7"/>
        <v>101691025</v>
      </c>
      <c r="AA23" s="1340">
        <f t="shared" si="58"/>
        <v>12214781.869688384</v>
      </c>
      <c r="AB23" s="299">
        <v>19075500</v>
      </c>
      <c r="AC23" s="1414">
        <f t="shared" si="51"/>
        <v>55884470.254957512</v>
      </c>
      <c r="AD23" s="336">
        <f t="shared" si="52"/>
        <v>59465965</v>
      </c>
      <c r="AE23" s="866">
        <f t="shared" si="40"/>
        <v>116158775.94788817</v>
      </c>
      <c r="AF23" s="866">
        <f t="shared" si="41"/>
        <v>120766525</v>
      </c>
      <c r="AG23" s="1340">
        <f t="shared" si="59"/>
        <v>22264494.80642115</v>
      </c>
      <c r="AH23" s="299">
        <v>17140469.999999993</v>
      </c>
      <c r="AI23" s="865">
        <f t="shared" si="12"/>
        <v>138423270.75430933</v>
      </c>
      <c r="AJ23" s="865">
        <f t="shared" si="13"/>
        <v>137906995</v>
      </c>
      <c r="AK23" s="1340">
        <f t="shared" si="60"/>
        <v>21577053.824362602</v>
      </c>
      <c r="AL23" s="299">
        <v>20069990</v>
      </c>
      <c r="AM23" s="865">
        <f t="shared" si="14"/>
        <v>160000324.57867193</v>
      </c>
      <c r="AN23" s="865">
        <f t="shared" si="15"/>
        <v>157976985</v>
      </c>
      <c r="AO23" s="1340">
        <f t="shared" si="61"/>
        <v>22264494.80642115</v>
      </c>
      <c r="AP23" s="299">
        <v>20294950.000000011</v>
      </c>
      <c r="AQ23" s="1414">
        <f t="shared" si="42"/>
        <v>66106043.437204897</v>
      </c>
      <c r="AR23" s="336">
        <f t="shared" si="43"/>
        <v>57505410</v>
      </c>
      <c r="AS23" s="865">
        <f t="shared" si="18"/>
        <v>182264819.38509309</v>
      </c>
      <c r="AT23" s="865">
        <f t="shared" si="19"/>
        <v>178271935</v>
      </c>
      <c r="AU23" s="1340">
        <f t="shared" si="62"/>
        <v>22608215.297450427</v>
      </c>
      <c r="AV23" s="299">
        <v>20309500.000000004</v>
      </c>
      <c r="AW23" s="865">
        <f t="shared" si="20"/>
        <v>204873034.68254352</v>
      </c>
      <c r="AX23" s="865">
        <f t="shared" si="21"/>
        <v>198581435</v>
      </c>
      <c r="AY23" s="1340">
        <f t="shared" si="63"/>
        <v>20202171.860245515</v>
      </c>
      <c r="AZ23" s="299">
        <v>17159379.999999993</v>
      </c>
      <c r="BA23" s="865">
        <f t="shared" si="22"/>
        <v>225075206.54278904</v>
      </c>
      <c r="BB23" s="865">
        <f t="shared" si="23"/>
        <v>215740815</v>
      </c>
      <c r="BC23" s="1340">
        <f t="shared" si="64"/>
        <v>22608215.297450427</v>
      </c>
      <c r="BD23" s="299">
        <v>21041790</v>
      </c>
      <c r="BE23" s="1414">
        <f t="shared" si="44"/>
        <v>65418602.455146372</v>
      </c>
      <c r="BF23" s="336">
        <f t="shared" si="45"/>
        <v>58510670</v>
      </c>
      <c r="BG23" s="866">
        <f t="shared" si="65"/>
        <v>131524645.89235127</v>
      </c>
      <c r="BH23" s="866">
        <f t="shared" si="65"/>
        <v>116016080</v>
      </c>
      <c r="BI23" s="865">
        <f t="shared" si="37"/>
        <v>247683421.84023947</v>
      </c>
      <c r="BJ23" s="865">
        <f t="shared" si="34"/>
        <v>236782605</v>
      </c>
      <c r="BK23" s="1137"/>
      <c r="BL23" s="1137"/>
      <c r="BM23" s="1137"/>
      <c r="BN23" s="7068"/>
      <c r="BO23" s="7068"/>
      <c r="BP23" s="1137"/>
      <c r="BQ23" s="1137"/>
      <c r="BR23" s="25"/>
    </row>
    <row r="24" spans="1:70" x14ac:dyDescent="0.25">
      <c r="A24" s="253">
        <v>19</v>
      </c>
      <c r="B24" s="271" t="s">
        <v>464</v>
      </c>
      <c r="C24" s="12" t="s">
        <v>213</v>
      </c>
      <c r="D24" s="272">
        <v>2119909.9999999995</v>
      </c>
      <c r="E24" s="273">
        <v>4863980</v>
      </c>
      <c r="G24" s="858" t="s">
        <v>722</v>
      </c>
      <c r="H24" s="840" t="s">
        <v>82</v>
      </c>
      <c r="I24" s="1340">
        <f t="shared" si="53"/>
        <v>1440000</v>
      </c>
      <c r="J24" s="299">
        <v>1206880.0000000019</v>
      </c>
      <c r="K24" s="1340">
        <f t="shared" si="54"/>
        <v>1488000</v>
      </c>
      <c r="L24" s="299">
        <v>1284639.9999999995</v>
      </c>
      <c r="M24" s="865">
        <f t="shared" si="1"/>
        <v>2928000</v>
      </c>
      <c r="N24" s="865">
        <f t="shared" si="1"/>
        <v>2491520.0000000014</v>
      </c>
      <c r="O24" s="1340">
        <f t="shared" si="55"/>
        <v>1440000</v>
      </c>
      <c r="P24" s="299">
        <v>1330849.999999997</v>
      </c>
      <c r="Q24" s="1414">
        <f t="shared" si="66"/>
        <v>4368000</v>
      </c>
      <c r="R24" s="336">
        <f t="shared" si="67"/>
        <v>3822369.9999999981</v>
      </c>
      <c r="S24" s="1340">
        <f t="shared" si="56"/>
        <v>1488000</v>
      </c>
      <c r="T24" s="299">
        <v>1174270.0000000035</v>
      </c>
      <c r="U24" s="865">
        <f t="shared" si="4"/>
        <v>5856000</v>
      </c>
      <c r="V24" s="865">
        <f t="shared" si="5"/>
        <v>4996640.0000000019</v>
      </c>
      <c r="W24" s="1340">
        <f t="shared" si="57"/>
        <v>1488000</v>
      </c>
      <c r="X24" s="299">
        <v>1283100</v>
      </c>
      <c r="Y24" s="865">
        <f t="shared" si="6"/>
        <v>7344000</v>
      </c>
      <c r="Z24" s="865">
        <f t="shared" si="7"/>
        <v>6279740.0000000019</v>
      </c>
      <c r="AA24" s="1340">
        <f t="shared" si="58"/>
        <v>1440000</v>
      </c>
      <c r="AB24" s="299">
        <v>1261749.9999999991</v>
      </c>
      <c r="AC24" s="1414">
        <f t="shared" si="51"/>
        <v>4416000</v>
      </c>
      <c r="AD24" s="336">
        <f t="shared" si="52"/>
        <v>3719120.0000000028</v>
      </c>
      <c r="AE24" s="866">
        <f t="shared" si="40"/>
        <v>8784000</v>
      </c>
      <c r="AF24" s="866">
        <f t="shared" si="41"/>
        <v>7541490.0000000009</v>
      </c>
      <c r="AG24" s="1340">
        <f t="shared" si="59"/>
        <v>1488000</v>
      </c>
      <c r="AH24" s="299">
        <v>1037050.0000000003</v>
      </c>
      <c r="AI24" s="865">
        <f t="shared" si="12"/>
        <v>10272000</v>
      </c>
      <c r="AJ24" s="865">
        <f t="shared" si="13"/>
        <v>8578540.0000000019</v>
      </c>
      <c r="AK24" s="1340">
        <f t="shared" si="60"/>
        <v>1440000</v>
      </c>
      <c r="AL24" s="299">
        <v>1196350</v>
      </c>
      <c r="AM24" s="865">
        <f t="shared" si="14"/>
        <v>11712000</v>
      </c>
      <c r="AN24" s="865">
        <f t="shared" si="15"/>
        <v>9774890.0000000019</v>
      </c>
      <c r="AO24" s="1340">
        <f t="shared" si="61"/>
        <v>1488000</v>
      </c>
      <c r="AP24" s="299">
        <v>1168429.9999999981</v>
      </c>
      <c r="AQ24" s="1414">
        <f t="shared" si="42"/>
        <v>4416000</v>
      </c>
      <c r="AR24" s="336">
        <f t="shared" si="43"/>
        <v>3401829.9999999986</v>
      </c>
      <c r="AS24" s="865">
        <f t="shared" si="18"/>
        <v>13200000</v>
      </c>
      <c r="AT24" s="865">
        <f t="shared" si="19"/>
        <v>10943320</v>
      </c>
      <c r="AU24" s="1340">
        <f t="shared" si="62"/>
        <v>1488000</v>
      </c>
      <c r="AV24" s="299">
        <v>1244180.0000000047</v>
      </c>
      <c r="AW24" s="865">
        <f t="shared" si="20"/>
        <v>14688000</v>
      </c>
      <c r="AX24" s="865">
        <f t="shared" si="21"/>
        <v>12187500.000000004</v>
      </c>
      <c r="AY24" s="1340">
        <f t="shared" si="63"/>
        <v>1344000</v>
      </c>
      <c r="AZ24" s="299">
        <v>1120569.9999999988</v>
      </c>
      <c r="BA24" s="865">
        <f t="shared" si="22"/>
        <v>16032000</v>
      </c>
      <c r="BB24" s="865">
        <f t="shared" si="23"/>
        <v>13308070.000000002</v>
      </c>
      <c r="BC24" s="1340">
        <f t="shared" si="64"/>
        <v>1488000</v>
      </c>
      <c r="BD24" s="299">
        <v>1297249.999999997</v>
      </c>
      <c r="BE24" s="1414">
        <f t="shared" si="44"/>
        <v>4320000</v>
      </c>
      <c r="BF24" s="336">
        <f t="shared" si="45"/>
        <v>3662000.0000000009</v>
      </c>
      <c r="BG24" s="866">
        <f t="shared" si="65"/>
        <v>8736000</v>
      </c>
      <c r="BH24" s="866">
        <f t="shared" si="65"/>
        <v>7063830</v>
      </c>
      <c r="BI24" s="865">
        <f t="shared" si="37"/>
        <v>17520000</v>
      </c>
      <c r="BJ24" s="865">
        <f t="shared" si="34"/>
        <v>14605319.999999998</v>
      </c>
      <c r="BK24" s="1137"/>
      <c r="BL24" s="1137"/>
      <c r="BM24" s="1137"/>
      <c r="BN24" s="7068"/>
      <c r="BO24" s="7068"/>
      <c r="BP24" s="1137"/>
      <c r="BQ24" s="1137"/>
      <c r="BR24" s="25"/>
    </row>
    <row r="25" spans="1:70" x14ac:dyDescent="0.25">
      <c r="A25" s="253">
        <v>20</v>
      </c>
      <c r="B25" s="271" t="s">
        <v>465</v>
      </c>
      <c r="C25" s="12" t="s">
        <v>213</v>
      </c>
      <c r="D25" s="272">
        <v>423946.99999999942</v>
      </c>
      <c r="E25" s="273">
        <v>543130.00000000047</v>
      </c>
      <c r="G25" s="858" t="s">
        <v>723</v>
      </c>
      <c r="H25" s="840" t="s">
        <v>463</v>
      </c>
      <c r="I25" s="1340">
        <f t="shared" si="53"/>
        <v>6314500</v>
      </c>
      <c r="J25" s="299">
        <v>7402183.0000000112</v>
      </c>
      <c r="K25" s="1340">
        <f t="shared" si="54"/>
        <v>7621971.8838303965</v>
      </c>
      <c r="L25" s="299">
        <v>6901113.0000000075</v>
      </c>
      <c r="M25" s="865">
        <f t="shared" si="1"/>
        <v>13936471.883830396</v>
      </c>
      <c r="N25" s="865">
        <f t="shared" si="1"/>
        <v>14303296.000000019</v>
      </c>
      <c r="O25" s="1340">
        <f t="shared" si="55"/>
        <v>7362131.9332452696</v>
      </c>
      <c r="P25" s="299">
        <v>6922432.3333333284</v>
      </c>
      <c r="Q25" s="1414">
        <f t="shared" si="66"/>
        <v>21298603.817075666</v>
      </c>
      <c r="R25" s="336">
        <f t="shared" si="67"/>
        <v>21225728.333333347</v>
      </c>
      <c r="S25" s="1340">
        <f t="shared" si="56"/>
        <v>7621971.8838303965</v>
      </c>
      <c r="T25" s="299">
        <v>7841078.3333333544</v>
      </c>
      <c r="U25" s="865">
        <f t="shared" si="4"/>
        <v>28920575.700906061</v>
      </c>
      <c r="V25" s="865">
        <f t="shared" si="5"/>
        <v>29066806.666666701</v>
      </c>
      <c r="W25" s="1340">
        <f t="shared" si="57"/>
        <v>7621971.8838303965</v>
      </c>
      <c r="X25" s="299">
        <v>6963410.9999999758</v>
      </c>
      <c r="Y25" s="865">
        <f t="shared" si="6"/>
        <v>36542547.584736459</v>
      </c>
      <c r="Z25" s="865">
        <f t="shared" si="7"/>
        <v>36030217.666666679</v>
      </c>
      <c r="AA25" s="1340">
        <f t="shared" si="58"/>
        <v>4568265.843085452</v>
      </c>
      <c r="AB25" s="299">
        <v>7182929.0000000158</v>
      </c>
      <c r="AC25" s="1414">
        <f t="shared" si="51"/>
        <v>19812209.610746246</v>
      </c>
      <c r="AD25" s="336">
        <f t="shared" si="52"/>
        <v>21987418.333333347</v>
      </c>
      <c r="AE25" s="866">
        <f t="shared" si="40"/>
        <v>41110813.427821912</v>
      </c>
      <c r="AF25" s="866">
        <f t="shared" si="41"/>
        <v>43213146.666666694</v>
      </c>
      <c r="AG25" s="1340">
        <f t="shared" si="59"/>
        <v>7362131.9332452696</v>
      </c>
      <c r="AH25" s="299">
        <v>5547879.3333333228</v>
      </c>
      <c r="AI25" s="865">
        <f t="shared" si="12"/>
        <v>48472945.361067183</v>
      </c>
      <c r="AJ25" s="865">
        <f t="shared" si="13"/>
        <v>48761026.000000015</v>
      </c>
      <c r="AK25" s="1340">
        <f t="shared" si="60"/>
        <v>7362131.9332452696</v>
      </c>
      <c r="AL25" s="299">
        <v>6512563.6666666623</v>
      </c>
      <c r="AM25" s="865">
        <f t="shared" si="14"/>
        <v>55835077.294312455</v>
      </c>
      <c r="AN25" s="865">
        <f t="shared" si="15"/>
        <v>55273589.666666679</v>
      </c>
      <c r="AO25" s="1340">
        <f t="shared" si="61"/>
        <v>7621971.8838303965</v>
      </c>
      <c r="AP25" s="299">
        <v>7109740.333333334</v>
      </c>
      <c r="AQ25" s="1414">
        <f t="shared" si="42"/>
        <v>22346235.750320934</v>
      </c>
      <c r="AR25" s="336">
        <f t="shared" si="43"/>
        <v>19170183.333333321</v>
      </c>
      <c r="AS25" s="865">
        <f t="shared" si="18"/>
        <v>63457049.178142853</v>
      </c>
      <c r="AT25" s="865">
        <f t="shared" si="19"/>
        <v>62383330.000000015</v>
      </c>
      <c r="AU25" s="1340">
        <f t="shared" si="62"/>
        <v>7708585.2006921051</v>
      </c>
      <c r="AV25" s="299">
        <v>7408421.3333333433</v>
      </c>
      <c r="AW25" s="865">
        <f t="shared" si="20"/>
        <v>71165634.378834963</v>
      </c>
      <c r="AX25" s="865">
        <f t="shared" si="21"/>
        <v>69791751.333333358</v>
      </c>
      <c r="AY25" s="1340">
        <f t="shared" si="63"/>
        <v>6929065.3489367226</v>
      </c>
      <c r="AZ25" s="299">
        <v>6514605.0000000028</v>
      </c>
      <c r="BA25" s="865">
        <f t="shared" si="22"/>
        <v>78094699.727771685</v>
      </c>
      <c r="BB25" s="865">
        <f t="shared" si="23"/>
        <v>76306356.333333358</v>
      </c>
      <c r="BC25" s="1340">
        <f t="shared" si="64"/>
        <v>7708585.2006921051</v>
      </c>
      <c r="BD25" s="299">
        <v>7028978.3333333144</v>
      </c>
      <c r="BE25" s="1414">
        <f t="shared" si="44"/>
        <v>22346235.750320934</v>
      </c>
      <c r="BF25" s="336">
        <f t="shared" si="45"/>
        <v>20952004.66666666</v>
      </c>
      <c r="BG25" s="866">
        <f t="shared" si="65"/>
        <v>44692471.500641868</v>
      </c>
      <c r="BH25" s="866">
        <f t="shared" si="65"/>
        <v>40122187.999999985</v>
      </c>
      <c r="BI25" s="865">
        <f t="shared" si="37"/>
        <v>85803284.928463787</v>
      </c>
      <c r="BJ25" s="865">
        <f t="shared" si="34"/>
        <v>83335334.666666672</v>
      </c>
      <c r="BK25" s="1137"/>
      <c r="BL25" s="1137"/>
      <c r="BM25" s="1137"/>
      <c r="BN25" s="7068"/>
      <c r="BO25" s="7068"/>
      <c r="BP25" s="1137"/>
      <c r="BQ25" s="1137"/>
      <c r="BR25" s="25"/>
    </row>
    <row r="26" spans="1:70" x14ac:dyDescent="0.25">
      <c r="A26" s="253">
        <v>21</v>
      </c>
      <c r="B26" s="271" t="s">
        <v>724</v>
      </c>
      <c r="C26" s="12" t="s">
        <v>213</v>
      </c>
      <c r="D26" s="272">
        <v>378639</v>
      </c>
      <c r="E26" s="273">
        <v>383365</v>
      </c>
      <c r="G26" s="858" t="s">
        <v>725</v>
      </c>
      <c r="H26" s="840" t="s">
        <v>464</v>
      </c>
      <c r="I26" s="1340">
        <f t="shared" si="53"/>
        <v>5548500</v>
      </c>
      <c r="J26" s="299">
        <v>5980485.0000000056</v>
      </c>
      <c r="K26" s="1340">
        <f t="shared" si="54"/>
        <v>6479334.6687229276</v>
      </c>
      <c r="L26" s="299">
        <v>6109584.9999999991</v>
      </c>
      <c r="M26" s="865">
        <f t="shared" si="1"/>
        <v>12027834.668722928</v>
      </c>
      <c r="N26" s="865">
        <f t="shared" si="1"/>
        <v>12090070.000000004</v>
      </c>
      <c r="O26" s="1340">
        <f t="shared" si="55"/>
        <v>6233283.9851005385</v>
      </c>
      <c r="P26" s="299">
        <v>6101723.3333333191</v>
      </c>
      <c r="Q26" s="1414">
        <f t="shared" si="66"/>
        <v>18261118.653823465</v>
      </c>
      <c r="R26" s="336">
        <f t="shared" si="67"/>
        <v>18191793.333333321</v>
      </c>
      <c r="S26" s="1340">
        <f t="shared" si="56"/>
        <v>6479334.6687229276</v>
      </c>
      <c r="T26" s="299">
        <v>6624798.3333333451</v>
      </c>
      <c r="U26" s="865">
        <f t="shared" si="4"/>
        <v>24740453.322546393</v>
      </c>
      <c r="V26" s="865">
        <f t="shared" si="5"/>
        <v>24816591.666666664</v>
      </c>
      <c r="W26" s="1340">
        <f t="shared" si="57"/>
        <v>6479334.6687229276</v>
      </c>
      <c r="X26" s="299">
        <v>6379560.0000000093</v>
      </c>
      <c r="Y26" s="865">
        <f t="shared" si="6"/>
        <v>31219787.99126932</v>
      </c>
      <c r="Z26" s="865">
        <f t="shared" si="7"/>
        <v>31196151.666666672</v>
      </c>
      <c r="AA26" s="1340">
        <f t="shared" si="58"/>
        <v>4068602.4906878364</v>
      </c>
      <c r="AB26" s="299">
        <v>6181474.9999999786</v>
      </c>
      <c r="AC26" s="1414">
        <f t="shared" si="51"/>
        <v>17027271.828133691</v>
      </c>
      <c r="AD26" s="336">
        <f t="shared" si="52"/>
        <v>19185833.333333332</v>
      </c>
      <c r="AE26" s="866">
        <f t="shared" si="40"/>
        <v>35288390.481957152</v>
      </c>
      <c r="AF26" s="866">
        <f t="shared" si="41"/>
        <v>37377626.666666657</v>
      </c>
      <c r="AG26" s="1340">
        <f t="shared" si="59"/>
        <v>6397317.7741821306</v>
      </c>
      <c r="AH26" s="299">
        <v>4587853.3333333451</v>
      </c>
      <c r="AI26" s="865">
        <f t="shared" si="12"/>
        <v>41685708.256139286</v>
      </c>
      <c r="AJ26" s="865">
        <f t="shared" si="13"/>
        <v>41965480</v>
      </c>
      <c r="AK26" s="1340">
        <f t="shared" si="60"/>
        <v>6233283.9851005385</v>
      </c>
      <c r="AL26" s="299">
        <v>5907461.6666666539</v>
      </c>
      <c r="AM26" s="865">
        <f t="shared" si="14"/>
        <v>47918992.241239823</v>
      </c>
      <c r="AN26" s="865">
        <f t="shared" si="15"/>
        <v>47872941.666666657</v>
      </c>
      <c r="AO26" s="1340">
        <f t="shared" si="61"/>
        <v>6479334.6687229276</v>
      </c>
      <c r="AP26" s="299">
        <v>6448303.3333333479</v>
      </c>
      <c r="AQ26" s="1414">
        <f t="shared" si="42"/>
        <v>19109936.428005598</v>
      </c>
      <c r="AR26" s="336">
        <f t="shared" si="43"/>
        <v>16943618.333333347</v>
      </c>
      <c r="AS26" s="865">
        <f t="shared" si="18"/>
        <v>54398326.909962751</v>
      </c>
      <c r="AT26" s="865">
        <f t="shared" si="19"/>
        <v>54321245.000000007</v>
      </c>
      <c r="AU26" s="1340">
        <f t="shared" si="62"/>
        <v>6479334.6687229276</v>
      </c>
      <c r="AV26" s="299">
        <v>6498523.3333333377</v>
      </c>
      <c r="AW26" s="865">
        <f t="shared" si="20"/>
        <v>60877661.578685679</v>
      </c>
      <c r="AX26" s="865">
        <f t="shared" si="21"/>
        <v>60819768.333333343</v>
      </c>
      <c r="AY26" s="1340">
        <f t="shared" si="63"/>
        <v>5864207.9596669534</v>
      </c>
      <c r="AZ26" s="299">
        <v>5990404.9999999991</v>
      </c>
      <c r="BA26" s="865">
        <f t="shared" si="22"/>
        <v>66741869.538352631</v>
      </c>
      <c r="BB26" s="865">
        <f t="shared" si="23"/>
        <v>66810173.333333343</v>
      </c>
      <c r="BC26" s="1340">
        <f t="shared" si="64"/>
        <v>6561351.5632637246</v>
      </c>
      <c r="BD26" s="299">
        <v>6297818.3333333377</v>
      </c>
      <c r="BE26" s="1414">
        <f t="shared" si="44"/>
        <v>18904894.191653606</v>
      </c>
      <c r="BF26" s="336">
        <f t="shared" si="45"/>
        <v>18786746.666666672</v>
      </c>
      <c r="BG26" s="866">
        <f t="shared" si="65"/>
        <v>38014830.6196592</v>
      </c>
      <c r="BH26" s="866">
        <f t="shared" si="65"/>
        <v>35730365.000000015</v>
      </c>
      <c r="BI26" s="865">
        <f t="shared" si="37"/>
        <v>73303221.101616353</v>
      </c>
      <c r="BJ26" s="865">
        <f t="shared" si="34"/>
        <v>73107991.666666687</v>
      </c>
      <c r="BK26" s="1137"/>
      <c r="BL26" s="1137"/>
      <c r="BM26" s="1137"/>
      <c r="BN26" s="7068"/>
      <c r="BO26" s="7068"/>
      <c r="BP26" s="1137"/>
      <c r="BQ26" s="1137"/>
      <c r="BR26" s="25"/>
    </row>
    <row r="27" spans="1:70" x14ac:dyDescent="0.25">
      <c r="A27" s="253">
        <v>22</v>
      </c>
      <c r="B27" s="271" t="s">
        <v>726</v>
      </c>
      <c r="C27" s="12" t="s">
        <v>213</v>
      </c>
      <c r="D27" s="272">
        <v>5408863.7999999998</v>
      </c>
      <c r="E27" s="273">
        <v>5589150</v>
      </c>
      <c r="G27" s="858" t="s">
        <v>727</v>
      </c>
      <c r="H27" s="840" t="s">
        <v>465</v>
      </c>
      <c r="I27" s="1340">
        <f t="shared" si="53"/>
        <v>4215120</v>
      </c>
      <c r="J27" s="299">
        <v>3931378.0000000037</v>
      </c>
      <c r="K27" s="1340">
        <f t="shared" si="54"/>
        <v>5681204.7153022392</v>
      </c>
      <c r="L27" s="299">
        <v>4383551.9999999981</v>
      </c>
      <c r="M27" s="865">
        <f t="shared" si="1"/>
        <v>9896324.7153022401</v>
      </c>
      <c r="N27" s="865">
        <f t="shared" si="1"/>
        <v>8314930.0000000019</v>
      </c>
      <c r="O27" s="1340">
        <f t="shared" si="55"/>
        <v>5462696.8416367695</v>
      </c>
      <c r="P27" s="299">
        <v>4293833.3333333321</v>
      </c>
      <c r="Q27" s="1414">
        <f t="shared" si="66"/>
        <v>15359021.55693901</v>
      </c>
      <c r="R27" s="336">
        <f t="shared" si="67"/>
        <v>12608763.333333334</v>
      </c>
      <c r="S27" s="1340">
        <f t="shared" si="56"/>
        <v>5681204.7153022392</v>
      </c>
      <c r="T27" s="299">
        <v>4334408.3333333256</v>
      </c>
      <c r="U27" s="865">
        <f t="shared" si="4"/>
        <v>21040226.27224125</v>
      </c>
      <c r="V27" s="865">
        <f t="shared" si="5"/>
        <v>16943171.66666666</v>
      </c>
      <c r="W27" s="1340">
        <f t="shared" si="57"/>
        <v>5681204.7153022392</v>
      </c>
      <c r="X27" s="299">
        <v>3962541.0000000037</v>
      </c>
      <c r="Y27" s="865">
        <f t="shared" si="6"/>
        <v>26721430.98754349</v>
      </c>
      <c r="Z27" s="865">
        <f t="shared" si="7"/>
        <v>20905712.666666664</v>
      </c>
      <c r="AA27" s="1340">
        <f t="shared" si="58"/>
        <v>3230405.5071173077</v>
      </c>
      <c r="AB27" s="299">
        <v>4053481.0000000028</v>
      </c>
      <c r="AC27" s="1414">
        <f t="shared" si="51"/>
        <v>14592814.937721785</v>
      </c>
      <c r="AD27" s="336">
        <f t="shared" si="52"/>
        <v>12350430.333333332</v>
      </c>
      <c r="AE27" s="866">
        <f t="shared" si="40"/>
        <v>29951836.494660795</v>
      </c>
      <c r="AF27" s="866">
        <f t="shared" si="41"/>
        <v>24959193.666666664</v>
      </c>
      <c r="AG27" s="1340">
        <f t="shared" si="59"/>
        <v>5856011.0142346155</v>
      </c>
      <c r="AH27" s="299">
        <v>2894984.3333333354</v>
      </c>
      <c r="AI27" s="865">
        <f t="shared" si="12"/>
        <v>35807847.508895412</v>
      </c>
      <c r="AJ27" s="865">
        <f t="shared" si="13"/>
        <v>27854178</v>
      </c>
      <c r="AK27" s="1340">
        <f t="shared" si="60"/>
        <v>5681204.7153022392</v>
      </c>
      <c r="AL27" s="299">
        <v>3936189.6666666646</v>
      </c>
      <c r="AM27" s="865">
        <f t="shared" si="14"/>
        <v>41489052.224197648</v>
      </c>
      <c r="AN27" s="865">
        <f t="shared" si="15"/>
        <v>31790367.666666664</v>
      </c>
      <c r="AO27" s="1340">
        <f t="shared" si="61"/>
        <v>5899712.5889677098</v>
      </c>
      <c r="AP27" s="299">
        <v>4167595.3333333298</v>
      </c>
      <c r="AQ27" s="1414">
        <f t="shared" si="42"/>
        <v>17436928.318504564</v>
      </c>
      <c r="AR27" s="336">
        <f t="shared" si="43"/>
        <v>10998769.33333333</v>
      </c>
      <c r="AS27" s="865">
        <f t="shared" si="18"/>
        <v>47388764.813165359</v>
      </c>
      <c r="AT27" s="865">
        <f t="shared" si="19"/>
        <v>35957962.999999993</v>
      </c>
      <c r="AU27" s="1340">
        <f t="shared" si="62"/>
        <v>5943414.1637008041</v>
      </c>
      <c r="AV27" s="299">
        <v>4334470.333333334</v>
      </c>
      <c r="AW27" s="865">
        <f t="shared" si="20"/>
        <v>53332178.976866163</v>
      </c>
      <c r="AX27" s="865">
        <f t="shared" si="21"/>
        <v>40292433.333333328</v>
      </c>
      <c r="AY27" s="1340">
        <f t="shared" si="63"/>
        <v>5331592.1174374856</v>
      </c>
      <c r="AZ27" s="299">
        <v>3892468.0000000093</v>
      </c>
      <c r="BA27" s="865">
        <f t="shared" si="22"/>
        <v>58663771.094303653</v>
      </c>
      <c r="BB27" s="865">
        <f t="shared" si="23"/>
        <v>44184901.333333336</v>
      </c>
      <c r="BC27" s="1340">
        <f t="shared" si="64"/>
        <v>5987115.7384338975</v>
      </c>
      <c r="BD27" s="299">
        <v>4348140.3333333246</v>
      </c>
      <c r="BE27" s="1414">
        <f t="shared" si="44"/>
        <v>17262122.019572187</v>
      </c>
      <c r="BF27" s="336">
        <f t="shared" si="45"/>
        <v>12575078.666666668</v>
      </c>
      <c r="BG27" s="866">
        <f t="shared" si="65"/>
        <v>34699050.338076755</v>
      </c>
      <c r="BH27" s="866">
        <f t="shared" si="65"/>
        <v>23573848</v>
      </c>
      <c r="BI27" s="865">
        <f t="shared" si="37"/>
        <v>64650886.83273755</v>
      </c>
      <c r="BJ27" s="865">
        <f t="shared" si="34"/>
        <v>48533041.666666657</v>
      </c>
      <c r="BK27" s="1137"/>
      <c r="BL27" s="1137"/>
      <c r="BM27" s="1137"/>
      <c r="BN27" s="7068"/>
      <c r="BO27" s="7068"/>
      <c r="BP27" s="1137"/>
      <c r="BQ27" s="1137"/>
      <c r="BR27" s="25"/>
    </row>
    <row r="28" spans="1:70" x14ac:dyDescent="0.25">
      <c r="A28" s="253">
        <v>23</v>
      </c>
      <c r="B28" s="271" t="s">
        <v>692</v>
      </c>
      <c r="C28" s="12" t="s">
        <v>213</v>
      </c>
      <c r="D28" s="272">
        <v>24602610.000000015</v>
      </c>
      <c r="E28" s="273">
        <v>25208649.999999989</v>
      </c>
      <c r="G28" s="858" t="s">
        <v>728</v>
      </c>
      <c r="H28" s="840" t="s">
        <v>692</v>
      </c>
      <c r="I28" s="1340">
        <f t="shared" si="53"/>
        <v>22651200</v>
      </c>
      <c r="J28" s="299">
        <v>25399130.999999963</v>
      </c>
      <c r="K28" s="1340">
        <f t="shared" si="54"/>
        <v>25593600</v>
      </c>
      <c r="L28" s="299">
        <v>25992975</v>
      </c>
      <c r="M28" s="865">
        <f t="shared" si="1"/>
        <v>48244800</v>
      </c>
      <c r="N28" s="865">
        <f t="shared" si="1"/>
        <v>51392105.999999963</v>
      </c>
      <c r="O28" s="1340">
        <f t="shared" si="55"/>
        <v>24768000</v>
      </c>
      <c r="P28" s="299">
        <v>25499298.999999911</v>
      </c>
      <c r="Q28" s="1414">
        <f t="shared" si="66"/>
        <v>73012800</v>
      </c>
      <c r="R28" s="336">
        <f t="shared" si="67"/>
        <v>76891404.999999881</v>
      </c>
      <c r="S28" s="1340">
        <f t="shared" si="56"/>
        <v>25593600</v>
      </c>
      <c r="T28" s="299">
        <v>26238659.000000089</v>
      </c>
      <c r="U28" s="865">
        <f t="shared" si="4"/>
        <v>98606400</v>
      </c>
      <c r="V28" s="865">
        <f t="shared" si="5"/>
        <v>103130063.99999997</v>
      </c>
      <c r="W28" s="1340">
        <f t="shared" si="57"/>
        <v>25593600</v>
      </c>
      <c r="X28" s="299">
        <v>26137079.999999899</v>
      </c>
      <c r="Y28" s="865">
        <f t="shared" si="6"/>
        <v>124200000</v>
      </c>
      <c r="Z28" s="865">
        <f t="shared" si="7"/>
        <v>129267143.99999987</v>
      </c>
      <c r="AA28" s="1340">
        <f t="shared" si="58"/>
        <v>16509599.999999998</v>
      </c>
      <c r="AB28" s="299">
        <v>25447567</v>
      </c>
      <c r="AC28" s="1414">
        <f t="shared" si="51"/>
        <v>67696800</v>
      </c>
      <c r="AD28" s="336">
        <f t="shared" si="52"/>
        <v>77823305.999999985</v>
      </c>
      <c r="AE28" s="866">
        <f t="shared" si="40"/>
        <v>140709600</v>
      </c>
      <c r="AF28" s="866">
        <f t="shared" si="41"/>
        <v>154714710.99999988</v>
      </c>
      <c r="AG28" s="1340">
        <f t="shared" si="59"/>
        <v>25593600</v>
      </c>
      <c r="AH28" s="299">
        <v>25941650.000000093</v>
      </c>
      <c r="AI28" s="865">
        <f t="shared" si="12"/>
        <v>166303200</v>
      </c>
      <c r="AJ28" s="865">
        <f t="shared" si="13"/>
        <v>180656360.99999997</v>
      </c>
      <c r="AK28" s="1340">
        <f t="shared" si="60"/>
        <v>24768000</v>
      </c>
      <c r="AL28" s="299">
        <v>25022552.000000093</v>
      </c>
      <c r="AM28" s="865">
        <f t="shared" si="14"/>
        <v>191071200</v>
      </c>
      <c r="AN28" s="865">
        <f t="shared" si="15"/>
        <v>205678913.00000006</v>
      </c>
      <c r="AO28" s="1340">
        <f t="shared" si="61"/>
        <v>25593600</v>
      </c>
      <c r="AP28" s="299">
        <v>25806187.999999829</v>
      </c>
      <c r="AQ28" s="1414">
        <f t="shared" si="42"/>
        <v>75955200</v>
      </c>
      <c r="AR28" s="336">
        <f t="shared" si="43"/>
        <v>76770390.000000015</v>
      </c>
      <c r="AS28" s="865">
        <f t="shared" si="18"/>
        <v>216664800</v>
      </c>
      <c r="AT28" s="865">
        <f t="shared" si="19"/>
        <v>231485100.99999988</v>
      </c>
      <c r="AU28" s="1340">
        <f t="shared" si="62"/>
        <v>25593600</v>
      </c>
      <c r="AV28" s="299">
        <v>25369403.00000003</v>
      </c>
      <c r="AW28" s="865">
        <f t="shared" si="20"/>
        <v>242258400</v>
      </c>
      <c r="AX28" s="865">
        <f t="shared" si="21"/>
        <v>256854503.99999991</v>
      </c>
      <c r="AY28" s="1340">
        <f t="shared" si="63"/>
        <v>23116800</v>
      </c>
      <c r="AZ28" s="299">
        <v>23439559.999999974</v>
      </c>
      <c r="BA28" s="865">
        <f t="shared" si="22"/>
        <v>265375200</v>
      </c>
      <c r="BB28" s="865">
        <f t="shared" si="23"/>
        <v>280294063.99999988</v>
      </c>
      <c r="BC28" s="1340">
        <f t="shared" si="64"/>
        <v>25593600</v>
      </c>
      <c r="BD28" s="299">
        <v>26017956.000000075</v>
      </c>
      <c r="BE28" s="1414">
        <f t="shared" si="44"/>
        <v>74304000</v>
      </c>
      <c r="BF28" s="336">
        <f t="shared" si="45"/>
        <v>74826919.000000075</v>
      </c>
      <c r="BG28" s="866">
        <f t="shared" si="65"/>
        <v>150259200</v>
      </c>
      <c r="BH28" s="866">
        <f t="shared" si="65"/>
        <v>151597309.00000009</v>
      </c>
      <c r="BI28" s="865">
        <f t="shared" si="37"/>
        <v>290968800</v>
      </c>
      <c r="BJ28" s="865">
        <f t="shared" si="34"/>
        <v>306312019.99999994</v>
      </c>
      <c r="BK28" s="1137"/>
      <c r="BL28" s="1137"/>
      <c r="BM28" s="1137"/>
      <c r="BN28" s="7068"/>
      <c r="BO28" s="7068"/>
      <c r="BP28" s="1137"/>
      <c r="BQ28" s="1137"/>
      <c r="BR28" s="25"/>
    </row>
    <row r="29" spans="1:70" x14ac:dyDescent="0.25">
      <c r="A29" s="253">
        <v>24</v>
      </c>
      <c r="B29" s="271" t="s">
        <v>466</v>
      </c>
      <c r="C29" s="12" t="s">
        <v>213</v>
      </c>
      <c r="D29" s="272">
        <v>3577000</v>
      </c>
      <c r="E29" s="273">
        <v>3313400.0000000051</v>
      </c>
      <c r="G29" s="858" t="s">
        <v>729</v>
      </c>
      <c r="H29" s="840" t="s">
        <v>466</v>
      </c>
      <c r="I29" s="1340">
        <f t="shared" si="53"/>
        <v>3888000</v>
      </c>
      <c r="J29" s="299">
        <v>3986299.9999999884</v>
      </c>
      <c r="K29" s="1340">
        <f t="shared" si="54"/>
        <v>4017600.0000000005</v>
      </c>
      <c r="L29" s="299">
        <v>4056899.9999999944</v>
      </c>
      <c r="M29" s="865">
        <f t="shared" si="1"/>
        <v>7905600</v>
      </c>
      <c r="N29" s="865">
        <f t="shared" si="1"/>
        <v>8043199.9999999832</v>
      </c>
      <c r="O29" s="1340">
        <f t="shared" si="55"/>
        <v>3888000</v>
      </c>
      <c r="P29" s="299">
        <v>4042799.9999999884</v>
      </c>
      <c r="Q29" s="1414">
        <f t="shared" si="66"/>
        <v>11793600</v>
      </c>
      <c r="R29" s="336">
        <f t="shared" si="67"/>
        <v>12085999.999999972</v>
      </c>
      <c r="S29" s="1340">
        <f t="shared" si="56"/>
        <v>4017600.0000000005</v>
      </c>
      <c r="T29" s="299">
        <v>4275000.0000000149</v>
      </c>
      <c r="U29" s="865">
        <f t="shared" si="4"/>
        <v>15811200</v>
      </c>
      <c r="V29" s="865">
        <f t="shared" si="5"/>
        <v>16360999.999999987</v>
      </c>
      <c r="W29" s="1340">
        <f t="shared" si="57"/>
        <v>4017600.0000000005</v>
      </c>
      <c r="X29" s="299">
        <v>4063099.9999999842</v>
      </c>
      <c r="Y29" s="865">
        <f t="shared" si="6"/>
        <v>19828800</v>
      </c>
      <c r="Z29" s="865">
        <f t="shared" si="7"/>
        <v>20424099.99999997</v>
      </c>
      <c r="AA29" s="1340">
        <f t="shared" si="58"/>
        <v>3888000</v>
      </c>
      <c r="AB29" s="299">
        <v>4065000</v>
      </c>
      <c r="AC29" s="1414">
        <f t="shared" si="51"/>
        <v>11923200</v>
      </c>
      <c r="AD29" s="336">
        <f t="shared" si="52"/>
        <v>12403100</v>
      </c>
      <c r="AE29" s="866">
        <f t="shared" si="40"/>
        <v>23716800</v>
      </c>
      <c r="AF29" s="866">
        <f t="shared" si="41"/>
        <v>24489099.99999997</v>
      </c>
      <c r="AG29" s="1340">
        <f t="shared" si="59"/>
        <v>4017600.0000000005</v>
      </c>
      <c r="AH29" s="299">
        <v>3611500.0000000075</v>
      </c>
      <c r="AI29" s="865">
        <f t="shared" si="12"/>
        <v>27734400</v>
      </c>
      <c r="AJ29" s="865">
        <f t="shared" si="13"/>
        <v>28100599.999999978</v>
      </c>
      <c r="AK29" s="1340">
        <f t="shared" si="60"/>
        <v>3888000</v>
      </c>
      <c r="AL29" s="299">
        <v>3885699.9999999972</v>
      </c>
      <c r="AM29" s="865">
        <f t="shared" si="14"/>
        <v>31622400</v>
      </c>
      <c r="AN29" s="865">
        <f t="shared" si="15"/>
        <v>31986299.999999974</v>
      </c>
      <c r="AO29" s="1340">
        <f t="shared" si="61"/>
        <v>4017600.0000000005</v>
      </c>
      <c r="AP29" s="299">
        <v>4202099.9999999981</v>
      </c>
      <c r="AQ29" s="1414">
        <f t="shared" si="42"/>
        <v>11923200</v>
      </c>
      <c r="AR29" s="336">
        <f t="shared" si="43"/>
        <v>11699300.000000004</v>
      </c>
      <c r="AS29" s="865">
        <f t="shared" si="18"/>
        <v>35640000</v>
      </c>
      <c r="AT29" s="865">
        <f t="shared" si="19"/>
        <v>36188399.99999997</v>
      </c>
      <c r="AU29" s="1340">
        <f t="shared" si="62"/>
        <v>4017600.0000000005</v>
      </c>
      <c r="AV29" s="299">
        <v>4029699.9999999898</v>
      </c>
      <c r="AW29" s="865">
        <f t="shared" si="20"/>
        <v>39657600</v>
      </c>
      <c r="AX29" s="865">
        <f t="shared" si="21"/>
        <v>40218099.999999963</v>
      </c>
      <c r="AY29" s="1340">
        <f t="shared" si="63"/>
        <v>3628800</v>
      </c>
      <c r="AZ29" s="299">
        <v>3623600.0000000056</v>
      </c>
      <c r="BA29" s="865">
        <f t="shared" si="22"/>
        <v>43286400</v>
      </c>
      <c r="BB29" s="865">
        <f t="shared" si="23"/>
        <v>43841699.99999997</v>
      </c>
      <c r="BC29" s="1340">
        <f t="shared" si="64"/>
        <v>4017600.0000000005</v>
      </c>
      <c r="BD29" s="299">
        <v>4073500</v>
      </c>
      <c r="BE29" s="1414">
        <f t="shared" si="44"/>
        <v>11664000</v>
      </c>
      <c r="BF29" s="336">
        <f t="shared" si="45"/>
        <v>11726799.999999996</v>
      </c>
      <c r="BG29" s="866">
        <f t="shared" si="65"/>
        <v>23587200</v>
      </c>
      <c r="BH29" s="866">
        <f t="shared" si="65"/>
        <v>23426100</v>
      </c>
      <c r="BI29" s="865">
        <f t="shared" si="37"/>
        <v>47304000</v>
      </c>
      <c r="BJ29" s="865">
        <f t="shared" si="34"/>
        <v>47915199.99999997</v>
      </c>
      <c r="BK29" s="1137"/>
      <c r="BL29" s="1137"/>
      <c r="BM29" s="1137"/>
      <c r="BN29" s="7068"/>
      <c r="BO29" s="7068"/>
      <c r="BP29" s="1137"/>
      <c r="BQ29" s="1137"/>
      <c r="BR29" s="25"/>
    </row>
    <row r="30" spans="1:70" x14ac:dyDescent="0.25">
      <c r="A30" s="253">
        <v>25</v>
      </c>
      <c r="B30" s="271" t="s">
        <v>730</v>
      </c>
      <c r="C30" s="12" t="s">
        <v>213</v>
      </c>
      <c r="D30" s="272">
        <v>2204510.0000000019</v>
      </c>
      <c r="E30" s="273">
        <v>2354639.9999999991</v>
      </c>
      <c r="G30" s="858" t="s">
        <v>731</v>
      </c>
      <c r="H30" s="840" t="s">
        <v>693</v>
      </c>
      <c r="I30" s="1339">
        <f t="shared" si="53"/>
        <v>648000</v>
      </c>
      <c r="J30" s="299">
        <v>649220.0000000007</v>
      </c>
      <c r="K30" s="1339">
        <f t="shared" si="54"/>
        <v>669600</v>
      </c>
      <c r="L30" s="299">
        <v>634170.00000000163</v>
      </c>
      <c r="M30" s="865">
        <f t="shared" si="1"/>
        <v>1317600</v>
      </c>
      <c r="N30" s="865">
        <f t="shared" si="1"/>
        <v>1283390.0000000023</v>
      </c>
      <c r="O30" s="1339">
        <f t="shared" si="55"/>
        <v>648000</v>
      </c>
      <c r="P30" s="299">
        <v>624429.99999999907</v>
      </c>
      <c r="Q30" s="1414">
        <f t="shared" si="66"/>
        <v>1965600</v>
      </c>
      <c r="R30" s="336">
        <f t="shared" si="67"/>
        <v>1907820.0000000014</v>
      </c>
      <c r="S30" s="1339">
        <f t="shared" si="56"/>
        <v>669600</v>
      </c>
      <c r="T30" s="299">
        <v>650400.00000000105</v>
      </c>
      <c r="U30" s="865">
        <f t="shared" si="4"/>
        <v>2635200</v>
      </c>
      <c r="V30" s="865">
        <f t="shared" si="5"/>
        <v>2558220.0000000023</v>
      </c>
      <c r="W30" s="1339">
        <f t="shared" si="57"/>
        <v>669600</v>
      </c>
      <c r="X30" s="299">
        <v>634049.99999999837</v>
      </c>
      <c r="Y30" s="865">
        <f t="shared" si="6"/>
        <v>3304800</v>
      </c>
      <c r="Z30" s="865">
        <f t="shared" si="7"/>
        <v>3192270.0000000009</v>
      </c>
      <c r="AA30" s="1339">
        <f t="shared" si="58"/>
        <v>648000</v>
      </c>
      <c r="AB30" s="299">
        <v>608530.00000000163</v>
      </c>
      <c r="AC30" s="1413">
        <f t="shared" si="51"/>
        <v>1987200</v>
      </c>
      <c r="AD30" s="336">
        <f t="shared" si="52"/>
        <v>1892980.0000000012</v>
      </c>
      <c r="AE30" s="866">
        <f t="shared" si="40"/>
        <v>3952800</v>
      </c>
      <c r="AF30" s="866">
        <f t="shared" si="41"/>
        <v>3800800.0000000028</v>
      </c>
      <c r="AG30" s="1339">
        <f t="shared" si="59"/>
        <v>669600</v>
      </c>
      <c r="AH30" s="299">
        <v>624680.00000000163</v>
      </c>
      <c r="AI30" s="865">
        <f t="shared" si="12"/>
        <v>4622400</v>
      </c>
      <c r="AJ30" s="865">
        <f t="shared" si="13"/>
        <v>4425480.0000000047</v>
      </c>
      <c r="AK30" s="1339">
        <f t="shared" si="60"/>
        <v>648000</v>
      </c>
      <c r="AL30" s="299">
        <v>587229.99999999907</v>
      </c>
      <c r="AM30" s="865">
        <f t="shared" si="14"/>
        <v>5270400</v>
      </c>
      <c r="AN30" s="865">
        <f t="shared" si="15"/>
        <v>5012710.0000000037</v>
      </c>
      <c r="AO30" s="1339">
        <f t="shared" si="61"/>
        <v>669600</v>
      </c>
      <c r="AP30" s="299">
        <v>594459.9999999986</v>
      </c>
      <c r="AQ30" s="1413">
        <f t="shared" si="42"/>
        <v>1987200</v>
      </c>
      <c r="AR30" s="336">
        <f t="shared" si="43"/>
        <v>1806369.9999999993</v>
      </c>
      <c r="AS30" s="865">
        <f t="shared" si="18"/>
        <v>5940000</v>
      </c>
      <c r="AT30" s="865">
        <f t="shared" si="19"/>
        <v>5607170.0000000019</v>
      </c>
      <c r="AU30" s="1339">
        <f t="shared" si="62"/>
        <v>669600</v>
      </c>
      <c r="AV30" s="299">
        <v>609220.00000000116</v>
      </c>
      <c r="AW30" s="865">
        <f t="shared" si="20"/>
        <v>6609600</v>
      </c>
      <c r="AX30" s="865">
        <f t="shared" si="21"/>
        <v>6216390.0000000028</v>
      </c>
      <c r="AY30" s="1339">
        <f t="shared" si="63"/>
        <v>604800</v>
      </c>
      <c r="AZ30" s="299">
        <v>538579.99999999988</v>
      </c>
      <c r="BA30" s="865">
        <f t="shared" si="22"/>
        <v>7214400</v>
      </c>
      <c r="BB30" s="865">
        <f t="shared" si="23"/>
        <v>6754970.0000000028</v>
      </c>
      <c r="BC30" s="1339">
        <f t="shared" si="64"/>
        <v>669600</v>
      </c>
      <c r="BD30" s="299">
        <v>637669.9999999986</v>
      </c>
      <c r="BE30" s="1413">
        <f t="shared" si="44"/>
        <v>1944000</v>
      </c>
      <c r="BF30" s="336">
        <f t="shared" si="45"/>
        <v>1785469.9999999995</v>
      </c>
      <c r="BG30" s="866">
        <f t="shared" si="65"/>
        <v>3931200</v>
      </c>
      <c r="BH30" s="866">
        <f t="shared" si="65"/>
        <v>3591839.9999999991</v>
      </c>
      <c r="BI30" s="865">
        <f t="shared" si="37"/>
        <v>7884000</v>
      </c>
      <c r="BJ30" s="865">
        <f t="shared" si="34"/>
        <v>7392640.0000000019</v>
      </c>
      <c r="BK30" s="1137"/>
      <c r="BL30" s="1137"/>
      <c r="BM30" s="1137"/>
      <c r="BN30" s="7068"/>
      <c r="BO30" s="7068"/>
      <c r="BP30" s="1137"/>
      <c r="BQ30" s="1137"/>
      <c r="BR30" s="25"/>
    </row>
    <row r="31" spans="1:70" x14ac:dyDescent="0.25">
      <c r="A31" s="253"/>
      <c r="B31" s="271"/>
      <c r="C31" s="12"/>
      <c r="D31" s="272"/>
      <c r="E31" s="273"/>
      <c r="G31" s="858" t="s">
        <v>732</v>
      </c>
      <c r="H31" s="840" t="s">
        <v>694</v>
      </c>
      <c r="I31" s="1339">
        <f t="shared" si="53"/>
        <v>1008000</v>
      </c>
      <c r="J31" s="299">
        <v>716599.9999999986</v>
      </c>
      <c r="K31" s="1339">
        <f t="shared" si="54"/>
        <v>1041599.9999999999</v>
      </c>
      <c r="L31" s="299">
        <v>631860.00000000675</v>
      </c>
      <c r="M31" s="865">
        <f t="shared" si="1"/>
        <v>2049600</v>
      </c>
      <c r="N31" s="865">
        <f t="shared" si="1"/>
        <v>1348460.0000000054</v>
      </c>
      <c r="O31" s="1339">
        <f t="shared" si="55"/>
        <v>1008000</v>
      </c>
      <c r="P31" s="299">
        <v>995819.9999999943</v>
      </c>
      <c r="Q31" s="1414">
        <f t="shared" si="66"/>
        <v>3057600</v>
      </c>
      <c r="R31" s="336">
        <f t="shared" si="67"/>
        <v>2344279.9999999995</v>
      </c>
      <c r="S31" s="1339">
        <f t="shared" si="56"/>
        <v>1041599.9999999999</v>
      </c>
      <c r="T31" s="299">
        <v>883790</v>
      </c>
      <c r="U31" s="865">
        <f t="shared" si="4"/>
        <v>4099200</v>
      </c>
      <c r="V31" s="865">
        <f t="shared" si="5"/>
        <v>3228069.9999999995</v>
      </c>
      <c r="W31" s="1339">
        <f t="shared" si="57"/>
        <v>1041599.9999999999</v>
      </c>
      <c r="X31" s="299">
        <v>885889.9999999986</v>
      </c>
      <c r="Y31" s="865">
        <f t="shared" si="6"/>
        <v>5140800</v>
      </c>
      <c r="Z31" s="865">
        <f t="shared" si="7"/>
        <v>4113959.9999999981</v>
      </c>
      <c r="AA31" s="1339">
        <f t="shared" si="58"/>
        <v>1008000</v>
      </c>
      <c r="AB31" s="299">
        <v>822450</v>
      </c>
      <c r="AC31" s="1413">
        <f t="shared" si="51"/>
        <v>3091200</v>
      </c>
      <c r="AD31" s="336">
        <f t="shared" si="52"/>
        <v>2592129.9999999986</v>
      </c>
      <c r="AE31" s="866">
        <f t="shared" si="40"/>
        <v>6148800</v>
      </c>
      <c r="AF31" s="866">
        <f t="shared" si="41"/>
        <v>4936409.9999999981</v>
      </c>
      <c r="AG31" s="1339">
        <f t="shared" si="59"/>
        <v>1041599.9999999999</v>
      </c>
      <c r="AH31" s="299">
        <v>883130.00000000396</v>
      </c>
      <c r="AI31" s="865">
        <f t="shared" si="12"/>
        <v>7190400</v>
      </c>
      <c r="AJ31" s="865">
        <f t="shared" si="13"/>
        <v>5819540.0000000019</v>
      </c>
      <c r="AK31" s="1339">
        <f t="shared" si="60"/>
        <v>1008000</v>
      </c>
      <c r="AL31" s="299">
        <v>632979.99999999593</v>
      </c>
      <c r="AM31" s="865">
        <f t="shared" si="14"/>
        <v>8198400</v>
      </c>
      <c r="AN31" s="865">
        <f t="shared" si="15"/>
        <v>6452519.9999999981</v>
      </c>
      <c r="AO31" s="1339">
        <f t="shared" si="61"/>
        <v>1041599.9999999999</v>
      </c>
      <c r="AP31" s="299">
        <v>660800.00000000291</v>
      </c>
      <c r="AQ31" s="1413">
        <f t="shared" si="42"/>
        <v>3091200</v>
      </c>
      <c r="AR31" s="336">
        <f t="shared" si="43"/>
        <v>2176910.0000000028</v>
      </c>
      <c r="AS31" s="865">
        <f t="shared" si="18"/>
        <v>9240000</v>
      </c>
      <c r="AT31" s="865">
        <f t="shared" si="19"/>
        <v>7113320.0000000009</v>
      </c>
      <c r="AU31" s="1339">
        <f t="shared" si="62"/>
        <v>1041599.9999999999</v>
      </c>
      <c r="AV31" s="299">
        <v>600099.9999999986</v>
      </c>
      <c r="AW31" s="865">
        <f t="shared" si="20"/>
        <v>10281600</v>
      </c>
      <c r="AX31" s="865">
        <f t="shared" si="21"/>
        <v>7713420</v>
      </c>
      <c r="AY31" s="1339">
        <f t="shared" si="63"/>
        <v>940800</v>
      </c>
      <c r="AZ31" s="299">
        <v>662199.99999999709</v>
      </c>
      <c r="BA31" s="865">
        <f t="shared" si="22"/>
        <v>11222400</v>
      </c>
      <c r="BB31" s="865">
        <f t="shared" si="23"/>
        <v>8375619.9999999972</v>
      </c>
      <c r="BC31" s="1339">
        <f t="shared" si="64"/>
        <v>1041599.9999999999</v>
      </c>
      <c r="BD31" s="299">
        <v>929300.00000000279</v>
      </c>
      <c r="BE31" s="1413">
        <f t="shared" si="44"/>
        <v>3024000</v>
      </c>
      <c r="BF31" s="336">
        <f t="shared" si="45"/>
        <v>2191599.9999999986</v>
      </c>
      <c r="BG31" s="866">
        <f t="shared" si="65"/>
        <v>6115200</v>
      </c>
      <c r="BH31" s="866">
        <f t="shared" si="65"/>
        <v>4368510.0000000019</v>
      </c>
      <c r="BI31" s="865">
        <f t="shared" si="37"/>
        <v>12264000</v>
      </c>
      <c r="BJ31" s="865">
        <f t="shared" si="34"/>
        <v>9304920</v>
      </c>
      <c r="BK31" s="1137"/>
      <c r="BL31" s="1137"/>
      <c r="BM31" s="1137"/>
      <c r="BN31" s="7068"/>
      <c r="BO31" s="7068"/>
      <c r="BP31" s="1137"/>
      <c r="BQ31" s="1137"/>
      <c r="BR31" s="25"/>
    </row>
    <row r="32" spans="1:70" x14ac:dyDescent="0.25">
      <c r="A32" s="253">
        <v>26</v>
      </c>
      <c r="B32" s="271" t="s">
        <v>733</v>
      </c>
      <c r="C32" s="12" t="s">
        <v>213</v>
      </c>
      <c r="D32" s="272">
        <v>1110620</v>
      </c>
      <c r="E32" s="273">
        <v>1155720.0000000005</v>
      </c>
      <c r="G32" s="858" t="s">
        <v>734</v>
      </c>
      <c r="H32" s="840" t="s">
        <v>695</v>
      </c>
      <c r="I32" s="1339">
        <f t="shared" si="53"/>
        <v>864000</v>
      </c>
      <c r="J32" s="299">
        <v>889988.69999999832</v>
      </c>
      <c r="K32" s="1339">
        <f t="shared" si="54"/>
        <v>892800</v>
      </c>
      <c r="L32" s="299">
        <v>890479.79999999888</v>
      </c>
      <c r="M32" s="865">
        <f t="shared" si="1"/>
        <v>1756800</v>
      </c>
      <c r="N32" s="865">
        <f t="shared" si="1"/>
        <v>1780468.4999999972</v>
      </c>
      <c r="O32" s="1339">
        <f t="shared" si="55"/>
        <v>864000</v>
      </c>
      <c r="P32" s="299">
        <v>871619.29999999958</v>
      </c>
      <c r="Q32" s="1414">
        <f t="shared" si="66"/>
        <v>2620800</v>
      </c>
      <c r="R32" s="336">
        <f t="shared" si="67"/>
        <v>2652087.799999997</v>
      </c>
      <c r="S32" s="1339">
        <f t="shared" si="56"/>
        <v>892800</v>
      </c>
      <c r="T32" s="299">
        <v>912657.09999999974</v>
      </c>
      <c r="U32" s="865">
        <f t="shared" si="4"/>
        <v>3513600</v>
      </c>
      <c r="V32" s="865">
        <f t="shared" si="5"/>
        <v>3564744.8999999966</v>
      </c>
      <c r="W32" s="1339">
        <f t="shared" si="57"/>
        <v>892800</v>
      </c>
      <c r="X32" s="299">
        <v>878829.5400000019</v>
      </c>
      <c r="Y32" s="865">
        <f t="shared" si="6"/>
        <v>4406400</v>
      </c>
      <c r="Z32" s="865">
        <f t="shared" si="7"/>
        <v>4443574.4399999985</v>
      </c>
      <c r="AA32" s="1339">
        <f t="shared" si="58"/>
        <v>864000</v>
      </c>
      <c r="AB32" s="299">
        <v>842375.31999999855</v>
      </c>
      <c r="AC32" s="1413">
        <f t="shared" si="51"/>
        <v>2649600</v>
      </c>
      <c r="AD32" s="336">
        <f t="shared" si="52"/>
        <v>2633861.96</v>
      </c>
      <c r="AE32" s="866">
        <f t="shared" si="40"/>
        <v>5270400</v>
      </c>
      <c r="AF32" s="866">
        <f t="shared" si="41"/>
        <v>5285949.759999997</v>
      </c>
      <c r="AG32" s="1339">
        <f t="shared" si="59"/>
        <v>892800</v>
      </c>
      <c r="AH32" s="299">
        <v>802589.2000000003</v>
      </c>
      <c r="AI32" s="865">
        <f t="shared" si="12"/>
        <v>6163200</v>
      </c>
      <c r="AJ32" s="865">
        <f t="shared" si="13"/>
        <v>6088538.9599999972</v>
      </c>
      <c r="AK32" s="1339">
        <f t="shared" si="60"/>
        <v>864000</v>
      </c>
      <c r="AL32" s="299">
        <v>902544.70000000007</v>
      </c>
      <c r="AM32" s="865">
        <f t="shared" si="14"/>
        <v>7027200</v>
      </c>
      <c r="AN32" s="865">
        <f t="shared" si="15"/>
        <v>6991083.6599999974</v>
      </c>
      <c r="AO32" s="1339">
        <f t="shared" si="61"/>
        <v>892800</v>
      </c>
      <c r="AP32" s="299">
        <v>794731.39999999991</v>
      </c>
      <c r="AQ32" s="1413">
        <f t="shared" si="42"/>
        <v>2649600</v>
      </c>
      <c r="AR32" s="336">
        <f t="shared" si="43"/>
        <v>2499865.3000000003</v>
      </c>
      <c r="AS32" s="865">
        <f t="shared" si="18"/>
        <v>7920000</v>
      </c>
      <c r="AT32" s="865">
        <f t="shared" si="19"/>
        <v>7785815.0599999968</v>
      </c>
      <c r="AU32" s="1339">
        <f t="shared" si="62"/>
        <v>892800</v>
      </c>
      <c r="AV32" s="299">
        <v>831758.10000000126</v>
      </c>
      <c r="AW32" s="865">
        <f t="shared" si="20"/>
        <v>8812800</v>
      </c>
      <c r="AX32" s="865">
        <f t="shared" si="21"/>
        <v>8617573.1599999983</v>
      </c>
      <c r="AY32" s="1339">
        <f t="shared" si="63"/>
        <v>806400.00000000012</v>
      </c>
      <c r="AZ32" s="299">
        <v>757649.70000000088</v>
      </c>
      <c r="BA32" s="865">
        <f t="shared" si="22"/>
        <v>9619200</v>
      </c>
      <c r="BB32" s="865">
        <f t="shared" si="23"/>
        <v>9375222.8599999994</v>
      </c>
      <c r="BC32" s="1339">
        <f t="shared" si="64"/>
        <v>892800</v>
      </c>
      <c r="BD32" s="299">
        <v>889984.29999999935</v>
      </c>
      <c r="BE32" s="1413">
        <f t="shared" si="44"/>
        <v>2592000</v>
      </c>
      <c r="BF32" s="336">
        <f t="shared" si="45"/>
        <v>2479392.1000000015</v>
      </c>
      <c r="BG32" s="866">
        <f t="shared" si="65"/>
        <v>5241600</v>
      </c>
      <c r="BH32" s="866">
        <f t="shared" si="65"/>
        <v>4979257.4000000022</v>
      </c>
      <c r="BI32" s="865">
        <f t="shared" si="37"/>
        <v>10512000</v>
      </c>
      <c r="BJ32" s="865">
        <f t="shared" si="34"/>
        <v>10265207.159999998</v>
      </c>
      <c r="BK32" s="1137"/>
      <c r="BL32" s="1137"/>
      <c r="BM32" s="1137"/>
      <c r="BN32" s="7068"/>
      <c r="BO32" s="7068"/>
      <c r="BP32" s="1137"/>
      <c r="BQ32" s="1137"/>
      <c r="BR32" s="25"/>
    </row>
    <row r="33" spans="1:69" s="139" customFormat="1" x14ac:dyDescent="0.25">
      <c r="G33" s="144"/>
      <c r="H33" s="144"/>
      <c r="I33" s="1343"/>
      <c r="K33" s="1343"/>
      <c r="M33" s="144"/>
      <c r="N33" s="1242"/>
      <c r="O33" s="1343"/>
      <c r="S33" s="1343"/>
      <c r="U33" s="144"/>
      <c r="V33" s="144"/>
      <c r="W33" s="1343"/>
      <c r="Y33" s="144"/>
      <c r="Z33" s="144"/>
      <c r="AA33" s="1343"/>
      <c r="AE33" s="144"/>
      <c r="AF33" s="144"/>
      <c r="AG33" s="1343"/>
      <c r="AI33" s="144"/>
      <c r="AJ33" s="144"/>
      <c r="AK33" s="1343"/>
      <c r="AM33" s="144"/>
      <c r="AN33" s="144"/>
      <c r="AO33" s="1343"/>
      <c r="AS33" s="144"/>
      <c r="AT33" s="144"/>
      <c r="AU33" s="1343"/>
      <c r="AW33" s="144"/>
      <c r="AX33" s="144"/>
      <c r="AY33" s="1343"/>
      <c r="BA33" s="144"/>
      <c r="BB33" s="144"/>
      <c r="BC33" s="1343"/>
      <c r="BG33" s="144"/>
      <c r="BH33" s="144"/>
      <c r="BI33" s="144"/>
      <c r="BJ33" s="144"/>
      <c r="BK33" s="1137"/>
      <c r="BL33" s="1137"/>
      <c r="BM33" s="1137"/>
      <c r="BN33" s="7068"/>
      <c r="BO33" s="7068"/>
      <c r="BP33" s="1137"/>
      <c r="BQ33" s="1137"/>
    </row>
    <row r="34" spans="1:69" ht="15.75" x14ac:dyDescent="0.25">
      <c r="A34" s="253">
        <v>27</v>
      </c>
      <c r="B34" s="271" t="s">
        <v>693</v>
      </c>
      <c r="C34" s="12" t="s">
        <v>213</v>
      </c>
      <c r="D34" s="272">
        <v>454899.99999999919</v>
      </c>
      <c r="E34" s="273">
        <v>444510.0000000007</v>
      </c>
      <c r="G34" s="868" t="s">
        <v>735</v>
      </c>
      <c r="H34" s="1335" t="s">
        <v>696</v>
      </c>
      <c r="I34" s="1342">
        <f>SUM(I35:I38)</f>
        <v>1706459.52</v>
      </c>
      <c r="J34" s="302">
        <f>SUM(J35:J38)</f>
        <v>1483438.2933333339</v>
      </c>
      <c r="K34" s="1342">
        <f>SUM(K35:K38)</f>
        <v>1876035.68</v>
      </c>
      <c r="L34" s="302">
        <f>SUM(L35:L38)</f>
        <v>1688087.5574333337</v>
      </c>
      <c r="M34" s="869">
        <f t="shared" si="1"/>
        <v>3582495.2</v>
      </c>
      <c r="N34" s="869">
        <f t="shared" si="1"/>
        <v>3171525.8507666676</v>
      </c>
      <c r="O34" s="1342">
        <f>SUM(O35:O38)</f>
        <v>1766395.2</v>
      </c>
      <c r="P34" s="302">
        <f>SUM(P35:P38)</f>
        <v>1594616.1133333324</v>
      </c>
      <c r="Q34" s="1417">
        <f t="shared" si="35"/>
        <v>5348890.4000000004</v>
      </c>
      <c r="R34" s="1418">
        <f t="shared" si="36"/>
        <v>4766141.9640999995</v>
      </c>
      <c r="S34" s="1342">
        <f>SUM(S35:S38)</f>
        <v>1825275.04</v>
      </c>
      <c r="T34" s="302">
        <f>SUM(T35:T38)</f>
        <v>1616898.4886666664</v>
      </c>
      <c r="U34" s="869">
        <f t="shared" ref="U34:U46" si="68">+Q34+S34</f>
        <v>7174165.4400000004</v>
      </c>
      <c r="V34" s="869">
        <f t="shared" ref="V34:V46" si="69">+R34+T34</f>
        <v>6383040.4527666662</v>
      </c>
      <c r="W34" s="1342">
        <f>SUM(W35:W38)</f>
        <v>1825275.04</v>
      </c>
      <c r="X34" s="302">
        <f>SUM(X35:X38)</f>
        <v>1566489.9873333345</v>
      </c>
      <c r="Y34" s="869">
        <f t="shared" ref="Y34:Y46" si="70">+U34+W34</f>
        <v>8999440.4800000004</v>
      </c>
      <c r="Z34" s="869">
        <f t="shared" ref="Z34:Z46" si="71">+V34+X34</f>
        <v>7949530.4401000012</v>
      </c>
      <c r="AA34" s="1342">
        <f>SUM(AA35:AA38)</f>
        <v>1743061.68</v>
      </c>
      <c r="AB34" s="302">
        <f>SUM(AB35:AB38)</f>
        <v>1578104.6916666662</v>
      </c>
      <c r="AC34" s="1417">
        <f>S34+W34+AA34</f>
        <v>5393611.7599999998</v>
      </c>
      <c r="AD34" s="1418">
        <f>T34+X34+AB34</f>
        <v>4761493.1676666671</v>
      </c>
      <c r="AE34" s="870">
        <f t="shared" ref="AE34:AE46" si="72">Q34+AC34</f>
        <v>10742502.16</v>
      </c>
      <c r="AF34" s="870">
        <f t="shared" ref="AF34:AF46" si="73">R34+AD34</f>
        <v>9527635.1317666657</v>
      </c>
      <c r="AG34" s="1342">
        <f>SUM(AG35:AG38)</f>
        <v>1825275.04</v>
      </c>
      <c r="AH34" s="302">
        <f>SUM(AH35:AH38)</f>
        <v>1584249.4776666653</v>
      </c>
      <c r="AI34" s="869">
        <f t="shared" ref="AI34:AI46" si="74">+AE34+AG34</f>
        <v>12567777.199999999</v>
      </c>
      <c r="AJ34" s="869">
        <f t="shared" ref="AJ34:AJ46" si="75">+AF34+AH34</f>
        <v>11111884.609433331</v>
      </c>
      <c r="AK34" s="1342">
        <f>SUM(AK35:AK38)</f>
        <v>1766395.2</v>
      </c>
      <c r="AL34" s="302">
        <f>SUM(AL35:AL38)</f>
        <v>1591921.0573333341</v>
      </c>
      <c r="AM34" s="869">
        <f t="shared" ref="AM34:AM46" si="76">+AI34+AK34</f>
        <v>14334172.399999999</v>
      </c>
      <c r="AN34" s="869">
        <f t="shared" ref="AN34:AN46" si="77">+AJ34+AL34</f>
        <v>12703805.666766664</v>
      </c>
      <c r="AO34" s="1342">
        <f>SUM(AO35:AO38)</f>
        <v>1825275.04</v>
      </c>
      <c r="AP34" s="302">
        <f>SUM(AP35:AP38)</f>
        <v>1574906.227</v>
      </c>
      <c r="AQ34" s="1417">
        <f>AG34+AK34+AO34</f>
        <v>5416945.2800000003</v>
      </c>
      <c r="AR34" s="1418">
        <f>AH34+AL34+AP34</f>
        <v>4751076.7619999992</v>
      </c>
      <c r="AS34" s="869">
        <f t="shared" ref="AS34:AS46" si="78">+AM34+AO34</f>
        <v>16159447.439999998</v>
      </c>
      <c r="AT34" s="869">
        <f t="shared" ref="AT34:AT46" si="79">+AN34+AP34</f>
        <v>14278711.893766664</v>
      </c>
      <c r="AU34" s="1342">
        <f>SUM(AU35:AU38)</f>
        <v>1825275.04</v>
      </c>
      <c r="AV34" s="302">
        <f>SUM(AV35:AV38)</f>
        <v>1583990.7270000009</v>
      </c>
      <c r="AW34" s="869">
        <f t="shared" ref="AW34:AW46" si="80">+AS34+AU34</f>
        <v>17984722.479999997</v>
      </c>
      <c r="AX34" s="869">
        <f t="shared" ref="AX34:AX46" si="81">+AT34+AV34</f>
        <v>15862702.620766666</v>
      </c>
      <c r="AY34" s="1342">
        <f>SUM(AY35:AY38)</f>
        <v>1648635.52</v>
      </c>
      <c r="AZ34" s="302">
        <f>SUM(AZ35:AZ38)</f>
        <v>1300859.2160000007</v>
      </c>
      <c r="BA34" s="869">
        <f t="shared" ref="BA34:BA46" si="82">+AW34+AY34</f>
        <v>19633357.999999996</v>
      </c>
      <c r="BB34" s="869">
        <f t="shared" ref="BB34:BB46" si="83">+AX34+AZ34</f>
        <v>17163561.836766668</v>
      </c>
      <c r="BC34" s="1342">
        <f>SUM(BC35:BC38)</f>
        <v>1825275.04</v>
      </c>
      <c r="BD34" s="302">
        <f>SUM(BD35:BD38)</f>
        <v>1443060.7233333318</v>
      </c>
      <c r="BE34" s="1417">
        <f>AU34+AY34+BC34</f>
        <v>5299185.5999999996</v>
      </c>
      <c r="BF34" s="1418">
        <f>AV34+AZ34+BD34</f>
        <v>4327910.6663333336</v>
      </c>
      <c r="BG34" s="864">
        <f>AQ34+BE34</f>
        <v>10716130.879999999</v>
      </c>
      <c r="BH34" s="864">
        <f>AR34+BF34</f>
        <v>9078987.4283333328</v>
      </c>
      <c r="BI34" s="869">
        <f t="shared" ref="BI34:BI46" si="84">+BA34+BC34</f>
        <v>21458633.039999995</v>
      </c>
      <c r="BJ34" s="869">
        <f t="shared" ref="BJ34:BJ46" si="85">+BB34+BD34</f>
        <v>18606622.5601</v>
      </c>
      <c r="BK34" s="1137"/>
      <c r="BL34" s="1137"/>
      <c r="BM34" s="1137"/>
      <c r="BN34" s="7068"/>
      <c r="BO34" s="7068"/>
      <c r="BP34" s="1137"/>
      <c r="BQ34" s="1137"/>
    </row>
    <row r="35" spans="1:69" x14ac:dyDescent="0.25">
      <c r="A35" s="253">
        <v>28</v>
      </c>
      <c r="B35" s="283" t="s">
        <v>698</v>
      </c>
      <c r="C35" s="12" t="s">
        <v>213</v>
      </c>
      <c r="D35" s="272">
        <v>644972.74900000007</v>
      </c>
      <c r="E35" s="273">
        <v>646895.54300000006</v>
      </c>
      <c r="G35" s="858" t="s">
        <v>736</v>
      </c>
      <c r="H35" s="840" t="s">
        <v>697</v>
      </c>
      <c r="I35" s="1340">
        <f>+I83*I$3*24*1000</f>
        <v>1144859.52</v>
      </c>
      <c r="J35" s="299">
        <v>1090654.0000000007</v>
      </c>
      <c r="K35" s="1340">
        <f>+K83*K$3*24*1000</f>
        <v>1243635.68</v>
      </c>
      <c r="L35" s="299">
        <v>1231879.1000000001</v>
      </c>
      <c r="M35" s="865">
        <f t="shared" si="1"/>
        <v>2388495.2000000002</v>
      </c>
      <c r="N35" s="865">
        <f t="shared" si="1"/>
        <v>2322533.1000000006</v>
      </c>
      <c r="O35" s="1340">
        <f>+O83*O$3*24*1000</f>
        <v>1154395.2</v>
      </c>
      <c r="P35" s="299">
        <v>1198690</v>
      </c>
      <c r="Q35" s="1414">
        <f t="shared" si="35"/>
        <v>3542890.4000000004</v>
      </c>
      <c r="R35" s="336">
        <f t="shared" si="36"/>
        <v>3521223.1000000006</v>
      </c>
      <c r="S35" s="1340">
        <f>+S83*S$3*24*1000</f>
        <v>1192875.04</v>
      </c>
      <c r="T35" s="299">
        <v>1201692</v>
      </c>
      <c r="U35" s="865">
        <f t="shared" si="68"/>
        <v>4735765.4400000004</v>
      </c>
      <c r="V35" s="865">
        <f t="shared" si="69"/>
        <v>4722915.1000000006</v>
      </c>
      <c r="W35" s="1340">
        <f>+W83*W$3*24*1000</f>
        <v>1192875.04</v>
      </c>
      <c r="X35" s="299">
        <v>1172043</v>
      </c>
      <c r="Y35" s="865">
        <f t="shared" si="70"/>
        <v>5928640.4800000004</v>
      </c>
      <c r="Z35" s="865">
        <f t="shared" si="71"/>
        <v>5894958.1000000006</v>
      </c>
      <c r="AA35" s="1340">
        <f>+AA83*AA$3*24*1000</f>
        <v>1131061.68</v>
      </c>
      <c r="AB35" s="299">
        <v>1117056.9999999995</v>
      </c>
      <c r="AC35" s="1414">
        <f t="shared" ref="AC35:AC46" si="86">S35+W35+AA35</f>
        <v>3516811.76</v>
      </c>
      <c r="AD35" s="336">
        <f t="shared" ref="AD35:AD46" si="87">T35+X35+AB35</f>
        <v>3490791.9999999995</v>
      </c>
      <c r="AE35" s="866">
        <f t="shared" si="72"/>
        <v>7059702.1600000001</v>
      </c>
      <c r="AF35" s="866">
        <f t="shared" si="73"/>
        <v>7012015.0999999996</v>
      </c>
      <c r="AG35" s="1340">
        <f>+AG83*AG$3*24*1000</f>
        <v>1192875.04</v>
      </c>
      <c r="AH35" s="299">
        <v>1136315.9999999995</v>
      </c>
      <c r="AI35" s="865">
        <f t="shared" si="74"/>
        <v>8252577.2000000002</v>
      </c>
      <c r="AJ35" s="865">
        <f t="shared" si="75"/>
        <v>8148331.0999999996</v>
      </c>
      <c r="AK35" s="1340">
        <f>+AK83*AK$3*24*1000</f>
        <v>1154395.2</v>
      </c>
      <c r="AL35" s="299">
        <v>1129714.0000000007</v>
      </c>
      <c r="AM35" s="865">
        <f t="shared" si="76"/>
        <v>9406972.4000000004</v>
      </c>
      <c r="AN35" s="865">
        <f t="shared" si="77"/>
        <v>9278045.0999999996</v>
      </c>
      <c r="AO35" s="1340">
        <f>+AO83*AO$3*24*1000</f>
        <v>1192875.04</v>
      </c>
      <c r="AP35" s="299">
        <v>1098775.9999999995</v>
      </c>
      <c r="AQ35" s="1414">
        <f t="shared" ref="AQ35:AQ41" si="88">AG35+AK35+AO35</f>
        <v>3540145.2800000003</v>
      </c>
      <c r="AR35" s="336">
        <f t="shared" ref="AR35:AR41" si="89">AH35+AL35+AP35</f>
        <v>3364805.9999999995</v>
      </c>
      <c r="AS35" s="865">
        <f t="shared" si="78"/>
        <v>10599847.440000001</v>
      </c>
      <c r="AT35" s="865">
        <f t="shared" si="79"/>
        <v>10376821.1</v>
      </c>
      <c r="AU35" s="1340">
        <f>+AU83*AU$3*24*1000</f>
        <v>1192875.04</v>
      </c>
      <c r="AV35" s="299">
        <v>1079565.9999999998</v>
      </c>
      <c r="AW35" s="865">
        <f t="shared" si="80"/>
        <v>11792722.48</v>
      </c>
      <c r="AX35" s="865">
        <f t="shared" si="81"/>
        <v>11456387.1</v>
      </c>
      <c r="AY35" s="1340">
        <f>+AY83*AY$3*24*1000</f>
        <v>1077435.52</v>
      </c>
      <c r="AZ35" s="299">
        <v>916298.00000000081</v>
      </c>
      <c r="BA35" s="865">
        <f t="shared" si="82"/>
        <v>12870158</v>
      </c>
      <c r="BB35" s="865">
        <f t="shared" si="83"/>
        <v>12372685.1</v>
      </c>
      <c r="BC35" s="1340">
        <f>+BC83*BC$3*24*1000</f>
        <v>1192875.04</v>
      </c>
      <c r="BD35" s="299">
        <v>1084823.9999999988</v>
      </c>
      <c r="BE35" s="1414">
        <f t="shared" ref="BE35:BE41" si="90">AU35+AY35+BC35</f>
        <v>3463185.6</v>
      </c>
      <c r="BF35" s="336">
        <f t="shared" ref="BF35:BF41" si="91">AV35+AZ35+BD35</f>
        <v>3080687.9999999991</v>
      </c>
      <c r="BG35" s="866">
        <f t="shared" ref="BG35:BG38" si="92">AQ35+BE35</f>
        <v>7003330.8800000008</v>
      </c>
      <c r="BH35" s="866">
        <f t="shared" ref="BH35:BH38" si="93">AR35+BF35</f>
        <v>6445493.9999999981</v>
      </c>
      <c r="BI35" s="865">
        <f t="shared" si="84"/>
        <v>14063033.039999999</v>
      </c>
      <c r="BJ35" s="865">
        <f t="shared" si="85"/>
        <v>13457509.099999998</v>
      </c>
      <c r="BK35" s="1137"/>
      <c r="BL35" s="1137"/>
      <c r="BM35" s="1137"/>
      <c r="BN35" s="7068"/>
      <c r="BO35" s="7068"/>
      <c r="BP35" s="1137"/>
      <c r="BQ35" s="1137"/>
    </row>
    <row r="36" spans="1:69" x14ac:dyDescent="0.25">
      <c r="A36" s="253">
        <v>29</v>
      </c>
      <c r="B36" s="283" t="s">
        <v>699</v>
      </c>
      <c r="C36" s="12" t="s">
        <v>213</v>
      </c>
      <c r="D36" s="272">
        <v>187023.60760000031</v>
      </c>
      <c r="E36" s="273">
        <v>184126.8434000003</v>
      </c>
      <c r="G36" s="858" t="s">
        <v>737</v>
      </c>
      <c r="H36" s="840" t="s">
        <v>698</v>
      </c>
      <c r="I36" s="1340">
        <f>+I84*I$3*24*1000</f>
        <v>288000</v>
      </c>
      <c r="J36" s="299">
        <v>170333.33333333279</v>
      </c>
      <c r="K36" s="1340">
        <f>+K84*K$3*24*1000</f>
        <v>372000</v>
      </c>
      <c r="L36" s="299">
        <v>219653.33333333299</v>
      </c>
      <c r="M36" s="865">
        <f t="shared" si="1"/>
        <v>660000</v>
      </c>
      <c r="N36" s="865">
        <f t="shared" si="1"/>
        <v>389986.66666666581</v>
      </c>
      <c r="O36" s="1340">
        <f>+O84*O$3*24*1000</f>
        <v>360000</v>
      </c>
      <c r="P36" s="299">
        <v>226562.33333333299</v>
      </c>
      <c r="Q36" s="1414">
        <f t="shared" si="35"/>
        <v>1020000</v>
      </c>
      <c r="R36" s="336">
        <f t="shared" si="36"/>
        <v>616548.99999999884</v>
      </c>
      <c r="S36" s="1340">
        <f>+S84*S$3*24*1000</f>
        <v>372000</v>
      </c>
      <c r="T36" s="299">
        <v>243511.66666666663</v>
      </c>
      <c r="U36" s="865">
        <f t="shared" si="68"/>
        <v>1392000</v>
      </c>
      <c r="V36" s="865">
        <f t="shared" si="69"/>
        <v>860060.66666666546</v>
      </c>
      <c r="W36" s="1340">
        <f>+W84*W$3*24*1000</f>
        <v>372000</v>
      </c>
      <c r="X36" s="299">
        <v>230576.33333333401</v>
      </c>
      <c r="Y36" s="865">
        <f t="shared" si="70"/>
        <v>1764000</v>
      </c>
      <c r="Z36" s="865">
        <f t="shared" si="71"/>
        <v>1090636.9999999995</v>
      </c>
      <c r="AA36" s="1340">
        <f>+AA84*AA$3*24*1000</f>
        <v>360000</v>
      </c>
      <c r="AB36" s="299">
        <v>266296.26666666672</v>
      </c>
      <c r="AC36" s="1414">
        <f t="shared" si="86"/>
        <v>1104000</v>
      </c>
      <c r="AD36" s="336">
        <f t="shared" si="87"/>
        <v>740384.2666666673</v>
      </c>
      <c r="AE36" s="866">
        <f t="shared" si="72"/>
        <v>2124000</v>
      </c>
      <c r="AF36" s="866">
        <f t="shared" si="73"/>
        <v>1356933.2666666661</v>
      </c>
      <c r="AG36" s="1340">
        <f>+AG84*AG$3*24*1000</f>
        <v>372000</v>
      </c>
      <c r="AH36" s="299">
        <v>272108.6666666664</v>
      </c>
      <c r="AI36" s="865">
        <f t="shared" si="74"/>
        <v>2496000</v>
      </c>
      <c r="AJ36" s="865">
        <f t="shared" si="75"/>
        <v>1629041.9333333327</v>
      </c>
      <c r="AK36" s="1340">
        <f>+AK84*AK$3*24*1000</f>
        <v>360000</v>
      </c>
      <c r="AL36" s="299">
        <v>243552.33333333296</v>
      </c>
      <c r="AM36" s="865">
        <f t="shared" si="76"/>
        <v>2856000</v>
      </c>
      <c r="AN36" s="865">
        <f t="shared" si="77"/>
        <v>1872594.2666666657</v>
      </c>
      <c r="AO36" s="1340">
        <f>+AO84*AO$3*24*1000</f>
        <v>372000</v>
      </c>
      <c r="AP36" s="299">
        <v>247903.99999999994</v>
      </c>
      <c r="AQ36" s="1414">
        <f t="shared" si="88"/>
        <v>1104000</v>
      </c>
      <c r="AR36" s="336">
        <f t="shared" si="89"/>
        <v>763564.9999999993</v>
      </c>
      <c r="AS36" s="865">
        <f t="shared" si="78"/>
        <v>3228000</v>
      </c>
      <c r="AT36" s="865">
        <f t="shared" si="79"/>
        <v>2120498.2666666657</v>
      </c>
      <c r="AU36" s="1340">
        <f>+AU84*AU$3*24*1000</f>
        <v>372000</v>
      </c>
      <c r="AV36" s="299">
        <v>245725.00000000023</v>
      </c>
      <c r="AW36" s="865">
        <f t="shared" si="80"/>
        <v>3600000</v>
      </c>
      <c r="AX36" s="865">
        <f t="shared" si="81"/>
        <v>2366223.2666666657</v>
      </c>
      <c r="AY36" s="1340">
        <f>+AY84*AY$3*24*1000</f>
        <v>336000</v>
      </c>
      <c r="AZ36" s="299">
        <v>224869.00000000012</v>
      </c>
      <c r="BA36" s="865">
        <f t="shared" si="82"/>
        <v>3936000</v>
      </c>
      <c r="BB36" s="865">
        <f t="shared" si="83"/>
        <v>2591092.2666666657</v>
      </c>
      <c r="BC36" s="1340">
        <f>+BC84*BC$3*24*1000</f>
        <v>372000</v>
      </c>
      <c r="BD36" s="299">
        <v>176478.33333333343</v>
      </c>
      <c r="BE36" s="1414">
        <f t="shared" si="90"/>
        <v>1080000</v>
      </c>
      <c r="BF36" s="336">
        <f t="shared" si="91"/>
        <v>647072.33333333372</v>
      </c>
      <c r="BG36" s="866">
        <f t="shared" si="92"/>
        <v>2184000</v>
      </c>
      <c r="BH36" s="866">
        <f t="shared" si="93"/>
        <v>1410637.333333333</v>
      </c>
      <c r="BI36" s="865">
        <f t="shared" si="84"/>
        <v>4308000</v>
      </c>
      <c r="BJ36" s="865">
        <f t="shared" si="85"/>
        <v>2767570.5999999992</v>
      </c>
      <c r="BK36" s="1137"/>
      <c r="BL36" s="1137"/>
      <c r="BM36" s="1137"/>
      <c r="BN36" s="7068"/>
      <c r="BO36" s="7068"/>
      <c r="BP36" s="1137"/>
      <c r="BQ36" s="1137"/>
    </row>
    <row r="37" spans="1:69" x14ac:dyDescent="0.25">
      <c r="A37" s="253">
        <v>30</v>
      </c>
      <c r="B37" s="283" t="s">
        <v>705</v>
      </c>
      <c r="C37" s="12" t="s">
        <v>213</v>
      </c>
      <c r="D37" s="272">
        <v>339821.83539999893</v>
      </c>
      <c r="E37" s="273">
        <v>349899.85260000126</v>
      </c>
      <c r="G37" s="858" t="s">
        <v>738</v>
      </c>
      <c r="H37" s="840" t="s">
        <v>699</v>
      </c>
      <c r="I37" s="1339">
        <f>+I85*I$3*24*1000</f>
        <v>108000</v>
      </c>
      <c r="J37" s="299">
        <v>40213.96000000013</v>
      </c>
      <c r="K37" s="1339">
        <f>+K85*K$3*24*1000</f>
        <v>148800</v>
      </c>
      <c r="L37" s="299">
        <v>99623.124100000001</v>
      </c>
      <c r="M37" s="865">
        <f t="shared" si="1"/>
        <v>256800</v>
      </c>
      <c r="N37" s="865">
        <f t="shared" si="1"/>
        <v>139837.08410000012</v>
      </c>
      <c r="O37" s="1339">
        <f>+O85*O$3*24*1000</f>
        <v>144000</v>
      </c>
      <c r="P37" s="299">
        <v>84885.98</v>
      </c>
      <c r="Q37" s="1413">
        <f t="shared" si="35"/>
        <v>400800</v>
      </c>
      <c r="R37" s="336">
        <f t="shared" si="36"/>
        <v>224723.06410000013</v>
      </c>
      <c r="S37" s="1339">
        <f>+S85*S$3*24*1000</f>
        <v>148800</v>
      </c>
      <c r="T37" s="299">
        <v>81425.221999999747</v>
      </c>
      <c r="U37" s="865">
        <f t="shared" si="68"/>
        <v>549600</v>
      </c>
      <c r="V37" s="865">
        <f t="shared" si="69"/>
        <v>306148.28609999991</v>
      </c>
      <c r="W37" s="1339">
        <f>+W85*W$3*24*1000</f>
        <v>148800</v>
      </c>
      <c r="X37" s="299">
        <v>98515.254000000001</v>
      </c>
      <c r="Y37" s="865">
        <f t="shared" si="70"/>
        <v>698400</v>
      </c>
      <c r="Z37" s="865">
        <f t="shared" si="71"/>
        <v>404663.54009999993</v>
      </c>
      <c r="AA37" s="1339">
        <f>+AA85*AA$3*24*1000</f>
        <v>144000</v>
      </c>
      <c r="AB37" s="299">
        <v>100176.22500000021</v>
      </c>
      <c r="AC37" s="1413">
        <f t="shared" si="86"/>
        <v>441600</v>
      </c>
      <c r="AD37" s="336">
        <f t="shared" si="87"/>
        <v>280116.70099999994</v>
      </c>
      <c r="AE37" s="866">
        <f t="shared" si="72"/>
        <v>842400</v>
      </c>
      <c r="AF37" s="866">
        <f t="shared" si="73"/>
        <v>504839.76510000008</v>
      </c>
      <c r="AG37" s="1339">
        <f>+AG85*AG$3*24*1000</f>
        <v>148800</v>
      </c>
      <c r="AH37" s="299">
        <v>93263.610999999801</v>
      </c>
      <c r="AI37" s="865">
        <f t="shared" si="74"/>
        <v>991200</v>
      </c>
      <c r="AJ37" s="865">
        <f t="shared" si="75"/>
        <v>598103.37609999988</v>
      </c>
      <c r="AK37" s="1339">
        <f>+AK85*AK$3*24*1000</f>
        <v>144000</v>
      </c>
      <c r="AL37" s="299">
        <v>70023.124000000229</v>
      </c>
      <c r="AM37" s="865">
        <f t="shared" si="76"/>
        <v>1135200</v>
      </c>
      <c r="AN37" s="865">
        <f t="shared" si="77"/>
        <v>668126.50010000006</v>
      </c>
      <c r="AO37" s="1339">
        <f>+AO85*AO$3*24*1000</f>
        <v>148800</v>
      </c>
      <c r="AP37" s="299">
        <v>77297.226999999708</v>
      </c>
      <c r="AQ37" s="1413">
        <f t="shared" si="88"/>
        <v>441600</v>
      </c>
      <c r="AR37" s="336">
        <f t="shared" si="89"/>
        <v>240583.96199999977</v>
      </c>
      <c r="AS37" s="865">
        <f t="shared" si="78"/>
        <v>1284000</v>
      </c>
      <c r="AT37" s="865">
        <f t="shared" si="79"/>
        <v>745423.72709999979</v>
      </c>
      <c r="AU37" s="1339">
        <f>+AU85*AU$3*24*1000</f>
        <v>148800</v>
      </c>
      <c r="AV37" s="299">
        <v>72170.52700000022</v>
      </c>
      <c r="AW37" s="865">
        <f t="shared" si="80"/>
        <v>1432800</v>
      </c>
      <c r="AX37" s="865">
        <f t="shared" si="81"/>
        <v>817594.25410000002</v>
      </c>
      <c r="AY37" s="1339">
        <f>+AY85*AY$3*24*1000</f>
        <v>134400</v>
      </c>
      <c r="AZ37" s="299">
        <v>55202.015999999996</v>
      </c>
      <c r="BA37" s="865">
        <f t="shared" si="82"/>
        <v>1567200</v>
      </c>
      <c r="BB37" s="865">
        <f t="shared" si="83"/>
        <v>872796.27009999997</v>
      </c>
      <c r="BC37" s="1339">
        <f>+BC85*BC$3*24*1000</f>
        <v>148800</v>
      </c>
      <c r="BD37" s="299">
        <v>55980.589999999866</v>
      </c>
      <c r="BE37" s="1413">
        <f t="shared" si="90"/>
        <v>432000</v>
      </c>
      <c r="BF37" s="336">
        <f t="shared" si="91"/>
        <v>183353.13300000009</v>
      </c>
      <c r="BG37" s="866">
        <f t="shared" si="92"/>
        <v>873600</v>
      </c>
      <c r="BH37" s="866">
        <f t="shared" si="93"/>
        <v>423937.09499999986</v>
      </c>
      <c r="BI37" s="865">
        <f t="shared" si="84"/>
        <v>1716000</v>
      </c>
      <c r="BJ37" s="865">
        <f t="shared" si="85"/>
        <v>928776.86009999982</v>
      </c>
      <c r="BK37" s="1137"/>
      <c r="BL37" s="1137"/>
      <c r="BM37" s="1137"/>
      <c r="BN37" s="7068"/>
      <c r="BO37" s="7068"/>
      <c r="BP37" s="1137"/>
      <c r="BQ37" s="1137"/>
    </row>
    <row r="38" spans="1:69" x14ac:dyDescent="0.25">
      <c r="A38" s="253"/>
      <c r="B38" s="283"/>
      <c r="C38" s="13"/>
      <c r="D38" s="272"/>
      <c r="E38" s="273"/>
      <c r="G38" s="858" t="s">
        <v>738</v>
      </c>
      <c r="H38" s="840" t="s">
        <v>700</v>
      </c>
      <c r="I38" s="1339">
        <f>+I86*I$3*24*1000</f>
        <v>165600.00000000003</v>
      </c>
      <c r="J38" s="299">
        <v>182237.00000000023</v>
      </c>
      <c r="K38" s="1339">
        <f>+K86*K$3*24*1000</f>
        <v>111600</v>
      </c>
      <c r="L38" s="299">
        <v>136932.00000000061</v>
      </c>
      <c r="M38" s="865">
        <f t="shared" si="1"/>
        <v>277200</v>
      </c>
      <c r="N38" s="865">
        <f t="shared" si="1"/>
        <v>319169.00000000081</v>
      </c>
      <c r="O38" s="1339">
        <f>+O86*O$3*24*1000</f>
        <v>108000</v>
      </c>
      <c r="P38" s="299">
        <v>84477.799999999406</v>
      </c>
      <c r="Q38" s="1413">
        <f t="shared" si="35"/>
        <v>385200</v>
      </c>
      <c r="R38" s="336">
        <f t="shared" si="36"/>
        <v>403646.80000000022</v>
      </c>
      <c r="S38" s="1339">
        <f>+S86*S$3*24*1000</f>
        <v>111600</v>
      </c>
      <c r="T38" s="299">
        <v>90269.6</v>
      </c>
      <c r="U38" s="865">
        <f t="shared" si="68"/>
        <v>496800</v>
      </c>
      <c r="V38" s="865">
        <f t="shared" si="69"/>
        <v>493916.40000000026</v>
      </c>
      <c r="W38" s="1339">
        <f>+W86*W$3*24*1000</f>
        <v>111600</v>
      </c>
      <c r="X38" s="299">
        <v>65355.400000000584</v>
      </c>
      <c r="Y38" s="865">
        <f t="shared" si="70"/>
        <v>608400</v>
      </c>
      <c r="Z38" s="865">
        <f t="shared" si="71"/>
        <v>559271.80000000086</v>
      </c>
      <c r="AA38" s="1339">
        <f>+AA86*AA$3*24*1000</f>
        <v>108000</v>
      </c>
      <c r="AB38" s="299">
        <v>94575.200000000012</v>
      </c>
      <c r="AC38" s="1413">
        <f t="shared" si="86"/>
        <v>331200</v>
      </c>
      <c r="AD38" s="336">
        <f t="shared" si="87"/>
        <v>250200.20000000059</v>
      </c>
      <c r="AE38" s="866">
        <f t="shared" si="72"/>
        <v>716400</v>
      </c>
      <c r="AF38" s="866">
        <f t="shared" si="73"/>
        <v>653847.00000000081</v>
      </c>
      <c r="AG38" s="1339">
        <f>+AG86*AG$3*24*1000</f>
        <v>111600</v>
      </c>
      <c r="AH38" s="299">
        <v>82561.19999999943</v>
      </c>
      <c r="AI38" s="865">
        <f t="shared" si="74"/>
        <v>828000</v>
      </c>
      <c r="AJ38" s="865">
        <f t="shared" si="75"/>
        <v>736408.20000000019</v>
      </c>
      <c r="AK38" s="1339">
        <f>+AK86*AK$3*24*1000</f>
        <v>108000</v>
      </c>
      <c r="AL38" s="299">
        <v>148631.60000000003</v>
      </c>
      <c r="AM38" s="865">
        <f t="shared" si="76"/>
        <v>936000</v>
      </c>
      <c r="AN38" s="865">
        <f t="shared" si="77"/>
        <v>885039.80000000028</v>
      </c>
      <c r="AO38" s="1339">
        <f>+AO86*AO$3*24*1000</f>
        <v>111600</v>
      </c>
      <c r="AP38" s="299">
        <v>150929.00000000064</v>
      </c>
      <c r="AQ38" s="1413">
        <f t="shared" si="88"/>
        <v>331200</v>
      </c>
      <c r="AR38" s="336">
        <f t="shared" si="89"/>
        <v>382121.8000000001</v>
      </c>
      <c r="AS38" s="865">
        <f t="shared" si="78"/>
        <v>1047600</v>
      </c>
      <c r="AT38" s="865">
        <f t="shared" si="79"/>
        <v>1035968.800000001</v>
      </c>
      <c r="AU38" s="1339">
        <f>+AU86*AU$3*24*1000</f>
        <v>111600</v>
      </c>
      <c r="AV38" s="299">
        <v>186529.20000000054</v>
      </c>
      <c r="AW38" s="865">
        <f t="shared" si="80"/>
        <v>1159200</v>
      </c>
      <c r="AX38" s="865">
        <f t="shared" si="81"/>
        <v>1222498.0000000014</v>
      </c>
      <c r="AY38" s="1339">
        <f>+AY86*AY$3*24*1000</f>
        <v>100800.00000000001</v>
      </c>
      <c r="AZ38" s="299">
        <v>104490.19999999981</v>
      </c>
      <c r="BA38" s="865">
        <f t="shared" si="82"/>
        <v>1260000</v>
      </c>
      <c r="BB38" s="865">
        <f t="shared" si="83"/>
        <v>1326988.2000000011</v>
      </c>
      <c r="BC38" s="1339">
        <f>+BC86*BC$3*24*1000</f>
        <v>111600</v>
      </c>
      <c r="BD38" s="299">
        <v>125777.79999999964</v>
      </c>
      <c r="BE38" s="1413">
        <f t="shared" si="90"/>
        <v>324000</v>
      </c>
      <c r="BF38" s="336">
        <f t="shared" si="91"/>
        <v>416797.2</v>
      </c>
      <c r="BG38" s="866">
        <f t="shared" si="92"/>
        <v>655200</v>
      </c>
      <c r="BH38" s="866">
        <f t="shared" si="93"/>
        <v>798919.00000000012</v>
      </c>
      <c r="BI38" s="865">
        <f t="shared" si="84"/>
        <v>1371600</v>
      </c>
      <c r="BJ38" s="865">
        <f t="shared" si="85"/>
        <v>1452766.0000000007</v>
      </c>
      <c r="BK38" s="1137"/>
      <c r="BL38" s="1137"/>
      <c r="BM38" s="1137"/>
      <c r="BN38" s="7068"/>
      <c r="BO38" s="7068"/>
      <c r="BP38" s="1137"/>
      <c r="BQ38" s="1137"/>
    </row>
    <row r="39" spans="1:69" ht="16.5" thickBot="1" x14ac:dyDescent="0.3">
      <c r="A39" s="253">
        <v>31</v>
      </c>
      <c r="B39" s="271" t="s">
        <v>695</v>
      </c>
      <c r="C39" s="13" t="s">
        <v>213</v>
      </c>
      <c r="D39" s="272">
        <v>865772.19999999972</v>
      </c>
      <c r="E39" s="273">
        <v>777589.69999999867</v>
      </c>
      <c r="G39" s="868">
        <v>4.2</v>
      </c>
      <c r="H39" s="1335" t="s">
        <v>701</v>
      </c>
      <c r="I39" s="1342">
        <f>I40+I42</f>
        <v>9648000</v>
      </c>
      <c r="J39" s="302">
        <f>J40+J42</f>
        <v>9305766.7636666633</v>
      </c>
      <c r="K39" s="1342">
        <f>K40+K42</f>
        <v>9913800</v>
      </c>
      <c r="L39" s="302">
        <f>L40+L42</f>
        <v>9645230.6476666704</v>
      </c>
      <c r="M39" s="869">
        <f t="shared" si="1"/>
        <v>19561800</v>
      </c>
      <c r="N39" s="869">
        <f t="shared" si="1"/>
        <v>18950997.411333334</v>
      </c>
      <c r="O39" s="1342">
        <f>O40+O42</f>
        <v>9594000</v>
      </c>
      <c r="P39" s="302">
        <f>P40+P42</f>
        <v>9769671.2976666633</v>
      </c>
      <c r="Q39" s="1417">
        <f t="shared" si="35"/>
        <v>29155800</v>
      </c>
      <c r="R39" s="1418">
        <f t="shared" si="36"/>
        <v>28720668.708999999</v>
      </c>
      <c r="S39" s="1342">
        <f>S40+S42</f>
        <v>9913800</v>
      </c>
      <c r="T39" s="302">
        <f>T40+T42</f>
        <v>10045117.844333326</v>
      </c>
      <c r="U39" s="869">
        <f t="shared" si="68"/>
        <v>39069600</v>
      </c>
      <c r="V39" s="869">
        <f t="shared" si="69"/>
        <v>38765786.553333327</v>
      </c>
      <c r="W39" s="1342">
        <f>W40+W42</f>
        <v>9913800</v>
      </c>
      <c r="X39" s="302">
        <f>X40+X42</f>
        <v>9867319.7706666831</v>
      </c>
      <c r="Y39" s="869">
        <f t="shared" si="70"/>
        <v>48983400</v>
      </c>
      <c r="Z39" s="869">
        <f t="shared" si="71"/>
        <v>48633106.324000008</v>
      </c>
      <c r="AA39" s="1342">
        <f>AA40+AA42</f>
        <v>9594000</v>
      </c>
      <c r="AB39" s="302">
        <f>AB40+AB42</f>
        <v>9667734.524333328</v>
      </c>
      <c r="AC39" s="1417">
        <f t="shared" si="86"/>
        <v>29421600</v>
      </c>
      <c r="AD39" s="1418">
        <f t="shared" si="87"/>
        <v>29580172.139333338</v>
      </c>
      <c r="AE39" s="870">
        <f t="shared" si="72"/>
        <v>58577400</v>
      </c>
      <c r="AF39" s="870">
        <f t="shared" si="73"/>
        <v>58300840.848333336</v>
      </c>
      <c r="AG39" s="1342">
        <f>AG40+AG42</f>
        <v>9913800</v>
      </c>
      <c r="AH39" s="302">
        <f>AH40+AH42</f>
        <v>8926264.4853333309</v>
      </c>
      <c r="AI39" s="869">
        <f t="shared" si="74"/>
        <v>68491200</v>
      </c>
      <c r="AJ39" s="869">
        <f t="shared" si="75"/>
        <v>67227105.333666667</v>
      </c>
      <c r="AK39" s="1342">
        <f>AK40+AK42</f>
        <v>9594000</v>
      </c>
      <c r="AL39" s="302">
        <f>AL40+AL42</f>
        <v>8848782.2536666635</v>
      </c>
      <c r="AM39" s="869">
        <f t="shared" si="76"/>
        <v>78085200</v>
      </c>
      <c r="AN39" s="869">
        <f t="shared" si="77"/>
        <v>76075887.587333336</v>
      </c>
      <c r="AO39" s="1342">
        <f>AO40+AO42</f>
        <v>9913800</v>
      </c>
      <c r="AP39" s="302">
        <f>AP40+AP42</f>
        <v>9065925.6930000037</v>
      </c>
      <c r="AQ39" s="1417">
        <f t="shared" si="88"/>
        <v>29421600</v>
      </c>
      <c r="AR39" s="1418">
        <f t="shared" si="89"/>
        <v>26840972.431999996</v>
      </c>
      <c r="AS39" s="869">
        <f t="shared" si="78"/>
        <v>87999000</v>
      </c>
      <c r="AT39" s="869">
        <f t="shared" si="79"/>
        <v>85141813.28033334</v>
      </c>
      <c r="AU39" s="1342">
        <f>AU40+AU42</f>
        <v>9913800</v>
      </c>
      <c r="AV39" s="302">
        <f>AV40+AV42</f>
        <v>8886504.1260000002</v>
      </c>
      <c r="AW39" s="869">
        <f t="shared" si="80"/>
        <v>97912800</v>
      </c>
      <c r="AX39" s="869">
        <f t="shared" si="81"/>
        <v>94028317.406333342</v>
      </c>
      <c r="AY39" s="1342">
        <f>AY40+AY42</f>
        <v>8954400</v>
      </c>
      <c r="AZ39" s="302">
        <f>AZ40+AZ42</f>
        <v>7303426.6590000056</v>
      </c>
      <c r="BA39" s="869">
        <f t="shared" si="82"/>
        <v>106867200</v>
      </c>
      <c r="BB39" s="869">
        <f t="shared" si="83"/>
        <v>101331744.06533335</v>
      </c>
      <c r="BC39" s="1342">
        <f>BC40+BC42</f>
        <v>9913800</v>
      </c>
      <c r="BD39" s="302">
        <f>BD40+BD42</f>
        <v>8629008.3956666589</v>
      </c>
      <c r="BE39" s="1417">
        <f t="shared" si="90"/>
        <v>28782000</v>
      </c>
      <c r="BF39" s="1418">
        <f t="shared" si="91"/>
        <v>24818939.180666663</v>
      </c>
      <c r="BG39" s="864">
        <f>AQ39+BE39</f>
        <v>58203600</v>
      </c>
      <c r="BH39" s="864">
        <f>AR39+BF39</f>
        <v>51659911.612666659</v>
      </c>
      <c r="BI39" s="869">
        <f t="shared" si="84"/>
        <v>116781000</v>
      </c>
      <c r="BJ39" s="869">
        <f t="shared" si="85"/>
        <v>109960752.46100001</v>
      </c>
      <c r="BK39" s="1137"/>
      <c r="BL39" s="1137"/>
      <c r="BM39" s="1137"/>
      <c r="BN39" s="7068"/>
      <c r="BO39" s="7068"/>
      <c r="BP39" s="1137"/>
      <c r="BQ39" s="1137"/>
    </row>
    <row r="40" spans="1:69" ht="16.5" thickBot="1" x14ac:dyDescent="0.3">
      <c r="A40" s="253">
        <v>32</v>
      </c>
      <c r="B40" s="284" t="s">
        <v>739</v>
      </c>
      <c r="C40" s="14" t="s">
        <v>213</v>
      </c>
      <c r="D40" s="281">
        <f>SUM(D16:D39)</f>
        <v>88061714.192000017</v>
      </c>
      <c r="E40" s="282">
        <f>SUM(E16:E39)</f>
        <v>93510655.738999993</v>
      </c>
      <c r="G40" s="868" t="s">
        <v>740</v>
      </c>
      <c r="H40" s="1335" t="s">
        <v>702</v>
      </c>
      <c r="I40" s="1342">
        <f>I41</f>
        <v>5832000</v>
      </c>
      <c r="J40" s="302">
        <f>J41</f>
        <v>5804484.2999999942</v>
      </c>
      <c r="K40" s="1342">
        <f>K41</f>
        <v>5803200</v>
      </c>
      <c r="L40" s="302">
        <f>L41</f>
        <v>5673200</v>
      </c>
      <c r="M40" s="869">
        <f t="shared" si="1"/>
        <v>11635200</v>
      </c>
      <c r="N40" s="869">
        <f t="shared" si="1"/>
        <v>11477684.299999993</v>
      </c>
      <c r="O40" s="1342">
        <f>O41</f>
        <v>5616000</v>
      </c>
      <c r="P40" s="302">
        <f>P41</f>
        <v>5923218</v>
      </c>
      <c r="Q40" s="1417">
        <f t="shared" si="35"/>
        <v>17251200</v>
      </c>
      <c r="R40" s="1418">
        <f t="shared" si="36"/>
        <v>17400902.299999993</v>
      </c>
      <c r="S40" s="1342">
        <f>S41</f>
        <v>5803200</v>
      </c>
      <c r="T40" s="302">
        <f>T41</f>
        <v>6233883.6999999993</v>
      </c>
      <c r="U40" s="869">
        <f t="shared" si="68"/>
        <v>23054400</v>
      </c>
      <c r="V40" s="869">
        <f t="shared" si="69"/>
        <v>23634785.999999993</v>
      </c>
      <c r="W40" s="1342">
        <f>W41</f>
        <v>5803200</v>
      </c>
      <c r="X40" s="302">
        <f>X41</f>
        <v>6154906.9999999991</v>
      </c>
      <c r="Y40" s="869">
        <f t="shared" si="70"/>
        <v>28857600</v>
      </c>
      <c r="Z40" s="869">
        <f t="shared" si="71"/>
        <v>29789692.999999993</v>
      </c>
      <c r="AA40" s="1342">
        <f>AA41</f>
        <v>5616000</v>
      </c>
      <c r="AB40" s="302">
        <f>AB41</f>
        <v>5917700</v>
      </c>
      <c r="AC40" s="1417">
        <f t="shared" si="86"/>
        <v>17222400</v>
      </c>
      <c r="AD40" s="1418">
        <f t="shared" si="87"/>
        <v>18306490.699999999</v>
      </c>
      <c r="AE40" s="870">
        <f t="shared" si="72"/>
        <v>34473600</v>
      </c>
      <c r="AF40" s="870">
        <f t="shared" si="73"/>
        <v>35707392.999999993</v>
      </c>
      <c r="AG40" s="1342">
        <f>AG41</f>
        <v>5803200</v>
      </c>
      <c r="AH40" s="302">
        <f>AH41</f>
        <v>5487800</v>
      </c>
      <c r="AI40" s="869">
        <f t="shared" si="74"/>
        <v>40276800</v>
      </c>
      <c r="AJ40" s="869">
        <f t="shared" si="75"/>
        <v>41195192.999999993</v>
      </c>
      <c r="AK40" s="1342">
        <f>AK41</f>
        <v>5616000</v>
      </c>
      <c r="AL40" s="302">
        <f>AL41</f>
        <v>5806999.9999999963</v>
      </c>
      <c r="AM40" s="869">
        <f t="shared" si="76"/>
        <v>45892800</v>
      </c>
      <c r="AN40" s="869">
        <f t="shared" si="77"/>
        <v>47002192.999999985</v>
      </c>
      <c r="AO40" s="1342">
        <f>AO41</f>
        <v>5803200</v>
      </c>
      <c r="AP40" s="302">
        <f>AP41</f>
        <v>5812600</v>
      </c>
      <c r="AQ40" s="1417">
        <f t="shared" si="88"/>
        <v>17222400</v>
      </c>
      <c r="AR40" s="1418">
        <f t="shared" si="89"/>
        <v>17107399.999999996</v>
      </c>
      <c r="AS40" s="869">
        <f t="shared" si="78"/>
        <v>51696000</v>
      </c>
      <c r="AT40" s="869">
        <f t="shared" si="79"/>
        <v>52814792.999999985</v>
      </c>
      <c r="AU40" s="1342">
        <f>AU41</f>
        <v>5803200</v>
      </c>
      <c r="AV40" s="302">
        <f>AV41</f>
        <v>5567900</v>
      </c>
      <c r="AW40" s="869">
        <f t="shared" si="80"/>
        <v>57499200</v>
      </c>
      <c r="AX40" s="869">
        <f t="shared" si="81"/>
        <v>58382692.999999985</v>
      </c>
      <c r="AY40" s="1342">
        <f>AY41</f>
        <v>5241600</v>
      </c>
      <c r="AZ40" s="302">
        <f>AZ41</f>
        <v>4999000</v>
      </c>
      <c r="BA40" s="869">
        <f t="shared" si="82"/>
        <v>62740800</v>
      </c>
      <c r="BB40" s="869">
        <f t="shared" si="83"/>
        <v>63381692.999999985</v>
      </c>
      <c r="BC40" s="1342">
        <f>BC41</f>
        <v>5803200</v>
      </c>
      <c r="BD40" s="302">
        <f>BD41</f>
        <v>5930415.0000000019</v>
      </c>
      <c r="BE40" s="1417">
        <f t="shared" si="90"/>
        <v>16848000</v>
      </c>
      <c r="BF40" s="1418">
        <f t="shared" si="91"/>
        <v>16497315.000000002</v>
      </c>
      <c r="BG40" s="864">
        <f>AQ40+BE40</f>
        <v>34070400</v>
      </c>
      <c r="BH40" s="864">
        <f>AR40+BF40</f>
        <v>33604715</v>
      </c>
      <c r="BI40" s="869">
        <f t="shared" si="84"/>
        <v>68544000</v>
      </c>
      <c r="BJ40" s="869">
        <f t="shared" si="85"/>
        <v>69312107.999999985</v>
      </c>
      <c r="BK40" s="1137"/>
      <c r="BL40" s="1137"/>
      <c r="BM40" s="1137"/>
      <c r="BN40" s="7068"/>
      <c r="BO40" s="7068"/>
      <c r="BP40" s="1137"/>
      <c r="BQ40" s="1137"/>
    </row>
    <row r="41" spans="1:69" ht="15.75" thickBot="1" x14ac:dyDescent="0.3">
      <c r="E41" s="262"/>
      <c r="G41" s="858" t="s">
        <v>741</v>
      </c>
      <c r="H41" s="840" t="s">
        <v>703</v>
      </c>
      <c r="I41" s="1339">
        <f>+I89*I$3*24*1000</f>
        <v>5832000</v>
      </c>
      <c r="J41" s="299">
        <v>5804484.2999999942</v>
      </c>
      <c r="K41" s="1339">
        <f>+K89*K$3*24*1000</f>
        <v>5803200</v>
      </c>
      <c r="L41" s="299">
        <v>5673200</v>
      </c>
      <c r="M41" s="865">
        <f t="shared" si="1"/>
        <v>11635200</v>
      </c>
      <c r="N41" s="865">
        <f t="shared" si="1"/>
        <v>11477684.299999993</v>
      </c>
      <c r="O41" s="1339">
        <f>+O89*O$3*24*1000</f>
        <v>5616000</v>
      </c>
      <c r="P41" s="299">
        <v>5923218</v>
      </c>
      <c r="Q41" s="1413">
        <f t="shared" si="35"/>
        <v>17251200</v>
      </c>
      <c r="R41" s="336">
        <f t="shared" si="36"/>
        <v>17400902.299999993</v>
      </c>
      <c r="S41" s="1339">
        <f>+S89*S$3*24*1000</f>
        <v>5803200</v>
      </c>
      <c r="T41" s="299">
        <v>6233883.6999999993</v>
      </c>
      <c r="U41" s="865">
        <f t="shared" si="68"/>
        <v>23054400</v>
      </c>
      <c r="V41" s="865">
        <f t="shared" si="69"/>
        <v>23634785.999999993</v>
      </c>
      <c r="W41" s="1339">
        <f>+W89*W$3*24*1000</f>
        <v>5803200</v>
      </c>
      <c r="X41" s="299">
        <v>6154906.9999999991</v>
      </c>
      <c r="Y41" s="865">
        <f t="shared" si="70"/>
        <v>28857600</v>
      </c>
      <c r="Z41" s="865">
        <f t="shared" si="71"/>
        <v>29789692.999999993</v>
      </c>
      <c r="AA41" s="1339">
        <f>+AA89*AA$3*24*1000</f>
        <v>5616000</v>
      </c>
      <c r="AB41" s="299">
        <v>5917700</v>
      </c>
      <c r="AC41" s="1413">
        <f t="shared" si="86"/>
        <v>17222400</v>
      </c>
      <c r="AD41" s="336">
        <f t="shared" si="87"/>
        <v>18306490.699999999</v>
      </c>
      <c r="AE41" s="866">
        <f t="shared" si="72"/>
        <v>34473600</v>
      </c>
      <c r="AF41" s="866">
        <f t="shared" si="73"/>
        <v>35707392.999999993</v>
      </c>
      <c r="AG41" s="1339">
        <f>+AG89*AG$3*24*1000</f>
        <v>5803200</v>
      </c>
      <c r="AH41" s="299">
        <v>5487800</v>
      </c>
      <c r="AI41" s="865">
        <f t="shared" si="74"/>
        <v>40276800</v>
      </c>
      <c r="AJ41" s="865">
        <f t="shared" si="75"/>
        <v>41195192.999999993</v>
      </c>
      <c r="AK41" s="1339">
        <f>+AK89*AK$3*24*1000</f>
        <v>5616000</v>
      </c>
      <c r="AL41" s="299">
        <v>5806999.9999999963</v>
      </c>
      <c r="AM41" s="865">
        <f t="shared" si="76"/>
        <v>45892800</v>
      </c>
      <c r="AN41" s="865">
        <f t="shared" si="77"/>
        <v>47002192.999999985</v>
      </c>
      <c r="AO41" s="1339">
        <f>+AO89*AO$3*24*1000</f>
        <v>5803200</v>
      </c>
      <c r="AP41" s="299">
        <v>5812600</v>
      </c>
      <c r="AQ41" s="1413">
        <f t="shared" si="88"/>
        <v>17222400</v>
      </c>
      <c r="AR41" s="336">
        <f t="shared" si="89"/>
        <v>17107399.999999996</v>
      </c>
      <c r="AS41" s="865">
        <f t="shared" si="78"/>
        <v>51696000</v>
      </c>
      <c r="AT41" s="865">
        <f t="shared" si="79"/>
        <v>52814792.999999985</v>
      </c>
      <c r="AU41" s="1339">
        <f>+AU89*AU$3*24*1000</f>
        <v>5803200</v>
      </c>
      <c r="AV41" s="299">
        <v>5567900</v>
      </c>
      <c r="AW41" s="865">
        <f t="shared" si="80"/>
        <v>57499200</v>
      </c>
      <c r="AX41" s="865">
        <f t="shared" si="81"/>
        <v>58382692.999999985</v>
      </c>
      <c r="AY41" s="1339">
        <f>+AY89*AY$3*24*1000</f>
        <v>5241600</v>
      </c>
      <c r="AZ41" s="299">
        <v>4999000</v>
      </c>
      <c r="BA41" s="865">
        <f t="shared" si="82"/>
        <v>62740800</v>
      </c>
      <c r="BB41" s="865">
        <f t="shared" si="83"/>
        <v>63381692.999999985</v>
      </c>
      <c r="BC41" s="1339">
        <f>+BC89*BC$3*24*1000</f>
        <v>5803200</v>
      </c>
      <c r="BD41" s="299">
        <v>5930415.0000000019</v>
      </c>
      <c r="BE41" s="1413">
        <f t="shared" si="90"/>
        <v>16848000</v>
      </c>
      <c r="BF41" s="336">
        <f t="shared" si="91"/>
        <v>16497315.000000002</v>
      </c>
      <c r="BG41" s="866">
        <f t="shared" ref="BG41" si="94">AQ41+BE41</f>
        <v>34070400</v>
      </c>
      <c r="BH41" s="866">
        <f t="shared" ref="BH41" si="95">AR41+BF41</f>
        <v>33604715</v>
      </c>
      <c r="BI41" s="865">
        <f t="shared" si="84"/>
        <v>68544000</v>
      </c>
      <c r="BJ41" s="865">
        <f t="shared" si="85"/>
        <v>69312107.999999985</v>
      </c>
      <c r="BK41" s="1137"/>
      <c r="BL41" s="1137"/>
      <c r="BM41" s="1137"/>
      <c r="BN41" s="7068"/>
      <c r="BO41" s="7068"/>
      <c r="BP41" s="1137"/>
      <c r="BQ41" s="1137"/>
    </row>
    <row r="42" spans="1:69" ht="21" thickBot="1" x14ac:dyDescent="0.3">
      <c r="A42" s="253">
        <v>33</v>
      </c>
      <c r="B42" s="285" t="s">
        <v>491</v>
      </c>
      <c r="C42" s="286" t="s">
        <v>213</v>
      </c>
      <c r="D42" s="287">
        <v>79406183.556600019</v>
      </c>
      <c r="E42" s="288">
        <v>84399504.886399984</v>
      </c>
      <c r="G42" s="868" t="s">
        <v>742</v>
      </c>
      <c r="H42" s="1335" t="s">
        <v>704</v>
      </c>
      <c r="I42" s="1342">
        <f>SUM(I43:I46)</f>
        <v>3816000</v>
      </c>
      <c r="J42" s="302">
        <f>SUM(J43:J46)</f>
        <v>3501282.4636666691</v>
      </c>
      <c r="K42" s="1342">
        <f>SUM(K43:K46)</f>
        <v>4110600</v>
      </c>
      <c r="L42" s="302">
        <f>SUM(L43:L46)</f>
        <v>3972030.6476666695</v>
      </c>
      <c r="M42" s="869">
        <f t="shared" si="1"/>
        <v>7926600</v>
      </c>
      <c r="N42" s="869">
        <f t="shared" si="1"/>
        <v>7473313.1113333385</v>
      </c>
      <c r="O42" s="1342">
        <f>SUM(O43:O46)</f>
        <v>3978000</v>
      </c>
      <c r="P42" s="302">
        <f>SUM(P43:P46)</f>
        <v>3846453.2976666633</v>
      </c>
      <c r="Q42" s="1417">
        <f t="shared" si="35"/>
        <v>11904600</v>
      </c>
      <c r="R42" s="1418">
        <f t="shared" si="36"/>
        <v>11319766.409000002</v>
      </c>
      <c r="S42" s="1342">
        <f>SUM(S43:S46)</f>
        <v>4110600</v>
      </c>
      <c r="T42" s="302">
        <f>SUM(T43:T46)</f>
        <v>3811234.1443333272</v>
      </c>
      <c r="U42" s="869">
        <f t="shared" si="68"/>
        <v>16015200</v>
      </c>
      <c r="V42" s="869">
        <f t="shared" si="69"/>
        <v>15131000.553333329</v>
      </c>
      <c r="W42" s="1342">
        <f>SUM(W43:W46)</f>
        <v>4110600</v>
      </c>
      <c r="X42" s="302">
        <f>SUM(X43:X46)</f>
        <v>3712412.7706666836</v>
      </c>
      <c r="Y42" s="869">
        <f t="shared" si="70"/>
        <v>20125800</v>
      </c>
      <c r="Z42" s="869">
        <f t="shared" si="71"/>
        <v>18843413.324000012</v>
      </c>
      <c r="AA42" s="1342">
        <f>SUM(AA43:AA46)</f>
        <v>3978000</v>
      </c>
      <c r="AB42" s="302">
        <f>SUM(AB43:AB46)</f>
        <v>3750034.5243333285</v>
      </c>
      <c r="AC42" s="1417">
        <f>S42+W42+AA42</f>
        <v>12199200</v>
      </c>
      <c r="AD42" s="1418">
        <f>T42+X42+AB42</f>
        <v>11273681.439333338</v>
      </c>
      <c r="AE42" s="870">
        <f t="shared" si="72"/>
        <v>24103800</v>
      </c>
      <c r="AF42" s="870">
        <f t="shared" si="73"/>
        <v>22593447.84833334</v>
      </c>
      <c r="AG42" s="1342">
        <f>SUM(AG43:AG46)</f>
        <v>4110600</v>
      </c>
      <c r="AH42" s="302">
        <f>SUM(AH43:AH46)</f>
        <v>3438464.4853333319</v>
      </c>
      <c r="AI42" s="869">
        <f t="shared" si="74"/>
        <v>28214400</v>
      </c>
      <c r="AJ42" s="869">
        <f t="shared" si="75"/>
        <v>26031912.333666671</v>
      </c>
      <c r="AK42" s="1342">
        <f>SUM(AK43:AK46)</f>
        <v>3978000</v>
      </c>
      <c r="AL42" s="302">
        <f>SUM(AL43:AL46)</f>
        <v>3041782.2536666677</v>
      </c>
      <c r="AM42" s="869">
        <f t="shared" si="76"/>
        <v>32192400</v>
      </c>
      <c r="AN42" s="869">
        <f t="shared" si="77"/>
        <v>29073694.58733334</v>
      </c>
      <c r="AO42" s="1342">
        <f>SUM(AO43:AO46)</f>
        <v>4110600</v>
      </c>
      <c r="AP42" s="302">
        <f>SUM(AP43:AP46)</f>
        <v>3253325.6930000032</v>
      </c>
      <c r="AQ42" s="1417">
        <f>AG42+AK42+AO42</f>
        <v>12199200</v>
      </c>
      <c r="AR42" s="1418">
        <f>AH42+AL42+AP42</f>
        <v>9733572.4320000038</v>
      </c>
      <c r="AS42" s="869">
        <f t="shared" si="78"/>
        <v>36303000</v>
      </c>
      <c r="AT42" s="869">
        <f t="shared" si="79"/>
        <v>32327020.280333344</v>
      </c>
      <c r="AU42" s="1342">
        <f>SUM(AU43:AU46)</f>
        <v>4110600</v>
      </c>
      <c r="AV42" s="302">
        <f>SUM(AV43:AV46)</f>
        <v>3318604.1260000006</v>
      </c>
      <c r="AW42" s="869">
        <f t="shared" si="80"/>
        <v>40413600</v>
      </c>
      <c r="AX42" s="869">
        <f t="shared" si="81"/>
        <v>35645624.406333342</v>
      </c>
      <c r="AY42" s="1342">
        <f>SUM(AY43:AY46)</f>
        <v>3712800</v>
      </c>
      <c r="AZ42" s="302">
        <f>SUM(AZ43:AZ46)</f>
        <v>2304426.6590000056</v>
      </c>
      <c r="BA42" s="869">
        <f t="shared" si="82"/>
        <v>44126400</v>
      </c>
      <c r="BB42" s="869">
        <f t="shared" si="83"/>
        <v>37950051.065333351</v>
      </c>
      <c r="BC42" s="1342">
        <f>SUM(BC43:BC46)</f>
        <v>4110600</v>
      </c>
      <c r="BD42" s="302">
        <f>SUM(BD43:BD46)</f>
        <v>2698593.3956666575</v>
      </c>
      <c r="BE42" s="1417">
        <f>AU42+AY42+BC42</f>
        <v>11934000</v>
      </c>
      <c r="BF42" s="1418">
        <f>AV42+AZ42+BD42</f>
        <v>8321624.1806666628</v>
      </c>
      <c r="BG42" s="864">
        <f>AQ42+BE42</f>
        <v>24133200</v>
      </c>
      <c r="BH42" s="864">
        <f>AR42+BF42</f>
        <v>18055196.612666667</v>
      </c>
      <c r="BI42" s="869">
        <f t="shared" si="84"/>
        <v>48237000</v>
      </c>
      <c r="BJ42" s="869">
        <f t="shared" si="85"/>
        <v>40648644.46100001</v>
      </c>
      <c r="BK42" s="1137"/>
      <c r="BL42" s="1137"/>
      <c r="BM42" s="1137"/>
      <c r="BN42" s="7068"/>
      <c r="BO42" s="7068"/>
      <c r="BP42" s="1137"/>
      <c r="BQ42" s="1137"/>
    </row>
    <row r="43" spans="1:69" ht="15.75" x14ac:dyDescent="0.25">
      <c r="A43" s="289"/>
      <c r="B43" s="290"/>
      <c r="C43" s="291"/>
      <c r="D43" s="292"/>
      <c r="E43" s="292"/>
      <c r="G43" s="858" t="s">
        <v>743</v>
      </c>
      <c r="H43" s="840" t="s">
        <v>705</v>
      </c>
      <c r="I43" s="1339">
        <f>+I91*I$3*24*1000</f>
        <v>439200.00000000006</v>
      </c>
      <c r="J43" s="299">
        <v>345006.83066666604</v>
      </c>
      <c r="K43" s="1339">
        <f>+K91*K$3*24*1000</f>
        <v>390600</v>
      </c>
      <c r="L43" s="299">
        <v>404082.82566666603</v>
      </c>
      <c r="M43" s="865">
        <f t="shared" si="1"/>
        <v>829800</v>
      </c>
      <c r="N43" s="865">
        <f t="shared" si="1"/>
        <v>749089.65633333207</v>
      </c>
      <c r="O43" s="1339">
        <f>+O91*O$3*24*1000</f>
        <v>378000</v>
      </c>
      <c r="P43" s="299">
        <v>402563.794666667</v>
      </c>
      <c r="Q43" s="1413">
        <f t="shared" si="35"/>
        <v>1207800</v>
      </c>
      <c r="R43" s="336">
        <f t="shared" si="36"/>
        <v>1151653.450999999</v>
      </c>
      <c r="S43" s="1339">
        <f>+S91*S$3*24*1000</f>
        <v>390600</v>
      </c>
      <c r="T43" s="299">
        <v>402847.5843333333</v>
      </c>
      <c r="U43" s="865">
        <f t="shared" si="68"/>
        <v>1598400</v>
      </c>
      <c r="V43" s="865">
        <f t="shared" si="69"/>
        <v>1554501.0353333321</v>
      </c>
      <c r="W43" s="1339">
        <f>+W91*W$3*24*1000</f>
        <v>390600</v>
      </c>
      <c r="X43" s="299">
        <v>413019.89566666802</v>
      </c>
      <c r="Y43" s="865">
        <f t="shared" si="70"/>
        <v>1989000</v>
      </c>
      <c r="Z43" s="865">
        <f t="shared" si="71"/>
        <v>1967520.9310000001</v>
      </c>
      <c r="AA43" s="1339">
        <f>+AA91*AA$3*24*1000</f>
        <v>378000</v>
      </c>
      <c r="AB43" s="299">
        <v>416110.33433333371</v>
      </c>
      <c r="AC43" s="1413">
        <f t="shared" si="86"/>
        <v>1159200</v>
      </c>
      <c r="AD43" s="336">
        <f t="shared" si="87"/>
        <v>1231977.814333335</v>
      </c>
      <c r="AE43" s="866">
        <f t="shared" si="72"/>
        <v>2367000</v>
      </c>
      <c r="AF43" s="866">
        <f t="shared" si="73"/>
        <v>2383631.265333334</v>
      </c>
      <c r="AG43" s="1339">
        <f>+AG91*AG$3*24*1000</f>
        <v>390600</v>
      </c>
      <c r="AH43" s="299">
        <v>380236.93533333257</v>
      </c>
      <c r="AI43" s="865">
        <f t="shared" si="74"/>
        <v>2757600</v>
      </c>
      <c r="AJ43" s="865">
        <f t="shared" si="75"/>
        <v>2763868.2006666665</v>
      </c>
      <c r="AK43" s="1339">
        <f>+AK91*AK$3*24*1000</f>
        <v>378000</v>
      </c>
      <c r="AL43" s="299">
        <v>291079.56366666663</v>
      </c>
      <c r="AM43" s="865">
        <f t="shared" si="76"/>
        <v>3135600</v>
      </c>
      <c r="AN43" s="865">
        <f t="shared" si="77"/>
        <v>3054947.7643333329</v>
      </c>
      <c r="AO43" s="1339">
        <f>+AO91*AO$3*24*1000</f>
        <v>390600</v>
      </c>
      <c r="AP43" s="299">
        <v>289265.58299999905</v>
      </c>
      <c r="AQ43" s="1413">
        <f t="shared" ref="AQ43:AQ46" si="96">AG43+AK43+AO43</f>
        <v>1159200</v>
      </c>
      <c r="AR43" s="336">
        <f t="shared" ref="AR43:AR46" si="97">AH43+AL43+AP43</f>
        <v>960582.08199999819</v>
      </c>
      <c r="AS43" s="865">
        <f t="shared" si="78"/>
        <v>3526200</v>
      </c>
      <c r="AT43" s="865">
        <f t="shared" si="79"/>
        <v>3344213.3473333321</v>
      </c>
      <c r="AU43" s="1339">
        <f>+AU91*AU$3*24*1000</f>
        <v>390600</v>
      </c>
      <c r="AV43" s="299">
        <v>320288.64599999995</v>
      </c>
      <c r="AW43" s="865">
        <f t="shared" si="80"/>
        <v>3916800</v>
      </c>
      <c r="AX43" s="865">
        <f t="shared" si="81"/>
        <v>3664501.9933333322</v>
      </c>
      <c r="AY43" s="1339">
        <f>+AY91*AY$3*24*1000</f>
        <v>352800</v>
      </c>
      <c r="AZ43" s="299">
        <v>247466.85900000177</v>
      </c>
      <c r="BA43" s="865">
        <f t="shared" si="82"/>
        <v>4269600</v>
      </c>
      <c r="BB43" s="865">
        <f t="shared" si="83"/>
        <v>3911968.8523333338</v>
      </c>
      <c r="BC43" s="1339">
        <f>+BC91*BC$3*24*1000</f>
        <v>390600</v>
      </c>
      <c r="BD43" s="299">
        <v>249843.51266666618</v>
      </c>
      <c r="BE43" s="1413">
        <f t="shared" ref="BE43:BE46" si="98">AU43+AY43+BC43</f>
        <v>1134000</v>
      </c>
      <c r="BF43" s="336">
        <f t="shared" ref="BF43:BF46" si="99">AV43+AZ43+BD43</f>
        <v>817599.01766666793</v>
      </c>
      <c r="BG43" s="866">
        <f t="shared" ref="BG43:BG46" si="100">AQ43+BE43</f>
        <v>2293200</v>
      </c>
      <c r="BH43" s="866">
        <f t="shared" ref="BH43:BH46" si="101">AR43+BF43</f>
        <v>1778181.0996666662</v>
      </c>
      <c r="BI43" s="865">
        <f t="shared" si="84"/>
        <v>4660200</v>
      </c>
      <c r="BJ43" s="865">
        <f t="shared" si="85"/>
        <v>4161812.3650000002</v>
      </c>
      <c r="BK43" s="1137"/>
      <c r="BL43" s="1137"/>
      <c r="BM43" s="1137"/>
      <c r="BN43" s="7068"/>
      <c r="BO43" s="7068"/>
      <c r="BP43" s="1137"/>
      <c r="BQ43" s="1137"/>
    </row>
    <row r="44" spans="1:69" ht="15.75" x14ac:dyDescent="0.25">
      <c r="A44" s="289"/>
      <c r="B44" s="290"/>
      <c r="C44" s="291"/>
      <c r="D44" s="292"/>
      <c r="E44" s="292"/>
      <c r="G44" s="858" t="s">
        <v>744</v>
      </c>
      <c r="H44" s="840" t="s">
        <v>706</v>
      </c>
      <c r="I44" s="1339">
        <f>+I92*I$3*24*1000</f>
        <v>2520000</v>
      </c>
      <c r="J44" s="299">
        <v>2406727.6330000018</v>
      </c>
      <c r="K44" s="1339">
        <f>+K92*K$3*24*1000</f>
        <v>2604000</v>
      </c>
      <c r="L44" s="299">
        <v>2617396.8220000011</v>
      </c>
      <c r="M44" s="865">
        <f t="shared" si="1"/>
        <v>5124000</v>
      </c>
      <c r="N44" s="865">
        <f t="shared" si="1"/>
        <v>5024124.4550000029</v>
      </c>
      <c r="O44" s="1339">
        <f>+O92*O$3*24*1000</f>
        <v>2520000</v>
      </c>
      <c r="P44" s="299">
        <v>2694212.3029999989</v>
      </c>
      <c r="Q44" s="1413">
        <f t="shared" si="35"/>
        <v>7644000</v>
      </c>
      <c r="R44" s="336">
        <f t="shared" si="36"/>
        <v>7718336.7580000013</v>
      </c>
      <c r="S44" s="1339">
        <f>+S92*S$3*24*1000</f>
        <v>2604000</v>
      </c>
      <c r="T44" s="299">
        <v>2665378.1599999946</v>
      </c>
      <c r="U44" s="865">
        <f t="shared" si="68"/>
        <v>10248000</v>
      </c>
      <c r="V44" s="865">
        <f t="shared" si="69"/>
        <v>10383714.917999996</v>
      </c>
      <c r="W44" s="1339">
        <f>+W92*W$3*24*1000</f>
        <v>2604000</v>
      </c>
      <c r="X44" s="299">
        <v>2643462.275000012</v>
      </c>
      <c r="Y44" s="865">
        <f t="shared" si="70"/>
        <v>12852000</v>
      </c>
      <c r="Z44" s="865">
        <f t="shared" si="71"/>
        <v>13027177.193000007</v>
      </c>
      <c r="AA44" s="1339">
        <f>+AA92*AA$3*24*1000</f>
        <v>2520000</v>
      </c>
      <c r="AB44" s="299">
        <v>2547984.389999995</v>
      </c>
      <c r="AC44" s="1413">
        <f t="shared" si="86"/>
        <v>7728000</v>
      </c>
      <c r="AD44" s="336">
        <f t="shared" si="87"/>
        <v>7856824.8250000011</v>
      </c>
      <c r="AE44" s="866">
        <f t="shared" si="72"/>
        <v>15372000</v>
      </c>
      <c r="AF44" s="866">
        <f t="shared" si="73"/>
        <v>15575161.583000002</v>
      </c>
      <c r="AG44" s="1339">
        <f>+AG92*AG$3*24*1000</f>
        <v>2604000</v>
      </c>
      <c r="AH44" s="299">
        <v>2289605.7500000019</v>
      </c>
      <c r="AI44" s="865">
        <f t="shared" si="74"/>
        <v>17976000</v>
      </c>
      <c r="AJ44" s="865">
        <f t="shared" si="75"/>
        <v>17864767.333000004</v>
      </c>
      <c r="AK44" s="1339">
        <f>+AK92*AK$3*24*1000</f>
        <v>2520000</v>
      </c>
      <c r="AL44" s="299">
        <v>1767986.2900000003</v>
      </c>
      <c r="AM44" s="865">
        <f t="shared" si="76"/>
        <v>20496000</v>
      </c>
      <c r="AN44" s="865">
        <f t="shared" si="77"/>
        <v>19632753.623000003</v>
      </c>
      <c r="AO44" s="1339">
        <f>+AO92*AO$3*24*1000</f>
        <v>2604000</v>
      </c>
      <c r="AP44" s="299">
        <v>1953408.1100000017</v>
      </c>
      <c r="AQ44" s="1413">
        <f t="shared" si="96"/>
        <v>7728000</v>
      </c>
      <c r="AR44" s="336">
        <f t="shared" si="97"/>
        <v>6011000.1500000041</v>
      </c>
      <c r="AS44" s="865">
        <f t="shared" si="78"/>
        <v>23100000</v>
      </c>
      <c r="AT44" s="865">
        <f t="shared" si="79"/>
        <v>21586161.733000007</v>
      </c>
      <c r="AU44" s="1339">
        <f>+AU92*AU$3*24*1000</f>
        <v>2604000</v>
      </c>
      <c r="AV44" s="299">
        <v>1991176.6799999981</v>
      </c>
      <c r="AW44" s="865">
        <f t="shared" si="80"/>
        <v>25704000</v>
      </c>
      <c r="AX44" s="865">
        <f t="shared" si="81"/>
        <v>23577338.413000006</v>
      </c>
      <c r="AY44" s="1339">
        <f>+AY92*AY$3*24*1000</f>
        <v>2352000</v>
      </c>
      <c r="AZ44" s="299">
        <v>1613619.0000000044</v>
      </c>
      <c r="BA44" s="865">
        <f t="shared" si="82"/>
        <v>28056000</v>
      </c>
      <c r="BB44" s="865">
        <f t="shared" si="83"/>
        <v>25190957.41300001</v>
      </c>
      <c r="BC44" s="1339">
        <f>+BC92*BC$3*24*1000</f>
        <v>2604000</v>
      </c>
      <c r="BD44" s="299">
        <v>1923738.6829999932</v>
      </c>
      <c r="BE44" s="1413">
        <f t="shared" si="98"/>
        <v>7560000</v>
      </c>
      <c r="BF44" s="336">
        <f t="shared" si="99"/>
        <v>5528534.3629999962</v>
      </c>
      <c r="BG44" s="866">
        <f t="shared" si="100"/>
        <v>15288000</v>
      </c>
      <c r="BH44" s="866">
        <f t="shared" si="101"/>
        <v>11539534.513</v>
      </c>
      <c r="BI44" s="865">
        <f t="shared" si="84"/>
        <v>30660000</v>
      </c>
      <c r="BJ44" s="865">
        <f t="shared" si="85"/>
        <v>27114696.096000005</v>
      </c>
      <c r="BK44" s="1137"/>
      <c r="BL44" s="1137"/>
      <c r="BM44" s="1137"/>
      <c r="BN44" s="7068"/>
      <c r="BO44" s="7068"/>
      <c r="BP44" s="1137"/>
      <c r="BQ44" s="1137"/>
    </row>
    <row r="45" spans="1:69" ht="22.5" x14ac:dyDescent="0.3">
      <c r="A45" s="289"/>
      <c r="B45" s="16" t="s">
        <v>474</v>
      </c>
      <c r="C45" s="293"/>
      <c r="D45" s="292"/>
      <c r="E45" s="292"/>
      <c r="G45" s="858" t="s">
        <v>745</v>
      </c>
      <c r="H45" s="840" t="s">
        <v>707</v>
      </c>
      <c r="I45" s="1339">
        <f>+I93*I$3*24*1000</f>
        <v>662400.00000000012</v>
      </c>
      <c r="J45" s="299">
        <v>728948.00000000093</v>
      </c>
      <c r="K45" s="1339">
        <f>+K93*K$3*24*1000</f>
        <v>446400</v>
      </c>
      <c r="L45" s="299">
        <v>547728.00000000244</v>
      </c>
      <c r="M45" s="865">
        <f t="shared" si="1"/>
        <v>1108800</v>
      </c>
      <c r="N45" s="865">
        <f t="shared" si="1"/>
        <v>1276676.0000000033</v>
      </c>
      <c r="O45" s="1339">
        <f>+O93*O$3*24*1000</f>
        <v>432000</v>
      </c>
      <c r="P45" s="299">
        <v>337911.19999999763</v>
      </c>
      <c r="Q45" s="1413">
        <f t="shared" si="35"/>
        <v>1540800</v>
      </c>
      <c r="R45" s="336">
        <f t="shared" si="36"/>
        <v>1614587.2000000009</v>
      </c>
      <c r="S45" s="1339">
        <f>+S93*S$3*24*1000</f>
        <v>446400</v>
      </c>
      <c r="T45" s="299">
        <v>361078.4</v>
      </c>
      <c r="U45" s="865">
        <f t="shared" si="68"/>
        <v>1987200</v>
      </c>
      <c r="V45" s="865">
        <f t="shared" si="69"/>
        <v>1975665.600000001</v>
      </c>
      <c r="W45" s="1339">
        <f>+W93*W$3*24*1000</f>
        <v>446400</v>
      </c>
      <c r="X45" s="299">
        <v>261421.60000000233</v>
      </c>
      <c r="Y45" s="865">
        <f t="shared" si="70"/>
        <v>2433600</v>
      </c>
      <c r="Z45" s="865">
        <f t="shared" si="71"/>
        <v>2237087.2000000034</v>
      </c>
      <c r="AA45" s="1339">
        <f>+AA93*AA$3*24*1000</f>
        <v>432000</v>
      </c>
      <c r="AB45" s="299">
        <v>378300.80000000005</v>
      </c>
      <c r="AC45" s="1413">
        <f t="shared" si="86"/>
        <v>1324800</v>
      </c>
      <c r="AD45" s="336">
        <f t="shared" si="87"/>
        <v>1000800.8000000024</v>
      </c>
      <c r="AE45" s="866">
        <f t="shared" si="72"/>
        <v>2865600</v>
      </c>
      <c r="AF45" s="866">
        <f t="shared" si="73"/>
        <v>2615388.0000000033</v>
      </c>
      <c r="AG45" s="1339">
        <f>+AG93*AG$3*24*1000</f>
        <v>446400</v>
      </c>
      <c r="AH45" s="299">
        <v>330244.79999999772</v>
      </c>
      <c r="AI45" s="865">
        <f t="shared" si="74"/>
        <v>3312000</v>
      </c>
      <c r="AJ45" s="865">
        <f t="shared" si="75"/>
        <v>2945632.8000000007</v>
      </c>
      <c r="AK45" s="1339">
        <f>+AK93*AK$3*24*1000</f>
        <v>432000</v>
      </c>
      <c r="AL45" s="299">
        <v>594526.40000000014</v>
      </c>
      <c r="AM45" s="865">
        <f t="shared" si="76"/>
        <v>3744000</v>
      </c>
      <c r="AN45" s="865">
        <f t="shared" si="77"/>
        <v>3540159.2000000011</v>
      </c>
      <c r="AO45" s="1339">
        <f>+AO93*AO$3*24*1000</f>
        <v>446400</v>
      </c>
      <c r="AP45" s="299">
        <v>603716.00000000256</v>
      </c>
      <c r="AQ45" s="1413">
        <f t="shared" si="96"/>
        <v>1324800</v>
      </c>
      <c r="AR45" s="336">
        <f t="shared" si="97"/>
        <v>1528487.2000000004</v>
      </c>
      <c r="AS45" s="865">
        <f t="shared" si="78"/>
        <v>4190400</v>
      </c>
      <c r="AT45" s="865">
        <f t="shared" si="79"/>
        <v>4143875.2000000039</v>
      </c>
      <c r="AU45" s="1339">
        <f>+AU93*AU$3*24*1000</f>
        <v>446400</v>
      </c>
      <c r="AV45" s="299">
        <v>746116.80000000214</v>
      </c>
      <c r="AW45" s="865">
        <f t="shared" si="80"/>
        <v>4636800</v>
      </c>
      <c r="AX45" s="865">
        <f t="shared" si="81"/>
        <v>4889992.0000000056</v>
      </c>
      <c r="AY45" s="1339">
        <f>+AY93*AY$3*24*1000</f>
        <v>403200.00000000006</v>
      </c>
      <c r="AZ45" s="299">
        <v>417960.79999999923</v>
      </c>
      <c r="BA45" s="865">
        <f t="shared" si="82"/>
        <v>5040000</v>
      </c>
      <c r="BB45" s="865">
        <f t="shared" si="83"/>
        <v>5307952.8000000045</v>
      </c>
      <c r="BC45" s="1339">
        <f>+BC93*BC$3*24*1000</f>
        <v>446400</v>
      </c>
      <c r="BD45" s="299">
        <v>503111.19999999856</v>
      </c>
      <c r="BE45" s="1413">
        <f t="shared" si="98"/>
        <v>1296000</v>
      </c>
      <c r="BF45" s="336">
        <f t="shared" si="99"/>
        <v>1667188.8</v>
      </c>
      <c r="BG45" s="866">
        <f t="shared" si="100"/>
        <v>2620800</v>
      </c>
      <c r="BH45" s="866">
        <f t="shared" si="101"/>
        <v>3195676.0000000005</v>
      </c>
      <c r="BI45" s="865">
        <f t="shared" si="84"/>
        <v>5486400</v>
      </c>
      <c r="BJ45" s="865">
        <f t="shared" si="85"/>
        <v>5811064.0000000028</v>
      </c>
      <c r="BK45" s="1137"/>
      <c r="BL45" s="1137"/>
      <c r="BM45" s="1137"/>
      <c r="BN45" s="7068"/>
      <c r="BO45" s="7068"/>
      <c r="BP45" s="1137"/>
      <c r="BQ45" s="1137"/>
    </row>
    <row r="46" spans="1:69" ht="15.75" thickBot="1" x14ac:dyDescent="0.3">
      <c r="B46" s="4"/>
      <c r="C46" s="261"/>
      <c r="E46" s="262"/>
      <c r="G46" s="871" t="s">
        <v>746</v>
      </c>
      <c r="H46" s="1336" t="s">
        <v>708</v>
      </c>
      <c r="I46" s="1344">
        <f>+I94*I$3*24*1000</f>
        <v>194400.00000000003</v>
      </c>
      <c r="J46" s="303">
        <v>20600.000000000364</v>
      </c>
      <c r="K46" s="1344">
        <f>+K94*K$3*24*1000</f>
        <v>669600</v>
      </c>
      <c r="L46" s="303">
        <v>402823</v>
      </c>
      <c r="M46" s="873">
        <f t="shared" si="1"/>
        <v>864000</v>
      </c>
      <c r="N46" s="873">
        <f t="shared" si="1"/>
        <v>423423.00000000035</v>
      </c>
      <c r="O46" s="1344">
        <f>+O94*O$3*24*1000</f>
        <v>648000</v>
      </c>
      <c r="P46" s="303">
        <v>411766</v>
      </c>
      <c r="Q46" s="1419">
        <f t="shared" si="35"/>
        <v>1512000</v>
      </c>
      <c r="R46" s="1420">
        <f t="shared" si="36"/>
        <v>835189.00000000035</v>
      </c>
      <c r="S46" s="1344">
        <f>+S94*S$3*24*1000</f>
        <v>669600</v>
      </c>
      <c r="T46" s="303">
        <v>381929.9999999993</v>
      </c>
      <c r="U46" s="873">
        <f t="shared" si="68"/>
        <v>2181600</v>
      </c>
      <c r="V46" s="873">
        <f t="shared" si="69"/>
        <v>1217118.9999999995</v>
      </c>
      <c r="W46" s="1344">
        <f>+W94*W$3*24*1000</f>
        <v>669600</v>
      </c>
      <c r="X46" s="303">
        <v>394509.00000000099</v>
      </c>
      <c r="Y46" s="873">
        <f t="shared" si="70"/>
        <v>2851200</v>
      </c>
      <c r="Z46" s="873">
        <f t="shared" si="71"/>
        <v>1611628.0000000005</v>
      </c>
      <c r="AA46" s="1344">
        <f>+AA94*AA$3*24*1000</f>
        <v>648000</v>
      </c>
      <c r="AB46" s="303">
        <v>407638.99999999953</v>
      </c>
      <c r="AC46" s="1419">
        <f t="shared" si="86"/>
        <v>1987200</v>
      </c>
      <c r="AD46" s="1420">
        <f t="shared" si="87"/>
        <v>1184077.9999999998</v>
      </c>
      <c r="AE46" s="874">
        <f t="shared" si="72"/>
        <v>3499200</v>
      </c>
      <c r="AF46" s="874">
        <f t="shared" si="73"/>
        <v>2019267</v>
      </c>
      <c r="AG46" s="1344">
        <f>+AG94*AG$3*24*1000</f>
        <v>669600</v>
      </c>
      <c r="AH46" s="303">
        <v>438376.99999999983</v>
      </c>
      <c r="AI46" s="873">
        <f t="shared" si="74"/>
        <v>4168800</v>
      </c>
      <c r="AJ46" s="873">
        <f t="shared" si="75"/>
        <v>2457644</v>
      </c>
      <c r="AK46" s="1344">
        <f>+AK94*AK$3*24*1000</f>
        <v>648000</v>
      </c>
      <c r="AL46" s="303">
        <v>388190.00000000052</v>
      </c>
      <c r="AM46" s="873">
        <f t="shared" si="76"/>
        <v>4816800</v>
      </c>
      <c r="AN46" s="873">
        <f t="shared" si="77"/>
        <v>2845834.0000000005</v>
      </c>
      <c r="AO46" s="1344">
        <f>+AO94*AO$3*24*1000</f>
        <v>669600</v>
      </c>
      <c r="AP46" s="303">
        <v>406935.99999999936</v>
      </c>
      <c r="AQ46" s="1419">
        <f t="shared" si="96"/>
        <v>1987200</v>
      </c>
      <c r="AR46" s="1420">
        <f t="shared" si="97"/>
        <v>1233502.9999999998</v>
      </c>
      <c r="AS46" s="873">
        <f t="shared" si="78"/>
        <v>5486400</v>
      </c>
      <c r="AT46" s="873">
        <f t="shared" si="79"/>
        <v>3252770</v>
      </c>
      <c r="AU46" s="1344">
        <f>+AU94*AU$3*24*1000</f>
        <v>669600</v>
      </c>
      <c r="AV46" s="303">
        <v>261022.00000000058</v>
      </c>
      <c r="AW46" s="873">
        <f t="shared" si="80"/>
        <v>6156000</v>
      </c>
      <c r="AX46" s="873">
        <f t="shared" si="81"/>
        <v>3513792.0000000005</v>
      </c>
      <c r="AY46" s="1344">
        <f>+AY94*AY$3*24*1000</f>
        <v>604800</v>
      </c>
      <c r="AZ46" s="303">
        <v>25380.000000000109</v>
      </c>
      <c r="BA46" s="873">
        <f t="shared" si="82"/>
        <v>6760800</v>
      </c>
      <c r="BB46" s="873">
        <f t="shared" si="83"/>
        <v>3539172.0000000005</v>
      </c>
      <c r="BC46" s="1344">
        <f>+BC94*BC$3*24*1000</f>
        <v>669600</v>
      </c>
      <c r="BD46" s="303">
        <v>21899.999999999636</v>
      </c>
      <c r="BE46" s="1419">
        <f t="shared" si="98"/>
        <v>1944000</v>
      </c>
      <c r="BF46" s="1420">
        <f t="shared" si="99"/>
        <v>308302.00000000035</v>
      </c>
      <c r="BG46" s="866">
        <f t="shared" si="100"/>
        <v>3931200</v>
      </c>
      <c r="BH46" s="866">
        <f t="shared" si="101"/>
        <v>1541805</v>
      </c>
      <c r="BI46" s="873">
        <f t="shared" si="84"/>
        <v>7430400</v>
      </c>
      <c r="BJ46" s="873">
        <f t="shared" si="85"/>
        <v>3561072</v>
      </c>
      <c r="BK46" s="1137"/>
      <c r="BL46" s="1137"/>
      <c r="BM46" s="1137"/>
      <c r="BN46" s="7068"/>
      <c r="BO46" s="7068"/>
      <c r="BP46" s="1137"/>
      <c r="BQ46" s="1137"/>
    </row>
    <row r="47" spans="1:69" s="139" customFormat="1" ht="15.75" thickBot="1" x14ac:dyDescent="0.3">
      <c r="A47" s="140"/>
      <c r="B47" s="1192"/>
      <c r="C47" s="7261"/>
      <c r="D47" s="7262"/>
      <c r="E47" s="7262"/>
      <c r="G47" s="7263"/>
      <c r="H47" s="7050"/>
      <c r="I47" s="7264"/>
      <c r="J47" s="7265"/>
      <c r="K47" s="7264"/>
      <c r="L47" s="7265"/>
      <c r="M47" s="5654"/>
      <c r="N47" s="5654"/>
      <c r="O47" s="7264"/>
      <c r="P47" s="7265"/>
      <c r="Q47" s="7264"/>
      <c r="R47" s="7265"/>
      <c r="S47" s="7264"/>
      <c r="T47" s="7265"/>
      <c r="U47" s="5654"/>
      <c r="V47" s="5654"/>
      <c r="W47" s="7264"/>
      <c r="X47" s="7265"/>
      <c r="Y47" s="5654"/>
      <c r="Z47" s="5654"/>
      <c r="AA47" s="7264"/>
      <c r="AB47" s="7265"/>
      <c r="AC47" s="7264"/>
      <c r="AD47" s="7265"/>
      <c r="AE47" s="5654"/>
      <c r="AF47" s="5654"/>
      <c r="AG47" s="7264"/>
      <c r="AH47" s="7265"/>
      <c r="AI47" s="5654"/>
      <c r="AJ47" s="5654"/>
      <c r="AK47" s="7264"/>
      <c r="AL47" s="7265"/>
      <c r="AM47" s="5654"/>
      <c r="AN47" s="5654"/>
      <c r="AO47" s="7264"/>
      <c r="AP47" s="7265"/>
      <c r="AQ47" s="7264"/>
      <c r="AR47" s="7265"/>
      <c r="AS47" s="5654"/>
      <c r="AT47" s="5654"/>
      <c r="AU47" s="7264"/>
      <c r="AV47" s="7265"/>
      <c r="AW47" s="5654"/>
      <c r="AX47" s="5654"/>
      <c r="AY47" s="7264"/>
      <c r="AZ47" s="7265"/>
      <c r="BA47" s="5654"/>
      <c r="BB47" s="5654"/>
      <c r="BC47" s="7264"/>
      <c r="BD47" s="7265"/>
      <c r="BE47" s="7264"/>
      <c r="BF47" s="7265"/>
      <c r="BG47" s="5654"/>
      <c r="BH47" s="5654"/>
      <c r="BI47" s="5654"/>
      <c r="BJ47" s="5654"/>
      <c r="BK47" s="518"/>
      <c r="BL47" s="518"/>
      <c r="BM47" s="7266"/>
      <c r="BN47" s="7266"/>
      <c r="BO47" s="7266"/>
    </row>
    <row r="48" spans="1:69" s="139" customFormat="1" ht="22.5" x14ac:dyDescent="0.25">
      <c r="A48" s="315"/>
      <c r="B48" s="316" t="s">
        <v>135</v>
      </c>
      <c r="C48" s="8195" t="s">
        <v>172</v>
      </c>
      <c r="D48" s="317"/>
      <c r="E48" s="317"/>
      <c r="G48" s="875"/>
      <c r="H48" s="144"/>
      <c r="I48" s="5203">
        <f t="shared" ref="I48:J48" si="102">+I15-I16</f>
        <v>0</v>
      </c>
      <c r="J48" s="5203">
        <f t="shared" si="102"/>
        <v>0</v>
      </c>
      <c r="K48" s="5203">
        <f t="shared" ref="K48:L48" si="103">+K15-K16</f>
        <v>0</v>
      </c>
      <c r="L48" s="5203">
        <f t="shared" si="103"/>
        <v>0</v>
      </c>
      <c r="M48" s="5203">
        <f t="shared" ref="M48:AP48" si="104">+M15-M16</f>
        <v>0</v>
      </c>
      <c r="N48" s="5203">
        <f t="shared" si="104"/>
        <v>0</v>
      </c>
      <c r="O48" s="5203">
        <f t="shared" si="104"/>
        <v>0</v>
      </c>
      <c r="P48" s="5203">
        <f t="shared" si="104"/>
        <v>1</v>
      </c>
      <c r="Q48" s="5203">
        <f t="shared" si="104"/>
        <v>0</v>
      </c>
      <c r="R48" s="5203">
        <f t="shared" si="104"/>
        <v>1</v>
      </c>
      <c r="S48" s="5203">
        <f t="shared" ref="S48:T48" si="105">+S15-S16</f>
        <v>0</v>
      </c>
      <c r="T48" s="5203">
        <f t="shared" si="105"/>
        <v>0</v>
      </c>
      <c r="U48" s="5203">
        <f t="shared" si="104"/>
        <v>0</v>
      </c>
      <c r="V48" s="5203">
        <f t="shared" si="104"/>
        <v>1</v>
      </c>
      <c r="W48" s="5203">
        <f t="shared" si="104"/>
        <v>0</v>
      </c>
      <c r="X48" s="5203">
        <f t="shared" si="104"/>
        <v>0</v>
      </c>
      <c r="Y48" s="5203">
        <f t="shared" si="104"/>
        <v>0</v>
      </c>
      <c r="Z48" s="5203">
        <f t="shared" si="104"/>
        <v>1</v>
      </c>
      <c r="AA48" s="5203">
        <f t="shared" ref="AA48:AB48" si="106">+AA15-AA16</f>
        <v>0</v>
      </c>
      <c r="AB48" s="5203">
        <f t="shared" si="106"/>
        <v>0</v>
      </c>
      <c r="AC48" s="5203">
        <f t="shared" si="104"/>
        <v>0</v>
      </c>
      <c r="AD48" s="5203">
        <f t="shared" si="104"/>
        <v>0</v>
      </c>
      <c r="AE48" s="5203">
        <f t="shared" si="104"/>
        <v>0</v>
      </c>
      <c r="AF48" s="5203">
        <f t="shared" si="104"/>
        <v>1</v>
      </c>
      <c r="AG48" s="5203">
        <f t="shared" si="104"/>
        <v>0</v>
      </c>
      <c r="AH48" s="5203">
        <f t="shared" si="104"/>
        <v>0</v>
      </c>
      <c r="AI48" s="5203">
        <f t="shared" si="104"/>
        <v>0</v>
      </c>
      <c r="AJ48" s="5203">
        <f t="shared" si="104"/>
        <v>1</v>
      </c>
      <c r="AK48" s="5203">
        <f t="shared" ref="AK48:AL48" si="107">+AK15-AK16</f>
        <v>0</v>
      </c>
      <c r="AL48" s="5203">
        <f t="shared" si="107"/>
        <v>0</v>
      </c>
      <c r="AM48" s="5203">
        <f t="shared" si="104"/>
        <v>0</v>
      </c>
      <c r="AN48" s="5203">
        <f t="shared" si="104"/>
        <v>1.0000001192092896</v>
      </c>
      <c r="AO48" s="5203">
        <f t="shared" si="104"/>
        <v>0</v>
      </c>
      <c r="AP48" s="5203">
        <f t="shared" si="104"/>
        <v>0</v>
      </c>
      <c r="AQ48" s="5203">
        <f t="shared" ref="AQ48:BJ48" si="108">+AQ15-AQ16</f>
        <v>0</v>
      </c>
      <c r="AR48" s="5203">
        <f t="shared" si="108"/>
        <v>0</v>
      </c>
      <c r="AS48" s="5203">
        <f t="shared" si="108"/>
        <v>0</v>
      </c>
      <c r="AT48" s="5203">
        <f t="shared" si="108"/>
        <v>1.0000001192092896</v>
      </c>
      <c r="AU48" s="5203">
        <f t="shared" si="108"/>
        <v>0</v>
      </c>
      <c r="AV48" s="5203">
        <f t="shared" si="108"/>
        <v>0</v>
      </c>
      <c r="AW48" s="5203">
        <f t="shared" si="108"/>
        <v>0</v>
      </c>
      <c r="AX48" s="5203">
        <f t="shared" si="108"/>
        <v>1.0000002384185791</v>
      </c>
      <c r="AY48" s="5203">
        <f t="shared" ref="AY48:AZ48" si="109">+AY15-AY16</f>
        <v>0</v>
      </c>
      <c r="AZ48" s="5203">
        <f t="shared" si="109"/>
        <v>0</v>
      </c>
      <c r="BA48" s="5203">
        <f t="shared" si="108"/>
        <v>0</v>
      </c>
      <c r="BB48" s="5203">
        <f t="shared" si="108"/>
        <v>1.0000002384185791</v>
      </c>
      <c r="BC48" s="5203">
        <f t="shared" si="108"/>
        <v>0</v>
      </c>
      <c r="BD48" s="5203">
        <f t="shared" si="108"/>
        <v>56000.000000044703</v>
      </c>
      <c r="BE48" s="5203">
        <f t="shared" si="108"/>
        <v>0</v>
      </c>
      <c r="BF48" s="5203">
        <f t="shared" si="108"/>
        <v>56000.000000059605</v>
      </c>
      <c r="BG48" s="5203">
        <f t="shared" si="108"/>
        <v>0</v>
      </c>
      <c r="BH48" s="5203">
        <f t="shared" si="108"/>
        <v>56000</v>
      </c>
      <c r="BI48" s="5203">
        <f t="shared" si="108"/>
        <v>0</v>
      </c>
      <c r="BJ48" s="5203">
        <f t="shared" si="108"/>
        <v>56001.000000238419</v>
      </c>
      <c r="BK48" s="1137"/>
      <c r="BL48" s="25"/>
      <c r="BM48" s="1137"/>
      <c r="BN48" s="1137"/>
      <c r="BO48" s="1137"/>
    </row>
    <row r="49" spans="1:67" s="139" customFormat="1" ht="23.25" thickBot="1" x14ac:dyDescent="0.35">
      <c r="A49" s="315"/>
      <c r="B49" s="318" t="s">
        <v>395</v>
      </c>
      <c r="C49" s="8196"/>
      <c r="D49" s="319" t="s">
        <v>174</v>
      </c>
      <c r="E49" s="319" t="s">
        <v>174</v>
      </c>
      <c r="G49" s="875"/>
      <c r="H49" s="743" t="s">
        <v>474</v>
      </c>
      <c r="I49" s="314"/>
      <c r="K49" s="314"/>
      <c r="M49" s="144"/>
      <c r="N49" s="144"/>
      <c r="O49" s="314"/>
      <c r="Q49" s="144"/>
      <c r="R49" s="144"/>
      <c r="S49" s="314"/>
      <c r="U49" s="144"/>
      <c r="V49" s="144"/>
      <c r="W49" s="314"/>
      <c r="Y49" s="144"/>
      <c r="Z49" s="144"/>
      <c r="AA49" s="314"/>
      <c r="AC49" s="144"/>
      <c r="AD49" s="144"/>
      <c r="AE49" s="144"/>
      <c r="AF49" s="144"/>
      <c r="AG49" s="314"/>
      <c r="AI49" s="144"/>
      <c r="AJ49" s="144"/>
      <c r="AK49" s="314"/>
      <c r="AM49" s="144"/>
      <c r="AN49" s="144"/>
      <c r="AO49" s="314"/>
      <c r="AQ49" s="144"/>
      <c r="AR49" s="144"/>
      <c r="AS49" s="144"/>
      <c r="AT49" s="144"/>
      <c r="AU49" s="314"/>
      <c r="AW49" s="144"/>
      <c r="AX49" s="144"/>
      <c r="AY49" s="314"/>
      <c r="BA49" s="144"/>
      <c r="BB49" s="144"/>
      <c r="BC49" s="314"/>
      <c r="BE49" s="144"/>
      <c r="BF49" s="144"/>
      <c r="BG49" s="144"/>
      <c r="BH49" s="144"/>
      <c r="BI49" s="144"/>
      <c r="BJ49" s="144"/>
      <c r="BK49" s="1137"/>
      <c r="BL49" s="1137"/>
      <c r="BM49" s="1137"/>
      <c r="BN49" s="1137"/>
      <c r="BO49" s="1137"/>
    </row>
    <row r="50" spans="1:67" s="139" customFormat="1" x14ac:dyDescent="0.25">
      <c r="A50" s="320"/>
      <c r="B50" s="321" t="s">
        <v>457</v>
      </c>
      <c r="C50" s="239" t="s">
        <v>374</v>
      </c>
      <c r="D50" s="322">
        <f>+((D6/1000)/D$3)/24</f>
        <v>0</v>
      </c>
      <c r="E50" s="322">
        <f>+((E6/1000)/E$3)/24</f>
        <v>0</v>
      </c>
      <c r="G50" s="875"/>
      <c r="H50" s="496"/>
      <c r="I50" s="314"/>
      <c r="K50" s="314"/>
      <c r="M50" s="144"/>
      <c r="N50" s="144"/>
      <c r="O50" s="314"/>
      <c r="Q50" s="144"/>
      <c r="R50" s="144"/>
      <c r="S50" s="314"/>
      <c r="U50" s="144"/>
      <c r="V50" s="144"/>
      <c r="W50" s="314"/>
      <c r="Y50" s="144"/>
      <c r="Z50" s="144"/>
      <c r="AA50" s="314"/>
      <c r="AC50" s="144"/>
      <c r="AD50" s="144"/>
      <c r="AE50" s="144"/>
      <c r="AF50" s="144"/>
      <c r="AG50" s="314"/>
      <c r="AI50" s="144"/>
      <c r="AJ50" s="144"/>
      <c r="AK50" s="314"/>
      <c r="AM50" s="144"/>
      <c r="AN50" s="144"/>
      <c r="AO50" s="314"/>
      <c r="AQ50" s="144"/>
      <c r="AR50" s="144"/>
      <c r="AS50" s="144"/>
      <c r="AT50" s="144"/>
      <c r="AU50" s="314"/>
      <c r="AW50" s="144"/>
      <c r="AX50" s="144"/>
      <c r="AY50" s="314"/>
      <c r="BA50" s="144"/>
      <c r="BB50" s="144"/>
      <c r="BC50" s="314"/>
      <c r="BE50" s="144"/>
      <c r="BF50" s="144"/>
      <c r="BG50" s="144"/>
      <c r="BH50" s="144"/>
      <c r="BI50" s="144"/>
      <c r="BJ50" s="144"/>
      <c r="BK50" s="1137"/>
      <c r="BL50" s="1137"/>
      <c r="BM50" s="1137"/>
      <c r="BN50" s="1137"/>
      <c r="BO50" s="1137"/>
    </row>
    <row r="51" spans="1:67" s="139" customFormat="1" ht="15.75" thickBot="1" x14ac:dyDescent="0.3">
      <c r="A51" s="323"/>
      <c r="B51" s="172" t="s">
        <v>560</v>
      </c>
      <c r="C51" s="209" t="s">
        <v>374</v>
      </c>
      <c r="D51" s="322" t="e">
        <f>+((#REF!/1000)/D$3)/24</f>
        <v>#REF!</v>
      </c>
      <c r="E51" s="322" t="e">
        <f>+((#REF!/1000)/E$3)/24</f>
        <v>#REF!</v>
      </c>
      <c r="G51" s="875"/>
      <c r="H51" s="496"/>
      <c r="I51" s="338">
        <f t="shared" ref="I51:AN51" si="110">+I3</f>
        <v>30</v>
      </c>
      <c r="J51" s="338">
        <f t="shared" si="110"/>
        <v>30</v>
      </c>
      <c r="K51" s="338">
        <f t="shared" si="110"/>
        <v>31</v>
      </c>
      <c r="L51" s="338">
        <f t="shared" si="110"/>
        <v>31</v>
      </c>
      <c r="M51" s="338">
        <f t="shared" si="110"/>
        <v>61</v>
      </c>
      <c r="N51" s="338">
        <f t="shared" si="110"/>
        <v>61</v>
      </c>
      <c r="O51" s="338">
        <f t="shared" si="110"/>
        <v>30</v>
      </c>
      <c r="P51" s="338">
        <f t="shared" si="110"/>
        <v>30</v>
      </c>
      <c r="Q51" s="338">
        <f t="shared" si="110"/>
        <v>91</v>
      </c>
      <c r="R51" s="338">
        <f t="shared" si="110"/>
        <v>91</v>
      </c>
      <c r="S51" s="338">
        <f t="shared" si="110"/>
        <v>31</v>
      </c>
      <c r="T51" s="338">
        <f t="shared" si="110"/>
        <v>31</v>
      </c>
      <c r="U51" s="338">
        <f t="shared" si="110"/>
        <v>122</v>
      </c>
      <c r="V51" s="338">
        <f t="shared" si="110"/>
        <v>122</v>
      </c>
      <c r="W51" s="338">
        <f t="shared" si="110"/>
        <v>31</v>
      </c>
      <c r="X51" s="338">
        <f t="shared" si="110"/>
        <v>31</v>
      </c>
      <c r="Y51" s="338">
        <f t="shared" si="110"/>
        <v>153</v>
      </c>
      <c r="Z51" s="338">
        <f t="shared" si="110"/>
        <v>153</v>
      </c>
      <c r="AA51" s="338">
        <f t="shared" si="110"/>
        <v>30</v>
      </c>
      <c r="AB51" s="338">
        <f t="shared" si="110"/>
        <v>30</v>
      </c>
      <c r="AC51" s="338">
        <f t="shared" si="110"/>
        <v>92</v>
      </c>
      <c r="AD51" s="338">
        <f t="shared" si="110"/>
        <v>92</v>
      </c>
      <c r="AE51" s="338">
        <f t="shared" si="110"/>
        <v>183</v>
      </c>
      <c r="AF51" s="338">
        <f t="shared" si="110"/>
        <v>183</v>
      </c>
      <c r="AG51" s="338">
        <f t="shared" si="110"/>
        <v>31</v>
      </c>
      <c r="AH51" s="338">
        <f t="shared" si="110"/>
        <v>31</v>
      </c>
      <c r="AI51" s="338">
        <f t="shared" si="110"/>
        <v>214</v>
      </c>
      <c r="AJ51" s="338">
        <f t="shared" si="110"/>
        <v>214</v>
      </c>
      <c r="AK51" s="338">
        <f t="shared" si="110"/>
        <v>30</v>
      </c>
      <c r="AL51" s="338">
        <f t="shared" si="110"/>
        <v>30</v>
      </c>
      <c r="AM51" s="338">
        <f t="shared" si="110"/>
        <v>244</v>
      </c>
      <c r="AN51" s="338">
        <f t="shared" si="110"/>
        <v>244</v>
      </c>
      <c r="AO51" s="338">
        <f t="shared" ref="AO51:BJ51" si="111">+AO3</f>
        <v>31</v>
      </c>
      <c r="AP51" s="338">
        <f t="shared" si="111"/>
        <v>31</v>
      </c>
      <c r="AQ51" s="338">
        <f t="shared" si="111"/>
        <v>92</v>
      </c>
      <c r="AR51" s="338">
        <f t="shared" si="111"/>
        <v>92</v>
      </c>
      <c r="AS51" s="338">
        <f t="shared" si="111"/>
        <v>275</v>
      </c>
      <c r="AT51" s="338">
        <f t="shared" si="111"/>
        <v>275</v>
      </c>
      <c r="AU51" s="338">
        <f t="shared" si="111"/>
        <v>31</v>
      </c>
      <c r="AV51" s="338">
        <f t="shared" si="111"/>
        <v>31</v>
      </c>
      <c r="AW51" s="338">
        <f t="shared" si="111"/>
        <v>306</v>
      </c>
      <c r="AX51" s="338">
        <f t="shared" si="111"/>
        <v>306</v>
      </c>
      <c r="AY51" s="338">
        <f t="shared" si="111"/>
        <v>28</v>
      </c>
      <c r="AZ51" s="338">
        <f t="shared" si="111"/>
        <v>28</v>
      </c>
      <c r="BA51" s="338">
        <f t="shared" si="111"/>
        <v>334</v>
      </c>
      <c r="BB51" s="338">
        <f t="shared" si="111"/>
        <v>334</v>
      </c>
      <c r="BC51" s="338">
        <f t="shared" si="111"/>
        <v>31</v>
      </c>
      <c r="BD51" s="338">
        <f t="shared" si="111"/>
        <v>31</v>
      </c>
      <c r="BE51" s="338">
        <f t="shared" si="111"/>
        <v>90</v>
      </c>
      <c r="BF51" s="338">
        <f t="shared" si="111"/>
        <v>90</v>
      </c>
      <c r="BG51" s="338">
        <f t="shared" si="111"/>
        <v>182</v>
      </c>
      <c r="BH51" s="338">
        <f t="shared" si="111"/>
        <v>182</v>
      </c>
      <c r="BI51" s="338">
        <f t="shared" si="111"/>
        <v>365</v>
      </c>
      <c r="BJ51" s="338">
        <f t="shared" si="111"/>
        <v>365</v>
      </c>
      <c r="BK51" s="1137"/>
      <c r="BL51" s="1137"/>
      <c r="BM51" s="1137"/>
      <c r="BN51" s="1137"/>
      <c r="BO51" s="1137"/>
    </row>
    <row r="52" spans="1:67" ht="22.5" x14ac:dyDescent="0.25">
      <c r="A52" s="63"/>
      <c r="B52" s="172" t="s">
        <v>458</v>
      </c>
      <c r="C52" s="12" t="s">
        <v>374</v>
      </c>
      <c r="D52" s="294">
        <f t="shared" ref="D52:E54" si="112">+((D7/1000)/D$3)/24</f>
        <v>4.3569444444444443</v>
      </c>
      <c r="E52" s="294">
        <f t="shared" si="112"/>
        <v>1.0295698924731183</v>
      </c>
      <c r="G52" s="856"/>
      <c r="H52" s="857" t="s">
        <v>135</v>
      </c>
      <c r="I52" s="8181" t="str">
        <f>+I4</f>
        <v>Apr'26</v>
      </c>
      <c r="J52" s="8182"/>
      <c r="K52" s="8181" t="str">
        <f>+K4</f>
        <v>May'25</v>
      </c>
      <c r="L52" s="8182"/>
      <c r="M52" s="8183" t="s">
        <v>14</v>
      </c>
      <c r="N52" s="8184"/>
      <c r="O52" s="8181" t="str">
        <f>+O4</f>
        <v>Jun'25</v>
      </c>
      <c r="P52" s="8182"/>
      <c r="Q52" s="8189" t="str">
        <f>+Q4</f>
        <v>QTR 1</v>
      </c>
      <c r="R52" s="8190"/>
      <c r="S52" s="8181" t="str">
        <f>+S4</f>
        <v>Jul'25</v>
      </c>
      <c r="T52" s="8182"/>
      <c r="U52" s="8183" t="s">
        <v>17</v>
      </c>
      <c r="V52" s="8184"/>
      <c r="W52" s="8181" t="str">
        <f>+W4</f>
        <v>Aug'25</v>
      </c>
      <c r="X52" s="8182"/>
      <c r="Y52" s="8183" t="s">
        <v>17</v>
      </c>
      <c r="Z52" s="8184"/>
      <c r="AA52" s="8181" t="str">
        <f>+AA4</f>
        <v>Sep'25</v>
      </c>
      <c r="AB52" s="8182"/>
      <c r="AC52" s="8189" t="str">
        <f>+AC4</f>
        <v>QTR 2</v>
      </c>
      <c r="AD52" s="8190"/>
      <c r="AE52" s="8191" t="s">
        <v>626</v>
      </c>
      <c r="AF52" s="8192"/>
      <c r="AG52" s="8181" t="str">
        <f>+AG4</f>
        <v>Oct'25</v>
      </c>
      <c r="AH52" s="8182"/>
      <c r="AI52" s="8183" t="s">
        <v>24</v>
      </c>
      <c r="AJ52" s="8184"/>
      <c r="AK52" s="8181" t="str">
        <f>+AK4</f>
        <v>Nov'25</v>
      </c>
      <c r="AL52" s="8182"/>
      <c r="AM52" s="8183" t="str">
        <f>+AM4</f>
        <v>8M</v>
      </c>
      <c r="AN52" s="8184"/>
      <c r="AO52" s="8181" t="str">
        <f>+AO4</f>
        <v>Dec'25</v>
      </c>
      <c r="AP52" s="8182"/>
      <c r="AQ52" s="8189" t="str">
        <f>+AQ4</f>
        <v>QTR 3</v>
      </c>
      <c r="AR52" s="8190"/>
      <c r="AS52" s="8183" t="s">
        <v>1575</v>
      </c>
      <c r="AT52" s="8184"/>
      <c r="AU52" s="8181" t="str">
        <f>+AU4</f>
        <v>Jan'26</v>
      </c>
      <c r="AV52" s="8182"/>
      <c r="AW52" s="8183" t="s">
        <v>28</v>
      </c>
      <c r="AX52" s="8184"/>
      <c r="AY52" s="8181" t="str">
        <f>+AY4</f>
        <v>Feb'26</v>
      </c>
      <c r="AZ52" s="8182"/>
      <c r="BA52" s="8183" t="s">
        <v>27</v>
      </c>
      <c r="BB52" s="8184"/>
      <c r="BC52" s="8181" t="str">
        <f>+BC4</f>
        <v>Mar'26</v>
      </c>
      <c r="BD52" s="8182"/>
      <c r="BE52" s="8189" t="str">
        <f>+BE4</f>
        <v>QTR 4</v>
      </c>
      <c r="BF52" s="8190"/>
      <c r="BG52" s="8191" t="s">
        <v>626</v>
      </c>
      <c r="BH52" s="8192"/>
      <c r="BI52" s="8183" t="str">
        <f>+BI4</f>
        <v>2025-26</v>
      </c>
      <c r="BJ52" s="8184"/>
      <c r="BK52" s="1137"/>
      <c r="BL52" s="1137"/>
      <c r="BM52" s="1137"/>
      <c r="BN52" s="1137"/>
      <c r="BO52" s="1137"/>
    </row>
    <row r="53" spans="1:67" x14ac:dyDescent="0.25">
      <c r="A53" s="260"/>
      <c r="B53" s="172" t="s">
        <v>459</v>
      </c>
      <c r="C53" s="12" t="s">
        <v>374</v>
      </c>
      <c r="D53" s="294">
        <f t="shared" si="112"/>
        <v>78.336111111111109</v>
      </c>
      <c r="E53" s="294">
        <f t="shared" si="112"/>
        <v>87.782258064516142</v>
      </c>
      <c r="G53" s="858"/>
      <c r="H53" s="250"/>
      <c r="I53" s="1448" t="s">
        <v>173</v>
      </c>
      <c r="J53" s="5" t="s">
        <v>174</v>
      </c>
      <c r="K53" s="5628" t="s">
        <v>173</v>
      </c>
      <c r="L53" s="5" t="s">
        <v>174</v>
      </c>
      <c r="M53" s="664" t="s">
        <v>173</v>
      </c>
      <c r="N53" s="859" t="s">
        <v>174</v>
      </c>
      <c r="O53" s="5730" t="s">
        <v>173</v>
      </c>
      <c r="P53" s="5" t="s">
        <v>174</v>
      </c>
      <c r="Q53" s="665" t="s">
        <v>173</v>
      </c>
      <c r="R53" s="860" t="s">
        <v>174</v>
      </c>
      <c r="S53" s="5845" t="s">
        <v>173</v>
      </c>
      <c r="T53" s="5" t="s">
        <v>174</v>
      </c>
      <c r="U53" s="664" t="s">
        <v>173</v>
      </c>
      <c r="V53" s="859" t="s">
        <v>174</v>
      </c>
      <c r="W53" s="5945" t="s">
        <v>173</v>
      </c>
      <c r="X53" s="5" t="s">
        <v>174</v>
      </c>
      <c r="Y53" s="4356" t="s">
        <v>173</v>
      </c>
      <c r="Z53" s="859" t="s">
        <v>174</v>
      </c>
      <c r="AA53" s="6048" t="s">
        <v>173</v>
      </c>
      <c r="AB53" s="5" t="s">
        <v>174</v>
      </c>
      <c r="AC53" s="2090" t="s">
        <v>173</v>
      </c>
      <c r="AD53" s="860" t="s">
        <v>174</v>
      </c>
      <c r="AE53" s="748" t="s">
        <v>173</v>
      </c>
      <c r="AF53" s="750" t="s">
        <v>174</v>
      </c>
      <c r="AG53" s="6178" t="s">
        <v>173</v>
      </c>
      <c r="AH53" s="5" t="s">
        <v>174</v>
      </c>
      <c r="AI53" s="2447" t="s">
        <v>173</v>
      </c>
      <c r="AJ53" s="859" t="s">
        <v>174</v>
      </c>
      <c r="AK53" s="6348" t="s">
        <v>173</v>
      </c>
      <c r="AL53" s="5" t="s">
        <v>174</v>
      </c>
      <c r="AM53" s="4641" t="s">
        <v>173</v>
      </c>
      <c r="AN53" s="859" t="s">
        <v>174</v>
      </c>
      <c r="AO53" s="6614" t="s">
        <v>173</v>
      </c>
      <c r="AP53" s="5" t="s">
        <v>174</v>
      </c>
      <c r="AQ53" s="2559" t="s">
        <v>173</v>
      </c>
      <c r="AR53" s="860" t="s">
        <v>174</v>
      </c>
      <c r="AS53" s="2560" t="s">
        <v>173</v>
      </c>
      <c r="AT53" s="859" t="s">
        <v>174</v>
      </c>
      <c r="AU53" s="1448" t="s">
        <v>173</v>
      </c>
      <c r="AV53" s="5" t="s">
        <v>174</v>
      </c>
      <c r="AW53" s="2606" t="s">
        <v>173</v>
      </c>
      <c r="AX53" s="859" t="s">
        <v>174</v>
      </c>
      <c r="AY53" s="1448" t="s">
        <v>173</v>
      </c>
      <c r="AZ53" s="5" t="s">
        <v>174</v>
      </c>
      <c r="BA53" s="5048" t="s">
        <v>173</v>
      </c>
      <c r="BB53" s="859" t="s">
        <v>174</v>
      </c>
      <c r="BC53" s="1448" t="s">
        <v>173</v>
      </c>
      <c r="BD53" s="5" t="s">
        <v>174</v>
      </c>
      <c r="BE53" s="2804" t="s">
        <v>173</v>
      </c>
      <c r="BF53" s="860" t="s">
        <v>174</v>
      </c>
      <c r="BG53" s="2806" t="s">
        <v>173</v>
      </c>
      <c r="BH53" s="750" t="s">
        <v>174</v>
      </c>
      <c r="BI53" s="2805" t="s">
        <v>173</v>
      </c>
      <c r="BJ53" s="859" t="s">
        <v>174</v>
      </c>
      <c r="BK53" s="1137"/>
      <c r="BL53" s="1137"/>
      <c r="BM53" s="1137"/>
      <c r="BN53" s="1137"/>
      <c r="BO53" s="1137"/>
    </row>
    <row r="54" spans="1:67" ht="15.75" x14ac:dyDescent="0.25">
      <c r="A54" s="260"/>
      <c r="B54" s="22" t="s">
        <v>460</v>
      </c>
      <c r="C54" s="13" t="s">
        <v>374</v>
      </c>
      <c r="D54" s="294">
        <f t="shared" si="112"/>
        <v>0.71443055555555557</v>
      </c>
      <c r="E54" s="294">
        <f t="shared" si="112"/>
        <v>0.69551075268817242</v>
      </c>
      <c r="G54" s="861">
        <v>1</v>
      </c>
      <c r="H54" s="758" t="s">
        <v>712</v>
      </c>
      <c r="I54" s="304">
        <f>+SUM(I55:I59)</f>
        <v>140.8272142220323</v>
      </c>
      <c r="J54" s="305">
        <f t="shared" ref="J54:J80" si="113">J6/1000/24/J$3</f>
        <v>157.53689451388888</v>
      </c>
      <c r="K54" s="304">
        <f>+SUM(K55:K59)</f>
        <v>163.24588093265663</v>
      </c>
      <c r="L54" s="305">
        <f t="shared" ref="L54:N80" si="114">L6/1000/24/L$3</f>
        <v>154.51891491935484</v>
      </c>
      <c r="M54" s="876">
        <f t="shared" si="114"/>
        <v>152.22030714054634</v>
      </c>
      <c r="N54" s="876">
        <f t="shared" si="114"/>
        <v>156.00316717896177</v>
      </c>
      <c r="O54" s="304">
        <f>+SUM(O55:O59)</f>
        <v>163.17683235758588</v>
      </c>
      <c r="P54" s="305">
        <f t="shared" ref="P54:R80" si="115">P6/1000/24/P$3</f>
        <v>158.26447291666668</v>
      </c>
      <c r="Q54" s="877">
        <f t="shared" si="115"/>
        <v>155.83234842088905</v>
      </c>
      <c r="R54" s="877">
        <f t="shared" si="115"/>
        <v>156.74865258699634</v>
      </c>
      <c r="S54" s="304">
        <f>+SUM(S55:S59)</f>
        <v>161.99369246528286</v>
      </c>
      <c r="T54" s="305">
        <f t="shared" ref="T54:V80" si="116">T6/1000/24/T$3</f>
        <v>159.70041103225802</v>
      </c>
      <c r="U54" s="876">
        <f t="shared" si="116"/>
        <v>157.39793584200552</v>
      </c>
      <c r="V54" s="876">
        <f t="shared" si="116"/>
        <v>157.49868956898905</v>
      </c>
      <c r="W54" s="304">
        <f>+SUM(W55:W59)</f>
        <v>161.99369246528286</v>
      </c>
      <c r="X54" s="305">
        <f t="shared" ref="X54:Z80" si="117">X6/1000/24/X$3</f>
        <v>155.66508198924717</v>
      </c>
      <c r="Y54" s="876">
        <f t="shared" si="117"/>
        <v>158.32910221665651</v>
      </c>
      <c r="Z54" s="876">
        <f t="shared" si="117"/>
        <v>157.12717430773415</v>
      </c>
      <c r="AA54" s="304">
        <f>+SUM(AA55:AA59)</f>
        <v>115.70643208228404</v>
      </c>
      <c r="AB54" s="305">
        <f t="shared" ref="AB54:AF63" si="118">AB6/1000/24/AB$3</f>
        <v>157.39600555555555</v>
      </c>
      <c r="AC54" s="877">
        <f t="shared" si="118"/>
        <v>146.9000206012615</v>
      </c>
      <c r="AD54" s="877">
        <f t="shared" si="118"/>
        <v>157.58924402536223</v>
      </c>
      <c r="AE54" s="878">
        <f t="shared" si="118"/>
        <v>151.34177924380853</v>
      </c>
      <c r="AF54" s="878">
        <f t="shared" si="118"/>
        <v>157.17124500409832</v>
      </c>
      <c r="AG54" s="304">
        <f>+SUM(AG55:AG59)</f>
        <v>162.95312396196638</v>
      </c>
      <c r="AH54" s="305">
        <f t="shared" ref="AH54:AJ80" si="119">AH6/1000/24/AH$3</f>
        <v>139.17941729838711</v>
      </c>
      <c r="AI54" s="876">
        <f t="shared" si="119"/>
        <v>153.02379646933608</v>
      </c>
      <c r="AJ54" s="876">
        <f t="shared" si="119"/>
        <v>154.56495220560745</v>
      </c>
      <c r="AK54" s="304">
        <f>+SUM(AK55:AK59)</f>
        <v>163.6521911820563</v>
      </c>
      <c r="AL54" s="305">
        <f t="shared" ref="AL54:AN80" si="120">AL6/1000/24/AL$3</f>
        <v>154.74694305555556</v>
      </c>
      <c r="AM54" s="876">
        <f t="shared" si="120"/>
        <v>154.33056631106399</v>
      </c>
      <c r="AN54" s="876">
        <f t="shared" si="120"/>
        <v>154.58732812978141</v>
      </c>
      <c r="AO54" s="304">
        <f>+SUM(AO55:AO59)</f>
        <v>163.63767893483231</v>
      </c>
      <c r="AP54" s="305">
        <f t="shared" ref="AP54:AT63" si="121">AP6/1000/24/AP$3</f>
        <v>152.06675672043011</v>
      </c>
      <c r="AQ54" s="877">
        <f t="shared" si="121"/>
        <v>163.41174592676575</v>
      </c>
      <c r="AR54" s="877">
        <f t="shared" si="121"/>
        <v>148.59825745923914</v>
      </c>
      <c r="AS54" s="876">
        <f t="shared" si="121"/>
        <v>155.37973173410694</v>
      </c>
      <c r="AT54" s="876">
        <f t="shared" si="121"/>
        <v>154.30319098909089</v>
      </c>
      <c r="AU54" s="304">
        <f>+SUM(AU55:AU59)</f>
        <v>164.59367150932485</v>
      </c>
      <c r="AV54" s="305">
        <f t="shared" ref="AV54:AX80" si="122">AV6/1000/24/AV$3</f>
        <v>153.19634173387107</v>
      </c>
      <c r="AW54" s="876">
        <f t="shared" si="122"/>
        <v>156.31317007734796</v>
      </c>
      <c r="AX54" s="876">
        <f t="shared" si="122"/>
        <v>154.19105920179737</v>
      </c>
      <c r="AY54" s="304">
        <f>+SUM(AY55:AY59)</f>
        <v>163.94219944404304</v>
      </c>
      <c r="AZ54" s="305">
        <f t="shared" ref="AZ54:BB80" si="123">AZ6/1000/24/AZ$3</f>
        <v>150.10932937499999</v>
      </c>
      <c r="BA54" s="876">
        <f t="shared" si="123"/>
        <v>156.95272942545415</v>
      </c>
      <c r="BB54" s="876">
        <f t="shared" si="123"/>
        <v>153.8488782582335</v>
      </c>
      <c r="BC54" s="304">
        <f>+SUM(BC55:BC59)</f>
        <v>164.76264794652093</v>
      </c>
      <c r="BD54" s="305">
        <f t="shared" ref="BD54:BJ63" si="124">BD6/1000/24/BD$3</f>
        <v>155.01148172043028</v>
      </c>
      <c r="BE54" s="877">
        <f t="shared" si="124"/>
        <v>164.44919430627138</v>
      </c>
      <c r="BF54" s="877">
        <f t="shared" si="124"/>
        <v>152.86115277314823</v>
      </c>
      <c r="BG54" s="878">
        <f t="shared" si="124"/>
        <v>163.92476985069709</v>
      </c>
      <c r="BH54" s="878">
        <f t="shared" si="124"/>
        <v>150.70628261446893</v>
      </c>
      <c r="BI54" s="876">
        <f t="shared" si="124"/>
        <v>157.61603757381872</v>
      </c>
      <c r="BJ54" s="876">
        <f t="shared" si="124"/>
        <v>153.94761992214609</v>
      </c>
      <c r="BK54" s="1137"/>
      <c r="BL54" s="1137"/>
      <c r="BM54" s="1137"/>
      <c r="BN54" s="1137"/>
      <c r="BO54" s="1137"/>
    </row>
    <row r="55" spans="1:67" x14ac:dyDescent="0.25">
      <c r="A55" s="260"/>
      <c r="B55" s="56" t="s">
        <v>467</v>
      </c>
      <c r="C55" s="15" t="s">
        <v>374</v>
      </c>
      <c r="D55" s="294">
        <f t="shared" ref="D55:E57" si="125">+((D12/1000)/D$3)/24</f>
        <v>0.36386362222222091</v>
      </c>
      <c r="E55" s="294">
        <f t="shared" si="125"/>
        <v>0.42739066801075221</v>
      </c>
      <c r="G55" s="858">
        <v>1.1000000000000001</v>
      </c>
      <c r="H55" s="250" t="s">
        <v>560</v>
      </c>
      <c r="I55" s="360">
        <v>42.363257033356582</v>
      </c>
      <c r="J55" s="307">
        <f t="shared" si="113"/>
        <v>52.766388888888869</v>
      </c>
      <c r="K55" s="360">
        <v>53.554735551200942</v>
      </c>
      <c r="L55" s="307">
        <f t="shared" si="114"/>
        <v>46.627688172043008</v>
      </c>
      <c r="M55" s="879">
        <f t="shared" si="114"/>
        <v>48.050729722752891</v>
      </c>
      <c r="N55" s="879">
        <f t="shared" si="114"/>
        <v>49.646721311475396</v>
      </c>
      <c r="O55" s="360">
        <v>53.393490362409324</v>
      </c>
      <c r="P55" s="307">
        <f t="shared" si="115"/>
        <v>54.583888888888879</v>
      </c>
      <c r="Q55" s="880">
        <f t="shared" si="115"/>
        <v>49.812079384178084</v>
      </c>
      <c r="R55" s="880">
        <f t="shared" si="115"/>
        <v>51.274358974358961</v>
      </c>
      <c r="S55" s="360">
        <v>53.643163134633191</v>
      </c>
      <c r="T55" s="307">
        <f t="shared" si="116"/>
        <v>57.478091397849454</v>
      </c>
      <c r="U55" s="879">
        <f t="shared" si="116"/>
        <v>50.785551484703568</v>
      </c>
      <c r="V55" s="879">
        <f t="shared" si="116"/>
        <v>52.850717213114741</v>
      </c>
      <c r="W55" s="360">
        <v>52.863562744769652</v>
      </c>
      <c r="X55" s="307">
        <f t="shared" si="117"/>
        <v>55.159811827956844</v>
      </c>
      <c r="Y55" s="879">
        <f t="shared" si="117"/>
        <v>51.206586445893429</v>
      </c>
      <c r="Z55" s="879">
        <f t="shared" si="117"/>
        <v>53.318572984749423</v>
      </c>
      <c r="AA55" s="360">
        <v>40.91349355403424</v>
      </c>
      <c r="AB55" s="307">
        <f t="shared" si="118"/>
        <v>53.146388888888886</v>
      </c>
      <c r="AC55" s="880">
        <f t="shared" si="118"/>
        <v>49.229492487853427</v>
      </c>
      <c r="AD55" s="880">
        <f t="shared" si="118"/>
        <v>55.284420289855014</v>
      </c>
      <c r="AE55" s="881">
        <f t="shared" si="118"/>
        <v>49.519194168539457</v>
      </c>
      <c r="AF55" s="881">
        <f t="shared" si="118"/>
        <v>53.29034608378867</v>
      </c>
      <c r="AG55" s="360">
        <v>53.073795993306831</v>
      </c>
      <c r="AH55" s="307">
        <f t="shared" si="119"/>
        <v>46.1643817204301</v>
      </c>
      <c r="AI55" s="879">
        <f t="shared" si="119"/>
        <v>50.034113124463701</v>
      </c>
      <c r="AJ55" s="879">
        <f t="shared" si="119"/>
        <v>52.2580802180685</v>
      </c>
      <c r="AK55" s="360">
        <v>43.502207665243596</v>
      </c>
      <c r="AL55" s="307">
        <f t="shared" si="120"/>
        <v>52.274305555555557</v>
      </c>
      <c r="AM55" s="879">
        <f t="shared" si="120"/>
        <v>49.231009994231734</v>
      </c>
      <c r="AN55" s="879">
        <f t="shared" si="120"/>
        <v>52.260075136612002</v>
      </c>
      <c r="AO55" s="360">
        <v>43.463859810929264</v>
      </c>
      <c r="AP55" s="307">
        <f t="shared" si="121"/>
        <v>49.897849462365592</v>
      </c>
      <c r="AQ55" s="880">
        <f t="shared" si="121"/>
        <v>46.714495216180723</v>
      </c>
      <c r="AR55" s="880">
        <f t="shared" si="121"/>
        <v>49.414764492753626</v>
      </c>
      <c r="AS55" s="879">
        <f t="shared" si="121"/>
        <v>48.580894882659443</v>
      </c>
      <c r="AT55" s="879">
        <f t="shared" si="121"/>
        <v>51.993787878787863</v>
      </c>
      <c r="AU55" s="360">
        <v>42.558570633582491</v>
      </c>
      <c r="AV55" s="307">
        <f t="shared" si="122"/>
        <v>47.895564516129134</v>
      </c>
      <c r="AW55" s="879">
        <f t="shared" si="122"/>
        <v>47.970790138471905</v>
      </c>
      <c r="AX55" s="879">
        <f t="shared" si="122"/>
        <v>51.578608387799555</v>
      </c>
      <c r="AY55" s="360">
        <v>43.092176803192601</v>
      </c>
      <c r="AZ55" s="307">
        <f t="shared" si="123"/>
        <v>45.090029761904759</v>
      </c>
      <c r="BA55" s="879">
        <f t="shared" si="123"/>
        <v>47.56180458940657</v>
      </c>
      <c r="BB55" s="879">
        <f t="shared" si="123"/>
        <v>51.034655688622749</v>
      </c>
      <c r="BC55" s="360">
        <v>51.825800599380159</v>
      </c>
      <c r="BD55" s="307">
        <f t="shared" si="124"/>
        <v>49.929032258064574</v>
      </c>
      <c r="BE55" s="880">
        <f t="shared" si="124"/>
        <v>45.916627319013713</v>
      </c>
      <c r="BF55" s="880">
        <f t="shared" si="124"/>
        <v>47.723148148148205</v>
      </c>
      <c r="BG55" s="881">
        <f t="shared" si="124"/>
        <v>46.319945157142087</v>
      </c>
      <c r="BH55" s="881">
        <f t="shared" si="124"/>
        <v>48.578250915750935</v>
      </c>
      <c r="BI55" s="879">
        <f t="shared" si="124"/>
        <v>47.923952195733087</v>
      </c>
      <c r="BJ55" s="879">
        <f t="shared" si="124"/>
        <v>50.940753424657537</v>
      </c>
      <c r="BK55" s="1137"/>
      <c r="BL55" s="1137"/>
      <c r="BM55" s="1137"/>
      <c r="BN55" s="1137"/>
      <c r="BO55" s="1137"/>
    </row>
    <row r="56" spans="1:67" ht="15.75" thickBot="1" x14ac:dyDescent="0.3">
      <c r="A56" s="260"/>
      <c r="B56" s="57" t="s">
        <v>468</v>
      </c>
      <c r="C56" s="13" t="s">
        <v>374</v>
      </c>
      <c r="D56" s="294">
        <f t="shared" si="125"/>
        <v>1.416936111111049</v>
      </c>
      <c r="E56" s="294">
        <f t="shared" si="125"/>
        <v>2.3863646505376503</v>
      </c>
      <c r="G56" s="858">
        <v>1.2</v>
      </c>
      <c r="H56" s="250" t="s">
        <v>458</v>
      </c>
      <c r="I56" s="360">
        <v>5</v>
      </c>
      <c r="J56" s="307">
        <f t="shared" si="113"/>
        <v>4.9526937916666656</v>
      </c>
      <c r="K56" s="360">
        <v>5</v>
      </c>
      <c r="L56" s="307">
        <f t="shared" si="114"/>
        <v>4.8155927419354843</v>
      </c>
      <c r="M56" s="879">
        <f t="shared" si="114"/>
        <v>5</v>
      </c>
      <c r="N56" s="879">
        <f t="shared" si="114"/>
        <v>4.8830194877049173</v>
      </c>
      <c r="O56" s="360">
        <v>5</v>
      </c>
      <c r="P56" s="307">
        <f t="shared" si="115"/>
        <v>4.6961124999999999</v>
      </c>
      <c r="Q56" s="880">
        <f t="shared" si="115"/>
        <v>5</v>
      </c>
      <c r="R56" s="880">
        <f t="shared" si="115"/>
        <v>4.8214017994505491</v>
      </c>
      <c r="S56" s="360">
        <v>5</v>
      </c>
      <c r="T56" s="307">
        <f t="shared" si="116"/>
        <v>3.6459650537634412</v>
      </c>
      <c r="U56" s="879">
        <f t="shared" si="116"/>
        <v>5</v>
      </c>
      <c r="V56" s="879">
        <f t="shared" si="116"/>
        <v>4.5227252493169399</v>
      </c>
      <c r="W56" s="360">
        <v>5</v>
      </c>
      <c r="X56" s="307">
        <f t="shared" si="117"/>
        <v>4.2012163978494623</v>
      </c>
      <c r="Y56" s="879">
        <f t="shared" si="117"/>
        <v>5</v>
      </c>
      <c r="Z56" s="879">
        <f t="shared" si="117"/>
        <v>4.4575829330065355</v>
      </c>
      <c r="AA56" s="360">
        <v>5</v>
      </c>
      <c r="AB56" s="307">
        <f t="shared" si="118"/>
        <v>5.0202749999999998</v>
      </c>
      <c r="AC56" s="880">
        <f t="shared" si="118"/>
        <v>5</v>
      </c>
      <c r="AD56" s="880">
        <f t="shared" si="118"/>
        <v>4.2812051630434782</v>
      </c>
      <c r="AE56" s="881">
        <f t="shared" si="118"/>
        <v>5</v>
      </c>
      <c r="AF56" s="881">
        <f t="shared" si="118"/>
        <v>4.5498275341530059</v>
      </c>
      <c r="AG56" s="360">
        <v>5</v>
      </c>
      <c r="AH56" s="307">
        <f t="shared" si="119"/>
        <v>4.3758062768817201</v>
      </c>
      <c r="AI56" s="879">
        <f t="shared" si="119"/>
        <v>5</v>
      </c>
      <c r="AJ56" s="879">
        <f t="shared" si="119"/>
        <v>4.5246188473520261</v>
      </c>
      <c r="AK56" s="360">
        <v>5</v>
      </c>
      <c r="AL56" s="307">
        <f t="shared" si="120"/>
        <v>4.0547222222222219</v>
      </c>
      <c r="AM56" s="879">
        <f t="shared" si="120"/>
        <v>5</v>
      </c>
      <c r="AN56" s="879">
        <f t="shared" si="120"/>
        <v>4.4668446721311481</v>
      </c>
      <c r="AO56" s="360">
        <v>5</v>
      </c>
      <c r="AP56" s="307">
        <f t="shared" si="121"/>
        <v>4.2198924731182794</v>
      </c>
      <c r="AQ56" s="880">
        <f t="shared" si="121"/>
        <v>5</v>
      </c>
      <c r="AR56" s="880">
        <f t="shared" si="121"/>
        <v>4.2185687817028992</v>
      </c>
      <c r="AS56" s="879">
        <f t="shared" si="121"/>
        <v>5</v>
      </c>
      <c r="AT56" s="879">
        <f t="shared" si="121"/>
        <v>4.4390064242424252</v>
      </c>
      <c r="AU56" s="360">
        <v>5</v>
      </c>
      <c r="AV56" s="307">
        <f t="shared" si="122"/>
        <v>4.5565867473118278</v>
      </c>
      <c r="AW56" s="879">
        <f t="shared" si="122"/>
        <v>5</v>
      </c>
      <c r="AX56" s="879">
        <f t="shared" si="122"/>
        <v>4.4509181563180826</v>
      </c>
      <c r="AY56" s="360">
        <v>5</v>
      </c>
      <c r="AZ56" s="307">
        <f t="shared" si="123"/>
        <v>4.0553539285714288</v>
      </c>
      <c r="BA56" s="879">
        <f t="shared" si="123"/>
        <v>5</v>
      </c>
      <c r="BB56" s="879">
        <f t="shared" si="123"/>
        <v>4.4177570833333331</v>
      </c>
      <c r="BC56" s="360">
        <v>5</v>
      </c>
      <c r="BD56" s="307">
        <f t="shared" si="124"/>
        <v>4.2425567876344088</v>
      </c>
      <c r="BE56" s="880">
        <f t="shared" si="124"/>
        <v>5</v>
      </c>
      <c r="BF56" s="880">
        <f t="shared" si="124"/>
        <v>4.2924817731481477</v>
      </c>
      <c r="BG56" s="881">
        <f t="shared" si="124"/>
        <v>5</v>
      </c>
      <c r="BH56" s="881">
        <f t="shared" si="124"/>
        <v>4.2551191620879116</v>
      </c>
      <c r="BI56" s="879">
        <f t="shared" si="124"/>
        <v>5</v>
      </c>
      <c r="BJ56" s="879">
        <f t="shared" si="124"/>
        <v>4.402877058219179</v>
      </c>
      <c r="BK56" s="1137"/>
      <c r="BL56" s="1137"/>
      <c r="BM56" s="1137"/>
      <c r="BN56" s="1137"/>
      <c r="BO56" s="1137"/>
    </row>
    <row r="57" spans="1:67" ht="16.5" thickBot="1" x14ac:dyDescent="0.3">
      <c r="A57" s="64"/>
      <c r="B57" s="296" t="s">
        <v>469</v>
      </c>
      <c r="C57" s="297" t="s">
        <v>374</v>
      </c>
      <c r="D57" s="295">
        <f t="shared" si="125"/>
        <v>1.7807997333332697</v>
      </c>
      <c r="E57" s="295">
        <f t="shared" si="125"/>
        <v>2.8137553185484028</v>
      </c>
      <c r="G57" s="858">
        <v>1.3</v>
      </c>
      <c r="H57" s="250" t="s">
        <v>459</v>
      </c>
      <c r="I57" s="360">
        <v>91.873957188675718</v>
      </c>
      <c r="J57" s="307">
        <f t="shared" si="113"/>
        <v>98.122228611111112</v>
      </c>
      <c r="K57" s="360">
        <v>102.9411453814557</v>
      </c>
      <c r="L57" s="307">
        <f t="shared" si="114"/>
        <v>101.32129838709677</v>
      </c>
      <c r="M57" s="879">
        <f t="shared" si="114"/>
        <v>97.498265942383597</v>
      </c>
      <c r="N57" s="879">
        <f t="shared" si="114"/>
        <v>99.747985382513662</v>
      </c>
      <c r="O57" s="360">
        <v>103.03334199517656</v>
      </c>
      <c r="P57" s="307">
        <f t="shared" si="115"/>
        <v>97.690281944444436</v>
      </c>
      <c r="Q57" s="880">
        <f t="shared" si="115"/>
        <v>99.323016289458181</v>
      </c>
      <c r="R57" s="880">
        <f t="shared" si="115"/>
        <v>99.069621611721615</v>
      </c>
      <c r="S57" s="360">
        <v>101.60052933064966</v>
      </c>
      <c r="T57" s="307">
        <f t="shared" si="116"/>
        <v>97.442122322580659</v>
      </c>
      <c r="U57" s="879">
        <f t="shared" si="116"/>
        <v>99.901728619596994</v>
      </c>
      <c r="V57" s="879">
        <f t="shared" si="116"/>
        <v>98.656076710382521</v>
      </c>
      <c r="W57" s="360">
        <v>102.38012972051321</v>
      </c>
      <c r="X57" s="307">
        <f t="shared" si="117"/>
        <v>94.850807795698927</v>
      </c>
      <c r="Y57" s="879">
        <f t="shared" si="117"/>
        <v>100.40388831978264</v>
      </c>
      <c r="Z57" s="879">
        <f t="shared" si="117"/>
        <v>97.885074511982566</v>
      </c>
      <c r="AA57" s="360">
        <v>68.042938528249806</v>
      </c>
      <c r="AB57" s="307">
        <f t="shared" si="118"/>
        <v>97.75559027777777</v>
      </c>
      <c r="AC57" s="880">
        <f t="shared" si="118"/>
        <v>90.920528113408082</v>
      </c>
      <c r="AD57" s="880">
        <f t="shared" si="118"/>
        <v>96.671179804347844</v>
      </c>
      <c r="AE57" s="881">
        <f t="shared" si="118"/>
        <v>95.098814583465781</v>
      </c>
      <c r="AF57" s="881">
        <f t="shared" si="118"/>
        <v>97.863847588342438</v>
      </c>
      <c r="AG57" s="360">
        <v>103.12932796865955</v>
      </c>
      <c r="AH57" s="307">
        <f t="shared" si="119"/>
        <v>87.229855645161294</v>
      </c>
      <c r="AI57" s="879">
        <f t="shared" si="119"/>
        <v>96.262113251414405</v>
      </c>
      <c r="AJ57" s="879">
        <f t="shared" si="119"/>
        <v>96.323409503115272</v>
      </c>
      <c r="AK57" s="360">
        <v>113.39998351681271</v>
      </c>
      <c r="AL57" s="307">
        <f t="shared" si="120"/>
        <v>97.079166666666666</v>
      </c>
      <c r="AM57" s="879">
        <f t="shared" si="120"/>
        <v>98.369228447979779</v>
      </c>
      <c r="AN57" s="879">
        <f t="shared" si="120"/>
        <v>96.416330465847011</v>
      </c>
      <c r="AO57" s="360">
        <v>113.42381912390304</v>
      </c>
      <c r="AP57" s="307">
        <f t="shared" si="121"/>
        <v>96.701612903225808</v>
      </c>
      <c r="AQ57" s="880">
        <f t="shared" si="121"/>
        <v>109.94725071058504</v>
      </c>
      <c r="AR57" s="880">
        <f t="shared" si="121"/>
        <v>93.63315788043478</v>
      </c>
      <c r="AS57" s="879">
        <f t="shared" si="121"/>
        <v>100.06629139690205</v>
      </c>
      <c r="AT57" s="879">
        <f t="shared" si="121"/>
        <v>96.448489576969706</v>
      </c>
      <c r="AU57" s="360">
        <v>115.28510087574236</v>
      </c>
      <c r="AV57" s="307">
        <f t="shared" si="122"/>
        <v>99.408575819892462</v>
      </c>
      <c r="AW57" s="879">
        <f t="shared" si="122"/>
        <v>101.60806621338585</v>
      </c>
      <c r="AX57" s="879">
        <f t="shared" si="122"/>
        <v>96.748367595043561</v>
      </c>
      <c r="AY57" s="360">
        <v>114.10002264085044</v>
      </c>
      <c r="AZ57" s="307">
        <f t="shared" si="123"/>
        <v>99.431472767857144</v>
      </c>
      <c r="BA57" s="879">
        <f t="shared" si="123"/>
        <v>102.6552960935326</v>
      </c>
      <c r="BB57" s="879">
        <f t="shared" si="123"/>
        <v>96.973298567614776</v>
      </c>
      <c r="BC57" s="360">
        <v>106.18684734714077</v>
      </c>
      <c r="BD57" s="307">
        <f t="shared" si="124"/>
        <v>99.317341599462495</v>
      </c>
      <c r="BE57" s="880">
        <f t="shared" si="124"/>
        <v>111.78256698725765</v>
      </c>
      <c r="BF57" s="880">
        <f t="shared" si="124"/>
        <v>99.384274194444501</v>
      </c>
      <c r="BG57" s="881">
        <f t="shared" si="124"/>
        <v>110.854824693555</v>
      </c>
      <c r="BH57" s="881">
        <f t="shared" si="124"/>
        <v>96.47711649725278</v>
      </c>
      <c r="BI57" s="879">
        <f t="shared" si="124"/>
        <v>102.95523606301713</v>
      </c>
      <c r="BJ57" s="879">
        <f t="shared" si="124"/>
        <v>97.172381674429246</v>
      </c>
      <c r="BK57" s="1137"/>
      <c r="BL57" s="1137"/>
      <c r="BM57" s="1137"/>
      <c r="BN57" s="1137"/>
      <c r="BO57" s="1137"/>
    </row>
    <row r="58" spans="1:67" s="2802" customFormat="1" ht="16.5" thickBot="1" x14ac:dyDescent="0.3">
      <c r="A58" s="64"/>
      <c r="B58" s="296"/>
      <c r="C58" s="297"/>
      <c r="D58" s="295"/>
      <c r="E58" s="295"/>
      <c r="G58" s="858">
        <v>1.4</v>
      </c>
      <c r="H58" s="2809" t="s">
        <v>460</v>
      </c>
      <c r="I58" s="360">
        <v>0.59</v>
      </c>
      <c r="J58" s="307">
        <f t="shared" si="113"/>
        <v>0.68851388888888587</v>
      </c>
      <c r="K58" s="360">
        <v>0.75</v>
      </c>
      <c r="L58" s="307">
        <f t="shared" si="114"/>
        <v>0.66068548387096915</v>
      </c>
      <c r="M58" s="879">
        <f t="shared" si="114"/>
        <v>0.67131147540983604</v>
      </c>
      <c r="N58" s="879">
        <f t="shared" si="114"/>
        <v>0.6743715846994528</v>
      </c>
      <c r="O58" s="360">
        <v>0.75</v>
      </c>
      <c r="P58" s="307">
        <f t="shared" si="115"/>
        <v>0.45923611111111312</v>
      </c>
      <c r="Q58" s="880">
        <f t="shared" si="115"/>
        <v>0.69725274725274722</v>
      </c>
      <c r="R58" s="880">
        <f t="shared" si="115"/>
        <v>0.60344780219780236</v>
      </c>
      <c r="S58" s="360">
        <v>0.75</v>
      </c>
      <c r="T58" s="307">
        <f t="shared" si="116"/>
        <v>0.35978494623655949</v>
      </c>
      <c r="U58" s="879">
        <f t="shared" si="116"/>
        <v>0.71065573770491808</v>
      </c>
      <c r="V58" s="879">
        <f t="shared" si="116"/>
        <v>0.54153346994535523</v>
      </c>
      <c r="W58" s="360">
        <v>0.75</v>
      </c>
      <c r="X58" s="307">
        <f t="shared" si="117"/>
        <v>0.67779569892473079</v>
      </c>
      <c r="Y58" s="879">
        <f t="shared" si="117"/>
        <v>0.71862745098039216</v>
      </c>
      <c r="Z58" s="879">
        <f t="shared" si="117"/>
        <v>0.56914215686274516</v>
      </c>
      <c r="AA58" s="360">
        <v>0.75</v>
      </c>
      <c r="AB58" s="307">
        <f t="shared" si="118"/>
        <v>0.67204166666666687</v>
      </c>
      <c r="AC58" s="880">
        <f t="shared" si="118"/>
        <v>0.75</v>
      </c>
      <c r="AD58" s="880">
        <f t="shared" si="118"/>
        <v>0.56876358695652163</v>
      </c>
      <c r="AE58" s="881">
        <f t="shared" si="118"/>
        <v>0.72377049180327879</v>
      </c>
      <c r="AF58" s="881">
        <f t="shared" si="118"/>
        <v>0.58601092896174867</v>
      </c>
      <c r="AG58" s="360">
        <v>0.75</v>
      </c>
      <c r="AH58" s="307">
        <f t="shared" si="119"/>
        <v>0.67728494623655933</v>
      </c>
      <c r="AI58" s="879">
        <f t="shared" si="119"/>
        <v>0.72757009345794399</v>
      </c>
      <c r="AJ58" s="879">
        <f t="shared" si="119"/>
        <v>0.59923286604361359</v>
      </c>
      <c r="AK58" s="360">
        <v>0.75</v>
      </c>
      <c r="AL58" s="307">
        <f t="shared" si="120"/>
        <v>0.68370833333333192</v>
      </c>
      <c r="AM58" s="879">
        <f t="shared" si="120"/>
        <v>0.73032786885245904</v>
      </c>
      <c r="AN58" s="879">
        <f t="shared" si="120"/>
        <v>0.60961919398907083</v>
      </c>
      <c r="AO58" s="360">
        <v>0.75</v>
      </c>
      <c r="AP58" s="307">
        <f t="shared" si="121"/>
        <v>0.67502688172043013</v>
      </c>
      <c r="AQ58" s="880">
        <f t="shared" si="121"/>
        <v>0.75</v>
      </c>
      <c r="AR58" s="880">
        <f t="shared" si="121"/>
        <v>0.67861865942028954</v>
      </c>
      <c r="AS58" s="879">
        <f t="shared" si="121"/>
        <v>0.73254545454545461</v>
      </c>
      <c r="AT58" s="879">
        <f t="shared" si="121"/>
        <v>0.61699242424242406</v>
      </c>
      <c r="AU58" s="360">
        <v>0.75</v>
      </c>
      <c r="AV58" s="307">
        <f t="shared" si="122"/>
        <v>0.67647849462365561</v>
      </c>
      <c r="AW58" s="879">
        <f t="shared" si="122"/>
        <v>0.73431372549019613</v>
      </c>
      <c r="AX58" s="879">
        <f t="shared" si="122"/>
        <v>0.62301879084967304</v>
      </c>
      <c r="AY58" s="360">
        <v>0.75</v>
      </c>
      <c r="AZ58" s="307">
        <f t="shared" si="123"/>
        <v>0.67891369047619254</v>
      </c>
      <c r="BA58" s="879">
        <f t="shared" si="123"/>
        <v>0.73562874251497012</v>
      </c>
      <c r="BB58" s="879">
        <f t="shared" si="123"/>
        <v>0.62770459081836327</v>
      </c>
      <c r="BC58" s="360">
        <v>0.75</v>
      </c>
      <c r="BD58" s="307">
        <f t="shared" si="124"/>
        <v>0.68525537634408584</v>
      </c>
      <c r="BE58" s="880">
        <f t="shared" si="124"/>
        <v>0.75</v>
      </c>
      <c r="BF58" s="880">
        <f t="shared" si="124"/>
        <v>0.68025925925925979</v>
      </c>
      <c r="BG58" s="881">
        <f t="shared" si="124"/>
        <v>0.75</v>
      </c>
      <c r="BH58" s="881">
        <f t="shared" si="124"/>
        <v>0.67942994505494503</v>
      </c>
      <c r="BI58" s="879">
        <f t="shared" si="124"/>
        <v>0.73684931506849316</v>
      </c>
      <c r="BJ58" s="879">
        <f t="shared" si="124"/>
        <v>0.63259246575342465</v>
      </c>
      <c r="BK58" s="1137"/>
      <c r="BL58" s="1137"/>
      <c r="BM58" s="1137"/>
      <c r="BN58" s="1137"/>
      <c r="BO58" s="1137"/>
    </row>
    <row r="59" spans="1:67" ht="15.75" x14ac:dyDescent="0.25">
      <c r="A59" s="64"/>
      <c r="B59" s="298" t="s">
        <v>125</v>
      </c>
      <c r="C59" s="35" t="s">
        <v>374</v>
      </c>
      <c r="D59" s="295">
        <f t="shared" ref="D59:E74" si="126">+((D15/1000)/D$3)/24</f>
        <v>81.62668637777783</v>
      </c>
      <c r="E59" s="295">
        <f t="shared" si="126"/>
        <v>86.693583391129025</v>
      </c>
      <c r="G59" s="858">
        <v>1.5</v>
      </c>
      <c r="H59" s="250" t="s">
        <v>1604</v>
      </c>
      <c r="I59" s="360">
        <v>1</v>
      </c>
      <c r="J59" s="307">
        <f t="shared" si="113"/>
        <v>1.0070693333333325</v>
      </c>
      <c r="K59" s="360">
        <v>1</v>
      </c>
      <c r="L59" s="307">
        <f t="shared" si="114"/>
        <v>1.0936501344086016</v>
      </c>
      <c r="M59" s="879">
        <f t="shared" si="114"/>
        <v>1</v>
      </c>
      <c r="N59" s="879">
        <f t="shared" si="114"/>
        <v>1.0510694125683055</v>
      </c>
      <c r="O59" s="360">
        <v>1</v>
      </c>
      <c r="P59" s="307">
        <f t="shared" si="115"/>
        <v>0.83495347222222294</v>
      </c>
      <c r="Q59" s="880">
        <f t="shared" si="115"/>
        <v>1</v>
      </c>
      <c r="R59" s="880">
        <f t="shared" si="115"/>
        <v>0.97982239926739911</v>
      </c>
      <c r="S59" s="360">
        <v>1</v>
      </c>
      <c r="T59" s="307">
        <f t="shared" si="116"/>
        <v>0.77444731182795656</v>
      </c>
      <c r="U59" s="879">
        <f t="shared" si="116"/>
        <v>1</v>
      </c>
      <c r="V59" s="879">
        <f t="shared" si="116"/>
        <v>0.927636926229508</v>
      </c>
      <c r="W59" s="360">
        <v>1</v>
      </c>
      <c r="X59" s="307">
        <f t="shared" si="117"/>
        <v>0.77545026881720303</v>
      </c>
      <c r="Y59" s="879">
        <f t="shared" si="117"/>
        <v>1</v>
      </c>
      <c r="Z59" s="879">
        <f t="shared" si="117"/>
        <v>0.89680172113289713</v>
      </c>
      <c r="AA59" s="360">
        <v>1</v>
      </c>
      <c r="AB59" s="307">
        <f t="shared" si="118"/>
        <v>0.8017097222222227</v>
      </c>
      <c r="AC59" s="880">
        <f t="shared" si="118"/>
        <v>1</v>
      </c>
      <c r="AD59" s="880">
        <f t="shared" si="118"/>
        <v>0.78367518115942003</v>
      </c>
      <c r="AE59" s="881">
        <f t="shared" si="118"/>
        <v>1</v>
      </c>
      <c r="AF59" s="881">
        <f t="shared" si="118"/>
        <v>0.88121286885245886</v>
      </c>
      <c r="AG59" s="360">
        <v>1</v>
      </c>
      <c r="AH59" s="307">
        <f t="shared" si="119"/>
        <v>0.73208870967741857</v>
      </c>
      <c r="AI59" s="879">
        <f t="shared" si="119"/>
        <v>1</v>
      </c>
      <c r="AJ59" s="879">
        <f t="shared" si="119"/>
        <v>0.85961077102803696</v>
      </c>
      <c r="AK59" s="360">
        <v>1</v>
      </c>
      <c r="AL59" s="307">
        <f t="shared" si="120"/>
        <v>0.65504027777777774</v>
      </c>
      <c r="AM59" s="879">
        <f t="shared" si="120"/>
        <v>1</v>
      </c>
      <c r="AN59" s="879">
        <f t="shared" si="120"/>
        <v>0.83445866120218537</v>
      </c>
      <c r="AO59" s="360">
        <v>1</v>
      </c>
      <c r="AP59" s="307">
        <f t="shared" si="121"/>
        <v>0.57237499999999852</v>
      </c>
      <c r="AQ59" s="880">
        <f t="shared" si="121"/>
        <v>1</v>
      </c>
      <c r="AR59" s="880">
        <f t="shared" si="121"/>
        <v>0.65314764492753541</v>
      </c>
      <c r="AS59" s="879">
        <f t="shared" si="121"/>
        <v>1</v>
      </c>
      <c r="AT59" s="879">
        <f t="shared" si="121"/>
        <v>0.8049146848484845</v>
      </c>
      <c r="AU59" s="360">
        <v>1</v>
      </c>
      <c r="AV59" s="307">
        <f t="shared" si="122"/>
        <v>0.65913615591398034</v>
      </c>
      <c r="AW59" s="879">
        <f t="shared" si="122"/>
        <v>1</v>
      </c>
      <c r="AX59" s="879">
        <f t="shared" si="122"/>
        <v>0.79014627178649222</v>
      </c>
      <c r="AY59" s="360">
        <v>1</v>
      </c>
      <c r="AZ59" s="307">
        <f t="shared" si="123"/>
        <v>0.85355922619047708</v>
      </c>
      <c r="BA59" s="879">
        <f t="shared" si="123"/>
        <v>1</v>
      </c>
      <c r="BB59" s="879">
        <f t="shared" si="123"/>
        <v>0.79546232784431137</v>
      </c>
      <c r="BC59" s="360">
        <v>1</v>
      </c>
      <c r="BD59" s="307">
        <f t="shared" si="124"/>
        <v>0.83729569892473021</v>
      </c>
      <c r="BE59" s="880">
        <f t="shared" si="124"/>
        <v>1</v>
      </c>
      <c r="BF59" s="880">
        <f t="shared" si="124"/>
        <v>0.78098939814814883</v>
      </c>
      <c r="BG59" s="881">
        <f t="shared" si="124"/>
        <v>1</v>
      </c>
      <c r="BH59" s="881">
        <f t="shared" si="124"/>
        <v>0.71636609432234422</v>
      </c>
      <c r="BI59" s="879">
        <f t="shared" si="124"/>
        <v>1</v>
      </c>
      <c r="BJ59" s="879">
        <f t="shared" si="124"/>
        <v>0.79901529908675784</v>
      </c>
      <c r="BK59" s="1137"/>
      <c r="BL59" s="1137"/>
      <c r="BM59" s="1137"/>
      <c r="BN59" s="1137"/>
      <c r="BO59" s="1137"/>
    </row>
    <row r="60" spans="1:67" ht="15.75" x14ac:dyDescent="0.25">
      <c r="A60" s="260"/>
      <c r="B60" s="21" t="s">
        <v>697</v>
      </c>
      <c r="C60" s="12" t="s">
        <v>374</v>
      </c>
      <c r="D60" s="294">
        <f t="shared" si="126"/>
        <v>1.5184583333333332</v>
      </c>
      <c r="E60" s="294">
        <f t="shared" si="126"/>
        <v>1.5746408602150537</v>
      </c>
      <c r="G60" s="861">
        <v>2</v>
      </c>
      <c r="H60" s="758" t="s">
        <v>713</v>
      </c>
      <c r="I60" s="362">
        <f>+I61+I62</f>
        <v>2.2000000000000002</v>
      </c>
      <c r="J60" s="305">
        <f t="shared" si="113"/>
        <v>1.8197437402777712</v>
      </c>
      <c r="K60" s="362">
        <f>+K61+K62</f>
        <v>3</v>
      </c>
      <c r="L60" s="305">
        <f t="shared" si="114"/>
        <v>1.7553855576612982</v>
      </c>
      <c r="M60" s="876">
        <f t="shared" si="114"/>
        <v>2.6065573770491803</v>
      </c>
      <c r="N60" s="876">
        <f t="shared" si="114"/>
        <v>1.7870371228825146</v>
      </c>
      <c r="O60" s="362">
        <f>+O61+O62</f>
        <v>3</v>
      </c>
      <c r="P60" s="305">
        <f t="shared" si="115"/>
        <v>1.2426581236113077</v>
      </c>
      <c r="Q60" s="877">
        <f t="shared" si="115"/>
        <v>2.7362637362637363</v>
      </c>
      <c r="R60" s="877">
        <f t="shared" si="115"/>
        <v>1.6075715187271717</v>
      </c>
      <c r="S60" s="362">
        <f>+S61+S62</f>
        <v>3</v>
      </c>
      <c r="T60" s="305">
        <f t="shared" si="116"/>
        <v>1.4625699395159941</v>
      </c>
      <c r="U60" s="876">
        <f t="shared" si="116"/>
        <v>2.8032786885245899</v>
      </c>
      <c r="V60" s="876">
        <f t="shared" si="116"/>
        <v>1.5707268551571183</v>
      </c>
      <c r="W60" s="362">
        <f>+W61+W62</f>
        <v>3</v>
      </c>
      <c r="X60" s="305">
        <f t="shared" si="117"/>
        <v>1.4683052446236788</v>
      </c>
      <c r="Y60" s="876">
        <f t="shared" si="117"/>
        <v>2.8431372549019609</v>
      </c>
      <c r="Z60" s="876">
        <f t="shared" si="117"/>
        <v>1.5499747641340029</v>
      </c>
      <c r="AA60" s="362">
        <f>+AA61+AA62</f>
        <v>3</v>
      </c>
      <c r="AB60" s="305">
        <f t="shared" si="118"/>
        <v>1.4058523111111128</v>
      </c>
      <c r="AC60" s="877">
        <f t="shared" si="118"/>
        <v>3</v>
      </c>
      <c r="AD60" s="877">
        <f t="shared" si="118"/>
        <v>1.4460076091485135</v>
      </c>
      <c r="AE60" s="878">
        <f t="shared" si="118"/>
        <v>2.8688524590163933</v>
      </c>
      <c r="AF60" s="878">
        <f t="shared" si="118"/>
        <v>1.5263481324909063</v>
      </c>
      <c r="AG60" s="362">
        <f>+AG61+AG62</f>
        <v>3</v>
      </c>
      <c r="AH60" s="305">
        <f t="shared" si="119"/>
        <v>1.7969373749999034</v>
      </c>
      <c r="AI60" s="876">
        <f t="shared" si="119"/>
        <v>2.8878504672897196</v>
      </c>
      <c r="AJ60" s="876">
        <f t="shared" si="119"/>
        <v>1.5655456395833312</v>
      </c>
      <c r="AK60" s="362">
        <f>+AK61+AK62</f>
        <v>3</v>
      </c>
      <c r="AL60" s="305">
        <f t="shared" si="120"/>
        <v>1.3850379013886105</v>
      </c>
      <c r="AM60" s="876">
        <f t="shared" si="120"/>
        <v>2.901639344262295</v>
      </c>
      <c r="AN60" s="876">
        <f t="shared" si="120"/>
        <v>1.5433520652151276</v>
      </c>
      <c r="AO60" s="362">
        <f>+AO61+AO62</f>
        <v>3</v>
      </c>
      <c r="AP60" s="305">
        <f t="shared" si="121"/>
        <v>1.6650627419357327</v>
      </c>
      <c r="AQ60" s="877">
        <f t="shared" si="121"/>
        <v>3</v>
      </c>
      <c r="AR60" s="877">
        <f t="shared" si="121"/>
        <v>1.6181863115941635</v>
      </c>
      <c r="AS60" s="876">
        <f t="shared" si="121"/>
        <v>2.9127272727272726</v>
      </c>
      <c r="AT60" s="876">
        <f t="shared" si="121"/>
        <v>1.5570721778636325</v>
      </c>
      <c r="AU60" s="362">
        <f>+AU61+AU62</f>
        <v>3</v>
      </c>
      <c r="AV60" s="305">
        <f t="shared" si="122"/>
        <v>1.719819081989296</v>
      </c>
      <c r="AW60" s="876">
        <f t="shared" si="122"/>
        <v>2.9215686274509802</v>
      </c>
      <c r="AX60" s="876">
        <f t="shared" si="122"/>
        <v>1.5735596093273436</v>
      </c>
      <c r="AY60" s="362">
        <f>+AY61+AY62</f>
        <v>3</v>
      </c>
      <c r="AZ60" s="305">
        <f t="shared" si="123"/>
        <v>1.2870148288690155</v>
      </c>
      <c r="BA60" s="876">
        <f t="shared" si="123"/>
        <v>2.9281437125748502</v>
      </c>
      <c r="BB60" s="876">
        <f t="shared" si="123"/>
        <v>1.5495378912050886</v>
      </c>
      <c r="BC60" s="362">
        <f>+BC61+BC62</f>
        <v>3</v>
      </c>
      <c r="BD60" s="305">
        <f t="shared" si="124"/>
        <v>1.9524498400538735</v>
      </c>
      <c r="BE60" s="877">
        <f t="shared" si="124"/>
        <v>3</v>
      </c>
      <c r="BF60" s="877">
        <f t="shared" si="124"/>
        <v>1.6652972421296741</v>
      </c>
      <c r="BG60" s="878">
        <f t="shared" si="124"/>
        <v>3</v>
      </c>
      <c r="BH60" s="878">
        <f t="shared" si="124"/>
        <v>1.6414829255952401</v>
      </c>
      <c r="BI60" s="876">
        <f t="shared" si="124"/>
        <v>2.9342465753424656</v>
      </c>
      <c r="BJ60" s="876">
        <f t="shared" si="124"/>
        <v>1.5837578101484098</v>
      </c>
      <c r="BK60" s="1137"/>
      <c r="BL60" s="1137"/>
      <c r="BM60" s="1137"/>
      <c r="BN60" s="1137"/>
      <c r="BO60" s="1137"/>
    </row>
    <row r="61" spans="1:67" x14ac:dyDescent="0.25">
      <c r="A61" s="260"/>
      <c r="B61" s="21" t="s">
        <v>689</v>
      </c>
      <c r="C61" s="12" t="s">
        <v>374</v>
      </c>
      <c r="D61" s="294">
        <f t="shared" si="126"/>
        <v>7.0703194444444506</v>
      </c>
      <c r="E61" s="294">
        <f t="shared" si="126"/>
        <v>6.5758870967741947</v>
      </c>
      <c r="G61" s="858">
        <v>2.1</v>
      </c>
      <c r="H61" s="250" t="s">
        <v>467</v>
      </c>
      <c r="I61" s="360">
        <v>0.4</v>
      </c>
      <c r="J61" s="307">
        <f t="shared" si="113"/>
        <v>0.43313718472221718</v>
      </c>
      <c r="K61" s="360">
        <v>0.4</v>
      </c>
      <c r="L61" s="307">
        <f t="shared" si="114"/>
        <v>0.30296465712365594</v>
      </c>
      <c r="M61" s="879">
        <f t="shared" si="114"/>
        <v>0.4</v>
      </c>
      <c r="N61" s="879">
        <f t="shared" si="114"/>
        <v>0.36698393299180077</v>
      </c>
      <c r="O61" s="360">
        <v>0.4</v>
      </c>
      <c r="P61" s="307">
        <f t="shared" si="115"/>
        <v>0.44644526250000283</v>
      </c>
      <c r="Q61" s="880">
        <f t="shared" si="115"/>
        <v>0.39999999999999997</v>
      </c>
      <c r="R61" s="880">
        <f t="shared" si="115"/>
        <v>0.39317997568681246</v>
      </c>
      <c r="S61" s="360">
        <v>0.4</v>
      </c>
      <c r="T61" s="307">
        <f t="shared" si="116"/>
        <v>0.38635129973119098</v>
      </c>
      <c r="U61" s="879">
        <f t="shared" si="116"/>
        <v>0.4</v>
      </c>
      <c r="V61" s="879">
        <f t="shared" si="116"/>
        <v>0.39144482032103978</v>
      </c>
      <c r="W61" s="360">
        <v>0.4</v>
      </c>
      <c r="X61" s="307">
        <f t="shared" si="117"/>
        <v>0.50883365860213436</v>
      </c>
      <c r="Y61" s="879">
        <f t="shared" si="117"/>
        <v>0.39999999999999997</v>
      </c>
      <c r="Z61" s="879">
        <f t="shared" si="117"/>
        <v>0.41522948690086942</v>
      </c>
      <c r="AA61" s="360">
        <v>0.4</v>
      </c>
      <c r="AB61" s="307">
        <f t="shared" si="118"/>
        <v>0.49037192222223053</v>
      </c>
      <c r="AC61" s="880">
        <f t="shared" si="118"/>
        <v>0.4</v>
      </c>
      <c r="AD61" s="880">
        <f t="shared" si="118"/>
        <v>0.46154229755434789</v>
      </c>
      <c r="AE61" s="881">
        <f t="shared" si="118"/>
        <v>0.4</v>
      </c>
      <c r="AF61" s="881">
        <f t="shared" si="118"/>
        <v>0.42754791892076466</v>
      </c>
      <c r="AG61" s="360">
        <v>0.4</v>
      </c>
      <c r="AH61" s="307">
        <f t="shared" si="119"/>
        <v>0.42846224059140114</v>
      </c>
      <c r="AI61" s="879">
        <f t="shared" si="119"/>
        <v>0.4</v>
      </c>
      <c r="AJ61" s="879">
        <f t="shared" si="119"/>
        <v>0.42768036738707177</v>
      </c>
      <c r="AK61" s="360">
        <v>0.4</v>
      </c>
      <c r="AL61" s="307">
        <f t="shared" si="120"/>
        <v>0.2315509569444435</v>
      </c>
      <c r="AM61" s="879">
        <f t="shared" si="120"/>
        <v>0.4</v>
      </c>
      <c r="AN61" s="879">
        <f t="shared" si="120"/>
        <v>0.40356609561133877</v>
      </c>
      <c r="AO61" s="360">
        <v>0.4</v>
      </c>
      <c r="AP61" s="307">
        <f t="shared" si="121"/>
        <v>0.36479580645160919</v>
      </c>
      <c r="AQ61" s="880">
        <f t="shared" si="121"/>
        <v>0.4</v>
      </c>
      <c r="AR61" s="880">
        <f t="shared" si="121"/>
        <v>0.34279921920289813</v>
      </c>
      <c r="AS61" s="879">
        <f t="shared" si="121"/>
        <v>0.4</v>
      </c>
      <c r="AT61" s="879">
        <f t="shared" si="121"/>
        <v>0.39919562665151476</v>
      </c>
      <c r="AU61" s="360">
        <v>0.4</v>
      </c>
      <c r="AV61" s="307">
        <f t="shared" si="122"/>
        <v>0.4380587190860189</v>
      </c>
      <c r="AW61" s="879">
        <f t="shared" si="122"/>
        <v>0.39999999999999997</v>
      </c>
      <c r="AX61" s="879">
        <f t="shared" si="122"/>
        <v>0.4031327373229841</v>
      </c>
      <c r="AY61" s="360">
        <v>0.4</v>
      </c>
      <c r="AZ61" s="307">
        <f t="shared" si="123"/>
        <v>0.48498804315475202</v>
      </c>
      <c r="BA61" s="879">
        <f t="shared" si="123"/>
        <v>0.39999999999999997</v>
      </c>
      <c r="BB61" s="879">
        <f t="shared" si="123"/>
        <v>0.40999485876995861</v>
      </c>
      <c r="BC61" s="360">
        <v>0.4</v>
      </c>
      <c r="BD61" s="307">
        <f t="shared" si="124"/>
        <v>0.51795447715055143</v>
      </c>
      <c r="BE61" s="880">
        <f t="shared" si="124"/>
        <v>0.4</v>
      </c>
      <c r="BF61" s="880">
        <f t="shared" si="124"/>
        <v>0.48017860324074152</v>
      </c>
      <c r="BG61" s="881">
        <f t="shared" si="124"/>
        <v>0.39999999999999997</v>
      </c>
      <c r="BH61" s="881">
        <f t="shared" si="124"/>
        <v>0.41073407944139212</v>
      </c>
      <c r="BI61" s="879">
        <f t="shared" si="124"/>
        <v>0.4</v>
      </c>
      <c r="BJ61" s="879">
        <f t="shared" si="124"/>
        <v>0.41916403183789941</v>
      </c>
      <c r="BK61" s="1137"/>
      <c r="BL61" s="1137"/>
      <c r="BM61" s="1137"/>
      <c r="BN61" s="1137"/>
      <c r="BO61" s="1137"/>
    </row>
    <row r="62" spans="1:67" x14ac:dyDescent="0.25">
      <c r="A62" s="260"/>
      <c r="B62" s="21" t="s">
        <v>604</v>
      </c>
      <c r="C62" s="12" t="s">
        <v>374</v>
      </c>
      <c r="D62" s="294">
        <f t="shared" si="126"/>
        <v>2.1610277777777771</v>
      </c>
      <c r="E62" s="294">
        <f t="shared" si="126"/>
        <v>2.0229032258064517</v>
      </c>
      <c r="G62" s="858">
        <v>2.2000000000000002</v>
      </c>
      <c r="H62" s="250" t="s">
        <v>468</v>
      </c>
      <c r="I62" s="360">
        <v>1.8</v>
      </c>
      <c r="J62" s="307">
        <f t="shared" si="113"/>
        <v>1.3866065555555538</v>
      </c>
      <c r="K62" s="360">
        <v>2.6</v>
      </c>
      <c r="L62" s="307">
        <f t="shared" si="114"/>
        <v>1.4524209005376423</v>
      </c>
      <c r="M62" s="879">
        <f t="shared" si="114"/>
        <v>2.2065573770491804</v>
      </c>
      <c r="N62" s="879">
        <f t="shared" si="114"/>
        <v>1.4200531898907136</v>
      </c>
      <c r="O62" s="360">
        <v>2.6</v>
      </c>
      <c r="P62" s="307">
        <f t="shared" si="115"/>
        <v>0.79621286111130485</v>
      </c>
      <c r="Q62" s="880">
        <f t="shared" si="115"/>
        <v>2.3362637362637364</v>
      </c>
      <c r="R62" s="880">
        <f t="shared" si="115"/>
        <v>1.2143915430403591</v>
      </c>
      <c r="S62" s="360">
        <v>2.6</v>
      </c>
      <c r="T62" s="307">
        <f t="shared" si="116"/>
        <v>1.076218639784803</v>
      </c>
      <c r="U62" s="879">
        <f t="shared" si="116"/>
        <v>2.40327868852459</v>
      </c>
      <c r="V62" s="879">
        <f t="shared" si="116"/>
        <v>1.1792820348360784</v>
      </c>
      <c r="W62" s="360">
        <v>2.6</v>
      </c>
      <c r="X62" s="307">
        <f t="shared" si="117"/>
        <v>0.95947158602154459</v>
      </c>
      <c r="Y62" s="879">
        <f t="shared" si="117"/>
        <v>2.443137254901961</v>
      </c>
      <c r="Z62" s="879">
        <f t="shared" si="117"/>
        <v>1.1347452772331337</v>
      </c>
      <c r="AA62" s="360">
        <v>2.6</v>
      </c>
      <c r="AB62" s="307">
        <f t="shared" si="118"/>
        <v>0.91548038888888228</v>
      </c>
      <c r="AC62" s="880">
        <f t="shared" si="118"/>
        <v>2.6</v>
      </c>
      <c r="AD62" s="880">
        <f t="shared" si="118"/>
        <v>0.98446531159416562</v>
      </c>
      <c r="AE62" s="881">
        <f t="shared" si="118"/>
        <v>2.4688524590163934</v>
      </c>
      <c r="AF62" s="881">
        <f t="shared" si="118"/>
        <v>1.0988002135701418</v>
      </c>
      <c r="AG62" s="360">
        <v>2.6</v>
      </c>
      <c r="AH62" s="307">
        <f t="shared" si="119"/>
        <v>1.368475134408502</v>
      </c>
      <c r="AI62" s="879">
        <f t="shared" si="119"/>
        <v>2.4878504672897197</v>
      </c>
      <c r="AJ62" s="879">
        <f t="shared" si="119"/>
        <v>1.1378652721962592</v>
      </c>
      <c r="AK62" s="360">
        <v>2.6</v>
      </c>
      <c r="AL62" s="307">
        <f t="shared" si="120"/>
        <v>1.1534869444441671</v>
      </c>
      <c r="AM62" s="879">
        <f t="shared" si="120"/>
        <v>2.5016393442622951</v>
      </c>
      <c r="AN62" s="879">
        <f t="shared" si="120"/>
        <v>1.1397859696037889</v>
      </c>
      <c r="AO62" s="360">
        <v>2.6</v>
      </c>
      <c r="AP62" s="307">
        <f t="shared" si="121"/>
        <v>1.3002669354841234</v>
      </c>
      <c r="AQ62" s="880">
        <f t="shared" si="121"/>
        <v>2.6</v>
      </c>
      <c r="AR62" s="880">
        <f t="shared" si="121"/>
        <v>1.2753870923912651</v>
      </c>
      <c r="AS62" s="879">
        <f t="shared" si="121"/>
        <v>2.5127272727272727</v>
      </c>
      <c r="AT62" s="879">
        <f t="shared" si="121"/>
        <v>1.1578765512121176</v>
      </c>
      <c r="AU62" s="360">
        <v>2.6</v>
      </c>
      <c r="AV62" s="307">
        <f t="shared" si="122"/>
        <v>1.281760362903277</v>
      </c>
      <c r="AW62" s="879">
        <f t="shared" si="122"/>
        <v>2.5215686274509803</v>
      </c>
      <c r="AX62" s="879">
        <f t="shared" si="122"/>
        <v>1.1704268720043591</v>
      </c>
      <c r="AY62" s="360">
        <v>2.6</v>
      </c>
      <c r="AZ62" s="307">
        <f t="shared" si="123"/>
        <v>0.80202678571426345</v>
      </c>
      <c r="BA62" s="879">
        <f t="shared" si="123"/>
        <v>2.5281437125748503</v>
      </c>
      <c r="BB62" s="879">
        <f t="shared" si="123"/>
        <v>1.1395430324351297</v>
      </c>
      <c r="BC62" s="360">
        <v>2.6</v>
      </c>
      <c r="BD62" s="307">
        <f t="shared" si="124"/>
        <v>1.4344953629033219</v>
      </c>
      <c r="BE62" s="880">
        <f t="shared" si="124"/>
        <v>2.6</v>
      </c>
      <c r="BF62" s="880">
        <f t="shared" si="124"/>
        <v>1.1851186388889328</v>
      </c>
      <c r="BG62" s="881">
        <f t="shared" si="124"/>
        <v>2.6</v>
      </c>
      <c r="BH62" s="881">
        <f t="shared" si="124"/>
        <v>1.2307488461538481</v>
      </c>
      <c r="BI62" s="879">
        <f t="shared" si="124"/>
        <v>2.5342465753424657</v>
      </c>
      <c r="BJ62" s="879">
        <f t="shared" si="124"/>
        <v>1.1645937783105103</v>
      </c>
      <c r="BK62" s="1137"/>
      <c r="BL62" s="1137"/>
      <c r="BM62" s="1137"/>
      <c r="BN62" s="1137"/>
      <c r="BO62" s="1137"/>
    </row>
    <row r="63" spans="1:67" ht="15.75" x14ac:dyDescent="0.25">
      <c r="A63" s="260"/>
      <c r="B63" s="21" t="s">
        <v>462</v>
      </c>
      <c r="C63" s="12" t="s">
        <v>374</v>
      </c>
      <c r="D63" s="294">
        <f t="shared" si="126"/>
        <v>11.048583333333307</v>
      </c>
      <c r="E63" s="294">
        <f t="shared" si="126"/>
        <v>10.777446236559159</v>
      </c>
      <c r="G63" s="861">
        <v>3</v>
      </c>
      <c r="H63" s="758" t="s">
        <v>714</v>
      </c>
      <c r="I63" s="304">
        <f>+I54-I60</f>
        <v>138.62721422203231</v>
      </c>
      <c r="J63" s="305">
        <f t="shared" si="113"/>
        <v>155.71715077361108</v>
      </c>
      <c r="K63" s="304">
        <f>+K54-K60</f>
        <v>160.24588093265663</v>
      </c>
      <c r="L63" s="305">
        <f t="shared" si="114"/>
        <v>152.76352936169354</v>
      </c>
      <c r="M63" s="876">
        <f t="shared" si="114"/>
        <v>149.61374976349717</v>
      </c>
      <c r="N63" s="876">
        <f t="shared" si="114"/>
        <v>154.21613005607921</v>
      </c>
      <c r="O63" s="304">
        <f>+O54-O60</f>
        <v>160.17683235758588</v>
      </c>
      <c r="P63" s="305">
        <f t="shared" si="115"/>
        <v>157.02181479305537</v>
      </c>
      <c r="Q63" s="877">
        <f t="shared" si="115"/>
        <v>153.09608468462531</v>
      </c>
      <c r="R63" s="877">
        <f t="shared" si="115"/>
        <v>155.14108106826916</v>
      </c>
      <c r="S63" s="304">
        <f>+S54-S60</f>
        <v>158.99369246528286</v>
      </c>
      <c r="T63" s="305">
        <f t="shared" si="116"/>
        <v>158.23784109274206</v>
      </c>
      <c r="U63" s="876">
        <f t="shared" si="116"/>
        <v>154.59465715348094</v>
      </c>
      <c r="V63" s="876">
        <f t="shared" si="116"/>
        <v>155.9279627138319</v>
      </c>
      <c r="W63" s="304">
        <f>+W54-W60</f>
        <v>158.99369246528286</v>
      </c>
      <c r="X63" s="305">
        <f t="shared" si="117"/>
        <v>154.19677674462349</v>
      </c>
      <c r="Y63" s="876">
        <f t="shared" si="117"/>
        <v>155.48596496175455</v>
      </c>
      <c r="Z63" s="876">
        <f t="shared" si="117"/>
        <v>155.57719954360013</v>
      </c>
      <c r="AA63" s="304">
        <f>+AA54-AA60</f>
        <v>112.70643208228404</v>
      </c>
      <c r="AB63" s="305">
        <f t="shared" si="118"/>
        <v>155.99015324444446</v>
      </c>
      <c r="AC63" s="877">
        <f t="shared" si="118"/>
        <v>143.9000206012615</v>
      </c>
      <c r="AD63" s="877">
        <f t="shared" si="118"/>
        <v>156.14323641621377</v>
      </c>
      <c r="AE63" s="878">
        <f t="shared" si="118"/>
        <v>148.47292678479215</v>
      </c>
      <c r="AF63" s="878">
        <f t="shared" si="118"/>
        <v>155.64489687160744</v>
      </c>
      <c r="AG63" s="304">
        <f>+AG54-AG60</f>
        <v>159.95312396196638</v>
      </c>
      <c r="AH63" s="305">
        <f t="shared" si="119"/>
        <v>137.38247992338719</v>
      </c>
      <c r="AI63" s="876">
        <f t="shared" si="119"/>
        <v>150.13594600204635</v>
      </c>
      <c r="AJ63" s="876">
        <f t="shared" si="119"/>
        <v>152.99940656602413</v>
      </c>
      <c r="AK63" s="304">
        <f>+AK54-AK60</f>
        <v>160.6521911820563</v>
      </c>
      <c r="AL63" s="305">
        <f t="shared" si="120"/>
        <v>153.36190515416695</v>
      </c>
      <c r="AM63" s="876">
        <f t="shared" si="120"/>
        <v>151.4289269668017</v>
      </c>
      <c r="AN63" s="876">
        <f t="shared" si="120"/>
        <v>153.04397606456629</v>
      </c>
      <c r="AO63" s="304">
        <f>+AO54-AO60</f>
        <v>160.63767893483231</v>
      </c>
      <c r="AP63" s="305">
        <f t="shared" si="121"/>
        <v>150.40169397849436</v>
      </c>
      <c r="AQ63" s="877">
        <f t="shared" si="121"/>
        <v>160.41174592676575</v>
      </c>
      <c r="AR63" s="877">
        <f t="shared" si="121"/>
        <v>146.98007114764496</v>
      </c>
      <c r="AS63" s="876">
        <f t="shared" si="121"/>
        <v>152.46700446137967</v>
      </c>
      <c r="AT63" s="876">
        <f t="shared" si="121"/>
        <v>152.74611881122726</v>
      </c>
      <c r="AU63" s="304">
        <f>+AU54-AU60</f>
        <v>161.59367150932485</v>
      </c>
      <c r="AV63" s="305">
        <f t="shared" si="122"/>
        <v>151.47652265188179</v>
      </c>
      <c r="AW63" s="876">
        <f t="shared" si="122"/>
        <v>153.391601449897</v>
      </c>
      <c r="AX63" s="876">
        <f t="shared" si="122"/>
        <v>152.61749959247004</v>
      </c>
      <c r="AY63" s="304">
        <f>+AY54-AY60</f>
        <v>160.94219944404304</v>
      </c>
      <c r="AZ63" s="305">
        <f t="shared" si="123"/>
        <v>148.82231454613097</v>
      </c>
      <c r="BA63" s="876">
        <f t="shared" si="123"/>
        <v>154.02458571287929</v>
      </c>
      <c r="BB63" s="876">
        <f t="shared" si="123"/>
        <v>152.29934036702844</v>
      </c>
      <c r="BC63" s="304">
        <f>+BC54-BC60</f>
        <v>161.76264794652093</v>
      </c>
      <c r="BD63" s="305">
        <f t="shared" si="124"/>
        <v>153.05903188037638</v>
      </c>
      <c r="BE63" s="877">
        <f t="shared" si="124"/>
        <v>161.44919430627138</v>
      </c>
      <c r="BF63" s="877">
        <f t="shared" si="124"/>
        <v>151.19585553101854</v>
      </c>
      <c r="BG63" s="878">
        <f t="shared" si="124"/>
        <v>160.92476985069709</v>
      </c>
      <c r="BH63" s="878">
        <f t="shared" si="124"/>
        <v>149.06479968887365</v>
      </c>
      <c r="BI63" s="876">
        <f t="shared" si="124"/>
        <v>154.68179099847626</v>
      </c>
      <c r="BJ63" s="876">
        <f t="shared" si="124"/>
        <v>152.36386211199775</v>
      </c>
      <c r="BK63" s="1137"/>
      <c r="BL63" s="1137"/>
      <c r="BM63" s="1137"/>
      <c r="BN63" s="1137"/>
      <c r="BO63" s="1137"/>
    </row>
    <row r="64" spans="1:67" ht="15.75" x14ac:dyDescent="0.25">
      <c r="A64" s="260"/>
      <c r="B64" s="21" t="s">
        <v>690</v>
      </c>
      <c r="C64" s="12" t="s">
        <v>374</v>
      </c>
      <c r="D64" s="294">
        <f t="shared" si="126"/>
        <v>13.06251944444444</v>
      </c>
      <c r="E64" s="294">
        <f t="shared" si="126"/>
        <v>13.210962365591397</v>
      </c>
      <c r="G64" s="861">
        <v>4</v>
      </c>
      <c r="H64" s="758" t="s">
        <v>715</v>
      </c>
      <c r="I64" s="304">
        <f>+I65+I87</f>
        <v>138.62721422203228</v>
      </c>
      <c r="J64" s="305">
        <f t="shared" si="113"/>
        <v>155.71715077361105</v>
      </c>
      <c r="K64" s="304">
        <f>+K65+K87</f>
        <v>160.24588093265663</v>
      </c>
      <c r="L64" s="305">
        <f t="shared" si="114"/>
        <v>152.76352936169351</v>
      </c>
      <c r="M64" s="876">
        <f t="shared" si="114"/>
        <v>149.61374976349714</v>
      </c>
      <c r="N64" s="876">
        <f t="shared" si="114"/>
        <v>154.21613005607921</v>
      </c>
      <c r="O64" s="304">
        <f>+O65+O87</f>
        <v>160.17683235758588</v>
      </c>
      <c r="P64" s="305">
        <f t="shared" si="115"/>
        <v>157.02181340416649</v>
      </c>
      <c r="Q64" s="877">
        <f t="shared" si="115"/>
        <v>153.09608468462525</v>
      </c>
      <c r="R64" s="877">
        <f t="shared" si="115"/>
        <v>155.14108061039369</v>
      </c>
      <c r="S64" s="304">
        <f>+S65+S87</f>
        <v>158.99369246528286</v>
      </c>
      <c r="T64" s="305">
        <f t="shared" si="116"/>
        <v>158.23784109274203</v>
      </c>
      <c r="U64" s="876">
        <f t="shared" si="116"/>
        <v>154.59465715348091</v>
      </c>
      <c r="V64" s="876">
        <f t="shared" si="116"/>
        <v>155.92796237230186</v>
      </c>
      <c r="W64" s="304">
        <f>+W65+W87</f>
        <v>158.99369246528286</v>
      </c>
      <c r="X64" s="305">
        <f t="shared" si="117"/>
        <v>154.19677674462358</v>
      </c>
      <c r="Y64" s="876">
        <f t="shared" si="117"/>
        <v>155.48596496175449</v>
      </c>
      <c r="Z64" s="876">
        <f t="shared" si="117"/>
        <v>155.577199271269</v>
      </c>
      <c r="AA64" s="304">
        <f>+AA65+AA87</f>
        <v>112.70643208228404</v>
      </c>
      <c r="AB64" s="305">
        <f t="shared" ref="AB64:AF73" si="127">AB16/1000/24/AB$3</f>
        <v>155.99015324444443</v>
      </c>
      <c r="AC64" s="877">
        <f t="shared" si="127"/>
        <v>143.9000206012615</v>
      </c>
      <c r="AD64" s="877">
        <f t="shared" si="127"/>
        <v>156.14323641621377</v>
      </c>
      <c r="AE64" s="878">
        <f t="shared" si="127"/>
        <v>148.47292678479212</v>
      </c>
      <c r="AF64" s="878">
        <f t="shared" si="127"/>
        <v>155.6448966439207</v>
      </c>
      <c r="AG64" s="304">
        <f>+AG65+AG87</f>
        <v>159.95312396196638</v>
      </c>
      <c r="AH64" s="305">
        <f t="shared" si="119"/>
        <v>137.38247992338717</v>
      </c>
      <c r="AI64" s="876">
        <f t="shared" si="119"/>
        <v>150.13594600204632</v>
      </c>
      <c r="AJ64" s="876">
        <f t="shared" si="119"/>
        <v>152.99940637132008</v>
      </c>
      <c r="AK64" s="304">
        <f>+AK65+AK87</f>
        <v>160.6521911820563</v>
      </c>
      <c r="AL64" s="305">
        <f t="shared" si="120"/>
        <v>153.36190515416686</v>
      </c>
      <c r="AM64" s="876">
        <f t="shared" si="120"/>
        <v>151.42892696680167</v>
      </c>
      <c r="AN64" s="876">
        <f t="shared" si="120"/>
        <v>153.04397589380122</v>
      </c>
      <c r="AO64" s="304">
        <f>+AO65+AO87</f>
        <v>160.63767893483231</v>
      </c>
      <c r="AP64" s="305">
        <f t="shared" ref="AP64:AT73" si="128">AP16/1000/24/AP$3</f>
        <v>150.40169397849439</v>
      </c>
      <c r="AQ64" s="877">
        <f t="shared" si="128"/>
        <v>160.41174592676575</v>
      </c>
      <c r="AR64" s="877">
        <f t="shared" si="128"/>
        <v>146.98007114764496</v>
      </c>
      <c r="AS64" s="876">
        <f t="shared" si="128"/>
        <v>152.46700446137964</v>
      </c>
      <c r="AT64" s="876">
        <f t="shared" si="128"/>
        <v>152.7461186597121</v>
      </c>
      <c r="AU64" s="304">
        <f>+AU65+AU87</f>
        <v>161.59367150932485</v>
      </c>
      <c r="AV64" s="305">
        <f t="shared" si="122"/>
        <v>151.47652265188177</v>
      </c>
      <c r="AW64" s="876">
        <f t="shared" si="122"/>
        <v>153.391601449897</v>
      </c>
      <c r="AX64" s="876">
        <f t="shared" si="122"/>
        <v>152.61749945630444</v>
      </c>
      <c r="AY64" s="304">
        <f>+AY65+AY87</f>
        <v>160.94219944404304</v>
      </c>
      <c r="AZ64" s="305">
        <f t="shared" si="123"/>
        <v>148.82231454613097</v>
      </c>
      <c r="BA64" s="876">
        <f t="shared" si="123"/>
        <v>154.02458571287929</v>
      </c>
      <c r="BB64" s="876">
        <f t="shared" si="123"/>
        <v>152.29934024227794</v>
      </c>
      <c r="BC64" s="304">
        <f>+BC65+BC87</f>
        <v>161.76264794652093</v>
      </c>
      <c r="BD64" s="305">
        <f t="shared" ref="BD64:BJ73" si="129">BD16/1000/24/BD$3</f>
        <v>152.98376306317203</v>
      </c>
      <c r="BE64" s="877">
        <f t="shared" si="129"/>
        <v>161.44919430627138</v>
      </c>
      <c r="BF64" s="877">
        <f t="shared" si="129"/>
        <v>151.16992960509259</v>
      </c>
      <c r="BG64" s="878">
        <f t="shared" si="129"/>
        <v>160.92476985069709</v>
      </c>
      <c r="BH64" s="878">
        <f t="shared" si="129"/>
        <v>149.05197917605312</v>
      </c>
      <c r="BI64" s="876">
        <f t="shared" si="129"/>
        <v>154.68179099847626</v>
      </c>
      <c r="BJ64" s="876">
        <f t="shared" si="129"/>
        <v>152.35746930377854</v>
      </c>
      <c r="BK64" s="1137"/>
      <c r="BL64" s="1137"/>
      <c r="BM64" s="1137"/>
      <c r="BN64" s="1137"/>
      <c r="BO64" s="1137"/>
    </row>
    <row r="65" spans="1:67" ht="15.75" x14ac:dyDescent="0.25">
      <c r="A65" s="260"/>
      <c r="B65" s="21" t="s">
        <v>691</v>
      </c>
      <c r="C65" s="12" t="s">
        <v>374</v>
      </c>
      <c r="D65" s="294">
        <f t="shared" si="126"/>
        <v>22.231472222222227</v>
      </c>
      <c r="E65" s="294">
        <f t="shared" si="126"/>
        <v>22.708427419354837</v>
      </c>
      <c r="G65" s="867">
        <v>4.0999999999999996</v>
      </c>
      <c r="H65" s="759" t="s">
        <v>709</v>
      </c>
      <c r="I65" s="308">
        <f>I66+I82</f>
        <v>125.22721422203229</v>
      </c>
      <c r="J65" s="309">
        <f t="shared" si="113"/>
        <v>142.7924747129629</v>
      </c>
      <c r="K65" s="308">
        <f>K66+K82</f>
        <v>146.92088093265664</v>
      </c>
      <c r="L65" s="309">
        <f t="shared" si="114"/>
        <v>139.79950967396951</v>
      </c>
      <c r="M65" s="882">
        <f t="shared" si="114"/>
        <v>136.25186451759549</v>
      </c>
      <c r="N65" s="882">
        <f t="shared" si="114"/>
        <v>141.27145969314662</v>
      </c>
      <c r="O65" s="308">
        <f>O66+O82</f>
        <v>146.85183235758589</v>
      </c>
      <c r="P65" s="309">
        <f t="shared" si="115"/>
        <v>143.45282549074054</v>
      </c>
      <c r="Q65" s="1556">
        <f t="shared" si="115"/>
        <v>139.74635940989998</v>
      </c>
      <c r="R65" s="1556">
        <f t="shared" si="115"/>
        <v>141.99059127477099</v>
      </c>
      <c r="S65" s="308">
        <f>S66+S82</f>
        <v>145.66869246528287</v>
      </c>
      <c r="T65" s="309">
        <f t="shared" si="116"/>
        <v>144.7363386137994</v>
      </c>
      <c r="U65" s="882">
        <f t="shared" si="116"/>
        <v>141.25121453053006</v>
      </c>
      <c r="V65" s="882">
        <f t="shared" si="116"/>
        <v>142.68828117239295</v>
      </c>
      <c r="W65" s="308">
        <f>W66+W82</f>
        <v>145.66869246528287</v>
      </c>
      <c r="X65" s="309">
        <f t="shared" si="117"/>
        <v>140.93425017114683</v>
      </c>
      <c r="Y65" s="882">
        <f t="shared" si="117"/>
        <v>142.14625907940157</v>
      </c>
      <c r="Z65" s="882">
        <f t="shared" si="117"/>
        <v>142.33288927017966</v>
      </c>
      <c r="AA65" s="308">
        <f>AA66+AA82</f>
        <v>99.381432082284036</v>
      </c>
      <c r="AB65" s="309">
        <f t="shared" si="127"/>
        <v>142.56274418287032</v>
      </c>
      <c r="AC65" s="1556">
        <f t="shared" si="127"/>
        <v>130.57502060126154</v>
      </c>
      <c r="AD65" s="1556">
        <f t="shared" si="127"/>
        <v>142.74641932412439</v>
      </c>
      <c r="AE65" s="1555">
        <f t="shared" si="127"/>
        <v>135.1356317028249</v>
      </c>
      <c r="AF65" s="1555">
        <f t="shared" si="127"/>
        <v>142.37057040340767</v>
      </c>
      <c r="AG65" s="308">
        <f>AG66+AG82</f>
        <v>146.62812396196639</v>
      </c>
      <c r="AH65" s="309">
        <f t="shared" si="119"/>
        <v>125.38481260439076</v>
      </c>
      <c r="AI65" s="882">
        <f t="shared" si="119"/>
        <v>136.80043198335474</v>
      </c>
      <c r="AJ65" s="882">
        <f t="shared" si="119"/>
        <v>139.91001670355007</v>
      </c>
      <c r="AK65" s="308">
        <f>AK66+AK82</f>
        <v>147.32719118205631</v>
      </c>
      <c r="AL65" s="309">
        <f t="shared" si="120"/>
        <v>141.07192980185206</v>
      </c>
      <c r="AM65" s="882">
        <f t="shared" si="120"/>
        <v>138.09470565532624</v>
      </c>
      <c r="AN65" s="882">
        <f t="shared" si="120"/>
        <v>140.05287487137409</v>
      </c>
      <c r="AO65" s="308">
        <f>AO66+AO82</f>
        <v>147.31267893483232</v>
      </c>
      <c r="AP65" s="309">
        <f t="shared" si="128"/>
        <v>138.21630998252664</v>
      </c>
      <c r="AQ65" s="1556">
        <f t="shared" si="128"/>
        <v>147.08674592676576</v>
      </c>
      <c r="AR65" s="1556">
        <f t="shared" si="128"/>
        <v>134.82383363315222</v>
      </c>
      <c r="AS65" s="2810">
        <f t="shared" si="128"/>
        <v>139.13382264319785</v>
      </c>
      <c r="AT65" s="2810">
        <f t="shared" si="128"/>
        <v>139.84584392026764</v>
      </c>
      <c r="AU65" s="308">
        <f>AU66+AU82</f>
        <v>148.26867150932486</v>
      </c>
      <c r="AV65" s="309">
        <f t="shared" si="122"/>
        <v>139.5322966760753</v>
      </c>
      <c r="AW65" s="2810">
        <f t="shared" si="122"/>
        <v>140.05924850872051</v>
      </c>
      <c r="AX65" s="2810">
        <f t="shared" si="122"/>
        <v>139.81407933016973</v>
      </c>
      <c r="AY65" s="308">
        <f>AY66+AY82</f>
        <v>147.61719944404305</v>
      </c>
      <c r="AZ65" s="309">
        <f t="shared" si="123"/>
        <v>137.95412011309523</v>
      </c>
      <c r="BA65" s="2810">
        <f t="shared" si="123"/>
        <v>140.6928491859332</v>
      </c>
      <c r="BB65" s="2810">
        <f t="shared" si="123"/>
        <v>139.65815460538505</v>
      </c>
      <c r="BC65" s="308">
        <f>BC66+BC82</f>
        <v>148.43764794652094</v>
      </c>
      <c r="BD65" s="309">
        <f t="shared" si="129"/>
        <v>141.38563349910396</v>
      </c>
      <c r="BE65" s="1556">
        <f t="shared" si="129"/>
        <v>148.12419430627139</v>
      </c>
      <c r="BF65" s="1556">
        <f t="shared" si="129"/>
        <v>139.67967998441358</v>
      </c>
      <c r="BG65" s="1555">
        <f t="shared" si="129"/>
        <v>147.5997698506971</v>
      </c>
      <c r="BH65" s="1555">
        <f t="shared" si="129"/>
        <v>137.22507633432542</v>
      </c>
      <c r="BI65" s="2810">
        <f t="shared" si="129"/>
        <v>141.3506266149146</v>
      </c>
      <c r="BJ65" s="2810">
        <f t="shared" si="129"/>
        <v>139.80487199087895</v>
      </c>
      <c r="BK65" s="1137"/>
      <c r="BL65" s="1137"/>
      <c r="BM65" s="1137"/>
      <c r="BN65" s="1137"/>
      <c r="BO65" s="1137"/>
    </row>
    <row r="66" spans="1:67" x14ac:dyDescent="0.25">
      <c r="A66" s="260"/>
      <c r="B66" s="21" t="s">
        <v>82</v>
      </c>
      <c r="C66" s="12" t="s">
        <v>374</v>
      </c>
      <c r="D66" s="294">
        <f t="shared" si="126"/>
        <v>1.3352222222222243</v>
      </c>
      <c r="E66" s="294">
        <f t="shared" si="126"/>
        <v>1.3534677419354828</v>
      </c>
      <c r="G66" s="868" t="s">
        <v>716</v>
      </c>
      <c r="H66" s="786" t="s">
        <v>688</v>
      </c>
      <c r="I66" s="310">
        <f>+SUM(I67:I80)</f>
        <v>122.85713155536563</v>
      </c>
      <c r="J66" s="311">
        <f t="shared" si="113"/>
        <v>140.73214374999998</v>
      </c>
      <c r="K66" s="310">
        <f>+SUM(K67:K80)</f>
        <v>144.3993275993233</v>
      </c>
      <c r="L66" s="311">
        <f t="shared" si="114"/>
        <v>137.53057478494623</v>
      </c>
      <c r="M66" s="883">
        <f t="shared" si="114"/>
        <v>133.80480495475396</v>
      </c>
      <c r="N66" s="883">
        <f t="shared" si="114"/>
        <v>139.10511689890708</v>
      </c>
      <c r="O66" s="310">
        <f>+SUM(O67:O80)</f>
        <v>144.39850569091922</v>
      </c>
      <c r="P66" s="311">
        <f t="shared" si="115"/>
        <v>141.2380808888887</v>
      </c>
      <c r="Q66" s="884">
        <f t="shared" si="115"/>
        <v>137.29723376887435</v>
      </c>
      <c r="R66" s="884">
        <f t="shared" si="115"/>
        <v>139.80829184065925</v>
      </c>
      <c r="S66" s="310">
        <f>+SUM(S67:S80)</f>
        <v>143.2153657986162</v>
      </c>
      <c r="T66" s="311">
        <f t="shared" si="116"/>
        <v>142.56308795698934</v>
      </c>
      <c r="U66" s="883">
        <f t="shared" si="116"/>
        <v>138.80102141577598</v>
      </c>
      <c r="V66" s="883">
        <f t="shared" si="116"/>
        <v>140.50828101775954</v>
      </c>
      <c r="W66" s="310">
        <f>+SUM(W67:W80)</f>
        <v>143.2153657986162</v>
      </c>
      <c r="X66" s="311">
        <f t="shared" si="117"/>
        <v>138.82875287634397</v>
      </c>
      <c r="Y66" s="883">
        <f t="shared" si="117"/>
        <v>139.69543106197236</v>
      </c>
      <c r="Z66" s="883">
        <f t="shared" si="117"/>
        <v>140.16798446623091</v>
      </c>
      <c r="AA66" s="310">
        <f>+SUM(AA67:AA80)</f>
        <v>96.960513082284038</v>
      </c>
      <c r="AB66" s="311">
        <f t="shared" si="127"/>
        <v>140.3709321111111</v>
      </c>
      <c r="AC66" s="884">
        <f t="shared" si="127"/>
        <v>128.13226165198617</v>
      </c>
      <c r="AD66" s="884">
        <f t="shared" si="127"/>
        <v>140.58994596920292</v>
      </c>
      <c r="AE66" s="885">
        <f t="shared" si="127"/>
        <v>132.68970680300708</v>
      </c>
      <c r="AF66" s="885">
        <f t="shared" si="127"/>
        <v>140.20125457194897</v>
      </c>
      <c r="AG66" s="310">
        <f>+SUM(AG67:AG80)</f>
        <v>144.17479729529973</v>
      </c>
      <c r="AH66" s="311">
        <f t="shared" si="119"/>
        <v>123.25544502688182</v>
      </c>
      <c r="AI66" s="883">
        <f t="shared" si="119"/>
        <v>134.3534348649747</v>
      </c>
      <c r="AJ66" s="883">
        <f t="shared" si="119"/>
        <v>137.74648776869157</v>
      </c>
      <c r="AK66" s="310">
        <f>+SUM(AK67:AK80)</f>
        <v>144.87386451538964</v>
      </c>
      <c r="AL66" s="311">
        <f t="shared" si="120"/>
        <v>138.86092833333353</v>
      </c>
      <c r="AM66" s="883">
        <f t="shared" si="120"/>
        <v>135.64693031379622</v>
      </c>
      <c r="AN66" s="883">
        <f t="shared" si="120"/>
        <v>137.88350914959014</v>
      </c>
      <c r="AO66" s="310">
        <f>+SUM(AO67:AO80)</f>
        <v>144.85935226816565</v>
      </c>
      <c r="AP66" s="311">
        <f t="shared" si="128"/>
        <v>136.09950053763419</v>
      </c>
      <c r="AQ66" s="884">
        <f t="shared" si="128"/>
        <v>144.63341926009906</v>
      </c>
      <c r="AR66" s="884">
        <f t="shared" si="128"/>
        <v>132.67207785326087</v>
      </c>
      <c r="AS66" s="883">
        <f t="shared" si="128"/>
        <v>136.68542151592513</v>
      </c>
      <c r="AT66" s="883">
        <f t="shared" si="128"/>
        <v>137.68240272424239</v>
      </c>
      <c r="AU66" s="310">
        <f>+SUM(AU67:AU80)</f>
        <v>145.81534484265819</v>
      </c>
      <c r="AV66" s="311">
        <f t="shared" si="122"/>
        <v>137.40327688172047</v>
      </c>
      <c r="AW66" s="883">
        <f t="shared" si="122"/>
        <v>137.61034838889481</v>
      </c>
      <c r="AX66" s="883">
        <f t="shared" si="122"/>
        <v>137.65412526960782</v>
      </c>
      <c r="AY66" s="310">
        <f>+SUM(AY67:AY80)</f>
        <v>145.16387277737638</v>
      </c>
      <c r="AZ66" s="311">
        <f t="shared" si="123"/>
        <v>136.01831770833334</v>
      </c>
      <c r="BA66" s="883">
        <f t="shared" si="123"/>
        <v>138.24357797834838</v>
      </c>
      <c r="BB66" s="883">
        <f t="shared" si="123"/>
        <v>137.51699170159679</v>
      </c>
      <c r="BC66" s="310">
        <f>+SUM(BC67:BC80)</f>
        <v>145.98432127985427</v>
      </c>
      <c r="BD66" s="311">
        <f t="shared" si="129"/>
        <v>139.44603575268818</v>
      </c>
      <c r="BE66" s="884">
        <f t="shared" si="129"/>
        <v>145.67086763960472</v>
      </c>
      <c r="BF66" s="884">
        <f t="shared" si="129"/>
        <v>137.67601763888891</v>
      </c>
      <c r="BG66" s="885">
        <f t="shared" si="129"/>
        <v>145.14644318403043</v>
      </c>
      <c r="BH66" s="885">
        <f t="shared" si="129"/>
        <v>135.14655357142857</v>
      </c>
      <c r="BI66" s="883">
        <f t="shared" si="129"/>
        <v>138.90101097107899</v>
      </c>
      <c r="BJ66" s="883">
        <f t="shared" si="129"/>
        <v>137.68082831963468</v>
      </c>
      <c r="BK66" s="1137"/>
      <c r="BL66" s="1137"/>
      <c r="BM66" s="1137"/>
      <c r="BN66" s="1137"/>
      <c r="BO66" s="1137"/>
    </row>
    <row r="67" spans="1:67" x14ac:dyDescent="0.25">
      <c r="A67" s="260"/>
      <c r="B67" s="21" t="s">
        <v>463</v>
      </c>
      <c r="C67" s="12" t="s">
        <v>374</v>
      </c>
      <c r="D67" s="294">
        <f t="shared" si="126"/>
        <v>5.1045138888889019</v>
      </c>
      <c r="E67" s="294">
        <f t="shared" si="126"/>
        <v>5.8832526881720257</v>
      </c>
      <c r="G67" s="858" t="s">
        <v>717</v>
      </c>
      <c r="H67" s="250" t="s">
        <v>689</v>
      </c>
      <c r="I67" s="306">
        <v>6.6135740999999992</v>
      </c>
      <c r="J67" s="307">
        <f t="shared" si="113"/>
        <v>6.6673247222222205</v>
      </c>
      <c r="K67" s="306">
        <v>7.3162083750000004</v>
      </c>
      <c r="L67" s="307">
        <f t="shared" si="114"/>
        <v>7.0301409139785012</v>
      </c>
      <c r="M67" s="879">
        <f t="shared" si="114"/>
        <v>6.970650534836067</v>
      </c>
      <c r="N67" s="879">
        <f t="shared" si="114"/>
        <v>6.8517067213114782</v>
      </c>
      <c r="O67" s="306">
        <v>7.3162083750000004</v>
      </c>
      <c r="P67" s="307">
        <f t="shared" si="115"/>
        <v>6.9205679722222033</v>
      </c>
      <c r="Q67" s="880">
        <f t="shared" si="115"/>
        <v>7.0845707019230781</v>
      </c>
      <c r="R67" s="880">
        <f t="shared" si="115"/>
        <v>6.8744082326007279</v>
      </c>
      <c r="S67" s="306">
        <v>7.3162083750000004</v>
      </c>
      <c r="T67" s="307">
        <f t="shared" si="116"/>
        <v>6.9423149731182976</v>
      </c>
      <c r="U67" s="879">
        <f t="shared" si="116"/>
        <v>7.1434294549180333</v>
      </c>
      <c r="V67" s="879">
        <f t="shared" si="116"/>
        <v>6.8916632240437181</v>
      </c>
      <c r="W67" s="306">
        <v>7.3162083750000004</v>
      </c>
      <c r="X67" s="307">
        <f t="shared" si="117"/>
        <v>6.6769094086021372</v>
      </c>
      <c r="Y67" s="879">
        <f t="shared" si="117"/>
        <v>7.1784369485294119</v>
      </c>
      <c r="Z67" s="879">
        <f t="shared" si="117"/>
        <v>6.8481510130718952</v>
      </c>
      <c r="AA67" s="306">
        <v>6.9802600312499994</v>
      </c>
      <c r="AB67" s="307">
        <f t="shared" si="127"/>
        <v>6.5690066666666818</v>
      </c>
      <c r="AC67" s="880">
        <f t="shared" si="127"/>
        <v>7.206660002038042</v>
      </c>
      <c r="AD67" s="880">
        <f t="shared" si="127"/>
        <v>6.7311538677536307</v>
      </c>
      <c r="AE67" s="881">
        <f t="shared" si="127"/>
        <v>7.1459489293032785</v>
      </c>
      <c r="AF67" s="881">
        <f t="shared" si="127"/>
        <v>6.8023896448087449</v>
      </c>
      <c r="AG67" s="306">
        <v>7.3162083750000004</v>
      </c>
      <c r="AH67" s="307">
        <f t="shared" si="119"/>
        <v>6.6832915322580568</v>
      </c>
      <c r="AI67" s="879">
        <f t="shared" si="119"/>
        <v>7.1706126807827104</v>
      </c>
      <c r="AJ67" s="879">
        <f t="shared" si="119"/>
        <v>6.7851371144859813</v>
      </c>
      <c r="AK67" s="306">
        <v>7.3162083750000004</v>
      </c>
      <c r="AL67" s="307">
        <f t="shared" si="120"/>
        <v>7.0700426388889159</v>
      </c>
      <c r="AM67" s="879">
        <f t="shared" si="120"/>
        <v>7.188513790727459</v>
      </c>
      <c r="AN67" s="879">
        <f t="shared" si="120"/>
        <v>6.8201664822404391</v>
      </c>
      <c r="AO67" s="306">
        <v>7.3162083750000004</v>
      </c>
      <c r="AP67" s="307">
        <f t="shared" si="128"/>
        <v>6.989370967741916</v>
      </c>
      <c r="AQ67" s="880">
        <f t="shared" si="128"/>
        <v>7.3162083749999995</v>
      </c>
      <c r="AR67" s="880">
        <f t="shared" si="128"/>
        <v>6.9125414855072451</v>
      </c>
      <c r="AS67" s="879">
        <f t="shared" si="128"/>
        <v>7.2029084529545466</v>
      </c>
      <c r="AT67" s="879">
        <f t="shared" si="128"/>
        <v>6.8392404424242432</v>
      </c>
      <c r="AU67" s="306">
        <v>7.3162083750000004</v>
      </c>
      <c r="AV67" s="307">
        <f t="shared" si="122"/>
        <v>6.7313923387096626</v>
      </c>
      <c r="AW67" s="879">
        <f t="shared" si="122"/>
        <v>7.2143865496323549</v>
      </c>
      <c r="AX67" s="879">
        <f t="shared" si="122"/>
        <v>6.8283146541394331</v>
      </c>
      <c r="AY67" s="306">
        <v>7.3162083750000004</v>
      </c>
      <c r="AZ67" s="307">
        <f t="shared" si="123"/>
        <v>6.9204610119047834</v>
      </c>
      <c r="BA67" s="879">
        <f t="shared" si="123"/>
        <v>7.2229225110404203</v>
      </c>
      <c r="BB67" s="879">
        <f t="shared" si="123"/>
        <v>6.8360394985029949</v>
      </c>
      <c r="BC67" s="306">
        <v>7.3162083750000004</v>
      </c>
      <c r="BD67" s="307">
        <f t="shared" si="129"/>
        <v>6.7509587365591335</v>
      </c>
      <c r="BE67" s="880">
        <f t="shared" si="129"/>
        <v>7.3162083750000004</v>
      </c>
      <c r="BF67" s="880">
        <f t="shared" si="129"/>
        <v>6.7969532407407405</v>
      </c>
      <c r="BG67" s="881">
        <f t="shared" si="129"/>
        <v>7.3162083750000004</v>
      </c>
      <c r="BH67" s="881">
        <f t="shared" si="129"/>
        <v>6.8553824633699625</v>
      </c>
      <c r="BI67" s="879">
        <f t="shared" si="129"/>
        <v>7.2308454200342496</v>
      </c>
      <c r="BJ67" s="879">
        <f t="shared" si="129"/>
        <v>6.8288134611872149</v>
      </c>
      <c r="BK67" s="1137"/>
      <c r="BL67" s="1137"/>
      <c r="BM67" s="1137"/>
      <c r="BN67" s="1137"/>
      <c r="BO67" s="1137"/>
    </row>
    <row r="68" spans="1:67" x14ac:dyDescent="0.25">
      <c r="A68" s="260"/>
      <c r="B68" s="21" t="s">
        <v>464</v>
      </c>
      <c r="C68" s="12" t="s">
        <v>374</v>
      </c>
      <c r="D68" s="294">
        <f t="shared" si="126"/>
        <v>2.9443194444444436</v>
      </c>
      <c r="E68" s="294">
        <f t="shared" si="126"/>
        <v>6.5376075268817191</v>
      </c>
      <c r="G68" s="858" t="s">
        <v>718</v>
      </c>
      <c r="H68" s="250" t="s">
        <v>604</v>
      </c>
      <c r="I68" s="306">
        <v>3.1</v>
      </c>
      <c r="J68" s="307">
        <f t="shared" si="113"/>
        <v>2.8602499999999962</v>
      </c>
      <c r="K68" s="306">
        <v>2.9</v>
      </c>
      <c r="L68" s="307">
        <f t="shared" si="114"/>
        <v>2.762379032258059</v>
      </c>
      <c r="M68" s="879">
        <f t="shared" si="114"/>
        <v>2.9983606557377049</v>
      </c>
      <c r="N68" s="879">
        <f t="shared" si="114"/>
        <v>2.810512295081963</v>
      </c>
      <c r="O68" s="306">
        <v>2.9</v>
      </c>
      <c r="P68" s="307">
        <f t="shared" si="115"/>
        <v>2.9379444444444447</v>
      </c>
      <c r="Q68" s="880">
        <f t="shared" si="115"/>
        <v>2.9659340659340665</v>
      </c>
      <c r="R68" s="880">
        <f t="shared" si="115"/>
        <v>2.8525228937728908</v>
      </c>
      <c r="S68" s="306">
        <v>2.9</v>
      </c>
      <c r="T68" s="307">
        <f t="shared" si="116"/>
        <v>3.2699731182795664</v>
      </c>
      <c r="U68" s="879">
        <f t="shared" si="116"/>
        <v>2.9491803278688526</v>
      </c>
      <c r="V68" s="879">
        <f t="shared" si="116"/>
        <v>2.9585963114754068</v>
      </c>
      <c r="W68" s="306">
        <v>2.9</v>
      </c>
      <c r="X68" s="307">
        <f t="shared" si="117"/>
        <v>3.131885752688178</v>
      </c>
      <c r="Y68" s="879">
        <f t="shared" si="117"/>
        <v>2.9392156862745096</v>
      </c>
      <c r="Z68" s="879">
        <f t="shared" si="117"/>
        <v>2.9937072440087138</v>
      </c>
      <c r="AA68" s="306">
        <v>2.0099999999999998</v>
      </c>
      <c r="AB68" s="307">
        <f t="shared" si="127"/>
        <v>3.12839861111111</v>
      </c>
      <c r="AC68" s="880">
        <f t="shared" si="127"/>
        <v>2.6097826086956522</v>
      </c>
      <c r="AD68" s="880">
        <f t="shared" si="127"/>
        <v>3.1772780797101454</v>
      </c>
      <c r="AE68" s="881">
        <f t="shared" si="127"/>
        <v>2.7868852459016393</v>
      </c>
      <c r="AF68" s="881">
        <f t="shared" si="127"/>
        <v>3.0157877959927131</v>
      </c>
      <c r="AG68" s="306">
        <v>2.9</v>
      </c>
      <c r="AH68" s="307">
        <f t="shared" si="119"/>
        <v>2.8915591397849441</v>
      </c>
      <c r="AI68" s="879">
        <f t="shared" si="119"/>
        <v>2.8032710280373832</v>
      </c>
      <c r="AJ68" s="879">
        <f t="shared" si="119"/>
        <v>2.9977920560747648</v>
      </c>
      <c r="AK68" s="306">
        <v>2.9</v>
      </c>
      <c r="AL68" s="307">
        <f t="shared" si="120"/>
        <v>2.9910416666666664</v>
      </c>
      <c r="AM68" s="879">
        <f t="shared" si="120"/>
        <v>2.8151639344262294</v>
      </c>
      <c r="AN68" s="879">
        <f t="shared" si="120"/>
        <v>2.9969620901639327</v>
      </c>
      <c r="AO68" s="306">
        <v>2.9</v>
      </c>
      <c r="AP68" s="307">
        <f t="shared" si="128"/>
        <v>2.9374327956989292</v>
      </c>
      <c r="AQ68" s="880">
        <f t="shared" si="128"/>
        <v>2.9</v>
      </c>
      <c r="AR68" s="880">
        <f t="shared" si="128"/>
        <v>2.9394565217391313</v>
      </c>
      <c r="AS68" s="879">
        <f t="shared" si="128"/>
        <v>2.824727272727273</v>
      </c>
      <c r="AT68" s="879">
        <f t="shared" si="128"/>
        <v>2.9902515151515145</v>
      </c>
      <c r="AU68" s="306">
        <v>2.9</v>
      </c>
      <c r="AV68" s="307">
        <f t="shared" si="122"/>
        <v>2.9492338709677419</v>
      </c>
      <c r="AW68" s="879">
        <f t="shared" si="122"/>
        <v>2.8323529411764703</v>
      </c>
      <c r="AX68" s="879">
        <f t="shared" si="122"/>
        <v>2.986096132897603</v>
      </c>
      <c r="AY68" s="306">
        <v>2.9</v>
      </c>
      <c r="AZ68" s="307">
        <f t="shared" si="123"/>
        <v>2.7929166666666689</v>
      </c>
      <c r="BA68" s="879">
        <f t="shared" si="123"/>
        <v>2.8380239520958082</v>
      </c>
      <c r="BB68" s="879">
        <f t="shared" si="123"/>
        <v>2.9699014471057876</v>
      </c>
      <c r="BC68" s="306">
        <v>2.9</v>
      </c>
      <c r="BD68" s="307">
        <f t="shared" si="129"/>
        <v>2.8405241935483865</v>
      </c>
      <c r="BE68" s="880">
        <f t="shared" si="129"/>
        <v>2.9</v>
      </c>
      <c r="BF68" s="880">
        <f t="shared" si="129"/>
        <v>2.863157407407408</v>
      </c>
      <c r="BG68" s="881">
        <f t="shared" si="129"/>
        <v>2.9000000000000004</v>
      </c>
      <c r="BH68" s="881">
        <f t="shared" si="129"/>
        <v>2.9017261904761913</v>
      </c>
      <c r="BI68" s="879">
        <f t="shared" si="129"/>
        <v>2.8432876712328765</v>
      </c>
      <c r="BJ68" s="879">
        <f t="shared" si="129"/>
        <v>2.9589132420091317</v>
      </c>
      <c r="BK68" s="1137"/>
      <c r="BL68" s="1137"/>
      <c r="BM68" s="1137"/>
      <c r="BN68" s="1137"/>
      <c r="BO68" s="1137"/>
    </row>
    <row r="69" spans="1:67" x14ac:dyDescent="0.25">
      <c r="A69" s="260"/>
      <c r="B69" s="21" t="s">
        <v>465</v>
      </c>
      <c r="C69" s="12" t="s">
        <v>374</v>
      </c>
      <c r="D69" s="294">
        <f t="shared" si="126"/>
        <v>0.58881527777777698</v>
      </c>
      <c r="E69" s="294">
        <f t="shared" si="126"/>
        <v>0.73001344086021558</v>
      </c>
      <c r="G69" s="858" t="s">
        <v>719</v>
      </c>
      <c r="H69" s="250" t="s">
        <v>462</v>
      </c>
      <c r="I69" s="306">
        <v>12.303117091272709</v>
      </c>
      <c r="J69" s="307">
        <f t="shared" si="113"/>
        <v>16.257583333333333</v>
      </c>
      <c r="K69" s="306">
        <v>15.941694790989782</v>
      </c>
      <c r="L69" s="307">
        <f t="shared" si="114"/>
        <v>14.965631720430101</v>
      </c>
      <c r="M69" s="879">
        <f t="shared" si="114"/>
        <v>14.152230348505975</v>
      </c>
      <c r="N69" s="879">
        <f t="shared" si="114"/>
        <v>15.601017759562836</v>
      </c>
      <c r="O69" s="306">
        <v>15.992662885530034</v>
      </c>
      <c r="P69" s="307">
        <f t="shared" si="115"/>
        <v>16.30136111111111</v>
      </c>
      <c r="Q69" s="880">
        <f t="shared" si="115"/>
        <v>14.758966349722698</v>
      </c>
      <c r="R69" s="880">
        <f t="shared" si="115"/>
        <v>15.83190018315018</v>
      </c>
      <c r="S69" s="306">
        <v>15.651117130611107</v>
      </c>
      <c r="T69" s="307">
        <f t="shared" si="116"/>
        <v>16.737795698924728</v>
      </c>
      <c r="U69" s="879">
        <f t="shared" si="116"/>
        <v>14.985660400604178</v>
      </c>
      <c r="V69" s="879">
        <f t="shared" si="116"/>
        <v>16.062086748633877</v>
      </c>
      <c r="W69" s="306">
        <v>15.651117130611107</v>
      </c>
      <c r="X69" s="307">
        <f t="shared" si="117"/>
        <v>16.700591397849465</v>
      </c>
      <c r="Y69" s="879">
        <f t="shared" si="117"/>
        <v>15.120491502762446</v>
      </c>
      <c r="Z69" s="879">
        <f t="shared" si="117"/>
        <v>16.191456971677557</v>
      </c>
      <c r="AA69" s="306">
        <v>8.9230073067615141</v>
      </c>
      <c r="AB69" s="307">
        <f t="shared" si="127"/>
        <v>17.088652777777774</v>
      </c>
      <c r="AC69" s="880">
        <f t="shared" si="127"/>
        <v>13.457168275007978</v>
      </c>
      <c r="AD69" s="880">
        <f t="shared" si="127"/>
        <v>16.83966938405797</v>
      </c>
      <c r="AE69" s="881">
        <f t="shared" si="127"/>
        <v>14.104510487024589</v>
      </c>
      <c r="AF69" s="881">
        <f t="shared" si="127"/>
        <v>16.338538251366121</v>
      </c>
      <c r="AG69" s="306">
        <v>15.941694790989782</v>
      </c>
      <c r="AH69" s="307">
        <f t="shared" si="119"/>
        <v>13.875201612903222</v>
      </c>
      <c r="AI69" s="879">
        <f t="shared" si="119"/>
        <v>14.37064466189805</v>
      </c>
      <c r="AJ69" s="879">
        <f t="shared" si="119"/>
        <v>15.981699766355138</v>
      </c>
      <c r="AK69" s="306">
        <v>16.164538552131766</v>
      </c>
      <c r="AL69" s="307">
        <f t="shared" si="120"/>
        <v>16.331083333333346</v>
      </c>
      <c r="AM69" s="879">
        <f t="shared" si="120"/>
        <v>14.591205386107115</v>
      </c>
      <c r="AN69" s="879">
        <f t="shared" si="120"/>
        <v>16.024656762295084</v>
      </c>
      <c r="AO69" s="306">
        <v>16.10802608124952</v>
      </c>
      <c r="AP69" s="307">
        <f t="shared" si="128"/>
        <v>14.230940860215044</v>
      </c>
      <c r="AQ69" s="880">
        <f t="shared" si="128"/>
        <v>16.070407647862734</v>
      </c>
      <c r="AR69" s="880">
        <f t="shared" si="128"/>
        <v>14.795901268115941</v>
      </c>
      <c r="AS69" s="879">
        <f t="shared" si="128"/>
        <v>14.762192446286804</v>
      </c>
      <c r="AT69" s="879">
        <f t="shared" si="128"/>
        <v>15.822456060606061</v>
      </c>
      <c r="AU69" s="306">
        <v>16.17415691929272</v>
      </c>
      <c r="AV69" s="307">
        <f t="shared" si="122"/>
        <v>15.903696236559147</v>
      </c>
      <c r="AW69" s="879">
        <f t="shared" si="122"/>
        <v>14.905234598780867</v>
      </c>
      <c r="AX69" s="879">
        <f t="shared" si="122"/>
        <v>15.830686274509803</v>
      </c>
      <c r="AY69" s="306">
        <v>16.105520809154871</v>
      </c>
      <c r="AZ69" s="307">
        <f t="shared" si="123"/>
        <v>15.470639880952382</v>
      </c>
      <c r="BA69" s="879">
        <f t="shared" si="123"/>
        <v>15.005857394860126</v>
      </c>
      <c r="BB69" s="879">
        <f t="shared" si="123"/>
        <v>15.800502744510979</v>
      </c>
      <c r="BC69" s="306">
        <v>16.17415691929272</v>
      </c>
      <c r="BD69" s="307">
        <f t="shared" si="129"/>
        <v>16.382150537634406</v>
      </c>
      <c r="BE69" s="880">
        <f t="shared" si="129"/>
        <v>16.152803462805391</v>
      </c>
      <c r="BF69" s="880">
        <f t="shared" si="129"/>
        <v>15.933768518518519</v>
      </c>
      <c r="BG69" s="881">
        <f t="shared" si="129"/>
        <v>16.111152831076133</v>
      </c>
      <c r="BH69" s="881">
        <f t="shared" si="129"/>
        <v>15.358582875457873</v>
      </c>
      <c r="BI69" s="879">
        <f t="shared" si="129"/>
        <v>15.105082833921523</v>
      </c>
      <c r="BJ69" s="879">
        <f t="shared" si="129"/>
        <v>15.849902968036529</v>
      </c>
      <c r="BK69" s="1137"/>
      <c r="BL69" s="1137"/>
      <c r="BM69" s="1137"/>
      <c r="BN69" s="1137"/>
      <c r="BO69" s="1137"/>
    </row>
    <row r="70" spans="1:67" x14ac:dyDescent="0.25">
      <c r="A70" s="260"/>
      <c r="B70" s="21" t="s">
        <v>724</v>
      </c>
      <c r="C70" s="12" t="s">
        <v>374</v>
      </c>
      <c r="D70" s="294">
        <f t="shared" si="126"/>
        <v>0.52588749999999995</v>
      </c>
      <c r="E70" s="294">
        <f t="shared" si="126"/>
        <v>0.51527553763440859</v>
      </c>
      <c r="G70" s="858" t="s">
        <v>720</v>
      </c>
      <c r="H70" s="250" t="s">
        <v>690</v>
      </c>
      <c r="I70" s="306">
        <v>13.326444444444443</v>
      </c>
      <c r="J70" s="307">
        <f t="shared" si="113"/>
        <v>16.686797222222228</v>
      </c>
      <c r="K70" s="306">
        <v>16.426631322746537</v>
      </c>
      <c r="L70" s="307">
        <f t="shared" si="114"/>
        <v>16.34689247311827</v>
      </c>
      <c r="M70" s="879">
        <f t="shared" si="114"/>
        <v>14.901949251450423</v>
      </c>
      <c r="N70" s="879">
        <f t="shared" si="114"/>
        <v>16.514058743169393</v>
      </c>
      <c r="O70" s="306">
        <v>16.451903063243073</v>
      </c>
      <c r="P70" s="307">
        <f t="shared" si="115"/>
        <v>17.101988888888897</v>
      </c>
      <c r="Q70" s="880">
        <f t="shared" si="115"/>
        <v>15.412923035557888</v>
      </c>
      <c r="R70" s="880">
        <f t="shared" si="115"/>
        <v>16.707881868131871</v>
      </c>
      <c r="S70" s="306">
        <v>16.110734566539875</v>
      </c>
      <c r="T70" s="307">
        <f t="shared" si="116"/>
        <v>17.027599462365529</v>
      </c>
      <c r="U70" s="879">
        <f t="shared" si="116"/>
        <v>15.590235801627083</v>
      </c>
      <c r="V70" s="879">
        <f t="shared" si="116"/>
        <v>16.789121584699441</v>
      </c>
      <c r="W70" s="306">
        <v>16.110734566539875</v>
      </c>
      <c r="X70" s="307">
        <f t="shared" si="117"/>
        <v>16.666750000000054</v>
      </c>
      <c r="Y70" s="879">
        <f t="shared" si="117"/>
        <v>15.695696335694381</v>
      </c>
      <c r="Z70" s="879">
        <f t="shared" si="117"/>
        <v>16.764327342047928</v>
      </c>
      <c r="AA70" s="306">
        <v>11.769946146246152</v>
      </c>
      <c r="AB70" s="307">
        <f t="shared" si="127"/>
        <v>17.000072222222219</v>
      </c>
      <c r="AC70" s="880">
        <f t="shared" si="127"/>
        <v>14.695260081661488</v>
      </c>
      <c r="AD70" s="880">
        <f t="shared" si="127"/>
        <v>16.89703260869565</v>
      </c>
      <c r="AE70" s="881">
        <f t="shared" si="127"/>
        <v>15.052130730866804</v>
      </c>
      <c r="AF70" s="881">
        <f t="shared" si="127"/>
        <v>16.802974043715846</v>
      </c>
      <c r="AG70" s="306">
        <v>16.426631322746537</v>
      </c>
      <c r="AH70" s="307">
        <f t="shared" si="119"/>
        <v>15.03148655913976</v>
      </c>
      <c r="AI70" s="879">
        <f t="shared" si="119"/>
        <v>15.2512406296905</v>
      </c>
      <c r="AJ70" s="879">
        <f t="shared" si="119"/>
        <v>16.546356697819313</v>
      </c>
      <c r="AK70" s="306">
        <v>16.451903063243073</v>
      </c>
      <c r="AL70" s="307">
        <f t="shared" si="120"/>
        <v>17.116591666666707</v>
      </c>
      <c r="AM70" s="879">
        <f t="shared" si="120"/>
        <v>15.398863060045327</v>
      </c>
      <c r="AN70" s="879">
        <f t="shared" si="120"/>
        <v>16.61646755464481</v>
      </c>
      <c r="AO70" s="306">
        <v>16.426631322746537</v>
      </c>
      <c r="AP70" s="307">
        <f t="shared" si="128"/>
        <v>16.179258064516105</v>
      </c>
      <c r="AQ70" s="880">
        <f t="shared" si="128"/>
        <v>16.434872107691064</v>
      </c>
      <c r="AR70" s="880">
        <f t="shared" si="128"/>
        <v>16.098161231884056</v>
      </c>
      <c r="AS70" s="879">
        <f t="shared" si="128"/>
        <v>15.514720573295282</v>
      </c>
      <c r="AT70" s="879">
        <f t="shared" si="128"/>
        <v>16.567182121212124</v>
      </c>
      <c r="AU70" s="306">
        <v>16.679348727711869</v>
      </c>
      <c r="AV70" s="307">
        <f t="shared" si="122"/>
        <v>16.072615591397863</v>
      </c>
      <c r="AW70" s="879">
        <f t="shared" si="122"/>
        <v>15.632705778481272</v>
      </c>
      <c r="AX70" s="879">
        <f t="shared" si="122"/>
        <v>16.51707897603486</v>
      </c>
      <c r="AY70" s="306">
        <v>16.50786191719968</v>
      </c>
      <c r="AZ70" s="307">
        <f t="shared" si="123"/>
        <v>16.044095238095249</v>
      </c>
      <c r="BA70" s="879">
        <f t="shared" si="123"/>
        <v>15.706072161367848</v>
      </c>
      <c r="BB70" s="879">
        <f t="shared" si="123"/>
        <v>16.477427644710581</v>
      </c>
      <c r="BC70" s="306">
        <v>16.679348727711869</v>
      </c>
      <c r="BD70" s="307">
        <f t="shared" si="129"/>
        <v>15.942311827956964</v>
      </c>
      <c r="BE70" s="880">
        <f t="shared" si="129"/>
        <v>16.625997275552525</v>
      </c>
      <c r="BF70" s="880">
        <f t="shared" si="129"/>
        <v>16.018860185185186</v>
      </c>
      <c r="BG70" s="881">
        <f t="shared" si="129"/>
        <v>16.529384553336836</v>
      </c>
      <c r="BH70" s="881">
        <f t="shared" si="129"/>
        <v>16.058946428571428</v>
      </c>
      <c r="BI70" s="879">
        <f t="shared" si="129"/>
        <v>15.788734006728573</v>
      </c>
      <c r="BJ70" s="879">
        <f t="shared" si="129"/>
        <v>16.431979452054797</v>
      </c>
      <c r="BK70" s="1137"/>
      <c r="BL70" s="1137"/>
      <c r="BM70" s="1137"/>
      <c r="BN70" s="1137"/>
      <c r="BO70" s="1137"/>
    </row>
    <row r="71" spans="1:67" x14ac:dyDescent="0.25">
      <c r="A71" s="260"/>
      <c r="B71" s="21" t="s">
        <v>726</v>
      </c>
      <c r="C71" s="12" t="s">
        <v>374</v>
      </c>
      <c r="D71" s="294">
        <f t="shared" si="126"/>
        <v>7.5123108333333333</v>
      </c>
      <c r="E71" s="294">
        <f t="shared" si="126"/>
        <v>7.5122983870967737</v>
      </c>
      <c r="G71" s="858" t="s">
        <v>721</v>
      </c>
      <c r="H71" s="250" t="s">
        <v>691</v>
      </c>
      <c r="I71" s="306">
        <v>22.823273697426245</v>
      </c>
      <c r="J71" s="307">
        <f t="shared" si="113"/>
        <v>28.590513888888896</v>
      </c>
      <c r="K71" s="306">
        <v>29.92539624518972</v>
      </c>
      <c r="L71" s="307">
        <f t="shared" si="114"/>
        <v>28.031344086021509</v>
      </c>
      <c r="M71" s="879">
        <f t="shared" si="114"/>
        <v>26.432549090551948</v>
      </c>
      <c r="N71" s="879">
        <f t="shared" si="114"/>
        <v>28.306345628415304</v>
      </c>
      <c r="O71" s="306">
        <v>29.968130311614729</v>
      </c>
      <c r="P71" s="307">
        <f t="shared" si="115"/>
        <v>27.583430555555555</v>
      </c>
      <c r="Q71" s="880">
        <f t="shared" si="115"/>
        <v>27.59812531727594</v>
      </c>
      <c r="R71" s="880">
        <f t="shared" si="115"/>
        <v>28.068021978021978</v>
      </c>
      <c r="S71" s="306">
        <v>29.347908861067957</v>
      </c>
      <c r="T71" s="307">
        <f t="shared" si="116"/>
        <v>27.436129032258052</v>
      </c>
      <c r="U71" s="879">
        <f t="shared" si="116"/>
        <v>28.042742447255879</v>
      </c>
      <c r="V71" s="879">
        <f t="shared" si="116"/>
        <v>27.907459016393439</v>
      </c>
      <c r="W71" s="306">
        <v>29.347908861067957</v>
      </c>
      <c r="X71" s="307">
        <f t="shared" si="117"/>
        <v>26.852130376344096</v>
      </c>
      <c r="Y71" s="879">
        <f t="shared" si="117"/>
        <v>28.30718792979297</v>
      </c>
      <c r="Z71" s="879">
        <f t="shared" si="117"/>
        <v>27.693634259259259</v>
      </c>
      <c r="AA71" s="306">
        <v>16.964974819011644</v>
      </c>
      <c r="AB71" s="307">
        <f t="shared" si="127"/>
        <v>26.493749999999999</v>
      </c>
      <c r="AC71" s="880">
        <f t="shared" si="127"/>
        <v>25.30999558648438</v>
      </c>
      <c r="AD71" s="880">
        <f t="shared" si="127"/>
        <v>26.932049365942024</v>
      </c>
      <c r="AE71" s="881">
        <f t="shared" si="127"/>
        <v>26.447808731304228</v>
      </c>
      <c r="AF71" s="881">
        <f t="shared" si="127"/>
        <v>27.496931921675774</v>
      </c>
      <c r="AG71" s="306">
        <v>29.92539624518972</v>
      </c>
      <c r="AH71" s="307">
        <f t="shared" si="119"/>
        <v>23.038266129032248</v>
      </c>
      <c r="AI71" s="879">
        <f t="shared" si="119"/>
        <v>26.95157140854932</v>
      </c>
      <c r="AJ71" s="879">
        <f t="shared" si="119"/>
        <v>26.851050428348909</v>
      </c>
      <c r="AK71" s="306">
        <v>29.968130311614729</v>
      </c>
      <c r="AL71" s="307">
        <f t="shared" si="120"/>
        <v>27.874986111111113</v>
      </c>
      <c r="AM71" s="879">
        <f t="shared" si="120"/>
        <v>27.322459798270476</v>
      </c>
      <c r="AN71" s="879">
        <f t="shared" si="120"/>
        <v>26.976944159836062</v>
      </c>
      <c r="AO71" s="306">
        <v>29.92539624518972</v>
      </c>
      <c r="AP71" s="307">
        <f t="shared" si="128"/>
        <v>27.278158602150555</v>
      </c>
      <c r="AQ71" s="880">
        <f t="shared" si="128"/>
        <v>29.93933126685004</v>
      </c>
      <c r="AR71" s="880">
        <f t="shared" si="128"/>
        <v>26.044116847826089</v>
      </c>
      <c r="AS71" s="879">
        <f t="shared" si="128"/>
        <v>27.615881725014106</v>
      </c>
      <c r="AT71" s="879">
        <f t="shared" si="128"/>
        <v>27.010899242424241</v>
      </c>
      <c r="AU71" s="306">
        <v>30.387386152487132</v>
      </c>
      <c r="AV71" s="307">
        <f t="shared" si="122"/>
        <v>27.297715053763447</v>
      </c>
      <c r="AW71" s="879">
        <f t="shared" si="122"/>
        <v>27.896655049365947</v>
      </c>
      <c r="AX71" s="879">
        <f t="shared" si="122"/>
        <v>27.03995574618736</v>
      </c>
      <c r="AY71" s="306">
        <v>30.062755744412971</v>
      </c>
      <c r="AZ71" s="307">
        <f t="shared" si="123"/>
        <v>25.534791666666656</v>
      </c>
      <c r="BA71" s="879">
        <f t="shared" si="123"/>
        <v>28.078244329190248</v>
      </c>
      <c r="BB71" s="879">
        <f t="shared" si="123"/>
        <v>26.913774326347305</v>
      </c>
      <c r="BC71" s="306">
        <v>30.387386152487132</v>
      </c>
      <c r="BD71" s="307">
        <f t="shared" si="129"/>
        <v>28.281975806451616</v>
      </c>
      <c r="BE71" s="880">
        <f t="shared" si="129"/>
        <v>30.286390025530729</v>
      </c>
      <c r="BF71" s="880">
        <f t="shared" si="129"/>
        <v>27.088273148148151</v>
      </c>
      <c r="BG71" s="881">
        <f t="shared" si="129"/>
        <v>30.110953729933904</v>
      </c>
      <c r="BH71" s="881">
        <f t="shared" si="129"/>
        <v>26.560457875457875</v>
      </c>
      <c r="BI71" s="879">
        <f t="shared" si="129"/>
        <v>28.27436322377163</v>
      </c>
      <c r="BJ71" s="879">
        <f t="shared" si="129"/>
        <v>27.029977739726029</v>
      </c>
      <c r="BK71" s="1137"/>
      <c r="BL71" s="1137"/>
      <c r="BM71" s="1137"/>
      <c r="BN71" s="1137"/>
      <c r="BO71" s="1137"/>
    </row>
    <row r="72" spans="1:67" x14ac:dyDescent="0.25">
      <c r="A72" s="260"/>
      <c r="B72" s="21" t="s">
        <v>692</v>
      </c>
      <c r="C72" s="12" t="s">
        <v>374</v>
      </c>
      <c r="D72" s="294">
        <f t="shared" si="126"/>
        <v>34.170291666666692</v>
      </c>
      <c r="E72" s="294">
        <f t="shared" si="126"/>
        <v>33.882594086021491</v>
      </c>
      <c r="G72" s="858" t="s">
        <v>722</v>
      </c>
      <c r="H72" s="250" t="s">
        <v>82</v>
      </c>
      <c r="I72" s="306">
        <v>2</v>
      </c>
      <c r="J72" s="307">
        <f t="shared" si="113"/>
        <v>1.6762222222222249</v>
      </c>
      <c r="K72" s="306">
        <v>2</v>
      </c>
      <c r="L72" s="307">
        <f t="shared" si="114"/>
        <v>1.7266666666666661</v>
      </c>
      <c r="M72" s="879">
        <f t="shared" si="114"/>
        <v>2</v>
      </c>
      <c r="N72" s="879">
        <f t="shared" si="114"/>
        <v>1.7018579234972686</v>
      </c>
      <c r="O72" s="306">
        <v>2</v>
      </c>
      <c r="P72" s="307">
        <f t="shared" si="115"/>
        <v>1.8484027777777736</v>
      </c>
      <c r="Q72" s="880">
        <f t="shared" si="115"/>
        <v>2</v>
      </c>
      <c r="R72" s="880">
        <f t="shared" si="115"/>
        <v>1.7501694139194131</v>
      </c>
      <c r="S72" s="306">
        <v>2</v>
      </c>
      <c r="T72" s="307">
        <f t="shared" si="116"/>
        <v>1.578319892473123</v>
      </c>
      <c r="U72" s="879">
        <f t="shared" si="116"/>
        <v>2</v>
      </c>
      <c r="V72" s="879">
        <f t="shared" si="116"/>
        <v>1.7065027322404378</v>
      </c>
      <c r="W72" s="306">
        <v>2</v>
      </c>
      <c r="X72" s="307">
        <f t="shared" si="117"/>
        <v>1.7245967741935484</v>
      </c>
      <c r="Y72" s="879">
        <f t="shared" si="117"/>
        <v>2</v>
      </c>
      <c r="Z72" s="879">
        <f t="shared" si="117"/>
        <v>1.7101688453159047</v>
      </c>
      <c r="AA72" s="306">
        <v>2</v>
      </c>
      <c r="AB72" s="307">
        <f t="shared" si="127"/>
        <v>1.7524305555555544</v>
      </c>
      <c r="AC72" s="880">
        <f t="shared" si="127"/>
        <v>2</v>
      </c>
      <c r="AD72" s="880">
        <f t="shared" si="127"/>
        <v>1.6843840579710159</v>
      </c>
      <c r="AE72" s="881">
        <f t="shared" si="127"/>
        <v>2</v>
      </c>
      <c r="AF72" s="881">
        <f t="shared" si="127"/>
        <v>1.7170969945355194</v>
      </c>
      <c r="AG72" s="306">
        <v>2</v>
      </c>
      <c r="AH72" s="307">
        <f t="shared" si="119"/>
        <v>1.3938844086021509</v>
      </c>
      <c r="AI72" s="879">
        <f t="shared" si="119"/>
        <v>2</v>
      </c>
      <c r="AJ72" s="879">
        <f t="shared" si="119"/>
        <v>1.6702764797507794</v>
      </c>
      <c r="AK72" s="306">
        <v>2</v>
      </c>
      <c r="AL72" s="307">
        <f t="shared" si="120"/>
        <v>1.6615972222222222</v>
      </c>
      <c r="AM72" s="879">
        <f t="shared" si="120"/>
        <v>2</v>
      </c>
      <c r="AN72" s="879">
        <f t="shared" si="120"/>
        <v>1.6692093579234974</v>
      </c>
      <c r="AO72" s="306">
        <v>2</v>
      </c>
      <c r="AP72" s="307">
        <f t="shared" si="128"/>
        <v>1.5704704301075245</v>
      </c>
      <c r="AQ72" s="880">
        <f t="shared" si="128"/>
        <v>2</v>
      </c>
      <c r="AR72" s="880">
        <f t="shared" si="128"/>
        <v>1.5406838768115936</v>
      </c>
      <c r="AS72" s="879">
        <f t="shared" si="128"/>
        <v>2</v>
      </c>
      <c r="AT72" s="879">
        <f t="shared" si="128"/>
        <v>1.6580787878787877</v>
      </c>
      <c r="AU72" s="306">
        <v>2</v>
      </c>
      <c r="AV72" s="307">
        <f t="shared" si="122"/>
        <v>1.6722849462365654</v>
      </c>
      <c r="AW72" s="879">
        <f t="shared" si="122"/>
        <v>2</v>
      </c>
      <c r="AX72" s="879">
        <f t="shared" si="122"/>
        <v>1.6595179738562098</v>
      </c>
      <c r="AY72" s="306">
        <v>2</v>
      </c>
      <c r="AZ72" s="307">
        <f t="shared" si="123"/>
        <v>1.667514880952379</v>
      </c>
      <c r="BA72" s="879">
        <f t="shared" si="123"/>
        <v>2</v>
      </c>
      <c r="BB72" s="879">
        <f t="shared" si="123"/>
        <v>1.660188373253493</v>
      </c>
      <c r="BC72" s="306">
        <v>2</v>
      </c>
      <c r="BD72" s="307">
        <f t="shared" si="129"/>
        <v>1.7436155913978455</v>
      </c>
      <c r="BE72" s="880">
        <f t="shared" si="129"/>
        <v>2</v>
      </c>
      <c r="BF72" s="880">
        <f t="shared" si="129"/>
        <v>1.6953703703703709</v>
      </c>
      <c r="BG72" s="881">
        <f t="shared" si="129"/>
        <v>2</v>
      </c>
      <c r="BH72" s="881">
        <f t="shared" si="129"/>
        <v>1.6171771978021978</v>
      </c>
      <c r="BI72" s="879">
        <f t="shared" si="129"/>
        <v>2</v>
      </c>
      <c r="BJ72" s="879">
        <f t="shared" si="129"/>
        <v>1.6672739726027397</v>
      </c>
      <c r="BK72" s="1137"/>
      <c r="BL72" s="1137"/>
      <c r="BM72" s="1137"/>
      <c r="BN72" s="1137"/>
      <c r="BO72" s="1137"/>
    </row>
    <row r="73" spans="1:67" x14ac:dyDescent="0.25">
      <c r="A73" s="260"/>
      <c r="B73" s="21" t="s">
        <v>466</v>
      </c>
      <c r="C73" s="12" t="s">
        <v>374</v>
      </c>
      <c r="D73" s="294">
        <f t="shared" si="126"/>
        <v>4.9680555555555559</v>
      </c>
      <c r="E73" s="294">
        <f t="shared" si="126"/>
        <v>4.4534946236559207</v>
      </c>
      <c r="G73" s="858" t="s">
        <v>723</v>
      </c>
      <c r="H73" s="250" t="s">
        <v>463</v>
      </c>
      <c r="I73" s="306">
        <v>8.7701388888888889</v>
      </c>
      <c r="J73" s="307">
        <f t="shared" si="113"/>
        <v>10.280809722222237</v>
      </c>
      <c r="K73" s="306">
        <v>10.244585865363435</v>
      </c>
      <c r="L73" s="307">
        <f t="shared" si="114"/>
        <v>9.2756895161290416</v>
      </c>
      <c r="M73" s="879">
        <f t="shared" si="114"/>
        <v>9.5194480080808717</v>
      </c>
      <c r="N73" s="879">
        <f t="shared" si="114"/>
        <v>9.77001092896176</v>
      </c>
      <c r="O73" s="306">
        <v>10.22518324061843</v>
      </c>
      <c r="P73" s="307">
        <f t="shared" si="115"/>
        <v>9.6144893518518462</v>
      </c>
      <c r="Q73" s="880">
        <f t="shared" si="115"/>
        <v>9.7521079748514961</v>
      </c>
      <c r="R73" s="880">
        <f t="shared" si="115"/>
        <v>9.7187400793650855</v>
      </c>
      <c r="S73" s="306">
        <v>10.244585865363435</v>
      </c>
      <c r="T73" s="307">
        <f t="shared" si="116"/>
        <v>10.539083781362036</v>
      </c>
      <c r="U73" s="879">
        <f t="shared" si="116"/>
        <v>9.877245799489776</v>
      </c>
      <c r="V73" s="879">
        <f t="shared" si="116"/>
        <v>9.9271880692167684</v>
      </c>
      <c r="W73" s="306">
        <v>10.244585865363435</v>
      </c>
      <c r="X73" s="307">
        <f t="shared" si="117"/>
        <v>9.3594233870967418</v>
      </c>
      <c r="Y73" s="879">
        <f t="shared" si="117"/>
        <v>9.9516741788497978</v>
      </c>
      <c r="Z73" s="879">
        <f t="shared" si="117"/>
        <v>9.8121507806826465</v>
      </c>
      <c r="AA73" s="306">
        <v>6.3448136709520169</v>
      </c>
      <c r="AB73" s="307">
        <f t="shared" si="127"/>
        <v>9.9762902777777995</v>
      </c>
      <c r="AC73" s="880">
        <f t="shared" si="127"/>
        <v>8.9729210193597133</v>
      </c>
      <c r="AD73" s="880">
        <f t="shared" si="127"/>
        <v>9.958069897343</v>
      </c>
      <c r="AE73" s="881">
        <f t="shared" si="127"/>
        <v>9.3603855709977033</v>
      </c>
      <c r="AF73" s="881">
        <f t="shared" si="127"/>
        <v>9.8390588949605409</v>
      </c>
      <c r="AG73" s="306">
        <v>9.8953386199533178</v>
      </c>
      <c r="AH73" s="307">
        <f t="shared" si="119"/>
        <v>7.456827060931885</v>
      </c>
      <c r="AI73" s="879">
        <f t="shared" si="119"/>
        <v>9.4378787696781909</v>
      </c>
      <c r="AJ73" s="879">
        <f t="shared" si="119"/>
        <v>9.4939692367601278</v>
      </c>
      <c r="AK73" s="306">
        <v>10.22518324061843</v>
      </c>
      <c r="AL73" s="307">
        <f t="shared" si="120"/>
        <v>9.0452273148148095</v>
      </c>
      <c r="AM73" s="879">
        <f t="shared" si="120"/>
        <v>9.534678499711827</v>
      </c>
      <c r="AN73" s="879">
        <f t="shared" si="120"/>
        <v>9.4387960496357035</v>
      </c>
      <c r="AO73" s="306">
        <v>10.244585865363435</v>
      </c>
      <c r="AP73" s="307">
        <f t="shared" si="128"/>
        <v>9.5561025985663104</v>
      </c>
      <c r="AQ73" s="880">
        <f t="shared" si="128"/>
        <v>10.120577785471438</v>
      </c>
      <c r="AR73" s="880">
        <f t="shared" si="128"/>
        <v>8.6821482487922648</v>
      </c>
      <c r="AS73" s="879">
        <f t="shared" si="128"/>
        <v>9.6147044209307353</v>
      </c>
      <c r="AT73" s="879">
        <f t="shared" si="128"/>
        <v>9.4520196969696997</v>
      </c>
      <c r="AU73" s="306">
        <v>10.361001613833475</v>
      </c>
      <c r="AV73" s="307">
        <f t="shared" si="122"/>
        <v>9.9575555555555706</v>
      </c>
      <c r="AW73" s="879">
        <f t="shared" si="122"/>
        <v>9.6903096921071565</v>
      </c>
      <c r="AX73" s="879">
        <f t="shared" si="122"/>
        <v>9.5032341140159815</v>
      </c>
      <c r="AY73" s="306">
        <v>10.311109150203455</v>
      </c>
      <c r="AZ73" s="307">
        <f t="shared" si="123"/>
        <v>9.694352678571434</v>
      </c>
      <c r="BA73" s="879">
        <f t="shared" si="123"/>
        <v>9.7423527604505598</v>
      </c>
      <c r="BB73" s="879">
        <f t="shared" si="123"/>
        <v>9.5192560296074546</v>
      </c>
      <c r="BC73" s="306">
        <v>10.361001613833475</v>
      </c>
      <c r="BD73" s="307">
        <f t="shared" si="129"/>
        <v>9.4475515232974665</v>
      </c>
      <c r="BE73" s="880">
        <f t="shared" si="129"/>
        <v>10.34547951403747</v>
      </c>
      <c r="BF73" s="880">
        <f t="shared" si="129"/>
        <v>9.700002160493824</v>
      </c>
      <c r="BG73" s="881">
        <f t="shared" si="129"/>
        <v>10.231792925971124</v>
      </c>
      <c r="BH73" s="881">
        <f t="shared" si="129"/>
        <v>9.1854826007325983</v>
      </c>
      <c r="BI73" s="879">
        <f t="shared" si="129"/>
        <v>9.7948955397789721</v>
      </c>
      <c r="BJ73" s="879">
        <f t="shared" si="129"/>
        <v>9.5131660578386619</v>
      </c>
      <c r="BK73" s="1137"/>
      <c r="BL73" s="1137"/>
      <c r="BM73" s="1137"/>
      <c r="BN73" s="1137"/>
      <c r="BO73" s="1137"/>
    </row>
    <row r="74" spans="1:67" x14ac:dyDescent="0.25">
      <c r="A74" s="260"/>
      <c r="B74" s="21" t="s">
        <v>730</v>
      </c>
      <c r="C74" s="12" t="s">
        <v>374</v>
      </c>
      <c r="D74" s="294">
        <f t="shared" si="126"/>
        <v>3.0618194444444473</v>
      </c>
      <c r="E74" s="294">
        <f t="shared" si="126"/>
        <v>3.1648387096774182</v>
      </c>
      <c r="G74" s="858" t="s">
        <v>725</v>
      </c>
      <c r="H74" s="250" t="s">
        <v>464</v>
      </c>
      <c r="I74" s="306">
        <v>7.7062499999999998</v>
      </c>
      <c r="J74" s="307">
        <f t="shared" si="113"/>
        <v>8.3062291666666752</v>
      </c>
      <c r="K74" s="306">
        <v>8.7087831568856551</v>
      </c>
      <c r="L74" s="307">
        <f t="shared" si="114"/>
        <v>8.2118077956989239</v>
      </c>
      <c r="M74" s="879">
        <f t="shared" si="114"/>
        <v>8.2157340633353328</v>
      </c>
      <c r="N74" s="879">
        <f t="shared" si="114"/>
        <v>8.2582445355191272</v>
      </c>
      <c r="O74" s="306">
        <v>8.6573388681951915</v>
      </c>
      <c r="P74" s="307">
        <f t="shared" si="115"/>
        <v>8.4746157407407203</v>
      </c>
      <c r="Q74" s="880">
        <f t="shared" si="115"/>
        <v>8.3613180649374836</v>
      </c>
      <c r="R74" s="880">
        <f t="shared" si="115"/>
        <v>8.3295757020756955</v>
      </c>
      <c r="S74" s="306">
        <v>8.7087831568856551</v>
      </c>
      <c r="T74" s="307">
        <f t="shared" si="116"/>
        <v>8.9042988351254646</v>
      </c>
      <c r="U74" s="879">
        <f t="shared" si="116"/>
        <v>8.4496083751866102</v>
      </c>
      <c r="V74" s="879">
        <f t="shared" si="116"/>
        <v>8.4756119080145709</v>
      </c>
      <c r="W74" s="306">
        <v>8.7087831568856551</v>
      </c>
      <c r="X74" s="307">
        <f t="shared" si="117"/>
        <v>8.5746774193548507</v>
      </c>
      <c r="Y74" s="879">
        <f t="shared" si="117"/>
        <v>8.5021209126550428</v>
      </c>
      <c r="Z74" s="879">
        <f t="shared" si="117"/>
        <v>8.4956840050835165</v>
      </c>
      <c r="AA74" s="306">
        <v>5.6508367926219956</v>
      </c>
      <c r="AB74" s="307">
        <f t="shared" ref="AB74:AF80" si="130">AB26/1000/24/AB$3</f>
        <v>8.5853819444444142</v>
      </c>
      <c r="AC74" s="880">
        <f t="shared" si="130"/>
        <v>7.7116267337562023</v>
      </c>
      <c r="AD74" s="880">
        <f t="shared" si="130"/>
        <v>8.6892361111111107</v>
      </c>
      <c r="AE74" s="881">
        <f t="shared" si="130"/>
        <v>8.0346972864201174</v>
      </c>
      <c r="AF74" s="881">
        <f t="shared" si="130"/>
        <v>8.5103885853066146</v>
      </c>
      <c r="AG74" s="306">
        <v>8.5985453954060898</v>
      </c>
      <c r="AH74" s="307">
        <f t="shared" si="119"/>
        <v>6.1664695340501954</v>
      </c>
      <c r="AI74" s="879">
        <f t="shared" si="119"/>
        <v>8.116376218095656</v>
      </c>
      <c r="AJ74" s="879">
        <f t="shared" si="119"/>
        <v>8.1708489096573214</v>
      </c>
      <c r="AK74" s="306">
        <v>8.6573388681951915</v>
      </c>
      <c r="AL74" s="307">
        <f t="shared" si="120"/>
        <v>8.2048078703703524</v>
      </c>
      <c r="AM74" s="879">
        <f t="shared" si="120"/>
        <v>8.1828880193374012</v>
      </c>
      <c r="AN74" s="879">
        <f t="shared" si="120"/>
        <v>8.1750241917122022</v>
      </c>
      <c r="AO74" s="306">
        <v>8.7087831568856551</v>
      </c>
      <c r="AP74" s="307">
        <f t="shared" ref="AP74:AT80" si="131">AP26/1000/24/AP$3</f>
        <v>8.6670743727598758</v>
      </c>
      <c r="AQ74" s="880">
        <f t="shared" si="131"/>
        <v>8.654862512683696</v>
      </c>
      <c r="AR74" s="880">
        <f t="shared" si="131"/>
        <v>7.6737401871980735</v>
      </c>
      <c r="AS74" s="879">
        <f t="shared" si="131"/>
        <v>8.2421707439337499</v>
      </c>
      <c r="AT74" s="879">
        <f t="shared" si="131"/>
        <v>8.2304916666666674</v>
      </c>
      <c r="AU74" s="306">
        <v>8.7087831568856551</v>
      </c>
      <c r="AV74" s="307">
        <f t="shared" si="122"/>
        <v>8.7345743727598641</v>
      </c>
      <c r="AW74" s="879">
        <f t="shared" si="122"/>
        <v>8.2894419360955442</v>
      </c>
      <c r="AX74" s="879">
        <f t="shared" si="122"/>
        <v>8.2815588689179389</v>
      </c>
      <c r="AY74" s="306">
        <v>8.7264999399805863</v>
      </c>
      <c r="AZ74" s="307">
        <f t="shared" si="123"/>
        <v>8.9142931547619035</v>
      </c>
      <c r="BA74" s="879">
        <f t="shared" si="123"/>
        <v>8.3260815292356085</v>
      </c>
      <c r="BB74" s="879">
        <f t="shared" si="123"/>
        <v>8.3346024617431809</v>
      </c>
      <c r="BC74" s="306">
        <v>8.8190209183652204</v>
      </c>
      <c r="BD74" s="307">
        <f t="shared" ref="BD74:BJ80" si="132">BD26/1000/24/BD$3</f>
        <v>8.464809587813626</v>
      </c>
      <c r="BE74" s="880">
        <f t="shared" si="132"/>
        <v>8.7522658294692626</v>
      </c>
      <c r="BF74" s="880">
        <f t="shared" si="132"/>
        <v>8.6975679012345708</v>
      </c>
      <c r="BG74" s="881">
        <f t="shared" si="132"/>
        <v>8.7030289880172162</v>
      </c>
      <c r="BH74" s="881">
        <f t="shared" si="132"/>
        <v>8.1800286172161201</v>
      </c>
      <c r="BI74" s="879">
        <f t="shared" si="132"/>
        <v>8.3679476143397657</v>
      </c>
      <c r="BJ74" s="879">
        <f t="shared" si="132"/>
        <v>8.3456611491628632</v>
      </c>
      <c r="BK74" s="1137"/>
      <c r="BL74" s="1137"/>
      <c r="BM74" s="1137"/>
      <c r="BN74" s="1137"/>
      <c r="BO74" s="1137"/>
    </row>
    <row r="75" spans="1:67" x14ac:dyDescent="0.25">
      <c r="A75" s="260"/>
      <c r="B75" s="21" t="s">
        <v>733</v>
      </c>
      <c r="C75" s="12" t="s">
        <v>374</v>
      </c>
      <c r="D75" s="294">
        <f>+((D32/1000)/D$3)/24</f>
        <v>1.5425277777777777</v>
      </c>
      <c r="E75" s="294">
        <f>+((E32/1000)/E$3)/24</f>
        <v>1.5533870967741941</v>
      </c>
      <c r="G75" s="858" t="s">
        <v>727</v>
      </c>
      <c r="H75" s="250" t="s">
        <v>465</v>
      </c>
      <c r="I75" s="306">
        <v>5.8543333333333329</v>
      </c>
      <c r="J75" s="307">
        <f t="shared" si="113"/>
        <v>5.4602472222222271</v>
      </c>
      <c r="K75" s="306">
        <v>7.6360278431481712</v>
      </c>
      <c r="L75" s="307">
        <f t="shared" si="114"/>
        <v>5.8918709677419328</v>
      </c>
      <c r="M75" s="879">
        <f t="shared" si="114"/>
        <v>6.7597846415998912</v>
      </c>
      <c r="N75" s="879">
        <f t="shared" si="114"/>
        <v>5.6795969945355207</v>
      </c>
      <c r="O75" s="306">
        <v>7.5870789467177344</v>
      </c>
      <c r="P75" s="307">
        <f t="shared" si="115"/>
        <v>5.963657407407406</v>
      </c>
      <c r="Q75" s="880">
        <f t="shared" si="115"/>
        <v>7.0325190279024774</v>
      </c>
      <c r="R75" s="880">
        <f t="shared" si="115"/>
        <v>5.7732432844932857</v>
      </c>
      <c r="S75" s="306">
        <v>7.6360278431481712</v>
      </c>
      <c r="T75" s="307">
        <f t="shared" si="116"/>
        <v>5.8258176523297385</v>
      </c>
      <c r="U75" s="879">
        <f t="shared" si="116"/>
        <v>7.1858696284976942</v>
      </c>
      <c r="V75" s="879">
        <f t="shared" si="116"/>
        <v>5.7866023451730397</v>
      </c>
      <c r="W75" s="306">
        <v>7.6360278431481712</v>
      </c>
      <c r="X75" s="307">
        <f t="shared" si="117"/>
        <v>5.3259959677419406</v>
      </c>
      <c r="Y75" s="879">
        <f t="shared" si="117"/>
        <v>7.2770781556490984</v>
      </c>
      <c r="Z75" s="879">
        <f t="shared" si="117"/>
        <v>5.6932768700072609</v>
      </c>
      <c r="AA75" s="306">
        <v>4.4866743154407054</v>
      </c>
      <c r="AB75" s="307">
        <f t="shared" si="130"/>
        <v>5.6298347222222267</v>
      </c>
      <c r="AC75" s="880">
        <f t="shared" si="130"/>
        <v>6.6090647362870403</v>
      </c>
      <c r="AD75" s="880">
        <f t="shared" si="130"/>
        <v>5.5934919987922704</v>
      </c>
      <c r="AE75" s="881">
        <f t="shared" si="130"/>
        <v>6.8196349031559178</v>
      </c>
      <c r="AF75" s="881">
        <f t="shared" si="130"/>
        <v>5.6828765179113532</v>
      </c>
      <c r="AG75" s="306">
        <v>7.8709825460142682</v>
      </c>
      <c r="AH75" s="307">
        <f t="shared" si="119"/>
        <v>3.8911079749103967</v>
      </c>
      <c r="AI75" s="879">
        <f t="shared" si="119"/>
        <v>6.9719329261868026</v>
      </c>
      <c r="AJ75" s="879">
        <f t="shared" si="119"/>
        <v>5.4233212616822435</v>
      </c>
      <c r="AK75" s="306">
        <v>7.8905621045864427</v>
      </c>
      <c r="AL75" s="307">
        <f t="shared" si="120"/>
        <v>5.4669300925925901</v>
      </c>
      <c r="AM75" s="879">
        <f t="shared" si="120"/>
        <v>7.0848791366457737</v>
      </c>
      <c r="AN75" s="879">
        <f t="shared" si="120"/>
        <v>5.4286830031876132</v>
      </c>
      <c r="AO75" s="306">
        <v>7.9297212217307926</v>
      </c>
      <c r="AP75" s="307">
        <f t="shared" si="131"/>
        <v>5.6016066308243682</v>
      </c>
      <c r="AQ75" s="880">
        <f t="shared" si="131"/>
        <v>7.8971595645401109</v>
      </c>
      <c r="AR75" s="880">
        <f t="shared" si="131"/>
        <v>4.9813266908212546</v>
      </c>
      <c r="AS75" s="879">
        <f t="shared" si="131"/>
        <v>7.1801158807826306</v>
      </c>
      <c r="AT75" s="879">
        <f t="shared" si="131"/>
        <v>5.4481762121212114</v>
      </c>
      <c r="AU75" s="306">
        <v>7.9884598974473171</v>
      </c>
      <c r="AV75" s="307">
        <f t="shared" si="122"/>
        <v>5.8259009856630826</v>
      </c>
      <c r="AW75" s="879">
        <f t="shared" si="122"/>
        <v>7.2620069412944126</v>
      </c>
      <c r="AX75" s="879">
        <f t="shared" si="122"/>
        <v>5.486442447349309</v>
      </c>
      <c r="AY75" s="306">
        <v>7.9339168414248302</v>
      </c>
      <c r="AZ75" s="307">
        <f t="shared" si="123"/>
        <v>5.7923630952381089</v>
      </c>
      <c r="BA75" s="879">
        <f t="shared" si="123"/>
        <v>7.3183347173532498</v>
      </c>
      <c r="BB75" s="879">
        <f t="shared" si="123"/>
        <v>5.5120884896872919</v>
      </c>
      <c r="BC75" s="306">
        <v>8.0471985731638416</v>
      </c>
      <c r="BD75" s="307">
        <f t="shared" si="132"/>
        <v>5.8442746415770488</v>
      </c>
      <c r="BE75" s="880">
        <f t="shared" si="132"/>
        <v>7.9917231572093455</v>
      </c>
      <c r="BF75" s="880">
        <f t="shared" si="132"/>
        <v>5.8217956790123466</v>
      </c>
      <c r="BG75" s="881">
        <f t="shared" si="132"/>
        <v>7.9439217806952271</v>
      </c>
      <c r="BH75" s="881">
        <f t="shared" si="132"/>
        <v>5.3969432234432242</v>
      </c>
      <c r="BI75" s="879">
        <f t="shared" si="132"/>
        <v>7.3802382229152466</v>
      </c>
      <c r="BJ75" s="879">
        <f t="shared" si="132"/>
        <v>5.5403015601217644</v>
      </c>
      <c r="BK75" s="1137"/>
      <c r="BL75" s="1137"/>
      <c r="BM75" s="1137"/>
      <c r="BN75" s="1137"/>
      <c r="BO75" s="1137"/>
    </row>
    <row r="76" spans="1:67" x14ac:dyDescent="0.25">
      <c r="A76" s="260"/>
      <c r="B76" s="21" t="s">
        <v>693</v>
      </c>
      <c r="C76" s="12" t="s">
        <v>374</v>
      </c>
      <c r="D76" s="294">
        <f t="shared" ref="D76:E79" si="133">+((D34/1000)/D$3)/24</f>
        <v>0.6318055555555544</v>
      </c>
      <c r="E76" s="294">
        <f t="shared" si="133"/>
        <v>0.59745967741935579</v>
      </c>
      <c r="G76" s="858" t="s">
        <v>728</v>
      </c>
      <c r="H76" s="250" t="s">
        <v>692</v>
      </c>
      <c r="I76" s="360">
        <v>31.46</v>
      </c>
      <c r="J76" s="307">
        <f t="shared" si="113"/>
        <v>35.276570833333281</v>
      </c>
      <c r="K76" s="360">
        <v>34.4</v>
      </c>
      <c r="L76" s="307">
        <f t="shared" si="114"/>
        <v>34.936794354838703</v>
      </c>
      <c r="M76" s="879">
        <f t="shared" si="114"/>
        <v>32.954098360655742</v>
      </c>
      <c r="N76" s="879">
        <f t="shared" si="114"/>
        <v>35.103897540983581</v>
      </c>
      <c r="O76" s="360">
        <v>34.4</v>
      </c>
      <c r="P76" s="307">
        <f t="shared" si="115"/>
        <v>35.41569305555543</v>
      </c>
      <c r="Q76" s="880">
        <f t="shared" si="115"/>
        <v>33.430769230769236</v>
      </c>
      <c r="R76" s="880">
        <f t="shared" si="115"/>
        <v>35.206687271062215</v>
      </c>
      <c r="S76" s="360">
        <v>34.4</v>
      </c>
      <c r="T76" s="307">
        <f t="shared" si="116"/>
        <v>35.267014784946362</v>
      </c>
      <c r="U76" s="879">
        <f t="shared" si="116"/>
        <v>33.677049180327863</v>
      </c>
      <c r="V76" s="879">
        <f t="shared" si="116"/>
        <v>35.222016393442608</v>
      </c>
      <c r="W76" s="360">
        <v>34.4</v>
      </c>
      <c r="X76" s="307">
        <f t="shared" si="117"/>
        <v>35.130483870967602</v>
      </c>
      <c r="Y76" s="879">
        <f t="shared" si="117"/>
        <v>33.823529411764703</v>
      </c>
      <c r="Z76" s="879">
        <f t="shared" si="117"/>
        <v>35.203470588235263</v>
      </c>
      <c r="AA76" s="360">
        <v>22.93</v>
      </c>
      <c r="AB76" s="307">
        <f t="shared" si="130"/>
        <v>35.343843055555553</v>
      </c>
      <c r="AC76" s="880">
        <f t="shared" si="130"/>
        <v>30.659782608695654</v>
      </c>
      <c r="AD76" s="880">
        <f t="shared" si="130"/>
        <v>35.246062499999994</v>
      </c>
      <c r="AE76" s="881">
        <f t="shared" si="130"/>
        <v>32.037704918032787</v>
      </c>
      <c r="AF76" s="881">
        <f t="shared" si="130"/>
        <v>35.226482468123841</v>
      </c>
      <c r="AG76" s="360">
        <v>34.4</v>
      </c>
      <c r="AH76" s="307">
        <f t="shared" si="119"/>
        <v>34.867809139785074</v>
      </c>
      <c r="AI76" s="879">
        <f t="shared" si="119"/>
        <v>32.379906542056077</v>
      </c>
      <c r="AJ76" s="879">
        <f t="shared" si="119"/>
        <v>35.174525116822423</v>
      </c>
      <c r="AK76" s="360">
        <v>34.4</v>
      </c>
      <c r="AL76" s="307">
        <f t="shared" si="120"/>
        <v>34.753544444444579</v>
      </c>
      <c r="AM76" s="879">
        <f t="shared" si="120"/>
        <v>32.628278688524588</v>
      </c>
      <c r="AN76" s="879">
        <f t="shared" si="120"/>
        <v>35.122765198087443</v>
      </c>
      <c r="AO76" s="360">
        <v>34.4</v>
      </c>
      <c r="AP76" s="307">
        <f t="shared" si="131"/>
        <v>34.685736559139549</v>
      </c>
      <c r="AQ76" s="880">
        <f t="shared" si="131"/>
        <v>34.4</v>
      </c>
      <c r="AR76" s="880">
        <f t="shared" si="131"/>
        <v>34.769198369565224</v>
      </c>
      <c r="AS76" s="879">
        <f t="shared" si="131"/>
        <v>32.827999999999996</v>
      </c>
      <c r="AT76" s="879">
        <f t="shared" si="131"/>
        <v>35.073500151515134</v>
      </c>
      <c r="AU76" s="360">
        <v>34.4</v>
      </c>
      <c r="AV76" s="307">
        <f t="shared" si="122"/>
        <v>34.098659946236602</v>
      </c>
      <c r="AW76" s="879">
        <f t="shared" si="122"/>
        <v>32.987254901960789</v>
      </c>
      <c r="AX76" s="879">
        <f t="shared" si="122"/>
        <v>34.974741830065341</v>
      </c>
      <c r="AY76" s="360">
        <v>34.4</v>
      </c>
      <c r="AZ76" s="307">
        <f t="shared" si="123"/>
        <v>34.880297619047575</v>
      </c>
      <c r="BA76" s="879">
        <f t="shared" si="123"/>
        <v>33.105688622754492</v>
      </c>
      <c r="BB76" s="879">
        <f t="shared" si="123"/>
        <v>34.966824351297397</v>
      </c>
      <c r="BC76" s="360">
        <v>34.4</v>
      </c>
      <c r="BD76" s="307">
        <f t="shared" si="132"/>
        <v>34.970370967742035</v>
      </c>
      <c r="BE76" s="880">
        <f t="shared" si="132"/>
        <v>34.4</v>
      </c>
      <c r="BF76" s="880">
        <f t="shared" si="132"/>
        <v>34.642092129629667</v>
      </c>
      <c r="BG76" s="881">
        <f t="shared" si="132"/>
        <v>34.4</v>
      </c>
      <c r="BH76" s="881">
        <f t="shared" si="132"/>
        <v>34.706343635531162</v>
      </c>
      <c r="BI76" s="879">
        <f t="shared" si="132"/>
        <v>33.215616438356165</v>
      </c>
      <c r="BJ76" s="879">
        <f t="shared" si="132"/>
        <v>34.967125570776254</v>
      </c>
      <c r="BK76" s="1137"/>
      <c r="BL76" s="1137"/>
      <c r="BM76" s="1137"/>
      <c r="BN76" s="1137"/>
      <c r="BO76" s="1137"/>
    </row>
    <row r="77" spans="1:67" x14ac:dyDescent="0.25">
      <c r="A77" s="260"/>
      <c r="B77" s="2" t="s">
        <v>698</v>
      </c>
      <c r="C77" s="12" t="s">
        <v>374</v>
      </c>
      <c r="D77" s="294">
        <f t="shared" si="133"/>
        <v>0.89579548472222215</v>
      </c>
      <c r="E77" s="294">
        <f t="shared" si="133"/>
        <v>0.86948325672043014</v>
      </c>
      <c r="G77" s="858" t="s">
        <v>729</v>
      </c>
      <c r="H77" s="250" t="s">
        <v>466</v>
      </c>
      <c r="I77" s="360">
        <v>5.4</v>
      </c>
      <c r="J77" s="307">
        <f t="shared" si="113"/>
        <v>5.5365277777777617</v>
      </c>
      <c r="K77" s="360">
        <v>5.4</v>
      </c>
      <c r="L77" s="307">
        <f t="shared" si="114"/>
        <v>5.4528225806451536</v>
      </c>
      <c r="M77" s="879">
        <f t="shared" si="114"/>
        <v>5.4</v>
      </c>
      <c r="N77" s="879">
        <f t="shared" si="114"/>
        <v>5.4939890710382402</v>
      </c>
      <c r="O77" s="360">
        <v>5.4</v>
      </c>
      <c r="P77" s="307">
        <f t="shared" si="115"/>
        <v>5.6149999999999833</v>
      </c>
      <c r="Q77" s="880">
        <f t="shared" si="115"/>
        <v>5.4</v>
      </c>
      <c r="R77" s="880">
        <f t="shared" si="115"/>
        <v>5.5338827838827713</v>
      </c>
      <c r="S77" s="360">
        <v>5.4</v>
      </c>
      <c r="T77" s="307">
        <f t="shared" si="116"/>
        <v>5.7459677419355035</v>
      </c>
      <c r="U77" s="879">
        <f t="shared" si="116"/>
        <v>5.4</v>
      </c>
      <c r="V77" s="879">
        <f t="shared" si="116"/>
        <v>5.5877732240437119</v>
      </c>
      <c r="W77" s="360">
        <v>5.4</v>
      </c>
      <c r="X77" s="307">
        <f t="shared" si="117"/>
        <v>5.4611559139784731</v>
      </c>
      <c r="Y77" s="879">
        <f t="shared" si="117"/>
        <v>5.3999999999999995</v>
      </c>
      <c r="Z77" s="879">
        <f t="shared" si="117"/>
        <v>5.5621187363834341</v>
      </c>
      <c r="AA77" s="360">
        <v>5.4</v>
      </c>
      <c r="AB77" s="307">
        <f t="shared" si="130"/>
        <v>5.645833333333333</v>
      </c>
      <c r="AC77" s="880">
        <f t="shared" si="130"/>
        <v>5.4</v>
      </c>
      <c r="AD77" s="880">
        <f t="shared" si="130"/>
        <v>5.6173460144927541</v>
      </c>
      <c r="AE77" s="881">
        <f t="shared" si="130"/>
        <v>5.3999999999999995</v>
      </c>
      <c r="AF77" s="881">
        <f t="shared" si="130"/>
        <v>5.5758424408014502</v>
      </c>
      <c r="AG77" s="360">
        <v>5.4</v>
      </c>
      <c r="AH77" s="307">
        <f t="shared" si="119"/>
        <v>4.8541666666666767</v>
      </c>
      <c r="AI77" s="879">
        <f t="shared" si="119"/>
        <v>5.4</v>
      </c>
      <c r="AJ77" s="879">
        <f t="shared" si="119"/>
        <v>5.4713006230529553</v>
      </c>
      <c r="AK77" s="360">
        <v>5.4</v>
      </c>
      <c r="AL77" s="307">
        <f t="shared" si="120"/>
        <v>5.3968055555555514</v>
      </c>
      <c r="AM77" s="879">
        <f t="shared" si="120"/>
        <v>5.4</v>
      </c>
      <c r="AN77" s="879">
        <f t="shared" si="120"/>
        <v>5.4621413934426188</v>
      </c>
      <c r="AO77" s="360">
        <v>5.4</v>
      </c>
      <c r="AP77" s="307">
        <f t="shared" si="131"/>
        <v>5.6479838709677406</v>
      </c>
      <c r="AQ77" s="880">
        <f t="shared" si="131"/>
        <v>5.4</v>
      </c>
      <c r="AR77" s="880">
        <f t="shared" si="131"/>
        <v>5.2985960144927553</v>
      </c>
      <c r="AS77" s="879">
        <f t="shared" si="131"/>
        <v>5.4</v>
      </c>
      <c r="AT77" s="879">
        <f t="shared" si="131"/>
        <v>5.4830909090909046</v>
      </c>
      <c r="AU77" s="360">
        <v>5.4</v>
      </c>
      <c r="AV77" s="307">
        <f t="shared" si="122"/>
        <v>5.4162634408602015</v>
      </c>
      <c r="AW77" s="879">
        <f t="shared" si="122"/>
        <v>5.3999999999999995</v>
      </c>
      <c r="AX77" s="879">
        <f t="shared" si="122"/>
        <v>5.4763208061002127</v>
      </c>
      <c r="AY77" s="360">
        <v>5.4</v>
      </c>
      <c r="AZ77" s="307">
        <f t="shared" si="123"/>
        <v>5.392261904761912</v>
      </c>
      <c r="BA77" s="879">
        <f t="shared" si="123"/>
        <v>5.4</v>
      </c>
      <c r="BB77" s="879">
        <f t="shared" si="123"/>
        <v>5.4692739520958042</v>
      </c>
      <c r="BC77" s="360">
        <v>5.4</v>
      </c>
      <c r="BD77" s="307">
        <f t="shared" si="132"/>
        <v>5.4751344086021501</v>
      </c>
      <c r="BE77" s="880">
        <f t="shared" si="132"/>
        <v>5.4</v>
      </c>
      <c r="BF77" s="880">
        <f t="shared" si="132"/>
        <v>5.4290740740740722</v>
      </c>
      <c r="BG77" s="881">
        <f t="shared" si="132"/>
        <v>5.4</v>
      </c>
      <c r="BH77" s="881">
        <f t="shared" si="132"/>
        <v>5.3631181318681316</v>
      </c>
      <c r="BI77" s="879">
        <f t="shared" si="132"/>
        <v>5.4</v>
      </c>
      <c r="BJ77" s="879">
        <f t="shared" si="132"/>
        <v>5.4697716894977129</v>
      </c>
      <c r="BK77" s="1137"/>
      <c r="BL77" s="1137"/>
      <c r="BM77" s="1137"/>
      <c r="BN77" s="1137"/>
      <c r="BO77" s="1137"/>
    </row>
    <row r="78" spans="1:67" x14ac:dyDescent="0.25">
      <c r="A78" s="260"/>
      <c r="B78" s="2" t="s">
        <v>699</v>
      </c>
      <c r="C78" s="12" t="s">
        <v>374</v>
      </c>
      <c r="D78" s="294">
        <f t="shared" si="133"/>
        <v>0.259755010555556</v>
      </c>
      <c r="E78" s="294">
        <f t="shared" si="133"/>
        <v>0.24748231639784987</v>
      </c>
      <c r="G78" s="858" t="s">
        <v>731</v>
      </c>
      <c r="H78" s="250" t="s">
        <v>693</v>
      </c>
      <c r="I78" s="360">
        <v>0.9</v>
      </c>
      <c r="J78" s="307">
        <f t="shared" si="113"/>
        <v>0.90169444444444535</v>
      </c>
      <c r="K78" s="360">
        <v>0.9</v>
      </c>
      <c r="L78" s="307">
        <f t="shared" si="114"/>
        <v>0.85237903225806677</v>
      </c>
      <c r="M78" s="879">
        <f t="shared" si="114"/>
        <v>0.9</v>
      </c>
      <c r="N78" s="879">
        <f t="shared" si="114"/>
        <v>0.87663251366120387</v>
      </c>
      <c r="O78" s="360">
        <v>0.9</v>
      </c>
      <c r="P78" s="307">
        <f t="shared" si="115"/>
        <v>0.8672638888888875</v>
      </c>
      <c r="Q78" s="880">
        <f t="shared" si="115"/>
        <v>0.89999999999999991</v>
      </c>
      <c r="R78" s="880">
        <f t="shared" si="115"/>
        <v>0.87354395604395663</v>
      </c>
      <c r="S78" s="360">
        <v>0.9</v>
      </c>
      <c r="T78" s="307">
        <f t="shared" si="116"/>
        <v>0.87419354838709806</v>
      </c>
      <c r="U78" s="879">
        <f t="shared" si="116"/>
        <v>0.9</v>
      </c>
      <c r="V78" s="879">
        <f t="shared" si="116"/>
        <v>0.87370901639344345</v>
      </c>
      <c r="W78" s="360">
        <v>0.9</v>
      </c>
      <c r="X78" s="307">
        <f t="shared" si="117"/>
        <v>0.85221774193548172</v>
      </c>
      <c r="Y78" s="879">
        <f t="shared" si="117"/>
        <v>0.90000000000000013</v>
      </c>
      <c r="Z78" s="879">
        <f t="shared" si="117"/>
        <v>0.86935457516339898</v>
      </c>
      <c r="AA78" s="360">
        <v>0.9</v>
      </c>
      <c r="AB78" s="307">
        <f t="shared" si="130"/>
        <v>0.84518055555555793</v>
      </c>
      <c r="AC78" s="880">
        <f t="shared" si="130"/>
        <v>0.9</v>
      </c>
      <c r="AD78" s="880">
        <f t="shared" si="130"/>
        <v>0.85732789855072511</v>
      </c>
      <c r="AE78" s="881">
        <f t="shared" si="130"/>
        <v>0.90000000000000013</v>
      </c>
      <c r="AF78" s="881">
        <f t="shared" si="130"/>
        <v>0.86539162112932666</v>
      </c>
      <c r="AG78" s="360">
        <v>0.9</v>
      </c>
      <c r="AH78" s="307">
        <f t="shared" si="119"/>
        <v>0.8396236559139808</v>
      </c>
      <c r="AI78" s="879">
        <f t="shared" si="119"/>
        <v>0.9</v>
      </c>
      <c r="AJ78" s="879">
        <f t="shared" si="119"/>
        <v>0.86165887850467382</v>
      </c>
      <c r="AK78" s="360">
        <v>0.9</v>
      </c>
      <c r="AL78" s="307">
        <f t="shared" si="120"/>
        <v>0.81559722222222097</v>
      </c>
      <c r="AM78" s="879">
        <f t="shared" si="120"/>
        <v>0.9</v>
      </c>
      <c r="AN78" s="879">
        <f t="shared" si="120"/>
        <v>0.85599556010929023</v>
      </c>
      <c r="AO78" s="360">
        <v>0.9</v>
      </c>
      <c r="AP78" s="307">
        <f t="shared" si="131"/>
        <v>0.79900537634408408</v>
      </c>
      <c r="AQ78" s="880">
        <f t="shared" si="131"/>
        <v>0.9</v>
      </c>
      <c r="AR78" s="880">
        <f t="shared" si="131"/>
        <v>0.81810235507246343</v>
      </c>
      <c r="AS78" s="879">
        <f t="shared" si="131"/>
        <v>0.9</v>
      </c>
      <c r="AT78" s="879">
        <f t="shared" si="131"/>
        <v>0.84957121212121245</v>
      </c>
      <c r="AU78" s="360">
        <v>0.9</v>
      </c>
      <c r="AV78" s="307">
        <f t="shared" si="122"/>
        <v>0.81884408602150693</v>
      </c>
      <c r="AW78" s="879">
        <f t="shared" si="122"/>
        <v>0.90000000000000013</v>
      </c>
      <c r="AX78" s="879">
        <f t="shared" si="122"/>
        <v>0.84645833333333376</v>
      </c>
      <c r="AY78" s="360">
        <v>0.9</v>
      </c>
      <c r="AZ78" s="307">
        <f t="shared" si="123"/>
        <v>0.80145833333333327</v>
      </c>
      <c r="BA78" s="879">
        <f t="shared" si="123"/>
        <v>0.89999999999999991</v>
      </c>
      <c r="BB78" s="879">
        <f t="shared" si="123"/>
        <v>0.84268587824351338</v>
      </c>
      <c r="BC78" s="360">
        <v>0.9</v>
      </c>
      <c r="BD78" s="307">
        <f t="shared" si="132"/>
        <v>0.85708333333333142</v>
      </c>
      <c r="BE78" s="880">
        <f t="shared" si="132"/>
        <v>0.9</v>
      </c>
      <c r="BF78" s="880">
        <f t="shared" si="132"/>
        <v>0.8266064814814813</v>
      </c>
      <c r="BG78" s="881">
        <f t="shared" si="132"/>
        <v>0.89999999999999991</v>
      </c>
      <c r="BH78" s="881">
        <f t="shared" si="132"/>
        <v>0.82230769230769218</v>
      </c>
      <c r="BI78" s="879">
        <f t="shared" si="132"/>
        <v>0.9</v>
      </c>
      <c r="BJ78" s="879">
        <f t="shared" si="132"/>
        <v>0.84390867579908702</v>
      </c>
      <c r="BK78" s="1137"/>
      <c r="BL78" s="1137"/>
      <c r="BM78" s="1137"/>
      <c r="BN78" s="1137"/>
      <c r="BO78" s="1137"/>
    </row>
    <row r="79" spans="1:67" ht="15.75" x14ac:dyDescent="0.25">
      <c r="A79" s="64"/>
      <c r="B79" s="2" t="s">
        <v>705</v>
      </c>
      <c r="C79" s="12" t="s">
        <v>374</v>
      </c>
      <c r="D79" s="294">
        <f t="shared" si="133"/>
        <v>0.47197477138888738</v>
      </c>
      <c r="E79" s="294">
        <f t="shared" si="133"/>
        <v>0.47029550080645333</v>
      </c>
      <c r="G79" s="858" t="s">
        <v>732</v>
      </c>
      <c r="H79" s="250" t="s">
        <v>694</v>
      </c>
      <c r="I79" s="360">
        <v>1.4</v>
      </c>
      <c r="J79" s="307">
        <f t="shared" si="113"/>
        <v>0.99527777777777593</v>
      </c>
      <c r="K79" s="360">
        <v>1.4</v>
      </c>
      <c r="L79" s="307">
        <f t="shared" si="114"/>
        <v>0.84927419354839617</v>
      </c>
      <c r="M79" s="879">
        <f t="shared" si="114"/>
        <v>1.4</v>
      </c>
      <c r="N79" s="879">
        <f t="shared" si="114"/>
        <v>0.92107923497268118</v>
      </c>
      <c r="O79" s="360">
        <v>1.4</v>
      </c>
      <c r="P79" s="307">
        <f t="shared" si="115"/>
        <v>1.3830833333333252</v>
      </c>
      <c r="Q79" s="880">
        <f t="shared" si="115"/>
        <v>1.4</v>
      </c>
      <c r="R79" s="880">
        <f t="shared" si="115"/>
        <v>1.0733882783882782</v>
      </c>
      <c r="S79" s="360">
        <v>1.4</v>
      </c>
      <c r="T79" s="307">
        <f t="shared" si="116"/>
        <v>1.1878897849462364</v>
      </c>
      <c r="U79" s="879">
        <f t="shared" si="116"/>
        <v>1.4</v>
      </c>
      <c r="V79" s="879">
        <f t="shared" si="116"/>
        <v>1.1024829234972677</v>
      </c>
      <c r="W79" s="360">
        <v>1.4</v>
      </c>
      <c r="X79" s="307">
        <f t="shared" si="117"/>
        <v>1.190712365591396</v>
      </c>
      <c r="Y79" s="879">
        <f t="shared" si="117"/>
        <v>1.4000000000000001</v>
      </c>
      <c r="Z79" s="879">
        <f t="shared" si="117"/>
        <v>1.1203594771241825</v>
      </c>
      <c r="AA79" s="360">
        <v>1.4</v>
      </c>
      <c r="AB79" s="307">
        <f t="shared" si="130"/>
        <v>1.1422916666666667</v>
      </c>
      <c r="AC79" s="880">
        <f t="shared" si="130"/>
        <v>1.4</v>
      </c>
      <c r="AD79" s="880">
        <f t="shared" si="130"/>
        <v>1.1739719202898546</v>
      </c>
      <c r="AE79" s="881">
        <f t="shared" si="130"/>
        <v>1.4</v>
      </c>
      <c r="AF79" s="881">
        <f t="shared" si="130"/>
        <v>1.1239549180327864</v>
      </c>
      <c r="AG79" s="360">
        <v>1.4</v>
      </c>
      <c r="AH79" s="307">
        <f t="shared" si="119"/>
        <v>1.1870026881720483</v>
      </c>
      <c r="AI79" s="879">
        <f t="shared" si="119"/>
        <v>1.4</v>
      </c>
      <c r="AJ79" s="879">
        <f t="shared" si="119"/>
        <v>1.13308800623053</v>
      </c>
      <c r="AK79" s="360">
        <v>1.4</v>
      </c>
      <c r="AL79" s="307">
        <f t="shared" si="120"/>
        <v>0.87913888888888325</v>
      </c>
      <c r="AM79" s="879">
        <f t="shared" si="120"/>
        <v>1.4</v>
      </c>
      <c r="AN79" s="879">
        <f t="shared" si="120"/>
        <v>1.1018647540983602</v>
      </c>
      <c r="AO79" s="360">
        <v>1.4</v>
      </c>
      <c r="AP79" s="307">
        <f t="shared" si="131"/>
        <v>0.88817204301075658</v>
      </c>
      <c r="AQ79" s="880">
        <f t="shared" si="131"/>
        <v>1.4</v>
      </c>
      <c r="AR79" s="880">
        <f t="shared" si="131"/>
        <v>0.98591938405797219</v>
      </c>
      <c r="AS79" s="879">
        <f t="shared" si="131"/>
        <v>1.4</v>
      </c>
      <c r="AT79" s="879">
        <f t="shared" si="131"/>
        <v>1.0777757575757578</v>
      </c>
      <c r="AU79" s="360">
        <v>1.4</v>
      </c>
      <c r="AV79" s="307">
        <f t="shared" si="122"/>
        <v>0.80658602150537451</v>
      </c>
      <c r="AW79" s="879">
        <f t="shared" si="122"/>
        <v>1.4000000000000001</v>
      </c>
      <c r="AX79" s="879">
        <f t="shared" si="122"/>
        <v>1.0503022875816992</v>
      </c>
      <c r="AY79" s="360">
        <v>1.4</v>
      </c>
      <c r="AZ79" s="307">
        <f t="shared" si="123"/>
        <v>0.98541666666666228</v>
      </c>
      <c r="BA79" s="879">
        <f t="shared" si="123"/>
        <v>1.4</v>
      </c>
      <c r="BB79" s="879">
        <f t="shared" si="123"/>
        <v>1.0448627744510974</v>
      </c>
      <c r="BC79" s="360">
        <v>1.4</v>
      </c>
      <c r="BD79" s="307">
        <f t="shared" si="132"/>
        <v>1.24905913978495</v>
      </c>
      <c r="BE79" s="880">
        <f t="shared" si="132"/>
        <v>1.4</v>
      </c>
      <c r="BF79" s="880">
        <f t="shared" si="132"/>
        <v>1.0146296296296289</v>
      </c>
      <c r="BG79" s="881">
        <f t="shared" si="132"/>
        <v>1.4</v>
      </c>
      <c r="BH79" s="881">
        <f t="shared" si="132"/>
        <v>1.0001167582417587</v>
      </c>
      <c r="BI79" s="879">
        <f t="shared" si="132"/>
        <v>1.4</v>
      </c>
      <c r="BJ79" s="879">
        <f t="shared" si="132"/>
        <v>1.0622054794520548</v>
      </c>
      <c r="BK79" s="1137"/>
      <c r="BL79" s="1137"/>
      <c r="BM79" s="1137"/>
      <c r="BN79" s="1137"/>
      <c r="BO79" s="1137"/>
    </row>
    <row r="80" spans="1:67" x14ac:dyDescent="0.25">
      <c r="B80" s="21" t="s">
        <v>695</v>
      </c>
      <c r="C80" s="12" t="s">
        <v>374</v>
      </c>
      <c r="D80" s="294">
        <f>+((D39/1000)/D$3)/24</f>
        <v>1.2024613888888884</v>
      </c>
      <c r="E80" s="294">
        <f>+((E39/1000)/E$3)/24</f>
        <v>1.0451474462365573</v>
      </c>
      <c r="G80" s="858" t="s">
        <v>734</v>
      </c>
      <c r="H80" s="250" t="s">
        <v>695</v>
      </c>
      <c r="I80" s="360">
        <v>1.2</v>
      </c>
      <c r="J80" s="307">
        <f t="shared" si="113"/>
        <v>1.2360954166666642</v>
      </c>
      <c r="K80" s="360">
        <v>1.2</v>
      </c>
      <c r="L80" s="307">
        <f t="shared" si="114"/>
        <v>1.1968814516129018</v>
      </c>
      <c r="M80" s="879">
        <f t="shared" si="114"/>
        <v>1.2</v>
      </c>
      <c r="N80" s="879">
        <f t="shared" si="114"/>
        <v>1.2161670081967195</v>
      </c>
      <c r="O80" s="360">
        <v>1.2</v>
      </c>
      <c r="P80" s="307">
        <f t="shared" si="115"/>
        <v>1.2105823611111106</v>
      </c>
      <c r="Q80" s="880">
        <f t="shared" si="115"/>
        <v>1.2</v>
      </c>
      <c r="R80" s="880">
        <f t="shared" si="115"/>
        <v>1.2143259157509143</v>
      </c>
      <c r="S80" s="360">
        <v>1.2</v>
      </c>
      <c r="T80" s="307">
        <f t="shared" si="116"/>
        <v>1.2266896505376341</v>
      </c>
      <c r="U80" s="879">
        <f t="shared" si="116"/>
        <v>1.2</v>
      </c>
      <c r="V80" s="879">
        <f t="shared" si="116"/>
        <v>1.2174675204918022</v>
      </c>
      <c r="W80" s="360">
        <v>1.2</v>
      </c>
      <c r="X80" s="307">
        <f t="shared" si="117"/>
        <v>1.1812225000000025</v>
      </c>
      <c r="Y80" s="879">
        <f t="shared" si="117"/>
        <v>1.2</v>
      </c>
      <c r="Z80" s="879">
        <f t="shared" si="117"/>
        <v>1.2101237581699342</v>
      </c>
      <c r="AA80" s="360">
        <v>1.2</v>
      </c>
      <c r="AB80" s="307">
        <f t="shared" si="130"/>
        <v>1.1699657222222202</v>
      </c>
      <c r="AC80" s="880">
        <f t="shared" si="130"/>
        <v>1.2</v>
      </c>
      <c r="AD80" s="880">
        <f t="shared" si="130"/>
        <v>1.1928722644927539</v>
      </c>
      <c r="AE80" s="881">
        <f t="shared" si="130"/>
        <v>1.2</v>
      </c>
      <c r="AF80" s="881">
        <f t="shared" si="130"/>
        <v>1.2035404735883417</v>
      </c>
      <c r="AG80" s="360">
        <v>1.2</v>
      </c>
      <c r="AH80" s="307">
        <f t="shared" si="119"/>
        <v>1.0787489247311834</v>
      </c>
      <c r="AI80" s="879">
        <f t="shared" si="119"/>
        <v>1.2</v>
      </c>
      <c r="AJ80" s="879">
        <f t="shared" si="119"/>
        <v>1.1854631931464168</v>
      </c>
      <c r="AK80" s="360">
        <v>1.2</v>
      </c>
      <c r="AL80" s="307">
        <f t="shared" si="120"/>
        <v>1.2535343055555555</v>
      </c>
      <c r="AM80" s="879">
        <f t="shared" si="120"/>
        <v>1.2</v>
      </c>
      <c r="AN80" s="879">
        <f t="shared" si="120"/>
        <v>1.1938325922131143</v>
      </c>
      <c r="AO80" s="360">
        <v>1.2</v>
      </c>
      <c r="AP80" s="307">
        <f t="shared" si="131"/>
        <v>1.0681873655913978</v>
      </c>
      <c r="AQ80" s="880">
        <f t="shared" si="131"/>
        <v>1.2</v>
      </c>
      <c r="AR80" s="880">
        <f t="shared" si="131"/>
        <v>1.1321853713768117</v>
      </c>
      <c r="AS80" s="879">
        <f t="shared" si="131"/>
        <v>1.2</v>
      </c>
      <c r="AT80" s="879">
        <f t="shared" si="131"/>
        <v>1.1796689484848479</v>
      </c>
      <c r="AU80" s="360">
        <v>1.2</v>
      </c>
      <c r="AV80" s="307">
        <f t="shared" si="122"/>
        <v>1.1179544354838726</v>
      </c>
      <c r="AW80" s="879">
        <f t="shared" si="122"/>
        <v>1.2</v>
      </c>
      <c r="AX80" s="879">
        <f t="shared" si="122"/>
        <v>1.1734168246187362</v>
      </c>
      <c r="AY80" s="360">
        <v>1.2</v>
      </c>
      <c r="AZ80" s="307">
        <f t="shared" si="123"/>
        <v>1.1274549107142871</v>
      </c>
      <c r="BA80" s="879">
        <f t="shared" si="123"/>
        <v>1.2</v>
      </c>
      <c r="BB80" s="879">
        <f t="shared" si="123"/>
        <v>1.16956373003992</v>
      </c>
      <c r="BC80" s="360">
        <v>1.2</v>
      </c>
      <c r="BD80" s="307">
        <f t="shared" si="132"/>
        <v>1.1962154569892465</v>
      </c>
      <c r="BE80" s="880">
        <f t="shared" si="132"/>
        <v>1.2</v>
      </c>
      <c r="BF80" s="880">
        <f t="shared" si="132"/>
        <v>1.1478667129629636</v>
      </c>
      <c r="BG80" s="881">
        <f t="shared" si="132"/>
        <v>1.2</v>
      </c>
      <c r="BH80" s="881">
        <f t="shared" si="132"/>
        <v>1.1399398809523815</v>
      </c>
      <c r="BI80" s="879">
        <f t="shared" si="132"/>
        <v>1.2</v>
      </c>
      <c r="BJ80" s="879">
        <f t="shared" si="132"/>
        <v>1.1718273013698628</v>
      </c>
      <c r="BK80" s="1137"/>
      <c r="BL80" s="1137"/>
      <c r="BM80" s="1137"/>
      <c r="BN80" s="1137"/>
      <c r="BO80" s="1137"/>
    </row>
    <row r="81" spans="1:67" s="139" customFormat="1" x14ac:dyDescent="0.25">
      <c r="B81" s="139" t="s">
        <v>739</v>
      </c>
      <c r="C81" s="139" t="s">
        <v>374</v>
      </c>
      <c r="D81" s="139">
        <f>+((D40/1000)/D$3)/24</f>
        <v>122.30793637777781</v>
      </c>
      <c r="E81" s="139">
        <f>+((E40/1000)/E$3)/24</f>
        <v>125.68636524059139</v>
      </c>
      <c r="G81" s="144"/>
      <c r="H81" s="144"/>
      <c r="M81" s="144"/>
      <c r="N81" s="144"/>
      <c r="Q81" s="144"/>
      <c r="R81" s="144"/>
      <c r="U81" s="144"/>
      <c r="V81" s="144"/>
      <c r="Y81" s="144"/>
      <c r="Z81" s="144"/>
      <c r="AC81" s="144"/>
      <c r="AD81" s="144"/>
      <c r="AE81" s="144"/>
      <c r="AF81" s="144"/>
      <c r="AI81" s="144"/>
      <c r="AJ81" s="144"/>
      <c r="AM81" s="144"/>
      <c r="AN81" s="144"/>
      <c r="AQ81" s="144"/>
      <c r="AR81" s="144"/>
      <c r="AS81" s="144"/>
      <c r="AT81" s="144"/>
      <c r="AW81" s="144"/>
      <c r="AX81" s="144"/>
      <c r="BA81" s="144"/>
      <c r="BB81" s="144"/>
      <c r="BE81" s="144"/>
      <c r="BF81" s="144"/>
      <c r="BG81" s="144"/>
      <c r="BH81" s="144"/>
      <c r="BI81" s="144"/>
      <c r="BJ81" s="144"/>
      <c r="BK81" s="1137"/>
      <c r="BL81" s="1137"/>
      <c r="BM81" s="1137"/>
      <c r="BN81" s="1137"/>
      <c r="BO81" s="1137"/>
    </row>
    <row r="82" spans="1:67" ht="15.75" thickBot="1" x14ac:dyDescent="0.3">
      <c r="D82" s="295"/>
      <c r="E82" s="295"/>
      <c r="G82" s="868" t="s">
        <v>735</v>
      </c>
      <c r="H82" s="786" t="s">
        <v>696</v>
      </c>
      <c r="I82" s="361">
        <f>+SUM(I83:I86)</f>
        <v>2.3700826666666668</v>
      </c>
      <c r="J82" s="311">
        <f t="shared" ref="J82:J94" si="134">J34/1000/24/J$3</f>
        <v>2.0603309629629636</v>
      </c>
      <c r="K82" s="361">
        <f>+SUM(K83:K86)</f>
        <v>2.5215533333333333</v>
      </c>
      <c r="L82" s="311">
        <f t="shared" ref="L82:N94" si="135">L34/1000/24/L$3</f>
        <v>2.2689348890232983</v>
      </c>
      <c r="M82" s="883">
        <f t="shared" si="135"/>
        <v>2.4470595628415301</v>
      </c>
      <c r="N82" s="883">
        <f t="shared" si="135"/>
        <v>2.1663427942395272</v>
      </c>
      <c r="O82" s="361">
        <f>+SUM(O83:O86)</f>
        <v>2.4533266666666669</v>
      </c>
      <c r="P82" s="311">
        <f t="shared" ref="P82:R94" si="136">P34/1000/24/P$3</f>
        <v>2.2147446018518502</v>
      </c>
      <c r="Q82" s="884">
        <f t="shared" si="136"/>
        <v>2.4491256410256415</v>
      </c>
      <c r="R82" s="884">
        <f t="shared" si="136"/>
        <v>2.1822994341117212</v>
      </c>
      <c r="S82" s="361">
        <f>+SUM(S83:S86)</f>
        <v>2.4533266666666669</v>
      </c>
      <c r="T82" s="311">
        <f t="shared" ref="T82:V94" si="137">T34/1000/24/T$3</f>
        <v>2.1732506568100356</v>
      </c>
      <c r="U82" s="883">
        <f t="shared" si="137"/>
        <v>2.4501931147540983</v>
      </c>
      <c r="V82" s="883">
        <f t="shared" si="137"/>
        <v>2.180000154633424</v>
      </c>
      <c r="W82" s="361">
        <f>+SUM(W83:W86)</f>
        <v>2.4533266666666669</v>
      </c>
      <c r="X82" s="311">
        <f t="shared" ref="X82:Z94" si="138">X34/1000/24/X$3</f>
        <v>2.105497294802869</v>
      </c>
      <c r="Y82" s="883">
        <f t="shared" si="138"/>
        <v>2.4508280174291941</v>
      </c>
      <c r="Z82" s="883">
        <f t="shared" si="138"/>
        <v>2.1649048039488021</v>
      </c>
      <c r="AA82" s="361">
        <f>+SUM(AA83:AA86)</f>
        <v>2.420919</v>
      </c>
      <c r="AB82" s="311">
        <f t="shared" ref="AB82:AF94" si="139">AB34/1000/24/AB$3</f>
        <v>2.1918120717592586</v>
      </c>
      <c r="AC82" s="884">
        <f t="shared" si="139"/>
        <v>2.4427589492753623</v>
      </c>
      <c r="AD82" s="884">
        <f t="shared" si="139"/>
        <v>2.1564733549214981</v>
      </c>
      <c r="AE82" s="885">
        <f t="shared" si="139"/>
        <v>2.4459248998178507</v>
      </c>
      <c r="AF82" s="885">
        <f t="shared" si="139"/>
        <v>2.1693158314587122</v>
      </c>
      <c r="AG82" s="361">
        <f>+SUM(AG83:AG86)</f>
        <v>2.4533266666666669</v>
      </c>
      <c r="AH82" s="311">
        <f t="shared" ref="AH82:AJ94" si="140">AH34/1000/24/AH$3</f>
        <v>2.1293675775089587</v>
      </c>
      <c r="AI82" s="883">
        <f t="shared" si="140"/>
        <v>2.4469971183800623</v>
      </c>
      <c r="AJ82" s="883">
        <f t="shared" si="140"/>
        <v>2.1635289348585145</v>
      </c>
      <c r="AK82" s="361">
        <f>+SUM(AK83:AK86)</f>
        <v>2.4533266666666669</v>
      </c>
      <c r="AL82" s="311">
        <f t="shared" ref="AL82:AN94" si="141">AL34/1000/24/AL$3</f>
        <v>2.2110014685185195</v>
      </c>
      <c r="AM82" s="883">
        <f t="shared" si="141"/>
        <v>2.4477753415300545</v>
      </c>
      <c r="AN82" s="883">
        <f t="shared" si="141"/>
        <v>2.1693657217839251</v>
      </c>
      <c r="AO82" s="361">
        <f>+SUM(AO83:AO86)</f>
        <v>2.4533266666666669</v>
      </c>
      <c r="AP82" s="311">
        <f t="shared" ref="AP82:AT94" si="142">AP34/1000/24/AP$3</f>
        <v>2.116809444892473</v>
      </c>
      <c r="AQ82" s="884">
        <f t="shared" si="142"/>
        <v>2.4533266666666664</v>
      </c>
      <c r="AR82" s="884">
        <f t="shared" si="142"/>
        <v>2.1517557798913036</v>
      </c>
      <c r="AS82" s="883">
        <f t="shared" si="142"/>
        <v>2.4484011272727271</v>
      </c>
      <c r="AT82" s="883">
        <f t="shared" si="142"/>
        <v>2.1634411960252522</v>
      </c>
      <c r="AU82" s="361">
        <f>+SUM(AU83:AU86)</f>
        <v>2.4533266666666669</v>
      </c>
      <c r="AV82" s="311">
        <f t="shared" ref="AV82:AX94" si="143">AV34/1000/24/AV$3</f>
        <v>2.1290197943548401</v>
      </c>
      <c r="AW82" s="883">
        <f t="shared" si="143"/>
        <v>2.4489001198257077</v>
      </c>
      <c r="AX82" s="883">
        <f t="shared" si="143"/>
        <v>2.1599540605619096</v>
      </c>
      <c r="AY82" s="361">
        <f>+SUM(AY83:AY86)</f>
        <v>2.4533266666666669</v>
      </c>
      <c r="AZ82" s="311">
        <f t="shared" ref="AZ82:BB94" si="144">AZ34/1000/24/AZ$3</f>
        <v>1.935802404761906</v>
      </c>
      <c r="BA82" s="883">
        <f t="shared" si="144"/>
        <v>2.4492712075848297</v>
      </c>
      <c r="BB82" s="883">
        <f t="shared" si="144"/>
        <v>2.1411629037882571</v>
      </c>
      <c r="BC82" s="361">
        <f>+SUM(BC83:BC86)</f>
        <v>2.4533266666666669</v>
      </c>
      <c r="BD82" s="311">
        <f t="shared" ref="BD82:BJ94" si="145">BD34/1000/24/BD$3</f>
        <v>1.9395977464157685</v>
      </c>
      <c r="BE82" s="884">
        <f t="shared" si="145"/>
        <v>2.4533266666666664</v>
      </c>
      <c r="BF82" s="884">
        <f t="shared" si="145"/>
        <v>2.0036623455246914</v>
      </c>
      <c r="BG82" s="885">
        <f t="shared" si="145"/>
        <v>2.4533266666666664</v>
      </c>
      <c r="BH82" s="885">
        <f t="shared" si="145"/>
        <v>2.0785227628968248</v>
      </c>
      <c r="BI82" s="883">
        <f t="shared" si="145"/>
        <v>2.449615643835616</v>
      </c>
      <c r="BJ82" s="883">
        <f t="shared" si="145"/>
        <v>2.1240436712442925</v>
      </c>
      <c r="BK82" s="1137"/>
      <c r="BL82" s="1137"/>
      <c r="BM82" s="1137"/>
      <c r="BN82" s="1137"/>
      <c r="BO82" s="1137"/>
    </row>
    <row r="83" spans="1:67" ht="21" thickBot="1" x14ac:dyDescent="0.3">
      <c r="A83" s="253"/>
      <c r="B83" s="285" t="s">
        <v>491</v>
      </c>
      <c r="C83" s="199" t="s">
        <v>374</v>
      </c>
      <c r="D83" s="295">
        <f>+((D42/1000)/D$3)/24</f>
        <v>110.28636605083337</v>
      </c>
      <c r="E83" s="295">
        <f>+((E42/1000)/E$3)/24</f>
        <v>113.44019473978493</v>
      </c>
      <c r="G83" s="858" t="s">
        <v>736</v>
      </c>
      <c r="H83" s="250" t="s">
        <v>697</v>
      </c>
      <c r="I83" s="360">
        <v>1.5900826666666668</v>
      </c>
      <c r="J83" s="307">
        <f t="shared" si="134"/>
        <v>1.5147972222222232</v>
      </c>
      <c r="K83" s="360">
        <v>1.6715533333333332</v>
      </c>
      <c r="L83" s="307">
        <f t="shared" si="135"/>
        <v>1.6557514784946237</v>
      </c>
      <c r="M83" s="879">
        <f t="shared" si="135"/>
        <v>1.631485792349727</v>
      </c>
      <c r="N83" s="879">
        <f t="shared" si="135"/>
        <v>1.5864297131147544</v>
      </c>
      <c r="O83" s="360">
        <v>1.6033266666666666</v>
      </c>
      <c r="P83" s="307">
        <f t="shared" si="136"/>
        <v>1.6648472222222221</v>
      </c>
      <c r="Q83" s="880">
        <f t="shared" si="136"/>
        <v>1.6222025641025644</v>
      </c>
      <c r="R83" s="880">
        <f t="shared" si="136"/>
        <v>1.6122816391941395</v>
      </c>
      <c r="S83" s="360">
        <v>1.6033266666666668</v>
      </c>
      <c r="T83" s="307">
        <f t="shared" si="137"/>
        <v>1.6151774193548387</v>
      </c>
      <c r="U83" s="879">
        <f t="shared" si="137"/>
        <v>1.6174062295081968</v>
      </c>
      <c r="V83" s="879">
        <f t="shared" si="137"/>
        <v>1.6130174521857923</v>
      </c>
      <c r="W83" s="360">
        <v>1.6033266666666668</v>
      </c>
      <c r="X83" s="307">
        <f t="shared" si="138"/>
        <v>1.5753266129032257</v>
      </c>
      <c r="Y83" s="879">
        <f t="shared" si="138"/>
        <v>1.6145535076252724</v>
      </c>
      <c r="Z83" s="879">
        <f t="shared" si="138"/>
        <v>1.6053807461873639</v>
      </c>
      <c r="AA83" s="360">
        <v>1.570919</v>
      </c>
      <c r="AB83" s="307">
        <f t="shared" si="139"/>
        <v>1.5514680555555551</v>
      </c>
      <c r="AC83" s="880">
        <f t="shared" si="139"/>
        <v>1.5927589492753622</v>
      </c>
      <c r="AD83" s="880">
        <f t="shared" si="139"/>
        <v>1.5809746376811591</v>
      </c>
      <c r="AE83" s="881">
        <f t="shared" si="139"/>
        <v>1.607400309653916</v>
      </c>
      <c r="AF83" s="881">
        <f t="shared" si="139"/>
        <v>1.5965426001821492</v>
      </c>
      <c r="AG83" s="360">
        <v>1.6033266666666668</v>
      </c>
      <c r="AH83" s="307">
        <f t="shared" si="140"/>
        <v>1.5273064516129027</v>
      </c>
      <c r="AI83" s="879">
        <f t="shared" si="140"/>
        <v>1.6068102024922117</v>
      </c>
      <c r="AJ83" s="879">
        <f t="shared" si="140"/>
        <v>1.5865130646417442</v>
      </c>
      <c r="AK83" s="360">
        <v>1.6033266666666666</v>
      </c>
      <c r="AL83" s="307">
        <f t="shared" si="141"/>
        <v>1.5690472222222231</v>
      </c>
      <c r="AM83" s="879">
        <f t="shared" si="141"/>
        <v>1.6063818989071039</v>
      </c>
      <c r="AN83" s="879">
        <f t="shared" si="141"/>
        <v>1.5843656249999998</v>
      </c>
      <c r="AO83" s="360">
        <v>1.6033266666666668</v>
      </c>
      <c r="AP83" s="307">
        <f t="shared" si="142"/>
        <v>1.476849462365591</v>
      </c>
      <c r="AQ83" s="880">
        <f t="shared" si="142"/>
        <v>1.6033266666666668</v>
      </c>
      <c r="AR83" s="880">
        <f t="shared" si="142"/>
        <v>1.523915760869565</v>
      </c>
      <c r="AS83" s="879">
        <f t="shared" si="142"/>
        <v>1.6060374909090911</v>
      </c>
      <c r="AT83" s="879">
        <f t="shared" si="142"/>
        <v>1.572245621212121</v>
      </c>
      <c r="AU83" s="360">
        <v>1.6033266666666668</v>
      </c>
      <c r="AV83" s="307">
        <f t="shared" si="143"/>
        <v>1.4510295698924727</v>
      </c>
      <c r="AW83" s="879">
        <f t="shared" si="143"/>
        <v>1.6057628649237474</v>
      </c>
      <c r="AX83" s="879">
        <f t="shared" si="143"/>
        <v>1.5599655637254903</v>
      </c>
      <c r="AY83" s="360">
        <v>1.6033266666666666</v>
      </c>
      <c r="AZ83" s="307">
        <f t="shared" si="144"/>
        <v>1.3635386904761917</v>
      </c>
      <c r="BA83" s="879">
        <f t="shared" si="144"/>
        <v>1.6055586327345308</v>
      </c>
      <c r="BB83" s="879">
        <f t="shared" si="144"/>
        <v>1.5434986402195607</v>
      </c>
      <c r="BC83" s="360">
        <v>1.6033266666666668</v>
      </c>
      <c r="BD83" s="307">
        <f t="shared" si="145"/>
        <v>1.4580967741935471</v>
      </c>
      <c r="BE83" s="880">
        <f t="shared" si="145"/>
        <v>1.6033266666666668</v>
      </c>
      <c r="BF83" s="880">
        <f t="shared" si="145"/>
        <v>1.426244444444444</v>
      </c>
      <c r="BG83" s="881">
        <f t="shared" si="145"/>
        <v>1.6033266666666666</v>
      </c>
      <c r="BH83" s="881">
        <f t="shared" si="145"/>
        <v>1.4756167582417576</v>
      </c>
      <c r="BI83" s="879">
        <f t="shared" si="145"/>
        <v>1.6053690684931505</v>
      </c>
      <c r="BJ83" s="879">
        <f t="shared" si="145"/>
        <v>1.536245331050228</v>
      </c>
      <c r="BK83" s="1137"/>
      <c r="BL83" s="1137"/>
      <c r="BM83" s="1137"/>
      <c r="BN83" s="1137"/>
      <c r="BO83" s="1137"/>
    </row>
    <row r="84" spans="1:67" x14ac:dyDescent="0.25">
      <c r="G84" s="858" t="s">
        <v>737</v>
      </c>
      <c r="H84" s="250" t="s">
        <v>698</v>
      </c>
      <c r="I84" s="360">
        <v>0.4</v>
      </c>
      <c r="J84" s="307">
        <f t="shared" si="134"/>
        <v>0.23657407407407333</v>
      </c>
      <c r="K84" s="360">
        <v>0.5</v>
      </c>
      <c r="L84" s="307">
        <f t="shared" si="135"/>
        <v>0.29523297491039385</v>
      </c>
      <c r="M84" s="879">
        <f t="shared" si="135"/>
        <v>0.45081967213114754</v>
      </c>
      <c r="N84" s="879">
        <f t="shared" si="135"/>
        <v>0.2663843351548264</v>
      </c>
      <c r="O84" s="360">
        <v>0.5</v>
      </c>
      <c r="P84" s="307">
        <f t="shared" si="136"/>
        <v>0.31466990740740697</v>
      </c>
      <c r="Q84" s="880">
        <f t="shared" si="136"/>
        <v>0.46703296703296704</v>
      </c>
      <c r="R84" s="880">
        <f t="shared" si="136"/>
        <v>0.28230265567765511</v>
      </c>
      <c r="S84" s="360">
        <v>0.5</v>
      </c>
      <c r="T84" s="307">
        <f t="shared" si="137"/>
        <v>0.3273006272401433</v>
      </c>
      <c r="U84" s="879">
        <f t="shared" si="137"/>
        <v>0.47540983606557374</v>
      </c>
      <c r="V84" s="879">
        <f t="shared" si="137"/>
        <v>0.2937365664845169</v>
      </c>
      <c r="W84" s="360">
        <v>0.5</v>
      </c>
      <c r="X84" s="307">
        <f t="shared" si="138"/>
        <v>0.30991442652329837</v>
      </c>
      <c r="Y84" s="879">
        <f t="shared" si="138"/>
        <v>0.48039215686274511</v>
      </c>
      <c r="Z84" s="879">
        <f t="shared" si="138"/>
        <v>0.29701443355119811</v>
      </c>
      <c r="AA84" s="360">
        <v>0.5</v>
      </c>
      <c r="AB84" s="307">
        <f t="shared" si="139"/>
        <v>0.36985592592592603</v>
      </c>
      <c r="AC84" s="880">
        <f t="shared" si="139"/>
        <v>0.5</v>
      </c>
      <c r="AD84" s="880">
        <f t="shared" si="139"/>
        <v>0.33531896135265726</v>
      </c>
      <c r="AE84" s="881">
        <f t="shared" si="139"/>
        <v>0.48360655737704916</v>
      </c>
      <c r="AF84" s="881">
        <f t="shared" si="139"/>
        <v>0.30895566180935019</v>
      </c>
      <c r="AG84" s="360">
        <v>0.5</v>
      </c>
      <c r="AH84" s="307">
        <f t="shared" si="140"/>
        <v>0.3657374551971323</v>
      </c>
      <c r="AI84" s="879">
        <f t="shared" si="140"/>
        <v>0.48598130841121495</v>
      </c>
      <c r="AJ84" s="879">
        <f t="shared" si="140"/>
        <v>0.31718106178608502</v>
      </c>
      <c r="AK84" s="360">
        <v>0.5</v>
      </c>
      <c r="AL84" s="307">
        <f t="shared" si="141"/>
        <v>0.33826712962962913</v>
      </c>
      <c r="AM84" s="879">
        <f t="shared" si="141"/>
        <v>0.48770491803278687</v>
      </c>
      <c r="AN84" s="879">
        <f t="shared" si="141"/>
        <v>0.31977361111111091</v>
      </c>
      <c r="AO84" s="360">
        <v>0.5</v>
      </c>
      <c r="AP84" s="307">
        <f t="shared" si="142"/>
        <v>0.33320430107526872</v>
      </c>
      <c r="AQ84" s="880">
        <f t="shared" si="142"/>
        <v>0.5</v>
      </c>
      <c r="AR84" s="880">
        <f t="shared" si="142"/>
        <v>0.34581748188405764</v>
      </c>
      <c r="AS84" s="879">
        <f t="shared" si="142"/>
        <v>0.48909090909090908</v>
      </c>
      <c r="AT84" s="879">
        <f t="shared" si="142"/>
        <v>0.321287616161616</v>
      </c>
      <c r="AU84" s="360">
        <v>0.5</v>
      </c>
      <c r="AV84" s="307">
        <f t="shared" si="143"/>
        <v>0.33027553763440887</v>
      </c>
      <c r="AW84" s="879">
        <f t="shared" si="143"/>
        <v>0.49019607843137253</v>
      </c>
      <c r="AX84" s="879">
        <f t="shared" si="143"/>
        <v>0.32219815722585315</v>
      </c>
      <c r="AY84" s="360">
        <v>0.5</v>
      </c>
      <c r="AZ84" s="307">
        <f t="shared" si="144"/>
        <v>0.33462648809523826</v>
      </c>
      <c r="BA84" s="879">
        <f t="shared" si="144"/>
        <v>0.49101796407185627</v>
      </c>
      <c r="BB84" s="879">
        <f t="shared" si="144"/>
        <v>0.32324005322687949</v>
      </c>
      <c r="BC84" s="360">
        <v>0.5</v>
      </c>
      <c r="BD84" s="307">
        <f t="shared" si="145"/>
        <v>0.23720206093189977</v>
      </c>
      <c r="BE84" s="880">
        <f t="shared" si="145"/>
        <v>0.5</v>
      </c>
      <c r="BF84" s="880">
        <f t="shared" si="145"/>
        <v>0.29957052469135825</v>
      </c>
      <c r="BG84" s="881">
        <f t="shared" si="145"/>
        <v>0.5</v>
      </c>
      <c r="BH84" s="881">
        <f t="shared" si="145"/>
        <v>0.32294810744810742</v>
      </c>
      <c r="BI84" s="879">
        <f t="shared" si="145"/>
        <v>0.4917808219178082</v>
      </c>
      <c r="BJ84" s="879">
        <f t="shared" si="145"/>
        <v>0.31593271689497704</v>
      </c>
      <c r="BK84" s="1137"/>
      <c r="BL84" s="1137"/>
      <c r="BM84" s="1137"/>
      <c r="BN84" s="1137"/>
      <c r="BO84" s="1137"/>
    </row>
    <row r="85" spans="1:67" x14ac:dyDescent="0.25">
      <c r="G85" s="858" t="s">
        <v>738</v>
      </c>
      <c r="H85" s="250" t="s">
        <v>699</v>
      </c>
      <c r="I85" s="360">
        <v>0.15</v>
      </c>
      <c r="J85" s="307">
        <f t="shared" si="134"/>
        <v>5.5852722222222401E-2</v>
      </c>
      <c r="K85" s="360">
        <v>0.2</v>
      </c>
      <c r="L85" s="307">
        <f t="shared" si="135"/>
        <v>0.13390204852150536</v>
      </c>
      <c r="M85" s="879">
        <f t="shared" si="135"/>
        <v>0.17540983606557378</v>
      </c>
      <c r="N85" s="879">
        <f t="shared" si="135"/>
        <v>9.5517133948087501E-2</v>
      </c>
      <c r="O85" s="360">
        <v>0.2</v>
      </c>
      <c r="P85" s="307">
        <f t="shared" si="136"/>
        <v>0.11789719444444444</v>
      </c>
      <c r="Q85" s="880">
        <f t="shared" si="136"/>
        <v>0.1835164835164835</v>
      </c>
      <c r="R85" s="880">
        <f t="shared" si="136"/>
        <v>0.10289517586996343</v>
      </c>
      <c r="S85" s="360">
        <v>0.2</v>
      </c>
      <c r="T85" s="307">
        <f t="shared" si="137"/>
        <v>0.1094425026881717</v>
      </c>
      <c r="U85" s="879">
        <f t="shared" si="137"/>
        <v>0.18770491803278691</v>
      </c>
      <c r="V85" s="879">
        <f t="shared" si="137"/>
        <v>0.1045588408811475</v>
      </c>
      <c r="W85" s="360">
        <v>0.2</v>
      </c>
      <c r="X85" s="307">
        <f t="shared" si="138"/>
        <v>0.13241297580645159</v>
      </c>
      <c r="Y85" s="879">
        <f t="shared" si="138"/>
        <v>0.19019607843137254</v>
      </c>
      <c r="Z85" s="879">
        <f t="shared" si="138"/>
        <v>0.11020248913398692</v>
      </c>
      <c r="AA85" s="360">
        <v>0.2</v>
      </c>
      <c r="AB85" s="307">
        <f t="shared" si="139"/>
        <v>0.13913364583333362</v>
      </c>
      <c r="AC85" s="880">
        <f t="shared" si="139"/>
        <v>0.2</v>
      </c>
      <c r="AD85" s="880">
        <f t="shared" si="139"/>
        <v>0.12686444791666665</v>
      </c>
      <c r="AE85" s="881">
        <f t="shared" si="139"/>
        <v>0.19180327868852459</v>
      </c>
      <c r="AF85" s="881">
        <f t="shared" si="139"/>
        <v>0.11494530170765029</v>
      </c>
      <c r="AG85" s="360">
        <v>0.2</v>
      </c>
      <c r="AH85" s="307">
        <f t="shared" si="140"/>
        <v>0.12535431586021478</v>
      </c>
      <c r="AI85" s="879">
        <f t="shared" si="140"/>
        <v>0.19299065420560749</v>
      </c>
      <c r="AJ85" s="879">
        <f t="shared" si="140"/>
        <v>0.11645314955218067</v>
      </c>
      <c r="AK85" s="360">
        <v>0.2</v>
      </c>
      <c r="AL85" s="307">
        <f t="shared" si="141"/>
        <v>9.7254338888889194E-2</v>
      </c>
      <c r="AM85" s="879">
        <f t="shared" si="141"/>
        <v>0.19385245901639345</v>
      </c>
      <c r="AN85" s="879">
        <f t="shared" si="141"/>
        <v>0.11409264004439891</v>
      </c>
      <c r="AO85" s="360">
        <v>0.2</v>
      </c>
      <c r="AP85" s="307">
        <f t="shared" si="142"/>
        <v>0.10389412231182757</v>
      </c>
      <c r="AQ85" s="880">
        <f t="shared" si="142"/>
        <v>0.2</v>
      </c>
      <c r="AR85" s="880">
        <f t="shared" si="142"/>
        <v>0.10896012771739119</v>
      </c>
      <c r="AS85" s="879">
        <f t="shared" si="142"/>
        <v>0.19454545454545455</v>
      </c>
      <c r="AT85" s="879">
        <f t="shared" si="142"/>
        <v>0.11294298895454542</v>
      </c>
      <c r="AU85" s="360">
        <v>0.2</v>
      </c>
      <c r="AV85" s="307">
        <f t="shared" si="143"/>
        <v>9.7003396505376635E-2</v>
      </c>
      <c r="AW85" s="879">
        <f t="shared" si="143"/>
        <v>0.19509803921568625</v>
      </c>
      <c r="AX85" s="879">
        <f t="shared" si="143"/>
        <v>0.11132819364106755</v>
      </c>
      <c r="AY85" s="360">
        <v>0.2</v>
      </c>
      <c r="AZ85" s="307">
        <f t="shared" si="144"/>
        <v>8.2145857142857132E-2</v>
      </c>
      <c r="BA85" s="879">
        <f t="shared" si="144"/>
        <v>0.19550898203592815</v>
      </c>
      <c r="BB85" s="879">
        <f t="shared" si="144"/>
        <v>0.10888177022205589</v>
      </c>
      <c r="BC85" s="360">
        <v>0.2</v>
      </c>
      <c r="BD85" s="307">
        <f t="shared" si="145"/>
        <v>7.5242728494623476E-2</v>
      </c>
      <c r="BE85" s="880">
        <f t="shared" si="145"/>
        <v>0.2</v>
      </c>
      <c r="BF85" s="880">
        <f t="shared" si="145"/>
        <v>8.4885709722222272E-2</v>
      </c>
      <c r="BG85" s="881">
        <f t="shared" si="145"/>
        <v>0.19999999999999998</v>
      </c>
      <c r="BH85" s="881">
        <f t="shared" si="145"/>
        <v>9.7055195741758207E-2</v>
      </c>
      <c r="BI85" s="879">
        <f t="shared" si="145"/>
        <v>0.19589041095890411</v>
      </c>
      <c r="BJ85" s="879">
        <f t="shared" si="145"/>
        <v>0.10602475571917806</v>
      </c>
      <c r="BK85" s="1137"/>
      <c r="BL85" s="1137"/>
      <c r="BM85" s="1137"/>
      <c r="BN85" s="1137"/>
      <c r="BO85" s="1137"/>
    </row>
    <row r="86" spans="1:67" x14ac:dyDescent="0.25">
      <c r="G86" s="858" t="s">
        <v>738</v>
      </c>
      <c r="H86" s="250" t="s">
        <v>700</v>
      </c>
      <c r="I86" s="360">
        <v>0.23</v>
      </c>
      <c r="J86" s="307">
        <f t="shared" si="134"/>
        <v>0.25310694444444476</v>
      </c>
      <c r="K86" s="360">
        <v>0.15</v>
      </c>
      <c r="L86" s="307">
        <f t="shared" si="135"/>
        <v>0.18404838709677501</v>
      </c>
      <c r="M86" s="879">
        <f t="shared" si="135"/>
        <v>0.18934426229508194</v>
      </c>
      <c r="N86" s="879">
        <f t="shared" si="135"/>
        <v>0.21801161202185848</v>
      </c>
      <c r="O86" s="360">
        <v>0.15</v>
      </c>
      <c r="P86" s="307">
        <f t="shared" si="136"/>
        <v>0.11733027777777695</v>
      </c>
      <c r="Q86" s="880">
        <f t="shared" si="136"/>
        <v>0.17637362637362639</v>
      </c>
      <c r="R86" s="880">
        <f t="shared" si="136"/>
        <v>0.18481996336996345</v>
      </c>
      <c r="S86" s="360">
        <v>0.15</v>
      </c>
      <c r="T86" s="307">
        <f t="shared" si="137"/>
        <v>0.12133010752688173</v>
      </c>
      <c r="U86" s="879">
        <f t="shared" si="137"/>
        <v>0.16967213114754098</v>
      </c>
      <c r="V86" s="879">
        <f t="shared" si="137"/>
        <v>0.16868729508196731</v>
      </c>
      <c r="W86" s="360">
        <v>0.15</v>
      </c>
      <c r="X86" s="307">
        <f t="shared" si="138"/>
        <v>8.7843279569893268E-2</v>
      </c>
      <c r="Y86" s="879">
        <f t="shared" si="138"/>
        <v>0.16568627450980392</v>
      </c>
      <c r="Z86" s="879">
        <f t="shared" si="138"/>
        <v>0.15230713507625296</v>
      </c>
      <c r="AA86" s="360">
        <v>0.15</v>
      </c>
      <c r="AB86" s="307">
        <f t="shared" si="139"/>
        <v>0.13135444444444447</v>
      </c>
      <c r="AC86" s="880">
        <f t="shared" si="139"/>
        <v>0.15</v>
      </c>
      <c r="AD86" s="880">
        <f t="shared" si="139"/>
        <v>0.11331530797101476</v>
      </c>
      <c r="AE86" s="881">
        <f t="shared" si="139"/>
        <v>0.16311475409836065</v>
      </c>
      <c r="AF86" s="881">
        <f t="shared" si="139"/>
        <v>0.14887226775956303</v>
      </c>
      <c r="AG86" s="360">
        <v>0.15</v>
      </c>
      <c r="AH86" s="307">
        <f t="shared" si="140"/>
        <v>0.11096935483870891</v>
      </c>
      <c r="AI86" s="879">
        <f t="shared" si="140"/>
        <v>0.16121495327102803</v>
      </c>
      <c r="AJ86" s="879">
        <f t="shared" si="140"/>
        <v>0.14338165887850471</v>
      </c>
      <c r="AK86" s="360">
        <v>0.15</v>
      </c>
      <c r="AL86" s="307">
        <f t="shared" si="141"/>
        <v>0.20643277777777783</v>
      </c>
      <c r="AM86" s="879">
        <f t="shared" si="141"/>
        <v>0.1598360655737705</v>
      </c>
      <c r="AN86" s="879">
        <f t="shared" si="141"/>
        <v>0.15113384562841536</v>
      </c>
      <c r="AO86" s="360">
        <v>0.15</v>
      </c>
      <c r="AP86" s="307">
        <f t="shared" si="142"/>
        <v>0.20286155913978579</v>
      </c>
      <c r="AQ86" s="880">
        <f t="shared" si="142"/>
        <v>0.15</v>
      </c>
      <c r="AR86" s="880">
        <f t="shared" si="142"/>
        <v>0.17306240942028991</v>
      </c>
      <c r="AS86" s="879">
        <f t="shared" si="142"/>
        <v>0.15872727272727272</v>
      </c>
      <c r="AT86" s="879">
        <f t="shared" si="142"/>
        <v>0.15696496969696985</v>
      </c>
      <c r="AU86" s="360">
        <v>0.15</v>
      </c>
      <c r="AV86" s="307">
        <f t="shared" si="143"/>
        <v>0.25071129032258138</v>
      </c>
      <c r="AW86" s="879">
        <f t="shared" si="143"/>
        <v>0.15784313725490198</v>
      </c>
      <c r="AX86" s="879">
        <f t="shared" si="143"/>
        <v>0.1664621459694991</v>
      </c>
      <c r="AY86" s="360">
        <v>0.15</v>
      </c>
      <c r="AZ86" s="307">
        <f t="shared" si="144"/>
        <v>0.15549136904761876</v>
      </c>
      <c r="BA86" s="879">
        <f t="shared" si="144"/>
        <v>0.15718562874251496</v>
      </c>
      <c r="BB86" s="879">
        <f t="shared" si="144"/>
        <v>0.1655424401197606</v>
      </c>
      <c r="BC86" s="360">
        <v>0.15</v>
      </c>
      <c r="BD86" s="307">
        <f t="shared" si="145"/>
        <v>0.16905618279569842</v>
      </c>
      <c r="BE86" s="880">
        <f t="shared" si="145"/>
        <v>0.15</v>
      </c>
      <c r="BF86" s="880">
        <f t="shared" si="145"/>
        <v>0.19296166666666667</v>
      </c>
      <c r="BG86" s="881">
        <f t="shared" si="145"/>
        <v>0.15</v>
      </c>
      <c r="BH86" s="881">
        <f t="shared" si="145"/>
        <v>0.18290270146520149</v>
      </c>
      <c r="BI86" s="879">
        <f t="shared" si="145"/>
        <v>0.15657534246575341</v>
      </c>
      <c r="BJ86" s="879">
        <f t="shared" si="145"/>
        <v>0.16584086757990876</v>
      </c>
      <c r="BK86" s="1137"/>
      <c r="BL86" s="1137"/>
      <c r="BM86" s="1137"/>
      <c r="BN86" s="1137"/>
      <c r="BO86" s="1137"/>
    </row>
    <row r="87" spans="1:67" x14ac:dyDescent="0.25">
      <c r="G87" s="868">
        <v>4.2</v>
      </c>
      <c r="H87" s="786" t="s">
        <v>701</v>
      </c>
      <c r="I87" s="361">
        <f>+I88+I90</f>
        <v>13.4</v>
      </c>
      <c r="J87" s="311">
        <f t="shared" si="134"/>
        <v>12.924676060648144</v>
      </c>
      <c r="K87" s="361">
        <f>+K88+K90</f>
        <v>13.324999999999999</v>
      </c>
      <c r="L87" s="311">
        <f t="shared" si="135"/>
        <v>12.96401968772402</v>
      </c>
      <c r="M87" s="883">
        <f t="shared" si="135"/>
        <v>13.361885245901638</v>
      </c>
      <c r="N87" s="883">
        <f t="shared" si="135"/>
        <v>12.944670362932605</v>
      </c>
      <c r="O87" s="361">
        <f>+O88+O90</f>
        <v>13.324999999999999</v>
      </c>
      <c r="P87" s="311">
        <f t="shared" si="136"/>
        <v>13.568987913425923</v>
      </c>
      <c r="Q87" s="884">
        <f t="shared" si="136"/>
        <v>13.349725274725275</v>
      </c>
      <c r="R87" s="884">
        <f t="shared" si="136"/>
        <v>13.150489335622709</v>
      </c>
      <c r="S87" s="361">
        <f>+S88+S90</f>
        <v>13.324999999999999</v>
      </c>
      <c r="T87" s="311">
        <f t="shared" si="137"/>
        <v>13.501502478942644</v>
      </c>
      <c r="U87" s="883">
        <f t="shared" si="137"/>
        <v>13.343442622950819</v>
      </c>
      <c r="V87" s="883">
        <f t="shared" si="137"/>
        <v>13.239681199908922</v>
      </c>
      <c r="W87" s="361">
        <f>+W88+W90</f>
        <v>13.324999999999999</v>
      </c>
      <c r="X87" s="311">
        <f t="shared" si="138"/>
        <v>13.262526573476725</v>
      </c>
      <c r="Y87" s="883">
        <f t="shared" si="138"/>
        <v>13.339705882352941</v>
      </c>
      <c r="Z87" s="883">
        <f t="shared" si="138"/>
        <v>13.244310001089326</v>
      </c>
      <c r="AA87" s="361">
        <f>+AA88+AA90</f>
        <v>13.324999999999999</v>
      </c>
      <c r="AB87" s="311">
        <f t="shared" si="139"/>
        <v>13.427409061574066</v>
      </c>
      <c r="AC87" s="884">
        <f t="shared" si="139"/>
        <v>13.324999999999999</v>
      </c>
      <c r="AD87" s="884">
        <f t="shared" si="139"/>
        <v>13.396817092089375</v>
      </c>
      <c r="AE87" s="885">
        <f t="shared" si="139"/>
        <v>13.337295081967213</v>
      </c>
      <c r="AF87" s="885">
        <f t="shared" si="139"/>
        <v>13.274326240513053</v>
      </c>
      <c r="AG87" s="361">
        <f>+AG88+AG90</f>
        <v>13.324999999999999</v>
      </c>
      <c r="AH87" s="311">
        <f t="shared" si="140"/>
        <v>11.997667318996413</v>
      </c>
      <c r="AI87" s="883">
        <f t="shared" si="140"/>
        <v>13.335514018691587</v>
      </c>
      <c r="AJ87" s="883">
        <f t="shared" si="140"/>
        <v>13.089389667769991</v>
      </c>
      <c r="AK87" s="361">
        <f>+AK88+AK90</f>
        <v>13.324999999999999</v>
      </c>
      <c r="AL87" s="311">
        <f t="shared" si="141"/>
        <v>12.289975352314809</v>
      </c>
      <c r="AM87" s="883">
        <f t="shared" si="141"/>
        <v>13.334221311475408</v>
      </c>
      <c r="AN87" s="883">
        <f t="shared" si="141"/>
        <v>12.99110102242714</v>
      </c>
      <c r="AO87" s="361">
        <f>+AO88+AO90</f>
        <v>13.324999999999999</v>
      </c>
      <c r="AP87" s="311">
        <f t="shared" si="142"/>
        <v>12.185383995967745</v>
      </c>
      <c r="AQ87" s="884">
        <f t="shared" si="142"/>
        <v>13.324999999999999</v>
      </c>
      <c r="AR87" s="884">
        <f t="shared" si="142"/>
        <v>12.15623751449275</v>
      </c>
      <c r="AS87" s="883">
        <f t="shared" si="142"/>
        <v>13.333181818181819</v>
      </c>
      <c r="AT87" s="883">
        <f t="shared" si="142"/>
        <v>12.900274739444445</v>
      </c>
      <c r="AU87" s="361">
        <f>+AU88+AU90</f>
        <v>13.324999999999999</v>
      </c>
      <c r="AV87" s="311">
        <f t="shared" si="143"/>
        <v>11.94422597580645</v>
      </c>
      <c r="AW87" s="883">
        <f t="shared" si="143"/>
        <v>13.332352941176472</v>
      </c>
      <c r="AX87" s="883">
        <f t="shared" si="143"/>
        <v>12.803420126134714</v>
      </c>
      <c r="AY87" s="361">
        <f>+AY88+AY90</f>
        <v>13.324999999999999</v>
      </c>
      <c r="AZ87" s="311">
        <f t="shared" si="144"/>
        <v>10.868194433035722</v>
      </c>
      <c r="BA87" s="883">
        <f t="shared" si="144"/>
        <v>13.331736526946107</v>
      </c>
      <c r="BB87" s="883">
        <f t="shared" si="144"/>
        <v>12.641185636892883</v>
      </c>
      <c r="BC87" s="361">
        <f>+BC88+BC90</f>
        <v>13.324999999999999</v>
      </c>
      <c r="BD87" s="311">
        <f t="shared" si="145"/>
        <v>11.598129564068088</v>
      </c>
      <c r="BE87" s="884">
        <f t="shared" si="145"/>
        <v>13.324999999999999</v>
      </c>
      <c r="BF87" s="884">
        <f t="shared" si="145"/>
        <v>11.490249620679013</v>
      </c>
      <c r="BG87" s="885">
        <f t="shared" si="145"/>
        <v>13.325000000000001</v>
      </c>
      <c r="BH87" s="885">
        <f t="shared" si="145"/>
        <v>11.826902841727716</v>
      </c>
      <c r="BI87" s="883">
        <f t="shared" si="145"/>
        <v>13.331164383561644</v>
      </c>
      <c r="BJ87" s="883">
        <f t="shared" si="145"/>
        <v>12.552597312899545</v>
      </c>
      <c r="BK87" s="1137"/>
      <c r="BL87" s="1137"/>
      <c r="BM87" s="1137"/>
      <c r="BN87" s="1137"/>
      <c r="BO87" s="1137"/>
    </row>
    <row r="88" spans="1:67" x14ac:dyDescent="0.25">
      <c r="G88" s="868" t="s">
        <v>740</v>
      </c>
      <c r="H88" s="786" t="s">
        <v>702</v>
      </c>
      <c r="I88" s="361">
        <f>+I89</f>
        <v>8.1</v>
      </c>
      <c r="J88" s="311">
        <f t="shared" si="134"/>
        <v>8.0617837499999929</v>
      </c>
      <c r="K88" s="361">
        <f>+K89</f>
        <v>7.8</v>
      </c>
      <c r="L88" s="311">
        <f t="shared" si="135"/>
        <v>7.6252688172043008</v>
      </c>
      <c r="M88" s="883">
        <f t="shared" si="135"/>
        <v>7.9475409836065571</v>
      </c>
      <c r="N88" s="883">
        <f t="shared" si="135"/>
        <v>7.8399482923497228</v>
      </c>
      <c r="O88" s="361">
        <f>+O89</f>
        <v>7.8</v>
      </c>
      <c r="P88" s="311">
        <f t="shared" si="136"/>
        <v>8.2266916666666656</v>
      </c>
      <c r="Q88" s="884">
        <f t="shared" si="136"/>
        <v>7.8989010989010993</v>
      </c>
      <c r="R88" s="884">
        <f t="shared" si="136"/>
        <v>7.9674461080586054</v>
      </c>
      <c r="S88" s="361">
        <f>+S89</f>
        <v>7.8</v>
      </c>
      <c r="T88" s="311">
        <f t="shared" si="137"/>
        <v>8.3788759408602136</v>
      </c>
      <c r="U88" s="883">
        <f t="shared" si="137"/>
        <v>7.8737704918032785</v>
      </c>
      <c r="V88" s="883">
        <f t="shared" si="137"/>
        <v>8.0719897540983592</v>
      </c>
      <c r="W88" s="361">
        <f>+W89</f>
        <v>7.8</v>
      </c>
      <c r="X88" s="311">
        <f t="shared" si="138"/>
        <v>8.2727244623655913</v>
      </c>
      <c r="Y88" s="883">
        <f t="shared" si="138"/>
        <v>7.8588235294117634</v>
      </c>
      <c r="Z88" s="883">
        <f t="shared" si="138"/>
        <v>8.1126614923747251</v>
      </c>
      <c r="AA88" s="361">
        <f>+AA89</f>
        <v>7.8</v>
      </c>
      <c r="AB88" s="311">
        <f t="shared" si="139"/>
        <v>8.2190277777777769</v>
      </c>
      <c r="AC88" s="884">
        <f t="shared" si="139"/>
        <v>7.8</v>
      </c>
      <c r="AD88" s="884">
        <f t="shared" si="139"/>
        <v>8.2909831068840578</v>
      </c>
      <c r="AE88" s="885">
        <f t="shared" si="139"/>
        <v>7.8491803278688517</v>
      </c>
      <c r="AF88" s="885">
        <f t="shared" si="139"/>
        <v>8.1300985883424381</v>
      </c>
      <c r="AG88" s="361">
        <f>+AG89</f>
        <v>7.8</v>
      </c>
      <c r="AH88" s="311">
        <f t="shared" si="140"/>
        <v>7.3760752688172042</v>
      </c>
      <c r="AI88" s="883">
        <f t="shared" si="140"/>
        <v>7.8420560747663552</v>
      </c>
      <c r="AJ88" s="883">
        <f t="shared" si="140"/>
        <v>8.0208709112149528</v>
      </c>
      <c r="AK88" s="361">
        <f>+AK89</f>
        <v>7.8</v>
      </c>
      <c r="AL88" s="311">
        <f t="shared" si="141"/>
        <v>8.0652777777777729</v>
      </c>
      <c r="AM88" s="883">
        <f t="shared" si="141"/>
        <v>7.8368852459016392</v>
      </c>
      <c r="AN88" s="883">
        <f t="shared" si="141"/>
        <v>8.0263307718579213</v>
      </c>
      <c r="AO88" s="361">
        <f>+AO89</f>
        <v>7.8</v>
      </c>
      <c r="AP88" s="311">
        <f t="shared" si="142"/>
        <v>7.8126344086021513</v>
      </c>
      <c r="AQ88" s="884">
        <f t="shared" si="142"/>
        <v>7.8</v>
      </c>
      <c r="AR88" s="884">
        <f t="shared" si="142"/>
        <v>7.7479166666666659</v>
      </c>
      <c r="AS88" s="883">
        <f t="shared" si="142"/>
        <v>7.832727272727273</v>
      </c>
      <c r="AT88" s="883">
        <f t="shared" si="142"/>
        <v>8.0022413636363598</v>
      </c>
      <c r="AU88" s="361">
        <f>+AU89</f>
        <v>7.8</v>
      </c>
      <c r="AV88" s="311">
        <f t="shared" si="143"/>
        <v>7.4837365591397838</v>
      </c>
      <c r="AW88" s="883">
        <f t="shared" si="143"/>
        <v>7.8294117647058812</v>
      </c>
      <c r="AX88" s="883">
        <f t="shared" si="143"/>
        <v>7.9497130991285374</v>
      </c>
      <c r="AY88" s="361">
        <f>+AY89</f>
        <v>7.8</v>
      </c>
      <c r="AZ88" s="311">
        <f t="shared" si="144"/>
        <v>7.4389880952380949</v>
      </c>
      <c r="BA88" s="883">
        <f t="shared" si="144"/>
        <v>7.8269461077844316</v>
      </c>
      <c r="BB88" s="883">
        <f t="shared" si="144"/>
        <v>7.9068978293413164</v>
      </c>
      <c r="BC88" s="361">
        <f>+BC89</f>
        <v>7.8</v>
      </c>
      <c r="BD88" s="311">
        <f t="shared" si="145"/>
        <v>7.9709879032258089</v>
      </c>
      <c r="BE88" s="884">
        <f t="shared" si="145"/>
        <v>7.8</v>
      </c>
      <c r="BF88" s="884">
        <f t="shared" si="145"/>
        <v>7.6376458333333339</v>
      </c>
      <c r="BG88" s="885">
        <f t="shared" si="145"/>
        <v>7.8000000000000007</v>
      </c>
      <c r="BH88" s="885">
        <f t="shared" si="145"/>
        <v>7.6933871336996322</v>
      </c>
      <c r="BI88" s="883">
        <f t="shared" si="145"/>
        <v>7.8246575342465752</v>
      </c>
      <c r="BJ88" s="883">
        <f t="shared" si="145"/>
        <v>7.9123410958904081</v>
      </c>
      <c r="BK88" s="1137"/>
      <c r="BL88" s="1137"/>
      <c r="BM88" s="1137"/>
      <c r="BN88" s="1137"/>
      <c r="BO88" s="1137"/>
    </row>
    <row r="89" spans="1:67" x14ac:dyDescent="0.25">
      <c r="G89" s="858" t="s">
        <v>741</v>
      </c>
      <c r="H89" s="250" t="s">
        <v>703</v>
      </c>
      <c r="I89" s="306">
        <v>8.1</v>
      </c>
      <c r="J89" s="307">
        <f t="shared" si="134"/>
        <v>8.0617837499999929</v>
      </c>
      <c r="K89" s="306">
        <v>7.8</v>
      </c>
      <c r="L89" s="307">
        <f t="shared" si="135"/>
        <v>7.6252688172043008</v>
      </c>
      <c r="M89" s="879">
        <f t="shared" si="135"/>
        <v>7.9475409836065571</v>
      </c>
      <c r="N89" s="879">
        <f t="shared" si="135"/>
        <v>7.8399482923497228</v>
      </c>
      <c r="O89" s="306">
        <v>7.8</v>
      </c>
      <c r="P89" s="307">
        <f t="shared" si="136"/>
        <v>8.2266916666666656</v>
      </c>
      <c r="Q89" s="880">
        <f t="shared" si="136"/>
        <v>7.8989010989010993</v>
      </c>
      <c r="R89" s="880">
        <f t="shared" si="136"/>
        <v>7.9674461080586054</v>
      </c>
      <c r="S89" s="306">
        <v>7.8</v>
      </c>
      <c r="T89" s="307">
        <f t="shared" si="137"/>
        <v>8.3788759408602136</v>
      </c>
      <c r="U89" s="879">
        <f t="shared" si="137"/>
        <v>7.8737704918032785</v>
      </c>
      <c r="V89" s="879">
        <f t="shared" si="137"/>
        <v>8.0719897540983592</v>
      </c>
      <c r="W89" s="306">
        <v>7.8</v>
      </c>
      <c r="X89" s="307">
        <f t="shared" si="138"/>
        <v>8.2727244623655913</v>
      </c>
      <c r="Y89" s="879">
        <f t="shared" si="138"/>
        <v>7.8588235294117634</v>
      </c>
      <c r="Z89" s="879">
        <f t="shared" si="138"/>
        <v>8.1126614923747251</v>
      </c>
      <c r="AA89" s="306">
        <v>7.8</v>
      </c>
      <c r="AB89" s="307">
        <f t="shared" si="139"/>
        <v>8.2190277777777769</v>
      </c>
      <c r="AC89" s="880">
        <f t="shared" si="139"/>
        <v>7.8</v>
      </c>
      <c r="AD89" s="880">
        <f t="shared" si="139"/>
        <v>8.2909831068840578</v>
      </c>
      <c r="AE89" s="881">
        <f t="shared" si="139"/>
        <v>7.8491803278688517</v>
      </c>
      <c r="AF89" s="881">
        <f t="shared" si="139"/>
        <v>8.1300985883424381</v>
      </c>
      <c r="AG89" s="306">
        <v>7.8</v>
      </c>
      <c r="AH89" s="307">
        <f t="shared" si="140"/>
        <v>7.3760752688172042</v>
      </c>
      <c r="AI89" s="879">
        <f t="shared" si="140"/>
        <v>7.8420560747663552</v>
      </c>
      <c r="AJ89" s="879">
        <f t="shared" si="140"/>
        <v>8.0208709112149528</v>
      </c>
      <c r="AK89" s="306">
        <v>7.8</v>
      </c>
      <c r="AL89" s="307">
        <f t="shared" si="141"/>
        <v>8.0652777777777729</v>
      </c>
      <c r="AM89" s="879">
        <f t="shared" si="141"/>
        <v>7.8368852459016392</v>
      </c>
      <c r="AN89" s="879">
        <f t="shared" si="141"/>
        <v>8.0263307718579213</v>
      </c>
      <c r="AO89" s="306">
        <v>7.8</v>
      </c>
      <c r="AP89" s="307">
        <f t="shared" si="142"/>
        <v>7.8126344086021513</v>
      </c>
      <c r="AQ89" s="880">
        <f t="shared" si="142"/>
        <v>7.8</v>
      </c>
      <c r="AR89" s="880">
        <f t="shared" si="142"/>
        <v>7.7479166666666659</v>
      </c>
      <c r="AS89" s="879">
        <f t="shared" si="142"/>
        <v>7.832727272727273</v>
      </c>
      <c r="AT89" s="879">
        <f t="shared" si="142"/>
        <v>8.0022413636363598</v>
      </c>
      <c r="AU89" s="306">
        <v>7.8</v>
      </c>
      <c r="AV89" s="307">
        <f t="shared" si="143"/>
        <v>7.4837365591397838</v>
      </c>
      <c r="AW89" s="879">
        <f t="shared" si="143"/>
        <v>7.8294117647058812</v>
      </c>
      <c r="AX89" s="879">
        <f t="shared" si="143"/>
        <v>7.9497130991285374</v>
      </c>
      <c r="AY89" s="306">
        <v>7.8</v>
      </c>
      <c r="AZ89" s="307">
        <f t="shared" si="144"/>
        <v>7.4389880952380949</v>
      </c>
      <c r="BA89" s="879">
        <f t="shared" si="144"/>
        <v>7.8269461077844316</v>
      </c>
      <c r="BB89" s="879">
        <f t="shared" si="144"/>
        <v>7.9068978293413164</v>
      </c>
      <c r="BC89" s="306">
        <v>7.8</v>
      </c>
      <c r="BD89" s="307">
        <f t="shared" si="145"/>
        <v>7.9709879032258089</v>
      </c>
      <c r="BE89" s="880">
        <f t="shared" si="145"/>
        <v>7.8</v>
      </c>
      <c r="BF89" s="880">
        <f t="shared" si="145"/>
        <v>7.6376458333333339</v>
      </c>
      <c r="BG89" s="881">
        <f t="shared" si="145"/>
        <v>7.8000000000000007</v>
      </c>
      <c r="BH89" s="881">
        <f t="shared" si="145"/>
        <v>7.6933871336996322</v>
      </c>
      <c r="BI89" s="879">
        <f t="shared" si="145"/>
        <v>7.8246575342465752</v>
      </c>
      <c r="BJ89" s="879">
        <f t="shared" si="145"/>
        <v>7.9123410958904081</v>
      </c>
      <c r="BK89" s="1137"/>
      <c r="BL89" s="1137"/>
      <c r="BM89" s="1137"/>
      <c r="BN89" s="1137"/>
      <c r="BO89" s="1137"/>
    </row>
    <row r="90" spans="1:67" x14ac:dyDescent="0.25">
      <c r="G90" s="868" t="s">
        <v>742</v>
      </c>
      <c r="H90" s="786" t="s">
        <v>704</v>
      </c>
      <c r="I90" s="310">
        <f>+SUM(I91:I94)</f>
        <v>5.3000000000000007</v>
      </c>
      <c r="J90" s="311">
        <f t="shared" si="134"/>
        <v>4.8628923106481512</v>
      </c>
      <c r="K90" s="310">
        <f>+SUM(K91:K94)</f>
        <v>5.5250000000000004</v>
      </c>
      <c r="L90" s="311">
        <f t="shared" si="135"/>
        <v>5.3387508705197169</v>
      </c>
      <c r="M90" s="883">
        <f t="shared" si="135"/>
        <v>5.4143442622950824</v>
      </c>
      <c r="N90" s="883">
        <f t="shared" si="135"/>
        <v>5.1047220705828815</v>
      </c>
      <c r="O90" s="310">
        <f>+SUM(O91:O94)</f>
        <v>5.5250000000000004</v>
      </c>
      <c r="P90" s="311">
        <f t="shared" si="136"/>
        <v>5.342296246759255</v>
      </c>
      <c r="Q90" s="884">
        <f t="shared" si="136"/>
        <v>5.4508241758241764</v>
      </c>
      <c r="R90" s="884">
        <f t="shared" si="136"/>
        <v>5.1830432275641032</v>
      </c>
      <c r="S90" s="310">
        <f>+SUM(S91:S94)</f>
        <v>5.5250000000000004</v>
      </c>
      <c r="T90" s="311">
        <f t="shared" si="137"/>
        <v>5.1226265380824296</v>
      </c>
      <c r="U90" s="883">
        <f t="shared" si="137"/>
        <v>5.4696721311475418</v>
      </c>
      <c r="V90" s="883">
        <f t="shared" si="137"/>
        <v>5.1676914458105641</v>
      </c>
      <c r="W90" s="310">
        <f>+SUM(W91:W94)</f>
        <v>5.5250000000000004</v>
      </c>
      <c r="X90" s="311">
        <f t="shared" si="138"/>
        <v>4.9898021111111346</v>
      </c>
      <c r="Y90" s="883">
        <f t="shared" si="138"/>
        <v>5.4808823529411761</v>
      </c>
      <c r="Z90" s="883">
        <f t="shared" si="138"/>
        <v>5.1316485087145995</v>
      </c>
      <c r="AA90" s="310">
        <f>+SUM(AA91:AA94)</f>
        <v>5.5250000000000004</v>
      </c>
      <c r="AB90" s="311">
        <f t="shared" si="139"/>
        <v>5.2083812837962897</v>
      </c>
      <c r="AC90" s="884">
        <f t="shared" si="139"/>
        <v>5.5250000000000004</v>
      </c>
      <c r="AD90" s="884">
        <f t="shared" si="139"/>
        <v>5.1058339852053169</v>
      </c>
      <c r="AE90" s="885">
        <f t="shared" si="139"/>
        <v>5.4881147540983601</v>
      </c>
      <c r="AF90" s="885">
        <f t="shared" si="139"/>
        <v>5.1442276521706152</v>
      </c>
      <c r="AG90" s="310">
        <f>+SUM(AG91:AG94)</f>
        <v>5.5250000000000004</v>
      </c>
      <c r="AH90" s="311">
        <f t="shared" si="140"/>
        <v>4.6215920501792098</v>
      </c>
      <c r="AI90" s="883">
        <f t="shared" si="140"/>
        <v>5.4934579439252342</v>
      </c>
      <c r="AJ90" s="883">
        <f t="shared" si="140"/>
        <v>5.0685187565550374</v>
      </c>
      <c r="AK90" s="310">
        <f>+SUM(AK91:AK94)</f>
        <v>5.5250000000000004</v>
      </c>
      <c r="AL90" s="311">
        <f t="shared" si="141"/>
        <v>4.2246975745370383</v>
      </c>
      <c r="AM90" s="883">
        <f t="shared" si="141"/>
        <v>5.4973360655737711</v>
      </c>
      <c r="AN90" s="883">
        <f t="shared" si="141"/>
        <v>4.9647702505692184</v>
      </c>
      <c r="AO90" s="310">
        <f>+SUM(AO91:AO94)</f>
        <v>5.5250000000000004</v>
      </c>
      <c r="AP90" s="311">
        <f t="shared" si="142"/>
        <v>4.3727495873655959</v>
      </c>
      <c r="AQ90" s="884">
        <f t="shared" si="142"/>
        <v>5.5250000000000004</v>
      </c>
      <c r="AR90" s="884">
        <f t="shared" si="142"/>
        <v>4.4083208478260891</v>
      </c>
      <c r="AS90" s="883">
        <f t="shared" si="142"/>
        <v>5.500454545454545</v>
      </c>
      <c r="AT90" s="883">
        <f t="shared" si="142"/>
        <v>4.8980333758080823</v>
      </c>
      <c r="AU90" s="310">
        <f>+SUM(AU91:AU94)</f>
        <v>5.5250000000000004</v>
      </c>
      <c r="AV90" s="311">
        <f t="shared" si="143"/>
        <v>4.4604894166666673</v>
      </c>
      <c r="AW90" s="883">
        <f t="shared" si="143"/>
        <v>5.5029411764705882</v>
      </c>
      <c r="AX90" s="883">
        <f t="shared" si="143"/>
        <v>4.8537070270061742</v>
      </c>
      <c r="AY90" s="310">
        <f>+SUM(AY91:AY94)</f>
        <v>5.5250000000000004</v>
      </c>
      <c r="AZ90" s="311">
        <f t="shared" si="144"/>
        <v>3.4292063377976274</v>
      </c>
      <c r="BA90" s="883">
        <f t="shared" si="144"/>
        <v>5.5047904191616768</v>
      </c>
      <c r="BB90" s="883">
        <f t="shared" si="144"/>
        <v>4.7342878075515662</v>
      </c>
      <c r="BC90" s="310">
        <f>+SUM(BC91:BC94)</f>
        <v>5.5250000000000004</v>
      </c>
      <c r="BD90" s="311">
        <f t="shared" si="145"/>
        <v>3.6271416608422817</v>
      </c>
      <c r="BE90" s="884">
        <f t="shared" si="145"/>
        <v>5.5250000000000004</v>
      </c>
      <c r="BF90" s="884">
        <f t="shared" si="145"/>
        <v>3.8526037873456769</v>
      </c>
      <c r="BG90" s="885">
        <f t="shared" si="145"/>
        <v>5.5250000000000004</v>
      </c>
      <c r="BH90" s="885">
        <f t="shared" si="145"/>
        <v>4.1335157080280833</v>
      </c>
      <c r="BI90" s="883">
        <f t="shared" si="145"/>
        <v>5.5065068493150688</v>
      </c>
      <c r="BJ90" s="883">
        <f t="shared" si="145"/>
        <v>4.6402562170091333</v>
      </c>
      <c r="BK90" s="1137"/>
      <c r="BL90" s="1137"/>
      <c r="BM90" s="1137"/>
      <c r="BN90" s="1137"/>
      <c r="BO90" s="1137"/>
    </row>
    <row r="91" spans="1:67" x14ac:dyDescent="0.25">
      <c r="G91" s="858" t="s">
        <v>743</v>
      </c>
      <c r="H91" s="250" t="s">
        <v>705</v>
      </c>
      <c r="I91" s="360">
        <v>0.61</v>
      </c>
      <c r="J91" s="307">
        <f t="shared" si="134"/>
        <v>0.47917615370370281</v>
      </c>
      <c r="K91" s="360">
        <v>0.52500000000000002</v>
      </c>
      <c r="L91" s="307">
        <f t="shared" si="135"/>
        <v>0.5431220775089598</v>
      </c>
      <c r="M91" s="879">
        <f t="shared" si="135"/>
        <v>0.56680327868852454</v>
      </c>
      <c r="N91" s="879">
        <f t="shared" si="135"/>
        <v>0.51167326252276779</v>
      </c>
      <c r="O91" s="360">
        <v>0.52500000000000002</v>
      </c>
      <c r="P91" s="307">
        <f t="shared" si="136"/>
        <v>0.55911638148148191</v>
      </c>
      <c r="Q91" s="880">
        <f t="shared" si="136"/>
        <v>0.55302197802197794</v>
      </c>
      <c r="R91" s="880">
        <f t="shared" si="136"/>
        <v>0.52731385119047569</v>
      </c>
      <c r="S91" s="360">
        <v>0.52500000000000002</v>
      </c>
      <c r="T91" s="307">
        <f t="shared" si="137"/>
        <v>0.54146180689964152</v>
      </c>
      <c r="U91" s="879">
        <f t="shared" si="137"/>
        <v>0.54590163934426239</v>
      </c>
      <c r="V91" s="879">
        <f t="shared" si="137"/>
        <v>0.53090882354280466</v>
      </c>
      <c r="W91" s="360">
        <v>0.52500000000000002</v>
      </c>
      <c r="X91" s="307">
        <f t="shared" si="138"/>
        <v>0.55513426836917734</v>
      </c>
      <c r="Y91" s="879">
        <f t="shared" si="138"/>
        <v>0.54166666666666663</v>
      </c>
      <c r="Z91" s="879">
        <f t="shared" si="138"/>
        <v>0.53581724700435729</v>
      </c>
      <c r="AA91" s="360">
        <v>0.52500000000000002</v>
      </c>
      <c r="AB91" s="307">
        <f t="shared" si="139"/>
        <v>0.57793101990740792</v>
      </c>
      <c r="AC91" s="880">
        <f t="shared" si="139"/>
        <v>0.52500000000000002</v>
      </c>
      <c r="AD91" s="880">
        <f t="shared" si="139"/>
        <v>0.55796096663647421</v>
      </c>
      <c r="AE91" s="881">
        <f t="shared" si="139"/>
        <v>0.53893442622950816</v>
      </c>
      <c r="AF91" s="881">
        <f t="shared" si="139"/>
        <v>0.5427211442015788</v>
      </c>
      <c r="AG91" s="360">
        <v>0.52500000000000002</v>
      </c>
      <c r="AH91" s="307">
        <f t="shared" si="140"/>
        <v>0.51107114964157596</v>
      </c>
      <c r="AI91" s="879">
        <f t="shared" si="140"/>
        <v>0.53691588785046729</v>
      </c>
      <c r="AJ91" s="879">
        <f t="shared" si="140"/>
        <v>0.53813633190550358</v>
      </c>
      <c r="AK91" s="360">
        <v>0.52500000000000002</v>
      </c>
      <c r="AL91" s="307">
        <f t="shared" si="141"/>
        <v>0.40427717175925915</v>
      </c>
      <c r="AM91" s="879">
        <f t="shared" si="141"/>
        <v>0.53545081967213115</v>
      </c>
      <c r="AN91" s="879">
        <f t="shared" si="141"/>
        <v>0.5216782384448998</v>
      </c>
      <c r="AO91" s="360">
        <v>0.52500000000000002</v>
      </c>
      <c r="AP91" s="307">
        <f t="shared" si="142"/>
        <v>0.38879782661290191</v>
      </c>
      <c r="AQ91" s="880">
        <f t="shared" si="142"/>
        <v>0.52500000000000002</v>
      </c>
      <c r="AR91" s="880">
        <f t="shared" si="142"/>
        <v>0.43504623278985421</v>
      </c>
      <c r="AS91" s="879">
        <f t="shared" si="142"/>
        <v>0.53427272727272723</v>
      </c>
      <c r="AT91" s="879">
        <f t="shared" si="142"/>
        <v>0.50669899202020185</v>
      </c>
      <c r="AU91" s="360">
        <v>0.52500000000000002</v>
      </c>
      <c r="AV91" s="307">
        <f t="shared" si="143"/>
        <v>0.43049549193548381</v>
      </c>
      <c r="AW91" s="879">
        <f t="shared" si="143"/>
        <v>0.53333333333333344</v>
      </c>
      <c r="AX91" s="879">
        <f t="shared" si="143"/>
        <v>0.49897902959331863</v>
      </c>
      <c r="AY91" s="360">
        <v>0.52500000000000002</v>
      </c>
      <c r="AZ91" s="307">
        <f t="shared" si="144"/>
        <v>0.36825425446428833</v>
      </c>
      <c r="BA91" s="879">
        <f t="shared" si="144"/>
        <v>0.53263473053892219</v>
      </c>
      <c r="BB91" s="879">
        <f t="shared" si="144"/>
        <v>0.48802006640884898</v>
      </c>
      <c r="BC91" s="360">
        <v>0.52500000000000002</v>
      </c>
      <c r="BD91" s="307">
        <f t="shared" si="145"/>
        <v>0.33581117293906743</v>
      </c>
      <c r="BE91" s="880">
        <f t="shared" si="145"/>
        <v>0.52500000000000002</v>
      </c>
      <c r="BF91" s="880">
        <f t="shared" si="145"/>
        <v>0.37851806373456848</v>
      </c>
      <c r="BG91" s="881">
        <f t="shared" si="145"/>
        <v>0.52500000000000002</v>
      </c>
      <c r="BH91" s="881">
        <f t="shared" si="145"/>
        <v>0.40709274259768002</v>
      </c>
      <c r="BI91" s="879">
        <f t="shared" si="145"/>
        <v>0.53198630136986291</v>
      </c>
      <c r="BJ91" s="879">
        <f t="shared" si="145"/>
        <v>0.47509273573059357</v>
      </c>
      <c r="BK91" s="1137"/>
      <c r="BL91" s="1137"/>
      <c r="BM91" s="1137"/>
      <c r="BN91" s="1137"/>
      <c r="BO91" s="1137"/>
    </row>
    <row r="92" spans="1:67" x14ac:dyDescent="0.25">
      <c r="G92" s="858" t="s">
        <v>744</v>
      </c>
      <c r="H92" s="250" t="s">
        <v>706</v>
      </c>
      <c r="I92" s="360">
        <v>3.5</v>
      </c>
      <c r="J92" s="307">
        <f t="shared" si="134"/>
        <v>3.3426772680555583</v>
      </c>
      <c r="K92" s="360">
        <v>3.5</v>
      </c>
      <c r="L92" s="307">
        <f t="shared" si="135"/>
        <v>3.5180064811827969</v>
      </c>
      <c r="M92" s="879">
        <f t="shared" si="135"/>
        <v>3.5</v>
      </c>
      <c r="N92" s="879">
        <f t="shared" si="135"/>
        <v>3.4317789993169416</v>
      </c>
      <c r="O92" s="360">
        <v>3.5</v>
      </c>
      <c r="P92" s="307">
        <f t="shared" si="136"/>
        <v>3.7419615319444426</v>
      </c>
      <c r="Q92" s="880">
        <f t="shared" si="136"/>
        <v>3.5</v>
      </c>
      <c r="R92" s="880">
        <f t="shared" si="136"/>
        <v>3.5340369771062279</v>
      </c>
      <c r="S92" s="360">
        <v>3.5</v>
      </c>
      <c r="T92" s="307">
        <f t="shared" si="137"/>
        <v>3.5824975268817134</v>
      </c>
      <c r="U92" s="879">
        <f t="shared" si="137"/>
        <v>3.5</v>
      </c>
      <c r="V92" s="879">
        <f t="shared" si="137"/>
        <v>3.5463507233606544</v>
      </c>
      <c r="W92" s="360">
        <v>3.5</v>
      </c>
      <c r="X92" s="307">
        <f t="shared" si="138"/>
        <v>3.5530406922043176</v>
      </c>
      <c r="Y92" s="879">
        <f t="shared" si="138"/>
        <v>3.5</v>
      </c>
      <c r="Z92" s="879">
        <f t="shared" si="138"/>
        <v>3.5477062072440106</v>
      </c>
      <c r="AA92" s="360">
        <v>3.5</v>
      </c>
      <c r="AB92" s="307">
        <f t="shared" si="139"/>
        <v>3.5388672083333268</v>
      </c>
      <c r="AC92" s="880">
        <f t="shared" si="139"/>
        <v>3.5</v>
      </c>
      <c r="AD92" s="880">
        <f t="shared" si="139"/>
        <v>3.5583445765398558</v>
      </c>
      <c r="AE92" s="881">
        <f t="shared" si="139"/>
        <v>3.5</v>
      </c>
      <c r="AF92" s="881">
        <f t="shared" si="139"/>
        <v>3.5462571910291443</v>
      </c>
      <c r="AG92" s="360">
        <v>3.5</v>
      </c>
      <c r="AH92" s="307">
        <f t="shared" si="140"/>
        <v>3.0774270833333359</v>
      </c>
      <c r="AI92" s="879">
        <f t="shared" si="140"/>
        <v>3.5</v>
      </c>
      <c r="AJ92" s="879">
        <f t="shared" si="140"/>
        <v>3.478342549260125</v>
      </c>
      <c r="AK92" s="360">
        <v>3.5</v>
      </c>
      <c r="AL92" s="307">
        <f t="shared" si="141"/>
        <v>2.4555365138888892</v>
      </c>
      <c r="AM92" s="879">
        <f t="shared" si="141"/>
        <v>3.5</v>
      </c>
      <c r="AN92" s="879">
        <f t="shared" si="141"/>
        <v>3.3525877088456291</v>
      </c>
      <c r="AO92" s="360">
        <v>3.5</v>
      </c>
      <c r="AP92" s="307">
        <f t="shared" si="142"/>
        <v>2.6255485349462386</v>
      </c>
      <c r="AQ92" s="880">
        <f t="shared" si="142"/>
        <v>3.5</v>
      </c>
      <c r="AR92" s="880">
        <f t="shared" si="142"/>
        <v>2.7223732563405818</v>
      </c>
      <c r="AS92" s="879">
        <f t="shared" si="142"/>
        <v>3.5</v>
      </c>
      <c r="AT92" s="879">
        <f t="shared" si="142"/>
        <v>3.2706305656060617</v>
      </c>
      <c r="AU92" s="360">
        <v>3.5</v>
      </c>
      <c r="AV92" s="307">
        <f t="shared" si="143"/>
        <v>2.6763127419354809</v>
      </c>
      <c r="AW92" s="879">
        <f t="shared" si="143"/>
        <v>3.5</v>
      </c>
      <c r="AX92" s="879">
        <f t="shared" si="143"/>
        <v>3.2104218971949896</v>
      </c>
      <c r="AY92" s="360">
        <v>3.5</v>
      </c>
      <c r="AZ92" s="307">
        <f t="shared" si="144"/>
        <v>2.4012187500000066</v>
      </c>
      <c r="BA92" s="879">
        <f t="shared" si="144"/>
        <v>3.5</v>
      </c>
      <c r="BB92" s="879">
        <f t="shared" si="144"/>
        <v>3.142584507609782</v>
      </c>
      <c r="BC92" s="360">
        <v>3.5</v>
      </c>
      <c r="BD92" s="307">
        <f t="shared" si="145"/>
        <v>2.5856702728494532</v>
      </c>
      <c r="BE92" s="880">
        <f t="shared" si="145"/>
        <v>3.5</v>
      </c>
      <c r="BF92" s="880">
        <f t="shared" si="145"/>
        <v>2.5595066495370351</v>
      </c>
      <c r="BG92" s="881">
        <f t="shared" si="145"/>
        <v>3.5</v>
      </c>
      <c r="BH92" s="881">
        <f t="shared" si="145"/>
        <v>2.641834824404762</v>
      </c>
      <c r="BI92" s="879">
        <f t="shared" si="145"/>
        <v>3.5</v>
      </c>
      <c r="BJ92" s="879">
        <f t="shared" si="145"/>
        <v>3.0952849424657538</v>
      </c>
      <c r="BK92" s="1137"/>
      <c r="BL92" s="1137"/>
      <c r="BM92" s="1137"/>
      <c r="BN92" s="1137"/>
      <c r="BO92" s="1137"/>
    </row>
    <row r="93" spans="1:67" x14ac:dyDescent="0.25">
      <c r="G93" s="858" t="s">
        <v>745</v>
      </c>
      <c r="H93" s="250" t="s">
        <v>707</v>
      </c>
      <c r="I93" s="360">
        <v>0.92</v>
      </c>
      <c r="J93" s="307">
        <f t="shared" si="134"/>
        <v>1.012427777777779</v>
      </c>
      <c r="K93" s="360">
        <v>0.6</v>
      </c>
      <c r="L93" s="307">
        <f t="shared" si="135"/>
        <v>0.73619354838710005</v>
      </c>
      <c r="M93" s="879">
        <f t="shared" si="135"/>
        <v>0.75737704918032778</v>
      </c>
      <c r="N93" s="879">
        <f t="shared" si="135"/>
        <v>0.87204644808743392</v>
      </c>
      <c r="O93" s="360">
        <v>0.6</v>
      </c>
      <c r="P93" s="307">
        <f t="shared" si="136"/>
        <v>0.4693211111111078</v>
      </c>
      <c r="Q93" s="880">
        <f t="shared" si="136"/>
        <v>0.70549450549450554</v>
      </c>
      <c r="R93" s="880">
        <f t="shared" si="136"/>
        <v>0.73927985347985381</v>
      </c>
      <c r="S93" s="360">
        <v>0.6</v>
      </c>
      <c r="T93" s="307">
        <f t="shared" si="137"/>
        <v>0.4853204301075269</v>
      </c>
      <c r="U93" s="879">
        <f t="shared" si="137"/>
        <v>0.67868852459016393</v>
      </c>
      <c r="V93" s="879">
        <f t="shared" si="137"/>
        <v>0.67474918032786924</v>
      </c>
      <c r="W93" s="360">
        <v>0.6</v>
      </c>
      <c r="X93" s="307">
        <f t="shared" si="138"/>
        <v>0.35137311827957307</v>
      </c>
      <c r="Y93" s="879">
        <f t="shared" si="138"/>
        <v>0.66274509803921566</v>
      </c>
      <c r="Z93" s="879">
        <f t="shared" si="138"/>
        <v>0.60922854030501183</v>
      </c>
      <c r="AA93" s="360">
        <v>0.6</v>
      </c>
      <c r="AB93" s="307">
        <f t="shared" si="139"/>
        <v>0.52541777777777787</v>
      </c>
      <c r="AC93" s="880">
        <f t="shared" si="139"/>
        <v>0.6</v>
      </c>
      <c r="AD93" s="880">
        <f t="shared" si="139"/>
        <v>0.45326123188405903</v>
      </c>
      <c r="AE93" s="881">
        <f t="shared" si="139"/>
        <v>0.65245901639344261</v>
      </c>
      <c r="AF93" s="881">
        <f t="shared" si="139"/>
        <v>0.5954890710382521</v>
      </c>
      <c r="AG93" s="360">
        <v>0.6</v>
      </c>
      <c r="AH93" s="307">
        <f t="shared" si="140"/>
        <v>0.44387741935483566</v>
      </c>
      <c r="AI93" s="879">
        <f t="shared" si="140"/>
        <v>0.64485981308411211</v>
      </c>
      <c r="AJ93" s="879">
        <f t="shared" si="140"/>
        <v>0.57352663551401883</v>
      </c>
      <c r="AK93" s="360">
        <v>0.6</v>
      </c>
      <c r="AL93" s="307">
        <f t="shared" si="141"/>
        <v>0.8257311111111113</v>
      </c>
      <c r="AM93" s="879">
        <f t="shared" si="141"/>
        <v>0.63934426229508201</v>
      </c>
      <c r="AN93" s="879">
        <f t="shared" si="141"/>
        <v>0.60453538251366146</v>
      </c>
      <c r="AO93" s="360">
        <v>0.6</v>
      </c>
      <c r="AP93" s="307">
        <f t="shared" si="142"/>
        <v>0.81144623655914316</v>
      </c>
      <c r="AQ93" s="880">
        <f t="shared" si="142"/>
        <v>0.6</v>
      </c>
      <c r="AR93" s="880">
        <f t="shared" si="142"/>
        <v>0.69224963768115966</v>
      </c>
      <c r="AS93" s="879">
        <f t="shared" si="142"/>
        <v>0.63490909090909087</v>
      </c>
      <c r="AT93" s="879">
        <f t="shared" si="142"/>
        <v>0.62785987878787941</v>
      </c>
      <c r="AU93" s="360">
        <v>0.6</v>
      </c>
      <c r="AV93" s="307">
        <f t="shared" si="143"/>
        <v>1.0028451612903255</v>
      </c>
      <c r="AW93" s="879">
        <f t="shared" si="143"/>
        <v>0.63137254901960793</v>
      </c>
      <c r="AX93" s="879">
        <f t="shared" si="143"/>
        <v>0.66584858387799639</v>
      </c>
      <c r="AY93" s="360">
        <v>0.6</v>
      </c>
      <c r="AZ93" s="307">
        <f t="shared" si="144"/>
        <v>0.62196547619047504</v>
      </c>
      <c r="BA93" s="879">
        <f t="shared" si="144"/>
        <v>0.62874251497005984</v>
      </c>
      <c r="BB93" s="879">
        <f t="shared" si="144"/>
        <v>0.66216976047904241</v>
      </c>
      <c r="BC93" s="360">
        <v>0.6</v>
      </c>
      <c r="BD93" s="307">
        <f t="shared" si="145"/>
        <v>0.67622473118279369</v>
      </c>
      <c r="BE93" s="880">
        <f t="shared" si="145"/>
        <v>0.6</v>
      </c>
      <c r="BF93" s="880">
        <f t="shared" si="145"/>
        <v>0.77184666666666668</v>
      </c>
      <c r="BG93" s="881">
        <f t="shared" si="145"/>
        <v>0.6</v>
      </c>
      <c r="BH93" s="881">
        <f t="shared" si="145"/>
        <v>0.73161080586080596</v>
      </c>
      <c r="BI93" s="879">
        <f t="shared" si="145"/>
        <v>0.62630136986301366</v>
      </c>
      <c r="BJ93" s="879">
        <f t="shared" si="145"/>
        <v>0.66336347031963505</v>
      </c>
      <c r="BK93" s="1137"/>
      <c r="BL93" s="1137"/>
      <c r="BM93" s="1137"/>
      <c r="BN93" s="1137"/>
      <c r="BO93" s="1137"/>
    </row>
    <row r="94" spans="1:67" ht="15.75" thickBot="1" x14ac:dyDescent="0.3">
      <c r="G94" s="858" t="s">
        <v>746</v>
      </c>
      <c r="H94" s="250" t="s">
        <v>708</v>
      </c>
      <c r="I94" s="363">
        <v>0.27</v>
      </c>
      <c r="J94" s="312">
        <f t="shared" si="134"/>
        <v>2.8611111111111618E-2</v>
      </c>
      <c r="K94" s="363">
        <v>0.9</v>
      </c>
      <c r="L94" s="312">
        <f t="shared" si="135"/>
        <v>0.54142876344086011</v>
      </c>
      <c r="M94" s="886">
        <f t="shared" si="135"/>
        <v>0.5901639344262295</v>
      </c>
      <c r="N94" s="886">
        <f t="shared" si="135"/>
        <v>0.28922336065573789</v>
      </c>
      <c r="O94" s="363">
        <v>0.9</v>
      </c>
      <c r="P94" s="312">
        <f t="shared" si="136"/>
        <v>0.57189722222222228</v>
      </c>
      <c r="Q94" s="887">
        <f t="shared" si="136"/>
        <v>0.69230769230769229</v>
      </c>
      <c r="R94" s="887">
        <f t="shared" si="136"/>
        <v>0.38241254578754591</v>
      </c>
      <c r="S94" s="363">
        <v>0.9</v>
      </c>
      <c r="T94" s="312">
        <f t="shared" si="137"/>
        <v>0.51334677419354746</v>
      </c>
      <c r="U94" s="886">
        <f t="shared" si="137"/>
        <v>0.7450819672131147</v>
      </c>
      <c r="V94" s="886">
        <f t="shared" si="137"/>
        <v>0.41568271857923478</v>
      </c>
      <c r="W94" s="363">
        <v>0.9</v>
      </c>
      <c r="X94" s="312">
        <f t="shared" si="138"/>
        <v>0.53025403225806589</v>
      </c>
      <c r="Y94" s="886">
        <f t="shared" si="138"/>
        <v>0.77647058823529413</v>
      </c>
      <c r="Z94" s="886">
        <f t="shared" si="138"/>
        <v>0.43889651416122016</v>
      </c>
      <c r="AA94" s="363">
        <v>0.9</v>
      </c>
      <c r="AB94" s="312">
        <f t="shared" si="139"/>
        <v>0.56616527777777714</v>
      </c>
      <c r="AC94" s="887">
        <f t="shared" si="139"/>
        <v>0.9</v>
      </c>
      <c r="AD94" s="887">
        <f t="shared" si="139"/>
        <v>0.5362672101449274</v>
      </c>
      <c r="AE94" s="888">
        <f t="shared" si="139"/>
        <v>0.7967213114754097</v>
      </c>
      <c r="AF94" s="888">
        <f t="shared" si="139"/>
        <v>0.45976024590163939</v>
      </c>
      <c r="AG94" s="363">
        <v>0.9</v>
      </c>
      <c r="AH94" s="312">
        <f t="shared" si="140"/>
        <v>0.58921639784946211</v>
      </c>
      <c r="AI94" s="886">
        <f t="shared" si="140"/>
        <v>0.81168224299065428</v>
      </c>
      <c r="AJ94" s="886">
        <f t="shared" si="140"/>
        <v>0.47851323987538941</v>
      </c>
      <c r="AK94" s="363">
        <v>0.9</v>
      </c>
      <c r="AL94" s="312">
        <f t="shared" si="141"/>
        <v>0.53915277777777848</v>
      </c>
      <c r="AM94" s="886">
        <f t="shared" si="141"/>
        <v>0.82254098360655747</v>
      </c>
      <c r="AN94" s="886">
        <f t="shared" si="141"/>
        <v>0.48596892076502735</v>
      </c>
      <c r="AO94" s="363">
        <v>0.9</v>
      </c>
      <c r="AP94" s="312">
        <f t="shared" si="142"/>
        <v>0.54695698924731095</v>
      </c>
      <c r="AQ94" s="887">
        <f t="shared" si="142"/>
        <v>0.9</v>
      </c>
      <c r="AR94" s="887">
        <f t="shared" si="142"/>
        <v>0.55865172101449256</v>
      </c>
      <c r="AS94" s="886">
        <f t="shared" si="142"/>
        <v>0.83127272727272727</v>
      </c>
      <c r="AT94" s="886">
        <f t="shared" si="142"/>
        <v>0.49284393939393939</v>
      </c>
      <c r="AU94" s="363">
        <v>0.9</v>
      </c>
      <c r="AV94" s="312">
        <f t="shared" si="143"/>
        <v>0.35083602150537707</v>
      </c>
      <c r="AW94" s="886">
        <f t="shared" si="143"/>
        <v>0.83823529411764708</v>
      </c>
      <c r="AX94" s="886">
        <f t="shared" si="143"/>
        <v>0.47845751633986933</v>
      </c>
      <c r="AY94" s="363">
        <v>0.9</v>
      </c>
      <c r="AZ94" s="312">
        <f t="shared" si="144"/>
        <v>3.7767857142857304E-2</v>
      </c>
      <c r="BA94" s="886">
        <f t="shared" si="144"/>
        <v>0.84341317365269453</v>
      </c>
      <c r="BB94" s="886">
        <f t="shared" si="144"/>
        <v>0.44151347305389227</v>
      </c>
      <c r="BC94" s="363">
        <v>0.9</v>
      </c>
      <c r="BD94" s="312">
        <f t="shared" si="145"/>
        <v>2.9435483870967255E-2</v>
      </c>
      <c r="BE94" s="887">
        <f t="shared" si="145"/>
        <v>0.9</v>
      </c>
      <c r="BF94" s="887">
        <f t="shared" si="145"/>
        <v>0.14273240740740759</v>
      </c>
      <c r="BG94" s="888">
        <f t="shared" si="145"/>
        <v>0.89999999999999991</v>
      </c>
      <c r="BH94" s="888">
        <f t="shared" si="145"/>
        <v>0.3529773351648352</v>
      </c>
      <c r="BI94" s="886">
        <f t="shared" si="145"/>
        <v>0.84821917808219172</v>
      </c>
      <c r="BJ94" s="886">
        <f t="shared" si="145"/>
        <v>0.40651506849315072</v>
      </c>
      <c r="BK94" s="1137"/>
      <c r="BL94" s="1137"/>
      <c r="BM94" s="1137"/>
      <c r="BN94" s="1137"/>
      <c r="BO94" s="1137"/>
    </row>
    <row r="95" spans="1:67" x14ac:dyDescent="0.25">
      <c r="I95" s="4487"/>
      <c r="J95" s="4487"/>
      <c r="K95" s="4487"/>
      <c r="L95" s="4487"/>
      <c r="O95" s="4487"/>
      <c r="P95" s="4487"/>
      <c r="X95" s="4487"/>
      <c r="AA95" s="139"/>
      <c r="AB95" s="4487"/>
      <c r="AG95" s="139"/>
      <c r="AH95" s="4487"/>
      <c r="AK95" s="139"/>
      <c r="AL95" s="4487"/>
      <c r="AO95" s="139"/>
      <c r="AP95" s="4487"/>
      <c r="AY95" s="4487"/>
      <c r="AZ95" s="4487"/>
      <c r="BC95" s="4487"/>
      <c r="BD95" s="4487"/>
      <c r="BL95" s="1137"/>
    </row>
    <row r="96" spans="1:67" x14ac:dyDescent="0.25">
      <c r="I96" s="1137">
        <f t="shared" ref="I96:J96" si="146">+I63-I64</f>
        <v>0</v>
      </c>
      <c r="J96" s="1137">
        <f t="shared" si="146"/>
        <v>0</v>
      </c>
      <c r="K96" s="1137">
        <f>+K63-K64</f>
        <v>0</v>
      </c>
      <c r="L96" s="1137">
        <f t="shared" ref="L96" si="147">+L63-L64</f>
        <v>0</v>
      </c>
      <c r="M96" s="1137">
        <f t="shared" ref="M96:BJ96" si="148">+M63-M64</f>
        <v>0</v>
      </c>
      <c r="N96" s="1137">
        <f t="shared" si="148"/>
        <v>0</v>
      </c>
      <c r="O96" s="1137">
        <f>+O63-O64</f>
        <v>0</v>
      </c>
      <c r="P96" s="1137">
        <f t="shared" ref="P96" si="149">+P63-P64</f>
        <v>1.3888888759083784E-6</v>
      </c>
      <c r="Q96" s="1137">
        <f t="shared" si="148"/>
        <v>0</v>
      </c>
      <c r="R96" s="1137">
        <f t="shared" si="148"/>
        <v>4.5787547264808381E-7</v>
      </c>
      <c r="S96" s="1137">
        <f t="shared" si="148"/>
        <v>0</v>
      </c>
      <c r="T96" s="1137">
        <f t="shared" si="148"/>
        <v>0</v>
      </c>
      <c r="U96" s="1137">
        <f t="shared" si="148"/>
        <v>0</v>
      </c>
      <c r="V96" s="1137">
        <f t="shared" si="148"/>
        <v>3.4153003980463836E-7</v>
      </c>
      <c r="W96" s="1137">
        <f t="shared" ref="W96:X96" si="150">+W63-W64</f>
        <v>0</v>
      </c>
      <c r="X96" s="1137">
        <f t="shared" si="150"/>
        <v>0</v>
      </c>
      <c r="Y96" s="1137">
        <f t="shared" si="148"/>
        <v>0</v>
      </c>
      <c r="Z96" s="1137">
        <f t="shared" si="148"/>
        <v>2.7233113542024512E-7</v>
      </c>
      <c r="AA96" s="1137">
        <f t="shared" si="148"/>
        <v>0</v>
      </c>
      <c r="AB96" s="1137">
        <f t="shared" si="148"/>
        <v>0</v>
      </c>
      <c r="AC96" s="1137">
        <f t="shared" si="148"/>
        <v>0</v>
      </c>
      <c r="AD96" s="1137">
        <f t="shared" si="148"/>
        <v>0</v>
      </c>
      <c r="AE96" s="1137">
        <f t="shared" si="148"/>
        <v>0</v>
      </c>
      <c r="AF96" s="1137">
        <f t="shared" si="148"/>
        <v>2.2768674057260796E-7</v>
      </c>
      <c r="AG96" s="1137">
        <f t="shared" ref="AG96:AH96" si="151">+AG63-AG64</f>
        <v>0</v>
      </c>
      <c r="AH96" s="1137">
        <f t="shared" si="151"/>
        <v>0</v>
      </c>
      <c r="AI96" s="1137">
        <f t="shared" si="148"/>
        <v>0</v>
      </c>
      <c r="AJ96" s="1137">
        <f t="shared" si="148"/>
        <v>1.9470405732135987E-7</v>
      </c>
      <c r="AK96" s="1137">
        <f t="shared" si="148"/>
        <v>0</v>
      </c>
      <c r="AL96" s="1137">
        <f t="shared" si="148"/>
        <v>0</v>
      </c>
      <c r="AM96" s="1137">
        <f t="shared" si="148"/>
        <v>0</v>
      </c>
      <c r="AN96" s="1137">
        <f t="shared" si="148"/>
        <v>1.7076507674573804E-7</v>
      </c>
      <c r="AO96" s="1137">
        <f t="shared" ref="AO96:AP96" si="152">+AO63-AO64</f>
        <v>0</v>
      </c>
      <c r="AP96" s="1137">
        <f t="shared" si="152"/>
        <v>0</v>
      </c>
      <c r="AQ96" s="1137">
        <f t="shared" si="148"/>
        <v>0</v>
      </c>
      <c r="AR96" s="1137">
        <f t="shared" si="148"/>
        <v>0</v>
      </c>
      <c r="AS96" s="1137">
        <f t="shared" si="148"/>
        <v>0</v>
      </c>
      <c r="AT96" s="1137">
        <f t="shared" si="148"/>
        <v>1.5151516663536313E-7</v>
      </c>
      <c r="AU96" s="1137">
        <f t="shared" si="148"/>
        <v>0</v>
      </c>
      <c r="AV96" s="1137">
        <f t="shared" si="148"/>
        <v>0</v>
      </c>
      <c r="AW96" s="1137">
        <f t="shared" si="148"/>
        <v>0</v>
      </c>
      <c r="AX96" s="1137">
        <f t="shared" si="148"/>
        <v>1.3616559613183199E-7</v>
      </c>
      <c r="AY96" s="1137">
        <f t="shared" ref="AY96:AZ96" si="153">+AY63-AY64</f>
        <v>0</v>
      </c>
      <c r="AZ96" s="1137">
        <f t="shared" si="153"/>
        <v>0</v>
      </c>
      <c r="BA96" s="1137">
        <f t="shared" si="148"/>
        <v>0</v>
      </c>
      <c r="BB96" s="1137">
        <f t="shared" si="148"/>
        <v>1.2475049970817054E-7</v>
      </c>
      <c r="BC96" s="1137">
        <f t="shared" ref="BC96:BD96" si="154">+BC63-BC64</f>
        <v>0</v>
      </c>
      <c r="BD96" s="1137">
        <f t="shared" si="154"/>
        <v>7.5268817204346306E-2</v>
      </c>
      <c r="BE96" s="1137">
        <f t="shared" si="148"/>
        <v>0</v>
      </c>
      <c r="BF96" s="1137">
        <f t="shared" si="148"/>
        <v>2.5925925925946558E-2</v>
      </c>
      <c r="BG96" s="1137">
        <f t="shared" si="148"/>
        <v>0</v>
      </c>
      <c r="BH96" s="1137">
        <f t="shared" si="148"/>
        <v>1.2820512820525209E-2</v>
      </c>
      <c r="BI96" s="1137">
        <f t="shared" si="148"/>
        <v>0</v>
      </c>
      <c r="BJ96" s="1137">
        <f t="shared" si="148"/>
        <v>6.3928082192035163E-3</v>
      </c>
    </row>
    <row r="106" spans="19:24" x14ac:dyDescent="0.25">
      <c r="S106" s="144"/>
      <c r="T106" s="90"/>
      <c r="W106" s="144"/>
      <c r="X106" s="90"/>
    </row>
  </sheetData>
  <mergeCells count="56">
    <mergeCell ref="AQ4:AR4"/>
    <mergeCell ref="AQ52:AR52"/>
    <mergeCell ref="C4:C5"/>
    <mergeCell ref="C48:C49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2:AB52"/>
    <mergeCell ref="I52:J52"/>
    <mergeCell ref="K52:L52"/>
    <mergeCell ref="AC52:AD52"/>
    <mergeCell ref="O52:P52"/>
    <mergeCell ref="M52:N52"/>
    <mergeCell ref="S52:T52"/>
    <mergeCell ref="U52:V52"/>
    <mergeCell ref="Q52:R52"/>
    <mergeCell ref="W52:X52"/>
    <mergeCell ref="Y52:Z52"/>
    <mergeCell ref="AG4:AH4"/>
    <mergeCell ref="AI4:AJ4"/>
    <mergeCell ref="AG52:AH52"/>
    <mergeCell ref="AI52:AJ52"/>
    <mergeCell ref="AE4:AF4"/>
    <mergeCell ref="AE52:AF52"/>
    <mergeCell ref="AY4:AZ4"/>
    <mergeCell ref="BA4:BB4"/>
    <mergeCell ref="AY52:AZ52"/>
    <mergeCell ref="BA52:BB52"/>
    <mergeCell ref="AK4:AL4"/>
    <mergeCell ref="AM4:AN4"/>
    <mergeCell ref="AK52:AL52"/>
    <mergeCell ref="AM52:AN52"/>
    <mergeCell ref="AU4:AV4"/>
    <mergeCell ref="AW4:AX4"/>
    <mergeCell ref="AU52:AV52"/>
    <mergeCell ref="AW52:AX52"/>
    <mergeCell ref="AO4:AP4"/>
    <mergeCell ref="AS4:AT4"/>
    <mergeCell ref="AO52:AP52"/>
    <mergeCell ref="AS52:AT52"/>
    <mergeCell ref="BC4:BD4"/>
    <mergeCell ref="BI4:BJ4"/>
    <mergeCell ref="BC52:BD52"/>
    <mergeCell ref="BI52:BJ52"/>
    <mergeCell ref="BE4:BF4"/>
    <mergeCell ref="BG4:BH4"/>
    <mergeCell ref="BE52:BF52"/>
    <mergeCell ref="BG52:BH52"/>
  </mergeCells>
  <pageMargins left="0.45" right="0.45" top="0.5" bottom="0.5" header="0.3" footer="0.3"/>
  <pageSetup scale="3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267"/>
  <sheetViews>
    <sheetView zoomScaleNormal="100" workbookViewId="0">
      <pane xSplit="3" topLeftCell="D1" activePane="topRight" state="frozen"/>
      <selection pane="topRight" activeCell="BH24" sqref="BH2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customWidth="1"/>
    <col min="6" max="9" width="9.85546875" hidden="1" customWidth="1"/>
    <col min="10" max="17" width="11.140625" hidden="1" customWidth="1"/>
    <col min="18" max="21" width="11.140625" style="4233" hidden="1" customWidth="1"/>
    <col min="22" max="37" width="11.140625" hidden="1" customWidth="1"/>
    <col min="38" max="39" width="11.140625" style="2574" hidden="1" customWidth="1"/>
    <col min="40" max="50" width="11.140625" hidden="1" customWidth="1"/>
    <col min="51" max="51" width="9.85546875" hidden="1" customWidth="1"/>
    <col min="52" max="55" width="11.140625" style="2852" hidden="1" customWidth="1"/>
    <col min="56" max="57" width="11.140625" hidden="1" customWidth="1"/>
    <col min="58" max="58" width="11.140625" customWidth="1"/>
  </cols>
  <sheetData>
    <row r="1" spans="2:62" ht="22.5" x14ac:dyDescent="0.3">
      <c r="B1" s="365" t="s">
        <v>1052</v>
      </c>
      <c r="C1" s="43"/>
      <c r="D1" s="496"/>
      <c r="E1" s="43"/>
      <c r="F1" s="43"/>
      <c r="G1" s="43"/>
      <c r="H1" s="43"/>
      <c r="I1" s="43"/>
      <c r="J1" s="144"/>
      <c r="K1" s="144"/>
      <c r="L1" s="90"/>
      <c r="M1" s="90"/>
      <c r="N1" s="144"/>
      <c r="O1" s="144"/>
      <c r="P1" s="90"/>
      <c r="Q1" s="90"/>
      <c r="R1" s="144"/>
      <c r="S1" s="144"/>
      <c r="T1" s="90"/>
      <c r="U1" s="90"/>
      <c r="V1" s="90"/>
      <c r="W1" s="90"/>
      <c r="X1" s="90"/>
      <c r="Y1" s="90"/>
      <c r="Z1" s="90"/>
      <c r="AA1" s="90"/>
    </row>
    <row r="2" spans="2:62" s="4487" customFormat="1" ht="22.5" hidden="1" x14ac:dyDescent="0.3">
      <c r="B2" s="365"/>
      <c r="C2" s="43" t="s">
        <v>1870</v>
      </c>
      <c r="D2" s="2716">
        <f>+'B-FCE'!E50</f>
        <v>26</v>
      </c>
      <c r="E2" s="2716">
        <f>+'B-FCE'!F50</f>
        <v>29.53833333333333</v>
      </c>
      <c r="F2" s="2716">
        <f>+'B-FCE'!G50</f>
        <v>30.000000000000004</v>
      </c>
      <c r="G2" s="2716">
        <f>+'B-FCE'!H50</f>
        <v>29.791666666666664</v>
      </c>
      <c r="H2" s="2716">
        <f>+'B-FCE'!I50</f>
        <v>56</v>
      </c>
      <c r="I2" s="2716">
        <f>+'B-FCE'!J50</f>
        <v>59.33</v>
      </c>
      <c r="J2" s="2716">
        <f>+'B-FCE'!K50</f>
        <v>29</v>
      </c>
      <c r="K2" s="2716">
        <f>+'B-FCE'!L50</f>
        <v>29.611111111111111</v>
      </c>
      <c r="L2" s="2716">
        <f>+'B-FCE'!M50</f>
        <v>85</v>
      </c>
      <c r="M2" s="2716">
        <f>+'B-FCE'!N50</f>
        <v>88.941111111111098</v>
      </c>
      <c r="N2" s="2716">
        <f>+'B-FCE'!O50</f>
        <v>30</v>
      </c>
      <c r="O2" s="2716">
        <f>+'B-FCE'!P50</f>
        <v>30.999999999999996</v>
      </c>
      <c r="P2" s="2716">
        <f>+'B-FCE'!Q50</f>
        <v>115</v>
      </c>
      <c r="Q2" s="2716">
        <f>+'B-FCE'!R50</f>
        <v>119.9411111111111</v>
      </c>
      <c r="R2" s="2716">
        <f>+'B-FCE'!S50</f>
        <v>30</v>
      </c>
      <c r="S2" s="2716">
        <f>+'B-FCE'!T50</f>
        <v>30.024305555555554</v>
      </c>
      <c r="T2" s="2716">
        <f>+'B-FCE'!U50</f>
        <v>145</v>
      </c>
      <c r="U2" s="2716">
        <f>+'B-FCE'!V50</f>
        <v>149.96541666666664</v>
      </c>
      <c r="V2" s="2716">
        <f>+'B-FCE'!W50</f>
        <v>17.016867469879518</v>
      </c>
      <c r="W2" s="2716">
        <f>+'B-FCE'!X50</f>
        <v>29.673611111111111</v>
      </c>
      <c r="X2" s="2716">
        <f>+'B-FCE'!Y50</f>
        <v>77.016867469879514</v>
      </c>
      <c r="Y2" s="2716">
        <f>+'B-FCE'!Z50</f>
        <v>90.697916666666657</v>
      </c>
      <c r="Z2" s="2716">
        <f>+'B-FCE'!AA50</f>
        <v>162.01686746987951</v>
      </c>
      <c r="AA2" s="2716">
        <f>+'B-FCE'!AB50</f>
        <v>179.63902777777776</v>
      </c>
      <c r="AB2" s="2716">
        <f>+'B-FCE'!AC50</f>
        <v>30.000000000000004</v>
      </c>
      <c r="AC2" s="2716">
        <f>+'B-FCE'!AD50</f>
        <v>26.930555555555561</v>
      </c>
      <c r="AD2" s="2716">
        <f>+'B-FCE'!AE50</f>
        <v>192.01686746987951</v>
      </c>
      <c r="AE2" s="2716">
        <f>+'B-FCE'!AF50</f>
        <v>206.56958333333333</v>
      </c>
      <c r="AF2" s="2716">
        <f>+'B-FCE'!AG50</f>
        <v>29</v>
      </c>
      <c r="AG2" s="2716">
        <f>+'B-FCE'!AH50</f>
        <v>29.107638888888889</v>
      </c>
      <c r="AH2" s="2716">
        <f>+'B-FCE'!AI50</f>
        <v>221.01686746987951</v>
      </c>
      <c r="AI2" s="2716">
        <f>+'B-FCE'!AJ50</f>
        <v>235.67722222222221</v>
      </c>
      <c r="AJ2" s="2716">
        <f>+'B-FCE'!AK50</f>
        <v>30.000000000000004</v>
      </c>
      <c r="AK2" s="2716">
        <f>+'B-FCE'!AL50</f>
        <v>30.697916666666668</v>
      </c>
      <c r="AL2" s="2716">
        <f>+'B-FCE'!AM50</f>
        <v>89</v>
      </c>
      <c r="AM2" s="2716">
        <f>+'B-FCE'!AN50</f>
        <v>86.736111111111114</v>
      </c>
      <c r="AN2" s="2716">
        <f>+'B-FCE'!AO50</f>
        <v>251.01686746987951</v>
      </c>
      <c r="AO2" s="2716">
        <f>+'B-FCE'!AP50</f>
        <v>266.3751388888889</v>
      </c>
      <c r="AP2" s="2716">
        <f>+'B-FCE'!AQ50</f>
        <v>30</v>
      </c>
      <c r="AQ2" s="2716">
        <f>+'B-FCE'!AR50</f>
        <v>30.413194444444393</v>
      </c>
      <c r="AR2" s="2716">
        <f>+'B-FCE'!AS50</f>
        <v>281.01686746987951</v>
      </c>
      <c r="AS2" s="2716">
        <f>+'B-FCE'!AT50</f>
        <v>296.7883333333333</v>
      </c>
      <c r="AT2" s="2716">
        <f>+'B-FCE'!AU50</f>
        <v>27</v>
      </c>
      <c r="AU2" s="2716">
        <f>+'B-FCE'!AV50</f>
        <v>27.576388888888886</v>
      </c>
      <c r="AV2" s="2716">
        <f>+'B-FCE'!AW50</f>
        <v>308.01686746987951</v>
      </c>
      <c r="AW2" s="2716">
        <f>+'B-FCE'!AX50</f>
        <v>324.36472222222221</v>
      </c>
      <c r="AX2" s="2716">
        <f>+'B-FCE'!AY50</f>
        <v>30</v>
      </c>
      <c r="AY2" s="2716">
        <f>+'B-FCE'!AZ50</f>
        <v>29.972222222222232</v>
      </c>
      <c r="AZ2" s="2716">
        <f>+'B-FCE'!BA50</f>
        <v>87</v>
      </c>
      <c r="BA2" s="2716">
        <f>+'B-FCE'!BB50</f>
        <v>87.961805555555515</v>
      </c>
      <c r="BB2" s="2716">
        <f>+'B-FCE'!BC50</f>
        <v>176</v>
      </c>
      <c r="BC2" s="2716">
        <f>+'B-FCE'!BD50</f>
        <v>174.69791666666663</v>
      </c>
      <c r="BD2" s="2716">
        <f>+'B-FCE'!BE50</f>
        <v>338.01686746987951</v>
      </c>
      <c r="BE2" s="2716">
        <f>+'B-FCE'!BF50</f>
        <v>354.33694444444444</v>
      </c>
    </row>
    <row r="3" spans="2:62" ht="15.75" thickBot="1" x14ac:dyDescent="0.3">
      <c r="B3" s="43"/>
      <c r="C3" s="43" t="s">
        <v>475</v>
      </c>
      <c r="D3" s="2716">
        <v>30</v>
      </c>
      <c r="E3" s="2716">
        <v>30</v>
      </c>
      <c r="F3" s="2716">
        <v>31</v>
      </c>
      <c r="G3" s="2716">
        <v>31</v>
      </c>
      <c r="H3" s="2716">
        <f>+D3+F3</f>
        <v>61</v>
      </c>
      <c r="I3" s="2716">
        <f>+E3+G3</f>
        <v>61</v>
      </c>
      <c r="J3" s="2716">
        <v>30</v>
      </c>
      <c r="K3" s="2716">
        <v>30</v>
      </c>
      <c r="L3" s="2716">
        <f>+H3+J3</f>
        <v>91</v>
      </c>
      <c r="M3" s="2716">
        <f>+I3+K3</f>
        <v>91</v>
      </c>
      <c r="N3" s="2716">
        <v>31</v>
      </c>
      <c r="O3" s="2716">
        <v>31</v>
      </c>
      <c r="P3" s="2716">
        <f>+L3+N3</f>
        <v>122</v>
      </c>
      <c r="Q3" s="2716">
        <f>+M3+O3</f>
        <v>122</v>
      </c>
      <c r="R3" s="2716">
        <v>31</v>
      </c>
      <c r="S3" s="2716">
        <v>31</v>
      </c>
      <c r="T3" s="2716">
        <f>+P3+R3</f>
        <v>153</v>
      </c>
      <c r="U3" s="2716">
        <f>+Q3+S3</f>
        <v>153</v>
      </c>
      <c r="V3" s="2716">
        <v>30</v>
      </c>
      <c r="W3" s="2716">
        <v>30</v>
      </c>
      <c r="X3" s="2716">
        <f>+N3+R3+V3</f>
        <v>92</v>
      </c>
      <c r="Y3" s="2716">
        <f>+O3+S3+W3</f>
        <v>92</v>
      </c>
      <c r="Z3" s="2716">
        <f>+T3+V3</f>
        <v>183</v>
      </c>
      <c r="AA3" s="2716">
        <f>+U3+W3</f>
        <v>183</v>
      </c>
      <c r="AB3" s="2716">
        <v>31</v>
      </c>
      <c r="AC3" s="2716">
        <v>31</v>
      </c>
      <c r="AD3" s="2716">
        <f>+Z3+AB3</f>
        <v>214</v>
      </c>
      <c r="AE3" s="2716">
        <f>+AA3+AC3</f>
        <v>214</v>
      </c>
      <c r="AF3" s="2716">
        <v>30</v>
      </c>
      <c r="AG3" s="2716">
        <v>30</v>
      </c>
      <c r="AH3" s="2716">
        <f>+AD3+AF3</f>
        <v>244</v>
      </c>
      <c r="AI3" s="2716">
        <f>+AE3+AG3</f>
        <v>244</v>
      </c>
      <c r="AJ3" s="2716">
        <v>31</v>
      </c>
      <c r="AK3" s="2716">
        <v>31</v>
      </c>
      <c r="AL3" s="2716">
        <f>+AB3+AF3+AJ3</f>
        <v>92</v>
      </c>
      <c r="AM3" s="2716">
        <f>+AC3+AG3+AK3</f>
        <v>92</v>
      </c>
      <c r="AN3" s="2716">
        <f>+AH3+AJ3</f>
        <v>275</v>
      </c>
      <c r="AO3" s="2716">
        <f>+AI3+AK3</f>
        <v>275</v>
      </c>
      <c r="AP3" s="2716">
        <v>31</v>
      </c>
      <c r="AQ3" s="2716">
        <v>31</v>
      </c>
      <c r="AR3" s="2716">
        <f>+AN3+AP3</f>
        <v>306</v>
      </c>
      <c r="AS3" s="2716">
        <f>+AO3+AQ3</f>
        <v>306</v>
      </c>
      <c r="AT3" s="2716">
        <v>28</v>
      </c>
      <c r="AU3" s="2716">
        <v>28</v>
      </c>
      <c r="AV3" s="2716">
        <f>+AR3+AT3</f>
        <v>334</v>
      </c>
      <c r="AW3" s="2716">
        <f>+AS3+AU3</f>
        <v>334</v>
      </c>
      <c r="AX3" s="2716">
        <v>31</v>
      </c>
      <c r="AY3" s="2716">
        <v>31</v>
      </c>
      <c r="AZ3" s="2716">
        <f>+AP3+AT3+AX3</f>
        <v>90</v>
      </c>
      <c r="BA3" s="2716">
        <f>+AQ3+AU3+AY3</f>
        <v>90</v>
      </c>
      <c r="BB3" s="2716">
        <f>AZ3+AL3</f>
        <v>182</v>
      </c>
      <c r="BC3" s="2716">
        <f>BA3+AM3</f>
        <v>182</v>
      </c>
      <c r="BD3" s="2716">
        <f>+AV3+AX3</f>
        <v>365</v>
      </c>
      <c r="BE3" s="2716">
        <f>+AW3+AY3</f>
        <v>365</v>
      </c>
    </row>
    <row r="4" spans="2:62" ht="16.5" thickTop="1" thickBot="1" x14ac:dyDescent="0.3">
      <c r="B4" s="8221" t="s">
        <v>171</v>
      </c>
      <c r="C4" s="8216" t="s">
        <v>172</v>
      </c>
      <c r="D4" s="7768" t="s">
        <v>2319</v>
      </c>
      <c r="E4" s="7838"/>
      <c r="F4" s="7768" t="s">
        <v>1956</v>
      </c>
      <c r="G4" s="7768"/>
      <c r="H4" s="7766" t="s">
        <v>14</v>
      </c>
      <c r="I4" s="7767"/>
      <c r="J4" s="7780" t="s">
        <v>1986</v>
      </c>
      <c r="K4" s="7777"/>
      <c r="L4" s="7781" t="s">
        <v>607</v>
      </c>
      <c r="M4" s="8223"/>
      <c r="N4" s="7780" t="s">
        <v>2008</v>
      </c>
      <c r="O4" s="7777"/>
      <c r="P4" s="8201" t="s">
        <v>17</v>
      </c>
      <c r="Q4" s="8202"/>
      <c r="R4" s="7780" t="s">
        <v>2011</v>
      </c>
      <c r="S4" s="7777"/>
      <c r="T4" s="8201" t="s">
        <v>18</v>
      </c>
      <c r="U4" s="8202"/>
      <c r="V4" s="7780" t="s">
        <v>2042</v>
      </c>
      <c r="W4" s="7777"/>
      <c r="X4" s="7781" t="s">
        <v>629</v>
      </c>
      <c r="Y4" s="7770"/>
      <c r="Z4" s="7814" t="s">
        <v>626</v>
      </c>
      <c r="AA4" s="7772"/>
      <c r="AB4" s="7780" t="s">
        <v>2067</v>
      </c>
      <c r="AC4" s="7777"/>
      <c r="AD4" s="8201" t="s">
        <v>24</v>
      </c>
      <c r="AE4" s="8202"/>
      <c r="AF4" s="7780" t="s">
        <v>2170</v>
      </c>
      <c r="AG4" s="7777"/>
      <c r="AH4" s="8201" t="s">
        <v>27</v>
      </c>
      <c r="AI4" s="8202"/>
      <c r="AJ4" s="7780" t="s">
        <v>2194</v>
      </c>
      <c r="AK4" s="7777"/>
      <c r="AL4" s="7781" t="s">
        <v>631</v>
      </c>
      <c r="AM4" s="7770"/>
      <c r="AN4" s="8201" t="s">
        <v>1575</v>
      </c>
      <c r="AO4" s="8202"/>
      <c r="AP4" s="7780" t="s">
        <v>2206</v>
      </c>
      <c r="AQ4" s="7777"/>
      <c r="AR4" s="8201" t="s">
        <v>28</v>
      </c>
      <c r="AS4" s="8202"/>
      <c r="AT4" s="7780" t="s">
        <v>2243</v>
      </c>
      <c r="AU4" s="7777"/>
      <c r="AV4" s="8201" t="s">
        <v>30</v>
      </c>
      <c r="AW4" s="8202"/>
      <c r="AX4" s="7780" t="s">
        <v>2261</v>
      </c>
      <c r="AY4" s="7777"/>
      <c r="AZ4" s="7781" t="s">
        <v>632</v>
      </c>
      <c r="BA4" s="7770"/>
      <c r="BB4" s="7814" t="s">
        <v>638</v>
      </c>
      <c r="BC4" s="7772"/>
      <c r="BD4" s="8201" t="s">
        <v>1984</v>
      </c>
      <c r="BE4" s="8202"/>
    </row>
    <row r="5" spans="2:62" ht="15.75" thickBot="1" x14ac:dyDescent="0.3">
      <c r="B5" s="8222"/>
      <c r="C5" s="7776"/>
      <c r="D5" s="211" t="s">
        <v>173</v>
      </c>
      <c r="E5" s="146" t="s">
        <v>174</v>
      </c>
      <c r="F5" s="515" t="s">
        <v>173</v>
      </c>
      <c r="G5" s="167" t="s">
        <v>174</v>
      </c>
      <c r="H5" s="136" t="s">
        <v>173</v>
      </c>
      <c r="I5" s="203" t="s">
        <v>174</v>
      </c>
      <c r="J5" s="1456" t="s">
        <v>173</v>
      </c>
      <c r="K5" s="376" t="s">
        <v>174</v>
      </c>
      <c r="L5" s="661" t="s">
        <v>173</v>
      </c>
      <c r="M5" s="653" t="s">
        <v>174</v>
      </c>
      <c r="N5" s="1456" t="s">
        <v>173</v>
      </c>
      <c r="O5" s="376" t="s">
        <v>174</v>
      </c>
      <c r="P5" s="1487" t="s">
        <v>173</v>
      </c>
      <c r="Q5" s="1488" t="s">
        <v>174</v>
      </c>
      <c r="R5" s="1456" t="s">
        <v>173</v>
      </c>
      <c r="S5" s="376" t="s">
        <v>174</v>
      </c>
      <c r="T5" s="4365" t="s">
        <v>173</v>
      </c>
      <c r="U5" s="1488" t="s">
        <v>174</v>
      </c>
      <c r="V5" s="1456" t="s">
        <v>173</v>
      </c>
      <c r="W5" s="167" t="s">
        <v>174</v>
      </c>
      <c r="X5" s="661" t="s">
        <v>173</v>
      </c>
      <c r="Y5" s="159" t="s">
        <v>174</v>
      </c>
      <c r="Z5" s="662" t="s">
        <v>173</v>
      </c>
      <c r="AA5" s="473" t="s">
        <v>174</v>
      </c>
      <c r="AB5" s="1456" t="s">
        <v>173</v>
      </c>
      <c r="AC5" s="167" t="s">
        <v>174</v>
      </c>
      <c r="AD5" s="2458" t="s">
        <v>173</v>
      </c>
      <c r="AE5" s="1488" t="s">
        <v>174</v>
      </c>
      <c r="AF5" s="1456" t="s">
        <v>173</v>
      </c>
      <c r="AG5" s="167" t="s">
        <v>174</v>
      </c>
      <c r="AH5" s="2488" t="s">
        <v>173</v>
      </c>
      <c r="AI5" s="1488" t="s">
        <v>174</v>
      </c>
      <c r="AJ5" s="1456" t="s">
        <v>173</v>
      </c>
      <c r="AK5" s="167" t="s">
        <v>174</v>
      </c>
      <c r="AL5" s="2573" t="s">
        <v>173</v>
      </c>
      <c r="AM5" s="159" t="s">
        <v>174</v>
      </c>
      <c r="AN5" s="2571" t="s">
        <v>173</v>
      </c>
      <c r="AO5" s="1488" t="s">
        <v>174</v>
      </c>
      <c r="AP5" s="1456" t="s">
        <v>173</v>
      </c>
      <c r="AQ5" s="167" t="s">
        <v>174</v>
      </c>
      <c r="AR5" s="2615" t="s">
        <v>173</v>
      </c>
      <c r="AS5" s="1488" t="s">
        <v>174</v>
      </c>
      <c r="AT5" s="1456" t="s">
        <v>173</v>
      </c>
      <c r="AU5" s="167" t="s">
        <v>174</v>
      </c>
      <c r="AV5" s="2644" t="s">
        <v>173</v>
      </c>
      <c r="AW5" s="1488" t="s">
        <v>174</v>
      </c>
      <c r="AX5" s="1456" t="s">
        <v>173</v>
      </c>
      <c r="AY5" s="167" t="s">
        <v>174</v>
      </c>
      <c r="AZ5" s="2850" t="s">
        <v>173</v>
      </c>
      <c r="BA5" s="159" t="s">
        <v>174</v>
      </c>
      <c r="BB5" s="2851" t="s">
        <v>173</v>
      </c>
      <c r="BC5" s="473" t="s">
        <v>174</v>
      </c>
      <c r="BD5" s="2858" t="s">
        <v>173</v>
      </c>
      <c r="BE5" s="1488" t="s">
        <v>174</v>
      </c>
    </row>
    <row r="6" spans="2:62" ht="23.85" customHeight="1" thickTop="1" x14ac:dyDescent="0.3">
      <c r="B6" s="894" t="s">
        <v>434</v>
      </c>
      <c r="C6" s="200"/>
      <c r="D6" s="3413"/>
      <c r="E6" s="3414"/>
      <c r="F6" s="3413"/>
      <c r="G6" s="3414"/>
      <c r="H6" s="200"/>
      <c r="I6" s="200"/>
      <c r="J6" s="3413"/>
      <c r="K6" s="3414"/>
      <c r="L6" s="128"/>
      <c r="M6" s="128"/>
      <c r="N6" s="3413"/>
      <c r="O6" s="3414"/>
      <c r="P6" s="128"/>
      <c r="Q6" s="128"/>
      <c r="R6" s="3413"/>
      <c r="S6" s="3414"/>
      <c r="T6" s="128"/>
      <c r="U6" s="128"/>
      <c r="V6" s="3413"/>
      <c r="W6" s="3414"/>
      <c r="X6" s="128"/>
      <c r="Y6" s="128"/>
      <c r="Z6" s="128"/>
      <c r="AA6" s="128"/>
      <c r="AB6" s="3413"/>
      <c r="AC6" s="3414"/>
      <c r="AD6" s="128"/>
      <c r="AE6" s="128"/>
      <c r="AF6" s="3413"/>
      <c r="AG6" s="3414"/>
      <c r="AH6" s="128"/>
      <c r="AI6" s="128"/>
      <c r="AJ6" s="3413"/>
      <c r="AK6" s="3414"/>
      <c r="AL6" s="128"/>
      <c r="AM6" s="128"/>
      <c r="AN6" s="128"/>
      <c r="AO6" s="6634"/>
      <c r="AP6" s="3413"/>
      <c r="AQ6" s="3414"/>
      <c r="AR6" s="128"/>
      <c r="AS6" s="128"/>
      <c r="AT6" s="3413"/>
      <c r="AU6" s="3414"/>
      <c r="AV6" s="128"/>
      <c r="AW6" s="128"/>
      <c r="AX6" s="3413"/>
      <c r="AY6" s="3414"/>
      <c r="AZ6" s="128"/>
      <c r="BA6" s="128"/>
      <c r="BB6" s="128"/>
      <c r="BC6" s="128"/>
      <c r="BD6" s="128"/>
      <c r="BE6" s="128"/>
      <c r="BF6" s="25"/>
      <c r="BG6" s="25"/>
      <c r="BH6" s="25"/>
      <c r="BI6" s="25"/>
      <c r="BJ6" s="25"/>
    </row>
    <row r="7" spans="2:62" ht="19.5" thickBot="1" x14ac:dyDescent="0.3">
      <c r="B7" s="3418" t="s">
        <v>383</v>
      </c>
      <c r="C7" s="3419"/>
      <c r="D7" s="3420"/>
      <c r="E7" s="3421"/>
      <c r="F7" s="3420"/>
      <c r="G7" s="3421"/>
      <c r="H7" s="3419"/>
      <c r="I7" s="3419"/>
      <c r="J7" s="3420"/>
      <c r="K7" s="3421"/>
      <c r="L7" s="7"/>
      <c r="M7" s="391"/>
      <c r="N7" s="3420"/>
      <c r="O7" s="3421"/>
      <c r="P7" s="7"/>
      <c r="Q7" s="391"/>
      <c r="R7" s="3420"/>
      <c r="S7" s="3421"/>
      <c r="T7" s="7"/>
      <c r="U7" s="391"/>
      <c r="V7" s="3420"/>
      <c r="W7" s="3421"/>
      <c r="X7" s="7"/>
      <c r="Y7" s="391"/>
      <c r="Z7" s="7"/>
      <c r="AA7" s="391"/>
      <c r="AB7" s="3420"/>
      <c r="AC7" s="3421"/>
      <c r="AD7" s="7"/>
      <c r="AE7" s="391"/>
      <c r="AF7" s="3420"/>
      <c r="AG7" s="3421"/>
      <c r="AH7" s="7"/>
      <c r="AI7" s="391"/>
      <c r="AJ7" s="3420"/>
      <c r="AK7" s="3421"/>
      <c r="AL7" s="7"/>
      <c r="AM7" s="391"/>
      <c r="AN7" s="7"/>
      <c r="AO7" s="391"/>
      <c r="AP7" s="3420"/>
      <c r="AQ7" s="3421"/>
      <c r="AR7" s="7"/>
      <c r="AS7" s="391"/>
      <c r="AT7" s="3420"/>
      <c r="AU7" s="3421"/>
      <c r="AV7" s="7"/>
      <c r="AW7" s="391"/>
      <c r="AX7" s="3420"/>
      <c r="AY7" s="3421"/>
      <c r="AZ7" s="7"/>
      <c r="BA7" s="391"/>
      <c r="BB7" s="7"/>
      <c r="BC7" s="391"/>
      <c r="BD7" s="7"/>
      <c r="BE7" s="391"/>
      <c r="BF7" s="25"/>
      <c r="BG7" s="25"/>
      <c r="BH7" s="25"/>
      <c r="BI7" s="25"/>
      <c r="BJ7" s="25"/>
    </row>
    <row r="8" spans="2:62" x14ac:dyDescent="0.25">
      <c r="B8" s="8226" t="s">
        <v>376</v>
      </c>
      <c r="C8" s="85" t="s">
        <v>375</v>
      </c>
      <c r="D8" s="8203"/>
      <c r="E8" s="256">
        <v>10972.5</v>
      </c>
      <c r="F8" s="8203"/>
      <c r="G8" s="256">
        <v>10154.1</v>
      </c>
      <c r="H8" s="8232"/>
      <c r="I8" s="392">
        <f>+E8+G8</f>
        <v>21126.6</v>
      </c>
      <c r="J8" s="8203"/>
      <c r="K8" s="256">
        <v>11468.4</v>
      </c>
      <c r="L8" s="8208"/>
      <c r="M8" s="401">
        <f>E8+G8+K8</f>
        <v>32595</v>
      </c>
      <c r="N8" s="8203"/>
      <c r="O8" s="256">
        <v>12012.4</v>
      </c>
      <c r="P8" s="8206"/>
      <c r="Q8" s="392">
        <f>+M8+O8</f>
        <v>44607.4</v>
      </c>
      <c r="R8" s="8203"/>
      <c r="S8" s="256">
        <v>11673</v>
      </c>
      <c r="T8" s="8206"/>
      <c r="U8" s="392">
        <f>+Q8+S8</f>
        <v>56280.4</v>
      </c>
      <c r="V8" s="8203"/>
      <c r="W8" s="256">
        <v>11383.6</v>
      </c>
      <c r="X8" s="8208"/>
      <c r="Y8" s="401">
        <f t="shared" ref="Y8" si="0">+O8+S8+W8</f>
        <v>35069</v>
      </c>
      <c r="Z8" s="8212"/>
      <c r="AA8" s="477">
        <f>M8+Y8</f>
        <v>67664</v>
      </c>
      <c r="AB8" s="8203"/>
      <c r="AC8" s="256">
        <v>10642.9</v>
      </c>
      <c r="AD8" s="8206"/>
      <c r="AE8" s="392">
        <f>+AA8+AC8</f>
        <v>78306.899999999994</v>
      </c>
      <c r="AF8" s="8203"/>
      <c r="AG8" s="256">
        <v>11708.9</v>
      </c>
      <c r="AH8" s="8206"/>
      <c r="AI8" s="392">
        <f>+AE8+AG8</f>
        <v>90015.799999999988</v>
      </c>
      <c r="AJ8" s="8203"/>
      <c r="AK8" s="256">
        <v>11445.4</v>
      </c>
      <c r="AL8" s="8208"/>
      <c r="AM8" s="401">
        <f t="shared" ref="AM8" si="1">+AC8+AG8+AK8</f>
        <v>33797.199999999997</v>
      </c>
      <c r="AN8" s="8206"/>
      <c r="AO8" s="392">
        <f>+AI8+AK8</f>
        <v>101461.19999999998</v>
      </c>
      <c r="AP8" s="8203"/>
      <c r="AQ8" s="256">
        <v>10577.7</v>
      </c>
      <c r="AR8" s="8206"/>
      <c r="AS8" s="392">
        <f>+AO8+AQ8</f>
        <v>112038.89999999998</v>
      </c>
      <c r="AT8" s="8203"/>
      <c r="AU8" s="256">
        <v>9685.7000000000007</v>
      </c>
      <c r="AV8" s="8206"/>
      <c r="AW8" s="392">
        <f>+AS8+AU8</f>
        <v>121724.59999999998</v>
      </c>
      <c r="AX8" s="8203"/>
      <c r="AY8" s="256">
        <v>10958.7</v>
      </c>
      <c r="AZ8" s="8208"/>
      <c r="BA8" s="401">
        <f t="shared" ref="BA8" si="2">+AQ8+AU8+AY8</f>
        <v>31222.100000000002</v>
      </c>
      <c r="BB8" s="8212"/>
      <c r="BC8" s="671">
        <f t="shared" ref="BC8" si="3">+AM8+BA8</f>
        <v>65019.3</v>
      </c>
      <c r="BD8" s="8206"/>
      <c r="BE8" s="392">
        <f>+AW8+AY8</f>
        <v>132683.29999999999</v>
      </c>
      <c r="BF8" s="502"/>
      <c r="BG8" s="502"/>
      <c r="BH8" s="25"/>
      <c r="BI8" s="25"/>
      <c r="BJ8" s="25"/>
    </row>
    <row r="9" spans="2:62" ht="15.75" thickBot="1" x14ac:dyDescent="0.3">
      <c r="B9" s="8219"/>
      <c r="C9" s="18" t="s">
        <v>374</v>
      </c>
      <c r="D9" s="8204"/>
      <c r="E9" s="640">
        <f>+E8/E$3/24</f>
        <v>15.239583333333334</v>
      </c>
      <c r="F9" s="8204"/>
      <c r="G9" s="640">
        <f>+G8/G$3/24</f>
        <v>13.647983870967742</v>
      </c>
      <c r="H9" s="8207"/>
      <c r="I9" s="393">
        <f>+I8/I$3/24</f>
        <v>14.430737704918032</v>
      </c>
      <c r="J9" s="8204"/>
      <c r="K9" s="640">
        <f>+K8/K$3/24</f>
        <v>15.928333333333333</v>
      </c>
      <c r="L9" s="8209"/>
      <c r="M9" s="402">
        <f>+M8/M$3/24</f>
        <v>14.924450549450549</v>
      </c>
      <c r="N9" s="8204"/>
      <c r="O9" s="640">
        <f>+O8/O$3/24</f>
        <v>16.145698924731182</v>
      </c>
      <c r="P9" s="8207"/>
      <c r="Q9" s="393">
        <f>+Q8/Q$3/24</f>
        <v>15.234767759562843</v>
      </c>
      <c r="R9" s="8204"/>
      <c r="S9" s="640">
        <f>+S8/S$3/24</f>
        <v>15.689516129032258</v>
      </c>
      <c r="T9" s="8207"/>
      <c r="U9" s="393">
        <f>+U8/U$3/24</f>
        <v>15.32690631808279</v>
      </c>
      <c r="V9" s="8204"/>
      <c r="W9" s="640">
        <f>+W8/W$3/24</f>
        <v>15.810555555555554</v>
      </c>
      <c r="X9" s="8209"/>
      <c r="Y9" s="402">
        <f>+Y8/Y$3/24</f>
        <v>15.882699275362318</v>
      </c>
      <c r="Z9" s="8213"/>
      <c r="AA9" s="478">
        <f>+AA8/AA$3/24</f>
        <v>15.406193078324227</v>
      </c>
      <c r="AB9" s="8204"/>
      <c r="AC9" s="640">
        <f>+AC8/AC$3/24</f>
        <v>14.30497311827957</v>
      </c>
      <c r="AD9" s="8207"/>
      <c r="AE9" s="393">
        <f>+AE8/AE$3/24</f>
        <v>15.246670560747662</v>
      </c>
      <c r="AF9" s="8204"/>
      <c r="AG9" s="640">
        <f>+AG8/AG$3/24</f>
        <v>16.262361111111112</v>
      </c>
      <c r="AH9" s="8207"/>
      <c r="AI9" s="393">
        <f>+AI8/AI$3/24</f>
        <v>15.371550546448086</v>
      </c>
      <c r="AJ9" s="8204"/>
      <c r="AK9" s="640">
        <f>+AK8/AK$3/24</f>
        <v>15.383602150537634</v>
      </c>
      <c r="AL9" s="8209"/>
      <c r="AM9" s="402">
        <f>+AM8/AM$3/24</f>
        <v>15.306702898550723</v>
      </c>
      <c r="AN9" s="8207"/>
      <c r="AO9" s="393">
        <f>+AO8/AO$3/24</f>
        <v>15.372909090909088</v>
      </c>
      <c r="AP9" s="8204"/>
      <c r="AQ9" s="640">
        <f>+AQ8/AQ$3/24</f>
        <v>14.217338709677421</v>
      </c>
      <c r="AR9" s="8207"/>
      <c r="AS9" s="393">
        <f>+AS8/AS$3/24</f>
        <v>15.255841503267972</v>
      </c>
      <c r="AT9" s="8204"/>
      <c r="AU9" s="640">
        <f>+AU8/AU$3/24</f>
        <v>14.413244047619047</v>
      </c>
      <c r="AV9" s="8207"/>
      <c r="AW9" s="393">
        <f>+AW8/AW$3/24</f>
        <v>15.18520459081836</v>
      </c>
      <c r="AX9" s="8204"/>
      <c r="AY9" s="640">
        <f>+AY8/AY$3/24</f>
        <v>14.72943548387097</v>
      </c>
      <c r="AZ9" s="8209"/>
      <c r="BA9" s="402">
        <f>+BA8/BA$3/24</f>
        <v>14.454675925925926</v>
      </c>
      <c r="BB9" s="8213"/>
      <c r="BC9" s="478">
        <f>+BC8/BC$3/24</f>
        <v>14.885370879120879</v>
      </c>
      <c r="BD9" s="8207"/>
      <c r="BE9" s="393">
        <f>+BE8/BE$3/24</f>
        <v>15.146495433789953</v>
      </c>
      <c r="BF9" s="502"/>
      <c r="BG9" s="502"/>
      <c r="BH9" s="25"/>
      <c r="BI9" s="25"/>
      <c r="BJ9" s="25"/>
    </row>
    <row r="10" spans="2:62" x14ac:dyDescent="0.25">
      <c r="B10" s="8219" t="s">
        <v>377</v>
      </c>
      <c r="C10" s="17" t="s">
        <v>375</v>
      </c>
      <c r="D10" s="8204"/>
      <c r="E10" s="170">
        <v>11148.8</v>
      </c>
      <c r="F10" s="8204"/>
      <c r="G10" s="170">
        <v>10534.9</v>
      </c>
      <c r="H10" s="8207"/>
      <c r="I10" s="346">
        <f>+E10+G10</f>
        <v>21683.699999999997</v>
      </c>
      <c r="J10" s="8204"/>
      <c r="K10" s="170">
        <v>11245.4</v>
      </c>
      <c r="L10" s="8209"/>
      <c r="M10" s="401">
        <f>E10+G10+K10</f>
        <v>32929.1</v>
      </c>
      <c r="N10" s="8204"/>
      <c r="O10" s="170">
        <v>12133.5</v>
      </c>
      <c r="P10" s="8207"/>
      <c r="Q10" s="346">
        <f>+M10+O10</f>
        <v>45062.6</v>
      </c>
      <c r="R10" s="8204"/>
      <c r="S10" s="170">
        <v>11836.7</v>
      </c>
      <c r="T10" s="8207"/>
      <c r="U10" s="346">
        <f>+Q10+S10</f>
        <v>56899.3</v>
      </c>
      <c r="V10" s="8204"/>
      <c r="W10" s="170">
        <v>11243.3</v>
      </c>
      <c r="X10" s="8209"/>
      <c r="Y10" s="403">
        <f t="shared" ref="Y10" si="4">+O10+S10+W10</f>
        <v>35213.5</v>
      </c>
      <c r="Z10" s="8213"/>
      <c r="AA10" s="477">
        <f>M10+Y10</f>
        <v>68142.600000000006</v>
      </c>
      <c r="AB10" s="8204"/>
      <c r="AC10" s="170">
        <v>10538.6</v>
      </c>
      <c r="AD10" s="8207"/>
      <c r="AE10" s="346">
        <f>+AA10+AC10</f>
        <v>78681.200000000012</v>
      </c>
      <c r="AF10" s="8204"/>
      <c r="AG10" s="170">
        <v>10998</v>
      </c>
      <c r="AH10" s="8207"/>
      <c r="AI10" s="346">
        <f>+AE10+AG10</f>
        <v>89679.200000000012</v>
      </c>
      <c r="AJ10" s="8204"/>
      <c r="AK10" s="170">
        <v>10711.7</v>
      </c>
      <c r="AL10" s="8209"/>
      <c r="AM10" s="403">
        <f t="shared" ref="AM10" si="5">+AC10+AG10+AK10</f>
        <v>32248.3</v>
      </c>
      <c r="AN10" s="8207"/>
      <c r="AO10" s="346">
        <f>+AI10+AK10</f>
        <v>100390.90000000001</v>
      </c>
      <c r="AP10" s="8204"/>
      <c r="AQ10" s="170">
        <v>10307.6</v>
      </c>
      <c r="AR10" s="8207"/>
      <c r="AS10" s="346">
        <f>+AO10+AQ10</f>
        <v>110698.50000000001</v>
      </c>
      <c r="AT10" s="8204"/>
      <c r="AU10" s="170">
        <v>9783.4</v>
      </c>
      <c r="AV10" s="8207"/>
      <c r="AW10" s="346">
        <f>+AS10+AU10</f>
        <v>120481.90000000001</v>
      </c>
      <c r="AX10" s="8204"/>
      <c r="AY10" s="170">
        <v>10080.799999999999</v>
      </c>
      <c r="AZ10" s="8209"/>
      <c r="BA10" s="403">
        <f t="shared" ref="BA10" si="6">+AQ10+AU10+AY10</f>
        <v>30171.8</v>
      </c>
      <c r="BB10" s="8213"/>
      <c r="BC10" s="671">
        <f t="shared" ref="BC10" si="7">+AM10+BA10</f>
        <v>62420.1</v>
      </c>
      <c r="BD10" s="8207"/>
      <c r="BE10" s="346">
        <f>+AW10+AY10</f>
        <v>130562.70000000001</v>
      </c>
      <c r="BF10" s="502"/>
      <c r="BG10" s="502"/>
      <c r="BH10" s="25"/>
      <c r="BI10" s="25"/>
      <c r="BJ10" s="25"/>
    </row>
    <row r="11" spans="2:62" ht="15.75" thickBot="1" x14ac:dyDescent="0.3">
      <c r="B11" s="8219"/>
      <c r="C11" s="18" t="s">
        <v>374</v>
      </c>
      <c r="D11" s="8204"/>
      <c r="E11" s="640">
        <f>+E10/E$3/24</f>
        <v>15.484444444444444</v>
      </c>
      <c r="F11" s="8204"/>
      <c r="G11" s="640">
        <f>+G10/G$3/24</f>
        <v>14.159811827956988</v>
      </c>
      <c r="H11" s="8207"/>
      <c r="I11" s="393">
        <f>+I10/I$3/24</f>
        <v>14.811270491803278</v>
      </c>
      <c r="J11" s="8204"/>
      <c r="K11" s="640">
        <f>+K10/K$3/24</f>
        <v>15.618611111111109</v>
      </c>
      <c r="L11" s="8209"/>
      <c r="M11" s="402">
        <f>+M10/M$3/24</f>
        <v>15.077426739926738</v>
      </c>
      <c r="N11" s="8204"/>
      <c r="O11" s="640">
        <f>+O10/O$3/24</f>
        <v>16.308467741935484</v>
      </c>
      <c r="P11" s="8207"/>
      <c r="Q11" s="393">
        <f>+Q10/Q$3/24</f>
        <v>15.390232240437157</v>
      </c>
      <c r="R11" s="8204"/>
      <c r="S11" s="640">
        <f>+S10/S$3/24</f>
        <v>15.909543010752691</v>
      </c>
      <c r="T11" s="8207"/>
      <c r="U11" s="393">
        <f>+U10/U$3/24</f>
        <v>15.495452069716777</v>
      </c>
      <c r="V11" s="8204"/>
      <c r="W11" s="640">
        <f>+W10/W$3/24</f>
        <v>15.615694444444443</v>
      </c>
      <c r="X11" s="8209"/>
      <c r="Y11" s="402">
        <f>+Y10/Y$3/24</f>
        <v>15.948143115942029</v>
      </c>
      <c r="Z11" s="8213"/>
      <c r="AA11" s="478">
        <f>+AA10/AA$3/24</f>
        <v>15.515163934426232</v>
      </c>
      <c r="AB11" s="8204"/>
      <c r="AC11" s="640">
        <f>+AC10/AC$3/24</f>
        <v>14.164784946236558</v>
      </c>
      <c r="AD11" s="8207"/>
      <c r="AE11" s="393">
        <f>+AE10/AE$3/24</f>
        <v>15.319548286604364</v>
      </c>
      <c r="AF11" s="8204"/>
      <c r="AG11" s="640">
        <f>+AG10/AG$3/24</f>
        <v>15.275</v>
      </c>
      <c r="AH11" s="8207"/>
      <c r="AI11" s="393">
        <f>+AI10/AI$3/24</f>
        <v>15.314071038251369</v>
      </c>
      <c r="AJ11" s="8204"/>
      <c r="AK11" s="640">
        <f>+AK10/AK$3/24</f>
        <v>14.397446236559141</v>
      </c>
      <c r="AL11" s="8209"/>
      <c r="AM11" s="402">
        <f>+AM10/AM$3/24</f>
        <v>14.605208333333332</v>
      </c>
      <c r="AN11" s="8207"/>
      <c r="AO11" s="393">
        <f>+AO10/AO$3/24</f>
        <v>15.210742424242426</v>
      </c>
      <c r="AP11" s="8204"/>
      <c r="AQ11" s="640">
        <f>+AQ10/AQ$3/24</f>
        <v>13.854301075268816</v>
      </c>
      <c r="AR11" s="8207"/>
      <c r="AS11" s="393">
        <f>+AS10/AS$3/24</f>
        <v>15.073325163398694</v>
      </c>
      <c r="AT11" s="8204"/>
      <c r="AU11" s="640">
        <f>+AU10/AU$3/24</f>
        <v>14.558630952380952</v>
      </c>
      <c r="AV11" s="8207"/>
      <c r="AW11" s="393">
        <f>+AW10/AW$3/24</f>
        <v>15.030177145708585</v>
      </c>
      <c r="AX11" s="8204"/>
      <c r="AY11" s="640">
        <f>+AY10/AY$3/24</f>
        <v>13.549462365591397</v>
      </c>
      <c r="AZ11" s="8209"/>
      <c r="BA11" s="402">
        <f>+BA10/BA$3/24</f>
        <v>13.968425925925926</v>
      </c>
      <c r="BB11" s="8213"/>
      <c r="BC11" s="478">
        <f>+BC10/BC$3/24</f>
        <v>14.290315934065935</v>
      </c>
      <c r="BD11" s="8207"/>
      <c r="BE11" s="393">
        <f>+BE10/BE$3/24</f>
        <v>14.904417808219179</v>
      </c>
      <c r="BF11" s="502"/>
      <c r="BG11" s="502"/>
      <c r="BH11" s="25"/>
      <c r="BI11" s="25"/>
      <c r="BJ11" s="25"/>
    </row>
    <row r="12" spans="2:62" x14ac:dyDescent="0.25">
      <c r="B12" s="8219" t="s">
        <v>378</v>
      </c>
      <c r="C12" s="17" t="s">
        <v>375</v>
      </c>
      <c r="D12" s="8204"/>
      <c r="E12" s="170">
        <v>5537.2</v>
      </c>
      <c r="F12" s="8204"/>
      <c r="G12" s="170">
        <v>3121.7</v>
      </c>
      <c r="H12" s="8207"/>
      <c r="I12" s="346">
        <f>+E12+G12</f>
        <v>8658.9</v>
      </c>
      <c r="J12" s="8204"/>
      <c r="K12" s="170">
        <v>5106.3</v>
      </c>
      <c r="L12" s="8209"/>
      <c r="M12" s="401">
        <f>E12+G12+K12</f>
        <v>13765.2</v>
      </c>
      <c r="N12" s="8204"/>
      <c r="O12" s="170">
        <v>6393.4</v>
      </c>
      <c r="P12" s="8207"/>
      <c r="Q12" s="346">
        <f>+M12+O12</f>
        <v>20158.599999999999</v>
      </c>
      <c r="R12" s="8204"/>
      <c r="S12" s="170">
        <v>6200.4</v>
      </c>
      <c r="T12" s="8207"/>
      <c r="U12" s="346">
        <f>+Q12+S12</f>
        <v>26359</v>
      </c>
      <c r="V12" s="8204"/>
      <c r="W12" s="170">
        <v>5223.8999999999996</v>
      </c>
      <c r="X12" s="8209"/>
      <c r="Y12" s="403">
        <f t="shared" ref="Y12" si="8">+O12+S12+W12</f>
        <v>17817.699999999997</v>
      </c>
      <c r="Z12" s="8213"/>
      <c r="AA12" s="477">
        <f>M12+Y12</f>
        <v>31582.899999999998</v>
      </c>
      <c r="AB12" s="8204"/>
      <c r="AC12" s="170">
        <v>5468.1</v>
      </c>
      <c r="AD12" s="8207"/>
      <c r="AE12" s="346">
        <f>+AA12+AC12</f>
        <v>37051</v>
      </c>
      <c r="AF12" s="8204"/>
      <c r="AG12" s="170">
        <v>5732.7</v>
      </c>
      <c r="AH12" s="8207"/>
      <c r="AI12" s="346">
        <f>+AE12+AG12</f>
        <v>42783.7</v>
      </c>
      <c r="AJ12" s="8204"/>
      <c r="AK12" s="170">
        <v>5340</v>
      </c>
      <c r="AL12" s="8209"/>
      <c r="AM12" s="403">
        <f t="shared" ref="AM12" si="9">+AC12+AG12+AK12</f>
        <v>16540.8</v>
      </c>
      <c r="AN12" s="8207"/>
      <c r="AO12" s="346">
        <f>+AI12+AK12</f>
        <v>48123.7</v>
      </c>
      <c r="AP12" s="8204"/>
      <c r="AQ12" s="170">
        <v>5134.6000000000004</v>
      </c>
      <c r="AR12" s="8207"/>
      <c r="AS12" s="346">
        <f>+AO12+AQ12</f>
        <v>53258.299999999996</v>
      </c>
      <c r="AT12" s="8204"/>
      <c r="AU12" s="170">
        <v>1726.6</v>
      </c>
      <c r="AV12" s="8207"/>
      <c r="AW12" s="346">
        <f>+AS12+AU12</f>
        <v>54984.899999999994</v>
      </c>
      <c r="AX12" s="8204"/>
      <c r="AY12" s="170">
        <v>5029.3999999999996</v>
      </c>
      <c r="AZ12" s="8209"/>
      <c r="BA12" s="403">
        <f t="shared" ref="BA12" si="10">+AQ12+AU12+AY12</f>
        <v>11890.6</v>
      </c>
      <c r="BB12" s="8213"/>
      <c r="BC12" s="671">
        <f t="shared" ref="BC12" si="11">+AM12+BA12</f>
        <v>28431.4</v>
      </c>
      <c r="BD12" s="8207"/>
      <c r="BE12" s="346">
        <f>+AW12+AY12</f>
        <v>60014.299999999996</v>
      </c>
      <c r="BF12" s="502"/>
      <c r="BG12" s="502"/>
      <c r="BH12" s="25"/>
      <c r="BI12" s="25"/>
      <c r="BJ12" s="25"/>
    </row>
    <row r="13" spans="2:62" ht="15.75" thickBot="1" x14ac:dyDescent="0.3">
      <c r="B13" s="8220"/>
      <c r="C13" s="19" t="s">
        <v>374</v>
      </c>
      <c r="D13" s="8205"/>
      <c r="E13" s="640">
        <f>+E12/E$3/24</f>
        <v>7.6905555555555551</v>
      </c>
      <c r="F13" s="8205"/>
      <c r="G13" s="640">
        <f>+G12/G$3/24</f>
        <v>4.1958333333333329</v>
      </c>
      <c r="H13" s="8207"/>
      <c r="I13" s="393">
        <f>+I12/I$3/24</f>
        <v>5.9145491803278682</v>
      </c>
      <c r="J13" s="8205"/>
      <c r="K13" s="640">
        <f>+K12/K$3/24</f>
        <v>7.092083333333334</v>
      </c>
      <c r="L13" s="8209"/>
      <c r="M13" s="402">
        <f>+M12/M$3/24</f>
        <v>6.3027472527472526</v>
      </c>
      <c r="N13" s="8205"/>
      <c r="O13" s="640">
        <f>+O12/O$3/24</f>
        <v>8.5932795698924718</v>
      </c>
      <c r="P13" s="8207"/>
      <c r="Q13" s="393">
        <f>+Q12/Q$3/24</f>
        <v>6.8847677595628411</v>
      </c>
      <c r="R13" s="8205"/>
      <c r="S13" s="640">
        <f>+S12/S$3/24</f>
        <v>8.3338709677419356</v>
      </c>
      <c r="T13" s="8207"/>
      <c r="U13" s="393">
        <f>+U12/U$3/24</f>
        <v>7.1783769063180829</v>
      </c>
      <c r="V13" s="8205"/>
      <c r="W13" s="640">
        <f>+W12/W$3/24</f>
        <v>7.2554166666666662</v>
      </c>
      <c r="X13" s="8209"/>
      <c r="Y13" s="402">
        <f>+Y12/Y$3/24</f>
        <v>8.0696105072463755</v>
      </c>
      <c r="Z13" s="8213"/>
      <c r="AA13" s="478">
        <f>+AA12/AA$3/24</f>
        <v>7.191006375227686</v>
      </c>
      <c r="AB13" s="8205"/>
      <c r="AC13" s="640">
        <f>+AC12/AC$3/24</f>
        <v>7.3495967741935493</v>
      </c>
      <c r="AD13" s="8207"/>
      <c r="AE13" s="393">
        <f>+AE12/AE$3/24</f>
        <v>7.2139797507788161</v>
      </c>
      <c r="AF13" s="8205"/>
      <c r="AG13" s="640">
        <f>+AG12/AG$3/24</f>
        <v>7.9620833333333332</v>
      </c>
      <c r="AH13" s="8207"/>
      <c r="AI13" s="393">
        <f>+AI12/AI$3/24</f>
        <v>7.3059596994535516</v>
      </c>
      <c r="AJ13" s="8205"/>
      <c r="AK13" s="640">
        <f>+AK12/AK$3/24</f>
        <v>7.1774193548387091</v>
      </c>
      <c r="AL13" s="8209"/>
      <c r="AM13" s="402">
        <f>+AM12/AM$3/24</f>
        <v>7.4913043478260866</v>
      </c>
      <c r="AN13" s="8207"/>
      <c r="AO13" s="393">
        <f>+AO12/AO$3/24</f>
        <v>7.2914696969696964</v>
      </c>
      <c r="AP13" s="8205"/>
      <c r="AQ13" s="640">
        <f>+AQ12/AQ$3/24</f>
        <v>6.9013440860215063</v>
      </c>
      <c r="AR13" s="8207"/>
      <c r="AS13" s="393">
        <f>+AS12/AS$3/24</f>
        <v>7.2519471677559908</v>
      </c>
      <c r="AT13" s="8205"/>
      <c r="AU13" s="640">
        <f>+AU12/AU$3/24</f>
        <v>2.569345238095238</v>
      </c>
      <c r="AV13" s="8207"/>
      <c r="AW13" s="393">
        <f>+AW12/AW$3/24</f>
        <v>6.8593937125748496</v>
      </c>
      <c r="AX13" s="8205"/>
      <c r="AY13" s="640">
        <f>+AY12/AY$3/24</f>
        <v>6.7599462365591387</v>
      </c>
      <c r="AZ13" s="8209"/>
      <c r="BA13" s="402">
        <f>+BA12/BA$3/24</f>
        <v>5.5049074074074076</v>
      </c>
      <c r="BB13" s="8213"/>
      <c r="BC13" s="478">
        <f>+BC12/BC$3/24</f>
        <v>6.5090201465201467</v>
      </c>
      <c r="BD13" s="8207"/>
      <c r="BE13" s="393">
        <f>+BE12/BE$3/24</f>
        <v>6.8509474885844739</v>
      </c>
      <c r="BF13" s="502"/>
      <c r="BG13" s="502"/>
      <c r="BH13" s="25"/>
      <c r="BI13" s="25"/>
      <c r="BJ13" s="25"/>
    </row>
    <row r="14" spans="2:62" ht="18.75" x14ac:dyDescent="0.25">
      <c r="B14" s="8228" t="s">
        <v>435</v>
      </c>
      <c r="C14" s="33" t="s">
        <v>375</v>
      </c>
      <c r="D14" s="896">
        <f>+D15*D3*24</f>
        <v>18300.02361192973</v>
      </c>
      <c r="E14" s="385">
        <f>+E8+E10+E12</f>
        <v>27658.5</v>
      </c>
      <c r="F14" s="896">
        <f>+F15*F3*24</f>
        <v>26950.27880564905</v>
      </c>
      <c r="G14" s="385">
        <f>+G8+G10+G12</f>
        <v>23810.7</v>
      </c>
      <c r="H14" s="637">
        <f>+D14+F14</f>
        <v>45250.30241757878</v>
      </c>
      <c r="I14" s="394">
        <f>+E14+G14</f>
        <v>51469.2</v>
      </c>
      <c r="J14" s="896">
        <f>+J15*J3*24</f>
        <v>25981.979727601378</v>
      </c>
      <c r="K14" s="385">
        <f>+K8+K10+K12</f>
        <v>27820.1</v>
      </c>
      <c r="L14" s="654">
        <f>D14+F14+J14</f>
        <v>71232.282145180157</v>
      </c>
      <c r="M14" s="404">
        <f>M8+M10+M12</f>
        <v>79289.3</v>
      </c>
      <c r="N14" s="896">
        <f>+N15*N3*24</f>
        <v>27117.180038833758</v>
      </c>
      <c r="O14" s="385">
        <f>+O8+O10+O12</f>
        <v>30539.300000000003</v>
      </c>
      <c r="P14" s="637">
        <f>+L14+N14</f>
        <v>98349.462184013915</v>
      </c>
      <c r="Q14" s="394">
        <f>+M14+O14</f>
        <v>109828.6</v>
      </c>
      <c r="R14" s="896">
        <f>+R15*R3*24</f>
        <v>26603.2684598864</v>
      </c>
      <c r="S14" s="385">
        <f>+S8+S10+S12</f>
        <v>29710.1</v>
      </c>
      <c r="T14" s="637">
        <f>+P14+R14</f>
        <v>124952.73064390032</v>
      </c>
      <c r="U14" s="394">
        <f>+Q14+S14</f>
        <v>139538.70000000001</v>
      </c>
      <c r="V14" s="896">
        <f>+V15*V3*24</f>
        <v>21383.789432978727</v>
      </c>
      <c r="W14" s="385">
        <f>+W8+W10+W12</f>
        <v>27850.800000000003</v>
      </c>
      <c r="X14" s="654">
        <f t="shared" ref="X14" si="12">+N14+R14+V14</f>
        <v>75104.237931698881</v>
      </c>
      <c r="Y14" s="404">
        <f>Y8+Y10+Y12</f>
        <v>88100.2</v>
      </c>
      <c r="Z14" s="897">
        <f>L14+X14</f>
        <v>146336.52007687904</v>
      </c>
      <c r="AA14" s="480">
        <f>M14+Y14</f>
        <v>167389.5</v>
      </c>
      <c r="AB14" s="896">
        <f>+AB15*AB3*24</f>
        <v>26626.163478279537</v>
      </c>
      <c r="AC14" s="385">
        <f>+AC8+AC10+AC12</f>
        <v>26649.599999999999</v>
      </c>
      <c r="AD14" s="637">
        <f>+Z14+AB14</f>
        <v>172962.68355515858</v>
      </c>
      <c r="AE14" s="394">
        <f>+AA14+AC14</f>
        <v>194039.1</v>
      </c>
      <c r="AF14" s="896">
        <f>+AF15*AF3*24</f>
        <v>18860.256185642058</v>
      </c>
      <c r="AG14" s="385">
        <f>+AG8+AG10+AG12</f>
        <v>28439.600000000002</v>
      </c>
      <c r="AH14" s="637">
        <f>+AD14+AF14</f>
        <v>191822.93974080065</v>
      </c>
      <c r="AI14" s="394">
        <f>+AE14+AG14</f>
        <v>222478.7</v>
      </c>
      <c r="AJ14" s="896">
        <f>+AJ15*AJ3*24</f>
        <v>19476.370958590633</v>
      </c>
      <c r="AK14" s="385">
        <f>+AK8+AK10+AK12</f>
        <v>27497.1</v>
      </c>
      <c r="AL14" s="654">
        <f t="shared" ref="AL14" si="13">+AB14+AF14+AJ14</f>
        <v>64962.790622512228</v>
      </c>
      <c r="AM14" s="404">
        <f>AM8+AM10+AM12</f>
        <v>82586.3</v>
      </c>
      <c r="AN14" s="637">
        <f>+AH14+AJ14</f>
        <v>211299.3106993913</v>
      </c>
      <c r="AO14" s="394">
        <f>+AI14+AK14</f>
        <v>249975.80000000002</v>
      </c>
      <c r="AP14" s="896">
        <f>+AP15*AP3*24</f>
        <v>18780.020995829822</v>
      </c>
      <c r="AQ14" s="385">
        <f>+AQ8+AQ10+AQ12</f>
        <v>26019.9</v>
      </c>
      <c r="AR14" s="637">
        <f>+AN14+AP14</f>
        <v>230079.33169522113</v>
      </c>
      <c r="AS14" s="394">
        <f>+AO14+AQ14</f>
        <v>275995.7</v>
      </c>
      <c r="AT14" s="896">
        <f>+AT15*AT3*24</f>
        <v>17326.016885819503</v>
      </c>
      <c r="AU14" s="385">
        <f>+AU8+AU10+AU12</f>
        <v>21195.699999999997</v>
      </c>
      <c r="AV14" s="637">
        <f>+AR14+AT14</f>
        <v>247405.34858104063</v>
      </c>
      <c r="AW14" s="394">
        <f>+AS14+AU14</f>
        <v>297191.40000000002</v>
      </c>
      <c r="AX14" s="896">
        <f>+AX15*AX3*24</f>
        <v>25674.840090383281</v>
      </c>
      <c r="AY14" s="385">
        <f>+AY8+AY10+AY12</f>
        <v>26068.9</v>
      </c>
      <c r="AZ14" s="654">
        <f t="shared" ref="AZ14" si="14">+AP14+AT14+AX14</f>
        <v>61780.877972032606</v>
      </c>
      <c r="BA14" s="404">
        <f>BA8+BA10+BA12</f>
        <v>73284.5</v>
      </c>
      <c r="BB14" s="897">
        <f>AL14+AZ14</f>
        <v>126743.66859454484</v>
      </c>
      <c r="BC14" s="480">
        <f>AM14+BA14</f>
        <v>155870.79999999999</v>
      </c>
      <c r="BD14" s="637">
        <f>+AV14+AX14</f>
        <v>273080.18867142394</v>
      </c>
      <c r="BE14" s="394">
        <f>+AW14+AY14</f>
        <v>323260.30000000005</v>
      </c>
      <c r="BF14" s="502"/>
      <c r="BG14" s="502"/>
      <c r="BH14" s="25"/>
      <c r="BI14" s="25"/>
      <c r="BJ14" s="25"/>
    </row>
    <row r="15" spans="2:62" ht="19.5" thickBot="1" x14ac:dyDescent="0.3">
      <c r="B15" s="8229"/>
      <c r="C15" s="20" t="s">
        <v>374</v>
      </c>
      <c r="D15" s="900">
        <v>25.416699461013515</v>
      </c>
      <c r="E15" s="384">
        <f>+E14/E$3/24</f>
        <v>38.414583333333333</v>
      </c>
      <c r="F15" s="900">
        <v>36.223493018345501</v>
      </c>
      <c r="G15" s="384">
        <f>+G14/G$3/24</f>
        <v>32.003629032258068</v>
      </c>
      <c r="H15" s="898">
        <f>+H14/(H3*24)</f>
        <v>30.908676514739604</v>
      </c>
      <c r="I15" s="395">
        <f>+I14/I$3/24</f>
        <v>35.156557377049175</v>
      </c>
      <c r="J15" s="900">
        <v>36.086082955001913</v>
      </c>
      <c r="K15" s="384">
        <f>+K14/K$3/24</f>
        <v>38.639027777777777</v>
      </c>
      <c r="L15" s="899">
        <f>+L14/(L3*24)</f>
        <v>32.615513802738164</v>
      </c>
      <c r="M15" s="405">
        <f>+M14/M$3/24</f>
        <v>36.304624542124543</v>
      </c>
      <c r="N15" s="900">
        <v>36.447822632841074</v>
      </c>
      <c r="O15" s="384">
        <f>+O14/O$3/24</f>
        <v>41.047446236559146</v>
      </c>
      <c r="P15" s="898">
        <f>+P14/(P3*24)</f>
        <v>33.589297193993822</v>
      </c>
      <c r="Q15" s="395">
        <f>+Q14/Q$3/24</f>
        <v>37.509767759562841</v>
      </c>
      <c r="R15" s="900">
        <v>35.757081263288171</v>
      </c>
      <c r="S15" s="384">
        <f>+S14/S$3/24</f>
        <v>39.932930107526879</v>
      </c>
      <c r="T15" s="898">
        <f>+T14/(T3*24)</f>
        <v>34.02852141718418</v>
      </c>
      <c r="U15" s="395">
        <f>+U14/U$3/24</f>
        <v>38.000735294117653</v>
      </c>
      <c r="V15" s="900">
        <v>29.699707545803786</v>
      </c>
      <c r="W15" s="384">
        <f>+W14/W$3/24</f>
        <v>38.681666666666672</v>
      </c>
      <c r="X15" s="899">
        <f>+X14/(X3*24)</f>
        <v>34.014600512544781</v>
      </c>
      <c r="Y15" s="405">
        <f>+Y14/(Y3*24)</f>
        <v>39.900452898550725</v>
      </c>
      <c r="Z15" s="901">
        <f>+Z14/(Z3*24)</f>
        <v>33.318879798925103</v>
      </c>
      <c r="AA15" s="481">
        <f>+AA14/AA$3/24</f>
        <v>38.112363387978142</v>
      </c>
      <c r="AB15" s="900">
        <v>35.7878541374725</v>
      </c>
      <c r="AC15" s="384">
        <f>+AC14/AC$3/24</f>
        <v>35.819354838709678</v>
      </c>
      <c r="AD15" s="898">
        <f>+AD14/(AD3*24)</f>
        <v>33.676534960116548</v>
      </c>
      <c r="AE15" s="395">
        <f>+AE14/AE$3/24</f>
        <v>37.780198598130845</v>
      </c>
      <c r="AF15" s="900">
        <v>26.194800257836192</v>
      </c>
      <c r="AG15" s="384">
        <f>+AG14/AG$3/24</f>
        <v>39.49944444444445</v>
      </c>
      <c r="AH15" s="898">
        <f>+AH14/(AH3*24)</f>
        <v>32.756649545901752</v>
      </c>
      <c r="AI15" s="395">
        <f>+AI14/AI$3/24</f>
        <v>37.991581284153007</v>
      </c>
      <c r="AJ15" s="900">
        <v>26.177917955094937</v>
      </c>
      <c r="AK15" s="384">
        <f>+AK14/AK$3/24</f>
        <v>36.958467741935486</v>
      </c>
      <c r="AL15" s="899">
        <f>+AL14/(AL3*24)</f>
        <v>29.421553723963871</v>
      </c>
      <c r="AM15" s="405">
        <f>+AM14/(AM3*24)</f>
        <v>37.40321557971015</v>
      </c>
      <c r="AN15" s="898">
        <f>+AN14/(AN3*24)</f>
        <v>32.01504707566535</v>
      </c>
      <c r="AO15" s="395">
        <f>+AO14/AO$3/24</f>
        <v>37.875121212121215</v>
      </c>
      <c r="AP15" s="900">
        <v>25.24196370407234</v>
      </c>
      <c r="AQ15" s="384">
        <f>+AQ14/AQ$3/24</f>
        <v>34.972983870967745</v>
      </c>
      <c r="AR15" s="898">
        <f>+AR14/(AR3*24)</f>
        <v>31.328885034752332</v>
      </c>
      <c r="AS15" s="395">
        <f>+AS14/AS$3/24</f>
        <v>37.581113834422659</v>
      </c>
      <c r="AT15" s="900">
        <v>25.782763222945686</v>
      </c>
      <c r="AU15" s="384">
        <f>+AU14/AU$3/24</f>
        <v>31.541220238095235</v>
      </c>
      <c r="AV15" s="898">
        <f>+AV14/(AV3*24)</f>
        <v>30.863940691247585</v>
      </c>
      <c r="AW15" s="2951">
        <f>+AW14/AW$3/24</f>
        <v>37.0747754491018</v>
      </c>
      <c r="AX15" s="900">
        <v>34.509193669870001</v>
      </c>
      <c r="AY15" s="384">
        <f>+AY14/AY$3/24</f>
        <v>35.038844086021506</v>
      </c>
      <c r="AZ15" s="899">
        <f>+AZ14/(AZ3*24)</f>
        <v>28.602258320385467</v>
      </c>
      <c r="BA15" s="405">
        <f>+BA14/(BA3*24)</f>
        <v>33.928009259259262</v>
      </c>
      <c r="BB15" s="901">
        <f>+BB14/(BB3*24)</f>
        <v>29.016407645271254</v>
      </c>
      <c r="BC15" s="481">
        <f>+BC14/BC$3/24</f>
        <v>35.684706959706958</v>
      </c>
      <c r="BD15" s="5159">
        <f>+BD14/(BD3*24)</f>
        <v>31.173537519568942</v>
      </c>
      <c r="BE15" s="2951">
        <f>+BE14/BE$3/24</f>
        <v>36.901860730593611</v>
      </c>
      <c r="BF15" s="502"/>
      <c r="BG15" s="502"/>
      <c r="BH15" s="25"/>
      <c r="BI15" s="25"/>
      <c r="BJ15" s="25"/>
    </row>
    <row r="16" spans="2:62" ht="15" customHeight="1" x14ac:dyDescent="0.25">
      <c r="B16" s="8227" t="s">
        <v>379</v>
      </c>
      <c r="C16" s="27" t="s">
        <v>375</v>
      </c>
      <c r="D16" s="902">
        <f>+D17*D3*24</f>
        <v>2211.4285714285716</v>
      </c>
      <c r="E16" s="386">
        <v>1217</v>
      </c>
      <c r="F16" s="902">
        <f>+F17*F3*24</f>
        <v>2480</v>
      </c>
      <c r="G16" s="386">
        <v>1.8</v>
      </c>
      <c r="H16" s="712">
        <f>+D16+F16</f>
        <v>4691.4285714285716</v>
      </c>
      <c r="I16" s="346">
        <f>+E16+G16</f>
        <v>1218.8</v>
      </c>
      <c r="J16" s="902">
        <f>+J17*J3*24</f>
        <v>2400</v>
      </c>
      <c r="K16" s="386">
        <v>0</v>
      </c>
      <c r="L16" s="713">
        <f>+H16+J16</f>
        <v>7091.4285714285716</v>
      </c>
      <c r="M16" s="403">
        <f>+I16+K16</f>
        <v>1218.8</v>
      </c>
      <c r="N16" s="902">
        <f>+N17*N3*24</f>
        <v>2480</v>
      </c>
      <c r="O16" s="386">
        <v>0</v>
      </c>
      <c r="P16" s="712">
        <f>+L16+N16</f>
        <v>9571.4285714285725</v>
      </c>
      <c r="Q16" s="346">
        <f>+M16+O16</f>
        <v>1218.8</v>
      </c>
      <c r="R16" s="902">
        <f>+R17*R3*24</f>
        <v>2480</v>
      </c>
      <c r="S16" s="386">
        <v>0</v>
      </c>
      <c r="T16" s="712">
        <f>+P16+R16</f>
        <v>12051.428571428572</v>
      </c>
      <c r="U16" s="346">
        <f>+Q16+S16</f>
        <v>1218.8</v>
      </c>
      <c r="V16" s="902">
        <f>+V17*V3*24</f>
        <v>2448</v>
      </c>
      <c r="W16" s="386">
        <v>0</v>
      </c>
      <c r="X16" s="713">
        <f t="shared" ref="X16" si="15">+N16+R16+V16</f>
        <v>7408</v>
      </c>
      <c r="Y16" s="403">
        <f t="shared" ref="Y16" si="16">+O16+S16+W16</f>
        <v>0</v>
      </c>
      <c r="Z16" s="715">
        <f>L16+X16</f>
        <v>14499.428571428572</v>
      </c>
      <c r="AA16" s="479">
        <f>M16+Y16</f>
        <v>1218.8</v>
      </c>
      <c r="AB16" s="902">
        <f>+AB17*AB3*24</f>
        <v>2480</v>
      </c>
      <c r="AC16" s="386">
        <v>0</v>
      </c>
      <c r="AD16" s="712">
        <f>+Z16+AB16</f>
        <v>16979.428571428572</v>
      </c>
      <c r="AE16" s="346">
        <f>+AA16+AC16</f>
        <v>1218.8</v>
      </c>
      <c r="AF16" s="902">
        <f>+AF17*AF3*24</f>
        <v>2400</v>
      </c>
      <c r="AG16" s="386">
        <v>0</v>
      </c>
      <c r="AH16" s="712">
        <f>+AD16+AF16</f>
        <v>19379.428571428572</v>
      </c>
      <c r="AI16" s="346">
        <f>+AE16+AG16</f>
        <v>1218.8</v>
      </c>
      <c r="AJ16" s="902">
        <f>+AJ17*AJ3*24</f>
        <v>2480</v>
      </c>
      <c r="AK16" s="386">
        <v>0</v>
      </c>
      <c r="AL16" s="713">
        <f t="shared" ref="AL16" si="17">+AB16+AF16+AJ16</f>
        <v>7360</v>
      </c>
      <c r="AM16" s="403">
        <f t="shared" ref="AM16" si="18">+AC16+AG16+AK16</f>
        <v>0</v>
      </c>
      <c r="AN16" s="712">
        <f>+AH16+AJ16</f>
        <v>21859.428571428572</v>
      </c>
      <c r="AO16" s="346">
        <f>+AI16+AK16</f>
        <v>1218.8</v>
      </c>
      <c r="AP16" s="902">
        <f>+AP17*AP3*24</f>
        <v>2480</v>
      </c>
      <c r="AQ16" s="386">
        <v>0</v>
      </c>
      <c r="AR16" s="712">
        <f>+AN16+AP16</f>
        <v>24339.428571428572</v>
      </c>
      <c r="AS16" s="346">
        <f>+AO16+AQ16</f>
        <v>1218.8</v>
      </c>
      <c r="AT16" s="902">
        <f>+AT17*AT3*24</f>
        <v>2240</v>
      </c>
      <c r="AU16" s="386">
        <v>1342.6</v>
      </c>
      <c r="AV16" s="712">
        <f>+AR16+AT16</f>
        <v>26579.428571428572</v>
      </c>
      <c r="AW16" s="346">
        <f>+AS16+AU16</f>
        <v>2561.3999999999996</v>
      </c>
      <c r="AX16" s="902">
        <f>+AX17*AX3*24</f>
        <v>2480</v>
      </c>
      <c r="AY16" s="386">
        <v>1344</v>
      </c>
      <c r="AZ16" s="713">
        <f t="shared" ref="AZ16" si="19">+AP16+AT16+AX16</f>
        <v>7200</v>
      </c>
      <c r="BA16" s="403">
        <f t="shared" ref="BA16" si="20">+AQ16+AU16+AY16</f>
        <v>2686.6</v>
      </c>
      <c r="BB16" s="715">
        <f>AL16+AZ16</f>
        <v>14560</v>
      </c>
      <c r="BC16" s="479">
        <f>AM16+BA16</f>
        <v>2686.6</v>
      </c>
      <c r="BD16" s="712">
        <f>+AV16+AX16</f>
        <v>29059.428571428572</v>
      </c>
      <c r="BE16" s="346">
        <f>+AW16+AY16</f>
        <v>3905.3999999999996</v>
      </c>
      <c r="BF16" s="502"/>
      <c r="BG16" s="502"/>
      <c r="BH16" s="25"/>
      <c r="BI16" s="25"/>
      <c r="BJ16" s="25"/>
    </row>
    <row r="17" spans="2:62" ht="15" customHeight="1" thickBot="1" x14ac:dyDescent="0.3">
      <c r="B17" s="8219"/>
      <c r="C17" s="18" t="s">
        <v>374</v>
      </c>
      <c r="D17" s="903">
        <v>3.0714285714285716</v>
      </c>
      <c r="E17" s="641">
        <f>+E16/E$3/24</f>
        <v>1.690277777777778</v>
      </c>
      <c r="F17" s="903">
        <v>3.3333333333333335</v>
      </c>
      <c r="G17" s="641">
        <f>+G16/G$3/24</f>
        <v>2.4193548387096775E-3</v>
      </c>
      <c r="H17" s="639">
        <f>+H16/(H$3*24)</f>
        <v>3.2045277127244343</v>
      </c>
      <c r="I17" s="396">
        <f>+I16/I$3/24</f>
        <v>0.83251366120218584</v>
      </c>
      <c r="J17" s="903">
        <v>3.3333333333333335</v>
      </c>
      <c r="K17" s="641">
        <f>+K16/K$3/24</f>
        <v>0</v>
      </c>
      <c r="L17" s="655">
        <f>+L16/(L$3*24)</f>
        <v>3.2469911041339614</v>
      </c>
      <c r="M17" s="406">
        <f>+M16/M$3/24</f>
        <v>0.55805860805860807</v>
      </c>
      <c r="N17" s="903">
        <v>3.3333333333333335</v>
      </c>
      <c r="O17" s="641">
        <f>+O16/O$3/24</f>
        <v>0</v>
      </c>
      <c r="P17" s="639">
        <f>+P16/(P$3*24)</f>
        <v>3.2689305230288839</v>
      </c>
      <c r="Q17" s="396">
        <f>+Q16/Q$3/24</f>
        <v>0.41625683060109292</v>
      </c>
      <c r="R17" s="903">
        <v>3.3333333333333335</v>
      </c>
      <c r="S17" s="641">
        <f>+S16/S$3/24</f>
        <v>0</v>
      </c>
      <c r="T17" s="639">
        <f>+T16/(T$3*24)</f>
        <v>3.281979458450047</v>
      </c>
      <c r="U17" s="396">
        <f>+U16/U$3/24</f>
        <v>0.33191721132897606</v>
      </c>
      <c r="V17" s="903">
        <v>3.4</v>
      </c>
      <c r="W17" s="641">
        <f>+W16/W$3/24</f>
        <v>0</v>
      </c>
      <c r="X17" s="655">
        <f>+X16/(X$3*24)</f>
        <v>3.3550724637681157</v>
      </c>
      <c r="Y17" s="406">
        <f>+Y16/Y$3/24</f>
        <v>0</v>
      </c>
      <c r="Z17" s="904">
        <f>+Z16/(Z$3*24)</f>
        <v>3.3013270882123344</v>
      </c>
      <c r="AA17" s="482">
        <f>+AA16/AA$3/24</f>
        <v>0.27750455373406191</v>
      </c>
      <c r="AB17" s="903">
        <v>3.3333333333333335</v>
      </c>
      <c r="AC17" s="641">
        <f>+AC16/AC$3/24</f>
        <v>0</v>
      </c>
      <c r="AD17" s="639">
        <f>+AD16/(AD$3*24)</f>
        <v>3.3059635068980864</v>
      </c>
      <c r="AE17" s="396">
        <f>+AE16/AE$3/24</f>
        <v>0.23730529595015573</v>
      </c>
      <c r="AF17" s="903">
        <v>3.3333333333333335</v>
      </c>
      <c r="AG17" s="641">
        <f>+AG16/AG$3/24</f>
        <v>0</v>
      </c>
      <c r="AH17" s="639">
        <f>+AH16/(AH$3*24)</f>
        <v>3.309328649492584</v>
      </c>
      <c r="AI17" s="6611">
        <f>+AI16/AI$3/24</f>
        <v>0.20812841530054646</v>
      </c>
      <c r="AJ17" s="903">
        <v>3.3333333333333335</v>
      </c>
      <c r="AK17" s="641">
        <f>+AK16/AK$3/24</f>
        <v>0</v>
      </c>
      <c r="AL17" s="655">
        <f>+AL16/(AL$3*24)</f>
        <v>3.3333333333333335</v>
      </c>
      <c r="AM17" s="406">
        <f>+AM16/AM$3/24</f>
        <v>0</v>
      </c>
      <c r="AN17" s="639">
        <f>+AN16/(AN$3*24)</f>
        <v>3.3120346320346323</v>
      </c>
      <c r="AO17" s="396">
        <f>+AO16/AO$3/24</f>
        <v>0.18466666666666665</v>
      </c>
      <c r="AP17" s="903">
        <v>3.3333333333333335</v>
      </c>
      <c r="AQ17" s="641">
        <f>+AQ16/AQ$3/24</f>
        <v>0</v>
      </c>
      <c r="AR17" s="639">
        <f>+AR16/(AR$3*24)</f>
        <v>3.3141923436041085</v>
      </c>
      <c r="AS17" s="396">
        <f>+AS16/AS$3/24</f>
        <v>0.16595860566448803</v>
      </c>
      <c r="AT17" s="903">
        <v>3.3333333333333335</v>
      </c>
      <c r="AU17" s="641">
        <f>+AU16/AU$3/24</f>
        <v>1.9979166666666666</v>
      </c>
      <c r="AV17" s="639">
        <f>+AV16/(AV$3*24)</f>
        <v>3.3157969774736245</v>
      </c>
      <c r="AW17" s="396">
        <f>+AW16/AW$3/24</f>
        <v>0.31953592814371251</v>
      </c>
      <c r="AX17" s="903">
        <v>3.3333333333333335</v>
      </c>
      <c r="AY17" s="641">
        <f>+AY16/AY$3/24</f>
        <v>1.8064516129032258</v>
      </c>
      <c r="AZ17" s="655">
        <f>+AZ16/(AZ$3*24)</f>
        <v>3.3333333333333335</v>
      </c>
      <c r="BA17" s="406">
        <f>+BA16/BA$3/24</f>
        <v>1.2437962962962963</v>
      </c>
      <c r="BB17" s="904">
        <f>+BB16/(BB$3*24)</f>
        <v>3.3333333333333335</v>
      </c>
      <c r="BC17" s="482">
        <f>+BC16/BC$3/24</f>
        <v>0.61506410256410249</v>
      </c>
      <c r="BD17" s="639">
        <f>+BD16/(BD$3*24)</f>
        <v>3.3172863666014352</v>
      </c>
      <c r="BE17" s="396">
        <f>+BE16/BE$3/24</f>
        <v>0.44582191780821917</v>
      </c>
      <c r="BF17" s="502"/>
      <c r="BG17" s="502"/>
      <c r="BH17" s="25"/>
      <c r="BI17" s="25"/>
      <c r="BJ17" s="25"/>
    </row>
    <row r="18" spans="2:62" x14ac:dyDescent="0.25">
      <c r="B18" s="8219" t="s">
        <v>380</v>
      </c>
      <c r="C18" s="17" t="s">
        <v>375</v>
      </c>
      <c r="D18" s="905">
        <f>+D19*D3*24</f>
        <v>9990.0928806584361</v>
      </c>
      <c r="E18" s="233">
        <v>9116.2999999999993</v>
      </c>
      <c r="F18" s="905">
        <f>+F19*F3*24</f>
        <v>10414.444444444445</v>
      </c>
      <c r="G18" s="233">
        <v>10878.5</v>
      </c>
      <c r="H18" s="712">
        <f>+D18+F18</f>
        <v>20404.53732510288</v>
      </c>
      <c r="I18" s="346">
        <f>+E18+G18</f>
        <v>19994.8</v>
      </c>
      <c r="J18" s="905">
        <f>+J19*J3*24</f>
        <v>10061.333333333332</v>
      </c>
      <c r="K18" s="233">
        <v>11480.3</v>
      </c>
      <c r="L18" s="713">
        <f>+H18+J18</f>
        <v>30465.870658436212</v>
      </c>
      <c r="M18" s="401">
        <f>E18+G18+K18</f>
        <v>31475.1</v>
      </c>
      <c r="N18" s="905">
        <f>+N19*N3*24</f>
        <v>10313.333333333332</v>
      </c>
      <c r="O18" s="233">
        <v>12224.4</v>
      </c>
      <c r="P18" s="712">
        <f>+L18+N18</f>
        <v>40779.203991769544</v>
      </c>
      <c r="Q18" s="346">
        <f>+M18+O18</f>
        <v>43699.5</v>
      </c>
      <c r="R18" s="905">
        <f>+R19*R3*24</f>
        <v>10247.222222222221</v>
      </c>
      <c r="S18" s="233">
        <v>11328.8</v>
      </c>
      <c r="T18" s="712">
        <f>+P18+R18</f>
        <v>51026.426213991763</v>
      </c>
      <c r="U18" s="346">
        <f>+Q18+S18</f>
        <v>55028.3</v>
      </c>
      <c r="V18" s="905">
        <f>+V19*V3*24</f>
        <v>5625.9259259259252</v>
      </c>
      <c r="W18" s="233">
        <v>10414.6</v>
      </c>
      <c r="X18" s="713">
        <f t="shared" ref="X18:Y18" si="21">+N18+R18+V18</f>
        <v>26186.481481481482</v>
      </c>
      <c r="Y18" s="403">
        <f t="shared" si="21"/>
        <v>33967.799999999996</v>
      </c>
      <c r="Z18" s="715">
        <f>L18+X18</f>
        <v>56652.352139917697</v>
      </c>
      <c r="AA18" s="479">
        <f>M18+Y18</f>
        <v>65442.899999999994</v>
      </c>
      <c r="AB18" s="905">
        <f>+AB19*AB3*24</f>
        <v>10380.740740740741</v>
      </c>
      <c r="AC18" s="233">
        <v>7696.7</v>
      </c>
      <c r="AD18" s="712">
        <f>+Z18+AB18</f>
        <v>67033.092880658442</v>
      </c>
      <c r="AE18" s="346">
        <f>+AA18+AC18</f>
        <v>73139.599999999991</v>
      </c>
      <c r="AF18" s="905">
        <f>+AF19*AF3*24</f>
        <v>10061.333333333332</v>
      </c>
      <c r="AG18" s="233">
        <v>9197.1</v>
      </c>
      <c r="AH18" s="712">
        <f>+AD18+AF18</f>
        <v>77094.42621399177</v>
      </c>
      <c r="AI18" s="346">
        <f>+AE18+AG18</f>
        <v>82336.7</v>
      </c>
      <c r="AJ18" s="905">
        <f>+AJ19*AJ3*24</f>
        <v>10380.740740740741</v>
      </c>
      <c r="AK18" s="233">
        <v>9626.9</v>
      </c>
      <c r="AL18" s="713">
        <f t="shared" ref="AL18" si="22">+AB18+AF18+AJ18</f>
        <v>30822.814814814814</v>
      </c>
      <c r="AM18" s="403">
        <f t="shared" ref="AM18" si="23">+AC18+AG18+AK18</f>
        <v>26520.699999999997</v>
      </c>
      <c r="AN18" s="712">
        <f>+AH18+AJ18</f>
        <v>87475.166954732515</v>
      </c>
      <c r="AO18" s="346">
        <f>+AI18+AK18</f>
        <v>91963.599999999991</v>
      </c>
      <c r="AP18" s="905">
        <f>+AP19*AP3*24</f>
        <v>10403.555555555555</v>
      </c>
      <c r="AQ18" s="233">
        <v>9614.4</v>
      </c>
      <c r="AR18" s="712">
        <f>+AN18+AP18</f>
        <v>97878.722510288062</v>
      </c>
      <c r="AS18" s="346">
        <f>+AO18+AQ18</f>
        <v>101577.99999999999</v>
      </c>
      <c r="AT18" s="905">
        <f>+AT19*AT3*24</f>
        <v>9391.925925925927</v>
      </c>
      <c r="AU18" s="233">
        <v>7762.2</v>
      </c>
      <c r="AV18" s="712">
        <f>+AR18+AT18</f>
        <v>107270.64843621399</v>
      </c>
      <c r="AW18" s="346">
        <f>+AS18+AU18</f>
        <v>109340.19999999998</v>
      </c>
      <c r="AX18" s="905">
        <f>+AX19*AX3*24</f>
        <v>10403.555555555555</v>
      </c>
      <c r="AY18" s="233">
        <v>9734.2999999999993</v>
      </c>
      <c r="AZ18" s="713">
        <f t="shared" ref="AZ18" si="24">+AP18+AT18+AX18</f>
        <v>30199.037037037036</v>
      </c>
      <c r="BA18" s="403">
        <f t="shared" ref="BA18" si="25">+AQ18+AU18+AY18</f>
        <v>27110.899999999998</v>
      </c>
      <c r="BB18" s="715">
        <f>AL18+AZ18</f>
        <v>61021.851851851854</v>
      </c>
      <c r="BC18" s="479">
        <f>AM18+BA18</f>
        <v>53631.599999999991</v>
      </c>
      <c r="BD18" s="712">
        <f>+AV18+AX18</f>
        <v>117674.20399176955</v>
      </c>
      <c r="BE18" s="346">
        <f>+AW18+AY18</f>
        <v>119074.49999999999</v>
      </c>
      <c r="BF18" s="502"/>
      <c r="BG18" s="502"/>
      <c r="BH18" s="25"/>
      <c r="BI18" s="25"/>
      <c r="BJ18" s="25"/>
    </row>
    <row r="19" spans="2:62" ht="15.75" thickBot="1" x14ac:dyDescent="0.3">
      <c r="B19" s="8220"/>
      <c r="C19" s="19" t="s">
        <v>374</v>
      </c>
      <c r="D19" s="906">
        <v>13.875129000914495</v>
      </c>
      <c r="E19" s="641">
        <f>+E18/E$3/24</f>
        <v>12.661527777777778</v>
      </c>
      <c r="F19" s="906">
        <v>13.997909199522104</v>
      </c>
      <c r="G19" s="641">
        <f>+G18/G$3/24</f>
        <v>14.621639784946238</v>
      </c>
      <c r="H19" s="639">
        <f>+H18/(H$3*24)</f>
        <v>13.937525495288853</v>
      </c>
      <c r="I19" s="396">
        <f>+I18/I$3/24</f>
        <v>13.657650273224043</v>
      </c>
      <c r="J19" s="906">
        <v>13.974074074074073</v>
      </c>
      <c r="K19" s="641">
        <f>+K18/K$3/24</f>
        <v>15.944861111111109</v>
      </c>
      <c r="L19" s="655">
        <f>+L18/(L$3*24)</f>
        <v>13.949574477305958</v>
      </c>
      <c r="M19" s="406">
        <f>+M18/M$3/24</f>
        <v>14.411675824175823</v>
      </c>
      <c r="N19" s="906">
        <v>13.86200716845878</v>
      </c>
      <c r="O19" s="641">
        <f>+O18/O$3/24</f>
        <v>16.430645161290322</v>
      </c>
      <c r="P19" s="639">
        <f>+P18/(P$3*24)</f>
        <v>13.927323767680855</v>
      </c>
      <c r="Q19" s="396">
        <f>+Q18/Q$3/24</f>
        <v>14.92469262295082</v>
      </c>
      <c r="R19" s="906">
        <v>13.773148148148147</v>
      </c>
      <c r="S19" s="641">
        <f>+S18/S$3/24</f>
        <v>15.226881720430107</v>
      </c>
      <c r="T19" s="639">
        <f>+T18/(T$3*24)</f>
        <v>13.896085570259194</v>
      </c>
      <c r="U19" s="396">
        <f>+U18/U$3/24</f>
        <v>14.985920479302834</v>
      </c>
      <c r="V19" s="906">
        <v>7.8137860082304513</v>
      </c>
      <c r="W19" s="641">
        <f>+W18/W$3/24</f>
        <v>14.464722222222223</v>
      </c>
      <c r="X19" s="655">
        <f>+X18/(X$3*24)</f>
        <v>11.859819511540525</v>
      </c>
      <c r="Y19" s="406">
        <f>+Y18/Y$3/24</f>
        <v>15.383967391304346</v>
      </c>
      <c r="Z19" s="904">
        <f>+Z18/(Z$3*24)</f>
        <v>12.898987281402025</v>
      </c>
      <c r="AA19" s="482">
        <f>+AA18/AA$3/24</f>
        <v>14.900478142076501</v>
      </c>
      <c r="AB19" s="906">
        <v>13.952608522500997</v>
      </c>
      <c r="AC19" s="641">
        <f>+AC18/AC$3/24</f>
        <v>10.345026881720431</v>
      </c>
      <c r="AD19" s="639">
        <f>+AD18/(AD$3*24)</f>
        <v>13.051614657449074</v>
      </c>
      <c r="AE19" s="396">
        <f>+AE18/AE$3/24</f>
        <v>14.240576323987538</v>
      </c>
      <c r="AF19" s="906">
        <v>13.974074074074073</v>
      </c>
      <c r="AG19" s="641">
        <f>+AG18/AG$3/24</f>
        <v>12.77375</v>
      </c>
      <c r="AH19" s="639">
        <f>+AH18/(AH$3*24)</f>
        <v>13.165031798837392</v>
      </c>
      <c r="AI19" s="396">
        <f>+AI18/AI$3/24</f>
        <v>14.060228825136612</v>
      </c>
      <c r="AJ19" s="906">
        <v>13.952608522500997</v>
      </c>
      <c r="AK19" s="641">
        <f>+AK18/AK$3/24</f>
        <v>12.939381720430108</v>
      </c>
      <c r="AL19" s="655">
        <f>+AL18/(AL$3*24)</f>
        <v>13.959608158883521</v>
      </c>
      <c r="AM19" s="406">
        <f>+AM18/AM$3/24</f>
        <v>12.011186594202897</v>
      </c>
      <c r="AN19" s="639">
        <f>+AN18/(AN$3*24)</f>
        <v>13.253813174959472</v>
      </c>
      <c r="AO19" s="396">
        <f>+AO18/AO$3/24</f>
        <v>13.933878787878788</v>
      </c>
      <c r="AP19" s="906">
        <v>13.983273596176822</v>
      </c>
      <c r="AQ19" s="641">
        <f>+AQ18/AQ$3/24</f>
        <v>12.92258064516129</v>
      </c>
      <c r="AR19" s="639">
        <f>+AR18/(AR$3*24)</f>
        <v>13.327712760115476</v>
      </c>
      <c r="AS19" s="396">
        <f>+AS18/AS$3/24</f>
        <v>13.831427015250542</v>
      </c>
      <c r="AT19" s="906">
        <v>13.976080246913581</v>
      </c>
      <c r="AU19" s="641">
        <f>+AU18/AU$3/24</f>
        <v>11.550892857142857</v>
      </c>
      <c r="AV19" s="639">
        <f>+AV18/(AV$3*24)</f>
        <v>13.382066920685379</v>
      </c>
      <c r="AW19" s="396">
        <f>+AW18/AW$3/24</f>
        <v>13.640244510978041</v>
      </c>
      <c r="AX19" s="906">
        <v>13.983273596176822</v>
      </c>
      <c r="AY19" s="641">
        <f>+AY18/AY$3/24</f>
        <v>13.083736559139785</v>
      </c>
      <c r="AZ19" s="655">
        <f>+AZ18/(AZ$3*24)</f>
        <v>13.981035665294923</v>
      </c>
      <c r="BA19" s="406">
        <f>+BA18/BA$3/24</f>
        <v>12.551342592592592</v>
      </c>
      <c r="BB19" s="904">
        <f>+BB18/(BB$3*24)</f>
        <v>13.970204178537513</v>
      </c>
      <c r="BC19" s="482">
        <f>+BC18/BC$3/24</f>
        <v>12.278296703296702</v>
      </c>
      <c r="BD19" s="639">
        <f>+BD18/(BD$3*24)</f>
        <v>13.433128309562735</v>
      </c>
      <c r="BE19" s="396">
        <f>+BE18/BE$3/24</f>
        <v>13.592979452054793</v>
      </c>
      <c r="BF19" s="502"/>
      <c r="BG19" s="502"/>
      <c r="BH19" s="25"/>
      <c r="BI19" s="25"/>
      <c r="BJ19" s="25"/>
    </row>
    <row r="20" spans="2:62" ht="16.5" thickBot="1" x14ac:dyDescent="0.3">
      <c r="B20" s="8217" t="s">
        <v>384</v>
      </c>
      <c r="C20" s="121" t="s">
        <v>375</v>
      </c>
      <c r="D20" s="574">
        <f>+D14+D16+D18</f>
        <v>30501.54506401674</v>
      </c>
      <c r="E20" s="642">
        <f>+E14+E16+E18</f>
        <v>37991.800000000003</v>
      </c>
      <c r="F20" s="574">
        <f>+F14+F16+F18</f>
        <v>39844.723250093492</v>
      </c>
      <c r="G20" s="642">
        <f>+G14+G16+G18</f>
        <v>34691</v>
      </c>
      <c r="H20" s="574">
        <f t="shared" ref="H20:I21" si="26">+H14+H16+H18</f>
        <v>70346.268314110232</v>
      </c>
      <c r="I20" s="642">
        <f t="shared" si="26"/>
        <v>72682.8</v>
      </c>
      <c r="J20" s="574">
        <f>+J14+J16+J18</f>
        <v>38443.313060934714</v>
      </c>
      <c r="K20" s="642">
        <f>+K14+K16+K18</f>
        <v>39300.399999999994</v>
      </c>
      <c r="L20" s="1490">
        <f t="shared" ref="L20:Q20" si="27">+L14+L16+L18</f>
        <v>108789.58137504493</v>
      </c>
      <c r="M20" s="1490">
        <f t="shared" si="27"/>
        <v>111983.20000000001</v>
      </c>
      <c r="N20" s="574">
        <f>+N14+N16+N18</f>
        <v>39910.513372167086</v>
      </c>
      <c r="O20" s="642">
        <f>+O14+O16+O18</f>
        <v>42763.700000000004</v>
      </c>
      <c r="P20" s="574">
        <f t="shared" si="27"/>
        <v>148700.09474721205</v>
      </c>
      <c r="Q20" s="574">
        <f t="shared" si="27"/>
        <v>154746.90000000002</v>
      </c>
      <c r="R20" s="574">
        <f>+R14+R16+R18</f>
        <v>39330.490682108619</v>
      </c>
      <c r="S20" s="642">
        <f>+S14+S16+S18</f>
        <v>41038.899999999994</v>
      </c>
      <c r="T20" s="574">
        <f t="shared" ref="T20:U20" si="28">+T14+T16+T18</f>
        <v>188030.58542932066</v>
      </c>
      <c r="U20" s="574">
        <f t="shared" si="28"/>
        <v>195785.8</v>
      </c>
      <c r="V20" s="574">
        <f>+V14+V16+V18</f>
        <v>29457.71535890465</v>
      </c>
      <c r="W20" s="642">
        <f>+W14+W16+W18</f>
        <v>38265.4</v>
      </c>
      <c r="X20" s="1490">
        <f t="shared" ref="X20:Y20" si="29">+X14+X16+X18</f>
        <v>108698.71941318037</v>
      </c>
      <c r="Y20" s="1490">
        <f t="shared" si="29"/>
        <v>122068</v>
      </c>
      <c r="Z20" s="2300">
        <f t="shared" ref="Z20:AE20" si="30">+Z14+Z16+Z18</f>
        <v>217488.30078822532</v>
      </c>
      <c r="AA20" s="2300">
        <f t="shared" si="30"/>
        <v>234051.19999999998</v>
      </c>
      <c r="AB20" s="574">
        <f>+AB14+AB16+AB18</f>
        <v>39486.904219020274</v>
      </c>
      <c r="AC20" s="642">
        <f>+AC14+AC16+AC18</f>
        <v>34346.299999999996</v>
      </c>
      <c r="AD20" s="574">
        <f t="shared" si="30"/>
        <v>256975.20500724559</v>
      </c>
      <c r="AE20" s="574">
        <f t="shared" si="30"/>
        <v>268397.5</v>
      </c>
      <c r="AF20" s="574">
        <f>+AF14+AF16+AF18</f>
        <v>31321.58951897539</v>
      </c>
      <c r="AG20" s="642">
        <f>+AG14+AG16+AG18</f>
        <v>37636.700000000004</v>
      </c>
      <c r="AH20" s="574">
        <f t="shared" ref="AH20:AI21" si="31">+AH14+AH16+AH18</f>
        <v>288296.794526221</v>
      </c>
      <c r="AI20" s="574">
        <f t="shared" si="31"/>
        <v>306034.2</v>
      </c>
      <c r="AJ20" s="574">
        <f>+AJ14+AJ16+AJ18</f>
        <v>32337.111699331374</v>
      </c>
      <c r="AK20" s="642">
        <f>+AK14+AK16+AK18</f>
        <v>37124</v>
      </c>
      <c r="AL20" s="1490">
        <f t="shared" ref="AL20:AO20" si="32">+AL14+AL16+AL18</f>
        <v>103145.60543732705</v>
      </c>
      <c r="AM20" s="1490">
        <f t="shared" si="32"/>
        <v>109107</v>
      </c>
      <c r="AN20" s="574">
        <f t="shared" si="32"/>
        <v>320633.90622555237</v>
      </c>
      <c r="AO20" s="574">
        <f t="shared" si="32"/>
        <v>343158.2</v>
      </c>
      <c r="AP20" s="574">
        <f>+AP14+AP16+AP18</f>
        <v>31663.576551385377</v>
      </c>
      <c r="AQ20" s="642">
        <f>+AQ14+AQ16+AQ18</f>
        <v>35634.300000000003</v>
      </c>
      <c r="AR20" s="574">
        <f t="shared" ref="AR20:AS20" si="33">+AR14+AR16+AR18</f>
        <v>352297.48277693777</v>
      </c>
      <c r="AS20" s="574">
        <f t="shared" si="33"/>
        <v>378792.5</v>
      </c>
      <c r="AT20" s="574">
        <f>+AT14+AT16+AT18</f>
        <v>28957.94281174543</v>
      </c>
      <c r="AU20" s="642">
        <f>+AU14+AU16+AU18</f>
        <v>30300.499999999996</v>
      </c>
      <c r="AV20" s="574">
        <f t="shared" ref="AV20:AW21" si="34">+AV14+AV16+AV18</f>
        <v>381255.42558868323</v>
      </c>
      <c r="AW20" s="574">
        <f t="shared" si="34"/>
        <v>409093</v>
      </c>
      <c r="AX20" s="574">
        <f>+AX14+AX16+AX18</f>
        <v>38558.395645938836</v>
      </c>
      <c r="AY20" s="642">
        <f>+AY14+AY16+AY18</f>
        <v>37147.199999999997</v>
      </c>
      <c r="AZ20" s="1490">
        <f t="shared" ref="AZ20:BE20" si="35">+AZ14+AZ16+AZ18</f>
        <v>99179.915009069649</v>
      </c>
      <c r="BA20" s="1490">
        <f t="shared" si="35"/>
        <v>103082</v>
      </c>
      <c r="BB20" s="2300">
        <f t="shared" si="35"/>
        <v>202325.52044639669</v>
      </c>
      <c r="BC20" s="2300">
        <f t="shared" si="35"/>
        <v>212189</v>
      </c>
      <c r="BD20" s="574">
        <f t="shared" si="35"/>
        <v>419813.82123462204</v>
      </c>
      <c r="BE20" s="574">
        <f t="shared" si="35"/>
        <v>446240.20000000007</v>
      </c>
      <c r="BF20" s="502"/>
      <c r="BG20" s="502"/>
      <c r="BH20" s="25"/>
      <c r="BI20" s="25"/>
      <c r="BJ20" s="25"/>
    </row>
    <row r="21" spans="2:62" ht="16.5" thickBot="1" x14ac:dyDescent="0.3">
      <c r="B21" s="8218"/>
      <c r="C21" s="388" t="s">
        <v>374</v>
      </c>
      <c r="D21" s="7637">
        <f>+D15+D17+D19</f>
        <v>42.363257033356582</v>
      </c>
      <c r="E21" s="3451">
        <f>+E20/E$3/24</f>
        <v>52.766388888888891</v>
      </c>
      <c r="F21" s="3450">
        <v>53.554735551200942</v>
      </c>
      <c r="G21" s="3451">
        <f>+G20/G$3/24</f>
        <v>46.627688172043008</v>
      </c>
      <c r="H21" s="3452">
        <f t="shared" si="26"/>
        <v>48.050729722752891</v>
      </c>
      <c r="I21" s="3453">
        <f>+I20/I$3/24</f>
        <v>49.64672131147541</v>
      </c>
      <c r="J21" s="3450">
        <v>53.393490362409324</v>
      </c>
      <c r="K21" s="3451">
        <f>+K20/K$3/24</f>
        <v>54.583888888888879</v>
      </c>
      <c r="L21" s="908">
        <f>+L15+L17+L19</f>
        <v>49.812079384178084</v>
      </c>
      <c r="M21" s="407">
        <f>+M20/M$3/24</f>
        <v>51.274358974358982</v>
      </c>
      <c r="N21" s="3450">
        <v>53.643163134633191</v>
      </c>
      <c r="O21" s="3451">
        <f>+O20/O$3/24</f>
        <v>57.478091397849475</v>
      </c>
      <c r="P21" s="907">
        <f>+P15+P17+P19</f>
        <v>50.785551484703561</v>
      </c>
      <c r="Q21" s="397">
        <f>+Q20/Q$3/24</f>
        <v>52.850717213114763</v>
      </c>
      <c r="R21" s="3450">
        <v>52.863562744769652</v>
      </c>
      <c r="S21" s="3451">
        <f>+S20/S$3/24</f>
        <v>55.159811827956986</v>
      </c>
      <c r="T21" s="907">
        <f>+T15+T17+T19</f>
        <v>51.206586445893421</v>
      </c>
      <c r="U21" s="397">
        <f>+U20/U$3/24</f>
        <v>53.318572984749458</v>
      </c>
      <c r="V21" s="3450">
        <v>40.91349355403424</v>
      </c>
      <c r="W21" s="3451">
        <f>+W20/W$3/24</f>
        <v>53.146388888888886</v>
      </c>
      <c r="X21" s="908">
        <f>+X15+X17+X19</f>
        <v>49.22949248785342</v>
      </c>
      <c r="Y21" s="407">
        <f>+Y20/Y$3/24</f>
        <v>55.284420289855071</v>
      </c>
      <c r="Z21" s="909">
        <f>+Z15+Z17+Z19</f>
        <v>49.519194168539457</v>
      </c>
      <c r="AA21" s="483">
        <f>+AA20/AA$3/24</f>
        <v>53.290346083788705</v>
      </c>
      <c r="AB21" s="3450">
        <v>53.073795993306831</v>
      </c>
      <c r="AC21" s="3451">
        <f>+AC20/AC$3/24</f>
        <v>46.1643817204301</v>
      </c>
      <c r="AD21" s="907">
        <f t="shared" ref="AD21" si="36">+AD15+AD17+AD19</f>
        <v>50.034113124463708</v>
      </c>
      <c r="AE21" s="397">
        <f>+AE20/AE$3/24</f>
        <v>52.258080218068535</v>
      </c>
      <c r="AF21" s="3450">
        <v>43.502207665243596</v>
      </c>
      <c r="AG21" s="3451">
        <f>+AG20/AG$3/24</f>
        <v>52.273194444444449</v>
      </c>
      <c r="AH21" s="907">
        <f t="shared" si="31"/>
        <v>49.231009994231727</v>
      </c>
      <c r="AI21" s="397">
        <f>+AI20/AI$3/24</f>
        <v>52.259938524590162</v>
      </c>
      <c r="AJ21" s="3450">
        <v>43.463859810929264</v>
      </c>
      <c r="AK21" s="3451">
        <f>+AK20/AK$3/24</f>
        <v>49.897849462365592</v>
      </c>
      <c r="AL21" s="908">
        <f>+AL15+AL17+AL19</f>
        <v>46.714495216180723</v>
      </c>
      <c r="AM21" s="407">
        <f>+AM20/AM$3/24</f>
        <v>49.414402173913039</v>
      </c>
      <c r="AN21" s="907">
        <f t="shared" ref="AN21" si="37">+AN15+AN17+AN19</f>
        <v>48.58089488265945</v>
      </c>
      <c r="AO21" s="397">
        <f>+AO20/AO$3/24</f>
        <v>51.993666666666662</v>
      </c>
      <c r="AP21" s="3450">
        <v>42.558570633582491</v>
      </c>
      <c r="AQ21" s="3451">
        <f>+AQ20/AQ$3/24</f>
        <v>47.895564516129035</v>
      </c>
      <c r="AR21" s="907">
        <f t="shared" ref="AR21" si="38">+AR15+AR17+AR19</f>
        <v>47.970790138471912</v>
      </c>
      <c r="AS21" s="397">
        <f>+AS20/AS$3/24</f>
        <v>51.578499455337692</v>
      </c>
      <c r="AT21" s="3450">
        <v>43.092176803192601</v>
      </c>
      <c r="AU21" s="3451">
        <f>+AU20/AU$3/24</f>
        <v>45.090029761904759</v>
      </c>
      <c r="AV21" s="907">
        <f t="shared" si="34"/>
        <v>47.561804589406592</v>
      </c>
      <c r="AW21" s="397">
        <f>+AW20/AW$3/24</f>
        <v>51.034555888223558</v>
      </c>
      <c r="AX21" s="3450">
        <v>51.825800599380159</v>
      </c>
      <c r="AY21" s="3451">
        <f>+AY20/AY$3/24</f>
        <v>49.929032258064517</v>
      </c>
      <c r="AZ21" s="908">
        <f>+AZ15+AZ17+AZ19</f>
        <v>45.91662731901372</v>
      </c>
      <c r="BA21" s="407">
        <f>+BA20/BA$3/24</f>
        <v>47.723148148148148</v>
      </c>
      <c r="BB21" s="909">
        <f>+BB15+BB17+BB19</f>
        <v>46.319945157142101</v>
      </c>
      <c r="BC21" s="483">
        <f>+BC20/BC$3/24</f>
        <v>48.578067765567766</v>
      </c>
      <c r="BD21" s="907">
        <f t="shared" ref="BD21" si="39">+BD15+BD17+BD19</f>
        <v>47.923952195733108</v>
      </c>
      <c r="BE21" s="397">
        <f>+BE20/BE$3/24</f>
        <v>50.940662100456628</v>
      </c>
      <c r="BF21" s="502"/>
      <c r="BG21" s="502"/>
      <c r="BH21" s="25"/>
      <c r="BI21" s="25"/>
      <c r="BJ21" s="25"/>
    </row>
    <row r="22" spans="2:62" ht="15.75" x14ac:dyDescent="0.25">
      <c r="B22" s="3422" t="s">
        <v>381</v>
      </c>
      <c r="C22" s="202" t="s">
        <v>375</v>
      </c>
      <c r="D22" s="910">
        <f>+D23*D3*24</f>
        <v>66149.249175846518</v>
      </c>
      <c r="E22" s="387">
        <f>+'POWER DISTRIBUTION'!J9/1000</f>
        <v>70648.0046</v>
      </c>
      <c r="F22" s="910">
        <f>+F23*F3*24</f>
        <v>76588.212163803051</v>
      </c>
      <c r="G22" s="387">
        <f>+'POWER DISTRIBUTION'!L9/1000</f>
        <v>75383.046000000002</v>
      </c>
      <c r="H22" s="712">
        <f>+D22+F22</f>
        <v>142737.46133964957</v>
      </c>
      <c r="I22" s="398">
        <f>+E22+G22</f>
        <v>146031.05060000002</v>
      </c>
      <c r="J22" s="910">
        <f>+J23*J3*24</f>
        <v>74184.006236527115</v>
      </c>
      <c r="K22" s="387">
        <f>+'POWER DISTRIBUTION'!P9/1000</f>
        <v>70337.002999999997</v>
      </c>
      <c r="L22" s="713">
        <f>+H22+J22</f>
        <v>216921.46757617668</v>
      </c>
      <c r="M22" s="408">
        <f>E22+G22+K22</f>
        <v>216368.05360000001</v>
      </c>
      <c r="N22" s="910">
        <f>+N23*N3*24</f>
        <v>75590.793822003354</v>
      </c>
      <c r="O22" s="387">
        <f>+'POWER DISTRIBUTION'!T9/1000</f>
        <v>72496.939008000001</v>
      </c>
      <c r="P22" s="712">
        <f>+L22+N22</f>
        <v>292512.26139818004</v>
      </c>
      <c r="Q22" s="398">
        <f>+M22+O22</f>
        <v>288864.992608</v>
      </c>
      <c r="R22" s="910">
        <f>+R23*R3*24</f>
        <v>76170.816512061836</v>
      </c>
      <c r="S22" s="387">
        <f>+'POWER DISTRIBUTION'!X9/1000</f>
        <v>70569.001000000004</v>
      </c>
      <c r="T22" s="712">
        <f>+P22+R22</f>
        <v>368683.0779102419</v>
      </c>
      <c r="U22" s="398">
        <f>+Q22+S22</f>
        <v>359433.99360799999</v>
      </c>
      <c r="V22" s="910">
        <f>+V23*V3*24</f>
        <v>48990.915740339857</v>
      </c>
      <c r="W22" s="387">
        <f>+'POWER DISTRIBUTION'!AB9/1000</f>
        <v>70384.024999999994</v>
      </c>
      <c r="X22" s="713">
        <f t="shared" ref="X22:Y22" si="40">+N22+R22+V22</f>
        <v>200752.52607440506</v>
      </c>
      <c r="Y22" s="408">
        <f t="shared" si="40"/>
        <v>213449.965008</v>
      </c>
      <c r="Z22" s="715">
        <f>L22+X22</f>
        <v>417673.99365058175</v>
      </c>
      <c r="AA22" s="484">
        <f>M22+Y22</f>
        <v>429818.01860800001</v>
      </c>
      <c r="AB22" s="910">
        <f>+AB23*AB3*24</f>
        <v>76728.220008682707</v>
      </c>
      <c r="AC22" s="387">
        <f>+'POWER DISTRIBUTION'!AH9/1000</f>
        <v>64899.012600000002</v>
      </c>
      <c r="AD22" s="712">
        <f>+Z22+AB22</f>
        <v>494402.21365926444</v>
      </c>
      <c r="AE22" s="398">
        <f>+AA22+AC22</f>
        <v>494717.03120800003</v>
      </c>
      <c r="AF22" s="910">
        <f>+AF23*AF3*24</f>
        <v>81647.988132105151</v>
      </c>
      <c r="AG22" s="387">
        <f>+'POWER DISTRIBUTION'!AL9/1000</f>
        <v>69897</v>
      </c>
      <c r="AH22" s="712">
        <f>+AD22+AF22</f>
        <v>576050.20179136959</v>
      </c>
      <c r="AI22" s="398">
        <f>+AE22+AG22</f>
        <v>564614.03120800003</v>
      </c>
      <c r="AJ22" s="910">
        <f>+AJ23*AJ3*24</f>
        <v>84387.321428183874</v>
      </c>
      <c r="AK22" s="387">
        <f>+'POWER DISTRIBUTION'!AP9/1000</f>
        <v>71946</v>
      </c>
      <c r="AL22" s="713">
        <f t="shared" ref="AL22" si="41">+AB22+AF22+AJ22</f>
        <v>242763.52956897172</v>
      </c>
      <c r="AM22" s="408">
        <f t="shared" ref="AM22" si="42">+AC22+AG22+AK22</f>
        <v>206742.01260000002</v>
      </c>
      <c r="AN22" s="712">
        <f>+AH22+AJ22</f>
        <v>660437.52321955352</v>
      </c>
      <c r="AO22" s="398">
        <f>+AI22+AK22</f>
        <v>636560.03120800003</v>
      </c>
      <c r="AP22" s="910">
        <f>+AP23*AP3*24</f>
        <v>85772.115051552304</v>
      </c>
      <c r="AQ22" s="387">
        <f>+'POWER DISTRIBUTION'!AV9/1000</f>
        <v>73959.980409999989</v>
      </c>
      <c r="AR22" s="712">
        <f>+AN22+AP22</f>
        <v>746209.63827110582</v>
      </c>
      <c r="AS22" s="398">
        <f>+AO22+AQ22</f>
        <v>710520.01161799999</v>
      </c>
      <c r="AT22" s="910">
        <f>+AT23*AT3*24</f>
        <v>76675.2152146515</v>
      </c>
      <c r="AU22" s="387">
        <f>+'POWER DISTRIBUTION'!AZ9/1000</f>
        <v>66817.949699999997</v>
      </c>
      <c r="AV22" s="712">
        <f>+AR22+AT22</f>
        <v>822884.85348575737</v>
      </c>
      <c r="AW22" s="398">
        <f>+AS22+AU22</f>
        <v>777337.96131799999</v>
      </c>
      <c r="AX22" s="910">
        <f>+AX23*AX3*24</f>
        <v>79003.014426272726</v>
      </c>
      <c r="AY22" s="387">
        <f>+'POWER DISTRIBUTION'!BD9/1000</f>
        <v>73892.102150000093</v>
      </c>
      <c r="AZ22" s="713">
        <f t="shared" ref="AZ22" si="43">+AP22+AT22+AX22</f>
        <v>241450.3446924765</v>
      </c>
      <c r="BA22" s="408">
        <f t="shared" ref="BA22" si="44">+AQ22+AU22+AY22</f>
        <v>214670.03226000007</v>
      </c>
      <c r="BB22" s="715">
        <f>AL22+AZ22</f>
        <v>484213.87426144822</v>
      </c>
      <c r="BC22" s="484">
        <f>AM22+BA22</f>
        <v>421412.04486000008</v>
      </c>
      <c r="BD22" s="712">
        <f>+AV22+AX22</f>
        <v>901887.86791203008</v>
      </c>
      <c r="BE22" s="398">
        <f>+AW22+AY22</f>
        <v>851230.06346800004</v>
      </c>
      <c r="BF22" s="502"/>
      <c r="BG22" s="502"/>
      <c r="BH22" s="25"/>
      <c r="BI22" s="25"/>
      <c r="BJ22" s="25"/>
    </row>
    <row r="23" spans="2:62" ht="16.5" thickBot="1" x14ac:dyDescent="0.3">
      <c r="B23" s="3143" t="s">
        <v>382</v>
      </c>
      <c r="C23" s="389" t="s">
        <v>374</v>
      </c>
      <c r="D23" s="911">
        <v>91.873957188675718</v>
      </c>
      <c r="E23" s="341">
        <f>+E22/E$3/24</f>
        <v>98.122228611111112</v>
      </c>
      <c r="F23" s="911">
        <v>102.9411453814557</v>
      </c>
      <c r="G23" s="341">
        <f>+G22/G$3/24</f>
        <v>101.32129838709677</v>
      </c>
      <c r="H23" s="399">
        <f>+H22/H$3/24</f>
        <v>97.498265942383583</v>
      </c>
      <c r="I23" s="399">
        <f>+I22/I$3/24</f>
        <v>99.747985382513676</v>
      </c>
      <c r="J23" s="911">
        <v>103.03334199517656</v>
      </c>
      <c r="K23" s="341">
        <f>+K22/K$3/24</f>
        <v>97.690281944444436</v>
      </c>
      <c r="L23" s="409">
        <f>+L22/L$3/24</f>
        <v>99.323016289458181</v>
      </c>
      <c r="M23" s="409">
        <f>+M22/M$3/24</f>
        <v>99.069621611721615</v>
      </c>
      <c r="N23" s="911">
        <v>101.60052933064966</v>
      </c>
      <c r="O23" s="341">
        <f>+O22/O$3/24</f>
        <v>97.442122322580644</v>
      </c>
      <c r="P23" s="399">
        <f>+P22/P$3/24</f>
        <v>99.901728619597009</v>
      </c>
      <c r="Q23" s="399">
        <f>+Q22/Q$3/24</f>
        <v>98.656076710382521</v>
      </c>
      <c r="R23" s="911">
        <v>102.38012972051321</v>
      </c>
      <c r="S23" s="341">
        <f>+S22/S$3/24</f>
        <v>94.850807795698927</v>
      </c>
      <c r="T23" s="399">
        <f>+T22/T$3/24</f>
        <v>100.40388831978265</v>
      </c>
      <c r="U23" s="399">
        <f>+U22/U$3/24</f>
        <v>97.885074511982566</v>
      </c>
      <c r="V23" s="911">
        <v>68.042938528249806</v>
      </c>
      <c r="W23" s="341">
        <f>+W22/W$3/24</f>
        <v>97.755590277777756</v>
      </c>
      <c r="X23" s="409">
        <f>+X22/X$3/24</f>
        <v>90.920528113408082</v>
      </c>
      <c r="Y23" s="409">
        <f>+Y22/Y$3/24</f>
        <v>96.67117980434783</v>
      </c>
      <c r="Z23" s="485">
        <f>+Z22/Z$3/24</f>
        <v>95.098814583465796</v>
      </c>
      <c r="AA23" s="485">
        <f>+AA22/AA$3/24</f>
        <v>97.863847588342438</v>
      </c>
      <c r="AB23" s="911">
        <v>103.12932796865955</v>
      </c>
      <c r="AC23" s="341">
        <f>+AC22/AC$3/24</f>
        <v>87.229855645161294</v>
      </c>
      <c r="AD23" s="399">
        <f>+AD22/AD$3/24</f>
        <v>96.262113251414419</v>
      </c>
      <c r="AE23" s="399">
        <f>+AE22/AE$3/24</f>
        <v>96.323409503115272</v>
      </c>
      <c r="AF23" s="911">
        <v>113.39998351681271</v>
      </c>
      <c r="AG23" s="341">
        <f>+AG22/AG$3/24</f>
        <v>97.079166666666666</v>
      </c>
      <c r="AH23" s="399">
        <f>+AH22/AH$3/24</f>
        <v>98.369228447979779</v>
      </c>
      <c r="AI23" s="399">
        <f>+AI22/AI$3/24</f>
        <v>96.416330465846997</v>
      </c>
      <c r="AJ23" s="911">
        <v>113.42381912390304</v>
      </c>
      <c r="AK23" s="341">
        <f>+AK22/AK$3/24</f>
        <v>96.701612903225808</v>
      </c>
      <c r="AL23" s="409">
        <f>+AL22/AL$3/24</f>
        <v>109.94725071058502</v>
      </c>
      <c r="AM23" s="409">
        <f>+AM22/AM$3/24</f>
        <v>93.633157880434794</v>
      </c>
      <c r="AN23" s="399">
        <f>+AN22/AN$3/24</f>
        <v>100.06629139690205</v>
      </c>
      <c r="AO23" s="399">
        <f>+AO22/AO$3/24</f>
        <v>96.448489576969692</v>
      </c>
      <c r="AP23" s="911">
        <v>115.28510087574236</v>
      </c>
      <c r="AQ23" s="341">
        <f>+AQ22/AQ$3/24</f>
        <v>99.408575819892462</v>
      </c>
      <c r="AR23" s="399">
        <f>+AR22/AR$3/24</f>
        <v>101.60806621338587</v>
      </c>
      <c r="AS23" s="399">
        <f>+AS22/AS$3/24</f>
        <v>96.748367595043575</v>
      </c>
      <c r="AT23" s="911">
        <v>114.10002264085044</v>
      </c>
      <c r="AU23" s="341">
        <f>+AU22/AU$3/24</f>
        <v>99.431472767857144</v>
      </c>
      <c r="AV23" s="399">
        <f>+AV22/AV$3/24</f>
        <v>102.65529609353261</v>
      </c>
      <c r="AW23" s="399">
        <f>+AW22/AW$3/24</f>
        <v>96.973298567614776</v>
      </c>
      <c r="AX23" s="911">
        <v>106.18684734714077</v>
      </c>
      <c r="AY23" s="341">
        <f>+AY22/AY$3/24</f>
        <v>99.317341599462495</v>
      </c>
      <c r="AZ23" s="409">
        <f t="shared" ref="AZ23:BE23" si="45">+AZ22/AZ$3/24</f>
        <v>111.78256698725765</v>
      </c>
      <c r="BA23" s="409">
        <f t="shared" si="45"/>
        <v>99.384274194444473</v>
      </c>
      <c r="BB23" s="485">
        <f t="shared" si="45"/>
        <v>110.85482469355499</v>
      </c>
      <c r="BC23" s="485">
        <f t="shared" si="45"/>
        <v>96.477116497252766</v>
      </c>
      <c r="BD23" s="399">
        <f t="shared" si="45"/>
        <v>102.95523606301714</v>
      </c>
      <c r="BE23" s="399">
        <f t="shared" si="45"/>
        <v>97.172381674429232</v>
      </c>
      <c r="BF23" s="502"/>
      <c r="BG23" s="502"/>
      <c r="BH23" s="25"/>
      <c r="BI23" s="25"/>
      <c r="BJ23" s="25"/>
    </row>
    <row r="24" spans="2:62" ht="18.75" x14ac:dyDescent="0.25">
      <c r="B24" s="3423" t="s">
        <v>437</v>
      </c>
      <c r="C24" s="120" t="s">
        <v>375</v>
      </c>
      <c r="D24" s="575">
        <f t="shared" ref="D24:K24" si="46">+D20+D22</f>
        <v>96650.794239863259</v>
      </c>
      <c r="E24" s="643">
        <f t="shared" si="46"/>
        <v>108639.8046</v>
      </c>
      <c r="F24" s="575">
        <f t="shared" ref="F24:G24" si="47">+F20+F22</f>
        <v>116432.93541389654</v>
      </c>
      <c r="G24" s="643">
        <f t="shared" si="47"/>
        <v>110074.046</v>
      </c>
      <c r="H24" s="575">
        <f t="shared" si="46"/>
        <v>213083.7296537598</v>
      </c>
      <c r="I24" s="643">
        <f t="shared" si="46"/>
        <v>218713.85060000001</v>
      </c>
      <c r="J24" s="575">
        <f t="shared" si="46"/>
        <v>112627.31929746183</v>
      </c>
      <c r="K24" s="643">
        <f t="shared" si="46"/>
        <v>109637.40299999999</v>
      </c>
      <c r="L24" s="1489">
        <f t="shared" ref="L24:O25" si="48">+L20+L22</f>
        <v>325711.04895122163</v>
      </c>
      <c r="M24" s="1489">
        <f t="shared" si="48"/>
        <v>328351.25360000005</v>
      </c>
      <c r="N24" s="575">
        <f t="shared" si="48"/>
        <v>115501.30719417044</v>
      </c>
      <c r="O24" s="643">
        <f t="shared" si="48"/>
        <v>115260.639008</v>
      </c>
      <c r="P24" s="575">
        <f t="shared" ref="P24:S25" si="49">+P20+P22</f>
        <v>441212.35614539206</v>
      </c>
      <c r="Q24" s="575">
        <f t="shared" si="49"/>
        <v>443611.89260800002</v>
      </c>
      <c r="R24" s="575">
        <f t="shared" si="49"/>
        <v>115501.30719417045</v>
      </c>
      <c r="S24" s="643">
        <f t="shared" si="49"/>
        <v>111607.901</v>
      </c>
      <c r="T24" s="575">
        <f t="shared" ref="T24:W24" si="50">+T20+T22</f>
        <v>556713.6633395626</v>
      </c>
      <c r="U24" s="575">
        <f t="shared" si="50"/>
        <v>555219.79360800004</v>
      </c>
      <c r="V24" s="575">
        <f t="shared" si="50"/>
        <v>78448.631099244507</v>
      </c>
      <c r="W24" s="643">
        <f t="shared" si="50"/>
        <v>108649.42499999999</v>
      </c>
      <c r="X24" s="1489">
        <f t="shared" ref="X24:Y24" si="51">+X20+X22</f>
        <v>309451.24548758543</v>
      </c>
      <c r="Y24" s="1489">
        <f t="shared" si="51"/>
        <v>335517.96500800003</v>
      </c>
      <c r="Z24" s="2301">
        <f t="shared" ref="Z24:AC24" si="52">+Z20+Z22</f>
        <v>635162.29443880706</v>
      </c>
      <c r="AA24" s="2301">
        <f t="shared" si="52"/>
        <v>663869.21860799997</v>
      </c>
      <c r="AB24" s="575">
        <f t="shared" si="52"/>
        <v>116215.12422770298</v>
      </c>
      <c r="AC24" s="643">
        <f t="shared" si="52"/>
        <v>99245.312600000005</v>
      </c>
      <c r="AD24" s="575">
        <f t="shared" ref="AD24:AG24" si="53">+AD20+AD22</f>
        <v>751377.41866651003</v>
      </c>
      <c r="AE24" s="575">
        <f t="shared" si="53"/>
        <v>763114.53120800003</v>
      </c>
      <c r="AF24" s="575">
        <f t="shared" si="53"/>
        <v>112969.57765108054</v>
      </c>
      <c r="AG24" s="643">
        <f t="shared" si="53"/>
        <v>107533.70000000001</v>
      </c>
      <c r="AH24" s="575">
        <f t="shared" ref="AH24:AK24" si="54">+AH20+AH22</f>
        <v>864346.99631759059</v>
      </c>
      <c r="AI24" s="575">
        <f t="shared" si="54"/>
        <v>870648.2312080001</v>
      </c>
      <c r="AJ24" s="575">
        <f t="shared" si="54"/>
        <v>116724.43312751525</v>
      </c>
      <c r="AK24" s="643">
        <f t="shared" si="54"/>
        <v>109070</v>
      </c>
      <c r="AL24" s="2577">
        <f t="shared" ref="AL24:AS25" si="55">+AL20+AL22</f>
        <v>345909.13500629878</v>
      </c>
      <c r="AM24" s="2577">
        <f t="shared" si="55"/>
        <v>315849.01260000002</v>
      </c>
      <c r="AN24" s="575">
        <f t="shared" si="55"/>
        <v>981071.42944510584</v>
      </c>
      <c r="AO24" s="575">
        <f t="shared" si="55"/>
        <v>979718.2312080001</v>
      </c>
      <c r="AP24" s="575">
        <f t="shared" si="55"/>
        <v>117435.69160293767</v>
      </c>
      <c r="AQ24" s="643">
        <f t="shared" si="55"/>
        <v>109594.28040999999</v>
      </c>
      <c r="AR24" s="575">
        <f t="shared" si="55"/>
        <v>1098507.1210480435</v>
      </c>
      <c r="AS24" s="575">
        <f t="shared" si="55"/>
        <v>1089312.511618</v>
      </c>
      <c r="AT24" s="575">
        <f t="shared" ref="AT24:AU24" si="56">+AT20+AT22</f>
        <v>105633.15802639694</v>
      </c>
      <c r="AU24" s="643">
        <f t="shared" si="56"/>
        <v>97118.449699999997</v>
      </c>
      <c r="AV24" s="575">
        <f t="shared" ref="AV24:AY24" si="57">+AV20+AV22</f>
        <v>1204140.2790744407</v>
      </c>
      <c r="AW24" s="575">
        <f t="shared" si="57"/>
        <v>1186430.961318</v>
      </c>
      <c r="AX24" s="575">
        <f t="shared" si="57"/>
        <v>117561.41007221155</v>
      </c>
      <c r="AY24" s="643">
        <f t="shared" si="57"/>
        <v>111039.30215000009</v>
      </c>
      <c r="AZ24" s="2857">
        <f t="shared" ref="AZ24:BE24" si="58">+AZ20+AZ22</f>
        <v>340630.25970154617</v>
      </c>
      <c r="BA24" s="2857">
        <f t="shared" si="58"/>
        <v>317752.03226000007</v>
      </c>
      <c r="BB24" s="2301">
        <f t="shared" si="58"/>
        <v>686539.39470784494</v>
      </c>
      <c r="BC24" s="2301">
        <f t="shared" si="58"/>
        <v>633601.04486000002</v>
      </c>
      <c r="BD24" s="575">
        <f t="shared" si="58"/>
        <v>1321701.6891466521</v>
      </c>
      <c r="BE24" s="575">
        <f t="shared" si="58"/>
        <v>1297470.2634680001</v>
      </c>
      <c r="BF24" s="502"/>
      <c r="BG24" s="502"/>
      <c r="BH24" s="25"/>
      <c r="BI24" s="25"/>
      <c r="BJ24" s="25"/>
    </row>
    <row r="25" spans="2:62" ht="19.5" thickBot="1" x14ac:dyDescent="0.3">
      <c r="B25" s="3139" t="s">
        <v>438</v>
      </c>
      <c r="C25" s="20" t="s">
        <v>374</v>
      </c>
      <c r="D25" s="676">
        <f>+D21+D23</f>
        <v>134.23721422203229</v>
      </c>
      <c r="E25" s="676">
        <f>+E21+E23</f>
        <v>150.88861750000001</v>
      </c>
      <c r="F25" s="676">
        <f>+F21+F23</f>
        <v>156.49588093265663</v>
      </c>
      <c r="G25" s="676">
        <f>+G21+G23</f>
        <v>147.94898655913977</v>
      </c>
      <c r="H25" s="638">
        <f>+H21+H23</f>
        <v>145.54899566513649</v>
      </c>
      <c r="I25" s="400">
        <f>+I24/I$3/24</f>
        <v>149.39470669398909</v>
      </c>
      <c r="J25" s="676">
        <f>+J21+J23</f>
        <v>156.42683235758588</v>
      </c>
      <c r="K25" s="676">
        <f>+K21+K23</f>
        <v>152.2741708333333</v>
      </c>
      <c r="L25" s="2302">
        <f t="shared" si="48"/>
        <v>149.13509567363627</v>
      </c>
      <c r="M25" s="410">
        <f>+M24/M$3/24</f>
        <v>150.34398058608062</v>
      </c>
      <c r="N25" s="676">
        <f>+N21+N23</f>
        <v>155.24369246528286</v>
      </c>
      <c r="O25" s="676">
        <f>+O21+O23</f>
        <v>154.92021372043013</v>
      </c>
      <c r="P25" s="638">
        <f t="shared" si="49"/>
        <v>150.68728010430056</v>
      </c>
      <c r="Q25" s="400">
        <f>+Q24/Q$3/24</f>
        <v>151.50679392349727</v>
      </c>
      <c r="R25" s="676">
        <f>+R21+R23</f>
        <v>155.24369246528286</v>
      </c>
      <c r="S25" s="676">
        <f>+S21+S23</f>
        <v>150.01061962365591</v>
      </c>
      <c r="T25" s="638">
        <f t="shared" ref="T25" si="59">+T21+T23</f>
        <v>151.61047476567609</v>
      </c>
      <c r="U25" s="400">
        <f>+U24/U$3/24</f>
        <v>151.20364749673203</v>
      </c>
      <c r="V25" s="676">
        <f>+V21+V23</f>
        <v>108.95643208228404</v>
      </c>
      <c r="W25" s="676">
        <f>+W21+W23</f>
        <v>150.90197916666665</v>
      </c>
      <c r="X25" s="2302">
        <f t="shared" ref="X25" si="60">+X21+X23</f>
        <v>140.1500206012615</v>
      </c>
      <c r="Y25" s="410">
        <f>+Y24/Y$3/24</f>
        <v>151.95560009420291</v>
      </c>
      <c r="Z25" s="2303">
        <f>+Z21+Z23</f>
        <v>144.61800875200527</v>
      </c>
      <c r="AA25" s="486">
        <f>+AA24/AA$3/24</f>
        <v>151.15419367213113</v>
      </c>
      <c r="AB25" s="676">
        <f>+AB21+AB23</f>
        <v>156.20312396196638</v>
      </c>
      <c r="AC25" s="676">
        <f>+AC21+AC23</f>
        <v>133.39423736559138</v>
      </c>
      <c r="AD25" s="638">
        <f>+AD21+AD23</f>
        <v>146.29622637587812</v>
      </c>
      <c r="AE25" s="400">
        <f>+AE24/AE$3/24</f>
        <v>148.5814897211838</v>
      </c>
      <c r="AF25" s="676">
        <f>+AF21+AF23</f>
        <v>156.9021911820563</v>
      </c>
      <c r="AG25" s="676">
        <f>+AG21+AG23</f>
        <v>149.35236111111112</v>
      </c>
      <c r="AH25" s="638">
        <f>+AH21+AH23</f>
        <v>147.60023844221149</v>
      </c>
      <c r="AI25" s="400">
        <f>+AI24/AI$3/24</f>
        <v>148.67626899043719</v>
      </c>
      <c r="AJ25" s="676">
        <f>+AJ21+AJ23</f>
        <v>156.88767893483231</v>
      </c>
      <c r="AK25" s="676">
        <f>+AK21+AK23</f>
        <v>146.59946236559139</v>
      </c>
      <c r="AL25" s="2578">
        <f t="shared" si="55"/>
        <v>156.66174592676575</v>
      </c>
      <c r="AM25" s="410">
        <f>+AM24/AM$3/24</f>
        <v>143.04756005434783</v>
      </c>
      <c r="AN25" s="638">
        <f>+AN21+AN23</f>
        <v>148.64718627956148</v>
      </c>
      <c r="AO25" s="400">
        <f>+AO24/AO$3/24</f>
        <v>148.44215624363639</v>
      </c>
      <c r="AP25" s="676">
        <f>+AP21+AP23</f>
        <v>157.84367150932485</v>
      </c>
      <c r="AQ25" s="676">
        <f>+AQ21+AQ23</f>
        <v>147.3041403360215</v>
      </c>
      <c r="AR25" s="638">
        <f>+AR21+AR23</f>
        <v>149.57885635185778</v>
      </c>
      <c r="AS25" s="400">
        <f>+AS24/AS$3/24</f>
        <v>148.32686705038125</v>
      </c>
      <c r="AT25" s="676">
        <f>+AT21+AT23</f>
        <v>157.19219944404304</v>
      </c>
      <c r="AU25" s="676">
        <f>+AU21+AU23</f>
        <v>144.5215025297619</v>
      </c>
      <c r="AV25" s="638">
        <f>+AV21+AV23</f>
        <v>150.21710068293919</v>
      </c>
      <c r="AW25" s="400">
        <f>+AW24/AW$3/24</f>
        <v>148.00785445583833</v>
      </c>
      <c r="AX25" s="676">
        <f>+AX21+AX23</f>
        <v>158.01264794652093</v>
      </c>
      <c r="AY25" s="676">
        <f>+AY21+AY23</f>
        <v>149.246373857527</v>
      </c>
      <c r="AZ25" s="2952">
        <f t="shared" ref="AZ25" si="61">+AZ21+AZ23</f>
        <v>157.69919430627138</v>
      </c>
      <c r="BA25" s="2953">
        <f>+BA24/BA$3/24</f>
        <v>147.10742234259263</v>
      </c>
      <c r="BB25" s="2954">
        <f>+BB21+BB23</f>
        <v>157.17476985069709</v>
      </c>
      <c r="BC25" s="2955">
        <f>+BC24/BC$3/24</f>
        <v>145.05518426282052</v>
      </c>
      <c r="BD25" s="2956">
        <f>+BD21+BD23</f>
        <v>150.87918825875025</v>
      </c>
      <c r="BE25" s="2951">
        <f>+BE24/BE$3/24</f>
        <v>148.11304377488585</v>
      </c>
      <c r="BF25" s="502"/>
      <c r="BG25" s="502"/>
      <c r="BH25" s="25"/>
      <c r="BI25" s="25"/>
      <c r="BJ25" s="25"/>
    </row>
    <row r="26" spans="2:62" ht="15.75" thickBot="1" x14ac:dyDescent="0.3">
      <c r="B26" s="3424" t="s">
        <v>385</v>
      </c>
      <c r="C26" s="6"/>
      <c r="D26" s="913"/>
      <c r="E26" s="644"/>
      <c r="F26" s="913"/>
      <c r="G26" s="644"/>
      <c r="H26" s="6"/>
      <c r="I26" s="644"/>
      <c r="J26" s="913"/>
      <c r="K26" s="644"/>
      <c r="L26" s="6"/>
      <c r="M26" s="6"/>
      <c r="N26" s="913"/>
      <c r="O26" s="644"/>
      <c r="P26" s="6"/>
      <c r="Q26" s="6"/>
      <c r="R26" s="913"/>
      <c r="S26" s="644"/>
      <c r="T26" s="6"/>
      <c r="U26" s="6"/>
      <c r="V26" s="913"/>
      <c r="W26" s="644"/>
      <c r="X26" s="6"/>
      <c r="Y26" s="6"/>
      <c r="Z26" s="2306"/>
      <c r="AA26" s="2306"/>
      <c r="AB26" s="913"/>
      <c r="AC26" s="644"/>
      <c r="AD26" s="6"/>
      <c r="AE26" s="6"/>
      <c r="AF26" s="913"/>
      <c r="AG26" s="644"/>
      <c r="AH26" s="6"/>
      <c r="AI26" s="6"/>
      <c r="AJ26" s="913"/>
      <c r="AK26" s="644"/>
      <c r="AL26" s="6"/>
      <c r="AM26" s="6"/>
      <c r="AN26" s="6"/>
      <c r="AO26" s="6"/>
      <c r="AP26" s="913"/>
      <c r="AQ26" s="644"/>
      <c r="AR26" s="6"/>
      <c r="AS26" s="6"/>
      <c r="AT26" s="913"/>
      <c r="AU26" s="644"/>
      <c r="AV26" s="6"/>
      <c r="AW26" s="6"/>
      <c r="AX26" s="913"/>
      <c r="AY26" s="644"/>
      <c r="AZ26" s="6"/>
      <c r="BA26" s="6"/>
      <c r="BB26" s="2306"/>
      <c r="BC26" s="2306"/>
      <c r="BD26" s="6"/>
      <c r="BE26" s="6"/>
      <c r="BF26" s="502"/>
      <c r="BG26" s="502"/>
      <c r="BH26" s="25"/>
      <c r="BI26" s="25"/>
      <c r="BJ26" s="25"/>
    </row>
    <row r="27" spans="2:62" x14ac:dyDescent="0.25">
      <c r="B27" s="8" t="s">
        <v>63</v>
      </c>
      <c r="C27" s="12" t="s">
        <v>66</v>
      </c>
      <c r="D27" s="3138">
        <f>D35*D3*24</f>
        <v>159891.2197259879</v>
      </c>
      <c r="E27" s="17">
        <v>209516.88000000003</v>
      </c>
      <c r="F27" s="5623">
        <f>F35*F3*24</f>
        <v>227486.624326833</v>
      </c>
      <c r="G27" s="17">
        <v>189017.32</v>
      </c>
      <c r="H27" s="3137">
        <f>+D27+F27</f>
        <v>387377.84405282093</v>
      </c>
      <c r="I27" s="37">
        <f>+E27+G27</f>
        <v>398534.20000000007</v>
      </c>
      <c r="J27" s="5800">
        <f>J35*J3*24</f>
        <v>219678.40370610653</v>
      </c>
      <c r="K27" s="17">
        <v>206451.84000000003</v>
      </c>
      <c r="L27" s="713">
        <f t="shared" ref="L27:L28" si="62">+H27+J27</f>
        <v>607056.24775892752</v>
      </c>
      <c r="M27" s="403">
        <f t="shared" ref="M27:M28" si="63">+I27+K27</f>
        <v>604986.04</v>
      </c>
      <c r="N27" s="5875">
        <f>N35*N3*24</f>
        <v>228279.40518446034</v>
      </c>
      <c r="O27" s="17">
        <v>218006.16</v>
      </c>
      <c r="P27" s="59">
        <f>+L27+N27</f>
        <v>835335.65294338786</v>
      </c>
      <c r="Q27" s="205">
        <f>+M27+O27</f>
        <v>822992.20000000007</v>
      </c>
      <c r="R27" s="5964">
        <f>R35*R3*24</f>
        <v>225838.32518446038</v>
      </c>
      <c r="S27" s="17">
        <v>209120.88</v>
      </c>
      <c r="T27" s="4358">
        <f>+P27+R27</f>
        <v>1061173.9781278484</v>
      </c>
      <c r="U27" s="205">
        <f>+Q27+S27</f>
        <v>1032113.0800000001</v>
      </c>
      <c r="V27" s="6075">
        <f>V35*V3*24</f>
        <v>163918.51348963828</v>
      </c>
      <c r="W27" s="17">
        <v>199066.56000000003</v>
      </c>
      <c r="X27" s="2098">
        <f t="shared" ref="X27:Y28" si="64">+N27+R27+V27</f>
        <v>618036.24385855906</v>
      </c>
      <c r="Y27" s="498">
        <f t="shared" si="64"/>
        <v>626193.60000000009</v>
      </c>
      <c r="Z27" s="671">
        <f>L27+X27</f>
        <v>1225092.4916174866</v>
      </c>
      <c r="AA27" s="432">
        <f>M27+Y27</f>
        <v>1231179.6400000001</v>
      </c>
      <c r="AB27" s="6172">
        <f>AB35*AB3*24</f>
        <v>225947.07652182781</v>
      </c>
      <c r="AC27" s="17">
        <v>180510.72</v>
      </c>
      <c r="AD27" s="2455">
        <f>+Z27+AB27</f>
        <v>1451039.5681393144</v>
      </c>
      <c r="AE27" s="205">
        <f>+AA27+AC27</f>
        <v>1411690.36</v>
      </c>
      <c r="AF27" s="6350">
        <f>AF35*AF3*24</f>
        <v>185850.21688179977</v>
      </c>
      <c r="AG27" s="17">
        <v>197251.20000000001</v>
      </c>
      <c r="AH27" s="4650">
        <f>+AD27+AF27</f>
        <v>1636889.7850211142</v>
      </c>
      <c r="AI27" s="205">
        <f>+AE27+AG27</f>
        <v>1608941.56</v>
      </c>
      <c r="AJ27" s="6619">
        <f>AJ35*AJ3*24</f>
        <v>191985.5620533055</v>
      </c>
      <c r="AK27" s="17">
        <v>203551.92</v>
      </c>
      <c r="AL27" s="2572">
        <f t="shared" ref="AL27:AL28" si="65">+AB27+AF27+AJ27</f>
        <v>603782.85545693315</v>
      </c>
      <c r="AM27" s="498">
        <f t="shared" ref="AM27:AM28" si="66">+AC27+AG27+AK27</f>
        <v>581313.84000000008</v>
      </c>
      <c r="AN27" s="2568">
        <f>+AH27+AJ27</f>
        <v>1828875.3470744197</v>
      </c>
      <c r="AO27" s="205">
        <f>+AI27+AK27</f>
        <v>1812493.48</v>
      </c>
      <c r="AP27" s="6706">
        <f>AP35*AP3*24</f>
        <v>188677.89973019162</v>
      </c>
      <c r="AQ27" s="17">
        <v>197320.08</v>
      </c>
      <c r="AR27" s="4989">
        <f>+AN27+AP27</f>
        <v>2017553.2468046113</v>
      </c>
      <c r="AS27" s="205">
        <f>+AO27+AQ27</f>
        <v>2009813.56</v>
      </c>
      <c r="AT27" s="6855">
        <f>AT35*AT3*24</f>
        <v>172144.98020764263</v>
      </c>
      <c r="AU27" s="17">
        <v>169245.6</v>
      </c>
      <c r="AV27" s="5056">
        <f>+AR27+AT27</f>
        <v>2189698.2270122538</v>
      </c>
      <c r="AW27" s="205">
        <f>+AS27+AU27</f>
        <v>2179059.16</v>
      </c>
      <c r="AX27" s="7011">
        <f>AX35*AX3*24</f>
        <v>221428.29042932059</v>
      </c>
      <c r="AY27" s="17">
        <v>205252.8</v>
      </c>
      <c r="AZ27" s="2849">
        <f t="shared" ref="AZ27:AZ28" si="67">+AP27+AT27+AX27</f>
        <v>582251.17036715476</v>
      </c>
      <c r="BA27" s="498">
        <f t="shared" ref="BA27:BA28" si="68">+AQ27+AU27+AY27</f>
        <v>571818.48</v>
      </c>
      <c r="BB27" s="671">
        <f>AL27+AZ27</f>
        <v>1186034.0258240879</v>
      </c>
      <c r="BC27" s="432">
        <f>AM27+BA27</f>
        <v>1153132.32</v>
      </c>
      <c r="BD27" s="2848">
        <f>+AV27+AX27</f>
        <v>2411126.5174415745</v>
      </c>
      <c r="BE27" s="205">
        <f>+AW27+AY27</f>
        <v>2384311.96</v>
      </c>
      <c r="BF27" s="502"/>
      <c r="BG27" s="502"/>
      <c r="BH27" s="25"/>
      <c r="BI27" s="25"/>
      <c r="BJ27" s="25"/>
    </row>
    <row r="28" spans="2:62" ht="15.75" thickBot="1" x14ac:dyDescent="0.3">
      <c r="B28" s="3425" t="s">
        <v>56</v>
      </c>
      <c r="C28" s="13" t="s">
        <v>66</v>
      </c>
      <c r="D28" s="3141">
        <f>D36*D3*24</f>
        <v>45360</v>
      </c>
      <c r="E28" s="17">
        <v>43263.359999999986</v>
      </c>
      <c r="F28" s="5627">
        <f>F36*F3*24</f>
        <v>46872</v>
      </c>
      <c r="G28" s="17">
        <v>48268</v>
      </c>
      <c r="H28" s="3137">
        <f>+D28+F28</f>
        <v>92232</v>
      </c>
      <c r="I28" s="37">
        <f>+E28+G28</f>
        <v>91531.359999999986</v>
      </c>
      <c r="J28" s="5802">
        <f>J36*J3*24</f>
        <v>45360</v>
      </c>
      <c r="K28" s="17">
        <v>46415.839999999989</v>
      </c>
      <c r="L28" s="713">
        <f t="shared" si="62"/>
        <v>137592</v>
      </c>
      <c r="M28" s="403">
        <f t="shared" si="63"/>
        <v>137947.19999999998</v>
      </c>
      <c r="N28" s="5877">
        <f>N36*N3*24</f>
        <v>46872</v>
      </c>
      <c r="O28" s="17">
        <v>48772.800000000003</v>
      </c>
      <c r="P28" s="59">
        <f>+L28+N28</f>
        <v>184464</v>
      </c>
      <c r="Q28" s="205">
        <f>+M28+O28</f>
        <v>186720</v>
      </c>
      <c r="R28" s="5966">
        <f>R36*R3*24</f>
        <v>46872</v>
      </c>
      <c r="S28" s="17">
        <v>50068</v>
      </c>
      <c r="T28" s="4358">
        <f>+P28+R28</f>
        <v>231336</v>
      </c>
      <c r="U28" s="205">
        <f>+Q28+S28</f>
        <v>236788</v>
      </c>
      <c r="V28" s="6077">
        <f>V36*V3*24</f>
        <v>45360</v>
      </c>
      <c r="W28" s="17">
        <v>45636.799999999988</v>
      </c>
      <c r="X28" s="2098">
        <f t="shared" si="64"/>
        <v>139104</v>
      </c>
      <c r="Y28" s="498">
        <f t="shared" si="64"/>
        <v>144477.59999999998</v>
      </c>
      <c r="Z28" s="679">
        <f>L28+X28</f>
        <v>276696</v>
      </c>
      <c r="AA28" s="433">
        <f>M28+Y28</f>
        <v>282424.79999999993</v>
      </c>
      <c r="AB28" s="6177">
        <f>AB36*AB3*24</f>
        <v>46872</v>
      </c>
      <c r="AC28" s="17">
        <v>46608</v>
      </c>
      <c r="AD28" s="2455">
        <f>+Z28+AB28</f>
        <v>323568</v>
      </c>
      <c r="AE28" s="205">
        <f>+AA28+AC28</f>
        <v>329032.79999999993</v>
      </c>
      <c r="AF28" s="6353">
        <f>AF36*AF3*24</f>
        <v>45360</v>
      </c>
      <c r="AG28" s="17">
        <v>48792</v>
      </c>
      <c r="AH28" s="4650">
        <f>+AD28+AF28</f>
        <v>368928</v>
      </c>
      <c r="AI28" s="205">
        <f>+AE28+AG28</f>
        <v>377824.79999999993</v>
      </c>
      <c r="AJ28" s="6621">
        <f>AJ36*AJ3*24</f>
        <v>46872</v>
      </c>
      <c r="AK28" s="17">
        <v>49228</v>
      </c>
      <c r="AL28" s="2572">
        <f t="shared" si="65"/>
        <v>139104</v>
      </c>
      <c r="AM28" s="498">
        <f t="shared" si="66"/>
        <v>144628</v>
      </c>
      <c r="AN28" s="2568">
        <f>+AH28+AJ28</f>
        <v>415800</v>
      </c>
      <c r="AO28" s="205">
        <f>+AI28+AK28</f>
        <v>427052.79999999993</v>
      </c>
      <c r="AP28" s="6708">
        <f>AP36*AP3*24</f>
        <v>46872</v>
      </c>
      <c r="AQ28" s="17">
        <v>47007.199999999997</v>
      </c>
      <c r="AR28" s="4989">
        <f>+AN28+AP28</f>
        <v>462672</v>
      </c>
      <c r="AS28" s="205">
        <f>+AO28+AQ28</f>
        <v>474059.99999999994</v>
      </c>
      <c r="AT28" s="6857">
        <f>AT36*AT3*24</f>
        <v>42336</v>
      </c>
      <c r="AU28" s="17">
        <v>42920.800000000003</v>
      </c>
      <c r="AV28" s="5056">
        <f>+AR28+AT28</f>
        <v>505008</v>
      </c>
      <c r="AW28" s="205">
        <f>+AS28+AU28</f>
        <v>516980.79999999993</v>
      </c>
      <c r="AX28" s="7013">
        <f>AX36*AX3*24</f>
        <v>46872</v>
      </c>
      <c r="AY28" s="17">
        <v>44519.44</v>
      </c>
      <c r="AZ28" s="2849">
        <f t="shared" si="67"/>
        <v>136080</v>
      </c>
      <c r="BA28" s="498">
        <f t="shared" si="68"/>
        <v>134447.44</v>
      </c>
      <c r="BB28" s="679">
        <f>AL28+AZ28</f>
        <v>275184</v>
      </c>
      <c r="BC28" s="433">
        <f>AM28+BA28</f>
        <v>279075.44</v>
      </c>
      <c r="BD28" s="2848">
        <f>+AV28+AX28</f>
        <v>551880</v>
      </c>
      <c r="BE28" s="205">
        <f>+AW28+AY28</f>
        <v>561500.24</v>
      </c>
      <c r="BF28" s="502"/>
      <c r="BG28" s="502"/>
      <c r="BH28" s="25"/>
      <c r="BI28" s="25"/>
      <c r="BJ28" s="25"/>
    </row>
    <row r="29" spans="2:62" ht="15.75" x14ac:dyDescent="0.25">
      <c r="B29" s="8224" t="s">
        <v>2</v>
      </c>
      <c r="C29" s="3362" t="s">
        <v>66</v>
      </c>
      <c r="D29" s="914">
        <f t="shared" ref="D29:I29" si="69">SUM(D27:D28)</f>
        <v>205251.2197259879</v>
      </c>
      <c r="E29" s="121">
        <f t="shared" si="69"/>
        <v>252780.24000000002</v>
      </c>
      <c r="F29" s="914">
        <f t="shared" ref="F29:G29" si="70">SUM(F27:F28)</f>
        <v>274358.624326833</v>
      </c>
      <c r="G29" s="121">
        <f t="shared" si="70"/>
        <v>237285.32</v>
      </c>
      <c r="H29" s="890">
        <f t="shared" si="69"/>
        <v>479609.84405282093</v>
      </c>
      <c r="I29" s="3426">
        <f t="shared" si="69"/>
        <v>490065.56000000006</v>
      </c>
      <c r="J29" s="914">
        <f t="shared" ref="J29:K29" si="71">SUM(J27:J28)</f>
        <v>265038.40370610653</v>
      </c>
      <c r="K29" s="121">
        <f t="shared" si="71"/>
        <v>252867.68000000002</v>
      </c>
      <c r="L29" s="915">
        <f t="shared" ref="L29:Q29" si="72">SUM(L27:L28)</f>
        <v>744648.24775892752</v>
      </c>
      <c r="M29" s="221">
        <f t="shared" si="72"/>
        <v>742933.24</v>
      </c>
      <c r="N29" s="914">
        <f t="shared" si="72"/>
        <v>275151.40518446034</v>
      </c>
      <c r="O29" s="121">
        <f t="shared" si="72"/>
        <v>266778.96000000002</v>
      </c>
      <c r="P29" s="890">
        <f t="shared" si="72"/>
        <v>1019799.6529433879</v>
      </c>
      <c r="Q29" s="207">
        <f t="shared" si="72"/>
        <v>1009712.2000000001</v>
      </c>
      <c r="R29" s="914">
        <f t="shared" ref="R29:S29" si="73">SUM(R27:R28)</f>
        <v>272710.32518446038</v>
      </c>
      <c r="S29" s="121">
        <f t="shared" si="73"/>
        <v>259188.88</v>
      </c>
      <c r="T29" s="890">
        <f t="shared" ref="T29:W29" si="74">SUM(T27:T28)</f>
        <v>1292509.9781278484</v>
      </c>
      <c r="U29" s="207">
        <f t="shared" si="74"/>
        <v>1268901.08</v>
      </c>
      <c r="V29" s="914">
        <f t="shared" si="74"/>
        <v>209278.51348963828</v>
      </c>
      <c r="W29" s="121">
        <f t="shared" si="74"/>
        <v>244703.36000000002</v>
      </c>
      <c r="X29" s="915">
        <f t="shared" ref="X29:Y29" si="75">SUM(X27:X28)</f>
        <v>757140.24385855906</v>
      </c>
      <c r="Y29" s="221">
        <f t="shared" si="75"/>
        <v>770671.20000000007</v>
      </c>
      <c r="Z29" s="2304">
        <f t="shared" ref="Z29:AE29" si="76">SUM(Z27:Z28)</f>
        <v>1501788.4916174866</v>
      </c>
      <c r="AA29" s="2305">
        <f t="shared" si="76"/>
        <v>1513604.44</v>
      </c>
      <c r="AB29" s="914">
        <f t="shared" si="76"/>
        <v>272819.07652182784</v>
      </c>
      <c r="AC29" s="121">
        <f t="shared" si="76"/>
        <v>227118.72</v>
      </c>
      <c r="AD29" s="890">
        <f t="shared" si="76"/>
        <v>1774607.5681393144</v>
      </c>
      <c r="AE29" s="207">
        <f t="shared" si="76"/>
        <v>1740723.1600000001</v>
      </c>
      <c r="AF29" s="914">
        <f t="shared" ref="AF29:AG29" si="77">SUM(AF27:AF28)</f>
        <v>231210.21688179977</v>
      </c>
      <c r="AG29" s="121">
        <f t="shared" si="77"/>
        <v>246043.2</v>
      </c>
      <c r="AH29" s="890">
        <f t="shared" ref="AH29:AK29" si="78">SUM(AH27:AH28)</f>
        <v>2005817.7850211142</v>
      </c>
      <c r="AI29" s="207">
        <f t="shared" si="78"/>
        <v>1986766.3599999999</v>
      </c>
      <c r="AJ29" s="914">
        <f t="shared" si="78"/>
        <v>238857.5620533055</v>
      </c>
      <c r="AK29" s="121">
        <f t="shared" si="78"/>
        <v>252779.92</v>
      </c>
      <c r="AL29" s="915">
        <f t="shared" ref="AL29:AS29" si="79">SUM(AL27:AL28)</f>
        <v>742886.85545693315</v>
      </c>
      <c r="AM29" s="221">
        <f t="shared" si="79"/>
        <v>725941.84000000008</v>
      </c>
      <c r="AN29" s="890">
        <f t="shared" si="79"/>
        <v>2244675.3470744197</v>
      </c>
      <c r="AO29" s="207">
        <f t="shared" si="79"/>
        <v>2239546.2799999998</v>
      </c>
      <c r="AP29" s="914">
        <f t="shared" si="79"/>
        <v>235549.89973019162</v>
      </c>
      <c r="AQ29" s="121">
        <f t="shared" si="79"/>
        <v>244327.27999999997</v>
      </c>
      <c r="AR29" s="890">
        <f t="shared" si="79"/>
        <v>2480225.2468046113</v>
      </c>
      <c r="AS29" s="207">
        <f t="shared" si="79"/>
        <v>2483873.56</v>
      </c>
      <c r="AT29" s="914">
        <f t="shared" ref="AT29:AU29" si="80">SUM(AT27:AT28)</f>
        <v>214480.98020764263</v>
      </c>
      <c r="AU29" s="121">
        <f t="shared" si="80"/>
        <v>212166.40000000002</v>
      </c>
      <c r="AV29" s="890">
        <f t="shared" ref="AV29:AY29" si="81">SUM(AV27:AV28)</f>
        <v>2694706.2270122538</v>
      </c>
      <c r="AW29" s="207">
        <f t="shared" si="81"/>
        <v>2696039.96</v>
      </c>
      <c r="AX29" s="914">
        <f t="shared" si="81"/>
        <v>268300.29042932059</v>
      </c>
      <c r="AY29" s="121">
        <f t="shared" si="81"/>
        <v>249772.24</v>
      </c>
      <c r="AZ29" s="915">
        <f t="shared" ref="AZ29:BE29" si="82">SUM(AZ27:AZ28)</f>
        <v>718331.17036715476</v>
      </c>
      <c r="BA29" s="221">
        <f t="shared" si="82"/>
        <v>706265.91999999993</v>
      </c>
      <c r="BB29" s="2304">
        <f t="shared" si="82"/>
        <v>1461218.0258240879</v>
      </c>
      <c r="BC29" s="2305">
        <f t="shared" si="82"/>
        <v>1432207.76</v>
      </c>
      <c r="BD29" s="890">
        <f t="shared" si="82"/>
        <v>2963006.5174415745</v>
      </c>
      <c r="BE29" s="207">
        <f t="shared" si="82"/>
        <v>2945812.2</v>
      </c>
      <c r="BF29" s="502"/>
      <c r="BG29" s="502"/>
      <c r="BH29" s="25"/>
      <c r="BI29" s="25"/>
      <c r="BJ29" s="25"/>
    </row>
    <row r="30" spans="2:62" ht="16.5" thickBot="1" x14ac:dyDescent="0.3">
      <c r="B30" s="8225"/>
      <c r="C30" s="34" t="s">
        <v>436</v>
      </c>
      <c r="D30" s="917">
        <f t="shared" ref="D30:AI30" si="83">+D29/(D3*24)</f>
        <v>285.07113850831655</v>
      </c>
      <c r="E30" s="645">
        <f t="shared" si="83"/>
        <v>351.08366666666672</v>
      </c>
      <c r="F30" s="917">
        <f t="shared" si="83"/>
        <v>368.76159183714111</v>
      </c>
      <c r="G30" s="645">
        <f t="shared" si="83"/>
        <v>318.93188172043011</v>
      </c>
      <c r="H30" s="916">
        <f t="shared" si="83"/>
        <v>327.60235249509628</v>
      </c>
      <c r="I30" s="3427">
        <f t="shared" si="83"/>
        <v>334.74423497267765</v>
      </c>
      <c r="J30" s="917">
        <f t="shared" si="83"/>
        <v>368.10889403625907</v>
      </c>
      <c r="K30" s="645">
        <f t="shared" si="83"/>
        <v>351.20511111111114</v>
      </c>
      <c r="L30" s="918">
        <f t="shared" si="83"/>
        <v>340.95615739877633</v>
      </c>
      <c r="M30" s="222">
        <f t="shared" si="83"/>
        <v>340.17089743589742</v>
      </c>
      <c r="N30" s="917">
        <f t="shared" si="83"/>
        <v>369.8271575059951</v>
      </c>
      <c r="O30" s="645">
        <f t="shared" si="83"/>
        <v>358.57387096774198</v>
      </c>
      <c r="P30" s="916">
        <f t="shared" si="83"/>
        <v>348.29223119651226</v>
      </c>
      <c r="Q30" s="208">
        <f t="shared" si="83"/>
        <v>344.84706284153009</v>
      </c>
      <c r="R30" s="917">
        <f t="shared" si="83"/>
        <v>366.54613600061879</v>
      </c>
      <c r="S30" s="645">
        <f t="shared" si="83"/>
        <v>348.37215053763441</v>
      </c>
      <c r="T30" s="916">
        <f t="shared" si="83"/>
        <v>351.99073478427243</v>
      </c>
      <c r="U30" s="208">
        <f t="shared" si="83"/>
        <v>345.56129629629629</v>
      </c>
      <c r="V30" s="917">
        <f t="shared" si="83"/>
        <v>290.66460206894203</v>
      </c>
      <c r="W30" s="645">
        <f t="shared" si="83"/>
        <v>339.86577777777779</v>
      </c>
      <c r="X30" s="918">
        <f t="shared" si="83"/>
        <v>342.90771913884015</v>
      </c>
      <c r="Y30" s="222">
        <f t="shared" si="83"/>
        <v>349.03586956521741</v>
      </c>
      <c r="Z30" s="919">
        <f t="shared" si="83"/>
        <v>341.93727040471003</v>
      </c>
      <c r="AA30" s="487">
        <f t="shared" si="83"/>
        <v>344.62760473588344</v>
      </c>
      <c r="AB30" s="917">
        <f t="shared" si="83"/>
        <v>366.69230715299443</v>
      </c>
      <c r="AC30" s="645">
        <f t="shared" si="83"/>
        <v>305.26709677419353</v>
      </c>
      <c r="AD30" s="916">
        <f t="shared" si="83"/>
        <v>345.52328040095688</v>
      </c>
      <c r="AE30" s="208">
        <f t="shared" si="83"/>
        <v>338.92584890965736</v>
      </c>
      <c r="AF30" s="917">
        <f t="shared" si="83"/>
        <v>321.12530122472191</v>
      </c>
      <c r="AG30" s="645">
        <f t="shared" si="83"/>
        <v>341.72666666666669</v>
      </c>
      <c r="AH30" s="916">
        <f t="shared" si="83"/>
        <v>342.5235288628952</v>
      </c>
      <c r="AI30" s="208">
        <f t="shared" si="83"/>
        <v>339.27021174863387</v>
      </c>
      <c r="AJ30" s="917">
        <f t="shared" ref="AJ30:BE30" si="84">+AJ29/(AJ3*24)</f>
        <v>321.04511028670095</v>
      </c>
      <c r="AK30" s="645">
        <f t="shared" si="84"/>
        <v>339.7579569892473</v>
      </c>
      <c r="AL30" s="918">
        <f t="shared" si="84"/>
        <v>336.45238018882844</v>
      </c>
      <c r="AM30" s="222">
        <f t="shared" si="84"/>
        <v>328.77800724637683</v>
      </c>
      <c r="AN30" s="916">
        <f t="shared" si="84"/>
        <v>340.10232531430603</v>
      </c>
      <c r="AO30" s="208">
        <f t="shared" si="84"/>
        <v>339.3251939393939</v>
      </c>
      <c r="AP30" s="917">
        <f t="shared" si="84"/>
        <v>316.59932759434361</v>
      </c>
      <c r="AQ30" s="645">
        <f t="shared" si="84"/>
        <v>328.39688172043009</v>
      </c>
      <c r="AR30" s="916">
        <f t="shared" si="84"/>
        <v>337.72130266947323</v>
      </c>
      <c r="AS30" s="208">
        <f t="shared" si="84"/>
        <v>338.21807734204793</v>
      </c>
      <c r="AT30" s="917">
        <f t="shared" si="84"/>
        <v>319.16812530899199</v>
      </c>
      <c r="AU30" s="645">
        <f t="shared" si="84"/>
        <v>315.72380952380956</v>
      </c>
      <c r="AV30" s="916">
        <f t="shared" si="84"/>
        <v>336.1659464835646</v>
      </c>
      <c r="AW30" s="208">
        <f t="shared" si="84"/>
        <v>336.33233033932135</v>
      </c>
      <c r="AX30" s="917">
        <f t="shared" si="84"/>
        <v>360.61866993188249</v>
      </c>
      <c r="AY30" s="645">
        <f t="shared" si="84"/>
        <v>335.715376344086</v>
      </c>
      <c r="AZ30" s="918">
        <f t="shared" si="84"/>
        <v>332.56072702183093</v>
      </c>
      <c r="BA30" s="222">
        <f t="shared" si="84"/>
        <v>326.97496296296293</v>
      </c>
      <c r="BB30" s="919">
        <f t="shared" si="84"/>
        <v>334.52793631503846</v>
      </c>
      <c r="BC30" s="487">
        <f t="shared" si="84"/>
        <v>327.88639194139193</v>
      </c>
      <c r="BD30" s="916">
        <f t="shared" si="84"/>
        <v>338.24275313259983</v>
      </c>
      <c r="BE30" s="208">
        <f t="shared" si="84"/>
        <v>336.27993150684932</v>
      </c>
      <c r="BF30" s="502"/>
      <c r="BG30" s="502"/>
      <c r="BH30" s="25"/>
      <c r="BI30" s="25"/>
      <c r="BJ30" s="25"/>
    </row>
    <row r="31" spans="2:62" ht="16.5" thickBot="1" x14ac:dyDescent="0.3">
      <c r="B31" s="3428" t="s">
        <v>64</v>
      </c>
      <c r="C31" s="14" t="s">
        <v>66</v>
      </c>
      <c r="D31" s="429">
        <f>+D38*D3*24</f>
        <v>2160</v>
      </c>
      <c r="E31" s="28">
        <v>6927.5664000000106</v>
      </c>
      <c r="F31" s="429">
        <f>+F38*F3*24</f>
        <v>2232</v>
      </c>
      <c r="G31" s="28">
        <v>6036.0400000000081</v>
      </c>
      <c r="H31" s="38">
        <f>+D31+F31</f>
        <v>4392</v>
      </c>
      <c r="I31" s="39">
        <f>+E31+G31</f>
        <v>12963.606400000019</v>
      </c>
      <c r="J31" s="429">
        <f>+J38*J3*24</f>
        <v>2160</v>
      </c>
      <c r="K31" s="28">
        <v>8146.4000000000233</v>
      </c>
      <c r="L31" s="331">
        <f>+H31+J31</f>
        <v>6552</v>
      </c>
      <c r="M31" s="114">
        <f t="shared" ref="M31" si="85">+I31+K31</f>
        <v>21110.006400000042</v>
      </c>
      <c r="N31" s="429">
        <f>+N38*N3*24</f>
        <v>2232</v>
      </c>
      <c r="O31" s="28">
        <v>9116.4000000000233</v>
      </c>
      <c r="P31" s="38">
        <f>+L31+N31</f>
        <v>8784</v>
      </c>
      <c r="Q31" s="206">
        <f>+M31+O31</f>
        <v>30226.406400000065</v>
      </c>
      <c r="R31" s="429">
        <f>+R38*R3*24</f>
        <v>2232</v>
      </c>
      <c r="S31" s="28">
        <v>9166.640000000014</v>
      </c>
      <c r="T31" s="38">
        <f>+P31+R31</f>
        <v>11016</v>
      </c>
      <c r="U31" s="206">
        <f>+Q31+S31</f>
        <v>39393.046400000079</v>
      </c>
      <c r="V31" s="429">
        <f>+V38*V3*24</f>
        <v>2160</v>
      </c>
      <c r="W31" s="28">
        <v>7028.4800000000105</v>
      </c>
      <c r="X31" s="331">
        <f t="shared" ref="X31:Y31" si="86">+N31+R31+V31</f>
        <v>6624</v>
      </c>
      <c r="Y31" s="114">
        <f t="shared" si="86"/>
        <v>25311.520000000048</v>
      </c>
      <c r="Z31" s="437">
        <f>L31+X31</f>
        <v>13176</v>
      </c>
      <c r="AA31" s="475">
        <f>M31+Y31</f>
        <v>46421.52640000009</v>
      </c>
      <c r="AB31" s="429">
        <f>+AB38*AB3*24</f>
        <v>2232</v>
      </c>
      <c r="AC31" s="28">
        <v>6540.320000000007</v>
      </c>
      <c r="AD31" s="38">
        <f>+Z31+AB31</f>
        <v>15408</v>
      </c>
      <c r="AE31" s="206">
        <f>+AA31+AC31</f>
        <v>52961.846400000097</v>
      </c>
      <c r="AF31" s="429">
        <f>+AF38*AF3*24</f>
        <v>2160</v>
      </c>
      <c r="AG31" s="28">
        <v>7404.4800000000105</v>
      </c>
      <c r="AH31" s="38">
        <f>+AD31+AF31</f>
        <v>17568</v>
      </c>
      <c r="AI31" s="206">
        <f>+AE31+AG31</f>
        <v>60366.326400000107</v>
      </c>
      <c r="AJ31" s="429">
        <f>+AJ38*AJ3*24</f>
        <v>2232</v>
      </c>
      <c r="AK31" s="28">
        <v>6087.2799999999988</v>
      </c>
      <c r="AL31" s="331">
        <f t="shared" ref="AL31" si="87">+AB31+AF31+AJ31</f>
        <v>6624</v>
      </c>
      <c r="AM31" s="114">
        <f t="shared" ref="AM31" si="88">+AC31+AG31+AK31</f>
        <v>20032.080000000016</v>
      </c>
      <c r="AN31" s="38">
        <f>+AH31+AJ31</f>
        <v>19800</v>
      </c>
      <c r="AO31" s="206">
        <f>+AI31+AK31</f>
        <v>66453.606400000106</v>
      </c>
      <c r="AP31" s="429">
        <f>+AP38*AP3*24</f>
        <v>2232</v>
      </c>
      <c r="AQ31" s="28">
        <v>5042.0799999999581</v>
      </c>
      <c r="AR31" s="38">
        <f>+AN31+AP31</f>
        <v>22032</v>
      </c>
      <c r="AS31" s="206">
        <f>+AO31+AQ31</f>
        <v>71495.686400000064</v>
      </c>
      <c r="AT31" s="429">
        <f>+AT38*AT3*24</f>
        <v>2016</v>
      </c>
      <c r="AU31" s="28">
        <v>9505.0000000000291</v>
      </c>
      <c r="AV31" s="38">
        <f>+AR31+AT31</f>
        <v>24048</v>
      </c>
      <c r="AW31" s="206">
        <f>+AS31+AU31</f>
        <v>81000.686400000093</v>
      </c>
      <c r="AX31" s="429">
        <f>+AX38*AX3*24</f>
        <v>2232</v>
      </c>
      <c r="AY31" s="28">
        <v>12937.760000000009</v>
      </c>
      <c r="AZ31" s="331">
        <f t="shared" ref="AZ31" si="89">+AP31+AT31+AX31</f>
        <v>6480</v>
      </c>
      <c r="BA31" s="114">
        <f t="shared" ref="BA31" si="90">+AQ31+AU31+AY31</f>
        <v>27484.839999999997</v>
      </c>
      <c r="BB31" s="437">
        <f>AN31+AZ31</f>
        <v>26280</v>
      </c>
      <c r="BC31" s="475">
        <f>AM31+BA31</f>
        <v>47516.920000000013</v>
      </c>
      <c r="BD31" s="38">
        <f>+AV31+AX31</f>
        <v>26280</v>
      </c>
      <c r="BE31" s="206">
        <f>+AW31+AY31</f>
        <v>93938.446400000103</v>
      </c>
      <c r="BF31" s="502"/>
      <c r="BG31" s="502"/>
      <c r="BH31" s="25"/>
      <c r="BI31" s="25"/>
      <c r="BJ31" s="25"/>
    </row>
    <row r="32" spans="2:62" ht="19.5" thickBot="1" x14ac:dyDescent="0.3">
      <c r="B32" s="3429" t="s">
        <v>65</v>
      </c>
      <c r="C32" s="3140" t="s">
        <v>66</v>
      </c>
      <c r="D32" s="691">
        <f t="shared" ref="D32:K32" si="91">+D29-D31</f>
        <v>203091.2197259879</v>
      </c>
      <c r="E32" s="646">
        <f t="shared" si="91"/>
        <v>245852.67360000001</v>
      </c>
      <c r="F32" s="691">
        <f t="shared" ref="F32:G32" si="92">+F29-F31</f>
        <v>272126.624326833</v>
      </c>
      <c r="G32" s="646">
        <f t="shared" si="92"/>
        <v>231249.28</v>
      </c>
      <c r="H32" s="2853">
        <f t="shared" si="91"/>
        <v>475217.84405282093</v>
      </c>
      <c r="I32" s="3430">
        <f t="shared" si="91"/>
        <v>477101.95360000001</v>
      </c>
      <c r="J32" s="691">
        <f t="shared" si="91"/>
        <v>262878.40370610653</v>
      </c>
      <c r="K32" s="646">
        <f t="shared" si="91"/>
        <v>244721.28</v>
      </c>
      <c r="L32" s="73">
        <f t="shared" ref="L32:Q32" si="93">+L29-L31</f>
        <v>738096.24775892752</v>
      </c>
      <c r="M32" s="74">
        <f t="shared" si="93"/>
        <v>721823.23359999992</v>
      </c>
      <c r="N32" s="691">
        <f t="shared" si="93"/>
        <v>272919.40518446034</v>
      </c>
      <c r="O32" s="646">
        <f t="shared" si="93"/>
        <v>257662.56</v>
      </c>
      <c r="P32" s="920">
        <f t="shared" si="93"/>
        <v>1011015.6529433879</v>
      </c>
      <c r="Q32" s="49">
        <f t="shared" si="93"/>
        <v>979485.79359999998</v>
      </c>
      <c r="R32" s="691">
        <f t="shared" ref="R32:S32" si="94">+R29-R31</f>
        <v>270478.32518446038</v>
      </c>
      <c r="S32" s="646">
        <f t="shared" si="94"/>
        <v>250022.24</v>
      </c>
      <c r="T32" s="2853">
        <f t="shared" ref="T32:W32" si="95">+T29-T31</f>
        <v>1281493.9781278484</v>
      </c>
      <c r="U32" s="49">
        <f t="shared" si="95"/>
        <v>1229508.0336</v>
      </c>
      <c r="V32" s="691">
        <f t="shared" si="95"/>
        <v>207118.51348963828</v>
      </c>
      <c r="W32" s="646">
        <f t="shared" si="95"/>
        <v>237674.88</v>
      </c>
      <c r="X32" s="73">
        <f t="shared" ref="X32:Y32" si="96">+X29-X31</f>
        <v>750516.24385855906</v>
      </c>
      <c r="Y32" s="74">
        <f t="shared" si="96"/>
        <v>745359.68</v>
      </c>
      <c r="Z32" s="921">
        <f t="shared" ref="Z32:AE32" si="97">+Z29-Z31</f>
        <v>1488612.4916174866</v>
      </c>
      <c r="AA32" s="488">
        <f t="shared" si="97"/>
        <v>1467182.9135999999</v>
      </c>
      <c r="AB32" s="691">
        <f t="shared" si="97"/>
        <v>270587.07652182784</v>
      </c>
      <c r="AC32" s="646">
        <f t="shared" si="97"/>
        <v>220578.4</v>
      </c>
      <c r="AD32" s="2457">
        <f t="shared" si="97"/>
        <v>1759199.5681393144</v>
      </c>
      <c r="AE32" s="49">
        <f t="shared" si="97"/>
        <v>1687761.3136</v>
      </c>
      <c r="AF32" s="691">
        <f t="shared" ref="AF32:AG32" si="98">+AF29-AF31</f>
        <v>229050.21688179977</v>
      </c>
      <c r="AG32" s="646">
        <f t="shared" si="98"/>
        <v>238638.72</v>
      </c>
      <c r="AH32" s="2853">
        <f t="shared" ref="AH32:AK32" si="99">+AH29-AH31</f>
        <v>1988249.7850211142</v>
      </c>
      <c r="AI32" s="49">
        <f t="shared" si="99"/>
        <v>1926400.0335999997</v>
      </c>
      <c r="AJ32" s="691">
        <f t="shared" si="99"/>
        <v>236625.5620533055</v>
      </c>
      <c r="AK32" s="646">
        <f t="shared" si="99"/>
        <v>246692.64</v>
      </c>
      <c r="AL32" s="73">
        <f t="shared" ref="AL32:AS32" si="100">+AL29-AL31</f>
        <v>736262.85545693315</v>
      </c>
      <c r="AM32" s="74">
        <f t="shared" si="100"/>
        <v>705909.76000000001</v>
      </c>
      <c r="AN32" s="2569">
        <f t="shared" si="100"/>
        <v>2224875.3470744197</v>
      </c>
      <c r="AO32" s="49">
        <f t="shared" si="100"/>
        <v>2173092.6735999999</v>
      </c>
      <c r="AP32" s="691">
        <f t="shared" si="100"/>
        <v>233317.89973019162</v>
      </c>
      <c r="AQ32" s="646">
        <f t="shared" si="100"/>
        <v>239285.2</v>
      </c>
      <c r="AR32" s="2853">
        <f t="shared" si="100"/>
        <v>2458193.2468046113</v>
      </c>
      <c r="AS32" s="49">
        <f t="shared" si="100"/>
        <v>2412377.8736</v>
      </c>
      <c r="AT32" s="691">
        <f t="shared" ref="AT32:AU32" si="101">+AT29-AT31</f>
        <v>212464.98020764263</v>
      </c>
      <c r="AU32" s="646">
        <f t="shared" si="101"/>
        <v>202661.4</v>
      </c>
      <c r="AV32" s="2853">
        <f t="shared" ref="AV32:AY32" si="102">+AV29-AV31</f>
        <v>2670658.2270122538</v>
      </c>
      <c r="AW32" s="49">
        <f t="shared" si="102"/>
        <v>2615039.2736</v>
      </c>
      <c r="AX32" s="691">
        <f t="shared" si="102"/>
        <v>266068.29042932059</v>
      </c>
      <c r="AY32" s="646">
        <f t="shared" si="102"/>
        <v>236834.47999999998</v>
      </c>
      <c r="AZ32" s="73">
        <f t="shared" ref="AZ32:BE32" si="103">+AZ29-AZ31</f>
        <v>711851.17036715476</v>
      </c>
      <c r="BA32" s="74">
        <f t="shared" si="103"/>
        <v>678781.08</v>
      </c>
      <c r="BB32" s="921">
        <f t="shared" si="103"/>
        <v>1434938.0258240879</v>
      </c>
      <c r="BC32" s="488">
        <f t="shared" si="103"/>
        <v>1384690.84</v>
      </c>
      <c r="BD32" s="2853">
        <f t="shared" si="103"/>
        <v>2936726.5174415745</v>
      </c>
      <c r="BE32" s="49">
        <f t="shared" si="103"/>
        <v>2851873.7535999999</v>
      </c>
      <c r="BF32" s="502"/>
      <c r="BG32" s="502"/>
      <c r="BH32" s="25"/>
      <c r="BI32" s="25"/>
      <c r="BJ32" s="25"/>
    </row>
    <row r="33" spans="1:62" ht="20.25" x14ac:dyDescent="0.25">
      <c r="A33" s="3417"/>
      <c r="B33" s="922" t="s">
        <v>455</v>
      </c>
      <c r="C33" s="50"/>
      <c r="D33" s="922"/>
      <c r="E33" s="647"/>
      <c r="F33" s="922"/>
      <c r="G33" s="647"/>
      <c r="H33" s="50"/>
      <c r="I33" s="647"/>
      <c r="J33" s="922"/>
      <c r="K33" s="647"/>
      <c r="L33" s="4310"/>
      <c r="M33" s="50"/>
      <c r="N33" s="922"/>
      <c r="O33" s="647"/>
      <c r="P33" s="50"/>
      <c r="Q33" s="50"/>
      <c r="R33" s="922"/>
      <c r="S33" s="647"/>
      <c r="T33" s="50"/>
      <c r="U33" s="50"/>
      <c r="V33" s="922"/>
      <c r="W33" s="647"/>
      <c r="X33" s="50"/>
      <c r="Y33" s="50"/>
      <c r="Z33" s="50"/>
      <c r="AA33" s="50"/>
      <c r="AB33" s="922"/>
      <c r="AC33" s="647"/>
      <c r="AD33" s="50"/>
      <c r="AE33" s="50"/>
      <c r="AF33" s="922"/>
      <c r="AG33" s="647"/>
      <c r="AH33" s="50"/>
      <c r="AI33" s="50"/>
      <c r="AJ33" s="922"/>
      <c r="AK33" s="647"/>
      <c r="AL33" s="50"/>
      <c r="AM33" s="50"/>
      <c r="AN33" s="50"/>
      <c r="AO33" s="50"/>
      <c r="AP33" s="922"/>
      <c r="AQ33" s="647"/>
      <c r="AR33" s="50"/>
      <c r="AS33" s="50"/>
      <c r="AT33" s="922"/>
      <c r="AU33" s="647"/>
      <c r="AV33" s="50"/>
      <c r="AW33" s="50"/>
      <c r="AX33" s="922"/>
      <c r="AY33" s="647"/>
      <c r="AZ33" s="50"/>
      <c r="BA33" s="50"/>
      <c r="BB33" s="50"/>
      <c r="BC33" s="50"/>
      <c r="BD33" s="50"/>
      <c r="BE33" s="50"/>
      <c r="BF33" s="502"/>
      <c r="BG33" s="502"/>
      <c r="BH33" s="25"/>
      <c r="BI33" s="25"/>
      <c r="BJ33" s="25"/>
    </row>
    <row r="34" spans="1:62" ht="15.75" customHeight="1" x14ac:dyDescent="0.25">
      <c r="A34" s="3417"/>
      <c r="B34" s="923" t="s">
        <v>371</v>
      </c>
      <c r="C34" s="44"/>
      <c r="D34" s="923"/>
      <c r="E34" s="648"/>
      <c r="F34" s="923"/>
      <c r="G34" s="648"/>
      <c r="H34" s="44"/>
      <c r="I34" s="648"/>
      <c r="J34" s="923"/>
      <c r="K34" s="648"/>
      <c r="L34" s="44"/>
      <c r="M34" s="44"/>
      <c r="N34" s="923"/>
      <c r="O34" s="648"/>
      <c r="P34" s="44"/>
      <c r="Q34" s="44"/>
      <c r="R34" s="923"/>
      <c r="S34" s="648"/>
      <c r="T34" s="44"/>
      <c r="U34" s="44"/>
      <c r="V34" s="923"/>
      <c r="W34" s="648"/>
      <c r="X34" s="44"/>
      <c r="Y34" s="44"/>
      <c r="Z34" s="44"/>
      <c r="AA34" s="44"/>
      <c r="AB34" s="923"/>
      <c r="AC34" s="648"/>
      <c r="AD34" s="44"/>
      <c r="AE34" s="44"/>
      <c r="AF34" s="923"/>
      <c r="AG34" s="648"/>
      <c r="AH34" s="44"/>
      <c r="AI34" s="44"/>
      <c r="AJ34" s="923"/>
      <c r="AK34" s="648"/>
      <c r="AL34" s="44"/>
      <c r="AM34" s="44"/>
      <c r="AN34" s="44"/>
      <c r="AO34" s="44"/>
      <c r="AP34" s="923"/>
      <c r="AQ34" s="648"/>
      <c r="AR34" s="44"/>
      <c r="AS34" s="44"/>
      <c r="AT34" s="923"/>
      <c r="AU34" s="648"/>
      <c r="AV34" s="44"/>
      <c r="AW34" s="44"/>
      <c r="AX34" s="923"/>
      <c r="AY34" s="648"/>
      <c r="AZ34" s="44"/>
      <c r="BA34" s="44"/>
      <c r="BB34" s="44"/>
      <c r="BC34" s="44"/>
      <c r="BD34" s="44"/>
      <c r="BE34" s="44"/>
      <c r="BF34" s="502"/>
      <c r="BG34" s="502"/>
      <c r="BH34" s="25"/>
      <c r="BI34" s="25"/>
      <c r="BJ34" s="25"/>
    </row>
    <row r="35" spans="1:62" ht="15.75" x14ac:dyDescent="0.25">
      <c r="A35" s="3417"/>
      <c r="B35" s="3431" t="s">
        <v>447</v>
      </c>
      <c r="C35" s="2881" t="s">
        <v>456</v>
      </c>
      <c r="D35" s="3138">
        <v>222.07113850831652</v>
      </c>
      <c r="E35" s="17">
        <f>E27/($E$3*24)</f>
        <v>290.99566666666669</v>
      </c>
      <c r="F35" s="5623">
        <v>305.76159183714111</v>
      </c>
      <c r="G35" s="17">
        <v>254.05553763440861</v>
      </c>
      <c r="H35" s="3432">
        <f>+((D35*D$3)+(F$3*F35))/H$3</f>
        <v>264.60235249509623</v>
      </c>
      <c r="I35" s="103">
        <f>+((E35*E$3)+(G$3*G35))/I$3</f>
        <v>272.22281420765029</v>
      </c>
      <c r="J35" s="5800">
        <v>305.10889403625907</v>
      </c>
      <c r="K35" s="17">
        <v>286.73866666666669</v>
      </c>
      <c r="L35" s="330">
        <f>+((D$3*D35)+(F$3*F35)+(J$3*J35))/L$3</f>
        <v>277.95615739877627</v>
      </c>
      <c r="M35" s="330">
        <f>+((E$3*E35)+(G$3*G35)+(K$3*K35))/M$3</f>
        <v>277.00826007326009</v>
      </c>
      <c r="N35" s="5875">
        <v>306.8271575059951</v>
      </c>
      <c r="O35" s="17">
        <v>293.0190322580645</v>
      </c>
      <c r="P35" s="245">
        <f>+((L35*L$3)+(N$3*N35))/P$3</f>
        <v>285.2922311965122</v>
      </c>
      <c r="Q35" s="245">
        <f>+((M35*M$3)+(O$3*O35))/Q$3</f>
        <v>281.07657103825136</v>
      </c>
      <c r="R35" s="5964">
        <v>303.54613600061879</v>
      </c>
      <c r="S35" s="17">
        <v>281.07645161290321</v>
      </c>
      <c r="T35" s="245">
        <f>+((P35*P$3)+(R$3*R35))/T$3</f>
        <v>288.99073478427238</v>
      </c>
      <c r="U35" s="245">
        <f>+((Q35*Q$3)+(S$3*S35))/U$3</f>
        <v>281.0765468409586</v>
      </c>
      <c r="V35" s="6075">
        <v>227.66460206894209</v>
      </c>
      <c r="W35" s="17">
        <v>276.4813333333334</v>
      </c>
      <c r="X35" s="330">
        <f>+((N35*N$3)+(R35*R$3)+(V$3*V35))/X$3</f>
        <v>279.90771913884015</v>
      </c>
      <c r="Y35" s="330">
        <f>+((O35*O$3)+(S35*S$3)+(W$3*W35))/Y$3</f>
        <v>283.60217391304349</v>
      </c>
      <c r="Z35" s="476">
        <f>+((T35*T$3)+(V$3*V35))/Z$3</f>
        <v>278.93727040471003</v>
      </c>
      <c r="AA35" s="476">
        <f>+((M35*M$3)+(Y$3*Y35))/AA$3</f>
        <v>280.32323315118401</v>
      </c>
      <c r="AB35" s="6172">
        <v>303.69230715299437</v>
      </c>
      <c r="AC35" s="17">
        <v>242.62193548387097</v>
      </c>
      <c r="AD35" s="245">
        <f>+((Z35*Z$3)+(AB$3*AB35))/AD$3</f>
        <v>282.52328040095682</v>
      </c>
      <c r="AE35" s="245">
        <f>+((AA35*AA$3)+(AC$3*AC35))/AE$3</f>
        <v>274.86183021806858</v>
      </c>
      <c r="AF35" s="6350">
        <v>258.12530122472191</v>
      </c>
      <c r="AG35" s="17">
        <v>273.96000000000004</v>
      </c>
      <c r="AH35" s="245">
        <f>+((AD35*AD$3)+(AF$3*AF35))/AH$3</f>
        <v>279.52352886289515</v>
      </c>
      <c r="AI35" s="245">
        <f>+((AE35*AE$3)+(AG$3*AG35))/AI$3</f>
        <v>274.75094945355193</v>
      </c>
      <c r="AJ35" s="6619">
        <v>258.04511028670095</v>
      </c>
      <c r="AK35" s="17">
        <v>273.59129032258068</v>
      </c>
      <c r="AL35" s="330">
        <f>+((AB35*AB$3)+(AF35*AF$3)+(AJ$3*AJ35))/AL$3</f>
        <v>273.45238018882839</v>
      </c>
      <c r="AM35" s="330">
        <f>+((AC35*AC$3)+(AG35*AG$3)+(AK$3*AK35))/AM$3</f>
        <v>263.27619565217395</v>
      </c>
      <c r="AN35" s="245">
        <f>+((AH35*AH$3)+(AJ$3*AJ35))/AN$3</f>
        <v>277.10232531430603</v>
      </c>
      <c r="AO35" s="245">
        <f>+((AI35*AI$3)+(AK$3*AK35))/AO$3</f>
        <v>274.62022424242429</v>
      </c>
      <c r="AP35" s="6706">
        <v>253.59932759434361</v>
      </c>
      <c r="AQ35" s="17">
        <v>265.21516129032256</v>
      </c>
      <c r="AR35" s="245">
        <f>+((AN35*AN$3)+(AP$3*AP35))/AR$3</f>
        <v>274.72130266947323</v>
      </c>
      <c r="AS35" s="245">
        <f>+((AO35*AO$3)+(AQ$3*AQ35))/AS$3</f>
        <v>273.6674237472767</v>
      </c>
      <c r="AT35" s="6855">
        <v>256.16812530899199</v>
      </c>
      <c r="AU35" s="17">
        <v>251.85357142857143</v>
      </c>
      <c r="AV35" s="245">
        <f>+((AR35*AR$3)+(AT$3*AT35))/AV$3</f>
        <v>273.1659464835646</v>
      </c>
      <c r="AW35" s="245">
        <f>+((AS35*AS$3)+(AU$3*AU35))/AW$3</f>
        <v>271.83871756487025</v>
      </c>
      <c r="AX35" s="7011">
        <v>297.61866993188249</v>
      </c>
      <c r="AY35" s="17">
        <v>275.87741935483871</v>
      </c>
      <c r="AZ35" s="330">
        <f>+((AP35*AP$3)+(AT35*AT$3)+(AX$3*AX35))/AZ$3</f>
        <v>269.56072702183093</v>
      </c>
      <c r="BA35" s="330">
        <f>+((AQ35*AQ$3)+(AU35*AU$3)+(AY$3*AY35))/BA$3</f>
        <v>264.7307777777778</v>
      </c>
      <c r="BB35" s="476">
        <f>+((AL35*AL$3)+(AZ$3*AZ35))/BB$3</f>
        <v>271.52793631503846</v>
      </c>
      <c r="BC35" s="476">
        <f>+((AM35*AM$3)+(BA$3*BA35))/BC$3</f>
        <v>263.99549450549455</v>
      </c>
      <c r="BD35" s="245">
        <f>+((AV35*AV$3)+(AX$3*AX35))/BD$3</f>
        <v>275.24275313259983</v>
      </c>
      <c r="BE35" s="245">
        <f>+((AW35*AW$3)+(AY$3*AY35))/BE$3</f>
        <v>272.18173059360731</v>
      </c>
      <c r="BF35" s="502"/>
      <c r="BG35" s="502"/>
      <c r="BH35" s="25"/>
      <c r="BI35" s="25"/>
      <c r="BJ35" s="25"/>
    </row>
    <row r="36" spans="1:62" ht="16.5" thickBot="1" x14ac:dyDescent="0.3">
      <c r="A36" s="3417"/>
      <c r="B36" s="3433" t="s">
        <v>56</v>
      </c>
      <c r="C36" s="3434" t="s">
        <v>456</v>
      </c>
      <c r="D36" s="3141">
        <v>63</v>
      </c>
      <c r="E36" s="17">
        <f>E28/($E$3*24)</f>
        <v>60.08799999999998</v>
      </c>
      <c r="F36" s="5627">
        <v>63</v>
      </c>
      <c r="G36" s="97">
        <v>64.876344086021504</v>
      </c>
      <c r="H36" s="3432">
        <f>+((D36*D$3)+(F$3*F36))/H$3</f>
        <v>63</v>
      </c>
      <c r="I36" s="103">
        <f>+((E36*E$3)+(G$3*G36))/I$3</f>
        <v>62.521420765027308</v>
      </c>
      <c r="J36" s="5802">
        <v>63</v>
      </c>
      <c r="K36" s="97">
        <v>64.466444444444434</v>
      </c>
      <c r="L36" s="330">
        <f>+((D$3*D36)+(F$3*F36)+(J$3*J36))/L$3</f>
        <v>63</v>
      </c>
      <c r="M36" s="330">
        <f>+((E$3*E36)+(G$3*G36)+(K$3*K36))/M$3</f>
        <v>63.162637362637355</v>
      </c>
      <c r="N36" s="5877">
        <v>63</v>
      </c>
      <c r="O36" s="97">
        <v>65.554838709677426</v>
      </c>
      <c r="P36" s="245">
        <f>+((L36*L$3)+(N$3*N36))/P$3</f>
        <v>63</v>
      </c>
      <c r="Q36" s="245">
        <f>+((M36*M$3)+(O$3*O36))/Q$3</f>
        <v>63.770491803278688</v>
      </c>
      <c r="R36" s="5966">
        <v>63</v>
      </c>
      <c r="S36" s="97">
        <v>67.295698924731184</v>
      </c>
      <c r="T36" s="245">
        <f>+((P36*P$3)+(R$3*R36))/T$3</f>
        <v>63</v>
      </c>
      <c r="U36" s="245">
        <f>+((Q36*Q$3)+(S$3*S36))/U$3</f>
        <v>64.484749455337692</v>
      </c>
      <c r="V36" s="6077">
        <v>63</v>
      </c>
      <c r="W36" s="97">
        <v>63.384444444444426</v>
      </c>
      <c r="X36" s="330">
        <f>+((N36*N$3)+(R36*R$3)+(V$3*V36))/X$3</f>
        <v>63</v>
      </c>
      <c r="Y36" s="330">
        <f>+((O36*O$3)+(S36*S$3)+(W$3*W36))/Y$3</f>
        <v>65.43369565217391</v>
      </c>
      <c r="Z36" s="476">
        <f>+((T36*T$3)+(V$3*V36))/Z$3</f>
        <v>63</v>
      </c>
      <c r="AA36" s="476">
        <f>+((M36*M$3)+(Y$3*Y36))/AA$3</f>
        <v>64.304371584699453</v>
      </c>
      <c r="AB36" s="6177">
        <v>63</v>
      </c>
      <c r="AC36" s="97">
        <v>62.645161290322584</v>
      </c>
      <c r="AD36" s="245">
        <f>+((Z36*Z$3)+(AB$3*AB36))/AD$3</f>
        <v>63</v>
      </c>
      <c r="AE36" s="245">
        <f>+((AA36*AA$3)+(AC$3*AC36))/AE$3</f>
        <v>64.064018691588785</v>
      </c>
      <c r="AF36" s="6353">
        <v>63</v>
      </c>
      <c r="AG36" s="97">
        <v>67.766666666666666</v>
      </c>
      <c r="AH36" s="245">
        <f>+((AD36*AD$3)+(AF$3*AF36))/AH$3</f>
        <v>63</v>
      </c>
      <c r="AI36" s="245">
        <f>+((AE36*AE$3)+(AG$3*AG36))/AI$3</f>
        <v>64.519262295081973</v>
      </c>
      <c r="AJ36" s="6621">
        <v>63</v>
      </c>
      <c r="AK36" s="97">
        <v>66.166666666666671</v>
      </c>
      <c r="AL36" s="330">
        <f>+((AB36*AB$3)+(AF36*AF$3)+(AJ$3*AJ36))/AL$3</f>
        <v>63</v>
      </c>
      <c r="AM36" s="330">
        <f>+((AC36*AC$3)+(AG36*AG$3)+(AK$3*AK36))/AM$3</f>
        <v>65.501811594202906</v>
      </c>
      <c r="AN36" s="245">
        <f>+((AH36*AH$3)+(AJ$3*AJ36))/AN$3</f>
        <v>63</v>
      </c>
      <c r="AO36" s="245">
        <f>+((AI36*AI$3)+(AK$3*AK36))/AO$3</f>
        <v>64.704969696969698</v>
      </c>
      <c r="AP36" s="6708">
        <v>63</v>
      </c>
      <c r="AQ36" s="97">
        <v>63.181720430107525</v>
      </c>
      <c r="AR36" s="245">
        <f>+((AN36*AN$3)+(AP$3*AP36))/AR$3</f>
        <v>63</v>
      </c>
      <c r="AS36" s="245">
        <f>+((AO36*AO$3)+(AQ$3*AQ36))/AS$3</f>
        <v>64.550653594771248</v>
      </c>
      <c r="AT36" s="6857">
        <v>63</v>
      </c>
      <c r="AU36" s="97">
        <v>63.870238095238101</v>
      </c>
      <c r="AV36" s="245">
        <f>+((AR36*AR$3)+(AT$3*AT36))/AV$3</f>
        <v>63</v>
      </c>
      <c r="AW36" s="245">
        <f>+((AS36*AS$3)+(AU$3*AU36))/AW$3</f>
        <v>64.493612774451108</v>
      </c>
      <c r="AX36" s="7013">
        <v>63</v>
      </c>
      <c r="AY36" s="97">
        <v>59.837956989247317</v>
      </c>
      <c r="AZ36" s="330">
        <f>+((AP36*AP$3)+(AT36*AT$3)+(AX$3*AX36))/AZ$3</f>
        <v>63</v>
      </c>
      <c r="BA36" s="330">
        <f>+((AQ36*AQ$3)+(AU36*AU$3)+(AY$3*AY36))/BA$3</f>
        <v>62.244185185185195</v>
      </c>
      <c r="BB36" s="476">
        <f>+((AL36*AL$3)+(AZ$3*AZ36))/BB$3</f>
        <v>63</v>
      </c>
      <c r="BC36" s="476">
        <f>+((AM36*AM$3)+(BA$3*BA36))/BC$3</f>
        <v>63.890897435897436</v>
      </c>
      <c r="BD36" s="245">
        <f>+((AV36*AV$3)+(AX$3*AX36))/BD$3</f>
        <v>63</v>
      </c>
      <c r="BE36" s="245">
        <f>+((AW36*AW$3)+(AY$3*AY36))/BE$3</f>
        <v>64.09820091324201</v>
      </c>
      <c r="BF36" s="502"/>
      <c r="BG36" s="502"/>
      <c r="BH36" s="25"/>
      <c r="BI36" s="25"/>
      <c r="BJ36" s="25"/>
    </row>
    <row r="37" spans="1:62" ht="19.5" thickBot="1" x14ac:dyDescent="0.3">
      <c r="A37" s="3417"/>
      <c r="B37" s="3435" t="s">
        <v>453</v>
      </c>
      <c r="C37" s="46" t="s">
        <v>456</v>
      </c>
      <c r="D37" s="566">
        <f t="shared" ref="D37:I37" si="104">SUM(D35:D36)</f>
        <v>285.07113850831649</v>
      </c>
      <c r="E37" s="130">
        <f t="shared" si="104"/>
        <v>351.08366666666666</v>
      </c>
      <c r="F37" s="566">
        <f t="shared" ref="F37:G37" si="105">SUM(F35:F36)</f>
        <v>368.76159183714111</v>
      </c>
      <c r="G37" s="130">
        <f t="shared" si="105"/>
        <v>318.93188172043011</v>
      </c>
      <c r="H37" s="2854">
        <f t="shared" si="104"/>
        <v>327.60235249509623</v>
      </c>
      <c r="I37" s="3436">
        <f t="shared" si="104"/>
        <v>334.74423497267759</v>
      </c>
      <c r="J37" s="566">
        <f t="shared" ref="J37:K37" si="106">SUM(J35:J36)</f>
        <v>368.10889403625907</v>
      </c>
      <c r="K37" s="130">
        <f t="shared" si="106"/>
        <v>351.20511111111114</v>
      </c>
      <c r="L37" s="1426">
        <f t="shared" ref="L37:Q37" si="107">SUM(L35:L36)</f>
        <v>340.95615739877627</v>
      </c>
      <c r="M37" s="570">
        <f t="shared" si="107"/>
        <v>340.17089743589747</v>
      </c>
      <c r="N37" s="566">
        <f t="shared" si="107"/>
        <v>369.8271575059951</v>
      </c>
      <c r="O37" s="130">
        <f t="shared" si="107"/>
        <v>358.57387096774193</v>
      </c>
      <c r="P37" s="792">
        <f t="shared" si="107"/>
        <v>348.2922311965122</v>
      </c>
      <c r="Q37" s="569">
        <f t="shared" si="107"/>
        <v>344.84706284153003</v>
      </c>
      <c r="R37" s="566">
        <f t="shared" ref="R37:S37" si="108">SUM(R35:R36)</f>
        <v>366.54613600061879</v>
      </c>
      <c r="S37" s="130">
        <f t="shared" si="108"/>
        <v>348.37215053763441</v>
      </c>
      <c r="T37" s="2854">
        <f t="shared" ref="T37:W37" si="109">SUM(T35:T36)</f>
        <v>351.99073478427238</v>
      </c>
      <c r="U37" s="569">
        <f t="shared" si="109"/>
        <v>345.56129629629629</v>
      </c>
      <c r="V37" s="566">
        <f t="shared" si="109"/>
        <v>290.66460206894209</v>
      </c>
      <c r="W37" s="130">
        <f t="shared" si="109"/>
        <v>339.86577777777779</v>
      </c>
      <c r="X37" s="2099">
        <f t="shared" ref="X37:Y37" si="110">SUM(X35:X36)</f>
        <v>342.90771913884015</v>
      </c>
      <c r="Y37" s="570">
        <f t="shared" si="110"/>
        <v>349.03586956521741</v>
      </c>
      <c r="Z37" s="924">
        <f t="shared" ref="Z37:AE37" si="111">SUM(Z35:Z36)</f>
        <v>341.93727040471003</v>
      </c>
      <c r="AA37" s="489">
        <f t="shared" si="111"/>
        <v>344.62760473588344</v>
      </c>
      <c r="AB37" s="566">
        <f t="shared" si="111"/>
        <v>366.69230715299437</v>
      </c>
      <c r="AC37" s="130">
        <f t="shared" si="111"/>
        <v>305.26709677419353</v>
      </c>
      <c r="AD37" s="2456">
        <f t="shared" si="111"/>
        <v>345.52328040095682</v>
      </c>
      <c r="AE37" s="569">
        <f t="shared" si="111"/>
        <v>338.92584890965736</v>
      </c>
      <c r="AF37" s="566">
        <f t="shared" ref="AF37:AG37" si="112">SUM(AF35:AF36)</f>
        <v>321.12530122472191</v>
      </c>
      <c r="AG37" s="130">
        <f t="shared" si="112"/>
        <v>341.72666666666669</v>
      </c>
      <c r="AH37" s="2854">
        <f t="shared" ref="AH37:AK37" si="113">SUM(AH35:AH36)</f>
        <v>342.52352886289515</v>
      </c>
      <c r="AI37" s="569">
        <f t="shared" si="113"/>
        <v>339.27021174863387</v>
      </c>
      <c r="AJ37" s="566">
        <f t="shared" si="113"/>
        <v>321.04511028670095</v>
      </c>
      <c r="AK37" s="130">
        <f t="shared" si="113"/>
        <v>339.75795698924736</v>
      </c>
      <c r="AL37" s="2576">
        <f t="shared" ref="AL37:AS37" si="114">SUM(AL35:AL36)</f>
        <v>336.45238018882839</v>
      </c>
      <c r="AM37" s="570">
        <f t="shared" si="114"/>
        <v>328.77800724637689</v>
      </c>
      <c r="AN37" s="2570">
        <f t="shared" si="114"/>
        <v>340.10232531430603</v>
      </c>
      <c r="AO37" s="569">
        <f t="shared" si="114"/>
        <v>339.32519393939401</v>
      </c>
      <c r="AP37" s="566">
        <f t="shared" si="114"/>
        <v>316.59932759434361</v>
      </c>
      <c r="AQ37" s="130">
        <f t="shared" si="114"/>
        <v>328.39688172043009</v>
      </c>
      <c r="AR37" s="2854">
        <f t="shared" si="114"/>
        <v>337.72130266947323</v>
      </c>
      <c r="AS37" s="569">
        <f t="shared" si="114"/>
        <v>338.21807734204793</v>
      </c>
      <c r="AT37" s="566">
        <f t="shared" ref="AT37:AU37" si="115">SUM(AT35:AT36)</f>
        <v>319.16812530899199</v>
      </c>
      <c r="AU37" s="130">
        <f t="shared" si="115"/>
        <v>315.72380952380951</v>
      </c>
      <c r="AV37" s="2854">
        <f t="shared" ref="AV37:AY37" si="116">SUM(AV35:AV36)</f>
        <v>336.1659464835646</v>
      </c>
      <c r="AW37" s="569">
        <f t="shared" si="116"/>
        <v>336.33233033932135</v>
      </c>
      <c r="AX37" s="566">
        <f t="shared" si="116"/>
        <v>360.61866993188249</v>
      </c>
      <c r="AY37" s="130">
        <f t="shared" si="116"/>
        <v>335.71537634408605</v>
      </c>
      <c r="AZ37" s="2856">
        <f t="shared" ref="AZ37:BE37" si="117">SUM(AZ35:AZ36)</f>
        <v>332.56072702183093</v>
      </c>
      <c r="BA37" s="570">
        <f t="shared" si="117"/>
        <v>326.97496296296299</v>
      </c>
      <c r="BB37" s="924">
        <f t="shared" si="117"/>
        <v>334.52793631503846</v>
      </c>
      <c r="BC37" s="489">
        <f t="shared" si="117"/>
        <v>327.88639194139199</v>
      </c>
      <c r="BD37" s="2854">
        <f t="shared" si="117"/>
        <v>338.24275313259983</v>
      </c>
      <c r="BE37" s="569">
        <f t="shared" si="117"/>
        <v>336.27993150684932</v>
      </c>
      <c r="BF37" s="502"/>
      <c r="BG37" s="502"/>
      <c r="BH37" s="25"/>
      <c r="BI37" s="25"/>
      <c r="BJ37" s="25"/>
    </row>
    <row r="38" spans="1:62" ht="15.75" x14ac:dyDescent="0.25">
      <c r="A38" s="3417"/>
      <c r="B38" s="3437" t="s">
        <v>449</v>
      </c>
      <c r="C38" s="47" t="s">
        <v>456</v>
      </c>
      <c r="D38" s="3142">
        <v>3</v>
      </c>
      <c r="E38" s="519">
        <f>E31/($E$3*24)</f>
        <v>9.6216200000000143</v>
      </c>
      <c r="F38" s="5626">
        <v>3</v>
      </c>
      <c r="G38" s="519">
        <v>8.1129569892473228</v>
      </c>
      <c r="H38" s="52">
        <f>+((D38*D$3)+(F$3*F38))/H$3</f>
        <v>3</v>
      </c>
      <c r="I38" s="103">
        <f>+((E38*E$3)+(G$3*G38))/I$3</f>
        <v>8.8549224043715977</v>
      </c>
      <c r="J38" s="5801">
        <v>3</v>
      </c>
      <c r="K38" s="519">
        <v>11.314444444444478</v>
      </c>
      <c r="L38" s="220">
        <f>+((D$3*D38)+(F$3*F38)+(J$3*J38))/L$3</f>
        <v>3</v>
      </c>
      <c r="M38" s="76">
        <f>+((E$3*E38)+(G$3*G38)+(K$3*K38))/M$3</f>
        <v>9.6657538461538657</v>
      </c>
      <c r="N38" s="5876">
        <v>3</v>
      </c>
      <c r="O38" s="519">
        <v>12.253225806451644</v>
      </c>
      <c r="P38" s="52">
        <f>+((L38*L$3)+(N$3*N38))/P$3</f>
        <v>3</v>
      </c>
      <c r="Q38" s="54">
        <f>+((M38*M$3)+(O$3*O38))/Q$3</f>
        <v>10.323226229508219</v>
      </c>
      <c r="R38" s="5965">
        <v>3</v>
      </c>
      <c r="S38" s="519">
        <v>12.320752688172062</v>
      </c>
      <c r="T38" s="52">
        <f>+((P38*P$3)+(R$3*R38))/T$3</f>
        <v>3</v>
      </c>
      <c r="U38" s="54">
        <f>+((Q38*Q$3)+(S$3*S38))/U$3</f>
        <v>10.727953812636187</v>
      </c>
      <c r="V38" s="6076">
        <v>3</v>
      </c>
      <c r="W38" s="519">
        <v>9.7617777777777928</v>
      </c>
      <c r="X38" s="220">
        <f>+((N38*N$3)+(R38*R$3)+(V$3*V38))/X$3</f>
        <v>3</v>
      </c>
      <c r="Y38" s="76">
        <f>+((O38*O$3)+(S38*S$3)+(W$3*W38))/Y$3</f>
        <v>11.463550724637704</v>
      </c>
      <c r="Z38" s="746">
        <f>+((L38*L$3)+(X$3*X38))/Z$3</f>
        <v>3</v>
      </c>
      <c r="AA38" s="476">
        <f>+((M38*M$3)+(Y$3*Y38))/AA$3</f>
        <v>10.569564298724975</v>
      </c>
      <c r="AB38" s="6176">
        <v>3</v>
      </c>
      <c r="AC38" s="519">
        <v>8.7907526881720521</v>
      </c>
      <c r="AD38" s="52">
        <f>+((Z38*Z$3)+(AB$3*AB38))/AD$3</f>
        <v>3</v>
      </c>
      <c r="AE38" s="54">
        <f>+((AA38*AA$3)+(AC$3*AC38))/AE$3</f>
        <v>10.311885981308432</v>
      </c>
      <c r="AF38" s="6352">
        <v>3</v>
      </c>
      <c r="AG38" s="519">
        <v>10.284000000000015</v>
      </c>
      <c r="AH38" s="52">
        <f>+((AD38*AD$3)+(AF$3*AF38))/AH$3</f>
        <v>3</v>
      </c>
      <c r="AI38" s="54">
        <f>+((AE38*AE$3)+(AG$3*AG38))/AI$3</f>
        <v>10.3084573770492</v>
      </c>
      <c r="AJ38" s="6620">
        <v>3</v>
      </c>
      <c r="AK38" s="519">
        <v>8.1818279569892454</v>
      </c>
      <c r="AL38" s="220">
        <f>+((AB38*AB$3)+(AF38*AF$3)+(AJ$3*AJ38))/AL$3</f>
        <v>3</v>
      </c>
      <c r="AM38" s="76">
        <f>+((AC38*AC$3)+(AG38*AG$3)+(AK$3*AK38))/AM$3</f>
        <v>9.0725000000000051</v>
      </c>
      <c r="AN38" s="52">
        <f>+((AH38*AH$3)+(AJ$3*AJ38))/AN$3</f>
        <v>3</v>
      </c>
      <c r="AO38" s="54">
        <f>+((AI38*AI$3)+(AK$3*AK38))/AO$3</f>
        <v>10.06872824242426</v>
      </c>
      <c r="AP38" s="6707">
        <v>3</v>
      </c>
      <c r="AQ38" s="519">
        <v>6.7769892473117714</v>
      </c>
      <c r="AR38" s="52">
        <f>+((AN38*AN$3)+(AP$3*AP38))/AR$3</f>
        <v>3</v>
      </c>
      <c r="AS38" s="54">
        <f>+((AO38*AO$3)+(AQ$3*AQ38))/AS$3</f>
        <v>9.7352514161220149</v>
      </c>
      <c r="AT38" s="6856">
        <v>3</v>
      </c>
      <c r="AU38" s="519">
        <v>14.144345238095282</v>
      </c>
      <c r="AV38" s="52">
        <f>+((AR38*AR$3)+(AT$3*AT38))/AV$3</f>
        <v>3</v>
      </c>
      <c r="AW38" s="54">
        <f>+((AS38*AS$3)+(AU$3*AU38))/AW$3</f>
        <v>10.104876047904206</v>
      </c>
      <c r="AX38" s="7012">
        <v>3</v>
      </c>
      <c r="AY38" s="519">
        <v>17.38946236559141</v>
      </c>
      <c r="AZ38" s="220">
        <f>+((AP38*AP$3)+(AT38*AT$3)+(AX$3*AX38))/AZ$3</f>
        <v>3</v>
      </c>
      <c r="BA38" s="76">
        <f>+((AQ38*AQ$3)+(AU38*AU$3)+(AY$3*AY38))/BA$3</f>
        <v>12.72446296296296</v>
      </c>
      <c r="BB38" s="746">
        <f>+((AL38*AL$3)+(AZ$3*AZ38))/BB$3</f>
        <v>3</v>
      </c>
      <c r="BC38" s="476">
        <f>+((AM38*AM$3)+(BA$3*BA38))/BC$3</f>
        <v>10.878415750915751</v>
      </c>
      <c r="BD38" s="52">
        <f>+((AV38*AV$3)+(AX$3*AX38))/BD$3</f>
        <v>3</v>
      </c>
      <c r="BE38" s="54">
        <f>+((AW38*AW$3)+(AY$3*AY38))/BE$3</f>
        <v>10.723566940639284</v>
      </c>
      <c r="BF38" s="502"/>
      <c r="BG38" s="502"/>
      <c r="BH38" s="25"/>
      <c r="BI38" s="25"/>
      <c r="BJ38" s="25"/>
    </row>
    <row r="39" spans="1:62" ht="18.75" x14ac:dyDescent="0.25">
      <c r="A39" s="3417"/>
      <c r="B39" s="1276" t="s">
        <v>454</v>
      </c>
      <c r="C39" s="3438" t="s">
        <v>456</v>
      </c>
      <c r="D39" s="690">
        <f t="shared" ref="D39:K39" si="118">+D37-D38</f>
        <v>282.07113850831649</v>
      </c>
      <c r="E39" s="227">
        <f t="shared" si="118"/>
        <v>341.46204666666665</v>
      </c>
      <c r="F39" s="690">
        <f t="shared" ref="F39:G39" si="119">+F37-F38</f>
        <v>365.76159183714111</v>
      </c>
      <c r="G39" s="227">
        <f t="shared" si="119"/>
        <v>310.81892473118279</v>
      </c>
      <c r="H39" s="925">
        <f t="shared" si="118"/>
        <v>324.60235249509623</v>
      </c>
      <c r="I39" s="2745">
        <f t="shared" si="118"/>
        <v>325.88931256830597</v>
      </c>
      <c r="J39" s="690">
        <f t="shared" si="118"/>
        <v>365.10889403625907</v>
      </c>
      <c r="K39" s="227">
        <f t="shared" si="118"/>
        <v>339.89066666666668</v>
      </c>
      <c r="L39" s="77">
        <f t="shared" ref="L39:Q39" si="120">+L37-L38</f>
        <v>337.95615739877627</v>
      </c>
      <c r="M39" s="78">
        <f t="shared" si="120"/>
        <v>330.50514358974362</v>
      </c>
      <c r="N39" s="690">
        <f t="shared" si="120"/>
        <v>366.8271575059951</v>
      </c>
      <c r="O39" s="227">
        <f t="shared" si="120"/>
        <v>346.32064516129026</v>
      </c>
      <c r="P39" s="925">
        <f t="shared" si="120"/>
        <v>345.2922311965122</v>
      </c>
      <c r="Q39" s="55">
        <f t="shared" si="120"/>
        <v>334.5238366120218</v>
      </c>
      <c r="R39" s="690">
        <f t="shared" ref="R39:S39" si="121">+R37-R38</f>
        <v>363.54613600061879</v>
      </c>
      <c r="S39" s="227">
        <f t="shared" si="121"/>
        <v>336.05139784946238</v>
      </c>
      <c r="T39" s="925">
        <f t="shared" ref="T39:W39" si="122">+T37-T38</f>
        <v>348.99073478427238</v>
      </c>
      <c r="U39" s="55">
        <f t="shared" si="122"/>
        <v>334.83334248366009</v>
      </c>
      <c r="V39" s="690">
        <f t="shared" si="122"/>
        <v>287.66460206894209</v>
      </c>
      <c r="W39" s="227">
        <f t="shared" si="122"/>
        <v>330.10399999999998</v>
      </c>
      <c r="X39" s="77">
        <f t="shared" ref="X39:Y39" si="123">+X37-X38</f>
        <v>339.90771913884015</v>
      </c>
      <c r="Y39" s="78">
        <f t="shared" si="123"/>
        <v>337.57231884057973</v>
      </c>
      <c r="Z39" s="926">
        <f t="shared" ref="Z39:AE39" si="124">+Z37-Z38</f>
        <v>338.93727040471003</v>
      </c>
      <c r="AA39" s="490">
        <f t="shared" si="124"/>
        <v>334.05804043715847</v>
      </c>
      <c r="AB39" s="690">
        <f t="shared" si="124"/>
        <v>363.69230715299437</v>
      </c>
      <c r="AC39" s="227">
        <f t="shared" si="124"/>
        <v>296.47634408602147</v>
      </c>
      <c r="AD39" s="925">
        <f t="shared" si="124"/>
        <v>342.52328040095682</v>
      </c>
      <c r="AE39" s="55">
        <f t="shared" si="124"/>
        <v>328.61396292834894</v>
      </c>
      <c r="AF39" s="690">
        <f t="shared" ref="AF39:AG39" si="125">+AF37-AF38</f>
        <v>318.12530122472191</v>
      </c>
      <c r="AG39" s="227">
        <f t="shared" si="125"/>
        <v>331.4426666666667</v>
      </c>
      <c r="AH39" s="925">
        <f t="shared" ref="AH39:AK39" si="126">+AH37-AH38</f>
        <v>339.52352886289515</v>
      </c>
      <c r="AI39" s="55">
        <f t="shared" si="126"/>
        <v>328.96175437158468</v>
      </c>
      <c r="AJ39" s="690">
        <f t="shared" si="126"/>
        <v>318.04511028670095</v>
      </c>
      <c r="AK39" s="227">
        <f t="shared" si="126"/>
        <v>331.57612903225811</v>
      </c>
      <c r="AL39" s="77">
        <f t="shared" ref="AL39:AS39" si="127">+AL37-AL38</f>
        <v>333.45238018882839</v>
      </c>
      <c r="AM39" s="78">
        <f t="shared" si="127"/>
        <v>319.7055072463769</v>
      </c>
      <c r="AN39" s="925">
        <f t="shared" si="127"/>
        <v>337.10232531430603</v>
      </c>
      <c r="AO39" s="55">
        <f t="shared" si="127"/>
        <v>329.25646569696977</v>
      </c>
      <c r="AP39" s="690">
        <f t="shared" si="127"/>
        <v>313.59932759434361</v>
      </c>
      <c r="AQ39" s="6802">
        <f t="shared" si="127"/>
        <v>321.61989247311834</v>
      </c>
      <c r="AR39" s="925">
        <f t="shared" si="127"/>
        <v>334.72130266947323</v>
      </c>
      <c r="AS39" s="55">
        <f t="shared" si="127"/>
        <v>328.48282592592591</v>
      </c>
      <c r="AT39" s="690">
        <f t="shared" ref="AT39:AU39" si="128">+AT37-AT38</f>
        <v>316.16812530899199</v>
      </c>
      <c r="AU39" s="6802">
        <f t="shared" si="128"/>
        <v>301.57946428571421</v>
      </c>
      <c r="AV39" s="925">
        <f t="shared" ref="AV39:AY39" si="129">+AV37-AV38</f>
        <v>333.1659464835646</v>
      </c>
      <c r="AW39" s="55">
        <f t="shared" si="129"/>
        <v>326.22745429141713</v>
      </c>
      <c r="AX39" s="690">
        <f t="shared" si="129"/>
        <v>357.61866993188249</v>
      </c>
      <c r="AY39" s="6802">
        <f t="shared" si="129"/>
        <v>318.32591397849467</v>
      </c>
      <c r="AZ39" s="77">
        <f t="shared" ref="AZ39:BE39" si="130">+AZ37-AZ38</f>
        <v>329.56072702183093</v>
      </c>
      <c r="BA39" s="78">
        <f t="shared" si="130"/>
        <v>314.25050000000005</v>
      </c>
      <c r="BB39" s="926">
        <f t="shared" si="130"/>
        <v>331.52793631503846</v>
      </c>
      <c r="BC39" s="490">
        <f t="shared" si="130"/>
        <v>317.00797619047626</v>
      </c>
      <c r="BD39" s="925">
        <f t="shared" si="130"/>
        <v>335.24275313259983</v>
      </c>
      <c r="BE39" s="55">
        <f t="shared" si="130"/>
        <v>325.55636456621005</v>
      </c>
      <c r="BF39" s="502"/>
      <c r="BG39" s="502"/>
      <c r="BH39" s="25"/>
      <c r="BI39" s="25"/>
      <c r="BJ39" s="25"/>
    </row>
    <row r="40" spans="1:62" ht="18.75" x14ac:dyDescent="0.25">
      <c r="B40" s="3439" t="s">
        <v>452</v>
      </c>
      <c r="C40" s="45"/>
      <c r="D40" s="927"/>
      <c r="E40" s="650"/>
      <c r="F40" s="927"/>
      <c r="G40" s="650"/>
      <c r="H40" s="577"/>
      <c r="I40" s="650"/>
      <c r="J40" s="927"/>
      <c r="K40" s="650"/>
      <c r="L40" s="577"/>
      <c r="M40" s="577"/>
      <c r="N40" s="927"/>
      <c r="O40" s="650"/>
      <c r="P40" s="577"/>
      <c r="Q40" s="577"/>
      <c r="R40" s="927"/>
      <c r="S40" s="650"/>
      <c r="T40" s="577"/>
      <c r="U40" s="577"/>
      <c r="V40" s="927"/>
      <c r="W40" s="650"/>
      <c r="X40" s="577"/>
      <c r="Y40" s="577"/>
      <c r="Z40" s="577"/>
      <c r="AA40" s="577"/>
      <c r="AB40" s="927"/>
      <c r="AC40" s="650"/>
      <c r="AD40" s="577"/>
      <c r="AE40" s="577"/>
      <c r="AF40" s="927"/>
      <c r="AG40" s="650"/>
      <c r="AH40" s="577"/>
      <c r="AI40" s="577"/>
      <c r="AJ40" s="927"/>
      <c r="AK40" s="650"/>
      <c r="AL40" s="577"/>
      <c r="AM40" s="577"/>
      <c r="AN40" s="577"/>
      <c r="AO40" s="577"/>
      <c r="AP40" s="927"/>
      <c r="AQ40" s="650"/>
      <c r="AR40" s="577"/>
      <c r="AS40" s="577"/>
      <c r="AT40" s="927"/>
      <c r="AU40" s="650"/>
      <c r="AV40" s="577"/>
      <c r="AW40" s="577"/>
      <c r="AX40" s="927"/>
      <c r="AY40" s="650"/>
      <c r="AZ40" s="577"/>
      <c r="BA40" s="577"/>
      <c r="BB40" s="577"/>
      <c r="BC40" s="577"/>
      <c r="BD40" s="577"/>
      <c r="BE40" s="577"/>
      <c r="BF40" s="502"/>
      <c r="BG40" s="502"/>
      <c r="BH40" s="25"/>
      <c r="BI40" s="25"/>
      <c r="BJ40" s="25"/>
    </row>
    <row r="41" spans="1:62" ht="15.75" x14ac:dyDescent="0.25">
      <c r="B41" s="3431" t="s">
        <v>1949</v>
      </c>
      <c r="C41" s="2881" t="s">
        <v>456</v>
      </c>
      <c r="D41" s="725">
        <v>20</v>
      </c>
      <c r="E41" s="79">
        <v>17.417000000000005</v>
      </c>
      <c r="F41" s="725">
        <v>23</v>
      </c>
      <c r="G41" s="79">
        <v>17.47451612903226</v>
      </c>
      <c r="H41" s="3432">
        <f t="shared" ref="H41:I48" si="131">+((D41*D$3)+(F$3*F41))/H$3</f>
        <v>21.524590163934427</v>
      </c>
      <c r="I41" s="103">
        <f t="shared" si="131"/>
        <v>17.446229508196726</v>
      </c>
      <c r="J41" s="725">
        <v>23</v>
      </c>
      <c r="K41" s="79">
        <v>19.844333333333335</v>
      </c>
      <c r="L41" s="330">
        <f t="shared" ref="L41:L48" si="132">+((H41*H$3)+(J$3*J41))/L$3</f>
        <v>22.010989010989011</v>
      </c>
      <c r="M41" s="330">
        <f t="shared" ref="M41:M48" si="133">+((I41*I$3)+(K$3*K41))/M$3</f>
        <v>18.23681318681319</v>
      </c>
      <c r="N41" s="725">
        <v>23</v>
      </c>
      <c r="O41" s="79">
        <v>19.520967741935486</v>
      </c>
      <c r="P41" s="245">
        <f t="shared" ref="P41:P48" si="134">+((L41*L$3)+(N$3*N41))/P$3</f>
        <v>22.262295081967213</v>
      </c>
      <c r="Q41" s="245">
        <f t="shared" ref="Q41:Q48" si="135">+((M41*M$3)+(O$3*O41))/Q$3</f>
        <v>18.563114754098368</v>
      </c>
      <c r="R41" s="725">
        <v>23</v>
      </c>
      <c r="S41" s="79">
        <v>14.385806451612904</v>
      </c>
      <c r="T41" s="245">
        <f t="shared" ref="T41:T48" si="136">+((P41*P$3)+(R$3*R41))/T$3</f>
        <v>22.411764705882351</v>
      </c>
      <c r="U41" s="245">
        <f t="shared" ref="U41:U48" si="137">+((Q41*Q$3)+(S$3*S41))/U$3</f>
        <v>17.716732026143795</v>
      </c>
      <c r="V41" s="725">
        <v>23</v>
      </c>
      <c r="W41" s="79">
        <v>14.848666666666665</v>
      </c>
      <c r="X41" s="330">
        <f t="shared" ref="X41:Y43" si="138">+((N41*N$3)+(R41*R$3)+(V$3*V41))/X$3</f>
        <v>23</v>
      </c>
      <c r="Y41" s="330">
        <f t="shared" si="138"/>
        <v>16.267065217391306</v>
      </c>
      <c r="Z41" s="634">
        <f t="shared" ref="Z41:Z48" si="139">+((L41*L$3)+(X$3*X41))/Z$3</f>
        <v>22.508196721311474</v>
      </c>
      <c r="AA41" s="634">
        <f>+((M41*M$3)+(Y$3*Y41))/AA$3</f>
        <v>17.246557377049186</v>
      </c>
      <c r="AB41" s="725">
        <v>23</v>
      </c>
      <c r="AC41" s="79">
        <v>15.74516129032258</v>
      </c>
      <c r="AD41" s="245">
        <f t="shared" ref="AD41:AD48" si="140">+((Z41*Z$3)+(AB$3*AB41))/AD$3</f>
        <v>22.579439252336449</v>
      </c>
      <c r="AE41" s="245">
        <f t="shared" ref="AE41:AE48" si="141">+((AA41*AA$3)+(AC$3*AC41))/AE$3</f>
        <v>17.029065420560752</v>
      </c>
      <c r="AF41" s="725">
        <v>23</v>
      </c>
      <c r="AG41" s="79">
        <v>15.930999999999999</v>
      </c>
      <c r="AH41" s="245">
        <f t="shared" ref="AH41:AH48" si="142">+((AD41*AD$3)+(AF$3*AF41))/AH$3</f>
        <v>22.631147540983605</v>
      </c>
      <c r="AI41" s="245">
        <f t="shared" ref="AI41:AI48" si="143">+((AE41*AE$3)+(AG$3*AG41))/AI$3</f>
        <v>16.894057377049183</v>
      </c>
      <c r="AJ41" s="725">
        <v>23</v>
      </c>
      <c r="AK41" s="79">
        <v>15.706774193548387</v>
      </c>
      <c r="AL41" s="330">
        <f t="shared" ref="AL41:AL48" si="144">+((AB41*AB$3)+(AF41*AF$3)+(AJ$3*AJ41))/AL$3</f>
        <v>23</v>
      </c>
      <c r="AM41" s="330">
        <f t="shared" ref="AM41:AM48" si="145">+((AC41*AC$3)+(AG41*AG$3)+(AK$3*AK41))/AM$3</f>
        <v>15.792826086956522</v>
      </c>
      <c r="AN41" s="245">
        <f t="shared" ref="AN41:AO48" si="146">+((AH41*AH$3)+(AJ$3*AJ41))/AN$3</f>
        <v>22.672727272727272</v>
      </c>
      <c r="AO41" s="245">
        <f t="shared" si="146"/>
        <v>16.760218181818182</v>
      </c>
      <c r="AP41" s="725">
        <v>23</v>
      </c>
      <c r="AQ41" s="79">
        <v>15.76483870967742</v>
      </c>
      <c r="AR41" s="245">
        <f t="shared" ref="AR41:AR48" si="147">+((AN41*AN$3)+(AP$3*AP41))/AR$3</f>
        <v>22.705882352941178</v>
      </c>
      <c r="AS41" s="245">
        <f t="shared" ref="AS41:AS48" si="148">+((AO41*AO$3)+(AQ$3*AQ41))/AS$3</f>
        <v>16.659379084967323</v>
      </c>
      <c r="AT41" s="725">
        <v>23</v>
      </c>
      <c r="AU41" s="79">
        <v>17.728928571428572</v>
      </c>
      <c r="AV41" s="245">
        <f t="shared" ref="AV41:AV48" si="149">+((AR41*AR$3)+(AT$3*AT41))/AV$3</f>
        <v>22.730538922155688</v>
      </c>
      <c r="AW41" s="245">
        <f t="shared" ref="AW41:AW48" si="150">+((AS41*AS$3)+(AU$3*AU41))/AW$3</f>
        <v>16.74904191616767</v>
      </c>
      <c r="AX41" s="725">
        <v>23</v>
      </c>
      <c r="AY41" s="79">
        <v>18.416129032258066</v>
      </c>
      <c r="AZ41" s="330">
        <f t="shared" ref="AZ41:AZ48" si="151">+((AP41*AP$3)+(AT41*AT$3)+(AX$3*AX41))/AZ$3</f>
        <v>23</v>
      </c>
      <c r="BA41" s="330">
        <f t="shared" ref="BA41:BA48" si="152">+((AQ41*AQ$3)+(AU41*AU$3)+(AY$3*AY41))/BA$3</f>
        <v>17.289111111111115</v>
      </c>
      <c r="BB41" s="634">
        <f t="shared" ref="BB41:BC48" si="153">+((AL41*AL$3)+(AZ$3*AZ41))/BB$3</f>
        <v>23</v>
      </c>
      <c r="BC41" s="634">
        <f t="shared" si="153"/>
        <v>16.532747252747257</v>
      </c>
      <c r="BD41" s="245">
        <f t="shared" ref="BD41:BD48" si="154">+((AV41*AV$3)+(AX$3*AX41))/BD$3</f>
        <v>22.753424657534246</v>
      </c>
      <c r="BE41" s="245">
        <f t="shared" ref="BE41:BE48" si="155">+((AW41*AW$3)+(AY$3*AY41))/BE$3</f>
        <v>16.890630136986307</v>
      </c>
      <c r="BF41" s="502"/>
      <c r="BG41" s="502"/>
      <c r="BH41" s="25"/>
      <c r="BI41" s="25"/>
      <c r="BJ41" s="25"/>
    </row>
    <row r="42" spans="1:62" ht="15.75" customHeight="1" x14ac:dyDescent="0.25">
      <c r="B42" s="3431" t="s">
        <v>1950</v>
      </c>
      <c r="C42" s="2881" t="s">
        <v>456</v>
      </c>
      <c r="D42" s="725">
        <v>14</v>
      </c>
      <c r="E42" s="79">
        <v>13.756666666666666</v>
      </c>
      <c r="F42" s="725">
        <v>19</v>
      </c>
      <c r="G42" s="79">
        <v>0</v>
      </c>
      <c r="H42" s="3432">
        <f t="shared" si="131"/>
        <v>16.540983606557376</v>
      </c>
      <c r="I42" s="103">
        <f t="shared" si="131"/>
        <v>6.7655737704918035</v>
      </c>
      <c r="J42" s="725">
        <v>19</v>
      </c>
      <c r="K42" s="79">
        <v>0</v>
      </c>
      <c r="L42" s="330">
        <f t="shared" si="132"/>
        <v>17.35164835164835</v>
      </c>
      <c r="M42" s="330">
        <f t="shared" si="133"/>
        <v>4.535164835164835</v>
      </c>
      <c r="N42" s="725">
        <v>19</v>
      </c>
      <c r="O42" s="79">
        <v>0</v>
      </c>
      <c r="P42" s="245">
        <f t="shared" si="134"/>
        <v>17.770491803278688</v>
      </c>
      <c r="Q42" s="245">
        <f t="shared" si="135"/>
        <v>3.3827868852459018</v>
      </c>
      <c r="R42" s="725">
        <v>19</v>
      </c>
      <c r="S42" s="79">
        <v>0</v>
      </c>
      <c r="T42" s="245">
        <f t="shared" si="136"/>
        <v>18.019607843137255</v>
      </c>
      <c r="U42" s="245">
        <f t="shared" si="137"/>
        <v>2.6973856209150324</v>
      </c>
      <c r="V42" s="725">
        <v>19</v>
      </c>
      <c r="W42" s="79">
        <v>0</v>
      </c>
      <c r="X42" s="330">
        <f t="shared" si="138"/>
        <v>19</v>
      </c>
      <c r="Y42" s="330">
        <f t="shared" si="138"/>
        <v>0</v>
      </c>
      <c r="Z42" s="634">
        <f t="shared" si="139"/>
        <v>18.180327868852459</v>
      </c>
      <c r="AA42" s="634">
        <f t="shared" ref="AA42:AA48" si="156">+((M42*M$3)+(Y$3*Y42))/AA$3</f>
        <v>2.2551912568306012</v>
      </c>
      <c r="AB42" s="725">
        <v>19</v>
      </c>
      <c r="AC42" s="79">
        <v>0</v>
      </c>
      <c r="AD42" s="245">
        <f t="shared" si="140"/>
        <v>18.299065420560748</v>
      </c>
      <c r="AE42" s="245">
        <f t="shared" si="141"/>
        <v>1.9285046728971962</v>
      </c>
      <c r="AF42" s="725">
        <v>19</v>
      </c>
      <c r="AG42" s="79">
        <v>2.0350000000000001</v>
      </c>
      <c r="AH42" s="245">
        <f t="shared" si="142"/>
        <v>18.385245901639344</v>
      </c>
      <c r="AI42" s="245">
        <f t="shared" si="143"/>
        <v>1.9415983606557377</v>
      </c>
      <c r="AJ42" s="725">
        <v>19</v>
      </c>
      <c r="AK42" s="79">
        <v>9.9215053763440864</v>
      </c>
      <c r="AL42" s="330">
        <f t="shared" si="144"/>
        <v>19</v>
      </c>
      <c r="AM42" s="330">
        <f t="shared" si="145"/>
        <v>4.0067028985507251</v>
      </c>
      <c r="AN42" s="245">
        <f t="shared" si="146"/>
        <v>18.454545454545453</v>
      </c>
      <c r="AO42" s="245">
        <f t="shared" si="146"/>
        <v>2.8411515151515148</v>
      </c>
      <c r="AP42" s="725">
        <v>19</v>
      </c>
      <c r="AQ42" s="79">
        <v>7.7421505376344086</v>
      </c>
      <c r="AR42" s="245">
        <f t="shared" si="147"/>
        <v>18.509803921568629</v>
      </c>
      <c r="AS42" s="245">
        <f t="shared" si="148"/>
        <v>3.3376579520697165</v>
      </c>
      <c r="AT42" s="725">
        <v>19</v>
      </c>
      <c r="AU42" s="79">
        <v>7.7541071428571433</v>
      </c>
      <c r="AV42" s="245">
        <f t="shared" si="149"/>
        <v>18.550898203592816</v>
      </c>
      <c r="AW42" s="245">
        <f t="shared" si="150"/>
        <v>3.7078992015968062</v>
      </c>
      <c r="AX42" s="725">
        <v>19</v>
      </c>
      <c r="AY42" s="79">
        <v>9.921397849462366</v>
      </c>
      <c r="AZ42" s="330">
        <f t="shared" si="151"/>
        <v>19</v>
      </c>
      <c r="BA42" s="330">
        <f t="shared" si="152"/>
        <v>8.4964999999999993</v>
      </c>
      <c r="BB42" s="634">
        <f t="shared" si="153"/>
        <v>19</v>
      </c>
      <c r="BC42" s="634">
        <f t="shared" si="153"/>
        <v>6.2269322344322351</v>
      </c>
      <c r="BD42" s="245">
        <f t="shared" si="154"/>
        <v>18.589041095890412</v>
      </c>
      <c r="BE42" s="245">
        <f t="shared" si="155"/>
        <v>4.2356210045662097</v>
      </c>
      <c r="BF42" s="502"/>
      <c r="BG42" s="502"/>
      <c r="BH42" s="25"/>
      <c r="BI42" s="25"/>
      <c r="BJ42" s="25"/>
    </row>
    <row r="43" spans="1:62" ht="15.75" x14ac:dyDescent="0.25">
      <c r="B43" s="3431" t="s">
        <v>1951</v>
      </c>
      <c r="C43" s="2881" t="s">
        <v>456</v>
      </c>
      <c r="D43" s="725">
        <v>9</v>
      </c>
      <c r="E43" s="79">
        <v>10.208666666666668</v>
      </c>
      <c r="F43" s="725">
        <v>8</v>
      </c>
      <c r="G43" s="79">
        <v>5.2432258064516128</v>
      </c>
      <c r="H43" s="3432">
        <f t="shared" si="131"/>
        <v>8.4918032786885238</v>
      </c>
      <c r="I43" s="103">
        <f t="shared" si="131"/>
        <v>7.6852459016393455</v>
      </c>
      <c r="J43" s="725">
        <v>8</v>
      </c>
      <c r="K43" s="79">
        <v>5.5400000000000009</v>
      </c>
      <c r="L43" s="330">
        <f t="shared" si="132"/>
        <v>8.3296703296703303</v>
      </c>
      <c r="M43" s="330">
        <f t="shared" si="133"/>
        <v>6.978021978021979</v>
      </c>
      <c r="N43" s="725">
        <v>8</v>
      </c>
      <c r="O43" s="79">
        <v>6.5196774193548395</v>
      </c>
      <c r="P43" s="245">
        <f t="shared" si="134"/>
        <v>8.2459016393442628</v>
      </c>
      <c r="Q43" s="245">
        <f t="shared" si="135"/>
        <v>6.8615573770491816</v>
      </c>
      <c r="R43" s="725">
        <v>8</v>
      </c>
      <c r="S43" s="79">
        <v>7.6626881720430111</v>
      </c>
      <c r="T43" s="245">
        <f t="shared" si="136"/>
        <v>8.1960784313725483</v>
      </c>
      <c r="U43" s="245">
        <f t="shared" si="137"/>
        <v>7.0238779956427022</v>
      </c>
      <c r="V43" s="725">
        <v>9</v>
      </c>
      <c r="W43" s="79">
        <v>8.9433333333333316</v>
      </c>
      <c r="X43" s="330">
        <f t="shared" si="138"/>
        <v>8.3260869565217384</v>
      </c>
      <c r="Y43" s="330">
        <f t="shared" si="138"/>
        <v>7.6951449275362327</v>
      </c>
      <c r="Z43" s="634">
        <f t="shared" si="139"/>
        <v>8.3278688524590159</v>
      </c>
      <c r="AA43" s="634">
        <f t="shared" si="156"/>
        <v>7.3385428051001824</v>
      </c>
      <c r="AB43" s="725">
        <v>8</v>
      </c>
      <c r="AC43" s="79">
        <v>9.0180645161290318</v>
      </c>
      <c r="AD43" s="245">
        <f t="shared" si="140"/>
        <v>8.2803738317757016</v>
      </c>
      <c r="AE43" s="245">
        <f t="shared" si="141"/>
        <v>7.5818380062305293</v>
      </c>
      <c r="AF43" s="725">
        <v>8</v>
      </c>
      <c r="AG43" s="79">
        <v>11.641</v>
      </c>
      <c r="AH43" s="245">
        <f t="shared" si="142"/>
        <v>8.2459016393442628</v>
      </c>
      <c r="AI43" s="245">
        <f t="shared" si="143"/>
        <v>8.0809153005464474</v>
      </c>
      <c r="AJ43" s="725">
        <v>8</v>
      </c>
      <c r="AK43" s="79">
        <v>12.986451612903226</v>
      </c>
      <c r="AL43" s="330">
        <f t="shared" si="144"/>
        <v>8</v>
      </c>
      <c r="AM43" s="330">
        <f t="shared" si="145"/>
        <v>11.210543478260869</v>
      </c>
      <c r="AN43" s="245">
        <f t="shared" si="146"/>
        <v>8.2181818181818187</v>
      </c>
      <c r="AO43" s="245">
        <f t="shared" si="146"/>
        <v>8.6339030303030295</v>
      </c>
      <c r="AP43" s="725">
        <v>8</v>
      </c>
      <c r="AQ43" s="79">
        <v>14.035806451612903</v>
      </c>
      <c r="AR43" s="245">
        <f t="shared" si="147"/>
        <v>8.1960784313725483</v>
      </c>
      <c r="AS43" s="245">
        <f t="shared" si="148"/>
        <v>9.1811546840958602</v>
      </c>
      <c r="AT43" s="725">
        <v>8</v>
      </c>
      <c r="AU43" s="79">
        <v>14.574285714285715</v>
      </c>
      <c r="AV43" s="245">
        <f t="shared" si="149"/>
        <v>8.1796407185628741</v>
      </c>
      <c r="AW43" s="245">
        <f t="shared" si="150"/>
        <v>9.6332734530938122</v>
      </c>
      <c r="AX43" s="725">
        <v>8</v>
      </c>
      <c r="AY43" s="79">
        <v>7.1574193548387095</v>
      </c>
      <c r="AZ43" s="330">
        <f t="shared" si="151"/>
        <v>8</v>
      </c>
      <c r="BA43" s="330">
        <f t="shared" si="152"/>
        <v>11.834111111111113</v>
      </c>
      <c r="BB43" s="634">
        <f t="shared" si="153"/>
        <v>8</v>
      </c>
      <c r="BC43" s="634">
        <f t="shared" si="153"/>
        <v>11.518901098901098</v>
      </c>
      <c r="BD43" s="245">
        <f t="shared" si="154"/>
        <v>8.1643835616438363</v>
      </c>
      <c r="BE43" s="245">
        <f t="shared" si="155"/>
        <v>9.4229954337899553</v>
      </c>
      <c r="BF43" s="502"/>
      <c r="BG43" s="502"/>
      <c r="BH43" s="25"/>
      <c r="BI43" s="25"/>
      <c r="BJ43" s="25"/>
    </row>
    <row r="44" spans="1:62" s="4487" customFormat="1" ht="15.75" x14ac:dyDescent="0.25">
      <c r="B44" s="5535" t="s">
        <v>1952</v>
      </c>
      <c r="C44" s="5536" t="s">
        <v>456</v>
      </c>
      <c r="D44" s="5537">
        <f t="shared" ref="D44:M44" si="157">SUM(D41:D43)</f>
        <v>43</v>
      </c>
      <c r="E44" s="5537">
        <f t="shared" si="157"/>
        <v>41.382333333333335</v>
      </c>
      <c r="F44" s="5537">
        <f t="shared" si="157"/>
        <v>50</v>
      </c>
      <c r="G44" s="5537">
        <f t="shared" si="157"/>
        <v>22.717741935483872</v>
      </c>
      <c r="H44" s="5425">
        <f t="shared" si="157"/>
        <v>46.557377049180324</v>
      </c>
      <c r="I44" s="5441">
        <f t="shared" si="157"/>
        <v>31.897049180327873</v>
      </c>
      <c r="J44" s="5537">
        <f t="shared" si="157"/>
        <v>50</v>
      </c>
      <c r="K44" s="5537">
        <f t="shared" si="157"/>
        <v>25.384333333333338</v>
      </c>
      <c r="L44" s="5426">
        <f t="shared" si="157"/>
        <v>47.692307692307686</v>
      </c>
      <c r="M44" s="5426">
        <f t="shared" si="157"/>
        <v>29.750000000000004</v>
      </c>
      <c r="N44" s="5537">
        <f t="shared" ref="N44:O44" si="158">SUM(N41:N43)</f>
        <v>50</v>
      </c>
      <c r="O44" s="5537">
        <f t="shared" si="158"/>
        <v>26.040645161290325</v>
      </c>
      <c r="P44" s="5425">
        <f t="shared" ref="P44:U44" si="159">SUM(P41:P43)</f>
        <v>48.278688524590159</v>
      </c>
      <c r="Q44" s="5425">
        <f t="shared" si="159"/>
        <v>28.807459016393452</v>
      </c>
      <c r="R44" s="5537">
        <f t="shared" si="159"/>
        <v>50</v>
      </c>
      <c r="S44" s="5537">
        <f t="shared" si="159"/>
        <v>22.048494623655916</v>
      </c>
      <c r="T44" s="5425">
        <f t="shared" si="159"/>
        <v>48.627450980392155</v>
      </c>
      <c r="U44" s="5425">
        <f t="shared" si="159"/>
        <v>27.43799564270153</v>
      </c>
      <c r="V44" s="5537">
        <f t="shared" ref="V44:W44" si="160">SUM(V41:V43)</f>
        <v>51</v>
      </c>
      <c r="W44" s="5537">
        <f t="shared" si="160"/>
        <v>23.791999999999994</v>
      </c>
      <c r="X44" s="5426">
        <f t="shared" ref="X44:AC44" si="161">SUM(X41:X43)</f>
        <v>50.326086956521735</v>
      </c>
      <c r="Y44" s="5426">
        <f t="shared" si="161"/>
        <v>23.962210144927539</v>
      </c>
      <c r="Z44" s="5534">
        <f t="shared" si="161"/>
        <v>49.016393442622956</v>
      </c>
      <c r="AA44" s="5534">
        <f t="shared" si="161"/>
        <v>26.840291438979968</v>
      </c>
      <c r="AB44" s="5537">
        <f t="shared" si="161"/>
        <v>50</v>
      </c>
      <c r="AC44" s="5537">
        <f t="shared" si="161"/>
        <v>24.763225806451612</v>
      </c>
      <c r="AD44" s="5425">
        <f t="shared" ref="AD44:AG44" si="162">SUM(AD41:AD43)</f>
        <v>49.158878504672899</v>
      </c>
      <c r="AE44" s="5425">
        <f t="shared" si="162"/>
        <v>26.53940809968848</v>
      </c>
      <c r="AF44" s="5537">
        <f t="shared" si="162"/>
        <v>50</v>
      </c>
      <c r="AG44" s="5537">
        <f t="shared" si="162"/>
        <v>29.606999999999999</v>
      </c>
      <c r="AH44" s="5425">
        <f t="shared" ref="AH44:AK44" si="163">SUM(AH41:AH43)</f>
        <v>49.26229508196721</v>
      </c>
      <c r="AI44" s="5425">
        <f t="shared" si="163"/>
        <v>26.916571038251369</v>
      </c>
      <c r="AJ44" s="5537">
        <f t="shared" si="163"/>
        <v>50</v>
      </c>
      <c r="AK44" s="5537">
        <f t="shared" si="163"/>
        <v>38.614731182795701</v>
      </c>
      <c r="AL44" s="5426">
        <f t="shared" ref="AL44:AQ44" si="164">SUM(AL41:AL43)</f>
        <v>50</v>
      </c>
      <c r="AM44" s="5426">
        <f t="shared" si="164"/>
        <v>31.010072463768118</v>
      </c>
      <c r="AN44" s="5425">
        <f t="shared" si="164"/>
        <v>49.345454545454544</v>
      </c>
      <c r="AO44" s="5425">
        <f t="shared" si="164"/>
        <v>28.235272727272729</v>
      </c>
      <c r="AP44" s="5537">
        <f t="shared" si="164"/>
        <v>50</v>
      </c>
      <c r="AQ44" s="5537">
        <f t="shared" si="164"/>
        <v>37.542795698924735</v>
      </c>
      <c r="AR44" s="5425">
        <f t="shared" ref="AR44:AU44" si="165">SUM(AR41:AR43)</f>
        <v>49.411764705882355</v>
      </c>
      <c r="AS44" s="5425">
        <f t="shared" si="165"/>
        <v>29.178191721132897</v>
      </c>
      <c r="AT44" s="5537">
        <f t="shared" si="165"/>
        <v>50</v>
      </c>
      <c r="AU44" s="5537">
        <f t="shared" si="165"/>
        <v>40.057321428571427</v>
      </c>
      <c r="AV44" s="5425">
        <f t="shared" ref="AV44:AY44" si="166">SUM(AV41:AV43)</f>
        <v>49.461077844311376</v>
      </c>
      <c r="AW44" s="5425">
        <f t="shared" si="166"/>
        <v>30.090214570858286</v>
      </c>
      <c r="AX44" s="5537">
        <f t="shared" si="166"/>
        <v>50</v>
      </c>
      <c r="AY44" s="5537">
        <f t="shared" si="166"/>
        <v>35.494946236559144</v>
      </c>
      <c r="AZ44" s="5426">
        <f t="shared" ref="AZ44:BE44" si="167">SUM(AZ41:AZ43)</f>
        <v>50</v>
      </c>
      <c r="BA44" s="5426">
        <f t="shared" si="167"/>
        <v>37.619722222222229</v>
      </c>
      <c r="BB44" s="5534">
        <f t="shared" si="167"/>
        <v>50</v>
      </c>
      <c r="BC44" s="5534">
        <f t="shared" si="167"/>
        <v>34.278580586080587</v>
      </c>
      <c r="BD44" s="5425">
        <f t="shared" si="167"/>
        <v>49.5068493150685</v>
      </c>
      <c r="BE44" s="5425">
        <f t="shared" si="167"/>
        <v>30.549246575342472</v>
      </c>
      <c r="BF44" s="502"/>
      <c r="BG44" s="502"/>
      <c r="BH44" s="25"/>
      <c r="BI44" s="25"/>
      <c r="BJ44" s="25"/>
    </row>
    <row r="45" spans="1:62" ht="15.75" x14ac:dyDescent="0.25">
      <c r="B45" s="3431" t="s">
        <v>2344</v>
      </c>
      <c r="C45" s="2881" t="s">
        <v>456</v>
      </c>
      <c r="D45" s="725">
        <v>9</v>
      </c>
      <c r="E45" s="79">
        <v>3.3333333333333333E-2</v>
      </c>
      <c r="F45" s="725">
        <v>9</v>
      </c>
      <c r="G45" s="79">
        <v>6.6790322580645158</v>
      </c>
      <c r="H45" s="3432">
        <f t="shared" si="131"/>
        <v>9</v>
      </c>
      <c r="I45" s="103">
        <f t="shared" si="131"/>
        <v>3.4106557377049178</v>
      </c>
      <c r="J45" s="725">
        <v>9</v>
      </c>
      <c r="K45" s="79">
        <v>3.8310000000000008</v>
      </c>
      <c r="L45" s="330">
        <f t="shared" si="132"/>
        <v>9</v>
      </c>
      <c r="M45" s="330">
        <f t="shared" si="133"/>
        <v>3.5492307692307694</v>
      </c>
      <c r="N45" s="725">
        <v>9</v>
      </c>
      <c r="O45" s="79">
        <v>0.54516129032258065</v>
      </c>
      <c r="P45" s="245">
        <f t="shared" si="134"/>
        <v>9</v>
      </c>
      <c r="Q45" s="245">
        <f t="shared" si="135"/>
        <v>2.7859016393442624</v>
      </c>
      <c r="R45" s="725">
        <v>9</v>
      </c>
      <c r="S45" s="79">
        <v>0.3470967741935484</v>
      </c>
      <c r="T45" s="245">
        <f t="shared" si="136"/>
        <v>9</v>
      </c>
      <c r="U45" s="245">
        <f t="shared" si="137"/>
        <v>2.2917647058823527</v>
      </c>
      <c r="V45" s="725">
        <v>6</v>
      </c>
      <c r="W45" s="79">
        <v>0.60433333333333339</v>
      </c>
      <c r="X45" s="330">
        <f t="shared" ref="X45:Y48" si="168">+((N45*N$3)+(R45*R$3)+(V$3*V45))/X$3</f>
        <v>8.0217391304347831</v>
      </c>
      <c r="Y45" s="330">
        <f t="shared" si="168"/>
        <v>0.49771739130434783</v>
      </c>
      <c r="Z45" s="634">
        <f t="shared" si="139"/>
        <v>8.5081967213114762</v>
      </c>
      <c r="AA45" s="634">
        <f t="shared" si="156"/>
        <v>2.0151366120218581</v>
      </c>
      <c r="AB45" s="725">
        <v>9</v>
      </c>
      <c r="AC45" s="79">
        <v>0.38096774193548388</v>
      </c>
      <c r="AD45" s="245">
        <f t="shared" si="140"/>
        <v>8.5794392523364493</v>
      </c>
      <c r="AE45" s="245">
        <f t="shared" si="141"/>
        <v>1.7784112149532711</v>
      </c>
      <c r="AF45" s="725">
        <v>9</v>
      </c>
      <c r="AG45" s="79">
        <v>0.4433333333333333</v>
      </c>
      <c r="AH45" s="245">
        <f t="shared" si="142"/>
        <v>8.6311475409836067</v>
      </c>
      <c r="AI45" s="245">
        <f t="shared" si="143"/>
        <v>1.6142622950819674</v>
      </c>
      <c r="AJ45" s="725">
        <v>9</v>
      </c>
      <c r="AK45" s="79">
        <v>0.46548387096774191</v>
      </c>
      <c r="AL45" s="330">
        <f t="shared" si="144"/>
        <v>9</v>
      </c>
      <c r="AM45" s="330">
        <f t="shared" si="145"/>
        <v>0.42978260869565216</v>
      </c>
      <c r="AN45" s="245">
        <f t="shared" si="146"/>
        <v>8.672727272727272</v>
      </c>
      <c r="AO45" s="2045">
        <f t="shared" si="146"/>
        <v>1.4847636363636365</v>
      </c>
      <c r="AP45" s="725">
        <v>9</v>
      </c>
      <c r="AQ45" s="79">
        <v>0.43548387096774194</v>
      </c>
      <c r="AR45" s="245">
        <f t="shared" si="147"/>
        <v>8.7058823529411757</v>
      </c>
      <c r="AS45" s="245">
        <f t="shared" si="148"/>
        <v>1.378464052287582</v>
      </c>
      <c r="AT45" s="725">
        <v>9</v>
      </c>
      <c r="AU45" s="79">
        <v>3.2142857142857147E-2</v>
      </c>
      <c r="AV45" s="245">
        <f t="shared" si="149"/>
        <v>8.7305389221556879</v>
      </c>
      <c r="AW45" s="245">
        <f t="shared" si="150"/>
        <v>1.2655988023952096</v>
      </c>
      <c r="AX45" s="725">
        <v>9</v>
      </c>
      <c r="AY45" s="79">
        <v>0.6832258064516129</v>
      </c>
      <c r="AZ45" s="330">
        <f t="shared" si="151"/>
        <v>9</v>
      </c>
      <c r="BA45" s="330">
        <f t="shared" si="152"/>
        <v>0.39533333333333331</v>
      </c>
      <c r="BB45" s="634">
        <f t="shared" si="153"/>
        <v>9</v>
      </c>
      <c r="BC45" s="634">
        <f t="shared" si="153"/>
        <v>0.41274725274725277</v>
      </c>
      <c r="BD45" s="245">
        <f t="shared" si="154"/>
        <v>8.7534246575342465</v>
      </c>
      <c r="BE45" s="245">
        <f t="shared" si="155"/>
        <v>1.21613698630137</v>
      </c>
      <c r="BF45" s="502"/>
      <c r="BG45" s="502"/>
      <c r="BH45" s="25"/>
      <c r="BI45" s="25"/>
      <c r="BJ45" s="25"/>
    </row>
    <row r="46" spans="1:62" s="4487" customFormat="1" ht="15.75" x14ac:dyDescent="0.25">
      <c r="B46" s="7638" t="s">
        <v>2345</v>
      </c>
      <c r="C46" s="2881" t="s">
        <v>456</v>
      </c>
      <c r="D46" s="7639">
        <v>13.5</v>
      </c>
      <c r="E46" s="7640">
        <v>12.197999999999999</v>
      </c>
      <c r="F46" s="7639"/>
      <c r="G46" s="7640"/>
      <c r="H46" s="7641"/>
      <c r="I46" s="5441"/>
      <c r="J46" s="7639"/>
      <c r="K46" s="7640"/>
      <c r="L46" s="7642"/>
      <c r="M46" s="7642"/>
      <c r="N46" s="7639"/>
      <c r="O46" s="7640"/>
      <c r="P46" s="7641"/>
      <c r="Q46" s="7641"/>
      <c r="R46" s="7639"/>
      <c r="S46" s="7640"/>
      <c r="T46" s="7641"/>
      <c r="U46" s="7641"/>
      <c r="V46" s="7639"/>
      <c r="W46" s="7640"/>
      <c r="X46" s="7642"/>
      <c r="Y46" s="7642"/>
      <c r="Z46" s="5534"/>
      <c r="AA46" s="5534"/>
      <c r="AB46" s="7639"/>
      <c r="AC46" s="7640"/>
      <c r="AD46" s="7641"/>
      <c r="AE46" s="7641"/>
      <c r="AF46" s="7639"/>
      <c r="AG46" s="7640"/>
      <c r="AH46" s="7641"/>
      <c r="AI46" s="7641"/>
      <c r="AJ46" s="7639"/>
      <c r="AK46" s="7640"/>
      <c r="AL46" s="7642"/>
      <c r="AM46" s="7642"/>
      <c r="AN46" s="7641"/>
      <c r="AO46" s="7643"/>
      <c r="AP46" s="7639"/>
      <c r="AQ46" s="7640"/>
      <c r="AR46" s="7641"/>
      <c r="AS46" s="7641"/>
      <c r="AT46" s="7639"/>
      <c r="AU46" s="7640"/>
      <c r="AV46" s="7641"/>
      <c r="AW46" s="7641"/>
      <c r="AX46" s="7639"/>
      <c r="AY46" s="7640"/>
      <c r="AZ46" s="7642"/>
      <c r="BA46" s="7642"/>
      <c r="BB46" s="5534"/>
      <c r="BC46" s="5534"/>
      <c r="BD46" s="7641"/>
      <c r="BE46" s="7641"/>
      <c r="BF46" s="502"/>
      <c r="BG46" s="502"/>
      <c r="BH46" s="25"/>
      <c r="BI46" s="25"/>
      <c r="BJ46" s="25"/>
    </row>
    <row r="47" spans="1:62" ht="15.75" x14ac:dyDescent="0.25">
      <c r="B47" s="3431" t="s">
        <v>448</v>
      </c>
      <c r="C47" s="2881" t="s">
        <v>456</v>
      </c>
      <c r="D47" s="725">
        <v>89.15432098765433</v>
      </c>
      <c r="E47" s="79">
        <v>103.29433333333333</v>
      </c>
      <c r="F47" s="725">
        <v>13.5</v>
      </c>
      <c r="G47" s="79">
        <v>12.798709677419355</v>
      </c>
      <c r="H47" s="3432">
        <f t="shared" si="131"/>
        <v>50.707043108682463</v>
      </c>
      <c r="I47" s="103">
        <f t="shared" si="131"/>
        <v>57.304754098360661</v>
      </c>
      <c r="J47" s="725">
        <v>13.5</v>
      </c>
      <c r="K47" s="79">
        <v>12.927333333333333</v>
      </c>
      <c r="L47" s="330">
        <f t="shared" si="132"/>
        <v>38.440984940984947</v>
      </c>
      <c r="M47" s="330">
        <f t="shared" si="133"/>
        <v>42.674835164835166</v>
      </c>
      <c r="N47" s="725">
        <v>13.5</v>
      </c>
      <c r="O47" s="79">
        <v>12.632580645161289</v>
      </c>
      <c r="P47" s="245">
        <f t="shared" si="134"/>
        <v>32.103521554341228</v>
      </c>
      <c r="Q47" s="245">
        <f t="shared" si="135"/>
        <v>35.041147540983609</v>
      </c>
      <c r="R47" s="725">
        <v>13.5</v>
      </c>
      <c r="S47" s="79">
        <v>13.253870967741934</v>
      </c>
      <c r="T47" s="245">
        <f t="shared" si="136"/>
        <v>28.334180585814572</v>
      </c>
      <c r="U47" s="245">
        <f t="shared" si="137"/>
        <v>30.626732026143792</v>
      </c>
      <c r="V47" s="725">
        <v>10.5</v>
      </c>
      <c r="W47" s="79">
        <v>12.871333333333332</v>
      </c>
      <c r="X47" s="330">
        <f t="shared" si="168"/>
        <v>12.521739130434783</v>
      </c>
      <c r="Y47" s="330">
        <f t="shared" si="168"/>
        <v>12.919782608695652</v>
      </c>
      <c r="Z47" s="634">
        <f t="shared" si="139"/>
        <v>25.410544424205625</v>
      </c>
      <c r="AA47" s="634">
        <f t="shared" si="156"/>
        <v>27.716010928961751</v>
      </c>
      <c r="AB47" s="725">
        <v>13.5</v>
      </c>
      <c r="AC47" s="79">
        <v>12.23</v>
      </c>
      <c r="AD47" s="245">
        <f t="shared" si="140"/>
        <v>23.685185185185183</v>
      </c>
      <c r="AE47" s="245">
        <f t="shared" si="141"/>
        <v>25.472710280373835</v>
      </c>
      <c r="AF47" s="725">
        <v>13.5</v>
      </c>
      <c r="AG47" s="79">
        <v>13.702333333333334</v>
      </c>
      <c r="AH47" s="245">
        <f t="shared" si="142"/>
        <v>22.432908318154219</v>
      </c>
      <c r="AI47" s="245">
        <f t="shared" si="143"/>
        <v>24.025532786885247</v>
      </c>
      <c r="AJ47" s="725">
        <v>13.5</v>
      </c>
      <c r="AK47" s="79">
        <v>13.423225806451612</v>
      </c>
      <c r="AL47" s="330">
        <f t="shared" si="144"/>
        <v>13.5</v>
      </c>
      <c r="AM47" s="330">
        <f t="shared" si="145"/>
        <v>13.112173913043478</v>
      </c>
      <c r="AN47" s="245">
        <f t="shared" si="146"/>
        <v>21.425925925925927</v>
      </c>
      <c r="AO47" s="245">
        <f t="shared" si="146"/>
        <v>22.830363636363639</v>
      </c>
      <c r="AP47" s="725">
        <v>13.5</v>
      </c>
      <c r="AQ47" s="79">
        <v>13.655161290322582</v>
      </c>
      <c r="AR47" s="245">
        <f t="shared" si="147"/>
        <v>20.622972645848467</v>
      </c>
      <c r="AS47" s="245">
        <f t="shared" si="148"/>
        <v>21.900849673202618</v>
      </c>
      <c r="AT47" s="725">
        <v>13.5</v>
      </c>
      <c r="AU47" s="79">
        <v>12.957500000000001</v>
      </c>
      <c r="AV47" s="245">
        <f t="shared" si="149"/>
        <v>20.025837214459973</v>
      </c>
      <c r="AW47" s="245">
        <f t="shared" si="150"/>
        <v>21.15110778443114</v>
      </c>
      <c r="AX47" s="725">
        <v>13.5</v>
      </c>
      <c r="AY47" s="79">
        <v>12.420645161290322</v>
      </c>
      <c r="AZ47" s="330">
        <f t="shared" si="151"/>
        <v>13.5</v>
      </c>
      <c r="BA47" s="330">
        <f t="shared" si="152"/>
        <v>13.01288888888889</v>
      </c>
      <c r="BB47" s="634">
        <f t="shared" si="153"/>
        <v>13.5</v>
      </c>
      <c r="BC47" s="634">
        <f t="shared" si="153"/>
        <v>13.063076923076924</v>
      </c>
      <c r="BD47" s="245">
        <f t="shared" si="154"/>
        <v>19.471588026382548</v>
      </c>
      <c r="BE47" s="245">
        <f t="shared" si="155"/>
        <v>20.409616438356167</v>
      </c>
      <c r="BF47" s="502"/>
      <c r="BG47" s="502"/>
      <c r="BH47" s="25"/>
      <c r="BI47" s="25"/>
      <c r="BJ47" s="25"/>
    </row>
    <row r="48" spans="1:62" ht="16.5" thickBot="1" x14ac:dyDescent="0.3">
      <c r="B48" s="3431" t="s">
        <v>2346</v>
      </c>
      <c r="C48" s="2881" t="s">
        <v>456</v>
      </c>
      <c r="D48" s="725">
        <v>10.5</v>
      </c>
      <c r="E48" s="79">
        <v>5.5650000000000013</v>
      </c>
      <c r="F48" s="725">
        <v>110</v>
      </c>
      <c r="G48" s="79">
        <v>107.83387096774193</v>
      </c>
      <c r="H48" s="3432">
        <f t="shared" si="131"/>
        <v>61.065573770491802</v>
      </c>
      <c r="I48" s="103">
        <f t="shared" si="131"/>
        <v>57.537704918032787</v>
      </c>
      <c r="J48" s="725">
        <v>110</v>
      </c>
      <c r="K48" s="79">
        <v>112.11233333333332</v>
      </c>
      <c r="L48" s="330">
        <f t="shared" si="132"/>
        <v>77.197802197802204</v>
      </c>
      <c r="M48" s="330">
        <f t="shared" si="133"/>
        <v>75.529340659340662</v>
      </c>
      <c r="N48" s="725">
        <v>110</v>
      </c>
      <c r="O48" s="79">
        <v>111.24741935483871</v>
      </c>
      <c r="P48" s="245">
        <f t="shared" si="134"/>
        <v>85.532786885245898</v>
      </c>
      <c r="Q48" s="245">
        <f t="shared" si="135"/>
        <v>84.60524590163935</v>
      </c>
      <c r="R48" s="725">
        <v>110</v>
      </c>
      <c r="S48" s="79">
        <v>108.71677419354839</v>
      </c>
      <c r="T48" s="245">
        <f t="shared" si="136"/>
        <v>90.490196078431367</v>
      </c>
      <c r="U48" s="245">
        <f t="shared" si="137"/>
        <v>89.490588235294126</v>
      </c>
      <c r="V48" s="725">
        <v>67</v>
      </c>
      <c r="W48" s="79">
        <v>106.62566666666666</v>
      </c>
      <c r="X48" s="330">
        <f t="shared" si="168"/>
        <v>95.978260869565219</v>
      </c>
      <c r="Y48" s="330">
        <f t="shared" si="168"/>
        <v>108.88760869565218</v>
      </c>
      <c r="Z48" s="634">
        <f t="shared" si="139"/>
        <v>86.639344262295083</v>
      </c>
      <c r="AA48" s="634">
        <f t="shared" si="156"/>
        <v>92.299617486338803</v>
      </c>
      <c r="AB48" s="725">
        <v>110</v>
      </c>
      <c r="AC48" s="79">
        <v>86.475268817204295</v>
      </c>
      <c r="AD48" s="245">
        <f t="shared" si="140"/>
        <v>90.023364485981304</v>
      </c>
      <c r="AE48" s="245">
        <f t="shared" si="141"/>
        <v>91.455903426791281</v>
      </c>
      <c r="AF48" s="725">
        <v>110</v>
      </c>
      <c r="AG48" s="79">
        <v>98.193000000000012</v>
      </c>
      <c r="AH48" s="245">
        <f t="shared" si="142"/>
        <v>92.479508196721312</v>
      </c>
      <c r="AI48" s="245">
        <f t="shared" si="143"/>
        <v>92.284234972677609</v>
      </c>
      <c r="AJ48" s="725">
        <v>110</v>
      </c>
      <c r="AK48" s="79">
        <v>98.45</v>
      </c>
      <c r="AL48" s="330">
        <f t="shared" si="144"/>
        <v>110</v>
      </c>
      <c r="AM48" s="330">
        <f t="shared" si="145"/>
        <v>94.331231884057971</v>
      </c>
      <c r="AN48" s="245">
        <f t="shared" si="146"/>
        <v>94.454545454545453</v>
      </c>
      <c r="AO48" s="245">
        <f t="shared" si="146"/>
        <v>92.979284848484866</v>
      </c>
      <c r="AP48" s="725">
        <v>110</v>
      </c>
      <c r="AQ48" s="79">
        <v>98.391935483870981</v>
      </c>
      <c r="AR48" s="245">
        <f t="shared" si="147"/>
        <v>96.029411764705884</v>
      </c>
      <c r="AS48" s="245">
        <f t="shared" si="148"/>
        <v>93.527625272331164</v>
      </c>
      <c r="AT48" s="725">
        <v>110</v>
      </c>
      <c r="AU48" s="79">
        <v>95.142499999999998</v>
      </c>
      <c r="AV48" s="245">
        <f t="shared" si="149"/>
        <v>97.200598802395206</v>
      </c>
      <c r="AW48" s="245">
        <f t="shared" si="150"/>
        <v>93.663003992015973</v>
      </c>
      <c r="AX48" s="725">
        <v>110</v>
      </c>
      <c r="AY48" s="79">
        <v>101.0325806451613</v>
      </c>
      <c r="AZ48" s="330">
        <f t="shared" si="151"/>
        <v>110</v>
      </c>
      <c r="BA48" s="330">
        <f t="shared" si="152"/>
        <v>98.290555555555571</v>
      </c>
      <c r="BB48" s="634">
        <f t="shared" si="153"/>
        <v>110</v>
      </c>
      <c r="BC48" s="634">
        <f t="shared" si="153"/>
        <v>96.28913919413921</v>
      </c>
      <c r="BD48" s="245">
        <f t="shared" si="154"/>
        <v>98.287671232876718</v>
      </c>
      <c r="BE48" s="245">
        <f t="shared" si="155"/>
        <v>94.288913242009144</v>
      </c>
      <c r="BF48" s="502"/>
      <c r="BG48" s="502"/>
      <c r="BH48" s="25"/>
      <c r="BI48" s="25"/>
      <c r="BJ48" s="25"/>
    </row>
    <row r="49" spans="1:68" ht="19.5" thickBot="1" x14ac:dyDescent="0.3">
      <c r="B49" s="226" t="s">
        <v>1953</v>
      </c>
      <c r="C49" s="46" t="s">
        <v>456</v>
      </c>
      <c r="D49" s="928">
        <f t="shared" ref="D49:AI49" si="169">SUM(D45:D48)</f>
        <v>122.15432098765433</v>
      </c>
      <c r="E49" s="928">
        <f t="shared" si="169"/>
        <v>121.09066666666666</v>
      </c>
      <c r="F49" s="928">
        <f t="shared" si="169"/>
        <v>132.5</v>
      </c>
      <c r="G49" s="928">
        <f t="shared" si="169"/>
        <v>127.31161290322581</v>
      </c>
      <c r="H49" s="2854">
        <f t="shared" si="169"/>
        <v>120.77261687917427</v>
      </c>
      <c r="I49" s="3436">
        <f t="shared" si="169"/>
        <v>118.25311475409836</v>
      </c>
      <c r="J49" s="928">
        <f t="shared" si="169"/>
        <v>132.5</v>
      </c>
      <c r="K49" s="928">
        <f t="shared" si="169"/>
        <v>128.87066666666666</v>
      </c>
      <c r="L49" s="1484">
        <f t="shared" si="169"/>
        <v>124.63878713878715</v>
      </c>
      <c r="M49" s="1485">
        <f t="shared" si="169"/>
        <v>121.75340659340659</v>
      </c>
      <c r="N49" s="928">
        <f t="shared" si="169"/>
        <v>132.5</v>
      </c>
      <c r="O49" s="928">
        <f t="shared" si="169"/>
        <v>124.42516129032258</v>
      </c>
      <c r="P49" s="792">
        <f t="shared" si="169"/>
        <v>126.63630843958713</v>
      </c>
      <c r="Q49" s="569">
        <f t="shared" si="169"/>
        <v>122.43229508196723</v>
      </c>
      <c r="R49" s="928">
        <f t="shared" si="169"/>
        <v>132.5</v>
      </c>
      <c r="S49" s="928">
        <f t="shared" si="169"/>
        <v>122.31774193548387</v>
      </c>
      <c r="T49" s="2854">
        <f t="shared" si="169"/>
        <v>127.82437666424593</v>
      </c>
      <c r="U49" s="569">
        <f t="shared" si="169"/>
        <v>122.40908496732027</v>
      </c>
      <c r="V49" s="928">
        <f t="shared" si="169"/>
        <v>83.5</v>
      </c>
      <c r="W49" s="928">
        <f t="shared" si="169"/>
        <v>120.10133333333333</v>
      </c>
      <c r="X49" s="1484">
        <f t="shared" si="169"/>
        <v>116.52173913043478</v>
      </c>
      <c r="Y49" s="1485">
        <f t="shared" si="169"/>
        <v>122.30510869565218</v>
      </c>
      <c r="Z49" s="924">
        <f t="shared" si="169"/>
        <v>120.55808540781219</v>
      </c>
      <c r="AA49" s="489">
        <f t="shared" si="169"/>
        <v>122.03076502732242</v>
      </c>
      <c r="AB49" s="928">
        <f t="shared" si="169"/>
        <v>132.5</v>
      </c>
      <c r="AC49" s="928">
        <f t="shared" si="169"/>
        <v>99.086236559139778</v>
      </c>
      <c r="AD49" s="928">
        <f t="shared" si="169"/>
        <v>122.28798892350294</v>
      </c>
      <c r="AE49" s="133">
        <f t="shared" si="169"/>
        <v>118.70702492211839</v>
      </c>
      <c r="AF49" s="928">
        <f t="shared" si="169"/>
        <v>132.5</v>
      </c>
      <c r="AG49" s="928">
        <f t="shared" si="169"/>
        <v>112.33866666666668</v>
      </c>
      <c r="AH49" s="928">
        <f t="shared" si="169"/>
        <v>123.54356405585914</v>
      </c>
      <c r="AI49" s="133">
        <f t="shared" si="169"/>
        <v>117.92403005464482</v>
      </c>
      <c r="AJ49" s="928">
        <f t="shared" ref="AJ49:BE49" si="170">SUM(AJ45:AJ48)</f>
        <v>132.5</v>
      </c>
      <c r="AK49" s="928">
        <f t="shared" si="170"/>
        <v>112.33870967741936</v>
      </c>
      <c r="AL49" s="1484">
        <f t="shared" si="170"/>
        <v>132.5</v>
      </c>
      <c r="AM49" s="1485">
        <f t="shared" si="170"/>
        <v>107.87318840579709</v>
      </c>
      <c r="AN49" s="928">
        <f t="shared" si="170"/>
        <v>124.55319865319865</v>
      </c>
      <c r="AO49" s="133">
        <f t="shared" si="170"/>
        <v>117.29441212121213</v>
      </c>
      <c r="AP49" s="928">
        <f t="shared" si="170"/>
        <v>132.5</v>
      </c>
      <c r="AQ49" s="928">
        <f t="shared" si="170"/>
        <v>112.48258064516131</v>
      </c>
      <c r="AR49" s="928">
        <f t="shared" si="170"/>
        <v>125.35826676349552</v>
      </c>
      <c r="AS49" s="133">
        <f t="shared" si="170"/>
        <v>116.80693899782136</v>
      </c>
      <c r="AT49" s="928">
        <f t="shared" si="170"/>
        <v>132.5</v>
      </c>
      <c r="AU49" s="928">
        <f t="shared" si="170"/>
        <v>108.13214285714285</v>
      </c>
      <c r="AV49" s="928">
        <f t="shared" si="170"/>
        <v>125.95697493901086</v>
      </c>
      <c r="AW49" s="133">
        <f t="shared" si="170"/>
        <v>116.07971057884232</v>
      </c>
      <c r="AX49" s="928">
        <f t="shared" si="170"/>
        <v>132.5</v>
      </c>
      <c r="AY49" s="928">
        <f t="shared" si="170"/>
        <v>114.13645161290324</v>
      </c>
      <c r="AZ49" s="1484">
        <f t="shared" si="170"/>
        <v>132.5</v>
      </c>
      <c r="BA49" s="1485">
        <f t="shared" si="170"/>
        <v>111.69877777777779</v>
      </c>
      <c r="BB49" s="924">
        <f t="shared" si="170"/>
        <v>132.5</v>
      </c>
      <c r="BC49" s="489">
        <f t="shared" si="170"/>
        <v>109.76496336996338</v>
      </c>
      <c r="BD49" s="928">
        <f t="shared" si="170"/>
        <v>126.51268391679352</v>
      </c>
      <c r="BE49" s="133">
        <f t="shared" si="170"/>
        <v>115.91466666666668</v>
      </c>
      <c r="BF49" s="502"/>
      <c r="BG49" s="502"/>
      <c r="BH49" s="25"/>
      <c r="BI49" s="25"/>
      <c r="BJ49" s="25"/>
    </row>
    <row r="50" spans="1:68" ht="18.75" x14ac:dyDescent="0.25">
      <c r="B50" s="3440" t="s">
        <v>451</v>
      </c>
      <c r="C50" s="53"/>
      <c r="D50" s="929"/>
      <c r="E50" s="651"/>
      <c r="F50" s="929"/>
      <c r="G50" s="651"/>
      <c r="H50" s="576"/>
      <c r="I50" s="651"/>
      <c r="J50" s="929"/>
      <c r="K50" s="651"/>
      <c r="L50" s="576"/>
      <c r="M50" s="576"/>
      <c r="N50" s="929"/>
      <c r="O50" s="651"/>
      <c r="P50" s="576"/>
      <c r="Q50" s="576"/>
      <c r="R50" s="929"/>
      <c r="S50" s="651"/>
      <c r="T50" s="576"/>
      <c r="U50" s="576"/>
      <c r="V50" s="929"/>
      <c r="W50" s="651"/>
      <c r="X50" s="576"/>
      <c r="Y50" s="576"/>
      <c r="Z50" s="576"/>
      <c r="AA50" s="576"/>
      <c r="AB50" s="929"/>
      <c r="AC50" s="651"/>
      <c r="AD50" s="576"/>
      <c r="AE50" s="576"/>
      <c r="AF50" s="929"/>
      <c r="AG50" s="651"/>
      <c r="AH50" s="576"/>
      <c r="AI50" s="576"/>
      <c r="AJ50" s="929"/>
      <c r="AK50" s="651"/>
      <c r="AL50" s="576"/>
      <c r="AM50" s="576"/>
      <c r="AN50" s="576"/>
      <c r="AO50" s="576"/>
      <c r="AP50" s="929"/>
      <c r="AQ50" s="651"/>
      <c r="AR50" s="576"/>
      <c r="AS50" s="576"/>
      <c r="AT50" s="929"/>
      <c r="AU50" s="651"/>
      <c r="AV50" s="576"/>
      <c r="AW50" s="576"/>
      <c r="AX50" s="929"/>
      <c r="AY50" s="651"/>
      <c r="AZ50" s="576"/>
      <c r="BA50" s="576"/>
      <c r="BB50" s="576"/>
      <c r="BC50" s="576"/>
      <c r="BD50" s="576"/>
      <c r="BE50" s="576"/>
      <c r="BF50" s="502"/>
      <c r="BG50" s="502"/>
      <c r="BH50" s="25"/>
      <c r="BI50" s="25"/>
      <c r="BJ50" s="25"/>
    </row>
    <row r="51" spans="1:68" ht="15.75" customHeight="1" x14ac:dyDescent="0.25">
      <c r="B51" s="3431" t="s">
        <v>591</v>
      </c>
      <c r="C51" s="2881" t="s">
        <v>456</v>
      </c>
      <c r="D51" s="725">
        <v>43</v>
      </c>
      <c r="E51" s="725">
        <v>0</v>
      </c>
      <c r="F51" s="725">
        <v>50</v>
      </c>
      <c r="G51" s="725">
        <v>5.9032258064516133E-2</v>
      </c>
      <c r="H51" s="3432">
        <f>+((D51*D$3)+(F$3*F51))/H$3</f>
        <v>46.557377049180324</v>
      </c>
      <c r="I51" s="103">
        <f>+((E51*E$3)+(G$3*G51))/I$3</f>
        <v>3.0000000000000002E-2</v>
      </c>
      <c r="J51" s="725">
        <v>50</v>
      </c>
      <c r="K51" s="725">
        <v>0</v>
      </c>
      <c r="L51" s="330">
        <f>+((H51*H$3)+(J$3*J51))/L$3</f>
        <v>47.692307692307693</v>
      </c>
      <c r="M51" s="330">
        <f>+((I51*I$3)+(K$3*K51))/M$3</f>
        <v>2.0109890109890109E-2</v>
      </c>
      <c r="N51" s="725">
        <v>50</v>
      </c>
      <c r="O51" s="725">
        <v>0</v>
      </c>
      <c r="P51" s="245">
        <f>+((L51*L$3)+(N$3*N51))/P$3</f>
        <v>48.278688524590166</v>
      </c>
      <c r="Q51" s="245">
        <f>+((M51*M$3)+(O$3*O51))/Q$3</f>
        <v>1.4999999999999999E-2</v>
      </c>
      <c r="R51" s="725">
        <v>50</v>
      </c>
      <c r="S51" s="725">
        <v>0</v>
      </c>
      <c r="T51" s="245">
        <f>+((P51*P$3)+(R$3*R51))/T$3</f>
        <v>48.627450980392155</v>
      </c>
      <c r="U51" s="245">
        <f>+((Q51*Q$3)+(S$3*S51))/U$3</f>
        <v>1.1960784313725489E-2</v>
      </c>
      <c r="V51" s="725">
        <v>51</v>
      </c>
      <c r="W51" s="725">
        <v>0</v>
      </c>
      <c r="X51" s="330">
        <f t="shared" ref="X51:Y52" si="171">+((N51*N$3)+(R51*R$3)+(V$3*V51))/X$3</f>
        <v>50.326086956521742</v>
      </c>
      <c r="Y51" s="330">
        <f t="shared" si="171"/>
        <v>0</v>
      </c>
      <c r="Z51" s="634">
        <f>+((L51*L$3)+(X$3*X51))/Z$3</f>
        <v>49.016393442622949</v>
      </c>
      <c r="AA51" s="634">
        <f>+((M51*M$3)+(Y$3*Y51))/AA$3</f>
        <v>9.9999999999999985E-3</v>
      </c>
      <c r="AB51" s="725">
        <v>50</v>
      </c>
      <c r="AC51" s="725">
        <v>0</v>
      </c>
      <c r="AD51" s="245">
        <f>+((Z51*Z$3)+(AB$3*AB51))/AD$3</f>
        <v>49.158878504672899</v>
      </c>
      <c r="AE51" s="245">
        <f>+((AA51*AA$3)+(AC$3*AC51))/AE$3</f>
        <v>8.551401869158877E-3</v>
      </c>
      <c r="AF51" s="725">
        <v>50</v>
      </c>
      <c r="AG51" s="725">
        <v>0</v>
      </c>
      <c r="AH51" s="245">
        <f>+((AD51*AD$3)+(AF$3*AF51))/AH$3</f>
        <v>49.26229508196721</v>
      </c>
      <c r="AI51" s="245">
        <f>+((AE51*AE$3)+(AG$3*AG51))/AI$3</f>
        <v>7.4999999999999989E-3</v>
      </c>
      <c r="AJ51" s="725">
        <v>50</v>
      </c>
      <c r="AK51" s="725">
        <v>0</v>
      </c>
      <c r="AL51" s="330">
        <f t="shared" ref="AL51:AL52" si="172">+((AB51*AB$3)+(AF51*AF$3)+(AJ$3*AJ51))/AL$3</f>
        <v>50</v>
      </c>
      <c r="AM51" s="330">
        <f t="shared" ref="AM51:AM52" si="173">+((AC51*AC$3)+(AG51*AG$3)+(AK$3*AK51))/AM$3</f>
        <v>0</v>
      </c>
      <c r="AN51" s="245">
        <f>+((AH51*AH$3)+(AJ$3*AJ51))/AN$3</f>
        <v>49.345454545454544</v>
      </c>
      <c r="AO51" s="245">
        <f>+((AI51*AI$3)+(AK$3*AK51))/AO$3</f>
        <v>6.6545454545454529E-3</v>
      </c>
      <c r="AP51" s="725">
        <v>50</v>
      </c>
      <c r="AQ51" s="725">
        <v>0</v>
      </c>
      <c r="AR51" s="245">
        <f>+((AN51*AN$3)+(AP$3*AP51))/AR$3</f>
        <v>49.411764705882355</v>
      </c>
      <c r="AS51" s="245">
        <f>+((AO51*AO$3)+(AQ$3*AQ51))/AS$3</f>
        <v>5.9803921568627435E-3</v>
      </c>
      <c r="AT51" s="725">
        <v>50</v>
      </c>
      <c r="AU51" s="725">
        <v>5.7142857142857141E-2</v>
      </c>
      <c r="AV51" s="245">
        <f>+((AR51*AR$3)+(AT$3*AT51))/AV$3</f>
        <v>49.461077844311376</v>
      </c>
      <c r="AW51" s="2045">
        <f>+((AS51*AS$3)+(AU$3*AU51))/AW$3</f>
        <v>1.026946107784431E-2</v>
      </c>
      <c r="AX51" s="725">
        <v>50</v>
      </c>
      <c r="AY51" s="725">
        <v>1.0516129032258064</v>
      </c>
      <c r="AZ51" s="330">
        <f t="shared" ref="AZ51:AZ52" si="174">+((AP51*AP$3)+(AT51*AT$3)+(AX$3*AX51))/AZ$3</f>
        <v>50</v>
      </c>
      <c r="BA51" s="330">
        <f t="shared" ref="BA51:BA52" si="175">+((AQ51*AQ$3)+(AU51*AU$3)+(AY$3*AY51))/BA$3</f>
        <v>0.37999999999999995</v>
      </c>
      <c r="BB51" s="634">
        <f>+((AL51*AL$3)+(AZ$3*AZ51))/BB$3</f>
        <v>50</v>
      </c>
      <c r="BC51" s="634">
        <f>+((AM51*AM$3)+(BA$3*BA51))/BC$3</f>
        <v>0.18791208791208788</v>
      </c>
      <c r="BD51" s="245">
        <f>+((AV51*AV$3)+(AX$3*AX51))/BD$3</f>
        <v>49.506849315068493</v>
      </c>
      <c r="BE51" s="245">
        <f>+((AW51*AW$3)+(AY$3*AY51))/BE$3</f>
        <v>9.871232876712327E-2</v>
      </c>
      <c r="BF51" s="502"/>
      <c r="BG51" s="502"/>
      <c r="BH51" s="25"/>
      <c r="BI51" s="25"/>
      <c r="BJ51" s="25"/>
    </row>
    <row r="52" spans="1:68" ht="16.5" thickBot="1" x14ac:dyDescent="0.3">
      <c r="B52" s="3433" t="s">
        <v>450</v>
      </c>
      <c r="C52" s="3434" t="s">
        <v>456</v>
      </c>
      <c r="D52" s="1257">
        <v>116.91681752066216</v>
      </c>
      <c r="E52" s="3416">
        <v>178.9890466666667</v>
      </c>
      <c r="F52" s="1257">
        <v>172.06159183714112</v>
      </c>
      <c r="G52" s="3416">
        <v>151.07032258064518</v>
      </c>
      <c r="H52" s="3441">
        <f>+((D52*D$3)+(F$3*F52))/H$3</f>
        <v>144.94121102575804</v>
      </c>
      <c r="I52" s="104">
        <f>+((E52*E$3)+(G$3*G52))/I$3</f>
        <v>164.80084262295085</v>
      </c>
      <c r="J52" s="1257">
        <v>171.40889403625908</v>
      </c>
      <c r="K52" s="3416">
        <v>176.197</v>
      </c>
      <c r="L52" s="930">
        <f>+((H52*H$3)+(J$3*J52))/L$3</f>
        <v>153.66682080943971</v>
      </c>
      <c r="M52" s="930">
        <f>+((I52*I$3)+(K$3*K52))/M$3</f>
        <v>168.55781758241758</v>
      </c>
      <c r="N52" s="1257">
        <v>173.12715750599511</v>
      </c>
      <c r="O52" s="3416">
        <v>186.72806451612902</v>
      </c>
      <c r="P52" s="571">
        <f>+((L52*L$3)+(N$3*N52))/P$3</f>
        <v>158.61166046184314</v>
      </c>
      <c r="Q52" s="571">
        <f>+((M52*M$3)+(O$3*O52))/Q$3</f>
        <v>173.17484754098359</v>
      </c>
      <c r="R52" s="1257">
        <v>169.8461360006188</v>
      </c>
      <c r="S52" s="3416">
        <v>181.9174193548387</v>
      </c>
      <c r="T52" s="571">
        <f>+((P52*P$3)+(R$3*R52))/T$3</f>
        <v>160.88792674747742</v>
      </c>
      <c r="U52" s="571">
        <f>+((Q52*Q$3)+(S$3*S52))/U$3</f>
        <v>174.94621830065358</v>
      </c>
      <c r="V52" s="1257">
        <v>141.9646020689421</v>
      </c>
      <c r="W52" s="3416">
        <v>177.12199999999999</v>
      </c>
      <c r="X52" s="930">
        <f t="shared" si="171"/>
        <v>161.85989305188366</v>
      </c>
      <c r="Y52" s="930">
        <f t="shared" si="171"/>
        <v>181.97467391304346</v>
      </c>
      <c r="Z52" s="634">
        <f>+((L52*L$3)+(X$3*X52))/Z$3</f>
        <v>157.78574237394704</v>
      </c>
      <c r="AA52" s="634">
        <f>+((M52*M$3)+(Y$3*Y52))/AA$3</f>
        <v>175.30290382513661</v>
      </c>
      <c r="AB52" s="1257">
        <v>169.99230715299439</v>
      </c>
      <c r="AC52" s="3416">
        <v>162.1236559139785</v>
      </c>
      <c r="AD52" s="571">
        <f>+((Z52*Z$3)+(AB$3*AB52))/AD$3</f>
        <v>159.55398306623897</v>
      </c>
      <c r="AE52" s="571">
        <f>+((AA52*AA$3)+(AC$3*AC52))/AE$3</f>
        <v>173.39376043613709</v>
      </c>
      <c r="AF52" s="1257">
        <v>124.42530122472192</v>
      </c>
      <c r="AG52" s="124">
        <v>178.97366666666665</v>
      </c>
      <c r="AH52" s="571">
        <f>+((AD52*AD$3)+(AF$3*AF52))/AH$3</f>
        <v>155.23488283982294</v>
      </c>
      <c r="AI52" s="571">
        <f>+((AE52*AE$3)+(AG$3*AG52))/AI$3</f>
        <v>174.07981448087432</v>
      </c>
      <c r="AJ52" s="1257">
        <v>124.34511028670096</v>
      </c>
      <c r="AK52" s="124">
        <v>170.07870967741934</v>
      </c>
      <c r="AL52" s="930">
        <f t="shared" si="172"/>
        <v>139.7523801888284</v>
      </c>
      <c r="AM52" s="930">
        <f t="shared" si="173"/>
        <v>170.29873188405793</v>
      </c>
      <c r="AN52" s="571">
        <f>+((AH52*AH$3)+(AJ$3*AJ52))/AN$3</f>
        <v>151.75276302474373</v>
      </c>
      <c r="AO52" s="571">
        <f>+((AI52*AI$3)+(AK$3*AK52))/AO$3</f>
        <v>173.62878084848487</v>
      </c>
      <c r="AP52" s="1257">
        <v>119.89932759434362</v>
      </c>
      <c r="AQ52" s="124">
        <v>162.30096774193549</v>
      </c>
      <c r="AR52" s="571">
        <f>+((AN52*AN$3)+(AP$3*AP52))/AR$3</f>
        <v>148.52578100401692</v>
      </c>
      <c r="AS52" s="571">
        <f>+((AO52*AO$3)+(AQ$3*AQ52))/AS$3</f>
        <v>172.48119193899785</v>
      </c>
      <c r="AT52" s="1257">
        <v>122.468125308992</v>
      </c>
      <c r="AU52" s="124">
        <v>146.58428571428573</v>
      </c>
      <c r="AV52" s="571">
        <f>+((AR52*AR$3)+(AT$3*AT52))/AV$3</f>
        <v>146.34130687389506</v>
      </c>
      <c r="AW52" s="571">
        <f>+((AS52*AS$3)+(AU$3*AU52))/AW$3</f>
        <v>170.31019381237527</v>
      </c>
      <c r="AX52" s="1257">
        <v>163.9186699318825</v>
      </c>
      <c r="AY52" s="124">
        <v>162.5</v>
      </c>
      <c r="AZ52" s="930">
        <f t="shared" si="174"/>
        <v>135.86072702183094</v>
      </c>
      <c r="BA52" s="930">
        <f t="shared" si="175"/>
        <v>157.47988888888889</v>
      </c>
      <c r="BB52" s="634">
        <f>+((AL52*AL$3)+(AZ$3*AZ52))/BB$3</f>
        <v>137.82793631503844</v>
      </c>
      <c r="BC52" s="634">
        <f>+((AM52*AM$3)+(BA$3*BA52))/BC$3</f>
        <v>163.9597435897436</v>
      </c>
      <c r="BD52" s="571">
        <f>+((AV52*AV$3)+(AX$3*AX52))/BD$3</f>
        <v>147.83417880484743</v>
      </c>
      <c r="BE52" s="571">
        <f>+((AW52*AW$3)+(AY$3*AY52))/BE$3</f>
        <v>169.64686228310504</v>
      </c>
      <c r="BF52" s="502"/>
      <c r="BG52" s="502"/>
      <c r="BH52" s="25"/>
      <c r="BI52" s="25"/>
      <c r="BJ52" s="25"/>
    </row>
    <row r="53" spans="1:68" ht="19.5" thickBot="1" x14ac:dyDescent="0.3">
      <c r="A53" s="139"/>
      <c r="B53" s="226" t="s">
        <v>2</v>
      </c>
      <c r="C53" s="195" t="s">
        <v>456</v>
      </c>
      <c r="D53" s="928">
        <f t="shared" ref="D53:I53" si="176">SUM(D51:D52)</f>
        <v>159.91681752066216</v>
      </c>
      <c r="E53" s="133">
        <f t="shared" si="176"/>
        <v>178.9890466666667</v>
      </c>
      <c r="F53" s="928">
        <f t="shared" ref="F53:G53" si="177">SUM(F51:F52)</f>
        <v>222.06159183714112</v>
      </c>
      <c r="G53" s="133">
        <f t="shared" si="177"/>
        <v>151.1293548387097</v>
      </c>
      <c r="H53" s="572">
        <f t="shared" si="176"/>
        <v>191.49858807493837</v>
      </c>
      <c r="I53" s="158">
        <f t="shared" si="176"/>
        <v>164.83084262295085</v>
      </c>
      <c r="J53" s="928">
        <f t="shared" ref="J53:K53" si="178">SUM(J51:J52)</f>
        <v>221.40889403625908</v>
      </c>
      <c r="K53" s="133">
        <f t="shared" si="178"/>
        <v>176.197</v>
      </c>
      <c r="L53" s="2245">
        <f t="shared" ref="L53:Q53" si="179">SUM(L51:L52)</f>
        <v>201.35912850174742</v>
      </c>
      <c r="M53" s="2308">
        <f t="shared" si="179"/>
        <v>168.57792747252748</v>
      </c>
      <c r="N53" s="928">
        <f t="shared" si="179"/>
        <v>223.12715750599511</v>
      </c>
      <c r="O53" s="133">
        <f t="shared" si="179"/>
        <v>186.72806451612902</v>
      </c>
      <c r="P53" s="572">
        <f t="shared" si="179"/>
        <v>206.89034898643331</v>
      </c>
      <c r="Q53" s="572">
        <f t="shared" si="179"/>
        <v>173.18984754098358</v>
      </c>
      <c r="R53" s="928">
        <f t="shared" ref="R53:S53" si="180">SUM(R51:R52)</f>
        <v>219.8461360006188</v>
      </c>
      <c r="S53" s="133">
        <f t="shared" si="180"/>
        <v>181.9174193548387</v>
      </c>
      <c r="T53" s="572">
        <f t="shared" ref="T53:W53" si="181">SUM(T51:T52)</f>
        <v>209.51537772786958</v>
      </c>
      <c r="U53" s="572">
        <f t="shared" si="181"/>
        <v>174.9581790849673</v>
      </c>
      <c r="V53" s="928">
        <f t="shared" si="181"/>
        <v>192.9646020689421</v>
      </c>
      <c r="W53" s="133">
        <f t="shared" si="181"/>
        <v>177.12199999999999</v>
      </c>
      <c r="X53" s="2245">
        <f t="shared" ref="X53:Y53" si="182">SUM(X51:X52)</f>
        <v>212.18598000840541</v>
      </c>
      <c r="Y53" s="2308">
        <f t="shared" si="182"/>
        <v>181.97467391304346</v>
      </c>
      <c r="Z53" s="2310">
        <f t="shared" ref="Z53:AE53" si="183">SUM(Z51:Z52)</f>
        <v>206.80213581657</v>
      </c>
      <c r="AA53" s="489">
        <f t="shared" si="183"/>
        <v>175.3129038251366</v>
      </c>
      <c r="AB53" s="928">
        <f t="shared" si="183"/>
        <v>219.99230715299439</v>
      </c>
      <c r="AC53" s="133">
        <f t="shared" si="183"/>
        <v>162.1236559139785</v>
      </c>
      <c r="AD53" s="572">
        <f t="shared" si="183"/>
        <v>208.71286157091185</v>
      </c>
      <c r="AE53" s="572">
        <f t="shared" si="183"/>
        <v>173.40231183800626</v>
      </c>
      <c r="AF53" s="928">
        <f t="shared" ref="AF53:AG53" si="184">SUM(AF51:AF52)</f>
        <v>174.42530122472192</v>
      </c>
      <c r="AG53" s="133">
        <f t="shared" si="184"/>
        <v>178.97366666666665</v>
      </c>
      <c r="AH53" s="572">
        <f t="shared" ref="AH53:AK53" si="185">SUM(AH51:AH52)</f>
        <v>204.49717792179015</v>
      </c>
      <c r="AI53" s="572">
        <f t="shared" si="185"/>
        <v>174.08731448087431</v>
      </c>
      <c r="AJ53" s="928">
        <f t="shared" si="185"/>
        <v>174.34511028670096</v>
      </c>
      <c r="AK53" s="133">
        <f t="shared" si="185"/>
        <v>170.07870967741934</v>
      </c>
      <c r="AL53" s="2575">
        <f t="shared" ref="AL53:AS53" si="186">SUM(AL51:AL52)</f>
        <v>189.7523801888284</v>
      </c>
      <c r="AM53" s="2308">
        <f t="shared" si="186"/>
        <v>170.29873188405793</v>
      </c>
      <c r="AN53" s="572">
        <f t="shared" si="186"/>
        <v>201.09821757019827</v>
      </c>
      <c r="AO53" s="572">
        <f t="shared" si="186"/>
        <v>173.63543539393942</v>
      </c>
      <c r="AP53" s="928">
        <f t="shared" si="186"/>
        <v>169.89932759434362</v>
      </c>
      <c r="AQ53" s="133">
        <f t="shared" si="186"/>
        <v>162.30096774193549</v>
      </c>
      <c r="AR53" s="572">
        <f t="shared" si="186"/>
        <v>197.93754570989927</v>
      </c>
      <c r="AS53" s="572">
        <f t="shared" si="186"/>
        <v>172.48717233115471</v>
      </c>
      <c r="AT53" s="928">
        <f t="shared" ref="AT53:AU53" si="187">SUM(AT51:AT52)</f>
        <v>172.468125308992</v>
      </c>
      <c r="AU53" s="133">
        <f t="shared" si="187"/>
        <v>146.64142857142858</v>
      </c>
      <c r="AV53" s="572">
        <f t="shared" ref="AV53:AY53" si="188">SUM(AV51:AV52)</f>
        <v>195.80238471820644</v>
      </c>
      <c r="AW53" s="572">
        <f t="shared" si="188"/>
        <v>170.32046327345313</v>
      </c>
      <c r="AX53" s="928">
        <f t="shared" si="188"/>
        <v>213.9186699318825</v>
      </c>
      <c r="AY53" s="133">
        <f t="shared" si="188"/>
        <v>163.55161290322582</v>
      </c>
      <c r="AZ53" s="2855">
        <f t="shared" ref="AZ53:BE53" si="189">SUM(AZ51:AZ52)</f>
        <v>185.86072702183094</v>
      </c>
      <c r="BA53" s="2308">
        <f t="shared" si="189"/>
        <v>157.85988888888889</v>
      </c>
      <c r="BB53" s="2310">
        <f t="shared" si="189"/>
        <v>187.82793631503844</v>
      </c>
      <c r="BC53" s="489">
        <f t="shared" si="189"/>
        <v>164.14765567765568</v>
      </c>
      <c r="BD53" s="572">
        <f t="shared" si="189"/>
        <v>197.3410281199159</v>
      </c>
      <c r="BE53" s="572">
        <f t="shared" si="189"/>
        <v>169.74557461187217</v>
      </c>
      <c r="BF53" s="502"/>
      <c r="BG53" s="502"/>
      <c r="BH53" s="25"/>
      <c r="BI53" s="25"/>
      <c r="BJ53" s="25"/>
    </row>
    <row r="54" spans="1:68" x14ac:dyDescent="0.25">
      <c r="A54" s="139"/>
      <c r="B54" s="3442" t="s">
        <v>69</v>
      </c>
      <c r="C54" s="15" t="s">
        <v>299</v>
      </c>
      <c r="D54" s="339">
        <f>+EMD!D27/(EMD!D$3*24)</f>
        <v>15.257256259009859</v>
      </c>
      <c r="E54" s="339">
        <f>+EMD!E27/(EMD!E$3*24)</f>
        <v>12.855194444444445</v>
      </c>
      <c r="F54" s="339">
        <f>+EMD!F27/(EMD!F$3*24)</f>
        <v>13.668448660781573</v>
      </c>
      <c r="G54" s="339">
        <f>+EMD!G27/(EMD!G$3*24)</f>
        <v>13.67234010585174</v>
      </c>
      <c r="H54" s="94">
        <f>+EMD!H27/(EMD!H$3*24)</f>
        <v>14.449829446795484</v>
      </c>
      <c r="I54" s="94">
        <f>+EMD!I27/(EMD!I$3*24)</f>
        <v>13.270465190405529</v>
      </c>
      <c r="J54" s="339">
        <f>+EMD!J27/(EMD!J$3*24)</f>
        <v>13.60715924968606</v>
      </c>
      <c r="K54" s="339">
        <f>+EMD!K27/(EMD!K$3*24)</f>
        <v>13.459575738063657</v>
      </c>
      <c r="L54" s="1481">
        <f>+EMD!L27/(EMD!L$3*24)</f>
        <v>14.172026085111058</v>
      </c>
      <c r="M54" s="92">
        <f>+EMD!M27/(EMD!M$3*24)</f>
        <v>13.332809326996122</v>
      </c>
      <c r="N54" s="339">
        <f>+EMD!N27/(EMD!N$3*24)</f>
        <v>14.016350297389403</v>
      </c>
      <c r="O54" s="339">
        <f>+EMD!O27/(EMD!O$3*24)</f>
        <v>13.209585987070374</v>
      </c>
      <c r="P54" s="94">
        <f>+EMD!P27/(EMD!P$3*24)</f>
        <v>14.132469122657195</v>
      </c>
      <c r="Q54" s="94">
        <f>+EMD!Q27/(EMD!Q$3*24)</f>
        <v>13.301498478326465</v>
      </c>
      <c r="R54" s="339">
        <f>+EMD!R27/(EMD!R$3*24)</f>
        <v>14.009944971945608</v>
      </c>
      <c r="S54" s="339">
        <f>+EMD!S27/(EMD!S$3*24)</f>
        <v>12.749850001262205</v>
      </c>
      <c r="T54" s="94">
        <f>+EMD!T27/(EMD!T$3*24)</f>
        <v>14.107643967937854</v>
      </c>
      <c r="U54" s="94">
        <f>+EMD!U27/(EMD!U$3*24)</f>
        <v>13.189726564672922</v>
      </c>
      <c r="V54" s="339">
        <f>+EMD!V27/(EMD!V$3*24)</f>
        <v>16.249584213170632</v>
      </c>
      <c r="W54" s="339">
        <f>+EMD!W27/(EMD!W$3*24)</f>
        <v>13.468819444444444</v>
      </c>
      <c r="X54" s="1481">
        <f>+EMD!X27/(EMD!X$3*24)</f>
        <v>14.742420432005481</v>
      </c>
      <c r="Y54" s="92">
        <f>+EMD!Y27/(EMD!Y$3*24)</f>
        <v>13.13920759751786</v>
      </c>
      <c r="Z54" s="2311">
        <f>+EMD!Z27/(EMD!Z$3*24)</f>
        <v>14.458781713057981</v>
      </c>
      <c r="AA54" s="449">
        <f>+EMD!AA27/(EMD!AA$3*24)</f>
        <v>13.235479495783006</v>
      </c>
      <c r="AB54" s="339">
        <f>+EMD!AB27/(EMD!AB$3*24)</f>
        <v>13.662043335337779</v>
      </c>
      <c r="AC54" s="339">
        <f>+EMD!AC27/(EMD!AC$3*24)</f>
        <v>13.02002688172043</v>
      </c>
      <c r="AD54" s="94">
        <f>+EMD!AD27/(EMD!AD$3*24)</f>
        <v>14.343366340584494</v>
      </c>
      <c r="AE54" s="94">
        <f>+EMD!AE27/(EMD!AE$3*24)</f>
        <v>13.204269070381416</v>
      </c>
      <c r="AF54" s="339">
        <f>+EMD!AF27/(EMD!AF$3*24)</f>
        <v>13.6077420441871</v>
      </c>
      <c r="AG54" s="339">
        <f>+EMD!AG27/(EMD!AG$3*24)</f>
        <v>13.801555555555556</v>
      </c>
      <c r="AH54" s="94">
        <f>+EMD!AH27/(EMD!AH$3*24)</f>
        <v>14.252920730371699</v>
      </c>
      <c r="AI54" s="94">
        <f>+EMD!AI27/(EMD!AI$3*24)</f>
        <v>13.277705933312662</v>
      </c>
      <c r="AJ54" s="339">
        <f>+EMD!AJ27/(EMD!AJ$3*24)</f>
        <v>13.64422823067404</v>
      </c>
      <c r="AK54" s="339">
        <f>+EMD!AK27/(EMD!AK$3*24)</f>
        <v>13.933175431337423</v>
      </c>
      <c r="AL54" s="1481">
        <f>+EMD!AL27/(EMD!AL$3*24)</f>
        <v>13.638333476869342</v>
      </c>
      <c r="AM54" s="92">
        <f>+EMD!AM27/(EMD!AM$3*24)</f>
        <v>13.582564547515871</v>
      </c>
      <c r="AN54" s="94">
        <f>+EMD!AN27/(EMD!AN$3*24)</f>
        <v>14.184304484951237</v>
      </c>
      <c r="AO54" s="94">
        <f>+EMD!AO27/(EMD!AO$3*24)</f>
        <v>13.351595222180908</v>
      </c>
      <c r="AP54" s="339">
        <f>+EMD!AP27/(EMD!AP$3*24)</f>
        <v>13.388637586328436</v>
      </c>
      <c r="AQ54" s="339">
        <f>+EMD!AQ27/(EMD!AQ$3*24)</f>
        <v>12.942567204301076</v>
      </c>
      <c r="AR54" s="94">
        <f>+EMD!AR27/(EMD!AR$3*24)</f>
        <v>14.103697707639778</v>
      </c>
      <c r="AS54" s="94">
        <f>+EMD!AS27/(EMD!AS$3*24)</f>
        <v>13.310157743245371</v>
      </c>
      <c r="AT54" s="339">
        <f>+EMD!AT27/(EMD!AT$3*24)</f>
        <v>13.573886205805215</v>
      </c>
      <c r="AU54" s="339">
        <f>+EMD!AU27/(EMD!AU$3*24)</f>
        <v>11.713392857142857</v>
      </c>
      <c r="AV54" s="94">
        <f>+EMD!AV27/(EMD!AV$3*24)</f>
        <v>14.059282372156641</v>
      </c>
      <c r="AW54" s="94">
        <f>+EMD!AW27/(EMD!AW$3*24)</f>
        <v>13.176297213871507</v>
      </c>
      <c r="AX54" s="339">
        <f>+EMD!AX27/(EMD!AX$3*24)</f>
        <v>13.38863758632843</v>
      </c>
      <c r="AY54" s="339">
        <f>+EMD!AY27/(EMD!AY$3*24)</f>
        <v>12.712930107526882</v>
      </c>
      <c r="AZ54" s="359">
        <f>+EMD!AZ27/(EMD!AZ$3*24)</f>
        <v>13.446270490165654</v>
      </c>
      <c r="BA54" s="2309">
        <f>+EMD!BA27/(EMD!BA$3*24)</f>
        <v>12.481060185185186</v>
      </c>
      <c r="BB54" s="2311">
        <f>+EMD!BB27/(EMD!BB$3*24)</f>
        <v>13.543357274653232</v>
      </c>
      <c r="BC54" s="449">
        <f>+EMD!BC27/(EMD!BC$3*24)</f>
        <v>13.037864588121577</v>
      </c>
      <c r="BD54" s="94">
        <f>+EMD!BD27/(EMD!BD$3*24)</f>
        <v>14.002323499935615</v>
      </c>
      <c r="BE54" s="94">
        <f>+EMD!BE27/(EMD!BE$3*24)</f>
        <v>13.13694274730525</v>
      </c>
      <c r="BF54" s="25"/>
      <c r="BG54" s="502"/>
      <c r="BH54" s="25"/>
      <c r="BI54" s="25"/>
      <c r="BJ54" s="25"/>
    </row>
    <row r="55" spans="1:68" x14ac:dyDescent="0.25">
      <c r="A55" s="139"/>
      <c r="B55" s="9" t="s">
        <v>1756</v>
      </c>
      <c r="C55" s="15" t="s">
        <v>299</v>
      </c>
      <c r="D55" s="339">
        <f>EMD!D61/(EMD!D$3*24)</f>
        <v>130.69820430130304</v>
      </c>
      <c r="E55" s="339">
        <f>EMD!E61/(EMD!E$3*24)</f>
        <v>183.86388888888888</v>
      </c>
      <c r="F55" s="339">
        <f>EMD!F61/(EMD!F$3*24)</f>
        <v>175.50149435661794</v>
      </c>
      <c r="G55" s="339">
        <f>EMD!G61/(EMD!G$3*24)</f>
        <v>177.4697580645161</v>
      </c>
      <c r="H55" s="94">
        <f>EMD!H61/(EMD!H$3*24)</f>
        <v>153.4670894113811</v>
      </c>
      <c r="I55" s="94">
        <f>EMD!I61/(EMD!I$3*24)</f>
        <v>180.61441256830602</v>
      </c>
      <c r="J55" s="339">
        <f>EMD!J61/(EMD!J$3*24)</f>
        <v>174.42701023795351</v>
      </c>
      <c r="K55" s="339">
        <f>EMD!K61/(EMD!K$3*24)</f>
        <v>185.34583333333322</v>
      </c>
      <c r="L55" s="359">
        <f>EMD!L61/(EMD!L$3*24)</f>
        <v>160.37695342014126</v>
      </c>
      <c r="M55" s="2309">
        <f>EMD!M61/(EMD!M$3*24)</f>
        <v>182.17422161172155</v>
      </c>
      <c r="N55" s="339">
        <f>EMD!N61/(EMD!N$3*24)</f>
        <v>175.63226539998277</v>
      </c>
      <c r="O55" s="339">
        <f>EMD!O61/(EMD!O$3*24)</f>
        <v>189.48521505376345</v>
      </c>
      <c r="P55" s="94">
        <f>EMD!P61/(EMD!P$3*24)</f>
        <v>164.25330318551082</v>
      </c>
      <c r="Q55" s="94">
        <f>EMD!Q61/(EMD!Q$3*24)</f>
        <v>184.03193306010925</v>
      </c>
      <c r="R55" s="339">
        <f>EMD!R61/(EMD!R$3*24)</f>
        <v>172.30081378707962</v>
      </c>
      <c r="S55" s="339">
        <f>EMD!S61/(EMD!S$3*24)</f>
        <v>183.62096774193549</v>
      </c>
      <c r="T55" s="94">
        <f>EMD!T61/(EMD!T$3*24)</f>
        <v>165.88384454922738</v>
      </c>
      <c r="U55" s="94">
        <f>EMD!U61/(EMD!U$3*24)</f>
        <v>183.94866557734201</v>
      </c>
      <c r="V55" s="339">
        <f>EMD!V61/(EMD!V$3*24)</f>
        <v>94.401878197540327</v>
      </c>
      <c r="W55" s="339">
        <f>EMD!W61/(EMD!W$3*24)</f>
        <v>187.52361111111111</v>
      </c>
      <c r="X55" s="359">
        <f>EMD!X61/(EMD!X$3*24)</f>
        <v>148.02154131222983</v>
      </c>
      <c r="Y55" s="2309">
        <f>EMD!Y61/(EMD!Y$3*24)</f>
        <v>186.86956521739131</v>
      </c>
      <c r="Z55" s="2311">
        <f>EMD!Z61/(EMD!Z$3*24)</f>
        <v>154.16548940960655</v>
      </c>
      <c r="AA55" s="449">
        <f>EMD!AA61/(EMD!AA$3*24)</f>
        <v>184.5347222222222</v>
      </c>
      <c r="AB55" s="339">
        <f>EMD!AB61/(EMD!AB$3*24)</f>
        <v>173.68159878771439</v>
      </c>
      <c r="AC55" s="339">
        <f>EMD!AC61/(EMD!AC$3*24)</f>
        <v>155.1236559139785</v>
      </c>
      <c r="AD55" s="94">
        <f>EMD!AD61/(EMD!AD$3*24)</f>
        <v>156.99258936624835</v>
      </c>
      <c r="AE55" s="94">
        <f>EMD!AE61/(EMD!AE$3*24)</f>
        <v>180.27424065420558</v>
      </c>
      <c r="AF55" s="339">
        <f>EMD!AF61/(EMD!AF$3*24)</f>
        <v>171.23096348608073</v>
      </c>
      <c r="AG55" s="339">
        <f>EMD!AG61/(EMD!AG$3*24)</f>
        <v>185.33083333333335</v>
      </c>
      <c r="AH55" s="94">
        <f>EMD!AH61/(EMD!AH$3*24)</f>
        <v>158.74320913508018</v>
      </c>
      <c r="AI55" s="94">
        <f>EMD!AI61/(EMD!AI$3*24)</f>
        <v>180.89595286885245</v>
      </c>
      <c r="AJ55" s="339">
        <f>EMD!AJ61/(EMD!AJ$3*24)</f>
        <v>170.8411590694063</v>
      </c>
      <c r="AK55" s="339">
        <f>EMD!AK61/(EMD!AK$3*24)</f>
        <v>188.39032258064515</v>
      </c>
      <c r="AL55" s="359">
        <f>EMD!AL61/(EMD!AL$3*24)</f>
        <v>171.92537389296916</v>
      </c>
      <c r="AM55" s="2309">
        <f>EMD!AM61/(EMD!AM$3*24)</f>
        <v>176.18324275362318</v>
      </c>
      <c r="AN55" s="94">
        <f>EMD!AN61/(EMD!AN$3*24)</f>
        <v>160.10697803676786</v>
      </c>
      <c r="AO55" s="94">
        <f>EMD!AO61/(EMD!AO$3*24)</f>
        <v>181.74077272727271</v>
      </c>
      <c r="AP55" s="339">
        <f>EMD!AP61/(EMD!AP$3*24)</f>
        <v>167.76853008253218</v>
      </c>
      <c r="AQ55" s="339">
        <f>EMD!AQ61/(EMD!AQ$3*24)</f>
        <v>187.16935483870967</v>
      </c>
      <c r="AR55" s="94">
        <f>EMD!AR61/(EMD!AR$3*24)</f>
        <v>160.88314834205769</v>
      </c>
      <c r="AS55" s="94">
        <f>EMD!AS61/(EMD!AS$3*24)</f>
        <v>182.29072712418298</v>
      </c>
      <c r="AT55" s="339">
        <f>EMD!AT61/(EMD!AT$3*24)</f>
        <v>169.77390732927094</v>
      </c>
      <c r="AU55" s="339">
        <f>EMD!AU61/(EMD!AU$3*24)</f>
        <v>188.6264880952381</v>
      </c>
      <c r="AV55" s="94">
        <f>EMD!AV61/(EMD!AV$3*24)</f>
        <v>161.62848143080612</v>
      </c>
      <c r="AW55" s="94">
        <f>EMD!AW61/(EMD!AW$3*24)</f>
        <v>182.82186876247502</v>
      </c>
      <c r="AX55" s="339">
        <f>EMD!AX61/(EMD!AX$3*24)</f>
        <v>170.24315953710484</v>
      </c>
      <c r="AY55" s="339">
        <f>EMD!AY61/(EMD!AY$3*24)</f>
        <v>184.47849462365591</v>
      </c>
      <c r="AZ55" s="359">
        <f>EMD!AZ61/(EMD!AZ$3*24)</f>
        <v>169.24479759364814</v>
      </c>
      <c r="BA55" s="2309">
        <f>EMD!BA61/(EMD!BA$3*24)</f>
        <v>186.69583333333333</v>
      </c>
      <c r="BB55" s="2311">
        <f>EMD!BB61/(EMD!BB$3*24)</f>
        <v>170.59981418451372</v>
      </c>
      <c r="BC55" s="449">
        <f>EMD!BC61/(EMD!BC$3*24)</f>
        <v>181.38177655677654</v>
      </c>
      <c r="BD55" s="94">
        <f>EMD!BD61/(EMD!BD$3*24)</f>
        <v>162.36013902339587</v>
      </c>
      <c r="BE55" s="94">
        <f>EMD!BE61/(EMD!BE$3*24)</f>
        <v>182.96256849315066</v>
      </c>
      <c r="BF55" s="25"/>
      <c r="BG55" s="502"/>
      <c r="BH55" s="25"/>
      <c r="BI55" s="25"/>
      <c r="BJ55" s="25"/>
      <c r="BP55">
        <v>11</v>
      </c>
    </row>
    <row r="56" spans="1:68" x14ac:dyDescent="0.25">
      <c r="A56" s="139"/>
      <c r="B56" s="9" t="s">
        <v>440</v>
      </c>
      <c r="C56" s="15" t="s">
        <v>299</v>
      </c>
      <c r="D56" s="339">
        <f>EMD!D83/(EMD!D$3*24)</f>
        <v>0</v>
      </c>
      <c r="E56" s="339">
        <f>EMD!E83/(EMD!E$3*24)</f>
        <v>6.509722222222222</v>
      </c>
      <c r="F56" s="339">
        <f>EMD!F83/(EMD!F$3*24)</f>
        <v>16.731030491333879</v>
      </c>
      <c r="G56" s="339">
        <f>EMD!G83/(EMD!G$3*24)</f>
        <v>6.0047903225806456</v>
      </c>
      <c r="H56" s="94">
        <f>EMD!H83/(EMD!H$3*24)</f>
        <v>8.5026548398582005</v>
      </c>
      <c r="I56" s="94">
        <f>EMD!I83/(EMD!I$3*24)</f>
        <v>6.2531174863387982</v>
      </c>
      <c r="J56" s="339">
        <f>EMD!J83/(EMD!J$3*24)</f>
        <v>16.75920679886686</v>
      </c>
      <c r="K56" s="339">
        <f>EMD!K83/(EMD!K$3*24)</f>
        <v>9.3086263888888876</v>
      </c>
      <c r="L56" s="359">
        <f>EMD!L83/(EMD!L$3*24)</f>
        <v>11.224595046124792</v>
      </c>
      <c r="M56" s="2309">
        <f>EMD!M83/(EMD!M$3*24)</f>
        <v>7.2604281135531137</v>
      </c>
      <c r="N56" s="339">
        <f>EMD!N83/(EMD!N$3*24)</f>
        <v>16.350269578726124</v>
      </c>
      <c r="O56" s="339">
        <f>EMD!O83/(EMD!O$3*24)</f>
        <v>7.1327741935483866</v>
      </c>
      <c r="P56" s="94">
        <f>EMD!P83/(EMD!P$3*24)</f>
        <v>12.527020542113656</v>
      </c>
      <c r="Q56" s="94">
        <f>EMD!Q83/(EMD!Q$3*24)</f>
        <v>7.2279914617486343</v>
      </c>
      <c r="R56" s="339">
        <f>EMD!R83/(EMD!R$3*24)</f>
        <v>16.350269578726124</v>
      </c>
      <c r="S56" s="339">
        <f>EMD!S83/(EMD!S$3*24)</f>
        <v>2.7147522225794392</v>
      </c>
      <c r="T56" s="94">
        <f>EMD!T83/(EMD!T$3*24)</f>
        <v>13.30166577175409</v>
      </c>
      <c r="U56" s="94">
        <f>EMD!U83/(EMD!U$3*24)</f>
        <v>6.3135442956424574</v>
      </c>
      <c r="V56" s="339">
        <f>EMD!V83/(EMD!V$3*24)</f>
        <v>10.49338999055713</v>
      </c>
      <c r="W56" s="339">
        <f>EMD!W83/(EMD!W$3*24)</f>
        <v>0.81486111111111115</v>
      </c>
      <c r="X56" s="359">
        <f>EMD!X83/(EMD!X$3*24)</f>
        <v>14.4404175391058</v>
      </c>
      <c r="Y56" s="2309">
        <f>EMD!Y83/(EMD!Y$3*24)</f>
        <v>3.5839038286227818</v>
      </c>
      <c r="Z56" s="2311">
        <f>EMD!Z83/(EMD!Z$3*24)</f>
        <v>12.841292692869342</v>
      </c>
      <c r="AA56" s="449">
        <f>EMD!AA83/(EMD!AA$3*24)</f>
        <v>5.4121208227684656</v>
      </c>
      <c r="AB56" s="339">
        <f>EMD!AB83/(EMD!AB$3*24)</f>
        <v>16.731030491333875</v>
      </c>
      <c r="AC56" s="339">
        <f>EMD!AC83/(EMD!AC$3*24)</f>
        <v>3.9899193548387095</v>
      </c>
      <c r="AD56" s="94">
        <f>EMD!AD83/(EMD!AD$3*24)</f>
        <v>13.404759383301121</v>
      </c>
      <c r="AE56" s="94">
        <f>EMD!AE83/(EMD!AE$3*24)</f>
        <v>5.2061009839562109</v>
      </c>
      <c r="AF56" s="339">
        <f>EMD!AF83/(EMD!AF$3*24)</f>
        <v>0</v>
      </c>
      <c r="AG56" s="339">
        <f>EMD!AG83/(EMD!AG$3*24)</f>
        <v>4.189166666666666</v>
      </c>
      <c r="AH56" s="94">
        <f>EMD!AH83/(EMD!AH$3*24)</f>
        <v>11.756633229616556</v>
      </c>
      <c r="AI56" s="94">
        <f>EMD!AI83/(EMD!AI$3*24)</f>
        <v>5.0810680760927429</v>
      </c>
      <c r="AJ56" s="339">
        <f>EMD!AJ83/(EMD!AJ$3*24)</f>
        <v>0</v>
      </c>
      <c r="AK56" s="339">
        <f>EMD!AK83/(EMD!AK$3*24)</f>
        <v>1.3539354838709681</v>
      </c>
      <c r="AL56" s="359">
        <f>EMD!AL83/(EMD!AL$3*24)</f>
        <v>5.637629839471197</v>
      </c>
      <c r="AM56" s="2309">
        <f>EMD!AM83/(EMD!AM$3*24)</f>
        <v>3.1666793478260873</v>
      </c>
      <c r="AN56" s="94">
        <f>EMD!AN83/(EMD!AN$3*24)</f>
        <v>10.431340029187053</v>
      </c>
      <c r="AO56" s="94">
        <f>EMD!AO83/(EMD!AO$3*24)</f>
        <v>4.6609185838786518</v>
      </c>
      <c r="AP56" s="339">
        <f>EMD!AP83/(EMD!AP$3*24)</f>
        <v>0</v>
      </c>
      <c r="AQ56" s="339">
        <f>EMD!AQ83/(EMD!AQ$3*24)</f>
        <v>0.92567204301075279</v>
      </c>
      <c r="AR56" s="94">
        <f>EMD!AR83/(EMD!AR$3*24)</f>
        <v>9.3745702876681047</v>
      </c>
      <c r="AS56" s="94">
        <f>EMD!AS83/(EMD!AS$3*24)</f>
        <v>4.2825112545750414</v>
      </c>
      <c r="AT56" s="339">
        <f>EMD!AT83/(EMD!AT$3*24)</f>
        <v>0</v>
      </c>
      <c r="AU56" s="339">
        <f>EMD!AU83/(EMD!AU$3*24)</f>
        <v>1.4376488095238096</v>
      </c>
      <c r="AV56" s="94">
        <f>EMD!AV83/(EMD!AV$3*24)</f>
        <v>8.5886781677438311</v>
      </c>
      <c r="AW56" s="94">
        <f>EMD!AW83/(EMD!AW$3*24)</f>
        <v>4.0440197921156562</v>
      </c>
      <c r="AX56" s="339">
        <f>EMD!AX83/(EMD!AX$3*24)</f>
        <v>17.035639221420087</v>
      </c>
      <c r="AY56" s="339">
        <f>EMD!AY83/(EMD!AY$3*24)</f>
        <v>2.784274193548387</v>
      </c>
      <c r="AZ56" s="359">
        <f>EMD!AZ83/(EMD!AZ$3*24)</f>
        <v>5.8678312873780296</v>
      </c>
      <c r="BA56" s="2309">
        <f>EMD!BA83/(EMD!BA$3*24)</f>
        <v>1.725138888888889</v>
      </c>
      <c r="BB56" s="2311">
        <f>EMD!BB83/(EMD!BB$3*24)</f>
        <v>5.7514657203042461</v>
      </c>
      <c r="BC56" s="449">
        <f>EMD!BC83/(EMD!BC$3*24)</f>
        <v>2.4538296703296707</v>
      </c>
      <c r="BD56" s="94">
        <f>EMD!BD83/(EMD!BD$3*24)</f>
        <v>9.3060912983300348</v>
      </c>
      <c r="BE56" s="94">
        <f>EMD!BE83/(EMD!BE$3*24)</f>
        <v>3.9370277001825462</v>
      </c>
      <c r="BF56" s="25"/>
      <c r="BG56" s="502"/>
      <c r="BH56" s="25"/>
      <c r="BI56" s="25"/>
      <c r="BJ56" s="25"/>
    </row>
    <row r="57" spans="1:68" x14ac:dyDescent="0.25">
      <c r="A57" s="139"/>
      <c r="B57" s="9" t="s">
        <v>105</v>
      </c>
      <c r="C57" s="12" t="s">
        <v>439</v>
      </c>
      <c r="D57" s="688">
        <f>EMD!D96/(EMD!D$3*24)</f>
        <v>0</v>
      </c>
      <c r="E57" s="688">
        <f>EMD!E96/(EMD!E$3*24)</f>
        <v>0.39654166666666668</v>
      </c>
      <c r="F57" s="688">
        <f>EMD!F96/(EMD!F$3*24)</f>
        <v>0.55407779418634195</v>
      </c>
      <c r="G57" s="688">
        <f>EMD!G96/(EMD!G$3*24)</f>
        <v>0.39237824646191166</v>
      </c>
      <c r="H57" s="704">
        <f>EMD!H96/(EMD!H$3*24)</f>
        <v>0.28158051835699349</v>
      </c>
      <c r="I57" s="3443">
        <f>EMD!I96/(EMD!I$3*24)</f>
        <v>0.39442583016916821</v>
      </c>
      <c r="J57" s="688">
        <f>EMD!J96/(EMD!J$3*24)</f>
        <v>0.63203809401793165</v>
      </c>
      <c r="K57" s="688">
        <f>EMD!K96/(EMD!K$3*24)</f>
        <v>0.18054556962336044</v>
      </c>
      <c r="L57" s="359">
        <f>EMD!L96/(EMD!L$3*24)</f>
        <v>0.39711598286059951</v>
      </c>
      <c r="M57" s="2309">
        <f>EMD!M96/(EMD!M$3*24)</f>
        <v>0.32391585416505575</v>
      </c>
      <c r="N57" s="688">
        <f>EMD!N96/(EMD!N$3*24)</f>
        <v>0.56053191340348529</v>
      </c>
      <c r="O57" s="688">
        <f>EMD!O96/(EMD!O$3*24)</f>
        <v>2.7382760462842957E-2</v>
      </c>
      <c r="P57" s="704">
        <f>EMD!P96/(EMD!P$3*24)</f>
        <v>0.43863970291657867</v>
      </c>
      <c r="Q57" s="704">
        <f>EMD!Q96/(EMD!Q$3*24)</f>
        <v>0.24856728117514923</v>
      </c>
      <c r="R57" s="688">
        <f>EMD!R96/(EMD!R$3*24)</f>
        <v>0.56053191340348529</v>
      </c>
      <c r="S57" s="688">
        <f>EMD!S96/(EMD!S$3*24)</f>
        <v>0.44465578125963956</v>
      </c>
      <c r="T57" s="704">
        <f>EMD!T96/(EMD!T$3*24)</f>
        <v>0.46333681745967742</v>
      </c>
      <c r="U57" s="704">
        <f>EMD!U96/(EMD!U$3*24)</f>
        <v>0.28829763086547078</v>
      </c>
      <c r="V57" s="688">
        <f>EMD!V96/(EMD!V$3*24)</f>
        <v>2.7665566724346125</v>
      </c>
      <c r="W57" s="688">
        <f>EMD!W96/(EMD!W$3*24)</f>
        <v>0.25999166666666668</v>
      </c>
      <c r="X57" s="359">
        <f>EMD!X96/(EMD!X$3*24)</f>
        <v>1.2798878130875484</v>
      </c>
      <c r="Y57" s="2309">
        <f>EMD!Y96/(EMD!Y$3*24)</f>
        <v>0.2438363564499669</v>
      </c>
      <c r="Z57" s="2312">
        <f>EMD!Z96/(EMD!Z$3*24)</f>
        <v>0.84091384286540449</v>
      </c>
      <c r="AA57" s="705">
        <f>EMD!AA96/(EMD!AA$3*24)</f>
        <v>0.28365730886566681</v>
      </c>
      <c r="AB57" s="688">
        <f>EMD!AB96/(EMD!AB$3*24)</f>
        <v>0.51387779499587349</v>
      </c>
      <c r="AC57" s="688">
        <f>EMD!AC96/(EMD!AC$3*24)</f>
        <v>1.3094489247311829</v>
      </c>
      <c r="AD57" s="704">
        <f>EMD!AD96/(EMD!AD$3*24)</f>
        <v>0.79353946209925752</v>
      </c>
      <c r="AE57" s="704">
        <f>EMD!AE96/(EMD!AE$3*24)</f>
        <v>0.43225329060319478</v>
      </c>
      <c r="AF57" s="688">
        <f>EMD!AF96/(EMD!AF$3*24)</f>
        <v>0.10177324844790192</v>
      </c>
      <c r="AG57" s="688">
        <f>EMD!AG96/(EMD!AG$3*24)</f>
        <v>0.33855277777777781</v>
      </c>
      <c r="AH57" s="704">
        <f>EMD!AH96/(EMD!AH$3*24)</f>
        <v>0.70848623910933684</v>
      </c>
      <c r="AI57" s="704">
        <f>EMD!AI96/(EMD!AI$3*24)</f>
        <v>0.42073273574761072</v>
      </c>
      <c r="AJ57" s="688">
        <f>EMD!AJ96/(EMD!AJ$3*24)</f>
        <v>0.11726313456904514</v>
      </c>
      <c r="AK57" s="688">
        <f>EMD!AK96/(EMD!AK$3*24)</f>
        <v>0.34876202959643682</v>
      </c>
      <c r="AL57" s="359">
        <f>EMD!AL96/(EMD!AL$3*24)</f>
        <v>0.24585398119510363</v>
      </c>
      <c r="AM57" s="2309">
        <f>EMD!AM96/(EMD!AM$3*24)</f>
        <v>0.66914264040749505</v>
      </c>
      <c r="AN57" s="94">
        <f>EMD!AN96/(EMD!AN$3*24)</f>
        <v>0.64183927096115845</v>
      </c>
      <c r="AO57" s="94">
        <f>EMD!AO96/(EMD!AO$3*24)</f>
        <v>0.41261967432693292</v>
      </c>
      <c r="AP57" s="688">
        <f>EMD!AP96/(EMD!AP$3*24)</f>
        <v>0.11726313456904514</v>
      </c>
      <c r="AQ57" s="688">
        <f>EMD!AQ96/(EMD!AQ$3*24)</f>
        <v>0.43515994623655918</v>
      </c>
      <c r="AR57" s="704">
        <f>EMD!AR96/(EMD!AR$3*24)</f>
        <v>0.58869593688221877</v>
      </c>
      <c r="AS57" s="704">
        <f>EMD!AS96/(EMD!AS$3*24)</f>
        <v>0.41490316592562054</v>
      </c>
      <c r="AT57" s="688">
        <f>EMD!AT96/(EMD!AT$3*24)</f>
        <v>8.1765478874760156E-2</v>
      </c>
      <c r="AU57" s="688">
        <f>EMD!AU96/(EMD!AU$3*24)</f>
        <v>0.17035863095238094</v>
      </c>
      <c r="AV57" s="704">
        <f>EMD!AV96/(EMD!AV$3*24)</f>
        <v>0.54619877273788087</v>
      </c>
      <c r="AW57" s="704">
        <f>EMD!AW96/(EMD!AW$3*24)</f>
        <v>0.39440242646678614</v>
      </c>
      <c r="AX57" s="688">
        <f>EMD!AX96/(EMD!AX$3*24)</f>
        <v>0.3739394862884699</v>
      </c>
      <c r="AY57" s="688">
        <f>EMD!AY96/(EMD!AY$3*24)</f>
        <v>0.51630645161290323</v>
      </c>
      <c r="AZ57" s="359">
        <f>EMD!AZ96/(EMD!AZ$3*24)</f>
        <v>0.19463016283418055</v>
      </c>
      <c r="BA57" s="2309">
        <f>EMD!BA96/(EMD!BA$3*24)</f>
        <v>0.38072777777777783</v>
      </c>
      <c r="BB57" s="2311">
        <f>EMD!BB96/(EMD!BB$3*24)</f>
        <v>0.22052352156607574</v>
      </c>
      <c r="BC57" s="449">
        <f>EMD!BC96/(EMD!BC$3*24)</f>
        <v>0.5265199061400524</v>
      </c>
      <c r="BD57" s="94">
        <f>EMD!BD96/(EMD!BD$3*24)</f>
        <v>0.53156853197094467</v>
      </c>
      <c r="BE57" s="94">
        <f>EMD!BE96/(EMD!BE$3*24)</f>
        <v>0.40475591901344266</v>
      </c>
      <c r="BF57" s="25"/>
      <c r="BG57" s="502"/>
      <c r="BH57" s="25"/>
      <c r="BI57" s="25"/>
      <c r="BJ57" s="25"/>
    </row>
    <row r="58" spans="1:68" x14ac:dyDescent="0.25">
      <c r="A58" s="139"/>
      <c r="B58" s="3222" t="s">
        <v>390</v>
      </c>
      <c r="C58" s="17" t="s">
        <v>388</v>
      </c>
      <c r="D58" s="7628">
        <v>8500</v>
      </c>
      <c r="E58" s="170">
        <f>EMD!E94</f>
        <v>8034.3</v>
      </c>
      <c r="F58" s="5623">
        <v>8000</v>
      </c>
      <c r="G58" s="170">
        <v>8037.7</v>
      </c>
      <c r="H58" s="2884">
        <f>+((D58*(D57*D3*24))+(F58*(F57*24*F3)))/(H57*24*H3)</f>
        <v>7999.9999999999982</v>
      </c>
      <c r="I58" s="37">
        <f>+((E58*(E57*E3*24))+(G58*(G57*24*G3)))/(I57*24*I3)</f>
        <v>8036.0188989629642</v>
      </c>
      <c r="J58" s="5800">
        <v>8000</v>
      </c>
      <c r="K58" s="170">
        <v>8037.7</v>
      </c>
      <c r="L58" s="2233">
        <f>+((H58*(H57*H3*24))+(J58*(J57*24*J3)))/(L57*24*L3)</f>
        <v>7999.9999999999973</v>
      </c>
      <c r="M58" s="67">
        <f>+((E58*(E57*E3*24))+(G58*(G57*G3*24))+(K58*(K57*24*K3)))/(M57*24*M3)</f>
        <v>8036.3278063607877</v>
      </c>
      <c r="N58" s="5875">
        <v>8000</v>
      </c>
      <c r="O58" s="170">
        <v>8032.4</v>
      </c>
      <c r="P58" s="733">
        <f>+((L58*(L57*L3*24))+(N58*(N57*24*N3)))/(P57*24*P3)</f>
        <v>7999.9999999999973</v>
      </c>
      <c r="Q58" s="733">
        <f>+((M58*(M57*M3*24))+(O58*(O57*24*O3)))/(Q57*24*Q3)</f>
        <v>8036.2178589015957</v>
      </c>
      <c r="R58" s="5964">
        <v>8000</v>
      </c>
      <c r="S58" s="170">
        <v>8031.9</v>
      </c>
      <c r="T58" s="4359">
        <f>+((P58*(P57*P3*24))+(R58*(R57*24*R3)))/(T57*24*T3)</f>
        <v>7999.9999999999982</v>
      </c>
      <c r="U58" s="4359">
        <f>+((Q58*(Q57*Q3*24))+(S58*(S57*24*S3)))/(U57*24*U3)</f>
        <v>8034.8685183289181</v>
      </c>
      <c r="V58" s="6075">
        <v>8000</v>
      </c>
      <c r="W58" s="170">
        <v>8032</v>
      </c>
      <c r="X58" s="2233">
        <f>+((N58*(N57*N3*24))+(R58*(R57*R3*24))+(V58*(V57*24*V3)))/(X57*24*X3)</f>
        <v>8000.0000000000009</v>
      </c>
      <c r="Y58" s="67">
        <f>+((O58*(O57*O3*24))+(S58*(S57*S3*24))+(W58*(W57*24*W3)))/(Y57*24*Y3)</f>
        <v>8031.9536892413498</v>
      </c>
      <c r="Z58" s="738">
        <v>8000</v>
      </c>
      <c r="AA58" s="474">
        <f>+((M58*(M57*M3*24))+(Y58*(Y57*24*Y3)))/(AA57*24*AA3)</f>
        <v>8034.4375024759993</v>
      </c>
      <c r="AB58" s="6172">
        <v>8000</v>
      </c>
      <c r="AC58" s="170">
        <v>8032.3</v>
      </c>
      <c r="AD58" s="2236">
        <f>+((Z58*(Z57*Z3*24))+(AB58*(AB57*24*AB3)))/(AD57*24*AD3)</f>
        <v>7999.9999999999991</v>
      </c>
      <c r="AE58" s="2236">
        <f>+((AA58*(AA57*AA3*24))+(AC58*(AC57*24*AC3)))/(AE57*24*AE3)</f>
        <v>8033.4994982344397</v>
      </c>
      <c r="AF58" s="6350">
        <v>8000</v>
      </c>
      <c r="AG58" s="170">
        <v>8031.8</v>
      </c>
      <c r="AH58" s="4652">
        <f>+((AD58*(AD57*AD3*24))+(AF58*(AF57*24*AF3)))/(AH57*24*AH3)</f>
        <v>7999.9999999999991</v>
      </c>
      <c r="AI58" s="4652">
        <f>+((AE58*(AE57*AE3*24))+(AG58*(AG57*24*AG3)))/(AI57*24*AI3)</f>
        <v>8033.3313577774998</v>
      </c>
      <c r="AJ58" s="6619">
        <v>8000</v>
      </c>
      <c r="AK58" s="170">
        <v>8032.4</v>
      </c>
      <c r="AL58" s="2572">
        <f>+((AB58*(AB57*AB3*24))+(AF58*(AF57*AF3*24))+(AJ58*(AJ57*24*AJ3)))/(AL57*24*AL3)</f>
        <v>8000</v>
      </c>
      <c r="AM58" s="67">
        <f>+((AC58*(AC57*AC3*24))+(AG58*(AG57*AG3*24))+(AK58*(AK57*24*AK3)))/(AM57*24*AM3)</f>
        <v>8032.2350705577555</v>
      </c>
      <c r="AN58" s="2236">
        <f>+((AH58*(AH57*AH3*24))+(AJ58*(AJ57*24*AJ3)))/(AN57*24*AN3)</f>
        <v>8000.0000000000009</v>
      </c>
      <c r="AO58" s="2236">
        <f>+((AI58*(AI57*AI3*24))+(AK58*(AK57*24*AK3)))/(AO57*24*AO3)</f>
        <v>8033.2426166770438</v>
      </c>
      <c r="AP58" s="6706">
        <v>8000</v>
      </c>
      <c r="AQ58" s="170">
        <v>8029.6</v>
      </c>
      <c r="AR58" s="4990">
        <f>+((AN58*(AN57*AN3*24))+(AP58*(AP57*24*AP3)))/(AR57*24*AR3)</f>
        <v>8000.0000000000018</v>
      </c>
      <c r="AS58" s="4990">
        <f>+((AO58*(AO57*AO3*24))+(AQ58*(AQ57*24*AQ3)))/(AS57*24*AS3)</f>
        <v>8032.8555766292529</v>
      </c>
      <c r="AT58" s="6858">
        <v>8000</v>
      </c>
      <c r="AU58" s="170">
        <v>8030</v>
      </c>
      <c r="AV58" s="5057">
        <f>+((AR58*(AR57*AR3*24))+(AT58*(AT57*24*AT3)))/(AV57*24*AV3)</f>
        <v>8000.0000000000018</v>
      </c>
      <c r="AW58" s="5057">
        <f>+((AS58*(AS57*AS3*24))+(AU58*(AU57*24*AU3)))/(AW57*24*AW3)</f>
        <v>8032.7521743893412</v>
      </c>
      <c r="AX58" s="7011">
        <v>8000</v>
      </c>
      <c r="AY58" s="170"/>
      <c r="AZ58" s="2849">
        <f>+((AP58*(AP57*AP3*24))+(AT58*(AT57*AT3*24))+(AX58*(AX57*24*AX3)))/(AZ57*24*AZ3)</f>
        <v>8000.0000000000009</v>
      </c>
      <c r="BA58" s="67">
        <f>+((AQ58*(AQ57*AQ3*24))+(AU58*(AU57*AU3*24))+(AY58*(AY57*24*AY3)))/(BA57*24*BA3)</f>
        <v>4279.0096165725472</v>
      </c>
      <c r="BB58" s="738">
        <v>8000</v>
      </c>
      <c r="BC58" s="474">
        <f>+((AM58*(AM57*AM3*24))+(BA58*(BA57*24*BA3)))/(BC57*24*BC3)</f>
        <v>6690.163912480265</v>
      </c>
      <c r="BD58" s="2236">
        <f>+((AV58*(AV57*AV3*24))+(AX58*(AX57*24*AX3)))/(BD57*24*BD3)</f>
        <v>8000.0000000000009</v>
      </c>
      <c r="BE58" s="2236">
        <f>+((AW58*(AW57*AW3*24))+(AY58*(AY57*24*AY3)))/(BE57*24*BE3)</f>
        <v>7162.4951424709889</v>
      </c>
      <c r="BF58" s="502"/>
      <c r="BG58" s="502"/>
      <c r="BH58" s="25"/>
      <c r="BI58" s="25"/>
      <c r="BJ58" s="25"/>
    </row>
    <row r="59" spans="1:68" x14ac:dyDescent="0.25">
      <c r="A59" s="139"/>
      <c r="B59" s="9" t="s">
        <v>386</v>
      </c>
      <c r="C59" s="12" t="s">
        <v>387</v>
      </c>
      <c r="D59" s="382">
        <v>28.799999999999997</v>
      </c>
      <c r="E59" s="2044">
        <v>10.95</v>
      </c>
      <c r="F59" s="1267">
        <v>7.4399999999999995</v>
      </c>
      <c r="G59" s="2044">
        <v>34.97</v>
      </c>
      <c r="H59" s="3250">
        <f>+D59+F59</f>
        <v>36.239999999999995</v>
      </c>
      <c r="I59" s="3183">
        <f>+E59+G59</f>
        <v>45.92</v>
      </c>
      <c r="J59" s="1267">
        <v>7.1999999999999993</v>
      </c>
      <c r="K59" s="2044">
        <v>19.22</v>
      </c>
      <c r="L59" s="359">
        <f>+H59+J59</f>
        <v>43.44</v>
      </c>
      <c r="M59" s="2309">
        <f>+I59+K59</f>
        <v>65.14</v>
      </c>
      <c r="N59" s="1267">
        <v>7.4399999999999995</v>
      </c>
      <c r="O59" s="2044">
        <v>15.46</v>
      </c>
      <c r="P59" s="351">
        <f>+L59+N59</f>
        <v>50.879999999999995</v>
      </c>
      <c r="Q59" s="351">
        <f>+M59+O59</f>
        <v>80.599999999999994</v>
      </c>
      <c r="R59" s="1267">
        <v>29.759999999999998</v>
      </c>
      <c r="S59" s="2044">
        <v>39.08</v>
      </c>
      <c r="T59" s="2045">
        <f>+P59+R59</f>
        <v>80.639999999999986</v>
      </c>
      <c r="U59" s="2045">
        <f>+Q59+S59</f>
        <v>119.67999999999999</v>
      </c>
      <c r="V59" s="1267">
        <v>50.400000000000006</v>
      </c>
      <c r="W59" s="2044">
        <v>25.47</v>
      </c>
      <c r="X59" s="359">
        <f t="shared" ref="X59:Y59" si="190">+N59+R59+V59</f>
        <v>87.6</v>
      </c>
      <c r="Y59" s="2309">
        <f t="shared" si="190"/>
        <v>80.009999999999991</v>
      </c>
      <c r="Z59" s="2313">
        <f>+L59+X59</f>
        <v>131.04</v>
      </c>
      <c r="AA59" s="608">
        <f>+M59+Y59</f>
        <v>145.14999999999998</v>
      </c>
      <c r="AB59" s="1267">
        <v>29.759999999999998</v>
      </c>
      <c r="AC59" s="2044">
        <v>29.25</v>
      </c>
      <c r="AD59" s="2045">
        <f>+Z59+AB59</f>
        <v>160.79999999999998</v>
      </c>
      <c r="AE59" s="2045">
        <f>+AA59+AC59</f>
        <v>174.39999999999998</v>
      </c>
      <c r="AF59" s="1267">
        <v>7.1999999999999993</v>
      </c>
      <c r="AG59" s="2044">
        <v>4.92</v>
      </c>
      <c r="AH59" s="2045">
        <f>+AD59+AF59</f>
        <v>167.99999999999997</v>
      </c>
      <c r="AI59" s="2045">
        <f>+AE59+AG59</f>
        <v>179.31999999999996</v>
      </c>
      <c r="AJ59" s="1267">
        <v>7.4399999999999995</v>
      </c>
      <c r="AK59" s="2044">
        <v>12.49</v>
      </c>
      <c r="AL59" s="359">
        <f t="shared" ref="AL59" si="191">+AB59+AF59+AJ59</f>
        <v>44.399999999999991</v>
      </c>
      <c r="AM59" s="2309">
        <f t="shared" ref="AM59" si="192">+AC59+AG59+AK59</f>
        <v>46.660000000000004</v>
      </c>
      <c r="AN59" s="2045">
        <f>+AH59+AJ59</f>
        <v>175.43999999999997</v>
      </c>
      <c r="AO59" s="2045">
        <f>+AI59+AK59</f>
        <v>191.80999999999997</v>
      </c>
      <c r="AP59" s="1267">
        <v>22.32</v>
      </c>
      <c r="AQ59" s="2044">
        <v>21.9</v>
      </c>
      <c r="AR59" s="2045">
        <f>+AN59+AP59</f>
        <v>197.75999999999996</v>
      </c>
      <c r="AS59" s="2045">
        <f>+AO59+AQ59</f>
        <v>213.70999999999998</v>
      </c>
      <c r="AT59" s="1267">
        <v>6.72</v>
      </c>
      <c r="AU59" s="2044">
        <v>30.6</v>
      </c>
      <c r="AV59" s="2045">
        <f>+AR59+AT59</f>
        <v>204.47999999999996</v>
      </c>
      <c r="AW59" s="2045">
        <f>+AS59+AU59</f>
        <v>244.30999999999997</v>
      </c>
      <c r="AX59" s="1267">
        <v>14.879999999999999</v>
      </c>
      <c r="AY59" s="2044"/>
      <c r="AZ59" s="359">
        <f t="shared" ref="AZ59" si="193">+AP59+AT59+AX59</f>
        <v>43.92</v>
      </c>
      <c r="BA59" s="2309">
        <f t="shared" ref="BA59" si="194">+AQ59+AU59+AY59</f>
        <v>52.5</v>
      </c>
      <c r="BB59" s="2313">
        <f>+AL59+AZ59</f>
        <v>88.32</v>
      </c>
      <c r="BC59" s="608">
        <f>+AM59+BA59</f>
        <v>99.16</v>
      </c>
      <c r="BD59" s="2045">
        <f>+AV59+AX59</f>
        <v>219.35999999999996</v>
      </c>
      <c r="BE59" s="2045">
        <f>+AW59+AY59</f>
        <v>244.30999999999997</v>
      </c>
      <c r="BF59" s="502"/>
      <c r="BG59" s="502"/>
      <c r="BH59" s="25"/>
      <c r="BI59" s="25"/>
      <c r="BJ59" s="25"/>
    </row>
    <row r="60" spans="1:68" x14ac:dyDescent="0.25">
      <c r="A60" s="139"/>
      <c r="B60" s="3222" t="s">
        <v>391</v>
      </c>
      <c r="C60" s="17" t="s">
        <v>392</v>
      </c>
      <c r="D60" s="7628">
        <v>9100</v>
      </c>
      <c r="E60" s="170">
        <v>9135</v>
      </c>
      <c r="F60" s="5623">
        <v>9135</v>
      </c>
      <c r="G60" s="170">
        <v>9135</v>
      </c>
      <c r="H60" s="2884">
        <f>+AVERAGE(D60,F60)</f>
        <v>9117.5</v>
      </c>
      <c r="I60" s="37">
        <f>+AVERAGE(E60,G60)</f>
        <v>9135</v>
      </c>
      <c r="J60" s="5800">
        <v>9135</v>
      </c>
      <c r="K60" s="170">
        <v>9135</v>
      </c>
      <c r="L60" s="2233">
        <f>+AVERAGE(H60,J60)</f>
        <v>9126.25</v>
      </c>
      <c r="M60" s="67">
        <f>+AVERAGE(I60,K60)</f>
        <v>9135</v>
      </c>
      <c r="N60" s="5875">
        <v>9135</v>
      </c>
      <c r="O60" s="170">
        <v>9135</v>
      </c>
      <c r="P60" s="733">
        <f>+AVERAGE(L60,N60)</f>
        <v>9130.625</v>
      </c>
      <c r="Q60" s="733">
        <f>+AVERAGE(M60,O60)</f>
        <v>9135</v>
      </c>
      <c r="R60" s="5964">
        <v>9135</v>
      </c>
      <c r="S60" s="170">
        <v>9135</v>
      </c>
      <c r="T60" s="4359">
        <f>+AVERAGE(P60,R60)</f>
        <v>9132.8125</v>
      </c>
      <c r="U60" s="4359">
        <f>+AVERAGE(Q60,S60)</f>
        <v>9135</v>
      </c>
      <c r="V60" s="6075">
        <v>9135</v>
      </c>
      <c r="W60" s="170">
        <v>9135</v>
      </c>
      <c r="X60" s="2233">
        <f>+AVERAGE(T60,V60)</f>
        <v>9133.90625</v>
      </c>
      <c r="Y60" s="67">
        <f>+AVERAGE(U60,W60)</f>
        <v>9135</v>
      </c>
      <c r="Z60" s="738">
        <v>9135</v>
      </c>
      <c r="AA60" s="474">
        <f>+AVERAGE(M60,Y60)</f>
        <v>9135</v>
      </c>
      <c r="AB60" s="6172">
        <v>9135</v>
      </c>
      <c r="AC60" s="170">
        <v>9135</v>
      </c>
      <c r="AD60" s="2236">
        <f>+AVERAGE(Z60,AB60)</f>
        <v>9135</v>
      </c>
      <c r="AE60" s="2236">
        <f>+AVERAGE(AA60,AC60)</f>
        <v>9135</v>
      </c>
      <c r="AF60" s="6350">
        <v>9135</v>
      </c>
      <c r="AG60" s="170">
        <v>9135</v>
      </c>
      <c r="AH60" s="4652">
        <f>+AVERAGE(AD60,AF60)</f>
        <v>9135</v>
      </c>
      <c r="AI60" s="4652">
        <f>+AVERAGE(AE60,AG60)</f>
        <v>9135</v>
      </c>
      <c r="AJ60" s="6619">
        <v>9135</v>
      </c>
      <c r="AK60" s="170">
        <v>9135</v>
      </c>
      <c r="AL60" s="2572">
        <f>+AVERAGE(AH60,AJ60)</f>
        <v>9135</v>
      </c>
      <c r="AM60" s="67">
        <f>+AVERAGE(AI60,AK60)</f>
        <v>9135</v>
      </c>
      <c r="AN60" s="2236">
        <f>+AVERAGE(AH60,AJ60)</f>
        <v>9135</v>
      </c>
      <c r="AO60" s="2236">
        <f>+AVERAGE(AI60,AK60)</f>
        <v>9135</v>
      </c>
      <c r="AP60" s="6706">
        <v>9135</v>
      </c>
      <c r="AQ60" s="170">
        <v>9135</v>
      </c>
      <c r="AR60" s="4990">
        <f>+AVERAGE(AN60,AP60)</f>
        <v>9135</v>
      </c>
      <c r="AS60" s="4990">
        <f>+AVERAGE(AO60,AQ60)</f>
        <v>9135</v>
      </c>
      <c r="AT60" s="6855">
        <v>9135</v>
      </c>
      <c r="AU60" s="170">
        <v>9135</v>
      </c>
      <c r="AV60" s="5057">
        <f>+AVERAGE(AR60,AT60)</f>
        <v>9135</v>
      </c>
      <c r="AW60" s="5057">
        <f>+AVERAGE(AS60,AU60)</f>
        <v>9135</v>
      </c>
      <c r="AX60" s="7011">
        <v>9135</v>
      </c>
      <c r="AY60" s="170"/>
      <c r="AZ60" s="2849">
        <f>+AVERAGE(AV60,AX60)</f>
        <v>9135</v>
      </c>
      <c r="BA60" s="67">
        <f>+AVERAGE(AW60,AY60)</f>
        <v>9135</v>
      </c>
      <c r="BB60" s="738">
        <v>9135</v>
      </c>
      <c r="BC60" s="474">
        <f>+AVERAGE(AM60,BA60)</f>
        <v>9135</v>
      </c>
      <c r="BD60" s="2236">
        <f>+AVERAGE(AV60,AX60)</f>
        <v>9135</v>
      </c>
      <c r="BE60" s="2236">
        <f>+AVERAGE(AW60,AY60)</f>
        <v>9135</v>
      </c>
      <c r="BF60" s="502"/>
      <c r="BG60" s="502"/>
      <c r="BH60" s="25"/>
      <c r="BI60" s="25"/>
      <c r="BJ60" s="25"/>
    </row>
    <row r="61" spans="1:68" ht="15.75" customHeight="1" thickBot="1" x14ac:dyDescent="0.3">
      <c r="B61" s="3444" t="s">
        <v>389</v>
      </c>
      <c r="C61" s="17" t="s">
        <v>479</v>
      </c>
      <c r="D61" s="931">
        <v>0.81</v>
      </c>
      <c r="E61" s="374">
        <v>0.81200000000000006</v>
      </c>
      <c r="F61" s="931">
        <v>0.81016705335218786</v>
      </c>
      <c r="G61" s="374">
        <v>0.92800000000000005</v>
      </c>
      <c r="H61" s="3445">
        <f>+((D61*D29)+(F29*F61))/H29</f>
        <v>0.81009556210837574</v>
      </c>
      <c r="I61" s="3182">
        <f>+((E61*E29)+(G29*G61))/I29</f>
        <v>0.8681661527898431</v>
      </c>
      <c r="J61" s="931">
        <v>0.8105300386187142</v>
      </c>
      <c r="K61" s="374">
        <v>0.86</v>
      </c>
      <c r="L61" s="371">
        <f>+((H61*H29)+(J29*J61))/L29</f>
        <v>0.81025020285465343</v>
      </c>
      <c r="M61" s="1480">
        <f>+((I61*I29)+(K29*K61))/M29</f>
        <v>0.86538668890356829</v>
      </c>
      <c r="N61" s="931">
        <v>0.8107332763866002</v>
      </c>
      <c r="O61" s="374">
        <v>0.83</v>
      </c>
      <c r="P61" s="357">
        <f>+((L61*L29)+(N29*N61))/P29</f>
        <v>0.81038054057416431</v>
      </c>
      <c r="Q61" s="357">
        <f>+((M61*M29)+(O29*O61))/Q29</f>
        <v>0.85603707020673814</v>
      </c>
      <c r="R61" s="931">
        <v>0.81065204786321643</v>
      </c>
      <c r="S61" s="374">
        <v>0.82499999999999996</v>
      </c>
      <c r="T61" s="357">
        <f>+((P61*P29)+(R29*R61))/T29</f>
        <v>0.81043782666273634</v>
      </c>
      <c r="U61" s="357">
        <f>+((Q61*Q29)+(S29*S61))/U29</f>
        <v>0.84969736131046558</v>
      </c>
      <c r="V61" s="931">
        <v>0.85209170545439683</v>
      </c>
      <c r="W61" s="374">
        <v>0.84399999999999997</v>
      </c>
      <c r="X61" s="371">
        <f>+((N61*N29)+(R61*R29)+(V29*V61))/X29</f>
        <v>0.82213575930647742</v>
      </c>
      <c r="Y61" s="1480">
        <f>+((O61*O29)+(S61*S29)+(W29*W61))/Y29</f>
        <v>0.83276369824122132</v>
      </c>
      <c r="Z61" s="2314">
        <f>+((L61*L29)+(X61*X29))/Z29</f>
        <v>0.81624241358243477</v>
      </c>
      <c r="AA61" s="2314">
        <f>+((M61*M29)+(Y61*Y29))/AA29</f>
        <v>0.84877627293429447</v>
      </c>
      <c r="AB61" s="931">
        <v>0.81016819161264075</v>
      </c>
      <c r="AC61" s="374">
        <v>0.89100000000000001</v>
      </c>
      <c r="AD61" s="357">
        <f>+((Z61*Z29)+(AB29*AB61))/AD29</f>
        <v>0.81530859381397447</v>
      </c>
      <c r="AE61" s="357">
        <f>+((AA61*AA29)+(AC29*AC61))/AE29</f>
        <v>0.85428536195267257</v>
      </c>
      <c r="AF61" s="931">
        <v>0.80979401416769259</v>
      </c>
      <c r="AG61" s="374">
        <v>0.875</v>
      </c>
      <c r="AH61" s="357">
        <f>+((AD61*AD29)+(AF29*AF61))/AH29</f>
        <v>0.81467292931565849</v>
      </c>
      <c r="AI61" s="357">
        <f>+((AE61*AE29)+(AG29*AG61))/AI29</f>
        <v>0.8568506841438569</v>
      </c>
      <c r="AJ61" s="931">
        <v>0.80979446222515539</v>
      </c>
      <c r="AK61" s="374">
        <v>0.87050000000000005</v>
      </c>
      <c r="AL61" s="371">
        <f>+((AB61*AB29)+(AF61*AF29)+(AJ29*AJ61))/AL29</f>
        <v>0.80993157181344799</v>
      </c>
      <c r="AM61" s="1480">
        <f>+((AC61*AC29)+(AG61*AG29)+(AK29*AK61))/AM29</f>
        <v>0.87843882903897641</v>
      </c>
      <c r="AN61" s="357">
        <f>+((AH61*AH29)+(AJ29*AJ61))/AN29</f>
        <v>0.8141538080283357</v>
      </c>
      <c r="AO61" s="357">
        <f>+((AI61*AI29)+(AK29*AK61))/AO29-0.001</f>
        <v>0.85739129663353075</v>
      </c>
      <c r="AP61" s="931">
        <v>0.80979446222515539</v>
      </c>
      <c r="AQ61" s="374">
        <v>0.874</v>
      </c>
      <c r="AR61" s="357">
        <f>+((AN61*AN29)+(AP29*AP61))/AR29</f>
        <v>0.81373979584611511</v>
      </c>
      <c r="AS61" s="357">
        <f>+((AO61*AO29)+(AQ29*AQ61))/AS29</f>
        <v>0.85902501880973359</v>
      </c>
      <c r="AT61" s="931">
        <v>0.80979446222515539</v>
      </c>
      <c r="AU61" s="374">
        <v>0.876</v>
      </c>
      <c r="AV61" s="357">
        <f>+((AR61*AR29)+(AT29*AT61))/AV29</f>
        <v>0.81342577311006059</v>
      </c>
      <c r="AW61" s="357">
        <f>+((AS61*AS29)+(AU29*AU61))/AW29</f>
        <v>0.86036087462145772</v>
      </c>
      <c r="AX61" s="931">
        <v>0.80982005757063757</v>
      </c>
      <c r="AY61" s="374"/>
      <c r="AZ61" s="371">
        <f>+((AP61*AP29)+(AT61*AT29)+(AX29*AX61))/AZ29</f>
        <v>0.80980402221490644</v>
      </c>
      <c r="BA61" s="1480">
        <f>+((AQ61*AQ29)+(AU61*AU29)+(AY29*AY61))/BA29</f>
        <v>0.56550910614517547</v>
      </c>
      <c r="BB61" s="2314">
        <f>+((AL61*AL29)+(AZ61*AZ29))/BB29</f>
        <v>0.80986886874602004</v>
      </c>
      <c r="BC61" s="2314">
        <f>+((AM61*AM29)+(BA61*BA29))/BC29</f>
        <v>0.72412350914786272</v>
      </c>
      <c r="BD61" s="357">
        <f>+((AV61*AV29)+(AX29*AX61))/BD29</f>
        <v>0.81309927550678562</v>
      </c>
      <c r="BE61" s="357">
        <f>+((AW61*AW29)+(AY29*AY61))/BE29</f>
        <v>0.78741180378029518</v>
      </c>
      <c r="BF61" s="502"/>
      <c r="BG61" s="502"/>
      <c r="BH61" s="25"/>
      <c r="BI61" s="25"/>
      <c r="BJ61" s="25"/>
    </row>
    <row r="62" spans="1:68" ht="15.75" thickBot="1" x14ac:dyDescent="0.3">
      <c r="A62" s="139"/>
      <c r="B62" s="3589" t="s">
        <v>62</v>
      </c>
      <c r="C62" s="3590"/>
      <c r="D62" s="3589"/>
      <c r="E62" s="3591"/>
      <c r="F62" s="3589"/>
      <c r="G62" s="3591"/>
      <c r="H62" s="3590"/>
      <c r="I62" s="3591"/>
      <c r="J62" s="3589"/>
      <c r="K62" s="3591"/>
      <c r="L62" s="2307"/>
      <c r="M62" s="2307"/>
      <c r="N62" s="3589"/>
      <c r="O62" s="3591"/>
      <c r="P62" s="390"/>
      <c r="Q62" s="390"/>
      <c r="R62" s="3589"/>
      <c r="S62" s="3591"/>
      <c r="T62" s="390"/>
      <c r="U62" s="390"/>
      <c r="V62" s="3589"/>
      <c r="W62" s="3591"/>
      <c r="X62" s="2307"/>
      <c r="Y62" s="2307"/>
      <c r="Z62" s="390"/>
      <c r="AA62" s="390"/>
      <c r="AB62" s="3589"/>
      <c r="AC62" s="3591"/>
      <c r="AD62" s="390"/>
      <c r="AE62" s="390"/>
      <c r="AF62" s="3589"/>
      <c r="AG62" s="3591"/>
      <c r="AH62" s="390"/>
      <c r="AI62" s="390"/>
      <c r="AJ62" s="3589"/>
      <c r="AK62" s="3591"/>
      <c r="AL62" s="2307"/>
      <c r="AM62" s="2307"/>
      <c r="AN62" s="390"/>
      <c r="AO62" s="390"/>
      <c r="AP62" s="3589"/>
      <c r="AQ62" s="3591"/>
      <c r="AR62" s="390"/>
      <c r="AS62" s="390"/>
      <c r="AT62" s="3589"/>
      <c r="AU62" s="3591"/>
      <c r="AV62" s="390"/>
      <c r="AW62" s="390"/>
      <c r="AX62" s="3589"/>
      <c r="AY62" s="3591"/>
      <c r="AZ62" s="2307"/>
      <c r="BA62" s="2307"/>
      <c r="BB62" s="390"/>
      <c r="BC62" s="390"/>
      <c r="BD62" s="390"/>
      <c r="BE62" s="390"/>
      <c r="BF62" s="502"/>
      <c r="BG62" s="502"/>
      <c r="BH62" s="25"/>
      <c r="BI62" s="25"/>
      <c r="BJ62" s="25"/>
    </row>
    <row r="63" spans="1:68" x14ac:dyDescent="0.25">
      <c r="B63" s="810" t="s">
        <v>394</v>
      </c>
      <c r="C63" s="134" t="s">
        <v>352</v>
      </c>
      <c r="D63" s="3592"/>
      <c r="E63" s="134">
        <v>51.400000000000006</v>
      </c>
      <c r="F63" s="3592"/>
      <c r="G63" s="134">
        <v>42.2</v>
      </c>
      <c r="H63" s="8214"/>
      <c r="I63" s="3415">
        <f>+E63+G63</f>
        <v>93.600000000000009</v>
      </c>
      <c r="J63" s="3592"/>
      <c r="K63" s="134">
        <v>29.099999999999987</v>
      </c>
      <c r="L63" s="8210"/>
      <c r="M63" s="219">
        <f>E63+G63+K63</f>
        <v>122.69999999999999</v>
      </c>
      <c r="N63" s="3592"/>
      <c r="O63" s="134">
        <v>22.5</v>
      </c>
      <c r="P63" s="8199"/>
      <c r="Q63" s="204">
        <f>+M63+O63</f>
        <v>145.19999999999999</v>
      </c>
      <c r="R63" s="3592"/>
      <c r="S63" s="134">
        <v>21.3</v>
      </c>
      <c r="T63" s="8199"/>
      <c r="U63" s="204">
        <f>+Q63+S63</f>
        <v>166.5</v>
      </c>
      <c r="V63" s="3592"/>
      <c r="W63" s="134">
        <v>24.999999999999986</v>
      </c>
      <c r="X63" s="8210"/>
      <c r="Y63" s="223">
        <f t="shared" ref="Y63:Y82" si="195">+O63+S63+W63</f>
        <v>68.799999999999983</v>
      </c>
      <c r="Z63" s="8230"/>
      <c r="AA63" s="474">
        <f>M63+Y63</f>
        <v>191.49999999999997</v>
      </c>
      <c r="AB63" s="3592"/>
      <c r="AC63" s="85">
        <v>25.9</v>
      </c>
      <c r="AD63" s="8199"/>
      <c r="AE63" s="205">
        <f>+AA63+AC63</f>
        <v>217.39999999999998</v>
      </c>
      <c r="AF63" s="3592"/>
      <c r="AG63" s="134">
        <v>34.299999999999997</v>
      </c>
      <c r="AH63" s="8199"/>
      <c r="AI63" s="205">
        <f>+AE63+AG63</f>
        <v>251.7</v>
      </c>
      <c r="AJ63" s="3592"/>
      <c r="AK63" s="134">
        <v>41.900000000000006</v>
      </c>
      <c r="AL63" s="8210"/>
      <c r="AM63" s="223">
        <f t="shared" ref="AM63:AM82" si="196">+AC63+AG63+AK63</f>
        <v>102.1</v>
      </c>
      <c r="AN63" s="8199"/>
      <c r="AO63" s="204">
        <f t="shared" ref="AO63:AO82" si="197">+AI63+AK63</f>
        <v>293.60000000000002</v>
      </c>
      <c r="AP63" s="3592"/>
      <c r="AQ63" s="134">
        <v>46.7</v>
      </c>
      <c r="AR63" s="8199"/>
      <c r="AS63" s="205">
        <f>+AO63+AQ63</f>
        <v>340.3</v>
      </c>
      <c r="AT63" s="3592"/>
      <c r="AU63" s="134">
        <v>65.3</v>
      </c>
      <c r="AV63" s="8199"/>
      <c r="AW63" s="205">
        <f>+AS63+AU63</f>
        <v>405.6</v>
      </c>
      <c r="AX63" s="3592"/>
      <c r="AY63" s="134">
        <v>70</v>
      </c>
      <c r="AZ63" s="8210"/>
      <c r="BA63" s="223">
        <f t="shared" ref="BA63:BA82" si="198">+AQ63+AU63+AY63</f>
        <v>182</v>
      </c>
      <c r="BB63" s="8230"/>
      <c r="BC63" s="474">
        <f>AM63+BA63</f>
        <v>284.10000000000002</v>
      </c>
      <c r="BD63" s="8199"/>
      <c r="BE63" s="205">
        <f>+AW63+AY63</f>
        <v>475.6</v>
      </c>
      <c r="BF63" s="502"/>
      <c r="BG63" s="502"/>
      <c r="BH63" s="25"/>
      <c r="BI63" s="25"/>
      <c r="BJ63" s="25"/>
    </row>
    <row r="64" spans="1:68" x14ac:dyDescent="0.25">
      <c r="B64" s="9" t="s">
        <v>1120</v>
      </c>
      <c r="C64" s="97" t="s">
        <v>1129</v>
      </c>
      <c r="D64" s="933"/>
      <c r="E64" s="17">
        <v>20.64</v>
      </c>
      <c r="F64" s="933"/>
      <c r="G64" s="17">
        <v>16.992000000000001</v>
      </c>
      <c r="H64" s="8200"/>
      <c r="I64" s="3446">
        <f t="shared" ref="I64:I82" si="199">+E64+G64</f>
        <v>37.632000000000005</v>
      </c>
      <c r="J64" s="933"/>
      <c r="K64" s="17">
        <v>13.44</v>
      </c>
      <c r="L64" s="8211"/>
      <c r="M64" s="219">
        <f t="shared" ref="M64:M82" si="200">E64+G64+K64</f>
        <v>51.072000000000003</v>
      </c>
      <c r="N64" s="933"/>
      <c r="O64" s="17">
        <v>8.2560000000000002</v>
      </c>
      <c r="P64" s="8200"/>
      <c r="Q64" s="204">
        <f t="shared" ref="Q64:Q82" si="201">+M64+O64</f>
        <v>59.328000000000003</v>
      </c>
      <c r="R64" s="933"/>
      <c r="S64" s="17">
        <v>7.2</v>
      </c>
      <c r="T64" s="8200"/>
      <c r="U64" s="204">
        <f t="shared" ref="U64:U82" si="202">+Q64+S64</f>
        <v>66.528000000000006</v>
      </c>
      <c r="V64" s="933"/>
      <c r="W64" s="17">
        <v>8.64</v>
      </c>
      <c r="X64" s="8211"/>
      <c r="Y64" s="223">
        <f t="shared" si="195"/>
        <v>24.096</v>
      </c>
      <c r="Z64" s="8231"/>
      <c r="AA64" s="474">
        <f t="shared" ref="AA64:AA82" si="203">M64+Y64</f>
        <v>75.168000000000006</v>
      </c>
      <c r="AB64" s="933"/>
      <c r="AC64" s="17">
        <v>9.84</v>
      </c>
      <c r="AD64" s="8200"/>
      <c r="AE64" s="205">
        <f t="shared" ref="AE64:AE82" si="204">+AA64+AC64</f>
        <v>85.00800000000001</v>
      </c>
      <c r="AF64" s="933"/>
      <c r="AG64" s="17">
        <v>12.959999999999999</v>
      </c>
      <c r="AH64" s="8200"/>
      <c r="AI64" s="205">
        <f t="shared" ref="AI64:AI82" si="205">+AE64+AG64</f>
        <v>97.968000000000004</v>
      </c>
      <c r="AJ64" s="933"/>
      <c r="AK64" s="17">
        <v>15.84</v>
      </c>
      <c r="AL64" s="8211"/>
      <c r="AM64" s="223">
        <f t="shared" si="196"/>
        <v>38.64</v>
      </c>
      <c r="AN64" s="8200"/>
      <c r="AO64" s="204">
        <f t="shared" si="197"/>
        <v>113.80800000000001</v>
      </c>
      <c r="AP64" s="933"/>
      <c r="AQ64" s="17">
        <v>18.768000000000001</v>
      </c>
      <c r="AR64" s="8200"/>
      <c r="AS64" s="205">
        <f t="shared" ref="AS64:AS82" si="206">+AO64+AQ64</f>
        <v>132.57600000000002</v>
      </c>
      <c r="AT64" s="933"/>
      <c r="AU64" s="17">
        <v>26.927999999999997</v>
      </c>
      <c r="AV64" s="8200"/>
      <c r="AW64" s="205">
        <f t="shared" ref="AW64:AW82" si="207">+AS64+AU64</f>
        <v>159.50400000000002</v>
      </c>
      <c r="AX64" s="933"/>
      <c r="AY64" s="17">
        <v>32.159999999999997</v>
      </c>
      <c r="AZ64" s="8211"/>
      <c r="BA64" s="223">
        <f t="shared" si="198"/>
        <v>77.855999999999995</v>
      </c>
      <c r="BB64" s="8231"/>
      <c r="BC64" s="474">
        <f t="shared" ref="BC64:BC82" si="208">AM64+BA64</f>
        <v>116.496</v>
      </c>
      <c r="BD64" s="8200"/>
      <c r="BE64" s="205">
        <f t="shared" ref="BE64:BE82" si="209">+AW64+AY64</f>
        <v>191.66400000000002</v>
      </c>
      <c r="BF64" s="502"/>
      <c r="BG64" s="502"/>
      <c r="BH64" s="25"/>
      <c r="BI64" s="25"/>
      <c r="BJ64" s="25"/>
    </row>
    <row r="65" spans="1:62" x14ac:dyDescent="0.25">
      <c r="B65" s="9" t="s">
        <v>1121</v>
      </c>
      <c r="C65" s="97" t="s">
        <v>1213</v>
      </c>
      <c r="D65" s="933"/>
      <c r="E65" s="17">
        <v>450</v>
      </c>
      <c r="F65" s="933"/>
      <c r="G65" s="17">
        <v>465</v>
      </c>
      <c r="H65" s="8200"/>
      <c r="I65" s="3446">
        <f t="shared" si="199"/>
        <v>915</v>
      </c>
      <c r="J65" s="933"/>
      <c r="K65" s="17">
        <v>455</v>
      </c>
      <c r="L65" s="8211"/>
      <c r="M65" s="219">
        <f t="shared" si="200"/>
        <v>1370</v>
      </c>
      <c r="N65" s="933"/>
      <c r="O65" s="17">
        <v>465</v>
      </c>
      <c r="P65" s="8200"/>
      <c r="Q65" s="204">
        <f t="shared" si="201"/>
        <v>1835</v>
      </c>
      <c r="R65" s="933"/>
      <c r="S65" s="17">
        <v>475</v>
      </c>
      <c r="T65" s="8200"/>
      <c r="U65" s="204">
        <f t="shared" si="202"/>
        <v>2310</v>
      </c>
      <c r="V65" s="933"/>
      <c r="W65" s="17">
        <v>450</v>
      </c>
      <c r="X65" s="8211"/>
      <c r="Y65" s="223">
        <f t="shared" si="195"/>
        <v>1390</v>
      </c>
      <c r="Z65" s="8231"/>
      <c r="AA65" s="474">
        <f t="shared" si="203"/>
        <v>2760</v>
      </c>
      <c r="AB65" s="933"/>
      <c r="AC65" s="17">
        <v>420</v>
      </c>
      <c r="AD65" s="8200"/>
      <c r="AE65" s="205">
        <f t="shared" si="204"/>
        <v>3180</v>
      </c>
      <c r="AF65" s="933"/>
      <c r="AG65" s="17">
        <v>450</v>
      </c>
      <c r="AH65" s="8200"/>
      <c r="AI65" s="205">
        <f t="shared" si="205"/>
        <v>3630</v>
      </c>
      <c r="AJ65" s="933"/>
      <c r="AK65" s="17">
        <v>460</v>
      </c>
      <c r="AL65" s="8211"/>
      <c r="AM65" s="223">
        <f t="shared" si="196"/>
        <v>1330</v>
      </c>
      <c r="AN65" s="8200"/>
      <c r="AO65" s="204">
        <f t="shared" si="197"/>
        <v>4090</v>
      </c>
      <c r="AP65" s="933"/>
      <c r="AQ65" s="17">
        <v>470</v>
      </c>
      <c r="AR65" s="8200"/>
      <c r="AS65" s="205">
        <f t="shared" si="206"/>
        <v>4560</v>
      </c>
      <c r="AT65" s="933"/>
      <c r="AU65" s="17">
        <v>420</v>
      </c>
      <c r="AV65" s="8200"/>
      <c r="AW65" s="205">
        <f t="shared" si="207"/>
        <v>4980</v>
      </c>
      <c r="AX65" s="933"/>
      <c r="AY65" s="17">
        <v>465</v>
      </c>
      <c r="AZ65" s="8211"/>
      <c r="BA65" s="223">
        <f t="shared" si="198"/>
        <v>1355</v>
      </c>
      <c r="BB65" s="8231"/>
      <c r="BC65" s="474">
        <f t="shared" si="208"/>
        <v>2685</v>
      </c>
      <c r="BD65" s="8200"/>
      <c r="BE65" s="205">
        <f t="shared" si="209"/>
        <v>5445</v>
      </c>
      <c r="BF65" s="502"/>
      <c r="BG65" s="502"/>
      <c r="BH65" s="25"/>
      <c r="BI65" s="25"/>
      <c r="BJ65" s="25"/>
    </row>
    <row r="66" spans="1:62" x14ac:dyDescent="0.25">
      <c r="B66" s="9" t="s">
        <v>1122</v>
      </c>
      <c r="C66" s="97" t="s">
        <v>1130</v>
      </c>
      <c r="D66" s="933"/>
      <c r="E66" s="17">
        <v>749</v>
      </c>
      <c r="F66" s="933"/>
      <c r="G66" s="17">
        <v>898</v>
      </c>
      <c r="H66" s="8200"/>
      <c r="I66" s="3446">
        <f t="shared" si="199"/>
        <v>1647</v>
      </c>
      <c r="J66" s="933"/>
      <c r="K66" s="17">
        <v>857</v>
      </c>
      <c r="L66" s="8211"/>
      <c r="M66" s="219">
        <f t="shared" si="200"/>
        <v>2504</v>
      </c>
      <c r="N66" s="933"/>
      <c r="O66" s="17">
        <v>872</v>
      </c>
      <c r="P66" s="8200"/>
      <c r="Q66" s="204">
        <f t="shared" si="201"/>
        <v>3376</v>
      </c>
      <c r="R66" s="933"/>
      <c r="S66" s="17">
        <v>773</v>
      </c>
      <c r="T66" s="8200"/>
      <c r="U66" s="204">
        <f t="shared" si="202"/>
        <v>4149</v>
      </c>
      <c r="V66" s="933"/>
      <c r="W66" s="17">
        <v>756</v>
      </c>
      <c r="X66" s="8211"/>
      <c r="Y66" s="223">
        <f t="shared" si="195"/>
        <v>2401</v>
      </c>
      <c r="Z66" s="8231"/>
      <c r="AA66" s="474">
        <f t="shared" si="203"/>
        <v>4905</v>
      </c>
      <c r="AB66" s="933"/>
      <c r="AC66" s="17">
        <v>658</v>
      </c>
      <c r="AD66" s="8200"/>
      <c r="AE66" s="205">
        <f t="shared" si="204"/>
        <v>5563</v>
      </c>
      <c r="AF66" s="933"/>
      <c r="AG66" s="17">
        <v>623</v>
      </c>
      <c r="AH66" s="8200"/>
      <c r="AI66" s="205">
        <f t="shared" si="205"/>
        <v>6186</v>
      </c>
      <c r="AJ66" s="933"/>
      <c r="AK66" s="17">
        <v>748</v>
      </c>
      <c r="AL66" s="8211"/>
      <c r="AM66" s="223">
        <f t="shared" si="196"/>
        <v>2029</v>
      </c>
      <c r="AN66" s="8200"/>
      <c r="AO66" s="204">
        <f t="shared" si="197"/>
        <v>6934</v>
      </c>
      <c r="AP66" s="933"/>
      <c r="AQ66" s="17">
        <v>727</v>
      </c>
      <c r="AR66" s="8200"/>
      <c r="AS66" s="205">
        <f t="shared" si="206"/>
        <v>7661</v>
      </c>
      <c r="AT66" s="933"/>
      <c r="AU66" s="17">
        <v>715</v>
      </c>
      <c r="AV66" s="8200"/>
      <c r="AW66" s="205">
        <f t="shared" si="207"/>
        <v>8376</v>
      </c>
      <c r="AX66" s="933"/>
      <c r="AY66" s="17">
        <v>765</v>
      </c>
      <c r="AZ66" s="8211"/>
      <c r="BA66" s="223">
        <f t="shared" si="198"/>
        <v>2207</v>
      </c>
      <c r="BB66" s="8231"/>
      <c r="BC66" s="474">
        <f t="shared" si="208"/>
        <v>4236</v>
      </c>
      <c r="BD66" s="8200"/>
      <c r="BE66" s="205">
        <f t="shared" si="209"/>
        <v>9141</v>
      </c>
      <c r="BF66" s="502"/>
      <c r="BG66" s="502"/>
      <c r="BH66" s="25"/>
      <c r="BI66" s="25"/>
      <c r="BJ66" s="25"/>
    </row>
    <row r="67" spans="1:62" x14ac:dyDescent="0.25">
      <c r="B67" s="9" t="s">
        <v>1123</v>
      </c>
      <c r="C67" s="97" t="s">
        <v>1213</v>
      </c>
      <c r="D67" s="933"/>
      <c r="E67" s="17">
        <v>113</v>
      </c>
      <c r="F67" s="933"/>
      <c r="G67" s="17">
        <v>210</v>
      </c>
      <c r="H67" s="8200"/>
      <c r="I67" s="3446">
        <f t="shared" si="199"/>
        <v>323</v>
      </c>
      <c r="J67" s="933"/>
      <c r="K67" s="17">
        <v>144</v>
      </c>
      <c r="L67" s="8211"/>
      <c r="M67" s="219">
        <f t="shared" si="200"/>
        <v>467</v>
      </c>
      <c r="N67" s="933"/>
      <c r="O67" s="17">
        <v>227</v>
      </c>
      <c r="P67" s="8200"/>
      <c r="Q67" s="204">
        <f t="shared" si="201"/>
        <v>694</v>
      </c>
      <c r="R67" s="933"/>
      <c r="S67" s="17">
        <v>183.5</v>
      </c>
      <c r="T67" s="8200"/>
      <c r="U67" s="204">
        <f t="shared" si="202"/>
        <v>877.5</v>
      </c>
      <c r="V67" s="933"/>
      <c r="W67" s="17">
        <v>240</v>
      </c>
      <c r="X67" s="8211"/>
      <c r="Y67" s="223">
        <f t="shared" si="195"/>
        <v>650.5</v>
      </c>
      <c r="Z67" s="8231"/>
      <c r="AA67" s="474">
        <f t="shared" si="203"/>
        <v>1117.5</v>
      </c>
      <c r="AB67" s="933"/>
      <c r="AC67" s="17">
        <v>145</v>
      </c>
      <c r="AD67" s="8200"/>
      <c r="AE67" s="205">
        <f t="shared" si="204"/>
        <v>1262.5</v>
      </c>
      <c r="AF67" s="933"/>
      <c r="AG67" s="17">
        <v>233</v>
      </c>
      <c r="AH67" s="8200"/>
      <c r="AI67" s="205">
        <f t="shared" si="205"/>
        <v>1495.5</v>
      </c>
      <c r="AJ67" s="933"/>
      <c r="AK67" s="17">
        <v>260</v>
      </c>
      <c r="AL67" s="8211"/>
      <c r="AM67" s="223">
        <f t="shared" si="196"/>
        <v>638</v>
      </c>
      <c r="AN67" s="8200"/>
      <c r="AO67" s="204">
        <f t="shared" si="197"/>
        <v>1755.5</v>
      </c>
      <c r="AP67" s="933"/>
      <c r="AQ67" s="17">
        <v>193</v>
      </c>
      <c r="AR67" s="8200"/>
      <c r="AS67" s="205">
        <f t="shared" si="206"/>
        <v>1948.5</v>
      </c>
      <c r="AT67" s="933"/>
      <c r="AU67" s="17">
        <v>155</v>
      </c>
      <c r="AV67" s="8200"/>
      <c r="AW67" s="205">
        <f t="shared" si="207"/>
        <v>2103.5</v>
      </c>
      <c r="AX67" s="933"/>
      <c r="AY67" s="17">
        <v>152</v>
      </c>
      <c r="AZ67" s="8211"/>
      <c r="BA67" s="223">
        <f t="shared" si="198"/>
        <v>500</v>
      </c>
      <c r="BB67" s="8231"/>
      <c r="BC67" s="474">
        <f t="shared" si="208"/>
        <v>1138</v>
      </c>
      <c r="BD67" s="8200"/>
      <c r="BE67" s="205">
        <f t="shared" si="209"/>
        <v>2255.5</v>
      </c>
      <c r="BF67" s="502"/>
      <c r="BG67" s="502"/>
      <c r="BH67" s="25"/>
      <c r="BI67" s="25"/>
      <c r="BJ67" s="25"/>
    </row>
    <row r="68" spans="1:62" x14ac:dyDescent="0.25">
      <c r="B68" s="9" t="s">
        <v>1124</v>
      </c>
      <c r="C68" s="97" t="s">
        <v>1213</v>
      </c>
      <c r="D68" s="933"/>
      <c r="E68" s="17">
        <v>225</v>
      </c>
      <c r="F68" s="933"/>
      <c r="G68" s="17">
        <v>244</v>
      </c>
      <c r="H68" s="8200"/>
      <c r="I68" s="3446">
        <f t="shared" si="199"/>
        <v>469</v>
      </c>
      <c r="J68" s="933"/>
      <c r="K68" s="17">
        <v>247</v>
      </c>
      <c r="L68" s="8211"/>
      <c r="M68" s="219">
        <f t="shared" si="200"/>
        <v>716</v>
      </c>
      <c r="N68" s="933"/>
      <c r="O68" s="17">
        <v>257</v>
      </c>
      <c r="P68" s="8200"/>
      <c r="Q68" s="204">
        <f t="shared" si="201"/>
        <v>973</v>
      </c>
      <c r="R68" s="933"/>
      <c r="S68" s="17">
        <v>234</v>
      </c>
      <c r="T68" s="8200"/>
      <c r="U68" s="204">
        <f t="shared" si="202"/>
        <v>1207</v>
      </c>
      <c r="V68" s="933"/>
      <c r="W68" s="17">
        <v>234</v>
      </c>
      <c r="X68" s="8211"/>
      <c r="Y68" s="223">
        <f t="shared" si="195"/>
        <v>725</v>
      </c>
      <c r="Z68" s="8231"/>
      <c r="AA68" s="474">
        <f t="shared" si="203"/>
        <v>1441</v>
      </c>
      <c r="AB68" s="933"/>
      <c r="AC68" s="17">
        <v>177</v>
      </c>
      <c r="AD68" s="8200"/>
      <c r="AE68" s="205">
        <f t="shared" si="204"/>
        <v>1618</v>
      </c>
      <c r="AF68" s="933"/>
      <c r="AG68" s="17">
        <v>144</v>
      </c>
      <c r="AH68" s="8200"/>
      <c r="AI68" s="205">
        <f t="shared" si="205"/>
        <v>1762</v>
      </c>
      <c r="AJ68" s="933"/>
      <c r="AK68" s="17">
        <v>246</v>
      </c>
      <c r="AL68" s="8211"/>
      <c r="AM68" s="223">
        <f t="shared" si="196"/>
        <v>567</v>
      </c>
      <c r="AN68" s="8200"/>
      <c r="AO68" s="204">
        <f t="shared" si="197"/>
        <v>2008</v>
      </c>
      <c r="AP68" s="933"/>
      <c r="AQ68" s="17">
        <v>248</v>
      </c>
      <c r="AR68" s="8200"/>
      <c r="AS68" s="205">
        <f t="shared" si="206"/>
        <v>2256</v>
      </c>
      <c r="AT68" s="933"/>
      <c r="AU68" s="17">
        <v>215</v>
      </c>
      <c r="AV68" s="8200"/>
      <c r="AW68" s="205">
        <f t="shared" si="207"/>
        <v>2471</v>
      </c>
      <c r="AX68" s="933"/>
      <c r="AY68" s="17">
        <v>184</v>
      </c>
      <c r="AZ68" s="8211"/>
      <c r="BA68" s="223">
        <f t="shared" si="198"/>
        <v>647</v>
      </c>
      <c r="BB68" s="8231"/>
      <c r="BC68" s="474">
        <f t="shared" si="208"/>
        <v>1214</v>
      </c>
      <c r="BD68" s="8200"/>
      <c r="BE68" s="205">
        <f t="shared" si="209"/>
        <v>2655</v>
      </c>
      <c r="BF68" s="502"/>
      <c r="BG68" s="502"/>
      <c r="BH68" s="25"/>
      <c r="BI68" s="25"/>
      <c r="BJ68" s="25"/>
    </row>
    <row r="69" spans="1:62" x14ac:dyDescent="0.25">
      <c r="A69" s="139"/>
      <c r="B69" s="3447" t="s">
        <v>1778</v>
      </c>
      <c r="C69" s="97" t="s">
        <v>1213</v>
      </c>
      <c r="D69" s="933"/>
      <c r="E69" s="170">
        <v>0</v>
      </c>
      <c r="F69" s="933"/>
      <c r="G69" s="170">
        <v>0</v>
      </c>
      <c r="H69" s="8200"/>
      <c r="I69" s="3446">
        <f t="shared" si="199"/>
        <v>0</v>
      </c>
      <c r="J69" s="933"/>
      <c r="K69" s="170">
        <v>0</v>
      </c>
      <c r="L69" s="8211"/>
      <c r="M69" s="219">
        <f t="shared" si="200"/>
        <v>0</v>
      </c>
      <c r="N69" s="933"/>
      <c r="O69" s="170">
        <v>0</v>
      </c>
      <c r="P69" s="8200"/>
      <c r="Q69" s="204">
        <f t="shared" si="201"/>
        <v>0</v>
      </c>
      <c r="R69" s="933"/>
      <c r="S69" s="170">
        <v>2</v>
      </c>
      <c r="T69" s="8200"/>
      <c r="U69" s="204">
        <f t="shared" si="202"/>
        <v>2</v>
      </c>
      <c r="V69" s="933"/>
      <c r="W69" s="170"/>
      <c r="X69" s="8211"/>
      <c r="Y69" s="223">
        <f t="shared" si="195"/>
        <v>2</v>
      </c>
      <c r="Z69" s="8231"/>
      <c r="AA69" s="474">
        <f t="shared" si="203"/>
        <v>2</v>
      </c>
      <c r="AB69" s="933"/>
      <c r="AC69" s="170"/>
      <c r="AD69" s="8200"/>
      <c r="AE69" s="205">
        <f t="shared" si="204"/>
        <v>2</v>
      </c>
      <c r="AF69" s="933"/>
      <c r="AG69" s="170"/>
      <c r="AH69" s="8200"/>
      <c r="AI69" s="205">
        <f t="shared" si="205"/>
        <v>2</v>
      </c>
      <c r="AJ69" s="933"/>
      <c r="AK69" s="170"/>
      <c r="AL69" s="8211"/>
      <c r="AM69" s="223">
        <f t="shared" si="196"/>
        <v>0</v>
      </c>
      <c r="AN69" s="8200"/>
      <c r="AO69" s="204">
        <f t="shared" si="197"/>
        <v>2</v>
      </c>
      <c r="AP69" s="933"/>
      <c r="AQ69" s="170">
        <v>0</v>
      </c>
      <c r="AR69" s="8200"/>
      <c r="AS69" s="205">
        <f t="shared" si="206"/>
        <v>2</v>
      </c>
      <c r="AT69" s="933"/>
      <c r="AU69" s="170"/>
      <c r="AV69" s="8200"/>
      <c r="AW69" s="205">
        <f t="shared" si="207"/>
        <v>2</v>
      </c>
      <c r="AX69" s="933"/>
      <c r="AY69" s="170"/>
      <c r="AZ69" s="8211"/>
      <c r="BA69" s="223">
        <f t="shared" si="198"/>
        <v>0</v>
      </c>
      <c r="BB69" s="8231"/>
      <c r="BC69" s="474">
        <f t="shared" si="208"/>
        <v>0</v>
      </c>
      <c r="BD69" s="8200"/>
      <c r="BE69" s="205">
        <f t="shared" si="209"/>
        <v>2</v>
      </c>
      <c r="BF69" s="502"/>
      <c r="BG69" s="502"/>
      <c r="BH69" s="25"/>
      <c r="BI69" s="25"/>
      <c r="BJ69" s="25"/>
    </row>
    <row r="70" spans="1:62" x14ac:dyDescent="0.25">
      <c r="A70" s="139"/>
      <c r="B70" s="3447" t="s">
        <v>1125</v>
      </c>
      <c r="C70" s="97" t="s">
        <v>1213</v>
      </c>
      <c r="D70" s="933"/>
      <c r="E70" s="170">
        <v>5950</v>
      </c>
      <c r="F70" s="933"/>
      <c r="G70" s="170">
        <v>4880</v>
      </c>
      <c r="H70" s="8200"/>
      <c r="I70" s="3446">
        <f t="shared" si="199"/>
        <v>10830</v>
      </c>
      <c r="J70" s="933"/>
      <c r="K70" s="170">
        <v>5370</v>
      </c>
      <c r="L70" s="8211"/>
      <c r="M70" s="219">
        <f t="shared" si="200"/>
        <v>16200</v>
      </c>
      <c r="N70" s="933"/>
      <c r="O70" s="170">
        <v>5250</v>
      </c>
      <c r="P70" s="8200"/>
      <c r="Q70" s="204">
        <f t="shared" si="201"/>
        <v>21450</v>
      </c>
      <c r="R70" s="933"/>
      <c r="S70" s="170">
        <v>4390</v>
      </c>
      <c r="T70" s="8200"/>
      <c r="U70" s="204">
        <f t="shared" si="202"/>
        <v>25840</v>
      </c>
      <c r="V70" s="933"/>
      <c r="W70" s="170">
        <v>4790</v>
      </c>
      <c r="X70" s="8211"/>
      <c r="Y70" s="223">
        <f t="shared" si="195"/>
        <v>14430</v>
      </c>
      <c r="Z70" s="8231"/>
      <c r="AA70" s="474">
        <f t="shared" si="203"/>
        <v>30630</v>
      </c>
      <c r="AB70" s="933"/>
      <c r="AC70" s="170">
        <v>3940</v>
      </c>
      <c r="AD70" s="8200"/>
      <c r="AE70" s="205">
        <f t="shared" si="204"/>
        <v>34570</v>
      </c>
      <c r="AF70" s="933"/>
      <c r="AG70" s="170">
        <v>3180</v>
      </c>
      <c r="AH70" s="8200"/>
      <c r="AI70" s="205">
        <f t="shared" si="205"/>
        <v>37750</v>
      </c>
      <c r="AJ70" s="933"/>
      <c r="AK70" s="170">
        <v>5565</v>
      </c>
      <c r="AL70" s="8211"/>
      <c r="AM70" s="223">
        <f t="shared" si="196"/>
        <v>12685</v>
      </c>
      <c r="AN70" s="8200"/>
      <c r="AO70" s="204">
        <f t="shared" si="197"/>
        <v>43315</v>
      </c>
      <c r="AP70" s="933"/>
      <c r="AQ70" s="170">
        <v>6185</v>
      </c>
      <c r="AR70" s="8200"/>
      <c r="AS70" s="205">
        <f t="shared" si="206"/>
        <v>49500</v>
      </c>
      <c r="AT70" s="933"/>
      <c r="AU70" s="170">
        <v>6030</v>
      </c>
      <c r="AV70" s="8200"/>
      <c r="AW70" s="205">
        <f t="shared" si="207"/>
        <v>55530</v>
      </c>
      <c r="AX70" s="933"/>
      <c r="AY70" s="170">
        <v>4540</v>
      </c>
      <c r="AZ70" s="8211"/>
      <c r="BA70" s="223">
        <f t="shared" si="198"/>
        <v>16755</v>
      </c>
      <c r="BB70" s="8231"/>
      <c r="BC70" s="474">
        <f t="shared" si="208"/>
        <v>29440</v>
      </c>
      <c r="BD70" s="8200"/>
      <c r="BE70" s="205">
        <f t="shared" si="209"/>
        <v>60070</v>
      </c>
      <c r="BF70" s="502"/>
      <c r="BG70" s="502"/>
      <c r="BH70" s="25"/>
      <c r="BI70" s="25"/>
      <c r="BJ70" s="25"/>
    </row>
    <row r="71" spans="1:62" x14ac:dyDescent="0.25">
      <c r="A71" s="139"/>
      <c r="B71" s="3447" t="s">
        <v>1126</v>
      </c>
      <c r="C71" s="97" t="s">
        <v>1213</v>
      </c>
      <c r="D71" s="933"/>
      <c r="E71" s="170">
        <v>10</v>
      </c>
      <c r="F71" s="933"/>
      <c r="G71" s="170">
        <v>10</v>
      </c>
      <c r="H71" s="8200"/>
      <c r="I71" s="3446">
        <f t="shared" si="199"/>
        <v>20</v>
      </c>
      <c r="J71" s="933"/>
      <c r="K71" s="170">
        <v>2</v>
      </c>
      <c r="L71" s="8211"/>
      <c r="M71" s="219">
        <f t="shared" si="200"/>
        <v>22</v>
      </c>
      <c r="N71" s="933"/>
      <c r="O71" s="170">
        <v>2</v>
      </c>
      <c r="P71" s="8200"/>
      <c r="Q71" s="204">
        <f t="shared" si="201"/>
        <v>24</v>
      </c>
      <c r="R71" s="933"/>
      <c r="S71" s="170"/>
      <c r="T71" s="8200"/>
      <c r="U71" s="204">
        <f t="shared" si="202"/>
        <v>24</v>
      </c>
      <c r="V71" s="933"/>
      <c r="W71" s="170"/>
      <c r="X71" s="8211"/>
      <c r="Y71" s="223">
        <f t="shared" si="195"/>
        <v>2</v>
      </c>
      <c r="Z71" s="8231"/>
      <c r="AA71" s="474">
        <f t="shared" si="203"/>
        <v>24</v>
      </c>
      <c r="AB71" s="933"/>
      <c r="AC71" s="170"/>
      <c r="AD71" s="8200"/>
      <c r="AE71" s="205">
        <f t="shared" si="204"/>
        <v>24</v>
      </c>
      <c r="AF71" s="933"/>
      <c r="AG71" s="170">
        <v>5</v>
      </c>
      <c r="AH71" s="8200"/>
      <c r="AI71" s="205">
        <f t="shared" si="205"/>
        <v>29</v>
      </c>
      <c r="AJ71" s="933"/>
      <c r="AK71" s="170"/>
      <c r="AL71" s="8211"/>
      <c r="AM71" s="223">
        <f t="shared" si="196"/>
        <v>5</v>
      </c>
      <c r="AN71" s="8200"/>
      <c r="AO71" s="204">
        <f t="shared" si="197"/>
        <v>29</v>
      </c>
      <c r="AP71" s="933"/>
      <c r="AQ71" s="170">
        <v>0</v>
      </c>
      <c r="AR71" s="8200"/>
      <c r="AS71" s="205">
        <f t="shared" si="206"/>
        <v>29</v>
      </c>
      <c r="AT71" s="933"/>
      <c r="AU71" s="170"/>
      <c r="AV71" s="8200"/>
      <c r="AW71" s="205">
        <f t="shared" si="207"/>
        <v>29</v>
      </c>
      <c r="AX71" s="933"/>
      <c r="AY71" s="170"/>
      <c r="AZ71" s="8211"/>
      <c r="BA71" s="223">
        <f t="shared" si="198"/>
        <v>0</v>
      </c>
      <c r="BB71" s="8231"/>
      <c r="BC71" s="474">
        <f t="shared" si="208"/>
        <v>5</v>
      </c>
      <c r="BD71" s="8200"/>
      <c r="BE71" s="205">
        <f t="shared" si="209"/>
        <v>29</v>
      </c>
      <c r="BF71" s="502"/>
      <c r="BG71" s="502"/>
      <c r="BH71" s="25"/>
      <c r="BI71" s="25"/>
      <c r="BJ71" s="25"/>
    </row>
    <row r="72" spans="1:62" x14ac:dyDescent="0.25">
      <c r="A72" s="139"/>
      <c r="B72" s="3447" t="s">
        <v>1127</v>
      </c>
      <c r="C72" s="97" t="s">
        <v>1213</v>
      </c>
      <c r="D72" s="933"/>
      <c r="E72" s="170">
        <v>417</v>
      </c>
      <c r="F72" s="933"/>
      <c r="G72" s="170">
        <v>455</v>
      </c>
      <c r="H72" s="8200"/>
      <c r="I72" s="3446">
        <f t="shared" si="199"/>
        <v>872</v>
      </c>
      <c r="J72" s="933"/>
      <c r="K72" s="170">
        <v>697</v>
      </c>
      <c r="L72" s="8211"/>
      <c r="M72" s="219">
        <f t="shared" si="200"/>
        <v>1569</v>
      </c>
      <c r="N72" s="933"/>
      <c r="O72" s="170">
        <v>493</v>
      </c>
      <c r="P72" s="8200"/>
      <c r="Q72" s="204">
        <f t="shared" si="201"/>
        <v>2062</v>
      </c>
      <c r="R72" s="933"/>
      <c r="S72" s="170">
        <v>612</v>
      </c>
      <c r="T72" s="8200"/>
      <c r="U72" s="204">
        <f t="shared" si="202"/>
        <v>2674</v>
      </c>
      <c r="V72" s="933"/>
      <c r="W72" s="170">
        <v>577</v>
      </c>
      <c r="X72" s="8211"/>
      <c r="Y72" s="223">
        <f t="shared" si="195"/>
        <v>1682</v>
      </c>
      <c r="Z72" s="8231"/>
      <c r="AA72" s="474">
        <f t="shared" si="203"/>
        <v>3251</v>
      </c>
      <c r="AB72" s="933"/>
      <c r="AC72" s="170">
        <v>527</v>
      </c>
      <c r="AD72" s="8200"/>
      <c r="AE72" s="205">
        <f t="shared" si="204"/>
        <v>3778</v>
      </c>
      <c r="AF72" s="933"/>
      <c r="AG72" s="170">
        <v>175</v>
      </c>
      <c r="AH72" s="8200"/>
      <c r="AI72" s="205">
        <f t="shared" si="205"/>
        <v>3953</v>
      </c>
      <c r="AJ72" s="933"/>
      <c r="AK72" s="170">
        <v>250</v>
      </c>
      <c r="AL72" s="8211"/>
      <c r="AM72" s="223">
        <f t="shared" si="196"/>
        <v>952</v>
      </c>
      <c r="AN72" s="8200"/>
      <c r="AO72" s="204">
        <f t="shared" si="197"/>
        <v>4203</v>
      </c>
      <c r="AP72" s="933"/>
      <c r="AQ72" s="170">
        <v>460</v>
      </c>
      <c r="AR72" s="8200"/>
      <c r="AS72" s="205">
        <f t="shared" si="206"/>
        <v>4663</v>
      </c>
      <c r="AT72" s="933"/>
      <c r="AU72" s="170">
        <v>455</v>
      </c>
      <c r="AV72" s="8200"/>
      <c r="AW72" s="205">
        <f t="shared" si="207"/>
        <v>5118</v>
      </c>
      <c r="AX72" s="933"/>
      <c r="AY72" s="170">
        <v>320</v>
      </c>
      <c r="AZ72" s="8211"/>
      <c r="BA72" s="223">
        <f t="shared" si="198"/>
        <v>1235</v>
      </c>
      <c r="BB72" s="8231"/>
      <c r="BC72" s="474">
        <f t="shared" si="208"/>
        <v>2187</v>
      </c>
      <c r="BD72" s="8200"/>
      <c r="BE72" s="205">
        <f t="shared" si="209"/>
        <v>5438</v>
      </c>
      <c r="BF72" s="502"/>
      <c r="BG72" s="502"/>
      <c r="BH72" s="25"/>
      <c r="BI72" s="25"/>
      <c r="BJ72" s="25"/>
    </row>
    <row r="73" spans="1:62" x14ac:dyDescent="0.25">
      <c r="A73" s="139"/>
      <c r="B73" s="3447" t="s">
        <v>1128</v>
      </c>
      <c r="C73" s="97" t="s">
        <v>1213</v>
      </c>
      <c r="D73" s="933"/>
      <c r="E73" s="170">
        <v>83</v>
      </c>
      <c r="F73" s="933"/>
      <c r="G73" s="170">
        <v>84</v>
      </c>
      <c r="H73" s="8200"/>
      <c r="I73" s="3446">
        <f t="shared" si="199"/>
        <v>167</v>
      </c>
      <c r="J73" s="933"/>
      <c r="K73" s="170">
        <v>99</v>
      </c>
      <c r="L73" s="8211"/>
      <c r="M73" s="219">
        <f t="shared" si="200"/>
        <v>266</v>
      </c>
      <c r="N73" s="933"/>
      <c r="O73" s="170">
        <v>91</v>
      </c>
      <c r="P73" s="8200"/>
      <c r="Q73" s="204">
        <f t="shared" si="201"/>
        <v>357</v>
      </c>
      <c r="R73" s="933"/>
      <c r="S73" s="170">
        <v>85</v>
      </c>
      <c r="T73" s="8200"/>
      <c r="U73" s="204">
        <f t="shared" si="202"/>
        <v>442</v>
      </c>
      <c r="V73" s="933"/>
      <c r="W73" s="170">
        <v>83</v>
      </c>
      <c r="X73" s="8211"/>
      <c r="Y73" s="223">
        <f t="shared" si="195"/>
        <v>259</v>
      </c>
      <c r="Z73" s="8231"/>
      <c r="AA73" s="474">
        <f t="shared" si="203"/>
        <v>525</v>
      </c>
      <c r="AB73" s="933"/>
      <c r="AC73" s="170">
        <v>66</v>
      </c>
      <c r="AD73" s="8200"/>
      <c r="AE73" s="205">
        <f t="shared" si="204"/>
        <v>591</v>
      </c>
      <c r="AF73" s="933"/>
      <c r="AG73" s="170">
        <v>61</v>
      </c>
      <c r="AH73" s="8200"/>
      <c r="AI73" s="205">
        <f t="shared" si="205"/>
        <v>652</v>
      </c>
      <c r="AJ73" s="933"/>
      <c r="AK73" s="170">
        <v>85</v>
      </c>
      <c r="AL73" s="8211"/>
      <c r="AM73" s="223">
        <f t="shared" si="196"/>
        <v>212</v>
      </c>
      <c r="AN73" s="8200"/>
      <c r="AO73" s="204">
        <f t="shared" si="197"/>
        <v>737</v>
      </c>
      <c r="AP73" s="933"/>
      <c r="AQ73" s="170">
        <v>97</v>
      </c>
      <c r="AR73" s="8200"/>
      <c r="AS73" s="205">
        <f t="shared" si="206"/>
        <v>834</v>
      </c>
      <c r="AT73" s="933"/>
      <c r="AU73" s="170">
        <v>83</v>
      </c>
      <c r="AV73" s="8200"/>
      <c r="AW73" s="205">
        <f t="shared" si="207"/>
        <v>917</v>
      </c>
      <c r="AX73" s="933"/>
      <c r="AY73" s="170">
        <v>67</v>
      </c>
      <c r="AZ73" s="8211"/>
      <c r="BA73" s="223">
        <f t="shared" si="198"/>
        <v>247</v>
      </c>
      <c r="BB73" s="8231"/>
      <c r="BC73" s="474">
        <f t="shared" si="208"/>
        <v>459</v>
      </c>
      <c r="BD73" s="8200"/>
      <c r="BE73" s="205">
        <f t="shared" si="209"/>
        <v>984</v>
      </c>
      <c r="BF73" s="502"/>
      <c r="BG73" s="502"/>
      <c r="BH73" s="25"/>
      <c r="BI73" s="25"/>
      <c r="BJ73" s="25"/>
    </row>
    <row r="74" spans="1:62" ht="15" customHeight="1" x14ac:dyDescent="0.25">
      <c r="A74" s="139"/>
      <c r="B74" s="3447" t="s">
        <v>1331</v>
      </c>
      <c r="C74" s="97" t="s">
        <v>1213</v>
      </c>
      <c r="D74" s="933"/>
      <c r="E74" s="170">
        <v>230.16</v>
      </c>
      <c r="F74" s="933"/>
      <c r="G74" s="170">
        <v>230.79</v>
      </c>
      <c r="H74" s="8200"/>
      <c r="I74" s="3446">
        <f t="shared" si="199"/>
        <v>460.95</v>
      </c>
      <c r="J74" s="933"/>
      <c r="K74" s="170">
        <v>237</v>
      </c>
      <c r="L74" s="8211"/>
      <c r="M74" s="219">
        <f t="shared" si="200"/>
        <v>697.95</v>
      </c>
      <c r="N74" s="933"/>
      <c r="O74" s="170">
        <v>172.55</v>
      </c>
      <c r="P74" s="8200"/>
      <c r="Q74" s="204">
        <f t="shared" si="201"/>
        <v>870.5</v>
      </c>
      <c r="R74" s="933"/>
      <c r="S74" s="170">
        <v>57.12</v>
      </c>
      <c r="T74" s="8200"/>
      <c r="U74" s="204">
        <f t="shared" si="202"/>
        <v>927.62</v>
      </c>
      <c r="V74" s="933"/>
      <c r="W74" s="170">
        <v>244.8</v>
      </c>
      <c r="X74" s="8211"/>
      <c r="Y74" s="223">
        <f t="shared" si="195"/>
        <v>474.47</v>
      </c>
      <c r="Z74" s="8231"/>
      <c r="AA74" s="474">
        <f t="shared" si="203"/>
        <v>1172.42</v>
      </c>
      <c r="AB74" s="933"/>
      <c r="AC74" s="170">
        <v>199.04</v>
      </c>
      <c r="AD74" s="8200"/>
      <c r="AE74" s="205">
        <f t="shared" si="204"/>
        <v>1371.46</v>
      </c>
      <c r="AF74" s="933"/>
      <c r="AG74" s="170">
        <v>219.27</v>
      </c>
      <c r="AH74" s="8200"/>
      <c r="AI74" s="205">
        <f t="shared" si="205"/>
        <v>1590.73</v>
      </c>
      <c r="AJ74" s="933"/>
      <c r="AK74" s="170">
        <v>244.02999999999997</v>
      </c>
      <c r="AL74" s="8211"/>
      <c r="AM74" s="219">
        <f t="shared" si="196"/>
        <v>662.33999999999992</v>
      </c>
      <c r="AN74" s="8200"/>
      <c r="AO74" s="204">
        <f t="shared" si="197"/>
        <v>1834.76</v>
      </c>
      <c r="AP74" s="933"/>
      <c r="AQ74" s="170">
        <v>252.39</v>
      </c>
      <c r="AR74" s="8200"/>
      <c r="AS74" s="205">
        <f t="shared" si="206"/>
        <v>2087.15</v>
      </c>
      <c r="AT74" s="933"/>
      <c r="AU74" s="170">
        <v>219.93</v>
      </c>
      <c r="AV74" s="8200"/>
      <c r="AW74" s="205">
        <f t="shared" si="207"/>
        <v>2307.08</v>
      </c>
      <c r="AX74" s="933"/>
      <c r="AY74" s="170">
        <v>237.41</v>
      </c>
      <c r="AZ74" s="8211"/>
      <c r="BA74" s="223">
        <f t="shared" si="198"/>
        <v>709.73</v>
      </c>
      <c r="BB74" s="8231"/>
      <c r="BC74" s="474">
        <f t="shared" si="208"/>
        <v>1372.07</v>
      </c>
      <c r="BD74" s="8200"/>
      <c r="BE74" s="205">
        <f t="shared" si="209"/>
        <v>2544.4899999999998</v>
      </c>
      <c r="BF74" s="502"/>
      <c r="BG74" s="502"/>
      <c r="BH74" s="25"/>
      <c r="BI74" s="25"/>
      <c r="BJ74" s="25"/>
    </row>
    <row r="75" spans="1:62" ht="15" customHeight="1" x14ac:dyDescent="0.25">
      <c r="A75" s="139"/>
      <c r="B75" s="3447" t="s">
        <v>1332</v>
      </c>
      <c r="C75" s="97" t="s">
        <v>1213</v>
      </c>
      <c r="D75" s="933"/>
      <c r="E75" s="170"/>
      <c r="F75" s="933"/>
      <c r="G75" s="170">
        <v>164.38</v>
      </c>
      <c r="H75" s="8200"/>
      <c r="I75" s="3446">
        <f t="shared" si="199"/>
        <v>164.38</v>
      </c>
      <c r="J75" s="933"/>
      <c r="K75" s="170">
        <v>169.88</v>
      </c>
      <c r="L75" s="8211"/>
      <c r="M75" s="219">
        <f t="shared" si="200"/>
        <v>334.26</v>
      </c>
      <c r="N75" s="933"/>
      <c r="O75" s="170">
        <v>123.02</v>
      </c>
      <c r="P75" s="8200"/>
      <c r="Q75" s="204">
        <f t="shared" si="201"/>
        <v>457.28</v>
      </c>
      <c r="R75" s="933"/>
      <c r="S75" s="170"/>
      <c r="T75" s="8200"/>
      <c r="U75" s="204">
        <f t="shared" si="202"/>
        <v>457.28</v>
      </c>
      <c r="V75" s="933"/>
      <c r="W75" s="170"/>
      <c r="X75" s="8211"/>
      <c r="Y75" s="223">
        <f t="shared" si="195"/>
        <v>123.02</v>
      </c>
      <c r="Z75" s="8231"/>
      <c r="AA75" s="474">
        <f t="shared" si="203"/>
        <v>457.28</v>
      </c>
      <c r="AB75" s="933"/>
      <c r="AC75" s="170"/>
      <c r="AD75" s="8200"/>
      <c r="AE75" s="205">
        <f t="shared" si="204"/>
        <v>457.28</v>
      </c>
      <c r="AF75" s="933"/>
      <c r="AG75" s="170"/>
      <c r="AH75" s="8200"/>
      <c r="AI75" s="205">
        <f t="shared" si="205"/>
        <v>457.28</v>
      </c>
      <c r="AJ75" s="933"/>
      <c r="AK75" s="170"/>
      <c r="AL75" s="8211"/>
      <c r="AM75" s="223">
        <f t="shared" si="196"/>
        <v>0</v>
      </c>
      <c r="AN75" s="8200"/>
      <c r="AO75" s="204">
        <f t="shared" si="197"/>
        <v>457.28</v>
      </c>
      <c r="AP75" s="933"/>
      <c r="AQ75" s="170"/>
      <c r="AR75" s="8200"/>
      <c r="AS75" s="205">
        <f t="shared" si="206"/>
        <v>457.28</v>
      </c>
      <c r="AT75" s="933"/>
      <c r="AU75" s="170"/>
      <c r="AV75" s="8200"/>
      <c r="AW75" s="205">
        <f t="shared" si="207"/>
        <v>457.28</v>
      </c>
      <c r="AX75" s="933"/>
      <c r="AY75" s="170"/>
      <c r="AZ75" s="8211"/>
      <c r="BA75" s="223">
        <f t="shared" si="198"/>
        <v>0</v>
      </c>
      <c r="BB75" s="8231"/>
      <c r="BC75" s="474">
        <f t="shared" si="208"/>
        <v>0</v>
      </c>
      <c r="BD75" s="8200"/>
      <c r="BE75" s="205">
        <f t="shared" si="209"/>
        <v>457.28</v>
      </c>
      <c r="BF75" s="502"/>
      <c r="BG75" s="502"/>
      <c r="BH75" s="25"/>
      <c r="BI75" s="25"/>
      <c r="BJ75" s="25"/>
    </row>
    <row r="76" spans="1:62" ht="15" customHeight="1" x14ac:dyDescent="0.25">
      <c r="A76" s="139"/>
      <c r="B76" s="3447" t="s">
        <v>1333</v>
      </c>
      <c r="C76" s="97" t="s">
        <v>1213</v>
      </c>
      <c r="D76" s="933"/>
      <c r="E76" s="170">
        <v>46.67</v>
      </c>
      <c r="F76" s="933"/>
      <c r="G76" s="170">
        <v>81.66</v>
      </c>
      <c r="H76" s="8200"/>
      <c r="I76" s="3446">
        <f t="shared" si="199"/>
        <v>128.32999999999998</v>
      </c>
      <c r="J76" s="933"/>
      <c r="K76" s="170">
        <v>81.67</v>
      </c>
      <c r="L76" s="8211"/>
      <c r="M76" s="219">
        <f t="shared" si="200"/>
        <v>210</v>
      </c>
      <c r="N76" s="933"/>
      <c r="O76" s="170">
        <v>40.840000000000003</v>
      </c>
      <c r="P76" s="8200"/>
      <c r="Q76" s="204">
        <f t="shared" si="201"/>
        <v>250.84</v>
      </c>
      <c r="R76" s="933"/>
      <c r="S76" s="170"/>
      <c r="T76" s="8200"/>
      <c r="U76" s="204">
        <f t="shared" si="202"/>
        <v>250.84</v>
      </c>
      <c r="V76" s="933"/>
      <c r="W76" s="170">
        <v>122.49</v>
      </c>
      <c r="X76" s="8211"/>
      <c r="Y76" s="223">
        <f t="shared" si="195"/>
        <v>163.32999999999998</v>
      </c>
      <c r="Z76" s="8231"/>
      <c r="AA76" s="474">
        <f t="shared" si="203"/>
        <v>373.33</v>
      </c>
      <c r="AB76" s="933"/>
      <c r="AC76" s="170">
        <v>46.67</v>
      </c>
      <c r="AD76" s="8200"/>
      <c r="AE76" s="205">
        <f t="shared" si="204"/>
        <v>420</v>
      </c>
      <c r="AF76" s="933"/>
      <c r="AG76" s="170">
        <v>40.840000000000003</v>
      </c>
      <c r="AH76" s="8200"/>
      <c r="AI76" s="205">
        <f t="shared" si="205"/>
        <v>460.84000000000003</v>
      </c>
      <c r="AJ76" s="933"/>
      <c r="AK76" s="170">
        <v>81.66</v>
      </c>
      <c r="AL76" s="8211"/>
      <c r="AM76" s="223">
        <f t="shared" si="196"/>
        <v>169.17000000000002</v>
      </c>
      <c r="AN76" s="8200"/>
      <c r="AO76" s="204">
        <f t="shared" si="197"/>
        <v>542.5</v>
      </c>
      <c r="AP76" s="933"/>
      <c r="AQ76" s="170">
        <v>81.67</v>
      </c>
      <c r="AR76" s="8200"/>
      <c r="AS76" s="205">
        <f t="shared" si="206"/>
        <v>624.16999999999996</v>
      </c>
      <c r="AT76" s="933"/>
      <c r="AU76" s="170">
        <v>81.67</v>
      </c>
      <c r="AV76" s="8200"/>
      <c r="AW76" s="205">
        <f t="shared" si="207"/>
        <v>705.83999999999992</v>
      </c>
      <c r="AX76" s="933"/>
      <c r="AY76" s="170">
        <v>116.66</v>
      </c>
      <c r="AZ76" s="8211"/>
      <c r="BA76" s="223">
        <f t="shared" si="198"/>
        <v>280</v>
      </c>
      <c r="BB76" s="8231"/>
      <c r="BC76" s="474">
        <f t="shared" si="208"/>
        <v>449.17</v>
      </c>
      <c r="BD76" s="8200"/>
      <c r="BE76" s="205">
        <f t="shared" si="209"/>
        <v>822.49999999999989</v>
      </c>
      <c r="BF76" s="502"/>
      <c r="BG76" s="502"/>
      <c r="BH76" s="25"/>
      <c r="BI76" s="25"/>
      <c r="BJ76" s="25"/>
    </row>
    <row r="77" spans="1:62" ht="15" customHeight="1" x14ac:dyDescent="0.25">
      <c r="B77" s="9" t="s">
        <v>1092</v>
      </c>
      <c r="C77" s="97" t="s">
        <v>1213</v>
      </c>
      <c r="D77" s="933"/>
      <c r="E77" s="170">
        <v>2130</v>
      </c>
      <c r="F77" s="933"/>
      <c r="G77" s="170">
        <v>2131</v>
      </c>
      <c r="H77" s="8200"/>
      <c r="I77" s="3446">
        <f t="shared" si="199"/>
        <v>4261</v>
      </c>
      <c r="J77" s="933"/>
      <c r="K77" s="170">
        <v>2204</v>
      </c>
      <c r="L77" s="8211"/>
      <c r="M77" s="219">
        <f t="shared" si="200"/>
        <v>6465</v>
      </c>
      <c r="N77" s="933"/>
      <c r="O77" s="170">
        <v>1597</v>
      </c>
      <c r="P77" s="8200"/>
      <c r="Q77" s="204">
        <f t="shared" si="201"/>
        <v>8062</v>
      </c>
      <c r="R77" s="933"/>
      <c r="S77" s="170">
        <v>532</v>
      </c>
      <c r="T77" s="8200"/>
      <c r="U77" s="204">
        <f t="shared" si="202"/>
        <v>8594</v>
      </c>
      <c r="V77" s="933"/>
      <c r="W77" s="170">
        <v>2280</v>
      </c>
      <c r="X77" s="8211"/>
      <c r="Y77" s="223">
        <f t="shared" si="195"/>
        <v>4409</v>
      </c>
      <c r="Z77" s="8231"/>
      <c r="AA77" s="474">
        <f t="shared" si="203"/>
        <v>10874</v>
      </c>
      <c r="AB77" s="933"/>
      <c r="AC77" s="170">
        <v>1826</v>
      </c>
      <c r="AD77" s="8200"/>
      <c r="AE77" s="205">
        <f t="shared" si="204"/>
        <v>12700</v>
      </c>
      <c r="AF77" s="933"/>
      <c r="AG77" s="170">
        <v>2051</v>
      </c>
      <c r="AH77" s="8200"/>
      <c r="AI77" s="205">
        <f t="shared" si="205"/>
        <v>14751</v>
      </c>
      <c r="AJ77" s="933"/>
      <c r="AK77" s="170">
        <v>2279</v>
      </c>
      <c r="AL77" s="8211"/>
      <c r="AM77" s="223">
        <f t="shared" si="196"/>
        <v>6156</v>
      </c>
      <c r="AN77" s="8200"/>
      <c r="AO77" s="204">
        <f t="shared" si="197"/>
        <v>17030</v>
      </c>
      <c r="AP77" s="933"/>
      <c r="AQ77" s="170">
        <v>2355</v>
      </c>
      <c r="AR77" s="8200"/>
      <c r="AS77" s="205">
        <f t="shared" si="206"/>
        <v>19385</v>
      </c>
      <c r="AT77" s="933"/>
      <c r="AU77" s="170">
        <v>2051</v>
      </c>
      <c r="AV77" s="8200"/>
      <c r="AW77" s="205">
        <f t="shared" si="207"/>
        <v>21436</v>
      </c>
      <c r="AX77" s="933"/>
      <c r="AY77" s="170">
        <v>2155</v>
      </c>
      <c r="AZ77" s="8211"/>
      <c r="BA77" s="223">
        <f t="shared" si="198"/>
        <v>6561</v>
      </c>
      <c r="BB77" s="8231"/>
      <c r="BC77" s="474">
        <f t="shared" si="208"/>
        <v>12717</v>
      </c>
      <c r="BD77" s="8200"/>
      <c r="BE77" s="205">
        <f t="shared" si="209"/>
        <v>23591</v>
      </c>
      <c r="BF77" s="502"/>
      <c r="BG77" s="502"/>
      <c r="BH77" s="25"/>
      <c r="BI77" s="25"/>
      <c r="BJ77" s="25"/>
    </row>
    <row r="78" spans="1:62" ht="15" customHeight="1" x14ac:dyDescent="0.25">
      <c r="B78" s="9" t="s">
        <v>1369</v>
      </c>
      <c r="C78" s="97" t="s">
        <v>1213</v>
      </c>
      <c r="D78" s="933"/>
      <c r="E78" s="170"/>
      <c r="F78" s="933"/>
      <c r="G78" s="170">
        <v>46.66</v>
      </c>
      <c r="H78" s="8200"/>
      <c r="I78" s="3446">
        <f t="shared" si="199"/>
        <v>46.66</v>
      </c>
      <c r="J78" s="933"/>
      <c r="K78" s="170">
        <v>46.67</v>
      </c>
      <c r="L78" s="8211"/>
      <c r="M78" s="219">
        <f t="shared" si="200"/>
        <v>93.33</v>
      </c>
      <c r="N78" s="933"/>
      <c r="O78" s="170">
        <v>46.68</v>
      </c>
      <c r="P78" s="8200"/>
      <c r="Q78" s="204">
        <f t="shared" si="201"/>
        <v>140.01</v>
      </c>
      <c r="R78" s="933"/>
      <c r="S78" s="170"/>
      <c r="T78" s="8200"/>
      <c r="U78" s="204">
        <f t="shared" si="202"/>
        <v>140.01</v>
      </c>
      <c r="V78" s="933"/>
      <c r="W78" s="170"/>
      <c r="X78" s="8211"/>
      <c r="Y78" s="223">
        <f t="shared" si="195"/>
        <v>46.68</v>
      </c>
      <c r="Z78" s="8231"/>
      <c r="AA78" s="474">
        <f t="shared" si="203"/>
        <v>140.01</v>
      </c>
      <c r="AB78" s="933"/>
      <c r="AC78" s="170">
        <v>46.66</v>
      </c>
      <c r="AD78" s="8200"/>
      <c r="AE78" s="205">
        <f t="shared" si="204"/>
        <v>186.67</v>
      </c>
      <c r="AF78" s="933"/>
      <c r="AG78" s="170">
        <v>46.68</v>
      </c>
      <c r="AH78" s="8200"/>
      <c r="AI78" s="205">
        <f t="shared" si="205"/>
        <v>233.35</v>
      </c>
      <c r="AJ78" s="933"/>
      <c r="AK78" s="170">
        <v>46.66</v>
      </c>
      <c r="AL78" s="8211"/>
      <c r="AM78" s="223">
        <f t="shared" si="196"/>
        <v>140</v>
      </c>
      <c r="AN78" s="8200"/>
      <c r="AO78" s="204">
        <f t="shared" si="197"/>
        <v>280.01</v>
      </c>
      <c r="AP78" s="933"/>
      <c r="AQ78" s="170">
        <v>46.66</v>
      </c>
      <c r="AR78" s="8200"/>
      <c r="AS78" s="205">
        <f t="shared" si="206"/>
        <v>326.66999999999996</v>
      </c>
      <c r="AT78" s="933"/>
      <c r="AU78" s="170">
        <v>46.68</v>
      </c>
      <c r="AV78" s="8200"/>
      <c r="AW78" s="205">
        <f t="shared" si="207"/>
        <v>373.34999999999997</v>
      </c>
      <c r="AX78" s="933"/>
      <c r="AY78" s="170"/>
      <c r="AZ78" s="8211"/>
      <c r="BA78" s="223">
        <f t="shared" si="198"/>
        <v>93.34</v>
      </c>
      <c r="BB78" s="8231"/>
      <c r="BC78" s="474">
        <f t="shared" si="208"/>
        <v>233.34</v>
      </c>
      <c r="BD78" s="8200"/>
      <c r="BE78" s="205">
        <f t="shared" si="209"/>
        <v>373.34999999999997</v>
      </c>
      <c r="BF78" s="502"/>
      <c r="BG78" s="502"/>
      <c r="BH78" s="25"/>
      <c r="BI78" s="25"/>
      <c r="BJ78" s="25"/>
    </row>
    <row r="79" spans="1:62" ht="15" customHeight="1" x14ac:dyDescent="0.25">
      <c r="B79" s="9" t="s">
        <v>1412</v>
      </c>
      <c r="C79" s="97" t="s">
        <v>393</v>
      </c>
      <c r="D79" s="933"/>
      <c r="E79" s="17">
        <v>11.66</v>
      </c>
      <c r="F79" s="933"/>
      <c r="G79" s="17">
        <v>46.66</v>
      </c>
      <c r="H79" s="8200"/>
      <c r="I79" s="3446">
        <f t="shared" si="199"/>
        <v>58.319999999999993</v>
      </c>
      <c r="J79" s="933"/>
      <c r="K79" s="17">
        <v>46.67</v>
      </c>
      <c r="L79" s="8211"/>
      <c r="M79" s="219">
        <f t="shared" si="200"/>
        <v>104.99</v>
      </c>
      <c r="N79" s="933"/>
      <c r="O79" s="17">
        <v>0</v>
      </c>
      <c r="P79" s="8200"/>
      <c r="Q79" s="204">
        <f t="shared" si="201"/>
        <v>104.99</v>
      </c>
      <c r="R79" s="933"/>
      <c r="S79" s="17"/>
      <c r="T79" s="8200"/>
      <c r="U79" s="204">
        <f t="shared" si="202"/>
        <v>104.99</v>
      </c>
      <c r="V79" s="933"/>
      <c r="W79" s="17"/>
      <c r="X79" s="8211"/>
      <c r="Y79" s="223">
        <f t="shared" si="195"/>
        <v>0</v>
      </c>
      <c r="Z79" s="8231"/>
      <c r="AA79" s="474">
        <f t="shared" si="203"/>
        <v>104.99</v>
      </c>
      <c r="AB79" s="933"/>
      <c r="AC79" s="17"/>
      <c r="AD79" s="8200"/>
      <c r="AE79" s="205">
        <f t="shared" si="204"/>
        <v>104.99</v>
      </c>
      <c r="AF79" s="933"/>
      <c r="AG79" s="17"/>
      <c r="AH79" s="8200"/>
      <c r="AI79" s="205">
        <f t="shared" si="205"/>
        <v>104.99</v>
      </c>
      <c r="AJ79" s="933"/>
      <c r="AK79" s="17"/>
      <c r="AL79" s="8211"/>
      <c r="AM79" s="219">
        <f t="shared" si="196"/>
        <v>0</v>
      </c>
      <c r="AN79" s="8200"/>
      <c r="AO79" s="204">
        <f t="shared" si="197"/>
        <v>104.99</v>
      </c>
      <c r="AP79" s="933"/>
      <c r="AQ79" s="17"/>
      <c r="AR79" s="8200"/>
      <c r="AS79" s="205">
        <f t="shared" si="206"/>
        <v>104.99</v>
      </c>
      <c r="AT79" s="933"/>
      <c r="AU79" s="17"/>
      <c r="AV79" s="8200"/>
      <c r="AW79" s="205">
        <f t="shared" si="207"/>
        <v>104.99</v>
      </c>
      <c r="AX79" s="933"/>
      <c r="AY79" s="17">
        <v>46.66</v>
      </c>
      <c r="AZ79" s="8211"/>
      <c r="BA79" s="223">
        <f t="shared" si="198"/>
        <v>46.66</v>
      </c>
      <c r="BB79" s="8231"/>
      <c r="BC79" s="474">
        <f t="shared" si="208"/>
        <v>46.66</v>
      </c>
      <c r="BD79" s="8200"/>
      <c r="BE79" s="205">
        <f t="shared" si="209"/>
        <v>151.64999999999998</v>
      </c>
      <c r="BF79" s="502"/>
      <c r="BG79" s="502"/>
      <c r="BH79" s="25"/>
      <c r="BI79" s="25"/>
      <c r="BJ79" s="25"/>
    </row>
    <row r="80" spans="1:62" s="4487" customFormat="1" ht="15" customHeight="1" x14ac:dyDescent="0.25">
      <c r="B80" s="5977" t="s">
        <v>2038</v>
      </c>
      <c r="C80" s="97" t="s">
        <v>393</v>
      </c>
      <c r="D80" s="933"/>
      <c r="E80" s="5781">
        <v>164.05</v>
      </c>
      <c r="F80" s="933"/>
      <c r="G80" s="5781"/>
      <c r="H80" s="8200"/>
      <c r="I80" s="3446">
        <f t="shared" si="199"/>
        <v>164.05</v>
      </c>
      <c r="J80" s="933"/>
      <c r="K80" s="5781"/>
      <c r="L80" s="8211"/>
      <c r="M80" s="219">
        <f t="shared" si="200"/>
        <v>164.05</v>
      </c>
      <c r="N80" s="933"/>
      <c r="O80" s="5781"/>
      <c r="P80" s="8200"/>
      <c r="Q80" s="5978"/>
      <c r="R80" s="933"/>
      <c r="S80" s="5781">
        <v>40.81</v>
      </c>
      <c r="T80" s="8200"/>
      <c r="U80" s="204">
        <f t="shared" si="202"/>
        <v>40.81</v>
      </c>
      <c r="V80" s="933"/>
      <c r="W80" s="5781">
        <v>174.8</v>
      </c>
      <c r="X80" s="8211"/>
      <c r="Y80" s="223">
        <f t="shared" si="195"/>
        <v>215.61</v>
      </c>
      <c r="Z80" s="8231"/>
      <c r="AA80" s="474">
        <f t="shared" si="203"/>
        <v>379.66</v>
      </c>
      <c r="AB80" s="933"/>
      <c r="AC80" s="5781">
        <v>141.52999999999997</v>
      </c>
      <c r="AD80" s="8200"/>
      <c r="AE80" s="205">
        <f t="shared" si="204"/>
        <v>521.19000000000005</v>
      </c>
      <c r="AF80" s="933"/>
      <c r="AG80" s="5781">
        <v>156.13</v>
      </c>
      <c r="AH80" s="8200"/>
      <c r="AI80" s="205">
        <f t="shared" si="205"/>
        <v>677.32</v>
      </c>
      <c r="AJ80" s="933"/>
      <c r="AK80" s="5781">
        <v>174.52</v>
      </c>
      <c r="AL80" s="8211"/>
      <c r="AM80" s="219">
        <f t="shared" si="196"/>
        <v>472.17999999999995</v>
      </c>
      <c r="AN80" s="8200"/>
      <c r="AO80" s="204">
        <f t="shared" si="197"/>
        <v>851.84</v>
      </c>
      <c r="AP80" s="933"/>
      <c r="AQ80" s="5781">
        <v>180.46</v>
      </c>
      <c r="AR80" s="8200"/>
      <c r="AS80" s="205">
        <f t="shared" si="206"/>
        <v>1032.3</v>
      </c>
      <c r="AT80" s="933"/>
      <c r="AU80" s="5781">
        <v>157.66999999999999</v>
      </c>
      <c r="AV80" s="8200"/>
      <c r="AW80" s="205">
        <f t="shared" si="207"/>
        <v>1189.97</v>
      </c>
      <c r="AX80" s="933"/>
      <c r="AY80" s="5781">
        <v>169.45000000000002</v>
      </c>
      <c r="AZ80" s="8211"/>
      <c r="BA80" s="5979"/>
      <c r="BB80" s="8231"/>
      <c r="BC80" s="5980"/>
      <c r="BD80" s="8200"/>
      <c r="BE80" s="5981"/>
      <c r="BF80" s="502"/>
      <c r="BG80" s="502"/>
      <c r="BH80" s="25"/>
      <c r="BI80" s="25"/>
      <c r="BJ80" s="25"/>
    </row>
    <row r="81" spans="2:62" s="4487" customFormat="1" ht="15" customHeight="1" x14ac:dyDescent="0.25">
      <c r="B81" s="5977" t="s">
        <v>2063</v>
      </c>
      <c r="C81" s="97" t="s">
        <v>393</v>
      </c>
      <c r="D81" s="933"/>
      <c r="E81" s="5781">
        <v>46.68</v>
      </c>
      <c r="F81" s="933"/>
      <c r="G81" s="5781"/>
      <c r="H81" s="8200"/>
      <c r="I81" s="3446">
        <f t="shared" si="199"/>
        <v>46.68</v>
      </c>
      <c r="J81" s="933"/>
      <c r="K81" s="5781"/>
      <c r="L81" s="8211"/>
      <c r="M81" s="219">
        <f t="shared" si="200"/>
        <v>46.68</v>
      </c>
      <c r="N81" s="933"/>
      <c r="O81" s="5781"/>
      <c r="P81" s="8200"/>
      <c r="Q81" s="5978"/>
      <c r="R81" s="933"/>
      <c r="S81" s="5781"/>
      <c r="T81" s="8200"/>
      <c r="U81" s="5978"/>
      <c r="V81" s="933"/>
      <c r="W81" s="5781">
        <v>93.32</v>
      </c>
      <c r="X81" s="8211"/>
      <c r="Y81" s="223">
        <f t="shared" si="195"/>
        <v>93.32</v>
      </c>
      <c r="Z81" s="8231"/>
      <c r="AA81" s="474">
        <f t="shared" si="203"/>
        <v>140</v>
      </c>
      <c r="AB81" s="933"/>
      <c r="AC81" s="5781">
        <v>11.88</v>
      </c>
      <c r="AD81" s="8200"/>
      <c r="AE81" s="205">
        <f t="shared" si="204"/>
        <v>151.88</v>
      </c>
      <c r="AF81" s="933"/>
      <c r="AG81" s="5781"/>
      <c r="AH81" s="8200"/>
      <c r="AI81" s="205">
        <f t="shared" si="205"/>
        <v>151.88</v>
      </c>
      <c r="AJ81" s="933"/>
      <c r="AK81" s="5781">
        <v>46.66</v>
      </c>
      <c r="AL81" s="8211"/>
      <c r="AM81" s="219">
        <f t="shared" si="196"/>
        <v>58.54</v>
      </c>
      <c r="AN81" s="8200"/>
      <c r="AO81" s="204">
        <f t="shared" si="197"/>
        <v>198.54</v>
      </c>
      <c r="AP81" s="933"/>
      <c r="AQ81" s="5781">
        <v>46.68</v>
      </c>
      <c r="AR81" s="8200"/>
      <c r="AS81" s="205">
        <f t="shared" si="206"/>
        <v>245.22</v>
      </c>
      <c r="AT81" s="933"/>
      <c r="AU81" s="5781">
        <v>46.66</v>
      </c>
      <c r="AV81" s="8200"/>
      <c r="AW81" s="205">
        <f t="shared" si="207"/>
        <v>291.88</v>
      </c>
      <c r="AX81" s="933"/>
      <c r="AY81" s="5781">
        <v>81.66</v>
      </c>
      <c r="AZ81" s="8211"/>
      <c r="BA81" s="5979"/>
      <c r="BB81" s="8231"/>
      <c r="BC81" s="5980"/>
      <c r="BD81" s="8200"/>
      <c r="BE81" s="5981"/>
      <c r="BF81" s="502"/>
      <c r="BG81" s="502"/>
      <c r="BH81" s="25"/>
      <c r="BI81" s="25"/>
      <c r="BJ81" s="25"/>
    </row>
    <row r="82" spans="2:62" ht="15.75" customHeight="1" thickBot="1" x14ac:dyDescent="0.3">
      <c r="B82" s="11" t="s">
        <v>1946</v>
      </c>
      <c r="C82" s="1748" t="s">
        <v>393</v>
      </c>
      <c r="D82" s="3448"/>
      <c r="E82" s="36">
        <v>1430</v>
      </c>
      <c r="F82" s="3448"/>
      <c r="G82" s="36">
        <v>1431</v>
      </c>
      <c r="H82" s="8215"/>
      <c r="I82" s="3449">
        <f t="shared" si="199"/>
        <v>2861</v>
      </c>
      <c r="J82" s="3448"/>
      <c r="K82" s="36">
        <v>1479</v>
      </c>
      <c r="L82" s="8211"/>
      <c r="M82" s="219">
        <f t="shared" si="200"/>
        <v>4340</v>
      </c>
      <c r="N82" s="3448"/>
      <c r="O82" s="36">
        <v>1072</v>
      </c>
      <c r="P82" s="8200"/>
      <c r="Q82" s="204">
        <f t="shared" si="201"/>
        <v>5412</v>
      </c>
      <c r="R82" s="3448"/>
      <c r="S82" s="36">
        <v>357</v>
      </c>
      <c r="T82" s="8200"/>
      <c r="U82" s="204">
        <f t="shared" si="202"/>
        <v>5769</v>
      </c>
      <c r="V82" s="3448"/>
      <c r="W82" s="36">
        <v>1530</v>
      </c>
      <c r="X82" s="8211"/>
      <c r="Y82" s="223">
        <f t="shared" si="195"/>
        <v>2959</v>
      </c>
      <c r="Z82" s="8231"/>
      <c r="AA82" s="474">
        <f t="shared" si="203"/>
        <v>7299</v>
      </c>
      <c r="AB82" s="3448"/>
      <c r="AC82" s="36">
        <v>1228</v>
      </c>
      <c r="AD82" s="8200"/>
      <c r="AE82" s="205">
        <f t="shared" si="204"/>
        <v>8527</v>
      </c>
      <c r="AF82" s="3448"/>
      <c r="AG82" s="36">
        <v>1376</v>
      </c>
      <c r="AH82" s="8200"/>
      <c r="AI82" s="205">
        <f t="shared" si="205"/>
        <v>9903</v>
      </c>
      <c r="AJ82" s="3448"/>
      <c r="AK82" s="36">
        <v>1529</v>
      </c>
      <c r="AL82" s="8211"/>
      <c r="AM82" s="223">
        <f t="shared" si="196"/>
        <v>4133</v>
      </c>
      <c r="AN82" s="8200"/>
      <c r="AO82" s="204">
        <f t="shared" si="197"/>
        <v>11432</v>
      </c>
      <c r="AP82" s="3448"/>
      <c r="AQ82" s="36">
        <v>1580</v>
      </c>
      <c r="AR82" s="8200"/>
      <c r="AS82" s="205">
        <f t="shared" si="206"/>
        <v>13012</v>
      </c>
      <c r="AT82" s="3448"/>
      <c r="AU82" s="36">
        <v>1376</v>
      </c>
      <c r="AV82" s="8200"/>
      <c r="AW82" s="205">
        <f t="shared" si="207"/>
        <v>14388</v>
      </c>
      <c r="AX82" s="3448"/>
      <c r="AY82" s="36">
        <v>1480</v>
      </c>
      <c r="AZ82" s="8211"/>
      <c r="BA82" s="223">
        <f t="shared" si="198"/>
        <v>4436</v>
      </c>
      <c r="BB82" s="8231"/>
      <c r="BC82" s="474">
        <f t="shared" si="208"/>
        <v>8569</v>
      </c>
      <c r="BD82" s="8200"/>
      <c r="BE82" s="205">
        <f t="shared" si="209"/>
        <v>15868</v>
      </c>
      <c r="BF82" s="502"/>
      <c r="BG82" s="502"/>
      <c r="BH82" s="25"/>
      <c r="BI82" s="25"/>
      <c r="BJ82" s="25"/>
    </row>
    <row r="83" spans="2:62" x14ac:dyDescent="0.25">
      <c r="AX83" s="2852"/>
      <c r="AY83" s="2852"/>
      <c r="BD83" s="2852"/>
      <c r="BE83" s="2852"/>
    </row>
    <row r="84" spans="2:62" x14ac:dyDescent="0.25">
      <c r="AX84" s="2852"/>
      <c r="AY84" s="2852"/>
      <c r="BD84" s="2852"/>
      <c r="BE84" s="2852"/>
    </row>
    <row r="85" spans="2:62" hidden="1" x14ac:dyDescent="0.25">
      <c r="D85" s="25">
        <f t="shared" ref="D85:AG85" si="210">D53+D49+D44-D39</f>
        <v>43</v>
      </c>
      <c r="E85" s="25">
        <f t="shared" si="210"/>
        <v>0</v>
      </c>
      <c r="F85" s="25">
        <f t="shared" si="210"/>
        <v>38.800000000000011</v>
      </c>
      <c r="G85" s="25">
        <f t="shared" si="210"/>
        <v>-9.660215053763352</v>
      </c>
      <c r="H85" s="25">
        <f t="shared" si="210"/>
        <v>34.226229508196752</v>
      </c>
      <c r="I85" s="25">
        <f t="shared" si="210"/>
        <v>-10.908306010928868</v>
      </c>
      <c r="J85" s="25">
        <f t="shared" si="210"/>
        <v>38.800000000000011</v>
      </c>
      <c r="K85" s="25">
        <f t="shared" si="210"/>
        <v>-9.4386666666666201</v>
      </c>
      <c r="L85" s="25">
        <f t="shared" si="210"/>
        <v>35.734065934065995</v>
      </c>
      <c r="M85" s="25">
        <f t="shared" si="210"/>
        <v>-10.423809523809553</v>
      </c>
      <c r="N85" s="25">
        <f t="shared" si="210"/>
        <v>38.800000000000011</v>
      </c>
      <c r="O85" s="25">
        <f t="shared" si="210"/>
        <v>-9.1267741935483286</v>
      </c>
      <c r="P85" s="25">
        <f t="shared" si="210"/>
        <v>36.51311475409841</v>
      </c>
      <c r="Q85" s="25">
        <f t="shared" si="210"/>
        <v>-10.094234972677498</v>
      </c>
      <c r="R85" s="25">
        <f t="shared" si="210"/>
        <v>38.800000000000011</v>
      </c>
      <c r="S85" s="25">
        <f t="shared" si="210"/>
        <v>-9.7677419354838548</v>
      </c>
      <c r="T85" s="25">
        <f t="shared" si="210"/>
        <v>36.976470588235316</v>
      </c>
      <c r="U85" s="25">
        <f t="shared" si="210"/>
        <v>-10.028082788670986</v>
      </c>
      <c r="V85" s="25">
        <f t="shared" si="210"/>
        <v>39.800000000000011</v>
      </c>
      <c r="W85" s="25">
        <f t="shared" si="210"/>
        <v>-9.0886666666667111</v>
      </c>
      <c r="X85" s="25">
        <f t="shared" si="210"/>
        <v>39.12608695652176</v>
      </c>
      <c r="Y85" s="25">
        <f t="shared" si="210"/>
        <v>-9.3303260869565179</v>
      </c>
      <c r="Z85" s="25">
        <f t="shared" si="210"/>
        <v>37.439344262295094</v>
      </c>
      <c r="AA85" s="25">
        <f t="shared" si="210"/>
        <v>-9.8740801457194607</v>
      </c>
      <c r="AB85" s="25">
        <f t="shared" si="210"/>
        <v>38.800000000000011</v>
      </c>
      <c r="AC85" s="25">
        <f t="shared" si="210"/>
        <v>-10.50322580645161</v>
      </c>
      <c r="AD85" s="25">
        <f t="shared" si="210"/>
        <v>37.636448598130869</v>
      </c>
      <c r="AE85" s="25">
        <f t="shared" si="210"/>
        <v>-9.9652180685358189</v>
      </c>
      <c r="AF85" s="25">
        <f t="shared" si="210"/>
        <v>38.800000000000011</v>
      </c>
      <c r="AG85" s="25">
        <f t="shared" si="210"/>
        <v>-10.523333333333426</v>
      </c>
      <c r="AI85" s="25">
        <f t="shared" ref="AI85:BE85" si="211">AI53+AI49+AI44-AI39</f>
        <v>-10.033838797814155</v>
      </c>
      <c r="AJ85" s="25">
        <f t="shared" si="211"/>
        <v>38.800000000000011</v>
      </c>
      <c r="AK85" s="25">
        <f t="shared" si="211"/>
        <v>-10.54397849462373</v>
      </c>
      <c r="AL85" s="25">
        <f t="shared" si="211"/>
        <v>38.800000000000011</v>
      </c>
      <c r="AM85" s="25">
        <f t="shared" si="211"/>
        <v>-10.523514492753748</v>
      </c>
      <c r="AN85" s="25">
        <f t="shared" si="211"/>
        <v>37.894545454545494</v>
      </c>
      <c r="AO85" s="25">
        <f t="shared" si="211"/>
        <v>-10.09134545454549</v>
      </c>
      <c r="AP85" s="25">
        <f t="shared" si="211"/>
        <v>38.800000000000011</v>
      </c>
      <c r="AQ85" s="25">
        <f t="shared" si="211"/>
        <v>-9.2935483870967914</v>
      </c>
      <c r="AR85" s="25">
        <f t="shared" si="211"/>
        <v>37.986274509803934</v>
      </c>
      <c r="AS85" s="25">
        <f t="shared" si="211"/>
        <v>-10.010522875816889</v>
      </c>
      <c r="AT85" s="25">
        <f t="shared" si="211"/>
        <v>38.800000000000011</v>
      </c>
      <c r="AU85" s="25">
        <f t="shared" si="211"/>
        <v>-6.7485714285713811</v>
      </c>
      <c r="AV85" s="25">
        <f t="shared" si="211"/>
        <v>38.054491017964096</v>
      </c>
      <c r="AW85" s="25">
        <f t="shared" si="211"/>
        <v>-9.7370658682634144</v>
      </c>
      <c r="AX85" s="25">
        <f t="shared" si="211"/>
        <v>38.800000000000011</v>
      </c>
      <c r="AY85" s="25">
        <f t="shared" si="211"/>
        <v>-5.1429032258064353</v>
      </c>
      <c r="AZ85" s="25">
        <f t="shared" si="211"/>
        <v>38.800000000000011</v>
      </c>
      <c r="BA85" s="25">
        <f t="shared" si="211"/>
        <v>-7.0721111111111554</v>
      </c>
      <c r="BB85" s="25">
        <f t="shared" si="211"/>
        <v>38.799999999999955</v>
      </c>
      <c r="BC85" s="25">
        <f t="shared" si="211"/>
        <v>-8.816776556776631</v>
      </c>
      <c r="BD85" s="25">
        <f t="shared" si="211"/>
        <v>38.11780821917813</v>
      </c>
      <c r="BE85" s="25">
        <f t="shared" si="211"/>
        <v>-9.3468767123287648</v>
      </c>
      <c r="BF85" s="25"/>
    </row>
    <row r="86" spans="2:62" x14ac:dyDescent="0.25">
      <c r="AX86" s="2852"/>
      <c r="AY86" s="2852"/>
      <c r="BD86" s="2852"/>
      <c r="BE86" s="2852"/>
    </row>
    <row r="87" spans="2:62" x14ac:dyDescent="0.25">
      <c r="AX87" s="2852"/>
      <c r="AY87" s="2852"/>
      <c r="BD87" s="2852"/>
      <c r="BE87" s="2852"/>
    </row>
    <row r="88" spans="2:62" x14ac:dyDescent="0.25">
      <c r="AX88" s="2852"/>
      <c r="AY88" s="2852"/>
      <c r="BD88" s="2852"/>
      <c r="BE88" s="2852"/>
    </row>
    <row r="89" spans="2:62" x14ac:dyDescent="0.25">
      <c r="AX89" s="2852"/>
      <c r="AY89" s="2852"/>
      <c r="BD89" s="2852"/>
      <c r="BE89" s="2852"/>
    </row>
    <row r="90" spans="2:62" x14ac:dyDescent="0.25">
      <c r="AX90" s="2852"/>
      <c r="AY90" s="2852"/>
      <c r="BD90" s="2852"/>
      <c r="BE90" s="2852"/>
    </row>
    <row r="91" spans="2:62" x14ac:dyDescent="0.25">
      <c r="AX91" s="2852"/>
      <c r="AY91" s="2852"/>
      <c r="BD91" s="2852"/>
      <c r="BE91" s="2852"/>
    </row>
    <row r="92" spans="2:62" x14ac:dyDescent="0.25">
      <c r="AX92" s="2852"/>
      <c r="AY92" s="2852"/>
      <c r="BD92" s="2852"/>
      <c r="BE92" s="2852"/>
    </row>
    <row r="93" spans="2:62" x14ac:dyDescent="0.25">
      <c r="AX93" s="2852"/>
      <c r="AY93" s="2852"/>
      <c r="BD93" s="2852"/>
      <c r="BE93" s="2852"/>
    </row>
    <row r="94" spans="2:62" x14ac:dyDescent="0.25">
      <c r="AX94" s="2852"/>
      <c r="AY94" s="2852"/>
      <c r="BD94" s="2852"/>
      <c r="BE94" s="2852"/>
    </row>
    <row r="95" spans="2:62" x14ac:dyDescent="0.25">
      <c r="AX95" s="2852"/>
      <c r="AY95" s="2852"/>
      <c r="BD95" s="2852"/>
      <c r="BE95" s="2852"/>
    </row>
    <row r="96" spans="2:62" x14ac:dyDescent="0.25">
      <c r="AX96" s="2852"/>
      <c r="AY96" s="2852"/>
      <c r="BD96" s="2852"/>
      <c r="BE96" s="2852"/>
    </row>
    <row r="97" spans="50:57" x14ac:dyDescent="0.25">
      <c r="AX97" s="2852"/>
      <c r="AY97" s="2852"/>
      <c r="BD97" s="2852"/>
      <c r="BE97" s="2852"/>
    </row>
    <row r="98" spans="50:57" x14ac:dyDescent="0.25">
      <c r="AX98" s="2852"/>
      <c r="AY98" s="2852"/>
      <c r="BD98" s="2852"/>
      <c r="BE98" s="2852"/>
    </row>
    <row r="99" spans="50:57" x14ac:dyDescent="0.25">
      <c r="AX99" s="2852"/>
      <c r="AY99" s="2852"/>
      <c r="BD99" s="2852"/>
      <c r="BE99" s="2852"/>
    </row>
    <row r="100" spans="50:57" x14ac:dyDescent="0.25">
      <c r="AX100" s="2852"/>
      <c r="AY100" s="2852"/>
      <c r="BD100" s="2852"/>
      <c r="BE100" s="2852"/>
    </row>
    <row r="101" spans="50:57" x14ac:dyDescent="0.25">
      <c r="AX101" s="2852"/>
      <c r="AY101" s="2852"/>
      <c r="BD101" s="2852"/>
      <c r="BE101" s="2852"/>
    </row>
    <row r="102" spans="50:57" x14ac:dyDescent="0.25">
      <c r="AX102" s="2852"/>
      <c r="AY102" s="2852"/>
      <c r="BD102" s="2852"/>
      <c r="BE102" s="2852"/>
    </row>
    <row r="103" spans="50:57" x14ac:dyDescent="0.25">
      <c r="AX103" s="2852"/>
      <c r="AY103" s="2852"/>
      <c r="BD103" s="2852"/>
      <c r="BE103" s="2852"/>
    </row>
    <row r="104" spans="50:57" x14ac:dyDescent="0.25">
      <c r="AX104" s="2852"/>
      <c r="AY104" s="2852"/>
      <c r="BD104" s="2852"/>
      <c r="BE104" s="2852"/>
    </row>
    <row r="105" spans="50:57" x14ac:dyDescent="0.25">
      <c r="AX105" s="2852"/>
      <c r="AY105" s="2852"/>
      <c r="BD105" s="2852"/>
      <c r="BE105" s="2852"/>
    </row>
    <row r="106" spans="50:57" x14ac:dyDescent="0.25">
      <c r="AX106" s="2852"/>
      <c r="AY106" s="2852"/>
      <c r="BD106" s="2852"/>
      <c r="BE106" s="2852"/>
    </row>
    <row r="107" spans="50:57" x14ac:dyDescent="0.25">
      <c r="AX107" s="2852"/>
      <c r="AY107" s="2852"/>
      <c r="BD107" s="2852"/>
      <c r="BE107" s="2852"/>
    </row>
    <row r="108" spans="50:57" x14ac:dyDescent="0.25">
      <c r="AX108" s="2852"/>
      <c r="AY108" s="2852"/>
      <c r="BD108" s="2852"/>
      <c r="BE108" s="2852"/>
    </row>
    <row r="109" spans="50:57" x14ac:dyDescent="0.25">
      <c r="AX109" s="2852"/>
      <c r="AY109" s="2852"/>
      <c r="BD109" s="2852"/>
      <c r="BE109" s="2852"/>
    </row>
    <row r="110" spans="50:57" x14ac:dyDescent="0.25">
      <c r="AX110" s="2852"/>
      <c r="AY110" s="2852"/>
      <c r="BD110" s="2852"/>
      <c r="BE110" s="2852"/>
    </row>
    <row r="111" spans="50:57" x14ac:dyDescent="0.25">
      <c r="AX111" s="2852"/>
      <c r="AY111" s="2852"/>
      <c r="BD111" s="2852"/>
      <c r="BE111" s="2852"/>
    </row>
    <row r="112" spans="50:57" x14ac:dyDescent="0.25">
      <c r="AX112" s="2852"/>
      <c r="AY112" s="2852"/>
      <c r="BD112" s="2852"/>
      <c r="BE112" s="2852"/>
    </row>
    <row r="113" spans="50:57" x14ac:dyDescent="0.25">
      <c r="AX113" s="2852"/>
      <c r="AY113" s="2852"/>
      <c r="BD113" s="2852"/>
      <c r="BE113" s="2852"/>
    </row>
    <row r="114" spans="50:57" x14ac:dyDescent="0.25">
      <c r="AX114" s="2852"/>
      <c r="AY114" s="2852"/>
      <c r="BD114" s="2852"/>
      <c r="BE114" s="2852"/>
    </row>
    <row r="115" spans="50:57" x14ac:dyDescent="0.25">
      <c r="AX115" s="2852"/>
      <c r="AY115" s="2852"/>
      <c r="BD115" s="2852"/>
      <c r="BE115" s="2852"/>
    </row>
    <row r="116" spans="50:57" x14ac:dyDescent="0.25">
      <c r="AX116" s="2852"/>
      <c r="AY116" s="2852"/>
      <c r="BD116" s="2852"/>
      <c r="BE116" s="2852"/>
    </row>
    <row r="117" spans="50:57" x14ac:dyDescent="0.25">
      <c r="AX117" s="2852"/>
      <c r="AY117" s="2852"/>
      <c r="BD117" s="2852"/>
      <c r="BE117" s="2852"/>
    </row>
    <row r="118" spans="50:57" x14ac:dyDescent="0.25">
      <c r="AX118" s="2852"/>
      <c r="AY118" s="2852"/>
      <c r="BD118" s="2852"/>
      <c r="BE118" s="2852"/>
    </row>
    <row r="119" spans="50:57" x14ac:dyDescent="0.25">
      <c r="AX119" s="2852"/>
      <c r="AY119" s="2852"/>
      <c r="BD119" s="2852"/>
      <c r="BE119" s="2852"/>
    </row>
    <row r="120" spans="50:57" x14ac:dyDescent="0.25">
      <c r="AX120" s="2852"/>
      <c r="AY120" s="2852"/>
      <c r="BD120" s="2852"/>
      <c r="BE120" s="2852"/>
    </row>
    <row r="121" spans="50:57" x14ac:dyDescent="0.25">
      <c r="AX121" s="2852"/>
      <c r="AY121" s="2852"/>
      <c r="BD121" s="2852"/>
      <c r="BE121" s="2852"/>
    </row>
    <row r="122" spans="50:57" x14ac:dyDescent="0.25">
      <c r="AX122" s="2852"/>
      <c r="AY122" s="2852"/>
      <c r="BD122" s="2852"/>
      <c r="BE122" s="2852"/>
    </row>
    <row r="123" spans="50:57" x14ac:dyDescent="0.25">
      <c r="AX123" s="2852"/>
      <c r="AY123" s="2852"/>
      <c r="BD123" s="2852"/>
      <c r="BE123" s="2852"/>
    </row>
    <row r="124" spans="50:57" x14ac:dyDescent="0.25">
      <c r="AX124" s="2852"/>
      <c r="AY124" s="2852"/>
      <c r="BD124" s="2852"/>
      <c r="BE124" s="2852"/>
    </row>
    <row r="125" spans="50:57" x14ac:dyDescent="0.25">
      <c r="AX125" s="2852"/>
      <c r="AY125" s="2852"/>
      <c r="BD125" s="2852"/>
      <c r="BE125" s="2852"/>
    </row>
    <row r="126" spans="50:57" x14ac:dyDescent="0.25">
      <c r="AX126" s="2852"/>
      <c r="AY126" s="2852"/>
      <c r="BD126" s="2852"/>
      <c r="BE126" s="2852"/>
    </row>
    <row r="127" spans="50:57" x14ac:dyDescent="0.25">
      <c r="AX127" s="2852"/>
      <c r="AY127" s="2852"/>
      <c r="BD127" s="2852"/>
      <c r="BE127" s="2852"/>
    </row>
    <row r="128" spans="50:57" x14ac:dyDescent="0.25">
      <c r="AX128" s="2852"/>
      <c r="AY128" s="2852"/>
      <c r="BD128" s="2852"/>
      <c r="BE128" s="2852"/>
    </row>
    <row r="129" spans="50:57" x14ac:dyDescent="0.25">
      <c r="AX129" s="2852"/>
      <c r="AY129" s="2852"/>
      <c r="BD129" s="2852"/>
      <c r="BE129" s="2852"/>
    </row>
    <row r="130" spans="50:57" x14ac:dyDescent="0.25">
      <c r="AX130" s="2852"/>
      <c r="AY130" s="2852"/>
      <c r="BD130" s="2852"/>
      <c r="BE130" s="2852"/>
    </row>
    <row r="131" spans="50:57" x14ac:dyDescent="0.25">
      <c r="AX131" s="2852"/>
      <c r="AY131" s="2852"/>
      <c r="BD131" s="2852"/>
      <c r="BE131" s="2852"/>
    </row>
    <row r="132" spans="50:57" x14ac:dyDescent="0.25">
      <c r="AX132" s="2852"/>
      <c r="AY132" s="2852"/>
      <c r="BD132" s="2852"/>
      <c r="BE132" s="2852"/>
    </row>
    <row r="133" spans="50:57" x14ac:dyDescent="0.25">
      <c r="AX133" s="2852"/>
      <c r="AY133" s="2852"/>
      <c r="BD133" s="2852"/>
      <c r="BE133" s="2852"/>
    </row>
    <row r="134" spans="50:57" x14ac:dyDescent="0.25">
      <c r="AX134" s="2852"/>
      <c r="AY134" s="2852"/>
      <c r="BD134" s="2852"/>
      <c r="BE134" s="2852"/>
    </row>
    <row r="135" spans="50:57" x14ac:dyDescent="0.25">
      <c r="AX135" s="2852"/>
      <c r="AY135" s="2852"/>
      <c r="BD135" s="2852"/>
      <c r="BE135" s="2852"/>
    </row>
    <row r="136" spans="50:57" x14ac:dyDescent="0.25">
      <c r="AX136" s="2852"/>
      <c r="AY136" s="2852"/>
      <c r="BD136" s="2852"/>
      <c r="BE136" s="2852"/>
    </row>
    <row r="137" spans="50:57" x14ac:dyDescent="0.25">
      <c r="AX137" s="2852"/>
      <c r="AY137" s="2852"/>
      <c r="BD137" s="2852"/>
      <c r="BE137" s="2852"/>
    </row>
    <row r="138" spans="50:57" x14ac:dyDescent="0.25">
      <c r="AX138" s="2852"/>
      <c r="AY138" s="2852"/>
      <c r="BD138" s="2852"/>
      <c r="BE138" s="2852"/>
    </row>
    <row r="139" spans="50:57" x14ac:dyDescent="0.25">
      <c r="AX139" s="2852"/>
      <c r="AY139" s="2852"/>
      <c r="BD139" s="2852"/>
      <c r="BE139" s="2852"/>
    </row>
    <row r="140" spans="50:57" x14ac:dyDescent="0.25">
      <c r="AX140" s="2852"/>
      <c r="AY140" s="2852"/>
      <c r="BD140" s="2852"/>
      <c r="BE140" s="2852"/>
    </row>
    <row r="141" spans="50:57" x14ac:dyDescent="0.25">
      <c r="AX141" s="2852"/>
      <c r="AY141" s="2852"/>
      <c r="BD141" s="2852"/>
      <c r="BE141" s="2852"/>
    </row>
    <row r="142" spans="50:57" x14ac:dyDescent="0.25">
      <c r="AX142" s="2852"/>
      <c r="AY142" s="2852"/>
      <c r="BD142" s="2852"/>
      <c r="BE142" s="2852"/>
    </row>
    <row r="143" spans="50:57" x14ac:dyDescent="0.25">
      <c r="AX143" s="2852"/>
      <c r="AY143" s="2852"/>
      <c r="BD143" s="2852"/>
      <c r="BE143" s="2852"/>
    </row>
    <row r="144" spans="50:57" x14ac:dyDescent="0.25">
      <c r="AX144" s="2852"/>
      <c r="AY144" s="2852"/>
      <c r="BD144" s="2852"/>
      <c r="BE144" s="2852"/>
    </row>
    <row r="145" spans="50:57" x14ac:dyDescent="0.25">
      <c r="AX145" s="2852"/>
      <c r="AY145" s="2852"/>
      <c r="BD145" s="2852"/>
      <c r="BE145" s="2852"/>
    </row>
    <row r="146" spans="50:57" x14ac:dyDescent="0.25">
      <c r="AX146" s="2852"/>
      <c r="AY146" s="2852"/>
      <c r="BD146" s="2852"/>
      <c r="BE146" s="2852"/>
    </row>
    <row r="147" spans="50:57" x14ac:dyDescent="0.25">
      <c r="AX147" s="2852"/>
      <c r="AY147" s="2852"/>
      <c r="BD147" s="2852"/>
      <c r="BE147" s="2852"/>
    </row>
    <row r="148" spans="50:57" x14ac:dyDescent="0.25">
      <c r="AX148" s="2852"/>
      <c r="AY148" s="2852"/>
      <c r="BD148" s="2852"/>
      <c r="BE148" s="2852"/>
    </row>
    <row r="149" spans="50:57" x14ac:dyDescent="0.25">
      <c r="AX149" s="2852"/>
      <c r="AY149" s="2852"/>
      <c r="BD149" s="2852"/>
      <c r="BE149" s="2852"/>
    </row>
    <row r="150" spans="50:57" x14ac:dyDescent="0.25">
      <c r="AX150" s="2852"/>
      <c r="AY150" s="2852"/>
      <c r="BD150" s="2852"/>
      <c r="BE150" s="2852"/>
    </row>
    <row r="151" spans="50:57" x14ac:dyDescent="0.25">
      <c r="AX151" s="2852"/>
      <c r="AY151" s="2852"/>
      <c r="BD151" s="2852"/>
      <c r="BE151" s="2852"/>
    </row>
    <row r="152" spans="50:57" x14ac:dyDescent="0.25">
      <c r="AX152" s="2852"/>
      <c r="AY152" s="2852"/>
      <c r="BD152" s="2852"/>
      <c r="BE152" s="2852"/>
    </row>
    <row r="153" spans="50:57" x14ac:dyDescent="0.25">
      <c r="AX153" s="2852"/>
      <c r="AY153" s="2852"/>
      <c r="BD153" s="2852"/>
      <c r="BE153" s="2852"/>
    </row>
    <row r="154" spans="50:57" x14ac:dyDescent="0.25">
      <c r="AX154" s="2852"/>
      <c r="AY154" s="2852"/>
      <c r="BD154" s="2852"/>
      <c r="BE154" s="2852"/>
    </row>
    <row r="155" spans="50:57" x14ac:dyDescent="0.25">
      <c r="AX155" s="2852"/>
      <c r="AY155" s="2852"/>
      <c r="BD155" s="2852"/>
      <c r="BE155" s="2852"/>
    </row>
    <row r="156" spans="50:57" x14ac:dyDescent="0.25">
      <c r="AX156" s="2852"/>
      <c r="AY156" s="2852"/>
      <c r="BD156" s="2852"/>
      <c r="BE156" s="2852"/>
    </row>
    <row r="157" spans="50:57" x14ac:dyDescent="0.25">
      <c r="AX157" s="2852"/>
      <c r="AY157" s="2852"/>
      <c r="BD157" s="2852"/>
      <c r="BE157" s="2852"/>
    </row>
    <row r="158" spans="50:57" x14ac:dyDescent="0.25">
      <c r="AX158" s="2852"/>
      <c r="AY158" s="2852"/>
      <c r="BD158" s="2852"/>
      <c r="BE158" s="2852"/>
    </row>
    <row r="159" spans="50:57" x14ac:dyDescent="0.25">
      <c r="AX159" s="2852"/>
      <c r="AY159" s="2852"/>
      <c r="BD159" s="2852"/>
      <c r="BE159" s="2852"/>
    </row>
    <row r="160" spans="50:57" x14ac:dyDescent="0.25">
      <c r="AX160" s="2852"/>
      <c r="AY160" s="2852"/>
      <c r="BD160" s="2852"/>
      <c r="BE160" s="2852"/>
    </row>
    <row r="161" spans="50:57" x14ac:dyDescent="0.25">
      <c r="AX161" s="2852"/>
      <c r="AY161" s="2852"/>
      <c r="BD161" s="2852"/>
      <c r="BE161" s="2852"/>
    </row>
    <row r="162" spans="50:57" x14ac:dyDescent="0.25">
      <c r="AX162" s="2852"/>
      <c r="AY162" s="2852"/>
      <c r="BD162" s="2852"/>
      <c r="BE162" s="2852"/>
    </row>
    <row r="163" spans="50:57" x14ac:dyDescent="0.25">
      <c r="AX163" s="2852"/>
      <c r="AY163" s="2852"/>
      <c r="BD163" s="2852"/>
      <c r="BE163" s="2852"/>
    </row>
    <row r="164" spans="50:57" x14ac:dyDescent="0.25">
      <c r="AX164" s="2852"/>
      <c r="AY164" s="2852"/>
      <c r="BD164" s="2852"/>
      <c r="BE164" s="2852"/>
    </row>
    <row r="165" spans="50:57" x14ac:dyDescent="0.25">
      <c r="AX165" s="2852"/>
      <c r="AY165" s="2852"/>
      <c r="BD165" s="2852"/>
      <c r="BE165" s="2852"/>
    </row>
    <row r="166" spans="50:57" x14ac:dyDescent="0.25">
      <c r="AX166" s="2852"/>
      <c r="AY166" s="2852"/>
      <c r="BD166" s="2852"/>
      <c r="BE166" s="2852"/>
    </row>
    <row r="167" spans="50:57" x14ac:dyDescent="0.25">
      <c r="AX167" s="2852"/>
      <c r="AY167" s="2852"/>
      <c r="BD167" s="2852"/>
      <c r="BE167" s="2852"/>
    </row>
    <row r="168" spans="50:57" x14ac:dyDescent="0.25">
      <c r="AX168" s="2852"/>
      <c r="AY168" s="2852"/>
      <c r="BD168" s="2852"/>
      <c r="BE168" s="2852"/>
    </row>
    <row r="169" spans="50:57" x14ac:dyDescent="0.25">
      <c r="AX169" s="2852"/>
      <c r="AY169" s="2852"/>
      <c r="BD169" s="2852"/>
      <c r="BE169" s="2852"/>
    </row>
    <row r="170" spans="50:57" x14ac:dyDescent="0.25">
      <c r="AX170" s="2852"/>
      <c r="AY170" s="2852"/>
      <c r="BD170" s="2852"/>
      <c r="BE170" s="2852"/>
    </row>
    <row r="171" spans="50:57" x14ac:dyDescent="0.25">
      <c r="AX171" s="2852"/>
      <c r="AY171" s="2852"/>
      <c r="BD171" s="2852"/>
      <c r="BE171" s="2852"/>
    </row>
    <row r="172" spans="50:57" x14ac:dyDescent="0.25">
      <c r="AX172" s="2852"/>
      <c r="AY172" s="2852"/>
      <c r="BD172" s="2852"/>
      <c r="BE172" s="2852"/>
    </row>
    <row r="173" spans="50:57" x14ac:dyDescent="0.25">
      <c r="AX173" s="2852"/>
      <c r="AY173" s="2852"/>
      <c r="BD173" s="2852"/>
      <c r="BE173" s="2852"/>
    </row>
    <row r="174" spans="50:57" x14ac:dyDescent="0.25">
      <c r="AX174" s="2852"/>
      <c r="AY174" s="2852"/>
      <c r="BD174" s="2852"/>
      <c r="BE174" s="2852"/>
    </row>
    <row r="175" spans="50:57" x14ac:dyDescent="0.25">
      <c r="AX175" s="2852"/>
      <c r="AY175" s="2852"/>
      <c r="BD175" s="2852"/>
      <c r="BE175" s="2852"/>
    </row>
    <row r="176" spans="50:57" x14ac:dyDescent="0.25">
      <c r="AX176" s="2852"/>
      <c r="AY176" s="2852"/>
      <c r="BD176" s="2852"/>
      <c r="BE176" s="2852"/>
    </row>
    <row r="177" spans="50:57" x14ac:dyDescent="0.25">
      <c r="AX177" s="2852"/>
      <c r="AY177" s="2852"/>
      <c r="BD177" s="2852"/>
      <c r="BE177" s="2852"/>
    </row>
    <row r="178" spans="50:57" x14ac:dyDescent="0.25">
      <c r="AX178" s="2852"/>
      <c r="AY178" s="2852"/>
      <c r="BD178" s="2852"/>
      <c r="BE178" s="2852"/>
    </row>
    <row r="179" spans="50:57" x14ac:dyDescent="0.25">
      <c r="AX179" s="2852"/>
      <c r="AY179" s="2852"/>
      <c r="BD179" s="2852"/>
      <c r="BE179" s="2852"/>
    </row>
    <row r="180" spans="50:57" x14ac:dyDescent="0.25">
      <c r="AX180" s="2852"/>
      <c r="AY180" s="2852"/>
      <c r="BD180" s="2852"/>
      <c r="BE180" s="2852"/>
    </row>
    <row r="181" spans="50:57" x14ac:dyDescent="0.25">
      <c r="AX181" s="2852"/>
      <c r="AY181" s="2852"/>
      <c r="BD181" s="2852"/>
      <c r="BE181" s="2852"/>
    </row>
    <row r="182" spans="50:57" x14ac:dyDescent="0.25">
      <c r="AX182" s="2852"/>
      <c r="AY182" s="2852"/>
      <c r="BD182" s="2852"/>
      <c r="BE182" s="2852"/>
    </row>
    <row r="183" spans="50:57" x14ac:dyDescent="0.25">
      <c r="AX183" s="2852"/>
      <c r="AY183" s="2852"/>
      <c r="BD183" s="2852"/>
      <c r="BE183" s="2852"/>
    </row>
    <row r="184" spans="50:57" x14ac:dyDescent="0.25">
      <c r="AX184" s="2852"/>
      <c r="AY184" s="2852"/>
      <c r="BD184" s="2852"/>
      <c r="BE184" s="2852"/>
    </row>
    <row r="185" spans="50:57" x14ac:dyDescent="0.25">
      <c r="AX185" s="2852"/>
      <c r="AY185" s="2852"/>
      <c r="BD185" s="2852"/>
      <c r="BE185" s="2852"/>
    </row>
    <row r="186" spans="50:57" x14ac:dyDescent="0.25">
      <c r="AX186" s="2852"/>
      <c r="AY186" s="2852"/>
      <c r="BD186" s="2852"/>
      <c r="BE186" s="2852"/>
    </row>
    <row r="187" spans="50:57" x14ac:dyDescent="0.25">
      <c r="AX187" s="2852"/>
      <c r="AY187" s="2852"/>
      <c r="BD187" s="2852"/>
      <c r="BE187" s="2852"/>
    </row>
    <row r="188" spans="50:57" x14ac:dyDescent="0.25">
      <c r="AX188" s="2852"/>
      <c r="AY188" s="2852"/>
      <c r="BD188" s="2852"/>
      <c r="BE188" s="2852"/>
    </row>
    <row r="189" spans="50:57" x14ac:dyDescent="0.25">
      <c r="AX189" s="2852"/>
      <c r="AY189" s="2852"/>
      <c r="BD189" s="2852"/>
      <c r="BE189" s="2852"/>
    </row>
    <row r="190" spans="50:57" x14ac:dyDescent="0.25">
      <c r="AX190" s="2852"/>
      <c r="AY190" s="2852"/>
      <c r="BD190" s="2852"/>
      <c r="BE190" s="2852"/>
    </row>
    <row r="191" spans="50:57" x14ac:dyDescent="0.25">
      <c r="AX191" s="2852"/>
      <c r="AY191" s="2852"/>
      <c r="BD191" s="2852"/>
      <c r="BE191" s="2852"/>
    </row>
    <row r="192" spans="50:57" x14ac:dyDescent="0.25">
      <c r="AX192" s="2852"/>
      <c r="AY192" s="2852"/>
      <c r="BD192" s="2852"/>
      <c r="BE192" s="2852"/>
    </row>
    <row r="193" spans="50:57" x14ac:dyDescent="0.25">
      <c r="AX193" s="2852"/>
      <c r="AY193" s="2852"/>
      <c r="BD193" s="2852"/>
      <c r="BE193" s="2852"/>
    </row>
    <row r="194" spans="50:57" x14ac:dyDescent="0.25">
      <c r="AX194" s="2852"/>
      <c r="AY194" s="2852"/>
      <c r="BD194" s="2852"/>
      <c r="BE194" s="2852"/>
    </row>
    <row r="195" spans="50:57" x14ac:dyDescent="0.25">
      <c r="AX195" s="2852"/>
      <c r="AY195" s="2852"/>
      <c r="BD195" s="2852"/>
      <c r="BE195" s="2852"/>
    </row>
    <row r="196" spans="50:57" x14ac:dyDescent="0.25">
      <c r="AX196" s="2852"/>
      <c r="AY196" s="2852"/>
      <c r="BD196" s="2852"/>
      <c r="BE196" s="2852"/>
    </row>
    <row r="197" spans="50:57" x14ac:dyDescent="0.25">
      <c r="AX197" s="2852"/>
      <c r="AY197" s="2852"/>
      <c r="BD197" s="2852"/>
      <c r="BE197" s="2852"/>
    </row>
    <row r="198" spans="50:57" x14ac:dyDescent="0.25">
      <c r="AX198" s="2852"/>
      <c r="AY198" s="2852"/>
      <c r="BD198" s="2852"/>
      <c r="BE198" s="2852"/>
    </row>
    <row r="199" spans="50:57" x14ac:dyDescent="0.25">
      <c r="AX199" s="2852"/>
      <c r="AY199" s="2852"/>
      <c r="BD199" s="2852"/>
      <c r="BE199" s="2852"/>
    </row>
    <row r="200" spans="50:57" x14ac:dyDescent="0.25">
      <c r="AX200" s="2852"/>
      <c r="AY200" s="2852"/>
      <c r="BD200" s="2852"/>
      <c r="BE200" s="2852"/>
    </row>
    <row r="201" spans="50:57" x14ac:dyDescent="0.25">
      <c r="AX201" s="2852"/>
      <c r="AY201" s="2852"/>
      <c r="BD201" s="2852"/>
      <c r="BE201" s="2852"/>
    </row>
    <row r="202" spans="50:57" x14ac:dyDescent="0.25">
      <c r="AX202" s="2852"/>
      <c r="AY202" s="2852"/>
      <c r="BD202" s="2852"/>
      <c r="BE202" s="2852"/>
    </row>
    <row r="203" spans="50:57" x14ac:dyDescent="0.25">
      <c r="AX203" s="2852"/>
      <c r="AY203" s="2852"/>
      <c r="BD203" s="2852"/>
      <c r="BE203" s="2852"/>
    </row>
    <row r="204" spans="50:57" x14ac:dyDescent="0.25">
      <c r="AX204" s="2852"/>
      <c r="AY204" s="2852"/>
      <c r="BD204" s="2852"/>
      <c r="BE204" s="2852"/>
    </row>
    <row r="205" spans="50:57" x14ac:dyDescent="0.25">
      <c r="AX205" s="2852"/>
      <c r="AY205" s="2852"/>
      <c r="BD205" s="2852"/>
      <c r="BE205" s="2852"/>
    </row>
    <row r="206" spans="50:57" x14ac:dyDescent="0.25">
      <c r="AX206" s="2852"/>
      <c r="AY206" s="2852"/>
      <c r="BD206" s="2852"/>
      <c r="BE206" s="2852"/>
    </row>
    <row r="207" spans="50:57" x14ac:dyDescent="0.25">
      <c r="AX207" s="2852"/>
      <c r="AY207" s="2852"/>
      <c r="BD207" s="2852"/>
      <c r="BE207" s="2852"/>
    </row>
    <row r="208" spans="50:57" x14ac:dyDescent="0.25">
      <c r="AX208" s="2852"/>
      <c r="AY208" s="2852"/>
      <c r="BD208" s="2852"/>
      <c r="BE208" s="2852"/>
    </row>
    <row r="209" spans="50:57" x14ac:dyDescent="0.25">
      <c r="AX209" s="2852"/>
      <c r="AY209" s="2852"/>
      <c r="BD209" s="2852"/>
      <c r="BE209" s="2852"/>
    </row>
    <row r="210" spans="50:57" x14ac:dyDescent="0.25">
      <c r="AX210" s="2852"/>
      <c r="AY210" s="2852"/>
      <c r="BD210" s="2852"/>
      <c r="BE210" s="2852"/>
    </row>
    <row r="211" spans="50:57" x14ac:dyDescent="0.25">
      <c r="AX211" s="2852"/>
      <c r="AY211" s="2852"/>
      <c r="BD211" s="2852"/>
      <c r="BE211" s="2852"/>
    </row>
    <row r="212" spans="50:57" x14ac:dyDescent="0.25">
      <c r="AX212" s="2852"/>
      <c r="AY212" s="2852"/>
      <c r="BD212" s="2852"/>
      <c r="BE212" s="2852"/>
    </row>
    <row r="213" spans="50:57" x14ac:dyDescent="0.25">
      <c r="AX213" s="2852"/>
      <c r="AY213" s="2852"/>
      <c r="BD213" s="2852"/>
      <c r="BE213" s="2852"/>
    </row>
    <row r="214" spans="50:57" x14ac:dyDescent="0.25">
      <c r="AX214" s="2852"/>
      <c r="AY214" s="2852"/>
      <c r="BD214" s="2852"/>
      <c r="BE214" s="2852"/>
    </row>
    <row r="215" spans="50:57" x14ac:dyDescent="0.25">
      <c r="AX215" s="2852"/>
      <c r="AY215" s="2852"/>
      <c r="BD215" s="2852"/>
      <c r="BE215" s="2852"/>
    </row>
    <row r="216" spans="50:57" x14ac:dyDescent="0.25">
      <c r="AX216" s="2852"/>
      <c r="AY216" s="2852"/>
      <c r="BD216" s="2852"/>
      <c r="BE216" s="2852"/>
    </row>
    <row r="217" spans="50:57" x14ac:dyDescent="0.25">
      <c r="AX217" s="2852"/>
      <c r="AY217" s="2852"/>
      <c r="BD217" s="2852"/>
      <c r="BE217" s="2852"/>
    </row>
    <row r="218" spans="50:57" x14ac:dyDescent="0.25">
      <c r="AX218" s="2852"/>
      <c r="AY218" s="2852"/>
      <c r="BD218" s="2852"/>
      <c r="BE218" s="2852"/>
    </row>
    <row r="219" spans="50:57" x14ac:dyDescent="0.25">
      <c r="AX219" s="2852"/>
      <c r="AY219" s="2852"/>
      <c r="BD219" s="2852"/>
      <c r="BE219" s="2852"/>
    </row>
    <row r="220" spans="50:57" x14ac:dyDescent="0.25">
      <c r="AX220" s="2852"/>
      <c r="AY220" s="2852"/>
      <c r="BD220" s="2852"/>
      <c r="BE220" s="2852"/>
    </row>
    <row r="221" spans="50:57" x14ac:dyDescent="0.25">
      <c r="AX221" s="2852"/>
      <c r="AY221" s="2852"/>
      <c r="BD221" s="2852"/>
      <c r="BE221" s="2852"/>
    </row>
    <row r="222" spans="50:57" x14ac:dyDescent="0.25">
      <c r="AX222" s="2852"/>
      <c r="AY222" s="2852"/>
      <c r="BD222" s="2852"/>
      <c r="BE222" s="2852"/>
    </row>
    <row r="223" spans="50:57" x14ac:dyDescent="0.25">
      <c r="AX223" s="2852"/>
      <c r="AY223" s="2852"/>
      <c r="BD223" s="2852"/>
      <c r="BE223" s="2852"/>
    </row>
    <row r="224" spans="50:57" x14ac:dyDescent="0.25">
      <c r="AX224" s="2852"/>
      <c r="AY224" s="2852"/>
      <c r="BD224" s="2852"/>
      <c r="BE224" s="2852"/>
    </row>
    <row r="225" spans="50:57" x14ac:dyDescent="0.25">
      <c r="AX225" s="2852"/>
      <c r="AY225" s="2852"/>
      <c r="BD225" s="2852"/>
      <c r="BE225" s="2852"/>
    </row>
    <row r="226" spans="50:57" x14ac:dyDescent="0.25">
      <c r="AX226" s="2852"/>
      <c r="AY226" s="2852"/>
      <c r="BD226" s="2852"/>
      <c r="BE226" s="2852"/>
    </row>
    <row r="227" spans="50:57" x14ac:dyDescent="0.25">
      <c r="AX227" s="2852"/>
      <c r="AY227" s="2852"/>
      <c r="BD227" s="2852"/>
      <c r="BE227" s="2852"/>
    </row>
    <row r="228" spans="50:57" x14ac:dyDescent="0.25">
      <c r="AX228" s="2852"/>
      <c r="AY228" s="2852"/>
      <c r="BD228" s="2852"/>
      <c r="BE228" s="2852"/>
    </row>
    <row r="229" spans="50:57" x14ac:dyDescent="0.25">
      <c r="AX229" s="2852"/>
      <c r="AY229" s="2852"/>
      <c r="BD229" s="2852"/>
      <c r="BE229" s="2852"/>
    </row>
    <row r="230" spans="50:57" x14ac:dyDescent="0.25">
      <c r="AX230" s="2852"/>
      <c r="AY230" s="2852"/>
      <c r="BD230" s="2852"/>
      <c r="BE230" s="2852"/>
    </row>
    <row r="231" spans="50:57" x14ac:dyDescent="0.25">
      <c r="AX231" s="2852"/>
      <c r="AY231" s="2852"/>
      <c r="BD231" s="2852"/>
      <c r="BE231" s="2852"/>
    </row>
    <row r="232" spans="50:57" x14ac:dyDescent="0.25">
      <c r="AX232" s="2852"/>
      <c r="AY232" s="2852"/>
      <c r="BD232" s="2852"/>
      <c r="BE232" s="2852"/>
    </row>
    <row r="233" spans="50:57" x14ac:dyDescent="0.25">
      <c r="AX233" s="2852"/>
      <c r="AY233" s="2852"/>
      <c r="BD233" s="2852"/>
      <c r="BE233" s="2852"/>
    </row>
    <row r="234" spans="50:57" x14ac:dyDescent="0.25">
      <c r="AX234" s="2852"/>
      <c r="AY234" s="2852"/>
      <c r="BD234" s="2852"/>
      <c r="BE234" s="2852"/>
    </row>
    <row r="235" spans="50:57" x14ac:dyDescent="0.25">
      <c r="AX235" s="2852"/>
      <c r="AY235" s="2852"/>
      <c r="BD235" s="2852"/>
      <c r="BE235" s="2852"/>
    </row>
    <row r="236" spans="50:57" x14ac:dyDescent="0.25">
      <c r="AX236" s="2852"/>
      <c r="AY236" s="2852"/>
      <c r="BD236" s="2852"/>
      <c r="BE236" s="2852"/>
    </row>
    <row r="237" spans="50:57" x14ac:dyDescent="0.25">
      <c r="AX237" s="2852"/>
      <c r="AY237" s="2852"/>
      <c r="BD237" s="2852"/>
      <c r="BE237" s="2852"/>
    </row>
    <row r="238" spans="50:57" x14ac:dyDescent="0.25">
      <c r="AX238" s="2852"/>
      <c r="AY238" s="2852"/>
      <c r="BD238" s="2852"/>
      <c r="BE238" s="2852"/>
    </row>
    <row r="239" spans="50:57" x14ac:dyDescent="0.25">
      <c r="AX239" s="2852"/>
      <c r="AY239" s="2852"/>
      <c r="BD239" s="2852"/>
      <c r="BE239" s="2852"/>
    </row>
    <row r="240" spans="50:57" x14ac:dyDescent="0.25">
      <c r="AX240" s="2852"/>
      <c r="AY240" s="2852"/>
      <c r="BD240" s="2852"/>
      <c r="BE240" s="2852"/>
    </row>
    <row r="241" spans="50:57" x14ac:dyDescent="0.25">
      <c r="AX241" s="2852"/>
      <c r="AY241" s="2852"/>
      <c r="BD241" s="2852"/>
      <c r="BE241" s="2852"/>
    </row>
    <row r="242" spans="50:57" x14ac:dyDescent="0.25">
      <c r="AX242" s="2852"/>
      <c r="AY242" s="2852"/>
      <c r="BD242" s="2852"/>
      <c r="BE242" s="2852"/>
    </row>
    <row r="243" spans="50:57" x14ac:dyDescent="0.25">
      <c r="AX243" s="2852"/>
      <c r="AY243" s="2852"/>
      <c r="BD243" s="2852"/>
      <c r="BE243" s="2852"/>
    </row>
    <row r="244" spans="50:57" x14ac:dyDescent="0.25">
      <c r="AX244" s="2852"/>
      <c r="AY244" s="2852"/>
      <c r="BD244" s="2852"/>
      <c r="BE244" s="2852"/>
    </row>
    <row r="245" spans="50:57" x14ac:dyDescent="0.25">
      <c r="AX245" s="2852"/>
      <c r="AY245" s="2852"/>
      <c r="BD245" s="2852"/>
      <c r="BE245" s="2852"/>
    </row>
    <row r="246" spans="50:57" x14ac:dyDescent="0.25">
      <c r="AX246" s="2852"/>
      <c r="AY246" s="2852"/>
      <c r="BD246" s="2852"/>
      <c r="BE246" s="2852"/>
    </row>
    <row r="247" spans="50:57" x14ac:dyDescent="0.25">
      <c r="AX247" s="2852"/>
      <c r="AY247" s="2852"/>
      <c r="BD247" s="2852"/>
      <c r="BE247" s="2852"/>
    </row>
    <row r="248" spans="50:57" x14ac:dyDescent="0.25">
      <c r="AX248" s="2852"/>
      <c r="AY248" s="2852"/>
      <c r="BD248" s="2852"/>
      <c r="BE248" s="2852"/>
    </row>
    <row r="249" spans="50:57" x14ac:dyDescent="0.25">
      <c r="AX249" s="2852"/>
      <c r="AY249" s="2852"/>
      <c r="BD249" s="2852"/>
      <c r="BE249" s="2852"/>
    </row>
    <row r="250" spans="50:57" x14ac:dyDescent="0.25">
      <c r="AX250" s="2852"/>
      <c r="AY250" s="2852"/>
      <c r="BD250" s="2852"/>
      <c r="BE250" s="2852"/>
    </row>
    <row r="251" spans="50:57" x14ac:dyDescent="0.25">
      <c r="AX251" s="2852"/>
      <c r="AY251" s="2852"/>
      <c r="BD251" s="2852"/>
      <c r="BE251" s="2852"/>
    </row>
    <row r="252" spans="50:57" x14ac:dyDescent="0.25">
      <c r="AX252" s="2852"/>
      <c r="AY252" s="2852"/>
      <c r="BD252" s="2852"/>
      <c r="BE252" s="2852"/>
    </row>
    <row r="253" spans="50:57" x14ac:dyDescent="0.25">
      <c r="AX253" s="2852"/>
      <c r="AY253" s="2852"/>
      <c r="BD253" s="2852"/>
      <c r="BE253" s="2852"/>
    </row>
    <row r="254" spans="50:57" x14ac:dyDescent="0.25">
      <c r="AX254" s="2852"/>
      <c r="AY254" s="2852"/>
      <c r="BD254" s="2852"/>
      <c r="BE254" s="2852"/>
    </row>
    <row r="255" spans="50:57" x14ac:dyDescent="0.25">
      <c r="AX255" s="2852"/>
      <c r="AY255" s="2852"/>
      <c r="BD255" s="2852"/>
      <c r="BE255" s="2852"/>
    </row>
    <row r="256" spans="50:57" x14ac:dyDescent="0.25">
      <c r="AX256" s="2852"/>
      <c r="AY256" s="2852"/>
      <c r="BD256" s="2852"/>
      <c r="BE256" s="2852"/>
    </row>
    <row r="257" spans="50:57" x14ac:dyDescent="0.25">
      <c r="AX257" s="2852"/>
      <c r="AY257" s="2852"/>
      <c r="BD257" s="2852"/>
      <c r="BE257" s="2852"/>
    </row>
    <row r="258" spans="50:57" x14ac:dyDescent="0.25">
      <c r="AX258" s="2852"/>
      <c r="AY258" s="2852"/>
      <c r="BD258" s="2852"/>
      <c r="BE258" s="2852"/>
    </row>
    <row r="259" spans="50:57" x14ac:dyDescent="0.25">
      <c r="AX259" s="2852"/>
      <c r="AY259" s="2852"/>
      <c r="BD259" s="2852"/>
      <c r="BE259" s="2852"/>
    </row>
    <row r="260" spans="50:57" x14ac:dyDescent="0.25">
      <c r="AX260" s="2852"/>
      <c r="AY260" s="2852"/>
      <c r="BD260" s="2852"/>
      <c r="BE260" s="2852"/>
    </row>
    <row r="261" spans="50:57" x14ac:dyDescent="0.25">
      <c r="AX261" s="2852"/>
      <c r="AY261" s="2852"/>
      <c r="BD261" s="2852"/>
      <c r="BE261" s="2852"/>
    </row>
    <row r="262" spans="50:57" x14ac:dyDescent="0.25">
      <c r="AX262" s="2852"/>
      <c r="AY262" s="2852"/>
      <c r="BD262" s="2852"/>
      <c r="BE262" s="2852"/>
    </row>
    <row r="263" spans="50:57" x14ac:dyDescent="0.25">
      <c r="AX263" s="2852"/>
      <c r="AY263" s="2852"/>
      <c r="BD263" s="2852"/>
      <c r="BE263" s="2852"/>
    </row>
    <row r="264" spans="50:57" x14ac:dyDescent="0.25">
      <c r="AX264" s="2852"/>
      <c r="AY264" s="2852"/>
      <c r="BD264" s="2852"/>
      <c r="BE264" s="2852"/>
    </row>
    <row r="265" spans="50:57" x14ac:dyDescent="0.25">
      <c r="AX265" s="2852"/>
      <c r="AY265" s="2852"/>
      <c r="BD265" s="2852"/>
      <c r="BE265" s="2852"/>
    </row>
    <row r="266" spans="50:57" x14ac:dyDescent="0.25">
      <c r="AX266" s="2852"/>
      <c r="AY266" s="2852"/>
      <c r="BD266" s="2852"/>
      <c r="BE266" s="2852"/>
    </row>
    <row r="267" spans="50:57" x14ac:dyDescent="0.25">
      <c r="AX267" s="2852"/>
      <c r="AY267" s="2852"/>
      <c r="BD267" s="2852"/>
      <c r="BE267" s="2852"/>
    </row>
  </sheetData>
  <mergeCells count="79">
    <mergeCell ref="AZ63:AZ82"/>
    <mergeCell ref="BB4:BC4"/>
    <mergeCell ref="BB8:BB13"/>
    <mergeCell ref="BB63:BB82"/>
    <mergeCell ref="H8:H13"/>
    <mergeCell ref="AX4:AY4"/>
    <mergeCell ref="J4:K4"/>
    <mergeCell ref="N4:O4"/>
    <mergeCell ref="AD63:AD82"/>
    <mergeCell ref="AB4:AC4"/>
    <mergeCell ref="AD4:AE4"/>
    <mergeCell ref="AB8:AB13"/>
    <mergeCell ref="AD8:AD13"/>
    <mergeCell ref="Z63:Z82"/>
    <mergeCell ref="X4:Y4"/>
    <mergeCell ref="X8:X13"/>
    <mergeCell ref="BD4:BE4"/>
    <mergeCell ref="AX8:AX13"/>
    <mergeCell ref="BD8:BD13"/>
    <mergeCell ref="AR63:AR82"/>
    <mergeCell ref="AP4:AQ4"/>
    <mergeCell ref="AR4:AS4"/>
    <mergeCell ref="AP8:AP13"/>
    <mergeCell ref="AR8:AR13"/>
    <mergeCell ref="AV63:AV82"/>
    <mergeCell ref="AT4:AU4"/>
    <mergeCell ref="AV4:AW4"/>
    <mergeCell ref="AT8:AT13"/>
    <mergeCell ref="AV8:AV13"/>
    <mergeCell ref="BD63:BD82"/>
    <mergeCell ref="AZ4:BA4"/>
    <mergeCell ref="AZ8:AZ13"/>
    <mergeCell ref="B29:B30"/>
    <mergeCell ref="B8:B9"/>
    <mergeCell ref="B10:B11"/>
    <mergeCell ref="B12:B13"/>
    <mergeCell ref="B16:B17"/>
    <mergeCell ref="B14:B15"/>
    <mergeCell ref="P4:Q4"/>
    <mergeCell ref="B20:B21"/>
    <mergeCell ref="B18:B19"/>
    <mergeCell ref="F8:F13"/>
    <mergeCell ref="D8:D13"/>
    <mergeCell ref="B4:B5"/>
    <mergeCell ref="L4:M4"/>
    <mergeCell ref="T63:T82"/>
    <mergeCell ref="H63:H82"/>
    <mergeCell ref="C4:C5"/>
    <mergeCell ref="D4:E4"/>
    <mergeCell ref="F4:G4"/>
    <mergeCell ref="L63:L82"/>
    <mergeCell ref="P63:P82"/>
    <mergeCell ref="T4:U4"/>
    <mergeCell ref="P8:P13"/>
    <mergeCell ref="R8:R13"/>
    <mergeCell ref="T8:T13"/>
    <mergeCell ref="N8:N13"/>
    <mergeCell ref="J8:J13"/>
    <mergeCell ref="L8:L13"/>
    <mergeCell ref="H4:I4"/>
    <mergeCell ref="R4:S4"/>
    <mergeCell ref="V8:V13"/>
    <mergeCell ref="Z8:Z13"/>
    <mergeCell ref="AH63:AH82"/>
    <mergeCell ref="AF4:AG4"/>
    <mergeCell ref="AH4:AI4"/>
    <mergeCell ref="AF8:AF13"/>
    <mergeCell ref="AH8:AH13"/>
    <mergeCell ref="X63:X82"/>
    <mergeCell ref="V4:W4"/>
    <mergeCell ref="Z4:AA4"/>
    <mergeCell ref="AN63:AN82"/>
    <mergeCell ref="AJ4:AK4"/>
    <mergeCell ref="AN4:AO4"/>
    <mergeCell ref="AJ8:AJ13"/>
    <mergeCell ref="AN8:AN13"/>
    <mergeCell ref="AL4:AM4"/>
    <mergeCell ref="AL8:AL13"/>
    <mergeCell ref="AL63:AL82"/>
  </mergeCells>
  <pageMargins left="1.2" right="0.7" top="0.25" bottom="0.25" header="0.3" footer="0.3"/>
  <pageSetup scale="3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Q43"/>
  <sheetViews>
    <sheetView zoomScaleNormal="100" workbookViewId="0">
      <pane xSplit="3" topLeftCell="D1" activePane="topRight" state="frozen"/>
      <selection activeCell="S123" sqref="S123"/>
      <selection pane="topRight" activeCell="BF41" sqref="BF41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4" customWidth="1"/>
    <col min="5" max="5" width="11.28515625" style="90" customWidth="1"/>
    <col min="6" max="6" width="8.7109375" style="84" hidden="1" customWidth="1"/>
    <col min="7" max="7" width="10.42578125" style="90" hidden="1" customWidth="1"/>
    <col min="8" max="8" width="7.7109375" style="84" hidden="1" customWidth="1"/>
    <col min="9" max="9" width="10.140625" style="90" hidden="1" customWidth="1"/>
    <col min="10" max="10" width="10.7109375" style="84" hidden="1" customWidth="1"/>
    <col min="11" max="11" width="10.7109375" style="90" hidden="1" customWidth="1"/>
    <col min="12" max="12" width="10.7109375" style="84" hidden="1" customWidth="1"/>
    <col min="13" max="13" width="10.7109375" style="90" hidden="1" customWidth="1"/>
    <col min="14" max="14" width="7.85546875" style="84" hidden="1" customWidth="1"/>
    <col min="15" max="15" width="7.85546875" style="90" hidden="1" customWidth="1"/>
    <col min="16" max="16" width="7.85546875" style="84" hidden="1" customWidth="1"/>
    <col min="17" max="17" width="10.140625" style="90" hidden="1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556" hidden="1" customWidth="1"/>
    <col min="39" max="39" width="13.140625" style="2556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2866" hidden="1" customWidth="1"/>
    <col min="53" max="53" width="13.140625" style="2866" hidden="1" customWidth="1"/>
    <col min="54" max="54" width="8.85546875" style="2866" hidden="1" customWidth="1"/>
    <col min="55" max="55" width="13.140625" style="2866" hidden="1" customWidth="1"/>
    <col min="56" max="56" width="8.85546875" hidden="1" customWidth="1"/>
    <col min="57" max="57" width="14.28515625" hidden="1" customWidth="1"/>
    <col min="58" max="61" width="8.85546875" style="4487" customWidth="1"/>
    <col min="62" max="84" width="8.85546875" style="4487"/>
  </cols>
  <sheetData>
    <row r="1" spans="2:95" ht="15.75" x14ac:dyDescent="0.25">
      <c r="B1" s="757" t="s">
        <v>369</v>
      </c>
      <c r="C1" s="751"/>
      <c r="D1" s="751"/>
      <c r="E1" s="751"/>
      <c r="F1" s="751"/>
      <c r="G1" s="751"/>
      <c r="H1" s="751"/>
      <c r="I1" s="751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</row>
    <row r="2" spans="2:95" s="90" customFormat="1" ht="16.5" thickBot="1" x14ac:dyDescent="0.3">
      <c r="B2" s="1071"/>
      <c r="C2" s="1071"/>
      <c r="D2" s="1071"/>
      <c r="E2" s="1071"/>
      <c r="F2" s="1071"/>
      <c r="G2" s="1071"/>
      <c r="H2" s="1071"/>
      <c r="I2" s="1071"/>
      <c r="J2" s="1072"/>
      <c r="K2" s="1072"/>
      <c r="L2" s="1072"/>
      <c r="M2" s="1072"/>
      <c r="N2" s="1072"/>
      <c r="O2" s="1072"/>
      <c r="P2" s="1072"/>
      <c r="Q2" s="1072"/>
      <c r="R2" s="1072"/>
      <c r="S2" s="1072"/>
      <c r="T2" s="1072"/>
      <c r="U2" s="1072"/>
      <c r="V2" s="1072"/>
      <c r="W2" s="1072"/>
      <c r="X2" s="1072"/>
      <c r="Y2" s="1072"/>
      <c r="Z2" s="1072"/>
      <c r="AA2" s="1072"/>
      <c r="BF2" s="4487"/>
      <c r="BG2" s="4487"/>
      <c r="BH2" s="4487"/>
      <c r="BI2" s="4487"/>
      <c r="BJ2" s="4487"/>
      <c r="BK2" s="4487"/>
      <c r="BL2" s="4487"/>
      <c r="BM2" s="4487"/>
      <c r="BN2" s="4487"/>
      <c r="BO2" s="4487"/>
      <c r="BP2" s="4487"/>
      <c r="BQ2" s="4487"/>
      <c r="BR2" s="4487"/>
      <c r="BS2" s="4487"/>
      <c r="BT2" s="4487"/>
      <c r="BU2" s="4487"/>
      <c r="BV2" s="4487"/>
      <c r="BW2" s="4487"/>
      <c r="BX2" s="4487"/>
      <c r="BY2" s="4487"/>
      <c r="BZ2" s="4487"/>
      <c r="CA2" s="4487"/>
      <c r="CB2" s="4487"/>
      <c r="CC2" s="4487"/>
      <c r="CD2" s="4487"/>
      <c r="CE2" s="4487"/>
      <c r="CF2" s="4487"/>
    </row>
    <row r="3" spans="2:95" s="789" customFormat="1" ht="15.75" x14ac:dyDescent="0.25">
      <c r="B3" s="8239" t="s">
        <v>171</v>
      </c>
      <c r="C3" s="8241" t="s">
        <v>172</v>
      </c>
      <c r="D3" s="8121" t="s">
        <v>2319</v>
      </c>
      <c r="E3" s="8128"/>
      <c r="F3" s="8128" t="s">
        <v>1956</v>
      </c>
      <c r="G3" s="8128"/>
      <c r="H3" s="8233" t="s">
        <v>14</v>
      </c>
      <c r="I3" s="8233"/>
      <c r="J3" s="8128" t="s">
        <v>1986</v>
      </c>
      <c r="K3" s="8128"/>
      <c r="L3" s="8123" t="s">
        <v>607</v>
      </c>
      <c r="M3" s="8123"/>
      <c r="N3" s="8128" t="s">
        <v>2008</v>
      </c>
      <c r="O3" s="8128"/>
      <c r="P3" s="8236" t="s">
        <v>17</v>
      </c>
      <c r="Q3" s="8236"/>
      <c r="R3" s="8128" t="s">
        <v>2011</v>
      </c>
      <c r="S3" s="8128"/>
      <c r="T3" s="8236" t="s">
        <v>18</v>
      </c>
      <c r="U3" s="8236"/>
      <c r="V3" s="8128" t="s">
        <v>2042</v>
      </c>
      <c r="W3" s="8128"/>
      <c r="X3" s="8123" t="s">
        <v>629</v>
      </c>
      <c r="Y3" s="8123"/>
      <c r="Z3" s="8124" t="s">
        <v>626</v>
      </c>
      <c r="AA3" s="8124"/>
      <c r="AB3" s="8128" t="s">
        <v>2067</v>
      </c>
      <c r="AC3" s="8128"/>
      <c r="AD3" s="8236" t="s">
        <v>24</v>
      </c>
      <c r="AE3" s="8236"/>
      <c r="AF3" s="8128" t="s">
        <v>2170</v>
      </c>
      <c r="AG3" s="8128"/>
      <c r="AH3" s="8233" t="s">
        <v>27</v>
      </c>
      <c r="AI3" s="8126"/>
      <c r="AJ3" s="8243" t="s">
        <v>2194</v>
      </c>
      <c r="AK3" s="8244"/>
      <c r="AL3" s="8246" t="s">
        <v>631</v>
      </c>
      <c r="AM3" s="8246"/>
      <c r="AN3" s="8245" t="s">
        <v>1575</v>
      </c>
      <c r="AO3" s="8245"/>
      <c r="AP3" s="8244" t="s">
        <v>2206</v>
      </c>
      <c r="AQ3" s="8244"/>
      <c r="AR3" s="8245" t="s">
        <v>28</v>
      </c>
      <c r="AS3" s="8245"/>
      <c r="AT3" s="8244" t="s">
        <v>2243</v>
      </c>
      <c r="AU3" s="8244"/>
      <c r="AV3" s="8248" t="s">
        <v>30</v>
      </c>
      <c r="AW3" s="8248"/>
      <c r="AX3" s="8244" t="s">
        <v>2261</v>
      </c>
      <c r="AY3" s="8244"/>
      <c r="AZ3" s="8246" t="s">
        <v>632</v>
      </c>
      <c r="BA3" s="8246"/>
      <c r="BB3" s="8249" t="s">
        <v>638</v>
      </c>
      <c r="BC3" s="8249"/>
      <c r="BD3" s="8248" t="s">
        <v>1984</v>
      </c>
      <c r="BE3" s="8248"/>
      <c r="BF3" s="4487"/>
      <c r="BG3" s="4487"/>
      <c r="BH3" s="4487"/>
      <c r="BI3" s="4487"/>
      <c r="BJ3" s="4487"/>
      <c r="BK3" s="4487"/>
      <c r="BL3" s="4487"/>
      <c r="BM3" s="4487"/>
      <c r="BN3" s="4487"/>
      <c r="BO3" s="4487"/>
      <c r="BP3" s="4487"/>
      <c r="BQ3" s="4487"/>
      <c r="BR3" s="4487"/>
      <c r="BS3" s="4487"/>
      <c r="BT3" s="4487"/>
      <c r="BU3" s="4487"/>
      <c r="BV3" s="4487"/>
      <c r="BW3" s="4487"/>
      <c r="BX3" s="4487"/>
      <c r="BY3" s="4487"/>
      <c r="BZ3" s="4487"/>
      <c r="CA3" s="4487"/>
      <c r="CB3" s="4487"/>
      <c r="CC3" s="4487"/>
      <c r="CD3" s="4487"/>
      <c r="CE3" s="4487"/>
      <c r="CF3" s="4487"/>
    </row>
    <row r="4" spans="2:95" s="90" customFormat="1" ht="16.5" thickBot="1" x14ac:dyDescent="0.3">
      <c r="B4" s="8240"/>
      <c r="C4" s="8242"/>
      <c r="D4" s="4662" t="s">
        <v>173</v>
      </c>
      <c r="E4" s="4663" t="s">
        <v>174</v>
      </c>
      <c r="F4" s="4663" t="s">
        <v>173</v>
      </c>
      <c r="G4" s="4663" t="s">
        <v>174</v>
      </c>
      <c r="H4" s="4664" t="s">
        <v>173</v>
      </c>
      <c r="I4" s="4664" t="s">
        <v>174</v>
      </c>
      <c r="J4" s="4663" t="s">
        <v>173</v>
      </c>
      <c r="K4" s="4663" t="s">
        <v>174</v>
      </c>
      <c r="L4" s="4665" t="s">
        <v>173</v>
      </c>
      <c r="M4" s="4665" t="s">
        <v>174</v>
      </c>
      <c r="N4" s="4663" t="s">
        <v>173</v>
      </c>
      <c r="O4" s="4663" t="s">
        <v>174</v>
      </c>
      <c r="P4" s="4666" t="s">
        <v>173</v>
      </c>
      <c r="Q4" s="4666" t="s">
        <v>174</v>
      </c>
      <c r="R4" s="4663" t="s">
        <v>173</v>
      </c>
      <c r="S4" s="4663" t="s">
        <v>174</v>
      </c>
      <c r="T4" s="4666" t="s">
        <v>173</v>
      </c>
      <c r="U4" s="4666" t="s">
        <v>174</v>
      </c>
      <c r="V4" s="4663" t="s">
        <v>173</v>
      </c>
      <c r="W4" s="4663" t="s">
        <v>174</v>
      </c>
      <c r="X4" s="4665" t="s">
        <v>173</v>
      </c>
      <c r="Y4" s="4665" t="s">
        <v>174</v>
      </c>
      <c r="Z4" s="4667" t="s">
        <v>173</v>
      </c>
      <c r="AA4" s="4667" t="s">
        <v>174</v>
      </c>
      <c r="AB4" s="4663" t="s">
        <v>173</v>
      </c>
      <c r="AC4" s="4663" t="s">
        <v>174</v>
      </c>
      <c r="AD4" s="4666" t="s">
        <v>173</v>
      </c>
      <c r="AE4" s="4666" t="s">
        <v>174</v>
      </c>
      <c r="AF4" s="4663" t="s">
        <v>173</v>
      </c>
      <c r="AG4" s="4663" t="s">
        <v>174</v>
      </c>
      <c r="AH4" s="4664" t="s">
        <v>173</v>
      </c>
      <c r="AI4" s="1099" t="s">
        <v>174</v>
      </c>
      <c r="AJ4" s="4661" t="s">
        <v>173</v>
      </c>
      <c r="AK4" s="2979" t="s">
        <v>174</v>
      </c>
      <c r="AL4" s="2980" t="s">
        <v>173</v>
      </c>
      <c r="AM4" s="2980" t="s">
        <v>174</v>
      </c>
      <c r="AN4" s="2981" t="s">
        <v>173</v>
      </c>
      <c r="AO4" s="2981" t="s">
        <v>174</v>
      </c>
      <c r="AP4" s="2979" t="s">
        <v>173</v>
      </c>
      <c r="AQ4" s="2979" t="s">
        <v>174</v>
      </c>
      <c r="AR4" s="2981" t="s">
        <v>173</v>
      </c>
      <c r="AS4" s="2981" t="s">
        <v>174</v>
      </c>
      <c r="AT4" s="2979" t="s">
        <v>173</v>
      </c>
      <c r="AU4" s="2979" t="s">
        <v>174</v>
      </c>
      <c r="AV4" s="5240" t="s">
        <v>173</v>
      </c>
      <c r="AW4" s="5240" t="s">
        <v>174</v>
      </c>
      <c r="AX4" s="3410" t="s">
        <v>173</v>
      </c>
      <c r="AY4" s="3410" t="s">
        <v>174</v>
      </c>
      <c r="AZ4" s="2980" t="s">
        <v>173</v>
      </c>
      <c r="BA4" s="2980" t="s">
        <v>174</v>
      </c>
      <c r="BB4" s="2982" t="s">
        <v>173</v>
      </c>
      <c r="BC4" s="2982" t="s">
        <v>174</v>
      </c>
      <c r="BD4" s="5240" t="s">
        <v>173</v>
      </c>
      <c r="BE4" s="5240" t="s">
        <v>174</v>
      </c>
      <c r="BF4" s="4487"/>
      <c r="BG4" s="4487"/>
      <c r="BH4" s="4487"/>
      <c r="BI4" s="4487"/>
      <c r="BJ4" s="4487"/>
      <c r="BK4" s="4487"/>
      <c r="BL4" s="4487"/>
      <c r="BM4" s="4487"/>
      <c r="BN4" s="4487"/>
      <c r="BO4" s="4487"/>
      <c r="BP4" s="4487"/>
      <c r="BQ4" s="4487"/>
      <c r="BR4" s="4487"/>
      <c r="BS4" s="4487"/>
      <c r="BT4" s="4487"/>
      <c r="BU4" s="4487"/>
      <c r="BV4" s="4487"/>
      <c r="BW4" s="4487"/>
      <c r="BX4" s="4487"/>
      <c r="BY4" s="4487"/>
      <c r="BZ4" s="4487"/>
      <c r="CA4" s="4487"/>
      <c r="CB4" s="4487"/>
      <c r="CC4" s="4487"/>
      <c r="CD4" s="4487"/>
      <c r="CE4" s="4487"/>
      <c r="CF4" s="4487"/>
    </row>
    <row r="5" spans="2:95" ht="15.75" x14ac:dyDescent="0.25">
      <c r="B5" s="1595" t="s">
        <v>402</v>
      </c>
      <c r="C5" s="4657" t="s">
        <v>1117</v>
      </c>
      <c r="D5" s="7450">
        <f>+'Maj Techno Summ'!E27</f>
        <v>2.8000000000000003</v>
      </c>
      <c r="E5" s="7451">
        <f>+'Maj Techno Summ'!F27</f>
        <v>2.82</v>
      </c>
      <c r="F5" s="7450">
        <f>+'Maj Techno Summ'!G27</f>
        <v>2.8000000000000003</v>
      </c>
      <c r="G5" s="7451">
        <f>+'Maj Techno Summ'!H27</f>
        <v>2.97</v>
      </c>
      <c r="H5" s="4668">
        <f>+'Maj Techno Summ'!I27</f>
        <v>2.8000000000000003</v>
      </c>
      <c r="I5" s="4668">
        <f>+'Maj Techno Summ'!J27</f>
        <v>2.8971873858358128</v>
      </c>
      <c r="J5" s="7450">
        <f>+'Maj Techno Summ'!K27</f>
        <v>2.8000000000000003</v>
      </c>
      <c r="K5" s="7451">
        <f>+'Maj Techno Summ'!L27</f>
        <v>2.96</v>
      </c>
      <c r="L5" s="4669">
        <f>+'Maj Techno Summ'!M27</f>
        <v>2.8000000000000003</v>
      </c>
      <c r="M5" s="4669">
        <f>+'Maj Techno Summ'!N27</f>
        <v>2.9189299561932955</v>
      </c>
      <c r="N5" s="7450">
        <f>+'Maj Techno Summ'!O27</f>
        <v>2.8000000000000003</v>
      </c>
      <c r="O5" s="7451">
        <f>+'Maj Techno Summ'!P27</f>
        <v>2.9</v>
      </c>
      <c r="P5" s="4668">
        <f>+'Maj Techno Summ'!Q27</f>
        <v>2.8000000000000003</v>
      </c>
      <c r="Q5" s="4668">
        <f>+'Maj Techno Summ'!R27</f>
        <v>2.9139122802067754</v>
      </c>
      <c r="R5" s="7450">
        <f>+'Maj Techno Summ'!S27</f>
        <v>2.8000000000000003</v>
      </c>
      <c r="S5" s="7451">
        <f>+'Maj Techno Summ'!T27</f>
        <v>2.9</v>
      </c>
      <c r="T5" s="4668">
        <f>+'Maj Techno Summ'!U27</f>
        <v>2.8000000000000003</v>
      </c>
      <c r="U5" s="4668">
        <f>+'Maj Techno Summ'!V27</f>
        <v>2.9111449429558487</v>
      </c>
      <c r="V5" s="7450">
        <f>+'Maj Techno Summ'!W27</f>
        <v>2.8000000000000003</v>
      </c>
      <c r="W5" s="7451">
        <f>+'Maj Techno Summ'!X27</f>
        <v>2.9049999999999998</v>
      </c>
      <c r="X5" s="4669">
        <f>+'Maj Techno Summ'!Y27</f>
        <v>2.8000000000000003</v>
      </c>
      <c r="Y5" s="4669">
        <f>+'Maj Techno Summ'!Z27</f>
        <v>2.9015794263163683</v>
      </c>
      <c r="Z5" s="4670">
        <f>+'Maj Techno Summ'!AA27</f>
        <v>2.8000000000000003</v>
      </c>
      <c r="AA5" s="4670">
        <f>+'Maj Techno Summ'!AB27</f>
        <v>2.9101642796641172</v>
      </c>
      <c r="AB5" s="7450">
        <f>+'Maj Techno Summ'!AC27</f>
        <v>2.8000000000000003</v>
      </c>
      <c r="AC5" s="7451">
        <f>+'Maj Techno Summ'!AD27</f>
        <v>2.94</v>
      </c>
      <c r="AD5" s="4668">
        <f>+'Maj Techno Summ'!AE27</f>
        <v>2.8000000000000003</v>
      </c>
      <c r="AE5" s="4668">
        <f>+'Maj Techno Summ'!AF27</f>
        <v>2.9135045440943017</v>
      </c>
      <c r="AF5" s="7450">
        <f>+'Maj Techno Summ'!AG27</f>
        <v>2.8000000000000003</v>
      </c>
      <c r="AG5" s="7451">
        <f>+'Maj Techno Summ'!AH27</f>
        <v>2.86</v>
      </c>
      <c r="AH5" s="4668">
        <f>+'Maj Techno Summ'!AI27</f>
        <v>2.8000000000000003</v>
      </c>
      <c r="AI5" s="4671">
        <f>+'Maj Techno Summ'!AJ27</f>
        <v>2.9067950431412486</v>
      </c>
      <c r="AJ5" s="7450">
        <f>+'Maj Techno Summ'!AK27</f>
        <v>2.8000000000000003</v>
      </c>
      <c r="AK5" s="7451">
        <f>+'Maj Techno Summ'!AL27</f>
        <v>2.87</v>
      </c>
      <c r="AL5" s="2963">
        <f>+'Maj Techno Summ'!AM27</f>
        <v>2.8000000000000003</v>
      </c>
      <c r="AM5" s="2963">
        <f>+'Maj Techno Summ'!AN27</f>
        <v>2.8859377390882455</v>
      </c>
      <c r="AN5" s="2962">
        <f>+'Maj Techno Summ'!AO27</f>
        <v>2.8000000000000003</v>
      </c>
      <c r="AO5" s="2962">
        <f>+'Maj Techno Summ'!AP27</f>
        <v>2.9026180494605027</v>
      </c>
      <c r="AP5" s="7450">
        <f>+'Maj Techno Summ'!AQ27</f>
        <v>2.85</v>
      </c>
      <c r="AQ5" s="7451">
        <f>+'Maj Techno Summ'!AR27</f>
        <v>2.88</v>
      </c>
      <c r="AR5" s="2962">
        <f>+'Maj Techno Summ'!AS27</f>
        <v>2.8000000000000003</v>
      </c>
      <c r="AS5" s="2962">
        <f>+'Maj Techno Summ'!AT27</f>
        <v>2.900368175269338</v>
      </c>
      <c r="AT5" s="7450">
        <f>+'Maj Techno Summ'!AU27</f>
        <v>2.85</v>
      </c>
      <c r="AU5" s="7451">
        <f>+'Maj Techno Summ'!AV27</f>
        <v>2.86</v>
      </c>
      <c r="AV5" s="2962">
        <f>+'Maj Techno Summ'!AW27</f>
        <v>2.8000000000000003</v>
      </c>
      <c r="AW5" s="2962">
        <f>+'Maj Techno Summ'!AX27</f>
        <v>2.8973536363522614</v>
      </c>
      <c r="AX5" s="7450">
        <f>+'Maj Techno Summ'!AY27</f>
        <v>2.85</v>
      </c>
      <c r="AY5" s="7451">
        <f>+'Maj Techno Summ'!AZ27</f>
        <v>2.87</v>
      </c>
      <c r="AZ5" s="2963">
        <f>+'Maj Techno Summ'!BA27</f>
        <v>2.8000000000000003</v>
      </c>
      <c r="BA5" s="2963">
        <f>+'Maj Techno Summ'!BB27</f>
        <v>2.8706576616643975</v>
      </c>
      <c r="BB5" s="2964">
        <f>+'Maj Techno Summ'!BC27</f>
        <v>2.8000000000000003</v>
      </c>
      <c r="BC5" s="2964">
        <f>+'Maj Techno Summ'!BD27</f>
        <v>2.8782315390123565</v>
      </c>
      <c r="BD5" s="2962">
        <f>+'Maj Techno Summ'!BE27</f>
        <v>2.8000000000000003</v>
      </c>
      <c r="BE5" s="2962">
        <f>+'Maj Techno Summ'!BF27</f>
        <v>2.8949265563467077</v>
      </c>
    </row>
    <row r="6" spans="2:95" ht="15.75" x14ac:dyDescent="0.25">
      <c r="B6" s="1596" t="s">
        <v>366</v>
      </c>
      <c r="C6" s="4658" t="s">
        <v>1118</v>
      </c>
      <c r="D6" s="7452">
        <f>+'Maj Techno Summ'!E28</f>
        <v>2.5099999999999998</v>
      </c>
      <c r="E6" s="7451">
        <f>+'Maj Techno Summ'!F28</f>
        <v>2.68</v>
      </c>
      <c r="F6" s="7452">
        <f>+'Maj Techno Summ'!G28</f>
        <v>2.5099999999999998</v>
      </c>
      <c r="G6" s="7453">
        <f>+'Maj Techno Summ'!H28</f>
        <v>2.3199999999999998</v>
      </c>
      <c r="H6" s="4668">
        <f>+'Maj Techno Summ'!I28</f>
        <v>2.5099999999999998</v>
      </c>
      <c r="I6" s="4668">
        <f>+'Maj Techno Summ'!J28</f>
        <v>2.4947502739940499</v>
      </c>
      <c r="J6" s="7452">
        <f>+'Maj Techno Summ'!K28</f>
        <v>2.5099999999999998</v>
      </c>
      <c r="K6" s="7453">
        <f>+'Maj Techno Summ'!L28</f>
        <v>2.34</v>
      </c>
      <c r="L6" s="4669">
        <f>+'Maj Techno Summ'!M28</f>
        <v>2.5099999999999998</v>
      </c>
      <c r="M6" s="4669">
        <f>+'Maj Techno Summ'!N28</f>
        <v>2.4411835061572518</v>
      </c>
      <c r="N6" s="7452">
        <f>+'Maj Techno Summ'!O28</f>
        <v>2.5099999999999998</v>
      </c>
      <c r="O6" s="7453">
        <f>+'Maj Techno Summ'!P28</f>
        <v>2.35</v>
      </c>
      <c r="P6" s="4668">
        <f>+'Maj Techno Summ'!Q28</f>
        <v>2.5099999999999998</v>
      </c>
      <c r="Q6" s="4668">
        <f>+'Maj Techno Summ'!R28</f>
        <v>2.4170139156658612</v>
      </c>
      <c r="R6" s="7452">
        <f>+'Maj Techno Summ'!S28</f>
        <v>2.5099999999999998</v>
      </c>
      <c r="S6" s="7453">
        <f>+'Maj Techno Summ'!T28</f>
        <v>2.4</v>
      </c>
      <c r="T6" s="4668">
        <f>+'Maj Techno Summ'!U28</f>
        <v>2.5099999999999998</v>
      </c>
      <c r="U6" s="4668">
        <f>+'Maj Techno Summ'!V28</f>
        <v>2.4136296219407147</v>
      </c>
      <c r="V6" s="7452">
        <f>+'Maj Techno Summ'!W28</f>
        <v>2.5099999999999998</v>
      </c>
      <c r="W6" s="7453">
        <f>+'Maj Techno Summ'!X28</f>
        <v>2.4500000000000002</v>
      </c>
      <c r="X6" s="4669">
        <f>+'Maj Techno Summ'!Y28</f>
        <v>2.5099999999999998</v>
      </c>
      <c r="Y6" s="4669">
        <f>+'Maj Techno Summ'!Z28</f>
        <v>2.3981330008034742</v>
      </c>
      <c r="Z6" s="4670">
        <f>+'Maj Techno Summ'!AA28</f>
        <v>2.5099999999999998</v>
      </c>
      <c r="AA6" s="4670">
        <f>+'Maj Techno Summ'!AB28</f>
        <v>2.4294339223102073</v>
      </c>
      <c r="AB6" s="7452">
        <f>+'Maj Techno Summ'!AC28</f>
        <v>2.5099999999999998</v>
      </c>
      <c r="AC6" s="7451">
        <f>+'Maj Techno Summ'!AD28</f>
        <v>2.78</v>
      </c>
      <c r="AD6" s="4668">
        <f>+'Maj Techno Summ'!AE28</f>
        <v>2.5099999999999998</v>
      </c>
      <c r="AE6" s="4668">
        <f>+'Maj Techno Summ'!AF28</f>
        <v>2.4686816222669674</v>
      </c>
      <c r="AF6" s="7452">
        <f>+'Maj Techno Summ'!AG28</f>
        <v>2.5099999999999998</v>
      </c>
      <c r="AG6" s="7451">
        <f>+'Maj Techno Summ'!AH28</f>
        <v>2.41</v>
      </c>
      <c r="AH6" s="4668">
        <f>+'Maj Techno Summ'!AI28</f>
        <v>2.5099999999999998</v>
      </c>
      <c r="AI6" s="4671">
        <f>+'Maj Techno Summ'!AJ28</f>
        <v>2.451322912699553</v>
      </c>
      <c r="AJ6" s="7452">
        <f>+'Maj Techno Summ'!AK28</f>
        <v>2.5099999999999998</v>
      </c>
      <c r="AK6" s="7451">
        <f>+'Maj Techno Summ'!AL28</f>
        <v>2.4</v>
      </c>
      <c r="AL6" s="2963">
        <f>+'Maj Techno Summ'!AM28</f>
        <v>2.5099999999999998</v>
      </c>
      <c r="AM6" s="2966">
        <f>+'Maj Techno Summ'!AN28</f>
        <v>2.5094618298531417</v>
      </c>
      <c r="AN6" s="2962">
        <f>+'Maj Techno Summ'!AO28</f>
        <v>2.5099999999999998</v>
      </c>
      <c r="AO6" s="2962">
        <f>+'Maj Techno Summ'!AP28</f>
        <v>2.4454967072185441</v>
      </c>
      <c r="AP6" s="7452">
        <f>+'Maj Techno Summ'!AQ28</f>
        <v>2.5099999999999998</v>
      </c>
      <c r="AQ6" s="7451">
        <f>+'Maj Techno Summ'!AR28</f>
        <v>2.4</v>
      </c>
      <c r="AR6" s="2962">
        <f>+'Maj Techno Summ'!AS28</f>
        <v>2.5099999999999998</v>
      </c>
      <c r="AS6" s="2962">
        <f>+'Maj Techno Summ'!AT28</f>
        <v>2.4409710354742704</v>
      </c>
      <c r="AT6" s="7452">
        <f>+'Maj Techno Summ'!AU28</f>
        <v>2.5099999999999998</v>
      </c>
      <c r="AU6" s="7451">
        <f>+'Maj Techno Summ'!AV28</f>
        <v>2.48</v>
      </c>
      <c r="AV6" s="2962">
        <f>+'Maj Techno Summ'!AW28</f>
        <v>2.5099999999999998</v>
      </c>
      <c r="AW6" s="2967">
        <f>+'Maj Techno Summ'!AX28</f>
        <v>2.4438855673219702</v>
      </c>
      <c r="AX6" s="7452">
        <f>+'Maj Techno Summ'!AY28</f>
        <v>2.5099999999999998</v>
      </c>
      <c r="AY6" s="7451">
        <f>+'Maj Techno Summ'!AZ28</f>
        <v>2.37</v>
      </c>
      <c r="AZ6" s="2966">
        <f>+'Maj Techno Summ'!BA28</f>
        <v>2.5099999999999998</v>
      </c>
      <c r="BA6" s="2966">
        <f>+'Maj Techno Summ'!BB28</f>
        <v>2.4115605155409652</v>
      </c>
      <c r="BB6" s="2968">
        <f>+'Maj Techno Summ'!BC28</f>
        <v>2.5099999999999998</v>
      </c>
      <c r="BC6" s="2968">
        <f>+'Maj Techno Summ'!BD28</f>
        <v>2.4600872687920416</v>
      </c>
      <c r="BD6" s="2967">
        <f>+'Maj Techno Summ'!BE28</f>
        <v>2.5099999999999998</v>
      </c>
      <c r="BE6" s="2967">
        <f>+'Maj Techno Summ'!BF28</f>
        <v>2.4373297229422035</v>
      </c>
    </row>
    <row r="7" spans="2:95" ht="15.75" x14ac:dyDescent="0.25">
      <c r="B7" s="1596" t="s">
        <v>403</v>
      </c>
      <c r="C7" s="4658" t="s">
        <v>507</v>
      </c>
      <c r="D7" s="7450">
        <f>+'Maj Techno Summ'!E29</f>
        <v>0.5</v>
      </c>
      <c r="E7" s="7451">
        <f>+'Maj Techno Summ'!F29</f>
        <v>0.52</v>
      </c>
      <c r="F7" s="7450">
        <f>+'Maj Techno Summ'!G29</f>
        <v>0.5</v>
      </c>
      <c r="G7" s="7451">
        <f>+'Maj Techno Summ'!H29</f>
        <v>0.49199999999999999</v>
      </c>
      <c r="H7" s="4668">
        <f>+'Maj Techno Summ'!I29</f>
        <v>0.5</v>
      </c>
      <c r="I7" s="4668">
        <f>+'Maj Techno Summ'!J29</f>
        <v>0.50559168797731502</v>
      </c>
      <c r="J7" s="7450">
        <f>+'Maj Techno Summ'!K29</f>
        <v>0.5</v>
      </c>
      <c r="K7" s="7451">
        <f>+'Maj Techno Summ'!L29</f>
        <v>0.5</v>
      </c>
      <c r="L7" s="4669">
        <f>+'Maj Techno Summ'!M29</f>
        <v>0.5</v>
      </c>
      <c r="M7" s="4669">
        <f>+'Maj Techno Summ'!N29</f>
        <v>0.50365612661147108</v>
      </c>
      <c r="N7" s="7450">
        <f>+'Maj Techno Summ'!O29</f>
        <v>0.5</v>
      </c>
      <c r="O7" s="7451">
        <f>+'Maj Techno Summ'!P29</f>
        <v>0.5</v>
      </c>
      <c r="P7" s="4668">
        <f>+'Maj Techno Summ'!Q29</f>
        <v>0.5</v>
      </c>
      <c r="Q7" s="4668">
        <f>+'Maj Techno Summ'!R29</f>
        <v>0.50268701403061089</v>
      </c>
      <c r="R7" s="7450">
        <f>+'Maj Techno Summ'!S29</f>
        <v>0.5</v>
      </c>
      <c r="S7" s="7451">
        <f>+'Maj Techno Summ'!T29</f>
        <v>0.5</v>
      </c>
      <c r="T7" s="4668">
        <f>+'Maj Techno Summ'!U29</f>
        <v>0.5</v>
      </c>
      <c r="U7" s="4668">
        <f>+'Maj Techno Summ'!V29</f>
        <v>0.50215253126357673</v>
      </c>
      <c r="V7" s="7450">
        <f>+'Maj Techno Summ'!W29</f>
        <v>0.5</v>
      </c>
      <c r="W7" s="7451">
        <f>+'Maj Techno Summ'!X29</f>
        <v>0.5</v>
      </c>
      <c r="X7" s="4669">
        <f>+'Maj Techno Summ'!Y29</f>
        <v>0.5</v>
      </c>
      <c r="Y7" s="4669">
        <f>+'Maj Techno Summ'!Z29</f>
        <v>0.5</v>
      </c>
      <c r="Z7" s="4670">
        <f>+'Maj Techno Summ'!AA29</f>
        <v>0.5</v>
      </c>
      <c r="AA7" s="4670">
        <f>+'Maj Techno Summ'!AB29</f>
        <v>0.50180901165572001</v>
      </c>
      <c r="AB7" s="7450">
        <f>+'Maj Techno Summ'!AC29</f>
        <v>0.5</v>
      </c>
      <c r="AC7" s="7451">
        <f>+'Maj Techno Summ'!AD29</f>
        <v>0.5</v>
      </c>
      <c r="AD7" s="4668">
        <f>+'Maj Techno Summ'!AE29</f>
        <v>0.5</v>
      </c>
      <c r="AE7" s="4668">
        <f>+'Maj Techno Summ'!AF29</f>
        <v>0.50160648337018288</v>
      </c>
      <c r="AF7" s="7450">
        <f>+'Maj Techno Summ'!AG29</f>
        <v>0.5</v>
      </c>
      <c r="AG7" s="7451">
        <f>+'Maj Techno Summ'!AH29</f>
        <v>0.46</v>
      </c>
      <c r="AH7" s="4668">
        <f>+'Maj Techno Summ'!AI29</f>
        <v>0.5</v>
      </c>
      <c r="AI7" s="4671">
        <f>+'Maj Techno Summ'!AJ29</f>
        <v>0.49638900615304415</v>
      </c>
      <c r="AJ7" s="7450">
        <f>+'Maj Techno Summ'!AK29</f>
        <v>0.5</v>
      </c>
      <c r="AK7" s="7451">
        <f>+'Maj Techno Summ'!AL29</f>
        <v>0.49</v>
      </c>
      <c r="AL7" s="2963">
        <f>+'Maj Techno Summ'!AM29</f>
        <v>0.5</v>
      </c>
      <c r="AM7" s="2963">
        <f>+'Maj Techno Summ'!AN29</f>
        <v>0.48208007551300947</v>
      </c>
      <c r="AN7" s="2962">
        <f>+'Maj Techno Summ'!AO29</f>
        <v>0.5</v>
      </c>
      <c r="AO7" s="2962">
        <f>+'Maj Techno Summ'!AP29</f>
        <v>0.49566372263523262</v>
      </c>
      <c r="AP7" s="7450">
        <f>+'Maj Techno Summ'!AQ29</f>
        <v>0.5</v>
      </c>
      <c r="AQ7" s="7451">
        <f>+'Maj Techno Summ'!AR29</f>
        <v>0.5</v>
      </c>
      <c r="AR7" s="2962">
        <f>+'Maj Techno Summ'!AS29</f>
        <v>0.5</v>
      </c>
      <c r="AS7" s="2962">
        <f>+'Maj Techno Summ'!AT29</f>
        <v>0.49609506303643552</v>
      </c>
      <c r="AT7" s="7450">
        <f>+'Maj Techno Summ'!AU29</f>
        <v>0.5</v>
      </c>
      <c r="AU7" s="7451">
        <f>+'Maj Techno Summ'!AV29</f>
        <v>0.52</v>
      </c>
      <c r="AV7" s="2962">
        <f>+'Maj Techno Summ'!AW29</f>
        <v>0.5</v>
      </c>
      <c r="AW7" s="2962">
        <f>+'Maj Techno Summ'!AX29</f>
        <v>0.49788019110591419</v>
      </c>
      <c r="AX7" s="7450">
        <f>+'Maj Techno Summ'!AY29</f>
        <v>0.5</v>
      </c>
      <c r="AY7" s="7451">
        <f>+'Maj Techno Summ'!AZ29</f>
        <v>0.5</v>
      </c>
      <c r="AZ7" s="2963">
        <f>+'Maj Techno Summ'!BA29</f>
        <v>0.5</v>
      </c>
      <c r="BA7" s="2963">
        <f>+'Maj Techno Summ'!BB29</f>
        <v>0.50565536150682489</v>
      </c>
      <c r="BB7" s="2964">
        <f>+'Maj Techno Summ'!BC29</f>
        <v>0.5</v>
      </c>
      <c r="BC7" s="2964">
        <f>+'Maj Techno Summ'!BD29</f>
        <v>0.49396979738255292</v>
      </c>
      <c r="BD7" s="2962">
        <f>+'Maj Techno Summ'!BE29</f>
        <v>0.5</v>
      </c>
      <c r="BE7" s="2962">
        <f>+'Maj Techno Summ'!BF29</f>
        <v>0.49806828111764695</v>
      </c>
      <c r="CG7" s="2958"/>
      <c r="CH7" s="2958"/>
      <c r="CI7" s="2958"/>
      <c r="CJ7" s="2958"/>
      <c r="CK7" s="2958"/>
      <c r="CL7" s="2958"/>
      <c r="CM7" s="2958"/>
      <c r="CN7" s="2958"/>
      <c r="CO7" s="2958"/>
      <c r="CP7" s="2958"/>
      <c r="CQ7" s="2958"/>
    </row>
    <row r="8" spans="2:95" ht="18.75" customHeight="1" x14ac:dyDescent="0.25">
      <c r="B8" s="1596" t="s">
        <v>575</v>
      </c>
      <c r="C8" s="4658" t="s">
        <v>352</v>
      </c>
      <c r="D8" s="7631">
        <f>+'B-FCE'!E18</f>
        <v>74256</v>
      </c>
      <c r="E8" s="4616">
        <f>+'B-FCE'!F18</f>
        <v>77508.948299999975</v>
      </c>
      <c r="F8" s="7449">
        <f>+'B-FCE'!G18</f>
        <v>97240</v>
      </c>
      <c r="G8" s="4616">
        <f>+'B-FCE'!H18</f>
        <v>88384.934200000003</v>
      </c>
      <c r="H8" s="7446">
        <f>+'B-FCE'!I18</f>
        <v>171496</v>
      </c>
      <c r="I8" s="7446">
        <f>+'B-FCE'!J18</f>
        <v>165893.88249999998</v>
      </c>
      <c r="J8" s="7449">
        <f>+'B-FCE'!K18</f>
        <v>94248</v>
      </c>
      <c r="K8" s="4616">
        <f>+'B-FCE'!L18</f>
        <v>82876.476500000019</v>
      </c>
      <c r="L8" s="4656">
        <f>+'B-FCE'!M18</f>
        <v>265744</v>
      </c>
      <c r="M8" s="4656">
        <f>+'B-FCE'!N18</f>
        <v>248770.359</v>
      </c>
      <c r="N8" s="7449">
        <f>+'B-FCE'!O18</f>
        <v>95370</v>
      </c>
      <c r="O8" s="4616">
        <f>+'B-FCE'!P18</f>
        <v>93382.704500000007</v>
      </c>
      <c r="P8" s="7446">
        <f>+'B-FCE'!Q18</f>
        <v>361114</v>
      </c>
      <c r="Q8" s="7446">
        <f>+'B-FCE'!R18</f>
        <v>342153.06349999999</v>
      </c>
      <c r="R8" s="7449">
        <f>+'B-FCE'!S18</f>
        <v>95370</v>
      </c>
      <c r="S8" s="4616">
        <f>+'B-FCE'!T18</f>
        <v>91267.827300000004</v>
      </c>
      <c r="T8" s="7446">
        <f>+'B-FCE'!U18</f>
        <v>456484</v>
      </c>
      <c r="U8" s="7446">
        <f>+'B-FCE'!V18</f>
        <v>433420.89079999999</v>
      </c>
      <c r="V8" s="7449">
        <f>+'B-FCE'!W18</f>
        <v>52360</v>
      </c>
      <c r="W8" s="4616">
        <f>+'B-FCE'!X18</f>
        <v>85644.341079999984</v>
      </c>
      <c r="X8" s="4656">
        <f>+'B-FCE'!Y18</f>
        <v>243100</v>
      </c>
      <c r="Y8" s="4656">
        <f>+'B-FCE'!Z18</f>
        <v>270294.87287999998</v>
      </c>
      <c r="Z8" s="7447">
        <f>+'B-FCE'!AA18</f>
        <v>508844</v>
      </c>
      <c r="AA8" s="7447">
        <f>+'B-FCE'!AB18</f>
        <v>519065.23187999998</v>
      </c>
      <c r="AB8" s="7449">
        <f>+'B-FCE'!AC18</f>
        <v>97240</v>
      </c>
      <c r="AC8" s="4616">
        <f>+'B-FCE'!AD18</f>
        <v>78915.736300000004</v>
      </c>
      <c r="AD8" s="7446">
        <f>+'B-FCE'!AE18</f>
        <v>606084</v>
      </c>
      <c r="AE8" s="7446">
        <f>+'B-FCE'!AF18</f>
        <v>597980.96817999997</v>
      </c>
      <c r="AF8" s="7449">
        <f>+'B-FCE'!AG18</f>
        <v>94248</v>
      </c>
      <c r="AG8" s="4616">
        <f>+'B-FCE'!AH18</f>
        <v>94911.346619999982</v>
      </c>
      <c r="AH8" s="7446">
        <f>+'B-FCE'!AI18</f>
        <v>700332</v>
      </c>
      <c r="AI8" s="1100">
        <f>+'B-FCE'!AJ18</f>
        <v>692892.31479999993</v>
      </c>
      <c r="AJ8" s="7449">
        <f>+'B-FCE'!AK18</f>
        <v>97240</v>
      </c>
      <c r="AK8" s="4616">
        <f>+'B-FCE'!AL18</f>
        <v>97411.773899999986</v>
      </c>
      <c r="AL8" s="2886">
        <f>+'B-FCE'!AM18</f>
        <v>288728</v>
      </c>
      <c r="AM8" s="2886">
        <f>+'B-FCE'!AN18</f>
        <v>271238.85681999999</v>
      </c>
      <c r="AN8" s="5076">
        <f>+'B-FCE'!AO18</f>
        <v>797572</v>
      </c>
      <c r="AO8" s="5076">
        <f>+'B-FCE'!AP18</f>
        <v>790304.08869999996</v>
      </c>
      <c r="AP8" s="7449">
        <f>+'B-FCE'!AQ18</f>
        <v>98736</v>
      </c>
      <c r="AQ8" s="4616">
        <f>+'B-FCE'!AR18</f>
        <v>94120.661200000002</v>
      </c>
      <c r="AR8" s="5076">
        <f>+'B-FCE'!AS18</f>
        <v>896308</v>
      </c>
      <c r="AS8" s="5076">
        <f>+'B-FCE'!AT18</f>
        <v>884424.74989999994</v>
      </c>
      <c r="AT8" s="7449">
        <f>+'B-FCE'!AU18</f>
        <v>88264</v>
      </c>
      <c r="AU8" s="4616">
        <f>+'B-FCE'!AV18</f>
        <v>71994.837500000009</v>
      </c>
      <c r="AV8" s="5076">
        <f>+'B-FCE'!AW18</f>
        <v>984572</v>
      </c>
      <c r="AW8" s="5076">
        <f>+'B-FCE'!AX18</f>
        <v>956419.58739999996</v>
      </c>
      <c r="AX8" s="7449">
        <f>+'B-FCE'!AY18</f>
        <v>98736</v>
      </c>
      <c r="AY8" s="4616">
        <f>+'B-FCE'!AZ18</f>
        <v>86992.666500000036</v>
      </c>
      <c r="AZ8" s="2886">
        <f>+'B-FCE'!BA18</f>
        <v>285736</v>
      </c>
      <c r="BA8" s="2886">
        <f>+'B-FCE'!BB18</f>
        <v>253108.16520000005</v>
      </c>
      <c r="BB8" s="7448">
        <f>+'B-FCE'!BC18</f>
        <v>574464</v>
      </c>
      <c r="BC8" s="7448">
        <f>+'B-FCE'!BD18</f>
        <v>524347.02202000003</v>
      </c>
      <c r="BD8" s="5076">
        <f>+'B-FCE'!BE18</f>
        <v>1083308</v>
      </c>
      <c r="BE8" s="5076">
        <f>+'B-FCE'!BF18</f>
        <v>1043412.2539</v>
      </c>
      <c r="CG8" s="2958"/>
      <c r="CH8" s="2958"/>
      <c r="CI8" s="2958"/>
      <c r="CJ8" s="2958"/>
      <c r="CK8" s="2958"/>
      <c r="CL8" s="2958"/>
      <c r="CM8" s="2958"/>
      <c r="CN8" s="2958"/>
      <c r="CO8" s="2958"/>
      <c r="CP8" s="2958"/>
      <c r="CQ8" s="2958"/>
    </row>
    <row r="9" spans="2:95" ht="15.75" x14ac:dyDescent="0.25">
      <c r="B9" s="1597" t="s">
        <v>578</v>
      </c>
      <c r="C9" s="4658" t="s">
        <v>352</v>
      </c>
      <c r="D9" s="7631">
        <f>+'Maj Production Summ'!E28</f>
        <v>72770.880000000005</v>
      </c>
      <c r="E9" s="4616">
        <f>+'Maj Production Summ'!F28</f>
        <v>73016.796365999995</v>
      </c>
      <c r="F9" s="7449">
        <f>+'Maj Production Summ'!G28</f>
        <v>95295.2</v>
      </c>
      <c r="G9" s="4616">
        <f>+'Maj Production Summ'!H28</f>
        <v>75418.546496999988</v>
      </c>
      <c r="H9" s="7446">
        <f>+'Maj Production Summ'!I28</f>
        <v>168066.08000000002</v>
      </c>
      <c r="I9" s="7446">
        <f>+'Maj Production Summ'!J28</f>
        <v>148435.342863</v>
      </c>
      <c r="J9" s="7449">
        <f>+'Maj Production Summ'!K28</f>
        <v>92363.04</v>
      </c>
      <c r="K9" s="4616">
        <f>+'Maj Production Summ'!L28</f>
        <v>72846.055192</v>
      </c>
      <c r="L9" s="4656">
        <f>+'Maj Production Summ'!M28</f>
        <v>260429.12</v>
      </c>
      <c r="M9" s="4656">
        <f>+'Maj Production Summ'!N28</f>
        <v>221281.398055</v>
      </c>
      <c r="N9" s="7449">
        <f>+'Maj Production Summ'!O28</f>
        <v>93462.6</v>
      </c>
      <c r="O9" s="4616">
        <f>+'Maj Production Summ'!P28</f>
        <v>75682.969600000011</v>
      </c>
      <c r="P9" s="7446">
        <f>+'Maj Production Summ'!Q28</f>
        <v>353891.72</v>
      </c>
      <c r="Q9" s="7446">
        <f>+'Maj Production Summ'!R28</f>
        <v>296964.36765500001</v>
      </c>
      <c r="R9" s="7449">
        <f>+'Maj Production Summ'!S28</f>
        <v>93462.6</v>
      </c>
      <c r="S9" s="4616">
        <f>+'Maj Production Summ'!T28</f>
        <v>80832.023354799981</v>
      </c>
      <c r="T9" s="7446">
        <f>+'Maj Production Summ'!U28</f>
        <v>447354.31999999995</v>
      </c>
      <c r="U9" s="7446">
        <f>+'Maj Production Summ'!V28</f>
        <v>377796.39100980002</v>
      </c>
      <c r="V9" s="7449">
        <f>+'Maj Production Summ'!W28</f>
        <v>51312.800000000003</v>
      </c>
      <c r="W9" s="4616">
        <f>+'Maj Production Summ'!X28</f>
        <v>79584.048650599972</v>
      </c>
      <c r="X9" s="4656">
        <f>+'Maj Production Summ'!Y28</f>
        <v>238238</v>
      </c>
      <c r="Y9" s="4656">
        <f>+'Maj Production Summ'!Z28</f>
        <v>236099.04160539998</v>
      </c>
      <c r="Z9" s="7447">
        <f>+'Maj Production Summ'!AA28</f>
        <v>498667.12</v>
      </c>
      <c r="AA9" s="7447">
        <f>+'Maj Production Summ'!AB28</f>
        <v>457380.43966039998</v>
      </c>
      <c r="AB9" s="7449">
        <f>+'Maj Production Summ'!AC28</f>
        <v>95295.2</v>
      </c>
      <c r="AC9" s="4616">
        <f>+'Maj Production Summ'!AD28</f>
        <v>63840.921898000001</v>
      </c>
      <c r="AD9" s="7446">
        <f>+'Maj Production Summ'!AE28</f>
        <v>593962.31999999995</v>
      </c>
      <c r="AE9" s="7446">
        <f>+'Maj Production Summ'!AF28</f>
        <v>521221.36155839998</v>
      </c>
      <c r="AF9" s="7449">
        <f>+'Maj Production Summ'!AG28</f>
        <v>92363.04</v>
      </c>
      <c r="AG9" s="4616">
        <f>+'Maj Production Summ'!AH28</f>
        <v>88321.763468000005</v>
      </c>
      <c r="AH9" s="7446">
        <f>+'Maj Production Summ'!AI28</f>
        <v>686325.36</v>
      </c>
      <c r="AI9" s="1100">
        <f>+'Maj Production Summ'!AJ28</f>
        <v>609543.12502639997</v>
      </c>
      <c r="AJ9" s="7449">
        <f>+'Maj Production Summ'!AK28</f>
        <v>95295.2</v>
      </c>
      <c r="AK9" s="4616">
        <f>+'Maj Production Summ'!AL28</f>
        <v>84104.854628999979</v>
      </c>
      <c r="AL9" s="2886">
        <f>+'Maj Production Summ'!AM28</f>
        <v>282953.44</v>
      </c>
      <c r="AM9" s="2886">
        <f>+'Maj Production Summ'!AN28</f>
        <v>236267.53999499997</v>
      </c>
      <c r="AN9" s="5076">
        <f>+'Maj Production Summ'!AO28</f>
        <v>781620.55999999994</v>
      </c>
      <c r="AO9" s="5076">
        <f>+'Maj Production Summ'!AP28</f>
        <v>693647.97965539992</v>
      </c>
      <c r="AP9" s="7449">
        <f>+'Maj Production Summ'!AQ28</f>
        <v>96761.279999999999</v>
      </c>
      <c r="AQ9" s="4616">
        <f>+'Maj Production Summ'!AR28</f>
        <v>81040.671480000005</v>
      </c>
      <c r="AR9" s="5076">
        <f>+'Maj Production Summ'!AS28</f>
        <v>878381.84</v>
      </c>
      <c r="AS9" s="5076">
        <f>+'Maj Production Summ'!AT28</f>
        <v>774688.65113539994</v>
      </c>
      <c r="AT9" s="7449">
        <f>+'Maj Production Summ'!AU28</f>
        <v>86498.72</v>
      </c>
      <c r="AU9" s="4616">
        <f>+'Maj Production Summ'!AV28</f>
        <v>67236.848248000024</v>
      </c>
      <c r="AV9" s="5076">
        <f>+'Maj Production Summ'!AW28</f>
        <v>964880.55999999994</v>
      </c>
      <c r="AW9" s="5076">
        <f>+'Maj Production Summ'!AX28</f>
        <v>841925.49938339996</v>
      </c>
      <c r="AX9" s="7449">
        <f>+'Maj Production Summ'!AY28</f>
        <v>96761.279999999999</v>
      </c>
      <c r="AY9" s="4616">
        <f>+'Maj Production Summ'!AZ28</f>
        <v>71373.051535000021</v>
      </c>
      <c r="AZ9" s="2886">
        <f>+'Maj Production Summ'!BA28</f>
        <v>280021.28000000003</v>
      </c>
      <c r="BA9" s="2886">
        <f>+'Maj Production Summ'!BB28</f>
        <v>219650.57126300008</v>
      </c>
      <c r="BB9" s="7448">
        <f>+'Maj Production Summ'!BC28</f>
        <v>562974.71999999997</v>
      </c>
      <c r="BC9" s="7448">
        <f>+'Maj Production Summ'!BD28</f>
        <v>455918.11125800002</v>
      </c>
      <c r="BD9" s="5076">
        <f>+'Maj Production Summ'!BE28</f>
        <v>1061641.8399999999</v>
      </c>
      <c r="BE9" s="5076">
        <f>+'Maj Production Summ'!BF28</f>
        <v>913298.55091839994</v>
      </c>
      <c r="CG9" s="2958"/>
      <c r="CH9" s="2958"/>
      <c r="CI9" s="2958"/>
      <c r="CJ9" s="2958"/>
      <c r="CK9" s="2958"/>
      <c r="CL9" s="2958"/>
      <c r="CM9" s="2958"/>
      <c r="CN9" s="2958"/>
      <c r="CO9" s="2958"/>
      <c r="CP9" s="2958"/>
      <c r="CQ9" s="2958"/>
    </row>
    <row r="10" spans="2:95" ht="15.75" x14ac:dyDescent="0.25">
      <c r="B10" s="1597" t="s">
        <v>580</v>
      </c>
      <c r="C10" s="4658" t="s">
        <v>352</v>
      </c>
      <c r="D10" s="7631">
        <v>0</v>
      </c>
      <c r="E10" s="4616">
        <f>+'Direct sales IPT details'!E106</f>
        <v>10746.62</v>
      </c>
      <c r="F10" s="7449">
        <v>0</v>
      </c>
      <c r="G10" s="4616">
        <f>+'Direct sales IPT details'!G106</f>
        <v>9682.7800000000043</v>
      </c>
      <c r="H10" s="7446">
        <f t="shared" ref="H10" si="0">+D10+F10</f>
        <v>0</v>
      </c>
      <c r="I10" s="7446">
        <f t="shared" ref="I10" si="1">+E10+G10</f>
        <v>20429.400000000005</v>
      </c>
      <c r="J10" s="7449">
        <v>0</v>
      </c>
      <c r="K10" s="4616">
        <f>+'Direct sales IPT details'!K106</f>
        <v>10995.34</v>
      </c>
      <c r="L10" s="4656">
        <f t="shared" ref="L10:M13" si="2">+D10+F10+J10</f>
        <v>0</v>
      </c>
      <c r="M10" s="4656">
        <f t="shared" si="2"/>
        <v>31424.740000000005</v>
      </c>
      <c r="N10" s="7449">
        <v>0</v>
      </c>
      <c r="O10" s="4616">
        <f>+'Direct sales IPT details'!O106</f>
        <v>7669.560000000004</v>
      </c>
      <c r="P10" s="7446">
        <f t="shared" ref="P10:P13" si="3">+L10+N10</f>
        <v>0</v>
      </c>
      <c r="Q10" s="7446">
        <f t="shared" ref="Q10:Q13" si="4">+M10+O10</f>
        <v>39094.30000000001</v>
      </c>
      <c r="R10" s="7449">
        <v>0</v>
      </c>
      <c r="S10" s="4616">
        <f>+'Direct sales IPT details'!S106</f>
        <v>9528.32</v>
      </c>
      <c r="T10" s="7446">
        <f t="shared" ref="T10:T13" si="5">+P10+R10</f>
        <v>0</v>
      </c>
      <c r="U10" s="7446">
        <f t="shared" ref="U10:U13" si="6">+Q10+S10</f>
        <v>48622.62000000001</v>
      </c>
      <c r="V10" s="7449">
        <v>0</v>
      </c>
      <c r="W10" s="4616">
        <f>+'Direct sales IPT details'!W106</f>
        <v>1893.0800000000002</v>
      </c>
      <c r="X10" s="4656">
        <f t="shared" ref="X10" si="7">+P10+R10+V10</f>
        <v>0</v>
      </c>
      <c r="Y10" s="4656">
        <f>+O10+S10+W10</f>
        <v>19090.960000000006</v>
      </c>
      <c r="Z10" s="7447">
        <f>+X10+L10</f>
        <v>0</v>
      </c>
      <c r="AA10" s="7447">
        <f>+Y10+M10</f>
        <v>50515.700000000012</v>
      </c>
      <c r="AB10" s="7449">
        <v>0</v>
      </c>
      <c r="AC10" s="4616">
        <f>+'Direct sales IPT details'!AC106</f>
        <v>0</v>
      </c>
      <c r="AD10" s="7446">
        <f t="shared" ref="AD10:AD13" si="8">+Z10+AB10</f>
        <v>0</v>
      </c>
      <c r="AE10" s="7446">
        <f t="shared" ref="AE10:AE13" si="9">+AA10+AC10</f>
        <v>50515.700000000012</v>
      </c>
      <c r="AF10" s="7449">
        <v>0</v>
      </c>
      <c r="AG10" s="4616">
        <f>+'Direct sales IPT details'!AG106</f>
        <v>9014.26</v>
      </c>
      <c r="AH10" s="7446">
        <f t="shared" ref="AH10:AH13" si="10">+AD10+AF10</f>
        <v>0</v>
      </c>
      <c r="AI10" s="1100">
        <f t="shared" ref="AI10:AI13" si="11">+AE10+AG10</f>
        <v>59529.960000000014</v>
      </c>
      <c r="AJ10" s="7449">
        <v>0</v>
      </c>
      <c r="AK10" s="4616">
        <f>+'Direct sales IPT details'!AK106</f>
        <v>6343.67</v>
      </c>
      <c r="AL10" s="2886">
        <f t="shared" ref="AL10" si="12">+AD10+AF10+AJ10</f>
        <v>0</v>
      </c>
      <c r="AM10" s="2886">
        <f>+AC10+AG10+AK10</f>
        <v>15357.93</v>
      </c>
      <c r="AN10" s="5076">
        <f t="shared" ref="AN10:AN13" si="13">+AH10+AJ10</f>
        <v>0</v>
      </c>
      <c r="AO10" s="5076">
        <f t="shared" ref="AO10:AO13" si="14">+AI10+AK10</f>
        <v>65873.630000000019</v>
      </c>
      <c r="AP10" s="7449">
        <v>0</v>
      </c>
      <c r="AQ10" s="4616">
        <f>+'Direct sales IPT details'!AQ106</f>
        <v>3157.06</v>
      </c>
      <c r="AR10" s="5076">
        <f t="shared" ref="AR10:AR13" si="15">+AN10+AP10</f>
        <v>0</v>
      </c>
      <c r="AS10" s="5076">
        <f t="shared" ref="AS10:AS13" si="16">+AO10+AQ10</f>
        <v>69030.690000000017</v>
      </c>
      <c r="AT10" s="7449">
        <v>0</v>
      </c>
      <c r="AU10" s="4616">
        <f>+'Direct sales IPT details'!AU106</f>
        <v>13556.819999999998</v>
      </c>
      <c r="AV10" s="5076">
        <f t="shared" ref="AV10:AV13" si="17">+AR10+AT10</f>
        <v>0</v>
      </c>
      <c r="AW10" s="5076">
        <f t="shared" ref="AW10:AW13" si="18">+AS10+AU10</f>
        <v>82587.510000000009</v>
      </c>
      <c r="AX10" s="7449">
        <v>0</v>
      </c>
      <c r="AY10" s="4616">
        <f>+'Direct sales IPT details'!AY106</f>
        <v>7994.9599999999982</v>
      </c>
      <c r="AZ10" s="2886">
        <f>+'Direct sales IPT details'!AZ106</f>
        <v>0</v>
      </c>
      <c r="BA10" s="2886">
        <f>+'Direct sales IPT details'!BA106</f>
        <v>24708.839999999997</v>
      </c>
      <c r="BB10" s="7448">
        <f>+'Direct sales IPT details'!BB106</f>
        <v>0</v>
      </c>
      <c r="BC10" s="7448">
        <f>+'Direct sales IPT details'!BC106</f>
        <v>40066.769999999997</v>
      </c>
      <c r="BD10" s="5076">
        <f>+'Direct sales IPT details'!BD106</f>
        <v>0</v>
      </c>
      <c r="BE10" s="5076">
        <f>+'Direct sales IPT details'!BE106</f>
        <v>90582.47</v>
      </c>
      <c r="CG10" s="2958"/>
      <c r="CH10" s="2958"/>
      <c r="CI10" s="2958"/>
      <c r="CJ10" s="2958"/>
      <c r="CK10" s="2958"/>
      <c r="CL10" s="2958"/>
      <c r="CM10" s="2958"/>
      <c r="CN10" s="2958"/>
      <c r="CO10" s="2958"/>
      <c r="CP10" s="2958"/>
      <c r="CQ10" s="2958"/>
    </row>
    <row r="11" spans="2:95" s="4487" customFormat="1" ht="15.75" x14ac:dyDescent="0.25">
      <c r="B11" s="6769" t="s">
        <v>2220</v>
      </c>
      <c r="C11" s="6770"/>
      <c r="D11" s="7631">
        <v>0</v>
      </c>
      <c r="E11" s="4616">
        <f>+'Direct sales IPT details'!E107</f>
        <v>0</v>
      </c>
      <c r="F11" s="7454"/>
      <c r="G11" s="6771"/>
      <c r="H11" s="6762"/>
      <c r="I11" s="6762"/>
      <c r="J11" s="7454"/>
      <c r="K11" s="6771"/>
      <c r="L11" s="6772"/>
      <c r="M11" s="6772"/>
      <c r="N11" s="7454"/>
      <c r="O11" s="6771"/>
      <c r="P11" s="6762"/>
      <c r="Q11" s="6762"/>
      <c r="R11" s="7454"/>
      <c r="S11" s="6771"/>
      <c r="T11" s="6762"/>
      <c r="U11" s="6762"/>
      <c r="V11" s="7454"/>
      <c r="W11" s="6771"/>
      <c r="X11" s="6772"/>
      <c r="Y11" s="6772"/>
      <c r="Z11" s="6773"/>
      <c r="AA11" s="6773"/>
      <c r="AB11" s="7454"/>
      <c r="AC11" s="6771"/>
      <c r="AD11" s="6762"/>
      <c r="AE11" s="6762"/>
      <c r="AF11" s="7454"/>
      <c r="AG11" s="6771"/>
      <c r="AH11" s="6762"/>
      <c r="AI11" s="6774"/>
      <c r="AJ11" s="7454"/>
      <c r="AK11" s="6771"/>
      <c r="AL11" s="2886">
        <f t="shared" ref="AL11" si="19">+AD11+AF11+AJ11</f>
        <v>0</v>
      </c>
      <c r="AM11" s="2886">
        <f>+AC11+AG11+AK11</f>
        <v>0</v>
      </c>
      <c r="AN11" s="5076">
        <f t="shared" ref="AN11" si="20">+AH11+AJ11</f>
        <v>0</v>
      </c>
      <c r="AO11" s="5076">
        <f t="shared" ref="AO11" si="21">+AI11+AK11</f>
        <v>0</v>
      </c>
      <c r="AP11" s="7449">
        <v>0</v>
      </c>
      <c r="AQ11" s="4616">
        <f>+'Direct sales IPT details'!AQ107</f>
        <v>36.299999999999997</v>
      </c>
      <c r="AR11" s="5076">
        <f t="shared" ref="AR11" si="22">+AN11+AP11</f>
        <v>0</v>
      </c>
      <c r="AS11" s="5076">
        <f t="shared" ref="AS11" si="23">+AO11+AQ11</f>
        <v>36.299999999999997</v>
      </c>
      <c r="AT11" s="7449">
        <v>0</v>
      </c>
      <c r="AU11" s="4616">
        <f>+'Direct sales IPT details'!AU107</f>
        <v>0</v>
      </c>
      <c r="AV11" s="5076">
        <f t="shared" ref="AV11" si="24">+AR11+AT11</f>
        <v>0</v>
      </c>
      <c r="AW11" s="5076">
        <f t="shared" ref="AW11" si="25">+AS11+AU11</f>
        <v>36.299999999999997</v>
      </c>
      <c r="AX11" s="7449">
        <v>0</v>
      </c>
      <c r="AY11" s="4616">
        <f>+'Direct sales IPT details'!AY107</f>
        <v>0</v>
      </c>
      <c r="AZ11" s="2886">
        <f>+'Direct sales IPT details'!AZ107</f>
        <v>0</v>
      </c>
      <c r="BA11" s="2886">
        <f>+'Direct sales IPT details'!BA107</f>
        <v>36.299999999999997</v>
      </c>
      <c r="BB11" s="7448">
        <f>+'Direct sales IPT details'!BB107</f>
        <v>0</v>
      </c>
      <c r="BC11" s="7448">
        <f>+'Direct sales IPT details'!BC107</f>
        <v>36.299999999999997</v>
      </c>
      <c r="BD11" s="5076">
        <f>+'Direct sales IPT details'!BD107</f>
        <v>0</v>
      </c>
      <c r="BE11" s="5076">
        <f>+'Direct sales IPT details'!BE107</f>
        <v>36.299999999999997</v>
      </c>
    </row>
    <row r="12" spans="2:95" ht="15.75" x14ac:dyDescent="0.25">
      <c r="B12" s="1597" t="s">
        <v>1158</v>
      </c>
      <c r="C12" s="4658" t="s">
        <v>352</v>
      </c>
      <c r="D12" s="7631">
        <f>+'Maj Production Summ'!E28</f>
        <v>72770.880000000005</v>
      </c>
      <c r="E12" s="4616">
        <f>+'Direct sales IPT details'!E108</f>
        <v>69244.98</v>
      </c>
      <c r="F12" s="7449">
        <f>+'Maj Production Summ'!G28</f>
        <v>95295.2</v>
      </c>
      <c r="G12" s="4616">
        <f>+'Direct sales IPT details'!G108</f>
        <v>83444.700000000012</v>
      </c>
      <c r="H12" s="7446">
        <f t="shared" ref="H12:I13" si="26">+D12+F12</f>
        <v>168066.08000000002</v>
      </c>
      <c r="I12" s="7446">
        <f t="shared" si="26"/>
        <v>152689.68</v>
      </c>
      <c r="J12" s="7449">
        <f>+'Maj Production Summ'!K28</f>
        <v>92363.04</v>
      </c>
      <c r="K12" s="4616">
        <f>+'Direct sales IPT details'!K108</f>
        <v>77025.87</v>
      </c>
      <c r="L12" s="4656">
        <f t="shared" si="2"/>
        <v>260429.12</v>
      </c>
      <c r="M12" s="4656">
        <f t="shared" si="2"/>
        <v>229715.55</v>
      </c>
      <c r="N12" s="7449">
        <f>+'Maj Production Summ'!O28</f>
        <v>93462.6</v>
      </c>
      <c r="O12" s="4616">
        <f>+'Direct sales IPT details'!O108</f>
        <v>101956.98999999999</v>
      </c>
      <c r="P12" s="7446">
        <f t="shared" si="3"/>
        <v>353891.72</v>
      </c>
      <c r="Q12" s="7446">
        <f t="shared" si="4"/>
        <v>331672.53999999998</v>
      </c>
      <c r="R12" s="7449">
        <f>+'Maj Production Summ'!S28</f>
        <v>93462.6</v>
      </c>
      <c r="S12" s="4616">
        <f>+'Direct sales IPT details'!S108</f>
        <v>82745.340000000011</v>
      </c>
      <c r="T12" s="7446">
        <f t="shared" si="5"/>
        <v>447354.31999999995</v>
      </c>
      <c r="U12" s="7446">
        <f t="shared" si="6"/>
        <v>414417.88</v>
      </c>
      <c r="V12" s="7449">
        <f>+'Maj Production Summ'!W28</f>
        <v>51312.800000000003</v>
      </c>
      <c r="W12" s="4616">
        <f>+'Direct sales IPT details'!W108</f>
        <v>87643.580000000016</v>
      </c>
      <c r="X12" s="4656">
        <f>N12+R12+V12</f>
        <v>238238</v>
      </c>
      <c r="Y12" s="4656">
        <f>+O12+S12+W12</f>
        <v>272345.91000000003</v>
      </c>
      <c r="Z12" s="7447">
        <f>+X12+L12</f>
        <v>498667.12</v>
      </c>
      <c r="AA12" s="7447">
        <f>+Y12+M12</f>
        <v>502061.46</v>
      </c>
      <c r="AB12" s="7449">
        <f>+'Maj Production Summ'!AC28</f>
        <v>95295.2</v>
      </c>
      <c r="AC12" s="4616">
        <f>+'Direct sales IPT details'!AC108</f>
        <v>66279.149999999994</v>
      </c>
      <c r="AD12" s="7446">
        <f t="shared" si="8"/>
        <v>593962.31999999995</v>
      </c>
      <c r="AE12" s="7446">
        <f t="shared" si="9"/>
        <v>568340.61</v>
      </c>
      <c r="AF12" s="7449">
        <f>+'Maj Production Summ'!AG28</f>
        <v>92363.04</v>
      </c>
      <c r="AG12" s="4616">
        <f>+'Direct sales IPT details'!AG108</f>
        <v>97341.3</v>
      </c>
      <c r="AH12" s="7446">
        <f t="shared" si="10"/>
        <v>686325.36</v>
      </c>
      <c r="AI12" s="1100">
        <f t="shared" si="11"/>
        <v>665681.91</v>
      </c>
      <c r="AJ12" s="7449">
        <f>+'Maj Production Summ'!AK28</f>
        <v>95295.2</v>
      </c>
      <c r="AK12" s="4616">
        <f>+'Direct sales IPT details'!AK108</f>
        <v>106037.09</v>
      </c>
      <c r="AL12" s="2886">
        <f>AB12+AF12+AJ12</f>
        <v>282953.44</v>
      </c>
      <c r="AM12" s="2886">
        <f>+AC12+AG12+AK12</f>
        <v>269657.54000000004</v>
      </c>
      <c r="AN12" s="5076">
        <f t="shared" si="13"/>
        <v>781620.55999999994</v>
      </c>
      <c r="AO12" s="5076">
        <f t="shared" si="14"/>
        <v>771719</v>
      </c>
      <c r="AP12" s="7449">
        <f>+'Maj Production Summ'!AQ28</f>
        <v>96761.279999999999</v>
      </c>
      <c r="AQ12" s="4616">
        <f>+'Direct sales IPT details'!AQ108</f>
        <v>88820.24</v>
      </c>
      <c r="AR12" s="5076">
        <f t="shared" si="15"/>
        <v>878381.84</v>
      </c>
      <c r="AS12" s="5076">
        <f t="shared" si="16"/>
        <v>860539.24</v>
      </c>
      <c r="AT12" s="7449">
        <f>+'Maj Production Summ'!AU28</f>
        <v>86498.72</v>
      </c>
      <c r="AU12" s="4616">
        <f>+'Direct sales IPT details'!AU108</f>
        <v>77713.41</v>
      </c>
      <c r="AV12" s="5076">
        <f t="shared" si="17"/>
        <v>964880.55999999994</v>
      </c>
      <c r="AW12" s="5076">
        <f t="shared" si="18"/>
        <v>938252.65</v>
      </c>
      <c r="AX12" s="7449">
        <f>+'Maj Production Summ'!AY28</f>
        <v>96761.279999999999</v>
      </c>
      <c r="AY12" s="4616">
        <f>+'Direct sales IPT details'!AY108</f>
        <v>82951.210000000006</v>
      </c>
      <c r="AZ12" s="2886">
        <f>AP12+AT12+AX12</f>
        <v>280021.28000000003</v>
      </c>
      <c r="BA12" s="2886">
        <f>+AQ12+AU12+AY12</f>
        <v>249484.86000000004</v>
      </c>
      <c r="BB12" s="7448">
        <f>+AZ12+AL12</f>
        <v>562974.71999999997</v>
      </c>
      <c r="BC12" s="7448">
        <f>+BA12+AM12</f>
        <v>519142.40000000008</v>
      </c>
      <c r="BD12" s="5076">
        <f t="shared" ref="BD12:BD13" si="27">+AV12+AX12</f>
        <v>1061641.8399999999</v>
      </c>
      <c r="BE12" s="5076">
        <f t="shared" ref="BE12:BE13" si="28">+AW12+AY12</f>
        <v>1021203.86</v>
      </c>
      <c r="CG12" s="2958"/>
      <c r="CH12" s="2958"/>
      <c r="CI12" s="2958"/>
      <c r="CJ12" s="2958"/>
      <c r="CK12" s="2958"/>
      <c r="CL12" s="2958"/>
      <c r="CM12" s="2958"/>
      <c r="CN12" s="2958"/>
      <c r="CO12" s="2958"/>
      <c r="CP12" s="2958"/>
      <c r="CQ12" s="2958"/>
    </row>
    <row r="13" spans="2:95" ht="15.75" x14ac:dyDescent="0.25">
      <c r="B13" s="1597" t="s">
        <v>579</v>
      </c>
      <c r="C13" s="4658" t="s">
        <v>352</v>
      </c>
      <c r="D13" s="7631">
        <f>SUM(D10:D12)</f>
        <v>72770.880000000005</v>
      </c>
      <c r="E13" s="4616">
        <f>SUM(E10:E12)</f>
        <v>79991.599999999991</v>
      </c>
      <c r="F13" s="7449">
        <f>SUM(F10:F12)</f>
        <v>95295.2</v>
      </c>
      <c r="G13" s="4616">
        <f>SUM(G10:G12)</f>
        <v>93127.48000000001</v>
      </c>
      <c r="H13" s="7446">
        <f t="shared" si="26"/>
        <v>168066.08000000002</v>
      </c>
      <c r="I13" s="7446">
        <f t="shared" si="26"/>
        <v>173119.08000000002</v>
      </c>
      <c r="J13" s="7449">
        <f>SUM(J10:J12)</f>
        <v>92363.04</v>
      </c>
      <c r="K13" s="4616">
        <f>SUM(K10:K12)</f>
        <v>88021.209999999992</v>
      </c>
      <c r="L13" s="4656">
        <f t="shared" si="2"/>
        <v>260429.12</v>
      </c>
      <c r="M13" s="4656">
        <f t="shared" si="2"/>
        <v>261140.29</v>
      </c>
      <c r="N13" s="7449">
        <f>SUM(N10:N12)</f>
        <v>93462.6</v>
      </c>
      <c r="O13" s="4616">
        <f>SUM(O10:O12)</f>
        <v>109626.54999999999</v>
      </c>
      <c r="P13" s="7446">
        <f t="shared" si="3"/>
        <v>353891.72</v>
      </c>
      <c r="Q13" s="7446">
        <f t="shared" si="4"/>
        <v>370766.83999999997</v>
      </c>
      <c r="R13" s="7449">
        <f>SUM(R10:R12)</f>
        <v>93462.6</v>
      </c>
      <c r="S13" s="4616">
        <f>SUM(S10:S12)</f>
        <v>92273.66</v>
      </c>
      <c r="T13" s="7446">
        <f t="shared" si="5"/>
        <v>447354.31999999995</v>
      </c>
      <c r="U13" s="7446">
        <f t="shared" si="6"/>
        <v>463040.5</v>
      </c>
      <c r="V13" s="7449">
        <f>SUM(V10:V12)</f>
        <v>51312.800000000003</v>
      </c>
      <c r="W13" s="4616">
        <f>SUM(W10:W12)</f>
        <v>89536.660000000018</v>
      </c>
      <c r="X13" s="4656">
        <f>SUM(X10:X12)</f>
        <v>238238</v>
      </c>
      <c r="Y13" s="4656">
        <f>+O13+S13+W13</f>
        <v>291436.87</v>
      </c>
      <c r="Z13" s="7447">
        <f t="shared" ref="Z13:AA13" si="29">SUM(Z10:Z12)</f>
        <v>498667.12</v>
      </c>
      <c r="AA13" s="7447">
        <f t="shared" si="29"/>
        <v>552577.16</v>
      </c>
      <c r="AB13" s="7449">
        <f>SUM(AB10:AB12)</f>
        <v>95295.2</v>
      </c>
      <c r="AC13" s="4616">
        <f>SUM(AC10:AC12)</f>
        <v>66279.149999999994</v>
      </c>
      <c r="AD13" s="7446">
        <f t="shared" si="8"/>
        <v>593962.31999999995</v>
      </c>
      <c r="AE13" s="7446">
        <f t="shared" si="9"/>
        <v>618856.31000000006</v>
      </c>
      <c r="AF13" s="7449">
        <f>SUM(AF10:AF12)</f>
        <v>92363.04</v>
      </c>
      <c r="AG13" s="4616">
        <f>SUM(AG10:AG12)</f>
        <v>106355.56</v>
      </c>
      <c r="AH13" s="7446">
        <f t="shared" si="10"/>
        <v>686325.36</v>
      </c>
      <c r="AI13" s="1100">
        <f t="shared" si="11"/>
        <v>725211.87000000011</v>
      </c>
      <c r="AJ13" s="7449">
        <f>SUM(AJ10:AJ12)</f>
        <v>95295.2</v>
      </c>
      <c r="AK13" s="4616">
        <f>SUM(AK10:AK12)</f>
        <v>112380.76</v>
      </c>
      <c r="AL13" s="2886">
        <f>SUM(AL10:AL12)</f>
        <v>282953.44</v>
      </c>
      <c r="AM13" s="2886">
        <f>+AC13+AG13+AK13</f>
        <v>285015.46999999997</v>
      </c>
      <c r="AN13" s="5076">
        <f t="shared" si="13"/>
        <v>781620.55999999994</v>
      </c>
      <c r="AO13" s="5076">
        <f t="shared" si="14"/>
        <v>837592.63000000012</v>
      </c>
      <c r="AP13" s="7449">
        <f>SUM(AP10:AP12)</f>
        <v>96761.279999999999</v>
      </c>
      <c r="AQ13" s="4616">
        <f>SUM(AQ10:AQ12)</f>
        <v>92013.6</v>
      </c>
      <c r="AR13" s="5076">
        <f t="shared" si="15"/>
        <v>878381.84</v>
      </c>
      <c r="AS13" s="5076">
        <f t="shared" si="16"/>
        <v>929606.2300000001</v>
      </c>
      <c r="AT13" s="7449">
        <f>SUM(AT10:AT12)</f>
        <v>86498.72</v>
      </c>
      <c r="AU13" s="4616">
        <f>SUM(AU10:AU12)</f>
        <v>91270.23</v>
      </c>
      <c r="AV13" s="5076">
        <f t="shared" si="17"/>
        <v>964880.55999999994</v>
      </c>
      <c r="AW13" s="5076">
        <f t="shared" si="18"/>
        <v>1020876.4600000001</v>
      </c>
      <c r="AX13" s="7449">
        <f>SUM(AX10:AX12)</f>
        <v>96761.279999999999</v>
      </c>
      <c r="AY13" s="4616">
        <f>SUM(AY10:AY12)</f>
        <v>90946.17</v>
      </c>
      <c r="AZ13" s="2886">
        <f>SUM(AZ10:AZ12)</f>
        <v>280021.28000000003</v>
      </c>
      <c r="BA13" s="2886">
        <f>+AQ13+AU13+AY13</f>
        <v>274230</v>
      </c>
      <c r="BB13" s="7448">
        <f t="shared" ref="BB13:BC13" si="30">SUM(BB10:BB12)</f>
        <v>562974.71999999997</v>
      </c>
      <c r="BC13" s="7448">
        <f t="shared" si="30"/>
        <v>559245.47000000009</v>
      </c>
      <c r="BD13" s="5076">
        <f t="shared" si="27"/>
        <v>1061641.8399999999</v>
      </c>
      <c r="BE13" s="5076">
        <f t="shared" si="28"/>
        <v>1111822.6300000001</v>
      </c>
      <c r="CG13" s="2958"/>
      <c r="CH13" s="2958"/>
      <c r="CI13" s="2958"/>
      <c r="CJ13" s="2958"/>
      <c r="CK13" s="2958"/>
      <c r="CL13" s="2958"/>
      <c r="CM13" s="2958"/>
      <c r="CN13" s="2958"/>
      <c r="CO13" s="2958"/>
      <c r="CP13" s="2958"/>
      <c r="CQ13" s="2958"/>
    </row>
    <row r="14" spans="2:95" s="139" customFormat="1" ht="15.75" x14ac:dyDescent="0.25">
      <c r="B14" s="2960" t="s">
        <v>576</v>
      </c>
      <c r="C14" s="4659" t="s">
        <v>49</v>
      </c>
      <c r="D14" s="7458">
        <v>1</v>
      </c>
      <c r="E14" s="7459">
        <f>+E13/E8</f>
        <v>1.0320305171783632</v>
      </c>
      <c r="F14" s="7458">
        <v>1</v>
      </c>
      <c r="G14" s="7459">
        <f>+G13/G8</f>
        <v>1.0536578529239886</v>
      </c>
      <c r="H14" s="7459">
        <v>1</v>
      </c>
      <c r="I14" s="7459">
        <f>+I13/I8</f>
        <v>1.0435531280063932</v>
      </c>
      <c r="J14" s="7458">
        <v>1</v>
      </c>
      <c r="K14" s="7459">
        <f>+K13/K8</f>
        <v>1.0620771263121926</v>
      </c>
      <c r="L14" s="7459">
        <v>1</v>
      </c>
      <c r="M14" s="7459">
        <f t="shared" ref="M14:AA14" si="31">+M13/M8</f>
        <v>1.0497242961328845</v>
      </c>
      <c r="N14" s="7458">
        <v>1</v>
      </c>
      <c r="O14" s="7459">
        <f>+O13/O8</f>
        <v>1.1739491867040537</v>
      </c>
      <c r="P14" s="7459">
        <v>1</v>
      </c>
      <c r="Q14" s="7459">
        <f>+Q13/Q8</f>
        <v>1.0836285848424092</v>
      </c>
      <c r="R14" s="7458">
        <v>1</v>
      </c>
      <c r="S14" s="7459">
        <f>+S13/S8</f>
        <v>1.0110206710267551</v>
      </c>
      <c r="T14" s="7459">
        <v>1</v>
      </c>
      <c r="U14" s="7459">
        <f t="shared" ref="U14" si="32">+U13/U8</f>
        <v>1.0683391359962569</v>
      </c>
      <c r="V14" s="7458">
        <v>1</v>
      </c>
      <c r="W14" s="7459">
        <f>+W13/W8</f>
        <v>1.0454474734806383</v>
      </c>
      <c r="X14" s="7459">
        <v>1</v>
      </c>
      <c r="Y14" s="7459">
        <f t="shared" ref="Y14" si="33">+Y13/Y8</f>
        <v>1.0782182691618654</v>
      </c>
      <c r="Z14" s="7459">
        <v>1</v>
      </c>
      <c r="AA14" s="7459">
        <f t="shared" si="31"/>
        <v>1.0645620744017537</v>
      </c>
      <c r="AB14" s="7458">
        <v>1</v>
      </c>
      <c r="AC14" s="7459">
        <f>+AC13/AC8</f>
        <v>0.83987241464792606</v>
      </c>
      <c r="AD14" s="7459">
        <v>1</v>
      </c>
      <c r="AE14" s="7459">
        <f t="shared" ref="AE14" si="34">+AE13/AE8</f>
        <v>1.0349097093901429</v>
      </c>
      <c r="AF14" s="7458">
        <v>1</v>
      </c>
      <c r="AG14" s="7459">
        <f>+AG13/AG8</f>
        <v>1.1205779265341123</v>
      </c>
      <c r="AH14" s="7459">
        <v>1</v>
      </c>
      <c r="AI14" s="7461">
        <f t="shared" ref="AI14" si="35">+AI13/AI8</f>
        <v>1.0466444128613681</v>
      </c>
      <c r="AJ14" s="7458">
        <v>1</v>
      </c>
      <c r="AK14" s="7459">
        <f>+AK13/AK8</f>
        <v>1.1536671133344387</v>
      </c>
      <c r="AL14" s="7462">
        <v>1</v>
      </c>
      <c r="AM14" s="7462">
        <f t="shared" ref="AM14" si="36">+AM13/AM8</f>
        <v>1.0507914439012049</v>
      </c>
      <c r="AN14" s="7462">
        <v>1</v>
      </c>
      <c r="AO14" s="7462">
        <f t="shared" ref="AO14" si="37">+AO13/AO8</f>
        <v>1.0598358808668025</v>
      </c>
      <c r="AP14" s="7458">
        <v>1</v>
      </c>
      <c r="AQ14" s="7459">
        <f>+AQ13/AQ8</f>
        <v>0.97761319169313277</v>
      </c>
      <c r="AR14" s="7462">
        <v>1</v>
      </c>
      <c r="AS14" s="7462">
        <f t="shared" ref="AS14" si="38">+AS13/AS8</f>
        <v>1.0510857256144277</v>
      </c>
      <c r="AT14" s="7458">
        <v>1</v>
      </c>
      <c r="AU14" s="7459">
        <f>+AU13/AU8</f>
        <v>1.2677329815488505</v>
      </c>
      <c r="AV14" s="7462">
        <v>1</v>
      </c>
      <c r="AW14" s="7462">
        <f t="shared" ref="AW14" si="39">+AW13/AW8</f>
        <v>1.0673939277793592</v>
      </c>
      <c r="AX14" s="7458">
        <v>1</v>
      </c>
      <c r="AY14" s="7459">
        <f>+AY13/AY8</f>
        <v>1.045446399783595</v>
      </c>
      <c r="AZ14" s="7462">
        <v>1</v>
      </c>
      <c r="BA14" s="7462">
        <f t="shared" ref="BA14" si="40">+BA13/BA8</f>
        <v>1.083449835698939</v>
      </c>
      <c r="BB14" s="7462">
        <v>1</v>
      </c>
      <c r="BC14" s="7462">
        <f t="shared" ref="BC14" si="41">+BC13/BC8</f>
        <v>1.0665560144607229</v>
      </c>
      <c r="BD14" s="7462">
        <v>1</v>
      </c>
      <c r="BE14" s="7462">
        <f t="shared" ref="BE14" si="42">+BE13/BE8</f>
        <v>1.0655640911291775</v>
      </c>
      <c r="BG14" s="518"/>
    </row>
    <row r="15" spans="2:95" s="139" customFormat="1" ht="15.75" x14ac:dyDescent="0.25">
      <c r="B15" s="2960" t="s">
        <v>433</v>
      </c>
      <c r="C15" s="4659" t="s">
        <v>352</v>
      </c>
      <c r="D15" s="7631">
        <f>+(D18*D19)/1000</f>
        <v>24405.084745762713</v>
      </c>
      <c r="E15" s="4616">
        <f>+SMS!F92</f>
        <v>35958.271479999996</v>
      </c>
      <c r="F15" s="7449">
        <f>+(F18*F19)/1000</f>
        <v>30827.762039660036</v>
      </c>
      <c r="G15" s="4616">
        <f>+SMS!H92</f>
        <v>30280.43044</v>
      </c>
      <c r="H15" s="7446">
        <f>+D15+F15</f>
        <v>55232.846785422749</v>
      </c>
      <c r="I15" s="7446">
        <f>+E15+G15</f>
        <v>66238.701919999992</v>
      </c>
      <c r="J15" s="7449">
        <f>+(J18*J19)/1000</f>
        <v>29875.920679886651</v>
      </c>
      <c r="K15" s="4616">
        <f>+SMS!L92</f>
        <v>30254.303680000001</v>
      </c>
      <c r="L15" s="4656">
        <f>+D15+F15+J15</f>
        <v>85108.7674653094</v>
      </c>
      <c r="M15" s="4656">
        <f>+E15+G15+K15</f>
        <v>96493.005599999989</v>
      </c>
      <c r="N15" s="7449">
        <f>+(N18*N19)/1000</f>
        <v>30232.861189801704</v>
      </c>
      <c r="O15" s="4616">
        <f>+SMS!P92</f>
        <v>31564.151819999999</v>
      </c>
      <c r="P15" s="7446">
        <f>+L15+N15</f>
        <v>115341.6286551111</v>
      </c>
      <c r="Q15" s="7446">
        <f>+M15+O15</f>
        <v>128057.15741999999</v>
      </c>
      <c r="R15" s="7449">
        <f>+(R18*R19)/1000</f>
        <v>30232.861189801704</v>
      </c>
      <c r="S15" s="4616">
        <f>+SMS!T92</f>
        <v>29126.430780000002</v>
      </c>
      <c r="T15" s="7446">
        <f t="shared" ref="T15:T16" si="43">+P15+R15</f>
        <v>145574.48984491281</v>
      </c>
      <c r="U15" s="7446">
        <f t="shared" ref="U15:U16" si="44">+Q15+S15</f>
        <v>157183.5882</v>
      </c>
      <c r="V15" s="7449">
        <f>+(V18*V19)/1000</f>
        <v>15866.005665722438</v>
      </c>
      <c r="W15" s="4616">
        <f>+SMS!X92</f>
        <v>28595.071339999999</v>
      </c>
      <c r="X15" s="4656">
        <f>N15+R15+V15</f>
        <v>76331.728045325843</v>
      </c>
      <c r="Y15" s="4656">
        <f>+O15+S15+W15</f>
        <v>89285.653940000004</v>
      </c>
      <c r="Z15" s="7447">
        <f>+X15+L15</f>
        <v>161440.49551063526</v>
      </c>
      <c r="AA15" s="7447">
        <f>+Y15+M15</f>
        <v>185778.65953999999</v>
      </c>
      <c r="AB15" s="7449">
        <f>+(AB18*AB19)/1000</f>
        <v>30827.762039660036</v>
      </c>
      <c r="AC15" s="4616">
        <f>+SMS!AD92</f>
        <v>22986.981849999996</v>
      </c>
      <c r="AD15" s="4616">
        <f t="shared" ref="AD15:AD16" si="45">+Z15+AB15</f>
        <v>192268.2575502953</v>
      </c>
      <c r="AE15" s="4616">
        <f t="shared" ref="AE15:AE16" si="46">+AA15+AC15</f>
        <v>208765.64139</v>
      </c>
      <c r="AF15" s="7449">
        <f>+(AF18*AF19)/1000</f>
        <v>29875.920679886651</v>
      </c>
      <c r="AG15" s="4616">
        <f>+SMS!AH92</f>
        <v>26984.9643</v>
      </c>
      <c r="AH15" s="7446">
        <f t="shared" ref="AH15:AH16" si="47">+AD15+AF15</f>
        <v>222144.17823018195</v>
      </c>
      <c r="AI15" s="1100">
        <f t="shared" ref="AI15:AI16" si="48">+AE15+AG15</f>
        <v>235750.60569</v>
      </c>
      <c r="AJ15" s="7449">
        <f>+(AJ18*AJ19)/1000</f>
        <v>30827.762039660036</v>
      </c>
      <c r="AK15" s="4616">
        <f>+SMS!AL92</f>
        <v>29237.462070000001</v>
      </c>
      <c r="AL15" s="2886">
        <f>AB15+AF15+AJ15</f>
        <v>91531.44475920673</v>
      </c>
      <c r="AM15" s="2886">
        <f>+AC15+AG15+AK15</f>
        <v>79209.408219999998</v>
      </c>
      <c r="AN15" s="5076">
        <f t="shared" ref="AN15:AN16" si="49">+AH15+AJ15</f>
        <v>252971.94026984199</v>
      </c>
      <c r="AO15" s="5076">
        <f t="shared" ref="AO15:AO16" si="50">+AI15+AK15</f>
        <v>264988.06776000001</v>
      </c>
      <c r="AP15" s="7449">
        <f>+(AP18*AP19)/1000</f>
        <v>31303.682719546741</v>
      </c>
      <c r="AQ15" s="4616">
        <f>+SMS!AR92</f>
        <v>38588</v>
      </c>
      <c r="AR15" s="2969">
        <f t="shared" ref="AR15:AR16" si="51">+AN15+AP15</f>
        <v>284275.62298938871</v>
      </c>
      <c r="AS15" s="2969">
        <f t="shared" ref="AS15:AS16" si="52">+AO15+AQ15</f>
        <v>303576.06776000001</v>
      </c>
      <c r="AT15" s="7449">
        <f>+(AT18*AT19)/1000</f>
        <v>27972.237960339942</v>
      </c>
      <c r="AU15" s="4616">
        <f>+SMS!AV92</f>
        <v>34268.306349999999</v>
      </c>
      <c r="AV15" s="5076">
        <f t="shared" ref="AV15:AV16" si="53">+AR15+AT15</f>
        <v>312247.86094972864</v>
      </c>
      <c r="AW15" s="5076">
        <f t="shared" ref="AW15:AW16" si="54">+AS15+AU15</f>
        <v>337844.37410999998</v>
      </c>
      <c r="AX15" s="7449">
        <f>+(AX18*AX19)/1000</f>
        <v>31303.682719546741</v>
      </c>
      <c r="AY15" s="4616">
        <f>+SMS!AZ92</f>
        <v>36592.682540000002</v>
      </c>
      <c r="AZ15" s="2886">
        <f>AP15+AT15+AX15</f>
        <v>90579.603399433428</v>
      </c>
      <c r="BA15" s="2886">
        <f>+AQ15+AU15+AY15</f>
        <v>109448.98889000001</v>
      </c>
      <c r="BB15" s="7448">
        <f>+AZ15+AL15</f>
        <v>182111.04815864016</v>
      </c>
      <c r="BC15" s="7448">
        <f>+BA15+AM15</f>
        <v>188658.39711000002</v>
      </c>
      <c r="BD15" s="5076">
        <f t="shared" ref="BD15:BD16" si="55">+AV15+AX15</f>
        <v>343551.54366927536</v>
      </c>
      <c r="BE15" s="5076">
        <f t="shared" ref="BE15:BE16" si="56">+AW15+AY15</f>
        <v>374437.05664999998</v>
      </c>
      <c r="BF15" s="4487"/>
      <c r="BG15" s="4487"/>
      <c r="BH15" s="4487"/>
      <c r="BI15" s="4487"/>
      <c r="BJ15" s="4487"/>
      <c r="BK15" s="4487"/>
      <c r="BL15" s="4487"/>
      <c r="BM15" s="4487"/>
      <c r="BN15" s="4487"/>
      <c r="BO15" s="4487"/>
      <c r="BP15" s="4487"/>
      <c r="BQ15" s="4487"/>
      <c r="BR15" s="4487"/>
      <c r="BS15" s="4487"/>
      <c r="BT15" s="4487"/>
      <c r="BU15" s="4487"/>
      <c r="BV15" s="4487"/>
      <c r="BW15" s="4487"/>
      <c r="BX15" s="4487"/>
      <c r="BY15" s="4487"/>
      <c r="BZ15" s="4487"/>
      <c r="CA15" s="4487"/>
      <c r="CB15" s="4487"/>
      <c r="CC15" s="4487"/>
      <c r="CD15" s="4487"/>
      <c r="CE15" s="4487"/>
      <c r="CF15" s="4487"/>
      <c r="CG15" s="2958"/>
      <c r="CH15" s="2958"/>
      <c r="CI15" s="2958"/>
      <c r="CJ15" s="2958"/>
      <c r="CK15" s="2958"/>
      <c r="CL15" s="2958"/>
      <c r="CM15" s="2958"/>
      <c r="CN15" s="2958"/>
      <c r="CO15" s="2958"/>
      <c r="CP15" s="2958"/>
      <c r="CQ15" s="2958"/>
    </row>
    <row r="16" spans="2:95" s="139" customFormat="1" ht="15.75" x14ac:dyDescent="0.25">
      <c r="B16" s="2960" t="s">
        <v>404</v>
      </c>
      <c r="C16" s="4659" t="s">
        <v>352</v>
      </c>
      <c r="D16" s="7631">
        <f>+(D15*D17)</f>
        <v>24405.084745762713</v>
      </c>
      <c r="E16" s="4616">
        <f>+E36</f>
        <v>110323.17</v>
      </c>
      <c r="F16" s="7449">
        <f>+(F15*F17)</f>
        <v>30827.762039660036</v>
      </c>
      <c r="G16" s="4616">
        <f>+G36</f>
        <v>113274.25</v>
      </c>
      <c r="H16" s="4616">
        <f>+D16+F16</f>
        <v>55232.846785422749</v>
      </c>
      <c r="I16" s="4616">
        <f>+E16+G16</f>
        <v>223597.41999999998</v>
      </c>
      <c r="J16" s="7449">
        <f>+(J15*J17)</f>
        <v>29875.920679886651</v>
      </c>
      <c r="K16" s="4616">
        <f>+K36</f>
        <v>97401.08</v>
      </c>
      <c r="L16" s="4616">
        <f>+D16+F16+J16</f>
        <v>85108.7674653094</v>
      </c>
      <c r="M16" s="4616">
        <f>+E16+G16+K16</f>
        <v>320998.5</v>
      </c>
      <c r="N16" s="7449">
        <f>+(N15*N17)</f>
        <v>30232.861189801704</v>
      </c>
      <c r="O16" s="4616">
        <f>+O36</f>
        <v>85433.74</v>
      </c>
      <c r="P16" s="4616">
        <f>+L16+N16</f>
        <v>115341.6286551111</v>
      </c>
      <c r="Q16" s="4616">
        <f>+M16+O16</f>
        <v>406432.24</v>
      </c>
      <c r="R16" s="7449">
        <f>+(R15*R17)</f>
        <v>30232.861189801704</v>
      </c>
      <c r="S16" s="4616">
        <f>+S36</f>
        <v>92218.72</v>
      </c>
      <c r="T16" s="4616">
        <f t="shared" si="43"/>
        <v>145574.48984491281</v>
      </c>
      <c r="U16" s="4616">
        <f t="shared" si="44"/>
        <v>498650.95999999996</v>
      </c>
      <c r="V16" s="7449">
        <f>+(V15*V17)</f>
        <v>15866.005665722438</v>
      </c>
      <c r="W16" s="4616">
        <f>+W36</f>
        <v>79249.510000000009</v>
      </c>
      <c r="X16" s="4616">
        <f>N16+R16+V16</f>
        <v>76331.728045325843</v>
      </c>
      <c r="Y16" s="4616">
        <f>+O16+S16+W16</f>
        <v>256901.97000000003</v>
      </c>
      <c r="Z16" s="4616">
        <f>+X16+L16</f>
        <v>161440.49551063526</v>
      </c>
      <c r="AA16" s="4616">
        <f>+Y16+M16</f>
        <v>577900.47</v>
      </c>
      <c r="AB16" s="7449">
        <f>+(AB15*AB17)</f>
        <v>30827.762039660036</v>
      </c>
      <c r="AC16" s="4616">
        <f>+AC36</f>
        <v>116100.21</v>
      </c>
      <c r="AD16" s="4616">
        <f t="shared" si="45"/>
        <v>192268.2575502953</v>
      </c>
      <c r="AE16" s="4616">
        <f t="shared" si="46"/>
        <v>694000.67999999993</v>
      </c>
      <c r="AF16" s="7449">
        <f>+(AF15*AF17)</f>
        <v>29875.920679886651</v>
      </c>
      <c r="AG16" s="4616">
        <f>+AG36</f>
        <v>132343.91</v>
      </c>
      <c r="AH16" s="4616">
        <f t="shared" si="47"/>
        <v>222144.17823018195</v>
      </c>
      <c r="AI16" s="1065">
        <f t="shared" si="48"/>
        <v>826344.59</v>
      </c>
      <c r="AJ16" s="7449">
        <f>+(AJ15*AJ17)</f>
        <v>30827.762039660036</v>
      </c>
      <c r="AK16" s="4616">
        <f>+AK36</f>
        <v>144020.79999999999</v>
      </c>
      <c r="AL16" s="2969">
        <f>AB16+AF16+AJ16</f>
        <v>91531.44475920673</v>
      </c>
      <c r="AM16" s="2969">
        <f>+AC16+AG16+AK16</f>
        <v>392464.92</v>
      </c>
      <c r="AN16" s="2969">
        <f t="shared" si="49"/>
        <v>252971.94026984199</v>
      </c>
      <c r="AO16" s="2969">
        <f t="shared" si="50"/>
        <v>970365.3899999999</v>
      </c>
      <c r="AP16" s="7449">
        <f>+(AP15*AP17)</f>
        <v>31303.682719546741</v>
      </c>
      <c r="AQ16" s="4616">
        <f>+AQ36</f>
        <v>221301.16</v>
      </c>
      <c r="AR16" s="2969">
        <f t="shared" si="51"/>
        <v>284275.62298938871</v>
      </c>
      <c r="AS16" s="2969">
        <f t="shared" si="52"/>
        <v>1191666.5499999998</v>
      </c>
      <c r="AT16" s="7449">
        <f>+(AT15*AT17)</f>
        <v>27972.237960339942</v>
      </c>
      <c r="AU16" s="4616">
        <f>+AU36</f>
        <v>222991.46</v>
      </c>
      <c r="AV16" s="2969">
        <f t="shared" si="53"/>
        <v>312247.86094972864</v>
      </c>
      <c r="AW16" s="2969">
        <f t="shared" si="54"/>
        <v>1414658.0099999998</v>
      </c>
      <c r="AX16" s="7449">
        <f>+(AX15*AX17)</f>
        <v>31303.682719546741</v>
      </c>
      <c r="AY16" s="4616">
        <f>+AY36</f>
        <v>209473.93</v>
      </c>
      <c r="AZ16" s="2969">
        <f>AP16+AT16+AX16</f>
        <v>90579.603399433428</v>
      </c>
      <c r="BA16" s="2969">
        <f>+AQ16+AU16+AY16</f>
        <v>653766.55000000005</v>
      </c>
      <c r="BB16" s="2969">
        <f>+AZ16+AL16</f>
        <v>182111.04815864016</v>
      </c>
      <c r="BC16" s="2969">
        <f>+BA16+AM16</f>
        <v>1046231.47</v>
      </c>
      <c r="BD16" s="2969">
        <f t="shared" si="55"/>
        <v>343551.54366927536</v>
      </c>
      <c r="BE16" s="2969">
        <f t="shared" si="56"/>
        <v>1624131.9399999997</v>
      </c>
    </row>
    <row r="17" spans="1:95" s="139" customFormat="1" ht="15.75" x14ac:dyDescent="0.25">
      <c r="B17" s="2960" t="s">
        <v>577</v>
      </c>
      <c r="C17" s="4659" t="s">
        <v>49</v>
      </c>
      <c r="D17" s="7458">
        <v>1</v>
      </c>
      <c r="E17" s="7459">
        <f>+E16/E15</f>
        <v>3.0680888001349507</v>
      </c>
      <c r="F17" s="7458">
        <v>1</v>
      </c>
      <c r="G17" s="7459">
        <f>+G16/G15</f>
        <v>3.7408401516765228</v>
      </c>
      <c r="H17" s="7460">
        <f>+H16/H15</f>
        <v>1</v>
      </c>
      <c r="I17" s="7460">
        <f>+I16/I15</f>
        <v>3.3756310664126614</v>
      </c>
      <c r="J17" s="7458">
        <v>1</v>
      </c>
      <c r="K17" s="7459">
        <f>+K16/K15</f>
        <v>3.2194123860926354</v>
      </c>
      <c r="L17" s="7459">
        <v>1</v>
      </c>
      <c r="M17" s="7459">
        <f>+M16/M15</f>
        <v>3.3266504448069552</v>
      </c>
      <c r="N17" s="7458">
        <v>1</v>
      </c>
      <c r="O17" s="7459">
        <f>+O16/O15</f>
        <v>2.7066699110814252</v>
      </c>
      <c r="P17" s="7460">
        <f>+P16/P15</f>
        <v>1</v>
      </c>
      <c r="Q17" s="7460">
        <f>+Q16/Q15</f>
        <v>3.1738346234485704</v>
      </c>
      <c r="R17" s="7458">
        <v>1</v>
      </c>
      <c r="S17" s="7459">
        <f>+S16/S15</f>
        <v>3.1661524440311113</v>
      </c>
      <c r="T17" s="7459">
        <v>1</v>
      </c>
      <c r="U17" s="7459">
        <f>+U16/U15</f>
        <v>3.1724111003593949</v>
      </c>
      <c r="V17" s="7458">
        <v>1</v>
      </c>
      <c r="W17" s="7459">
        <f>+W16/W15</f>
        <v>2.7714394924114925</v>
      </c>
      <c r="X17" s="7459">
        <v>1</v>
      </c>
      <c r="Y17" s="7459">
        <f>+Y16/Y15</f>
        <v>2.8773040086892152</v>
      </c>
      <c r="Z17" s="7459">
        <f>+Z16/Z15</f>
        <v>1</v>
      </c>
      <c r="AA17" s="7459">
        <f>+AA16/AA15</f>
        <v>3.1106935071601818</v>
      </c>
      <c r="AB17" s="7458">
        <v>1</v>
      </c>
      <c r="AC17" s="7459">
        <f>+AC16/AC15</f>
        <v>5.0506939431024094</v>
      </c>
      <c r="AD17" s="7459">
        <v>1</v>
      </c>
      <c r="AE17" s="7459">
        <f>+AE16/AE15</f>
        <v>3.3243050694511602</v>
      </c>
      <c r="AF17" s="7458">
        <v>1</v>
      </c>
      <c r="AG17" s="7459">
        <f>+AG16/AG15</f>
        <v>4.9043574239599792</v>
      </c>
      <c r="AH17" s="7459">
        <v>1</v>
      </c>
      <c r="AI17" s="7461">
        <f>+AI16/AI15</f>
        <v>3.5051642288741385</v>
      </c>
      <c r="AJ17" s="7458">
        <v>1</v>
      </c>
      <c r="AK17" s="7459">
        <f>+AK16/AK15</f>
        <v>4.9258995071181975</v>
      </c>
      <c r="AL17" s="7462">
        <v>1</v>
      </c>
      <c r="AM17" s="7462">
        <f>+AM16/AM15</f>
        <v>4.9547765703532232</v>
      </c>
      <c r="AN17" s="7462">
        <v>1</v>
      </c>
      <c r="AO17" s="7462">
        <f>+AO16/AO15</f>
        <v>3.6619210751740749</v>
      </c>
      <c r="AP17" s="7458">
        <v>1</v>
      </c>
      <c r="AQ17" s="7459">
        <f>+AQ16/AQ15</f>
        <v>5.7349735669119939</v>
      </c>
      <c r="AR17" s="7462">
        <v>1</v>
      </c>
      <c r="AS17" s="7462">
        <f>+AS16/AS15</f>
        <v>3.9254298232168385</v>
      </c>
      <c r="AT17" s="7458">
        <v>1</v>
      </c>
      <c r="AU17" s="7459">
        <f>+AU16/AU15</f>
        <v>6.5072215043974593</v>
      </c>
      <c r="AV17" s="7462">
        <v>1</v>
      </c>
      <c r="AW17" s="7462">
        <f>+AW16/AW15</f>
        <v>4.187306696246468</v>
      </c>
      <c r="AX17" s="7458">
        <v>1</v>
      </c>
      <c r="AY17" s="7459">
        <f>+AY16/AY15</f>
        <v>5.7244759186763901</v>
      </c>
      <c r="AZ17" s="7462">
        <v>1</v>
      </c>
      <c r="BA17" s="7462">
        <f>+BA16/BA15</f>
        <v>5.9732534455577095</v>
      </c>
      <c r="BB17" s="7462">
        <f>+BB16/BB15</f>
        <v>1</v>
      </c>
      <c r="BC17" s="7462">
        <f>+BC16/BC15</f>
        <v>5.5456395582009508</v>
      </c>
      <c r="BD17" s="7462">
        <v>1</v>
      </c>
      <c r="BE17" s="7462">
        <f>+BE16/BE15</f>
        <v>4.3375299296782348</v>
      </c>
      <c r="BG17" s="518"/>
    </row>
    <row r="18" spans="1:95" s="139" customFormat="1" ht="15.75" x14ac:dyDescent="0.25">
      <c r="B18" s="2960" t="s">
        <v>771</v>
      </c>
      <c r="C18" s="4659" t="s">
        <v>352</v>
      </c>
      <c r="D18" s="7631">
        <f>+'Maj Production Summ'!E18</f>
        <v>193691.14877589454</v>
      </c>
      <c r="E18" s="4616">
        <f>+'Maj Production Summ'!F18</f>
        <v>223226</v>
      </c>
      <c r="F18" s="7449">
        <f>+'Maj Production Summ'!G18</f>
        <v>244664.77809253999</v>
      </c>
      <c r="G18" s="4616">
        <f>+'Maj Production Summ'!H18</f>
        <v>236638</v>
      </c>
      <c r="H18" s="7446">
        <f>+'Maj Production Summ'!I18</f>
        <v>438355.92686843453</v>
      </c>
      <c r="I18" s="7446">
        <f>+'Maj Production Summ'!J18</f>
        <v>459864</v>
      </c>
      <c r="J18" s="7449">
        <f>+'Maj Production Summ'!K18</f>
        <v>237110.48158640199</v>
      </c>
      <c r="K18" s="4616">
        <f>+'Maj Production Summ'!L18</f>
        <v>243453</v>
      </c>
      <c r="L18" s="4656">
        <f>+'Maj Production Summ'!M18</f>
        <v>675466.40845483658</v>
      </c>
      <c r="M18" s="4656">
        <f>+'Maj Production Summ'!N18</f>
        <v>703317</v>
      </c>
      <c r="N18" s="7449">
        <f>+'Maj Production Summ'!O18</f>
        <v>239943.34277620399</v>
      </c>
      <c r="O18" s="4616">
        <f>+'Maj Production Summ'!P18</f>
        <v>253662</v>
      </c>
      <c r="P18" s="7446">
        <f>+'Maj Production Summ'!Q18</f>
        <v>915409.75123104057</v>
      </c>
      <c r="Q18" s="7446">
        <f>+'Maj Production Summ'!R18</f>
        <v>956979</v>
      </c>
      <c r="R18" s="7449">
        <f>+'Maj Production Summ'!S18</f>
        <v>239943.34277620399</v>
      </c>
      <c r="S18" s="4616">
        <f>+'Maj Production Summ'!T18</f>
        <v>237622</v>
      </c>
      <c r="T18" s="7446">
        <f>+'Maj Production Summ'!U18</f>
        <v>1155353.0940072446</v>
      </c>
      <c r="U18" s="7446">
        <f>+'Maj Production Summ'!V18</f>
        <v>1194601</v>
      </c>
      <c r="V18" s="7449">
        <f>+'Maj Production Summ'!W18</f>
        <v>125920.679886686</v>
      </c>
      <c r="W18" s="4616">
        <f>+'Maj Production Summ'!X18</f>
        <v>226847</v>
      </c>
      <c r="X18" s="4656">
        <f>+'Maj Production Summ'!Y18</f>
        <v>605807.36543909402</v>
      </c>
      <c r="Y18" s="4656">
        <f>+'Maj Production Summ'!Z18</f>
        <v>718131</v>
      </c>
      <c r="Z18" s="7447">
        <f>+'Maj Production Summ'!AA18</f>
        <v>1281273.7738939305</v>
      </c>
      <c r="AA18" s="7447">
        <f>+'Maj Production Summ'!AB18</f>
        <v>1421448</v>
      </c>
      <c r="AB18" s="7449">
        <f>+'Maj Production Summ'!AC18</f>
        <v>244664.77809253999</v>
      </c>
      <c r="AC18" s="4616">
        <f>+'Maj Production Summ'!AD18</f>
        <v>179201</v>
      </c>
      <c r="AD18" s="4616">
        <f>+'Maj Production Summ'!AE18</f>
        <v>1525938.5519864704</v>
      </c>
      <c r="AE18" s="4616">
        <f>+'Maj Production Summ'!AF18</f>
        <v>1600649</v>
      </c>
      <c r="AF18" s="7449">
        <f>+'Maj Production Summ'!AG18</f>
        <v>237110.48158640199</v>
      </c>
      <c r="AG18" s="4616">
        <f>+'Maj Production Summ'!AH18</f>
        <v>229502</v>
      </c>
      <c r="AH18" s="7446">
        <f>+'Maj Production Summ'!AI18</f>
        <v>1763049.0335728724</v>
      </c>
      <c r="AI18" s="1100">
        <f>+'Maj Production Summ'!AJ18</f>
        <v>1830151</v>
      </c>
      <c r="AJ18" s="7449">
        <f>+'Maj Production Summ'!AK18</f>
        <v>244664.77809253999</v>
      </c>
      <c r="AK18" s="4616">
        <f>+'Maj Production Summ'!AL18</f>
        <v>234365</v>
      </c>
      <c r="AL18" s="2886">
        <f>+'Maj Production Summ'!AM18</f>
        <v>726440.03777148202</v>
      </c>
      <c r="AM18" s="2886">
        <f>+'Maj Production Summ'!AN18</f>
        <v>643068</v>
      </c>
      <c r="AN18" s="5076">
        <f>+'Maj Production Summ'!AO18</f>
        <v>2007713.8116654125</v>
      </c>
      <c r="AO18" s="5076">
        <f>+'Maj Production Summ'!AP18</f>
        <v>2064516</v>
      </c>
      <c r="AP18" s="7449">
        <f>+'Maj Production Summ'!AQ18</f>
        <v>248441.92634560907</v>
      </c>
      <c r="AQ18" s="4616">
        <f>+'Maj Production Summ'!AR18</f>
        <v>228047</v>
      </c>
      <c r="AR18" s="2969">
        <f>+'Maj Production Summ'!AS18</f>
        <v>2256155.7380110216</v>
      </c>
      <c r="AS18" s="2969">
        <f>+'Maj Production Summ'!AT18</f>
        <v>2292563</v>
      </c>
      <c r="AT18" s="7449">
        <f>+'Maj Production Summ'!AU18</f>
        <v>222001.88857412653</v>
      </c>
      <c r="AU18" s="4616">
        <f>+'Maj Production Summ'!AV18</f>
        <v>185016</v>
      </c>
      <c r="AV18" s="5076">
        <f>+'Maj Production Summ'!AW18</f>
        <v>2478157.6265851483</v>
      </c>
      <c r="AW18" s="5076">
        <f>+'Maj Production Summ'!AX18</f>
        <v>2477579</v>
      </c>
      <c r="AX18" s="7449">
        <f>+'Maj Production Summ'!AY18</f>
        <v>248441.92634560907</v>
      </c>
      <c r="AY18" s="4616">
        <f>+'Maj Production Summ'!AZ18</f>
        <v>241240</v>
      </c>
      <c r="AZ18" s="2886">
        <f>+'Maj Production Summ'!BA18</f>
        <v>718885.74126534467</v>
      </c>
      <c r="BA18" s="2886">
        <f>+'Maj Production Summ'!BB18</f>
        <v>654303</v>
      </c>
      <c r="BB18" s="7448">
        <f>+'Maj Production Summ'!BC18</f>
        <v>1445325.7790368267</v>
      </c>
      <c r="BC18" s="7448">
        <f>+'Maj Production Summ'!BD18</f>
        <v>1297371</v>
      </c>
      <c r="BD18" s="5076">
        <f>+'Maj Production Summ'!BE18</f>
        <v>2726599.5529307574</v>
      </c>
      <c r="BE18" s="5076">
        <f>+'Maj Production Summ'!BF18</f>
        <v>2718819</v>
      </c>
      <c r="BF18" s="4487"/>
      <c r="BG18" s="4487"/>
      <c r="BH18" s="4487"/>
      <c r="BI18" s="4487"/>
      <c r="BJ18" s="4487"/>
      <c r="BK18" s="4487"/>
      <c r="BL18" s="4487"/>
      <c r="BM18" s="4487"/>
      <c r="BN18" s="4487"/>
      <c r="BO18" s="4487"/>
      <c r="BP18" s="4487"/>
      <c r="BQ18" s="4487"/>
      <c r="BR18" s="4487"/>
      <c r="BS18" s="4487"/>
      <c r="BT18" s="4487"/>
      <c r="BU18" s="4487"/>
      <c r="BV18" s="4487"/>
      <c r="BW18" s="4487"/>
      <c r="BX18" s="4487"/>
      <c r="BY18" s="4487"/>
      <c r="BZ18" s="4487"/>
      <c r="CA18" s="4487"/>
      <c r="CB18" s="4487"/>
      <c r="CC18" s="4487"/>
      <c r="CD18" s="4487"/>
      <c r="CE18" s="4487"/>
      <c r="CF18" s="4487"/>
      <c r="CG18" s="2958"/>
      <c r="CH18" s="2958"/>
      <c r="CI18" s="2958"/>
      <c r="CJ18" s="2958"/>
      <c r="CK18" s="2958"/>
      <c r="CL18" s="2958"/>
      <c r="CM18" s="2958"/>
      <c r="CN18" s="2958"/>
      <c r="CO18" s="2958"/>
      <c r="CP18" s="2958"/>
      <c r="CQ18" s="2958"/>
    </row>
    <row r="19" spans="1:95" ht="15.75" x14ac:dyDescent="0.25">
      <c r="A19" s="139"/>
      <c r="B19" s="3102" t="s">
        <v>1387</v>
      </c>
      <c r="C19" s="4660" t="s">
        <v>1386</v>
      </c>
      <c r="D19" s="7455">
        <f>+SMS!E94</f>
        <v>126</v>
      </c>
      <c r="E19" s="4673">
        <f>+SMS!F94</f>
        <v>161.08460251046023</v>
      </c>
      <c r="F19" s="7455">
        <f>+SMS!G94</f>
        <v>126</v>
      </c>
      <c r="G19" s="4673">
        <f>+SMS!H94</f>
        <v>127.96098023140831</v>
      </c>
      <c r="H19" s="4674">
        <f>+SMS!I94</f>
        <v>126</v>
      </c>
      <c r="I19" s="4674">
        <f>+SMS!J94</f>
        <v>144.03976375624094</v>
      </c>
      <c r="J19" s="7455">
        <f>+SMS!K94</f>
        <v>126</v>
      </c>
      <c r="K19" s="4673">
        <f>+SMS!L94</f>
        <v>124.27164043983849</v>
      </c>
      <c r="L19" s="4675">
        <f>+SMS!M94</f>
        <v>125.99999999999997</v>
      </c>
      <c r="M19" s="4675">
        <f>+SMS!N94</f>
        <v>137.19703291687819</v>
      </c>
      <c r="N19" s="7455">
        <f>+SMS!O94</f>
        <v>126</v>
      </c>
      <c r="O19" s="4673">
        <f>+SMS!P94</f>
        <v>124.43389951983349</v>
      </c>
      <c r="P19" s="4674">
        <f>+SMS!Q94</f>
        <v>125.99999999999997</v>
      </c>
      <c r="Q19" s="4674">
        <f>+SMS!R94</f>
        <v>133.81396814350157</v>
      </c>
      <c r="R19" s="7455">
        <f>+SMS!S94</f>
        <v>126</v>
      </c>
      <c r="S19" s="4673">
        <f>+SMS!T94</f>
        <v>122.5746386277365</v>
      </c>
      <c r="T19" s="4674">
        <f>+SMS!U94</f>
        <v>126</v>
      </c>
      <c r="U19" s="4674">
        <f>+SMS!V94</f>
        <v>131.57831627463898</v>
      </c>
      <c r="V19" s="7455">
        <f>+SMS!W94</f>
        <v>126</v>
      </c>
      <c r="W19" s="4673">
        <f>+SMS!X94</f>
        <v>126.05443907126829</v>
      </c>
      <c r="X19" s="4675">
        <f>+SMS!Y94</f>
        <v>126</v>
      </c>
      <c r="Y19" s="4675">
        <f>+SMS!Z94</f>
        <v>124.33059419520951</v>
      </c>
      <c r="Z19" s="4676">
        <f>+SMS!AA94</f>
        <v>126</v>
      </c>
      <c r="AA19" s="4676">
        <f>+SMS!AB94</f>
        <v>130.69676804216544</v>
      </c>
      <c r="AB19" s="7455">
        <f>+SMS!AC94</f>
        <v>126</v>
      </c>
      <c r="AC19" s="4673">
        <f>+SMS!AD94</f>
        <v>128.27485253988536</v>
      </c>
      <c r="AD19" s="4673">
        <f>+SMS!AE94</f>
        <v>126.00000000000003</v>
      </c>
      <c r="AE19" s="4673">
        <f>+SMS!AF94</f>
        <v>130.42562197583604</v>
      </c>
      <c r="AF19" s="7455">
        <f>+SMS!AG94</f>
        <v>126</v>
      </c>
      <c r="AG19" s="4673">
        <f>+SMS!AH94</f>
        <v>117.58051912401635</v>
      </c>
      <c r="AH19" s="4674">
        <f>+SMS!AI94</f>
        <v>126</v>
      </c>
      <c r="AI19" s="6431">
        <f>+SMS!AJ94</f>
        <v>128.81483860621339</v>
      </c>
      <c r="AJ19" s="7455">
        <f>+SMS!AK94</f>
        <v>126</v>
      </c>
      <c r="AK19" s="4673">
        <f>+SMS!AL94</f>
        <v>124.75182757664327</v>
      </c>
      <c r="AL19" s="2971">
        <f>+SMS!AM94</f>
        <v>126</v>
      </c>
      <c r="AM19" s="2971">
        <f>+SMS!AN94</f>
        <v>123.17423386018274</v>
      </c>
      <c r="AN19" s="2970">
        <f>+SMS!AO94</f>
        <v>126</v>
      </c>
      <c r="AO19" s="2970">
        <f>+SMS!AP94</f>
        <v>128.35360334335022</v>
      </c>
      <c r="AP19" s="7455">
        <f>+SMS!AQ94</f>
        <v>126</v>
      </c>
      <c r="AQ19" s="4673">
        <f>+SMS!AR94</f>
        <v>169.21073287524064</v>
      </c>
      <c r="AR19" s="5305">
        <f>+SMS!AS94</f>
        <v>126</v>
      </c>
      <c r="AS19" s="5305">
        <f>+SMS!AT94</f>
        <v>132.41776464158235</v>
      </c>
      <c r="AT19" s="7455">
        <f>+SMS!AU94</f>
        <v>126</v>
      </c>
      <c r="AU19" s="4673">
        <f>+SMS!AV94</f>
        <v>185.21806951831192</v>
      </c>
      <c r="AV19" s="2970">
        <f>+SMS!AW94</f>
        <v>125.99999999999997</v>
      </c>
      <c r="AW19" s="2970">
        <f>+SMS!AX94</f>
        <v>136.36068682774592</v>
      </c>
      <c r="AX19" s="7455">
        <f>+SMS!AY94</f>
        <v>126</v>
      </c>
      <c r="AY19" s="4673">
        <f>+SMS!AZ94</f>
        <v>151.68580061349692</v>
      </c>
      <c r="AZ19" s="2971">
        <f>+SMS!BA94</f>
        <v>126</v>
      </c>
      <c r="BA19" s="2971">
        <f>+SMS!BB94</f>
        <v>167.27569473164576</v>
      </c>
      <c r="BB19" s="2972">
        <f>+SMS!BC94</f>
        <v>126</v>
      </c>
      <c r="BC19" s="2972">
        <f>+SMS!BD94</f>
        <v>145.4159196636891</v>
      </c>
      <c r="BD19" s="2970">
        <f>+SMS!BA94</f>
        <v>126</v>
      </c>
      <c r="BE19" s="2970">
        <f>+SMS!BF94</f>
        <v>137.72047960897726</v>
      </c>
      <c r="CG19" s="2958"/>
      <c r="CH19" s="2958"/>
      <c r="CI19" s="2958"/>
      <c r="CJ19" s="2958"/>
      <c r="CK19" s="2958"/>
      <c r="CL19" s="2958"/>
      <c r="CM19" s="2958"/>
      <c r="CN19" s="2958"/>
      <c r="CO19" s="2958"/>
      <c r="CP19" s="2958"/>
      <c r="CQ19" s="2958"/>
    </row>
    <row r="20" spans="1:95" ht="15.75" x14ac:dyDescent="0.25">
      <c r="A20" s="139"/>
      <c r="B20" s="3103"/>
      <c r="C20" s="4660"/>
      <c r="D20" s="7455"/>
      <c r="E20" s="4673"/>
      <c r="F20" s="7455"/>
      <c r="G20" s="4673"/>
      <c r="H20" s="4674"/>
      <c r="I20" s="4674"/>
      <c r="J20" s="7455"/>
      <c r="K20" s="4673"/>
      <c r="L20" s="4675"/>
      <c r="M20" s="4675"/>
      <c r="N20" s="7455"/>
      <c r="O20" s="4673"/>
      <c r="P20" s="4674"/>
      <c r="Q20" s="4674"/>
      <c r="R20" s="7455"/>
      <c r="S20" s="4673"/>
      <c r="T20" s="4674"/>
      <c r="U20" s="4674"/>
      <c r="V20" s="7455"/>
      <c r="W20" s="4673"/>
      <c r="X20" s="4675"/>
      <c r="Y20" s="4675"/>
      <c r="Z20" s="4676"/>
      <c r="AA20" s="4676"/>
      <c r="AB20" s="7455"/>
      <c r="AC20" s="4673"/>
      <c r="AD20" s="4673"/>
      <c r="AE20" s="4673"/>
      <c r="AF20" s="7455"/>
      <c r="AG20" s="4673"/>
      <c r="AH20" s="4674"/>
      <c r="AI20" s="6431"/>
      <c r="AJ20" s="7455"/>
      <c r="AK20" s="4673"/>
      <c r="AL20" s="2971"/>
      <c r="AM20" s="2971"/>
      <c r="AN20" s="2970"/>
      <c r="AO20" s="2970"/>
      <c r="AP20" s="7455"/>
      <c r="AQ20" s="4673"/>
      <c r="AR20" s="5305"/>
      <c r="AS20" s="5305"/>
      <c r="AT20" s="7455"/>
      <c r="AU20" s="4673"/>
      <c r="AV20" s="2970"/>
      <c r="AW20" s="2970"/>
      <c r="AX20" s="7455"/>
      <c r="AY20" s="4673"/>
      <c r="AZ20" s="2971"/>
      <c r="BA20" s="2971"/>
      <c r="BB20" s="2972"/>
      <c r="BC20" s="2972"/>
      <c r="BD20" s="2970"/>
      <c r="BE20" s="2970"/>
      <c r="CG20" s="2958"/>
      <c r="CH20" s="2958"/>
      <c r="CI20" s="2958"/>
      <c r="CJ20" s="2958"/>
      <c r="CK20" s="2958"/>
      <c r="CL20" s="2958"/>
      <c r="CM20" s="2958"/>
      <c r="CN20" s="2958"/>
      <c r="CO20" s="2958"/>
      <c r="CP20" s="2958"/>
      <c r="CQ20" s="2958"/>
    </row>
    <row r="21" spans="1:95" s="139" customFormat="1" ht="15" customHeight="1" x14ac:dyDescent="0.25">
      <c r="B21" s="7478" t="s">
        <v>1388</v>
      </c>
      <c r="C21" s="7479" t="s">
        <v>352</v>
      </c>
      <c r="D21" s="7480"/>
      <c r="E21" s="7629">
        <f>+'Direct sales IPT details'!E100</f>
        <v>0</v>
      </c>
      <c r="F21" s="7480"/>
      <c r="G21" s="7481">
        <f>+'Direct sales IPT details'!G100</f>
        <v>0</v>
      </c>
      <c r="H21" s="7333"/>
      <c r="I21" s="7333">
        <f>+G21+E21</f>
        <v>0</v>
      </c>
      <c r="J21" s="7480"/>
      <c r="K21" s="7481">
        <f>+'Direct sales IPT details'!K100</f>
        <v>0</v>
      </c>
      <c r="L21" s="7482"/>
      <c r="M21" s="7091">
        <f>+E21+G21+K21</f>
        <v>0</v>
      </c>
      <c r="N21" s="7480"/>
      <c r="O21" s="7481">
        <f>+'Direct sales IPT details'!O100</f>
        <v>3071.800000000002</v>
      </c>
      <c r="P21" s="7333"/>
      <c r="Q21" s="7333">
        <f>+O21+M21</f>
        <v>3071.800000000002</v>
      </c>
      <c r="R21" s="7480"/>
      <c r="S21" s="7481">
        <f>+'Direct sales IPT details'!S100</f>
        <v>4523.51</v>
      </c>
      <c r="T21" s="7483"/>
      <c r="U21" s="7333">
        <f>+S21+Q21</f>
        <v>7595.3100000000022</v>
      </c>
      <c r="V21" s="7480"/>
      <c r="W21" s="7481">
        <f>+'Direct sales IPT details'!W100</f>
        <v>8437.6100000000024</v>
      </c>
      <c r="X21" s="7482"/>
      <c r="Y21" s="7091">
        <f>+O21+S21+W21</f>
        <v>16032.920000000006</v>
      </c>
      <c r="Z21" s="7484"/>
      <c r="AA21" s="7092">
        <f>+Y21+M21</f>
        <v>16032.920000000006</v>
      </c>
      <c r="AB21" s="7480"/>
      <c r="AC21" s="7481">
        <f>+'Direct sales IPT details'!AC100</f>
        <v>15050.02</v>
      </c>
      <c r="AD21" s="7483"/>
      <c r="AE21" s="7333">
        <f>+AC21+AA21</f>
        <v>31082.940000000006</v>
      </c>
      <c r="AF21" s="7480"/>
      <c r="AG21" s="7481">
        <f>+'Direct sales IPT details'!AG100</f>
        <v>11706.12</v>
      </c>
      <c r="AH21" s="7483"/>
      <c r="AI21" s="7333">
        <f>+AG21+AE21</f>
        <v>42789.060000000005</v>
      </c>
      <c r="AJ21" s="7480"/>
      <c r="AK21" s="7481">
        <f>+'Direct sales IPT details'!AK100</f>
        <v>6843.46</v>
      </c>
      <c r="AL21" s="7482"/>
      <c r="AM21" s="7091">
        <f>+AC21+AG21+AK21</f>
        <v>33599.599999999999</v>
      </c>
      <c r="AN21" s="7483"/>
      <c r="AO21" s="7333">
        <f>+AK21+AI21</f>
        <v>49632.520000000004</v>
      </c>
      <c r="AP21" s="7480"/>
      <c r="AQ21" s="7481">
        <f>+'Direct sales IPT details'!AQ100</f>
        <v>6263.2699999999968</v>
      </c>
      <c r="AR21" s="7485"/>
      <c r="AS21" s="7299">
        <f>+AQ21+AO21</f>
        <v>55895.79</v>
      </c>
      <c r="AT21" s="7480"/>
      <c r="AU21" s="7481">
        <f>+'Direct sales IPT details'!AU100</f>
        <v>0</v>
      </c>
      <c r="AV21" s="7483"/>
      <c r="AW21" s="7333">
        <f>+AU21+AS21</f>
        <v>55895.79</v>
      </c>
      <c r="AX21" s="7480"/>
      <c r="AY21" s="7481">
        <f>+'Direct sales IPT details'!AY100</f>
        <v>0</v>
      </c>
      <c r="AZ21" s="7482"/>
      <c r="BA21" s="7091">
        <f>+AQ21+AU21+AY21</f>
        <v>6263.2699999999968</v>
      </c>
      <c r="BB21" s="7484"/>
      <c r="BC21" s="7092">
        <f t="shared" ref="BC21:BC35" si="57">+BA21+AM21</f>
        <v>39862.869999999995</v>
      </c>
      <c r="BD21" s="7483"/>
      <c r="BE21" s="7333">
        <f>+AY21+AW21</f>
        <v>55895.79</v>
      </c>
      <c r="BF21" s="4487"/>
      <c r="BG21" s="4487"/>
      <c r="BH21" s="4487"/>
      <c r="BI21" s="4487"/>
      <c r="BJ21" s="4487"/>
      <c r="BK21" s="4487"/>
      <c r="BL21" s="4487"/>
      <c r="BM21" s="4487"/>
      <c r="BN21" s="4487"/>
      <c r="BO21" s="4487"/>
      <c r="BP21" s="4487"/>
      <c r="BQ21" s="4487"/>
      <c r="BR21" s="4487"/>
      <c r="BS21" s="4487"/>
      <c r="BT21" s="4487"/>
      <c r="BU21" s="4487"/>
      <c r="BV21" s="4487"/>
      <c r="BW21" s="4487"/>
      <c r="BX21" s="4487"/>
      <c r="BY21" s="4487"/>
      <c r="BZ21" s="4487"/>
      <c r="CA21" s="4487"/>
      <c r="CB21" s="4487"/>
      <c r="CC21" s="4487"/>
      <c r="CD21" s="4487"/>
      <c r="CE21" s="4487"/>
      <c r="CF21" s="4487"/>
      <c r="CG21" s="2958"/>
      <c r="CH21" s="2958"/>
      <c r="CI21" s="2958"/>
      <c r="CJ21" s="2958"/>
      <c r="CK21" s="2958"/>
      <c r="CL21" s="2958"/>
      <c r="CM21" s="2958"/>
      <c r="CN21" s="2958"/>
      <c r="CO21" s="2958"/>
      <c r="CP21" s="2958"/>
      <c r="CQ21" s="2958"/>
    </row>
    <row r="22" spans="1:95" ht="15.75" x14ac:dyDescent="0.25">
      <c r="A22" s="139"/>
      <c r="B22" s="7478" t="s">
        <v>911</v>
      </c>
      <c r="C22" s="7479" t="s">
        <v>352</v>
      </c>
      <c r="D22" s="8234"/>
      <c r="E22" s="7299">
        <f>+'Direct sales IPT details'!E102</f>
        <v>3762.94</v>
      </c>
      <c r="F22" s="8234">
        <v>17399.384471259</v>
      </c>
      <c r="G22" s="7299">
        <f>+'Direct sales IPT details'!G102</f>
        <v>6134.4500000000007</v>
      </c>
      <c r="H22" s="8235">
        <f t="shared" ref="H22" si="58">+F22+D22</f>
        <v>17399.384471259</v>
      </c>
      <c r="I22" s="7333">
        <f t="shared" ref="I22:I35" si="59">+G22+E22</f>
        <v>9897.3900000000012</v>
      </c>
      <c r="J22" s="8234">
        <v>17399.384471259</v>
      </c>
      <c r="K22" s="7299">
        <f>+'Direct sales IPT details'!K102</f>
        <v>3441.08</v>
      </c>
      <c r="L22" s="8237">
        <f>+D22+F22+J22</f>
        <v>34798.768942518</v>
      </c>
      <c r="M22" s="7091">
        <f t="shared" ref="M22:M35" si="60">+E22+G22+K22</f>
        <v>13338.470000000001</v>
      </c>
      <c r="N22" s="8234">
        <v>17730.0480062395</v>
      </c>
      <c r="O22" s="7299">
        <f>+'Direct sales IPT details'!O102</f>
        <v>7462.4800000000014</v>
      </c>
      <c r="P22" s="8235">
        <f t="shared" ref="P22" si="61">+N22+L22</f>
        <v>52528.8169487575</v>
      </c>
      <c r="Q22" s="7333">
        <f t="shared" ref="Q22:Q25" si="62">+O22+M22</f>
        <v>20800.950000000004</v>
      </c>
      <c r="R22" s="8234"/>
      <c r="S22" s="7299">
        <f>+'Direct sales IPT details'!S102</f>
        <v>36.89</v>
      </c>
      <c r="T22" s="8235">
        <f>+R22+P22</f>
        <v>52528.8169487575</v>
      </c>
      <c r="U22" s="7333">
        <f t="shared" ref="U22:U35" si="63">+S22+Q22</f>
        <v>20837.840000000004</v>
      </c>
      <c r="V22" s="8234"/>
      <c r="W22" s="7299">
        <f>+'Direct sales IPT details'!W102</f>
        <v>7271.5400000000009</v>
      </c>
      <c r="X22" s="8237">
        <f>N22+R22+V22</f>
        <v>17730.0480062395</v>
      </c>
      <c r="Y22" s="7091">
        <f t="shared" ref="Y22:Y35" si="64">+O22+S22+W22</f>
        <v>14770.910000000003</v>
      </c>
      <c r="Z22" s="8238">
        <f>+X22+L22</f>
        <v>52528.8169487575</v>
      </c>
      <c r="AA22" s="7092">
        <f t="shared" ref="AA22:AA35" si="65">+Y22+M22</f>
        <v>28109.380000000005</v>
      </c>
      <c r="AB22" s="8234"/>
      <c r="AC22" s="7299">
        <f>+'Direct sales IPT details'!AC102</f>
        <v>227.29</v>
      </c>
      <c r="AD22" s="8235">
        <f>+AB22+Z22</f>
        <v>52528.8169487575</v>
      </c>
      <c r="AE22" s="7333">
        <f t="shared" ref="AE22:AE35" si="66">+AC22+AA22</f>
        <v>28336.670000000006</v>
      </c>
      <c r="AF22" s="8234"/>
      <c r="AG22" s="7299">
        <f>+'Direct sales IPT details'!AG102</f>
        <v>7499.21</v>
      </c>
      <c r="AH22" s="8235">
        <f>+AF22+AD22</f>
        <v>52528.8169487575</v>
      </c>
      <c r="AI22" s="7333">
        <f t="shared" ref="AI22:AI25" si="67">+AG22+AE22</f>
        <v>35835.880000000005</v>
      </c>
      <c r="AJ22" s="8234"/>
      <c r="AK22" s="7299">
        <f>+'Direct sales IPT details'!AK102</f>
        <v>7498.31</v>
      </c>
      <c r="AL22" s="8247">
        <f>AB22+AF22+AJ22</f>
        <v>0</v>
      </c>
      <c r="AM22" s="7091">
        <f t="shared" ref="AM22:AM35" si="68">+AC22+AG22+AK22</f>
        <v>15224.810000000001</v>
      </c>
      <c r="AN22" s="8235">
        <f>+AJ22+AH22</f>
        <v>52528.8169487575</v>
      </c>
      <c r="AO22" s="7333">
        <f t="shared" ref="AO22:AO35" si="69">+AK22+AI22</f>
        <v>43334.19</v>
      </c>
      <c r="AP22" s="8234"/>
      <c r="AQ22" s="7299">
        <f>+'Direct sales IPT details'!AQ102</f>
        <v>5623.5899999999983</v>
      </c>
      <c r="AR22" s="8235">
        <f>+AP22+AN22</f>
        <v>52528.8169487575</v>
      </c>
      <c r="AS22" s="7333">
        <f t="shared" ref="AS22:AS35" si="70">+AQ22+AO22</f>
        <v>48957.78</v>
      </c>
      <c r="AT22" s="8234"/>
      <c r="AU22" s="7299">
        <f>+'Direct sales IPT details'!AU102</f>
        <v>5113.6299999999992</v>
      </c>
      <c r="AV22" s="8235">
        <f>+AT22+AR22</f>
        <v>52528.8169487575</v>
      </c>
      <c r="AW22" s="7333">
        <f t="shared" ref="AW22:AW25" si="71">+AU22+AS22</f>
        <v>54071.409999999996</v>
      </c>
      <c r="AX22" s="8234"/>
      <c r="AY22" s="7299">
        <f>+'Direct sales IPT details'!AY102</f>
        <v>1762.6700000000003</v>
      </c>
      <c r="AZ22" s="8247">
        <f>AP22+AT22+AX22</f>
        <v>0</v>
      </c>
      <c r="BA22" s="7091">
        <f t="shared" ref="BA22:BA35" si="72">+AQ22+AU22+AY22</f>
        <v>12499.889999999998</v>
      </c>
      <c r="BB22" s="8238">
        <f>+AZ22+AN22</f>
        <v>52528.8169487575</v>
      </c>
      <c r="BC22" s="7092">
        <f t="shared" si="57"/>
        <v>27724.699999999997</v>
      </c>
      <c r="BD22" s="8235">
        <f>+AX22+AV22</f>
        <v>52528.8169487575</v>
      </c>
      <c r="BE22" s="7333">
        <f t="shared" ref="BE22:BE35" si="73">+AY22+AW22</f>
        <v>55834.079999999994</v>
      </c>
      <c r="CG22" s="2958"/>
      <c r="CH22" s="2958"/>
      <c r="CI22" s="2958"/>
      <c r="CJ22" s="2958"/>
      <c r="CK22" s="2958"/>
      <c r="CL22" s="2958"/>
      <c r="CM22" s="2958"/>
      <c r="CN22" s="2958"/>
      <c r="CO22" s="2958"/>
      <c r="CP22" s="2958"/>
      <c r="CQ22" s="2958"/>
    </row>
    <row r="23" spans="1:95" s="139" customFormat="1" ht="15.75" customHeight="1" x14ac:dyDescent="0.25">
      <c r="B23" s="7478" t="s">
        <v>1226</v>
      </c>
      <c r="C23" s="7479" t="s">
        <v>352</v>
      </c>
      <c r="D23" s="8234"/>
      <c r="E23" s="7299">
        <f>+'Direct sales IPT details'!E103</f>
        <v>1480.23</v>
      </c>
      <c r="F23" s="8234"/>
      <c r="G23" s="7299">
        <f>+'Direct sales IPT details'!G103</f>
        <v>2999.8000000000011</v>
      </c>
      <c r="H23" s="8235"/>
      <c r="I23" s="7333">
        <f t="shared" si="59"/>
        <v>4480.0300000000007</v>
      </c>
      <c r="J23" s="8234"/>
      <c r="K23" s="7299">
        <f>+'Direct sales IPT details'!K103</f>
        <v>0</v>
      </c>
      <c r="L23" s="8237"/>
      <c r="M23" s="7091">
        <f t="shared" si="60"/>
        <v>4480.0300000000007</v>
      </c>
      <c r="N23" s="8234"/>
      <c r="O23" s="7299">
        <f>+'Direct sales IPT details'!O103</f>
        <v>2456.2199999999998</v>
      </c>
      <c r="P23" s="8235"/>
      <c r="Q23" s="7333">
        <f t="shared" si="62"/>
        <v>6936.25</v>
      </c>
      <c r="R23" s="8234"/>
      <c r="S23" s="7299">
        <f>+'Direct sales IPT details'!S103</f>
        <v>42.35</v>
      </c>
      <c r="T23" s="8235"/>
      <c r="U23" s="7333">
        <f t="shared" si="63"/>
        <v>6978.6</v>
      </c>
      <c r="V23" s="8234"/>
      <c r="W23" s="7299">
        <f>+'Direct sales IPT details'!W103</f>
        <v>2499.7500000000009</v>
      </c>
      <c r="X23" s="8237"/>
      <c r="Y23" s="7091">
        <f t="shared" si="64"/>
        <v>4998.3200000000006</v>
      </c>
      <c r="Z23" s="8238"/>
      <c r="AA23" s="7092">
        <f t="shared" si="65"/>
        <v>9478.3500000000022</v>
      </c>
      <c r="AB23" s="8234"/>
      <c r="AC23" s="7299">
        <f>+'Direct sales IPT details'!AC103</f>
        <v>0</v>
      </c>
      <c r="AD23" s="8235"/>
      <c r="AE23" s="7333">
        <f t="shared" si="66"/>
        <v>9478.3500000000022</v>
      </c>
      <c r="AF23" s="8234"/>
      <c r="AG23" s="7299">
        <f>+'Direct sales IPT details'!AG103</f>
        <v>2499.4499999999998</v>
      </c>
      <c r="AH23" s="8235"/>
      <c r="AI23" s="7333">
        <f t="shared" si="67"/>
        <v>11977.800000000003</v>
      </c>
      <c r="AJ23" s="8234"/>
      <c r="AK23" s="7299">
        <f>+'Direct sales IPT details'!AK103</f>
        <v>2499.71</v>
      </c>
      <c r="AL23" s="8247"/>
      <c r="AM23" s="7091">
        <f t="shared" si="68"/>
        <v>4999.16</v>
      </c>
      <c r="AN23" s="8235"/>
      <c r="AO23" s="7333">
        <f t="shared" si="69"/>
        <v>14477.510000000002</v>
      </c>
      <c r="AP23" s="8234"/>
      <c r="AQ23" s="7299">
        <f>+'Direct sales IPT details'!AQ103</f>
        <v>2499.9199999999996</v>
      </c>
      <c r="AR23" s="8235"/>
      <c r="AS23" s="7333">
        <f t="shared" si="70"/>
        <v>16977.43</v>
      </c>
      <c r="AT23" s="8234"/>
      <c r="AU23" s="7299">
        <f>+'Direct sales IPT details'!AU103</f>
        <v>2499.7399999999998</v>
      </c>
      <c r="AV23" s="8235"/>
      <c r="AW23" s="7333">
        <f t="shared" si="71"/>
        <v>19477.169999999998</v>
      </c>
      <c r="AX23" s="8234"/>
      <c r="AY23" s="7299">
        <f>+'Direct sales IPT details'!AY103</f>
        <v>0</v>
      </c>
      <c r="AZ23" s="8247"/>
      <c r="BA23" s="7091">
        <f t="shared" si="72"/>
        <v>4999.66</v>
      </c>
      <c r="BB23" s="8238"/>
      <c r="BC23" s="7092">
        <f t="shared" si="57"/>
        <v>9998.82</v>
      </c>
      <c r="BD23" s="8235"/>
      <c r="BE23" s="7333">
        <f t="shared" si="73"/>
        <v>19477.169999999998</v>
      </c>
      <c r="BF23" s="4487"/>
      <c r="BG23" s="4487"/>
      <c r="BH23" s="4487"/>
      <c r="BI23" s="4487"/>
      <c r="BJ23" s="4487"/>
      <c r="BK23" s="4487"/>
      <c r="BL23" s="4487"/>
      <c r="BM23" s="4487"/>
      <c r="BN23" s="4487"/>
      <c r="BO23" s="4487"/>
      <c r="BP23" s="4487"/>
      <c r="BQ23" s="4487"/>
      <c r="BR23" s="4487"/>
      <c r="BS23" s="4487"/>
      <c r="BT23" s="4487"/>
      <c r="BU23" s="4487"/>
      <c r="BV23" s="4487"/>
      <c r="BW23" s="4487"/>
      <c r="BX23" s="4487"/>
      <c r="BY23" s="4487"/>
      <c r="BZ23" s="4487"/>
      <c r="CA23" s="4487"/>
      <c r="CB23" s="4487"/>
      <c r="CC23" s="4487"/>
      <c r="CD23" s="4487"/>
      <c r="CE23" s="4487"/>
      <c r="CF23" s="4487"/>
      <c r="CG23" s="2958"/>
      <c r="CH23" s="2958"/>
      <c r="CI23" s="2958"/>
      <c r="CJ23" s="2958"/>
      <c r="CK23" s="2958"/>
      <c r="CL23" s="2958"/>
      <c r="CM23" s="2958"/>
      <c r="CN23" s="2958"/>
      <c r="CO23" s="2958"/>
      <c r="CP23" s="2958"/>
      <c r="CQ23" s="2958"/>
    </row>
    <row r="24" spans="1:95" s="139" customFormat="1" ht="15.75" customHeight="1" x14ac:dyDescent="0.25">
      <c r="B24" s="7478" t="s">
        <v>1308</v>
      </c>
      <c r="C24" s="7479" t="s">
        <v>352</v>
      </c>
      <c r="D24" s="8234"/>
      <c r="E24" s="7299">
        <f>+'Direct sales IPT details'!E104</f>
        <v>0</v>
      </c>
      <c r="F24" s="8234"/>
      <c r="G24" s="7299">
        <f>+'Direct sales IPT details'!G104</f>
        <v>0</v>
      </c>
      <c r="H24" s="8235"/>
      <c r="I24" s="7333">
        <f t="shared" si="59"/>
        <v>0</v>
      </c>
      <c r="J24" s="8234"/>
      <c r="K24" s="7299">
        <f>+'Direct sales IPT details'!K104</f>
        <v>0</v>
      </c>
      <c r="L24" s="8237"/>
      <c r="M24" s="7091">
        <f t="shared" si="60"/>
        <v>0</v>
      </c>
      <c r="N24" s="8234"/>
      <c r="O24" s="7299">
        <f>+'Direct sales IPT details'!O104</f>
        <v>2403.2400000000002</v>
      </c>
      <c r="P24" s="8235"/>
      <c r="Q24" s="7333">
        <f t="shared" si="62"/>
        <v>2403.2400000000002</v>
      </c>
      <c r="R24" s="8234"/>
      <c r="S24" s="7299">
        <f>+'Direct sales IPT details'!S104</f>
        <v>95.97</v>
      </c>
      <c r="T24" s="8235"/>
      <c r="U24" s="7333">
        <f t="shared" si="63"/>
        <v>2499.21</v>
      </c>
      <c r="V24" s="8234"/>
      <c r="W24" s="7299">
        <f>+'Direct sales IPT details'!W104</f>
        <v>999.81</v>
      </c>
      <c r="X24" s="8237"/>
      <c r="Y24" s="7091">
        <f t="shared" si="64"/>
        <v>3499.02</v>
      </c>
      <c r="Z24" s="8238"/>
      <c r="AA24" s="7092">
        <f t="shared" si="65"/>
        <v>3499.02</v>
      </c>
      <c r="AB24" s="8234"/>
      <c r="AC24" s="7299">
        <f>+'Direct sales IPT details'!AC104</f>
        <v>1499.9</v>
      </c>
      <c r="AD24" s="7333"/>
      <c r="AE24" s="7333">
        <f t="shared" si="66"/>
        <v>4998.92</v>
      </c>
      <c r="AF24" s="8234"/>
      <c r="AG24" s="7299">
        <f>+'Direct sales IPT details'!AG104</f>
        <v>530.13</v>
      </c>
      <c r="AH24" s="7333"/>
      <c r="AI24" s="7333">
        <f t="shared" si="67"/>
        <v>5529.05</v>
      </c>
      <c r="AJ24" s="8234"/>
      <c r="AK24" s="7299">
        <f>+'Direct sales IPT details'!AK104</f>
        <v>1969.72</v>
      </c>
      <c r="AL24" s="8247"/>
      <c r="AM24" s="7091">
        <f t="shared" si="68"/>
        <v>3999.75</v>
      </c>
      <c r="AN24" s="8235"/>
      <c r="AO24" s="7333">
        <f t="shared" si="69"/>
        <v>7498.77</v>
      </c>
      <c r="AP24" s="8234"/>
      <c r="AQ24" s="7299">
        <f>+'Direct sales IPT details'!AQ104</f>
        <v>9998.68</v>
      </c>
      <c r="AR24" s="8235"/>
      <c r="AS24" s="7333">
        <f t="shared" si="70"/>
        <v>17497.45</v>
      </c>
      <c r="AT24" s="8234"/>
      <c r="AU24" s="7299">
        <f>+'Direct sales IPT details'!AU104</f>
        <v>6840.1899999999987</v>
      </c>
      <c r="AV24" s="8235"/>
      <c r="AW24" s="7333">
        <f t="shared" si="71"/>
        <v>24337.64</v>
      </c>
      <c r="AX24" s="8234"/>
      <c r="AY24" s="7299">
        <f>+'Direct sales IPT details'!AY104</f>
        <v>3159.2599999999993</v>
      </c>
      <c r="AZ24" s="8247"/>
      <c r="BA24" s="7091">
        <f t="shared" si="72"/>
        <v>19998.129999999997</v>
      </c>
      <c r="BB24" s="8238"/>
      <c r="BC24" s="7092">
        <f t="shared" si="57"/>
        <v>23997.879999999997</v>
      </c>
      <c r="BD24" s="8235"/>
      <c r="BE24" s="7333">
        <f t="shared" si="73"/>
        <v>27496.899999999998</v>
      </c>
      <c r="BF24" s="4487"/>
      <c r="BG24" s="4487"/>
      <c r="BH24" s="4487"/>
      <c r="BI24" s="4487"/>
      <c r="BJ24" s="4487"/>
      <c r="BK24" s="4487"/>
      <c r="BL24" s="4487"/>
      <c r="BM24" s="4487"/>
      <c r="BN24" s="4487"/>
      <c r="BO24" s="4487"/>
      <c r="BP24" s="4487"/>
      <c r="BQ24" s="4487"/>
      <c r="BR24" s="4487"/>
      <c r="BS24" s="4487"/>
      <c r="BT24" s="4487"/>
      <c r="BU24" s="4487"/>
      <c r="BV24" s="4487"/>
      <c r="BW24" s="4487"/>
      <c r="BX24" s="4487"/>
      <c r="BY24" s="4487"/>
      <c r="BZ24" s="4487"/>
      <c r="CA24" s="4487"/>
      <c r="CB24" s="4487"/>
      <c r="CC24" s="4487"/>
      <c r="CD24" s="4487"/>
      <c r="CE24" s="4487"/>
      <c r="CF24" s="4487"/>
      <c r="CG24" s="2958"/>
      <c r="CH24" s="2958"/>
      <c r="CI24" s="2958"/>
      <c r="CJ24" s="2958"/>
      <c r="CK24" s="2958"/>
      <c r="CL24" s="2958"/>
      <c r="CM24" s="2958"/>
      <c r="CN24" s="2958"/>
      <c r="CO24" s="2958"/>
      <c r="CP24" s="2958"/>
      <c r="CQ24" s="2958"/>
    </row>
    <row r="25" spans="1:95" s="139" customFormat="1" ht="15.75" hidden="1" customHeight="1" thickBot="1" x14ac:dyDescent="0.25">
      <c r="B25" s="7478" t="str">
        <f>+'Direct sales IPT details'!B105</f>
        <v>NON MAGNETIC UNSCREEN WORK THROUGH SLAG</v>
      </c>
      <c r="C25" s="7479" t="s">
        <v>352</v>
      </c>
      <c r="D25" s="8234"/>
      <c r="E25" s="7299">
        <f>+'Direct sales IPT details'!E105</f>
        <v>0</v>
      </c>
      <c r="F25" s="8234"/>
      <c r="G25" s="7299">
        <f>+'Direct sales IPT details'!G105</f>
        <v>0</v>
      </c>
      <c r="H25" s="8235"/>
      <c r="I25" s="7333">
        <f t="shared" si="59"/>
        <v>0</v>
      </c>
      <c r="J25" s="8234"/>
      <c r="K25" s="7299">
        <f>+'Direct sales IPT details'!K105</f>
        <v>0</v>
      </c>
      <c r="L25" s="8237"/>
      <c r="M25" s="7091">
        <f t="shared" si="60"/>
        <v>0</v>
      </c>
      <c r="N25" s="8234"/>
      <c r="O25" s="7299">
        <f>+'Direct sales IPT details'!O105</f>
        <v>0</v>
      </c>
      <c r="P25" s="8235"/>
      <c r="Q25" s="7333">
        <f t="shared" si="62"/>
        <v>0</v>
      </c>
      <c r="R25" s="8234"/>
      <c r="S25" s="7299">
        <f>+'Direct sales IPT details'!S105</f>
        <v>0</v>
      </c>
      <c r="T25" s="8235"/>
      <c r="U25" s="7333">
        <f t="shared" si="63"/>
        <v>0</v>
      </c>
      <c r="V25" s="8234"/>
      <c r="W25" s="7299">
        <f>+'Direct sales IPT details'!W105</f>
        <v>0</v>
      </c>
      <c r="X25" s="8237"/>
      <c r="Y25" s="7091">
        <f t="shared" si="64"/>
        <v>0</v>
      </c>
      <c r="Z25" s="8238"/>
      <c r="AA25" s="7092">
        <f t="shared" si="65"/>
        <v>0</v>
      </c>
      <c r="AB25" s="8234"/>
      <c r="AC25" s="7299">
        <f>+'Direct sales IPT details'!AC105</f>
        <v>0</v>
      </c>
      <c r="AD25" s="7486"/>
      <c r="AE25" s="7333">
        <f t="shared" si="66"/>
        <v>0</v>
      </c>
      <c r="AF25" s="8234"/>
      <c r="AG25" s="7299">
        <f>+'Direct sales IPT details'!AG105</f>
        <v>0</v>
      </c>
      <c r="AH25" s="7486"/>
      <c r="AI25" s="7333">
        <f t="shared" si="67"/>
        <v>0</v>
      </c>
      <c r="AJ25" s="8234"/>
      <c r="AK25" s="7299">
        <f>+'Direct sales IPT details'!AK105</f>
        <v>0</v>
      </c>
      <c r="AL25" s="8247"/>
      <c r="AM25" s="7091">
        <f t="shared" si="68"/>
        <v>0</v>
      </c>
      <c r="AN25" s="8235"/>
      <c r="AO25" s="7333">
        <f t="shared" si="69"/>
        <v>0</v>
      </c>
      <c r="AP25" s="8234"/>
      <c r="AQ25" s="7299">
        <f>+'Direct sales IPT details'!AQ105</f>
        <v>0</v>
      </c>
      <c r="AR25" s="8235"/>
      <c r="AS25" s="7333">
        <f t="shared" si="70"/>
        <v>0</v>
      </c>
      <c r="AT25" s="8234"/>
      <c r="AU25" s="7299">
        <f>+'Direct sales IPT details'!AU105</f>
        <v>0</v>
      </c>
      <c r="AV25" s="8235"/>
      <c r="AW25" s="7333">
        <f t="shared" si="71"/>
        <v>0</v>
      </c>
      <c r="AX25" s="8234"/>
      <c r="AY25" s="7299">
        <f>+'Direct sales IPT details'!AY105</f>
        <v>0</v>
      </c>
      <c r="AZ25" s="8247"/>
      <c r="BA25" s="7091">
        <f t="shared" si="72"/>
        <v>0</v>
      </c>
      <c r="BB25" s="8238"/>
      <c r="BC25" s="7092">
        <f t="shared" si="57"/>
        <v>0</v>
      </c>
      <c r="BD25" s="8235"/>
      <c r="BE25" s="7333">
        <f t="shared" si="73"/>
        <v>0</v>
      </c>
      <c r="BF25" s="4487"/>
      <c r="BG25" s="4487"/>
      <c r="BH25" s="4487"/>
      <c r="BI25" s="4487"/>
      <c r="BJ25" s="4487"/>
      <c r="BK25" s="4487"/>
      <c r="BL25" s="4487"/>
      <c r="BM25" s="4487"/>
      <c r="BN25" s="4487"/>
      <c r="BO25" s="4487"/>
      <c r="BP25" s="4487"/>
      <c r="BQ25" s="4487"/>
      <c r="BR25" s="4487"/>
      <c r="BS25" s="4487"/>
      <c r="BT25" s="4487"/>
      <c r="BU25" s="4487"/>
      <c r="BV25" s="4487"/>
      <c r="BW25" s="4487"/>
      <c r="BX25" s="4487"/>
      <c r="BY25" s="4487"/>
      <c r="BZ25" s="4487"/>
      <c r="CA25" s="4487"/>
      <c r="CB25" s="4487"/>
      <c r="CC25" s="4487"/>
      <c r="CD25" s="4487"/>
      <c r="CE25" s="4487"/>
      <c r="CF25" s="4487"/>
      <c r="CG25" s="2958"/>
      <c r="CH25" s="2958"/>
      <c r="CI25" s="2958"/>
      <c r="CJ25" s="2958"/>
      <c r="CK25" s="2958"/>
      <c r="CL25" s="2958"/>
      <c r="CM25" s="2958"/>
      <c r="CN25" s="2958"/>
      <c r="CO25" s="2958"/>
      <c r="CP25" s="2958"/>
      <c r="CQ25" s="2958"/>
    </row>
    <row r="26" spans="1:95" s="139" customFormat="1" ht="15.75" x14ac:dyDescent="0.25">
      <c r="B26" s="5669" t="s">
        <v>404</v>
      </c>
      <c r="D26" s="7219"/>
      <c r="E26" s="7219"/>
      <c r="F26" s="7219"/>
      <c r="G26" s="7219"/>
      <c r="H26" s="142"/>
      <c r="I26" s="142"/>
      <c r="J26" s="7219"/>
      <c r="K26" s="7219"/>
      <c r="L26" s="142"/>
      <c r="M26" s="142"/>
      <c r="N26" s="7219"/>
      <c r="O26" s="7219"/>
      <c r="P26" s="142"/>
      <c r="Q26" s="142"/>
      <c r="R26" s="7219"/>
      <c r="S26" s="7219"/>
      <c r="T26" s="142"/>
      <c r="U26" s="142"/>
      <c r="V26" s="7219"/>
      <c r="W26" s="7219"/>
      <c r="X26" s="142"/>
      <c r="Y26" s="142"/>
      <c r="Z26" s="142"/>
      <c r="AA26" s="142"/>
      <c r="AB26" s="7219"/>
      <c r="AC26" s="7219"/>
      <c r="AD26" s="142"/>
      <c r="AE26" s="142"/>
      <c r="AF26" s="7219"/>
      <c r="AG26" s="7219"/>
      <c r="AH26" s="7456"/>
      <c r="AI26" s="7456"/>
      <c r="AJ26" s="7219"/>
      <c r="AK26" s="7219"/>
      <c r="AL26" s="142"/>
      <c r="AM26" s="142"/>
      <c r="AN26" s="142"/>
      <c r="AO26" s="142"/>
      <c r="AP26" s="7219"/>
      <c r="AQ26" s="7219"/>
      <c r="AR26" s="142"/>
      <c r="AS26" s="142"/>
      <c r="AT26" s="7219"/>
      <c r="AU26" s="7219"/>
      <c r="AV26" s="7456"/>
      <c r="AW26" s="7456"/>
      <c r="AX26" s="7219"/>
      <c r="AY26" s="7219"/>
      <c r="AZ26" s="142"/>
      <c r="BA26" s="142"/>
      <c r="BB26" s="142"/>
      <c r="BC26" s="142"/>
      <c r="BD26" s="142"/>
      <c r="BE26" s="142"/>
      <c r="BF26" s="4487"/>
      <c r="BG26" s="4487"/>
      <c r="BH26" s="4487"/>
      <c r="BI26" s="4487"/>
      <c r="BJ26" s="4487"/>
      <c r="BK26" s="4487"/>
      <c r="BL26" s="4487"/>
      <c r="BM26" s="4487"/>
      <c r="BN26" s="4487"/>
      <c r="BO26" s="4487"/>
      <c r="BP26" s="4487"/>
      <c r="BQ26" s="4487"/>
      <c r="BR26" s="4487"/>
      <c r="BS26" s="4487"/>
      <c r="BT26" s="4487"/>
      <c r="BU26" s="4487"/>
      <c r="BV26" s="4487"/>
      <c r="BW26" s="4487"/>
      <c r="BX26" s="4487"/>
      <c r="BY26" s="4487"/>
      <c r="BZ26" s="4487"/>
      <c r="CA26" s="4487"/>
      <c r="CB26" s="4487"/>
      <c r="CC26" s="4487"/>
      <c r="CD26" s="4487"/>
      <c r="CE26" s="4487"/>
      <c r="CF26" s="4487"/>
      <c r="CG26" s="2958"/>
      <c r="CH26" s="2958"/>
      <c r="CI26" s="2958"/>
      <c r="CJ26" s="2958"/>
      <c r="CK26" s="2958"/>
      <c r="CL26" s="2958"/>
      <c r="CM26" s="2958"/>
      <c r="CN26" s="2958"/>
      <c r="CO26" s="2958"/>
      <c r="CP26" s="2958"/>
      <c r="CQ26" s="2958"/>
    </row>
    <row r="27" spans="1:95" ht="15.75" x14ac:dyDescent="0.25">
      <c r="B27" s="3104" t="s">
        <v>1132</v>
      </c>
      <c r="C27" s="760" t="s">
        <v>352</v>
      </c>
      <c r="D27" s="3106"/>
      <c r="E27" s="2973"/>
      <c r="F27" s="3106"/>
      <c r="G27" s="2973"/>
      <c r="H27" s="2975"/>
      <c r="I27" s="5076">
        <f t="shared" si="59"/>
        <v>0</v>
      </c>
      <c r="J27" s="3106"/>
      <c r="K27" s="2973"/>
      <c r="L27" s="2976"/>
      <c r="M27" s="2886">
        <f t="shared" si="60"/>
        <v>0</v>
      </c>
      <c r="N27" s="3106"/>
      <c r="O27" s="2973"/>
      <c r="P27" s="2975"/>
      <c r="Q27" s="5076">
        <f t="shared" ref="Q27:Q35" si="74">+O27+M27</f>
        <v>0</v>
      </c>
      <c r="R27" s="3106"/>
      <c r="S27" s="2973">
        <v>4280</v>
      </c>
      <c r="T27" s="2975"/>
      <c r="U27" s="5076">
        <f t="shared" si="63"/>
        <v>4280</v>
      </c>
      <c r="V27" s="3106"/>
      <c r="W27" s="2973">
        <v>3000.4</v>
      </c>
      <c r="X27" s="2976"/>
      <c r="Y27" s="2886">
        <f>+O27+S27+W27</f>
        <v>7280.4</v>
      </c>
      <c r="Z27" s="2977"/>
      <c r="AA27" s="7448">
        <f t="shared" si="65"/>
        <v>7280.4</v>
      </c>
      <c r="AB27" s="3106"/>
      <c r="AC27" s="2973"/>
      <c r="AD27" s="2975"/>
      <c r="AE27" s="5076">
        <f t="shared" si="66"/>
        <v>7280.4</v>
      </c>
      <c r="AF27" s="3106"/>
      <c r="AG27" s="2973"/>
      <c r="AH27" s="2975"/>
      <c r="AI27" s="5076">
        <f t="shared" ref="AI27:AI35" si="75">+AG27+AE27</f>
        <v>7280.4</v>
      </c>
      <c r="AJ27" s="3106"/>
      <c r="AK27" s="2973"/>
      <c r="AL27" s="2976"/>
      <c r="AM27" s="2886">
        <f t="shared" si="68"/>
        <v>0</v>
      </c>
      <c r="AN27" s="2975"/>
      <c r="AO27" s="5076">
        <f t="shared" si="69"/>
        <v>7280.4</v>
      </c>
      <c r="AP27" s="3106"/>
      <c r="AQ27" s="2973">
        <v>0</v>
      </c>
      <c r="AR27" s="2975"/>
      <c r="AS27" s="5076">
        <f t="shared" si="70"/>
        <v>7280.4</v>
      </c>
      <c r="AT27" s="3106"/>
      <c r="AU27" s="2973"/>
      <c r="AV27" s="2975"/>
      <c r="AW27" s="5076">
        <f t="shared" ref="AW27:AW35" si="76">+AU27+AS27</f>
        <v>7280.4</v>
      </c>
      <c r="AX27" s="3106"/>
      <c r="AY27" s="2973"/>
      <c r="AZ27" s="2976"/>
      <c r="BA27" s="2886">
        <f t="shared" si="72"/>
        <v>0</v>
      </c>
      <c r="BB27" s="2977"/>
      <c r="BC27" s="7448">
        <f t="shared" si="57"/>
        <v>0</v>
      </c>
      <c r="BD27" s="2975"/>
      <c r="BE27" s="5076">
        <f t="shared" si="73"/>
        <v>7280.4</v>
      </c>
      <c r="CG27" s="2958"/>
      <c r="CH27" s="2958"/>
      <c r="CI27" s="2958"/>
      <c r="CJ27" s="2958"/>
      <c r="CK27" s="2958"/>
      <c r="CL27" s="2958"/>
      <c r="CM27" s="2958"/>
      <c r="CN27" s="2958"/>
      <c r="CO27" s="2958"/>
      <c r="CP27" s="2958"/>
      <c r="CQ27" s="2958"/>
    </row>
    <row r="28" spans="1:95" s="2692" customFormat="1" ht="15.75" x14ac:dyDescent="0.25">
      <c r="B28" s="3105" t="s">
        <v>1609</v>
      </c>
      <c r="C28" s="760" t="s">
        <v>352</v>
      </c>
      <c r="D28" s="3106"/>
      <c r="E28" s="2973">
        <v>105040</v>
      </c>
      <c r="F28" s="3106"/>
      <c r="G28" s="2973">
        <v>104100</v>
      </c>
      <c r="H28" s="2975"/>
      <c r="I28" s="5076">
        <f t="shared" si="59"/>
        <v>209140</v>
      </c>
      <c r="J28" s="3106"/>
      <c r="K28" s="2973">
        <v>93920</v>
      </c>
      <c r="L28" s="2976"/>
      <c r="M28" s="2886">
        <f t="shared" si="60"/>
        <v>303060</v>
      </c>
      <c r="N28" s="3106"/>
      <c r="O28" s="2973">
        <v>70000</v>
      </c>
      <c r="P28" s="2975"/>
      <c r="Q28" s="5076">
        <f t="shared" si="74"/>
        <v>373060</v>
      </c>
      <c r="R28" s="3106"/>
      <c r="S28" s="2973">
        <v>83200</v>
      </c>
      <c r="T28" s="2975"/>
      <c r="U28" s="5076">
        <f t="shared" si="63"/>
        <v>456260</v>
      </c>
      <c r="V28" s="3106"/>
      <c r="W28" s="2973">
        <v>57000.4</v>
      </c>
      <c r="X28" s="2976"/>
      <c r="Y28" s="2886">
        <f t="shared" si="64"/>
        <v>210200.4</v>
      </c>
      <c r="Z28" s="2977"/>
      <c r="AA28" s="7448">
        <f t="shared" si="65"/>
        <v>513260.4</v>
      </c>
      <c r="AB28" s="3106"/>
      <c r="AC28" s="2973">
        <v>99160</v>
      </c>
      <c r="AD28" s="2975"/>
      <c r="AE28" s="5076">
        <f t="shared" si="66"/>
        <v>612420.4</v>
      </c>
      <c r="AF28" s="3106"/>
      <c r="AG28" s="2973">
        <v>109440</v>
      </c>
      <c r="AH28" s="2975"/>
      <c r="AI28" s="5076">
        <f t="shared" si="75"/>
        <v>721860.4</v>
      </c>
      <c r="AJ28" s="3106"/>
      <c r="AK28" s="2973">
        <v>123040</v>
      </c>
      <c r="AL28" s="2976"/>
      <c r="AM28" s="2886">
        <f t="shared" si="68"/>
        <v>331640</v>
      </c>
      <c r="AN28" s="2975"/>
      <c r="AO28" s="5076">
        <f t="shared" si="69"/>
        <v>844900.4</v>
      </c>
      <c r="AP28" s="3106"/>
      <c r="AQ28" s="2973">
        <v>195520</v>
      </c>
      <c r="AR28" s="2975"/>
      <c r="AS28" s="5076">
        <f t="shared" si="70"/>
        <v>1040420.4</v>
      </c>
      <c r="AT28" s="3106"/>
      <c r="AU28" s="2973">
        <v>208320</v>
      </c>
      <c r="AV28" s="2975"/>
      <c r="AW28" s="5076">
        <f t="shared" si="76"/>
        <v>1248740.3999999999</v>
      </c>
      <c r="AX28" s="3106"/>
      <c r="AY28" s="2973">
        <v>203940</v>
      </c>
      <c r="AZ28" s="2976"/>
      <c r="BA28" s="2886">
        <f t="shared" si="72"/>
        <v>607780</v>
      </c>
      <c r="BB28" s="2977"/>
      <c r="BC28" s="7448">
        <f t="shared" si="57"/>
        <v>939420</v>
      </c>
      <c r="BD28" s="2975"/>
      <c r="BE28" s="5076">
        <f t="shared" si="73"/>
        <v>1452680.4</v>
      </c>
      <c r="BF28" s="4487"/>
      <c r="BG28" s="4487"/>
      <c r="BH28" s="4487"/>
      <c r="BI28" s="4487"/>
      <c r="BJ28" s="4487"/>
      <c r="BK28" s="4487"/>
      <c r="BL28" s="4487"/>
      <c r="BM28" s="4487"/>
      <c r="BN28" s="4487"/>
      <c r="BO28" s="4487"/>
      <c r="BP28" s="4487"/>
      <c r="BQ28" s="4487"/>
      <c r="BR28" s="4487"/>
      <c r="BS28" s="4487"/>
      <c r="BT28" s="4487"/>
      <c r="BU28" s="4487"/>
      <c r="BV28" s="4487"/>
      <c r="BW28" s="4487"/>
      <c r="BX28" s="4487"/>
      <c r="BY28" s="4487"/>
      <c r="BZ28" s="4487"/>
      <c r="CA28" s="4487"/>
      <c r="CB28" s="4487"/>
      <c r="CC28" s="4487"/>
      <c r="CD28" s="4487"/>
      <c r="CE28" s="4487"/>
      <c r="CF28" s="4487"/>
      <c r="CG28" s="2958"/>
      <c r="CH28" s="2958"/>
      <c r="CI28" s="2958"/>
      <c r="CJ28" s="2958"/>
      <c r="CK28" s="2958"/>
      <c r="CL28" s="2958"/>
      <c r="CM28" s="2958"/>
      <c r="CN28" s="2958"/>
      <c r="CO28" s="2958"/>
      <c r="CP28" s="2958"/>
      <c r="CQ28" s="2958"/>
    </row>
    <row r="29" spans="1:95" ht="15.75" x14ac:dyDescent="0.25">
      <c r="B29" s="3104" t="s">
        <v>984</v>
      </c>
      <c r="C29" s="760" t="s">
        <v>352</v>
      </c>
      <c r="D29" s="3108"/>
      <c r="E29" s="2973">
        <f>+SINTER!F15</f>
        <v>0</v>
      </c>
      <c r="F29" s="3108"/>
      <c r="G29" s="2973">
        <f>+SINTER!H15</f>
        <v>0</v>
      </c>
      <c r="H29" s="2975"/>
      <c r="I29" s="5076">
        <f t="shared" si="59"/>
        <v>0</v>
      </c>
      <c r="J29" s="3108"/>
      <c r="K29" s="2973">
        <f>+SINTER!L15</f>
        <v>0</v>
      </c>
      <c r="L29" s="2976"/>
      <c r="M29" s="2886">
        <f t="shared" si="60"/>
        <v>0</v>
      </c>
      <c r="N29" s="3108"/>
      <c r="O29" s="2973">
        <f>+SINTER!P15</f>
        <v>0</v>
      </c>
      <c r="P29" s="2975"/>
      <c r="Q29" s="5076">
        <f t="shared" si="74"/>
        <v>0</v>
      </c>
      <c r="R29" s="3108"/>
      <c r="S29" s="2973">
        <f>+SINTER!T15</f>
        <v>0</v>
      </c>
      <c r="T29" s="2975"/>
      <c r="U29" s="5076">
        <f t="shared" si="63"/>
        <v>0</v>
      </c>
      <c r="V29" s="3108"/>
      <c r="W29" s="2973">
        <f>+SINTER!X15</f>
        <v>0</v>
      </c>
      <c r="X29" s="2976"/>
      <c r="Y29" s="2886">
        <f t="shared" si="64"/>
        <v>0</v>
      </c>
      <c r="Z29" s="2977"/>
      <c r="AA29" s="7448">
        <f t="shared" si="65"/>
        <v>0</v>
      </c>
      <c r="AB29" s="3108"/>
      <c r="AC29" s="2973">
        <f>+SINTER!AD15</f>
        <v>0</v>
      </c>
      <c r="AD29" s="2975"/>
      <c r="AE29" s="5076">
        <f t="shared" si="66"/>
        <v>0</v>
      </c>
      <c r="AF29" s="3108"/>
      <c r="AG29" s="2973">
        <f>+SINTER!AH15</f>
        <v>629</v>
      </c>
      <c r="AH29" s="2975"/>
      <c r="AI29" s="5076">
        <f t="shared" si="75"/>
        <v>629</v>
      </c>
      <c r="AJ29" s="3108"/>
      <c r="AK29" s="2973">
        <f>+SINTER!AL15</f>
        <v>2068</v>
      </c>
      <c r="AL29" s="2976"/>
      <c r="AM29" s="2886">
        <f t="shared" si="68"/>
        <v>2697</v>
      </c>
      <c r="AN29" s="2975"/>
      <c r="AO29" s="5076">
        <f t="shared" si="69"/>
        <v>2697</v>
      </c>
      <c r="AP29" s="3108"/>
      <c r="AQ29" s="2973">
        <f>+SINTER!AR15</f>
        <v>691</v>
      </c>
      <c r="AR29" s="2975"/>
      <c r="AS29" s="5076">
        <f t="shared" si="70"/>
        <v>3388</v>
      </c>
      <c r="AT29" s="3108"/>
      <c r="AU29" s="2973">
        <f>+SINTER!AV15</f>
        <v>0</v>
      </c>
      <c r="AV29" s="2975"/>
      <c r="AW29" s="5076">
        <f t="shared" si="76"/>
        <v>3388</v>
      </c>
      <c r="AX29" s="3108"/>
      <c r="AY29" s="2973">
        <f>+SINTER!AZ15</f>
        <v>0</v>
      </c>
      <c r="AZ29" s="2976"/>
      <c r="BA29" s="2886">
        <f t="shared" si="72"/>
        <v>691</v>
      </c>
      <c r="BB29" s="2977"/>
      <c r="BC29" s="7448">
        <f t="shared" si="57"/>
        <v>3388</v>
      </c>
      <c r="BD29" s="2975"/>
      <c r="BE29" s="5076">
        <f t="shared" si="73"/>
        <v>3388</v>
      </c>
      <c r="CG29" s="2958"/>
      <c r="CH29" s="2958"/>
      <c r="CI29" s="2958"/>
      <c r="CJ29" s="2958"/>
      <c r="CK29" s="2958"/>
      <c r="CL29" s="2958"/>
      <c r="CM29" s="2958"/>
      <c r="CN29" s="2958"/>
      <c r="CO29" s="2958"/>
      <c r="CP29" s="2958"/>
      <c r="CQ29" s="2958"/>
    </row>
    <row r="30" spans="1:95" ht="15.75" x14ac:dyDescent="0.25">
      <c r="B30" s="3104" t="s">
        <v>985</v>
      </c>
      <c r="C30" s="760" t="s">
        <v>352</v>
      </c>
      <c r="D30" s="3108"/>
      <c r="E30" s="2973">
        <f>+'B-FCE'!F29</f>
        <v>0</v>
      </c>
      <c r="F30" s="3108"/>
      <c r="G30" s="2973">
        <f>+'B-FCE'!H29</f>
        <v>0</v>
      </c>
      <c r="H30" s="2975"/>
      <c r="I30" s="5076">
        <f t="shared" si="59"/>
        <v>0</v>
      </c>
      <c r="J30" s="3108"/>
      <c r="K30" s="2973">
        <f>+'B-FCE'!L29</f>
        <v>0</v>
      </c>
      <c r="L30" s="2976"/>
      <c r="M30" s="2886">
        <f t="shared" si="60"/>
        <v>0</v>
      </c>
      <c r="N30" s="3108"/>
      <c r="O30" s="2973">
        <f>+'B-FCE'!P29</f>
        <v>0</v>
      </c>
      <c r="P30" s="2975"/>
      <c r="Q30" s="5076">
        <f t="shared" si="74"/>
        <v>0</v>
      </c>
      <c r="R30" s="3108"/>
      <c r="S30" s="2973">
        <f>+'B-FCE'!T29</f>
        <v>0</v>
      </c>
      <c r="T30" s="2975"/>
      <c r="U30" s="5076">
        <f t="shared" si="63"/>
        <v>0</v>
      </c>
      <c r="V30" s="3108"/>
      <c r="W30" s="2973">
        <f>+'B-FCE'!X29</f>
        <v>0</v>
      </c>
      <c r="X30" s="2976"/>
      <c r="Y30" s="2886">
        <f t="shared" si="64"/>
        <v>0</v>
      </c>
      <c r="Z30" s="2977"/>
      <c r="AA30" s="7448">
        <f t="shared" si="65"/>
        <v>0</v>
      </c>
      <c r="AB30" s="3108"/>
      <c r="AC30" s="2973">
        <f>+'B-FCE'!AD29</f>
        <v>123</v>
      </c>
      <c r="AD30" s="2975"/>
      <c r="AE30" s="5076">
        <f t="shared" si="66"/>
        <v>123</v>
      </c>
      <c r="AF30" s="3108"/>
      <c r="AG30" s="2973">
        <f>+'B-FCE'!AH29</f>
        <v>0</v>
      </c>
      <c r="AH30" s="2975"/>
      <c r="AI30" s="5076">
        <f t="shared" si="75"/>
        <v>123</v>
      </c>
      <c r="AJ30" s="3108"/>
      <c r="AK30" s="2973">
        <f>+'B-FCE'!AL29</f>
        <v>61.6</v>
      </c>
      <c r="AL30" s="2976"/>
      <c r="AM30" s="2886">
        <f t="shared" si="68"/>
        <v>184.6</v>
      </c>
      <c r="AN30" s="2975"/>
      <c r="AO30" s="5076">
        <f t="shared" si="69"/>
        <v>184.6</v>
      </c>
      <c r="AP30" s="3108"/>
      <c r="AQ30" s="2973">
        <f>+'B-FCE'!AR29</f>
        <v>664.7</v>
      </c>
      <c r="AR30" s="2975"/>
      <c r="AS30" s="5076">
        <f t="shared" si="70"/>
        <v>849.30000000000007</v>
      </c>
      <c r="AT30" s="3108"/>
      <c r="AU30" s="2973">
        <f>+'B-FCE'!AV29</f>
        <v>177.9</v>
      </c>
      <c r="AV30" s="2975"/>
      <c r="AW30" s="5076">
        <f t="shared" si="76"/>
        <v>1027.2</v>
      </c>
      <c r="AX30" s="3108"/>
      <c r="AY30" s="2973">
        <f>+'B-FCE'!AZ29</f>
        <v>572</v>
      </c>
      <c r="AZ30" s="2976"/>
      <c r="BA30" s="2886">
        <f t="shared" si="72"/>
        <v>1414.6</v>
      </c>
      <c r="BB30" s="2977"/>
      <c r="BC30" s="7448">
        <f t="shared" si="57"/>
        <v>1599.1999999999998</v>
      </c>
      <c r="BD30" s="2975"/>
      <c r="BE30" s="5076">
        <f t="shared" si="73"/>
        <v>1599.2</v>
      </c>
    </row>
    <row r="31" spans="1:95" ht="15.75" x14ac:dyDescent="0.25">
      <c r="B31" s="3104" t="s">
        <v>1083</v>
      </c>
      <c r="C31" s="760" t="s">
        <v>352</v>
      </c>
      <c r="D31" s="3106"/>
      <c r="E31" s="2973">
        <f>+SMS!F122</f>
        <v>0</v>
      </c>
      <c r="F31" s="3106"/>
      <c r="G31" s="2973">
        <f>+SMS!H122</f>
        <v>0</v>
      </c>
      <c r="H31" s="2975"/>
      <c r="I31" s="5076">
        <f t="shared" si="59"/>
        <v>0</v>
      </c>
      <c r="J31" s="3106"/>
      <c r="K31" s="2973">
        <f>+SMS!L122</f>
        <v>0</v>
      </c>
      <c r="L31" s="2976"/>
      <c r="M31" s="2886">
        <f t="shared" si="60"/>
        <v>0</v>
      </c>
      <c r="N31" s="3106"/>
      <c r="O31" s="2973">
        <f>+SMS!P122</f>
        <v>0</v>
      </c>
      <c r="P31" s="2975"/>
      <c r="Q31" s="5076">
        <f t="shared" si="74"/>
        <v>0</v>
      </c>
      <c r="R31" s="3106"/>
      <c r="S31" s="2973">
        <f>+SMS!T122</f>
        <v>0</v>
      </c>
      <c r="T31" s="2974"/>
      <c r="U31" s="5076">
        <f t="shared" si="63"/>
        <v>0</v>
      </c>
      <c r="V31" s="3106"/>
      <c r="W31" s="2973">
        <f>+SMS!X122</f>
        <v>0</v>
      </c>
      <c r="X31" s="2976"/>
      <c r="Y31" s="2886">
        <f t="shared" si="64"/>
        <v>0</v>
      </c>
      <c r="Z31" s="2977"/>
      <c r="AA31" s="7448">
        <f t="shared" si="65"/>
        <v>0</v>
      </c>
      <c r="AB31" s="3106"/>
      <c r="AC31" s="2973">
        <f>+SMS!AD122</f>
        <v>0</v>
      </c>
      <c r="AD31" s="2974"/>
      <c r="AE31" s="5076">
        <f t="shared" si="66"/>
        <v>0</v>
      </c>
      <c r="AF31" s="3106"/>
      <c r="AG31" s="2973">
        <f>+SMS!AH122</f>
        <v>0</v>
      </c>
      <c r="AH31" s="2974"/>
      <c r="AI31" s="5076">
        <f t="shared" si="75"/>
        <v>0</v>
      </c>
      <c r="AJ31" s="3106"/>
      <c r="AK31" s="2973">
        <f>+SMS!AL122</f>
        <v>0</v>
      </c>
      <c r="AL31" s="2976"/>
      <c r="AM31" s="2886">
        <f t="shared" si="68"/>
        <v>0</v>
      </c>
      <c r="AN31" s="2974"/>
      <c r="AO31" s="5076">
        <f t="shared" si="69"/>
        <v>0</v>
      </c>
      <c r="AP31" s="3106"/>
      <c r="AQ31" s="2973">
        <f>+SMS!AR122</f>
        <v>0</v>
      </c>
      <c r="AR31" s="2974"/>
      <c r="AS31" s="5076">
        <f t="shared" si="70"/>
        <v>0</v>
      </c>
      <c r="AT31" s="3106"/>
      <c r="AU31" s="2973">
        <f>+SMS!AV122</f>
        <v>0</v>
      </c>
      <c r="AV31" s="2974"/>
      <c r="AW31" s="5076">
        <f t="shared" si="76"/>
        <v>0</v>
      </c>
      <c r="AX31" s="3106"/>
      <c r="AY31" s="2973">
        <f>+SMS!AZ122</f>
        <v>0</v>
      </c>
      <c r="AZ31" s="2976"/>
      <c r="BA31" s="2886">
        <f t="shared" si="72"/>
        <v>0</v>
      </c>
      <c r="BB31" s="2977"/>
      <c r="BC31" s="7448">
        <f t="shared" si="57"/>
        <v>0</v>
      </c>
      <c r="BD31" s="2974"/>
      <c r="BE31" s="5076">
        <f t="shared" si="73"/>
        <v>0</v>
      </c>
    </row>
    <row r="32" spans="1:95" ht="15.75" x14ac:dyDescent="0.25">
      <c r="B32" s="3104" t="s">
        <v>1002</v>
      </c>
      <c r="C32" s="760" t="s">
        <v>352</v>
      </c>
      <c r="D32" s="3106"/>
      <c r="E32" s="2973">
        <f>+E22+E23+E25+E24</f>
        <v>5243.17</v>
      </c>
      <c r="F32" s="3106"/>
      <c r="G32" s="2973">
        <f>+G22+G23+G25+G24</f>
        <v>9134.2500000000018</v>
      </c>
      <c r="H32" s="2975"/>
      <c r="I32" s="5076">
        <f t="shared" si="59"/>
        <v>14377.420000000002</v>
      </c>
      <c r="J32" s="3106"/>
      <c r="K32" s="2973">
        <f>+K22+K23+K25+K24</f>
        <v>3441.08</v>
      </c>
      <c r="L32" s="2976"/>
      <c r="M32" s="2886">
        <f t="shared" si="60"/>
        <v>17818.5</v>
      </c>
      <c r="N32" s="3106"/>
      <c r="O32" s="2973">
        <f>+O22+O23+O25+O24</f>
        <v>12321.94</v>
      </c>
      <c r="P32" s="2975"/>
      <c r="Q32" s="5076">
        <f t="shared" si="74"/>
        <v>30140.440000000002</v>
      </c>
      <c r="R32" s="3106"/>
      <c r="S32" s="2973">
        <f>+S22+S23+S25+S24</f>
        <v>175.21</v>
      </c>
      <c r="T32" s="2975"/>
      <c r="U32" s="5076">
        <f t="shared" si="63"/>
        <v>30315.65</v>
      </c>
      <c r="V32" s="3106"/>
      <c r="W32" s="2973">
        <f>+W22+W23+W25+W24</f>
        <v>10771.1</v>
      </c>
      <c r="X32" s="2976"/>
      <c r="Y32" s="2886">
        <f t="shared" si="64"/>
        <v>23268.25</v>
      </c>
      <c r="Z32" s="2977"/>
      <c r="AA32" s="7448">
        <f t="shared" si="65"/>
        <v>41086.75</v>
      </c>
      <c r="AB32" s="3106"/>
      <c r="AC32" s="2973">
        <f>+AC22+AC23+AC25+AC24</f>
        <v>1727.19</v>
      </c>
      <c r="AD32" s="2975"/>
      <c r="AE32" s="5076">
        <f t="shared" si="66"/>
        <v>42813.94</v>
      </c>
      <c r="AF32" s="3106"/>
      <c r="AG32" s="2973">
        <f>+AG22+AG23+AG25+AG24</f>
        <v>10528.789999999999</v>
      </c>
      <c r="AH32" s="2975"/>
      <c r="AI32" s="5076">
        <f t="shared" si="75"/>
        <v>53342.73</v>
      </c>
      <c r="AJ32" s="3106"/>
      <c r="AK32" s="2973">
        <f>+AK22+AK23+AK25+AK24</f>
        <v>11967.74</v>
      </c>
      <c r="AL32" s="2976"/>
      <c r="AM32" s="2886">
        <f t="shared" si="68"/>
        <v>24223.72</v>
      </c>
      <c r="AN32" s="2975"/>
      <c r="AO32" s="5076">
        <f t="shared" si="69"/>
        <v>65310.47</v>
      </c>
      <c r="AP32" s="3106"/>
      <c r="AQ32" s="2973">
        <f>+AQ22+AQ23+AQ25+AQ24</f>
        <v>18122.189999999999</v>
      </c>
      <c r="AR32" s="2975"/>
      <c r="AS32" s="5076">
        <f t="shared" si="70"/>
        <v>83432.66</v>
      </c>
      <c r="AT32" s="3106"/>
      <c r="AU32" s="2973">
        <f>+AU22+AU23+AU25+AU24</f>
        <v>14453.559999999998</v>
      </c>
      <c r="AV32" s="2975"/>
      <c r="AW32" s="5076">
        <f t="shared" si="76"/>
        <v>97886.22</v>
      </c>
      <c r="AX32" s="3106"/>
      <c r="AY32" s="2973">
        <f>+AY22+AY23+AY25+AY24</f>
        <v>4921.9299999999994</v>
      </c>
      <c r="AZ32" s="2976"/>
      <c r="BA32" s="2886">
        <f t="shared" si="72"/>
        <v>37497.679999999993</v>
      </c>
      <c r="BB32" s="2977"/>
      <c r="BC32" s="7448">
        <f t="shared" si="57"/>
        <v>61721.399999999994</v>
      </c>
      <c r="BD32" s="2975"/>
      <c r="BE32" s="5076">
        <f t="shared" si="73"/>
        <v>102808.15</v>
      </c>
    </row>
    <row r="33" spans="2:57" ht="15.75" x14ac:dyDescent="0.25">
      <c r="B33" s="3104" t="s">
        <v>1295</v>
      </c>
      <c r="C33" s="760" t="s">
        <v>352</v>
      </c>
      <c r="D33" s="3106"/>
      <c r="E33" s="2973"/>
      <c r="F33" s="3106"/>
      <c r="G33" s="2973"/>
      <c r="H33" s="2975"/>
      <c r="I33" s="5076">
        <f t="shared" si="59"/>
        <v>0</v>
      </c>
      <c r="J33" s="3106"/>
      <c r="K33" s="2973"/>
      <c r="L33" s="2976"/>
      <c r="M33" s="2886">
        <f t="shared" si="60"/>
        <v>0</v>
      </c>
      <c r="N33" s="3106"/>
      <c r="O33" s="2973"/>
      <c r="P33" s="2975"/>
      <c r="Q33" s="5076">
        <f t="shared" si="74"/>
        <v>0</v>
      </c>
      <c r="R33" s="3106"/>
      <c r="S33" s="2973"/>
      <c r="T33" s="2975"/>
      <c r="U33" s="5076">
        <f t="shared" si="63"/>
        <v>0</v>
      </c>
      <c r="V33" s="3106"/>
      <c r="W33" s="2973"/>
      <c r="X33" s="2976"/>
      <c r="Y33" s="2886">
        <f t="shared" si="64"/>
        <v>0</v>
      </c>
      <c r="Z33" s="2977"/>
      <c r="AA33" s="7448">
        <f t="shared" si="65"/>
        <v>0</v>
      </c>
      <c r="AB33" s="3106"/>
      <c r="AC33" s="2973"/>
      <c r="AD33" s="2975"/>
      <c r="AE33" s="5076">
        <f t="shared" si="66"/>
        <v>0</v>
      </c>
      <c r="AF33" s="3106"/>
      <c r="AG33" s="2973"/>
      <c r="AH33" s="2975"/>
      <c r="AI33" s="5076">
        <f t="shared" si="75"/>
        <v>0</v>
      </c>
      <c r="AJ33" s="3106"/>
      <c r="AK33" s="2973"/>
      <c r="AL33" s="2976"/>
      <c r="AM33" s="2886">
        <f t="shared" si="68"/>
        <v>0</v>
      </c>
      <c r="AN33" s="2975"/>
      <c r="AO33" s="5076">
        <f t="shared" si="69"/>
        <v>0</v>
      </c>
      <c r="AP33" s="3106"/>
      <c r="AQ33" s="2973">
        <v>0</v>
      </c>
      <c r="AR33" s="2975"/>
      <c r="AS33" s="5076">
        <f t="shared" si="70"/>
        <v>0</v>
      </c>
      <c r="AT33" s="3106"/>
      <c r="AU33" s="2973"/>
      <c r="AV33" s="2975"/>
      <c r="AW33" s="5076">
        <f t="shared" si="76"/>
        <v>0</v>
      </c>
      <c r="AX33" s="3106"/>
      <c r="AY33" s="2973"/>
      <c r="AZ33" s="2976"/>
      <c r="BA33" s="2886">
        <f t="shared" si="72"/>
        <v>0</v>
      </c>
      <c r="BB33" s="2977"/>
      <c r="BC33" s="7448">
        <f t="shared" si="57"/>
        <v>0</v>
      </c>
      <c r="BD33" s="2975"/>
      <c r="BE33" s="5076">
        <f t="shared" si="73"/>
        <v>0</v>
      </c>
    </row>
    <row r="34" spans="2:57" s="4487" customFormat="1" ht="15.75" x14ac:dyDescent="0.25">
      <c r="B34" s="5655" t="s">
        <v>1970</v>
      </c>
      <c r="C34" s="5656" t="s">
        <v>352</v>
      </c>
      <c r="D34" s="7457"/>
      <c r="E34" s="5657">
        <v>40</v>
      </c>
      <c r="F34" s="7457"/>
      <c r="G34" s="5657">
        <v>40</v>
      </c>
      <c r="H34" s="5658"/>
      <c r="I34" s="5076">
        <f t="shared" si="59"/>
        <v>80</v>
      </c>
      <c r="J34" s="7457"/>
      <c r="K34" s="5657">
        <v>40</v>
      </c>
      <c r="L34" s="5659"/>
      <c r="M34" s="2886">
        <f t="shared" ref="M34" si="77">+E34+G34+K34</f>
        <v>120</v>
      </c>
      <c r="N34" s="7457"/>
      <c r="O34" s="5657">
        <v>40</v>
      </c>
      <c r="P34" s="2975"/>
      <c r="Q34" s="5076">
        <f t="shared" ref="Q34" si="78">+O34+M34</f>
        <v>160</v>
      </c>
      <c r="R34" s="7457"/>
      <c r="S34" s="5657">
        <v>40</v>
      </c>
      <c r="T34" s="2975"/>
      <c r="U34" s="5076">
        <f t="shared" ref="U34" si="79">+S34+Q34</f>
        <v>200</v>
      </c>
      <c r="V34" s="7457"/>
      <c r="W34" s="5657">
        <v>40</v>
      </c>
      <c r="X34" s="2976"/>
      <c r="Y34" s="2886">
        <f t="shared" ref="Y34" si="80">+O34+S34+W34</f>
        <v>120</v>
      </c>
      <c r="Z34" s="2977"/>
      <c r="AA34" s="7448">
        <f t="shared" ref="AA34" si="81">+Y34+M34</f>
        <v>240</v>
      </c>
      <c r="AB34" s="7457"/>
      <c r="AC34" s="5657">
        <v>40</v>
      </c>
      <c r="AD34" s="2975"/>
      <c r="AE34" s="5076">
        <f t="shared" ref="AE34" si="82">+AC34+AA34</f>
        <v>280</v>
      </c>
      <c r="AF34" s="7457"/>
      <c r="AG34" s="5657">
        <v>40</v>
      </c>
      <c r="AH34" s="2975"/>
      <c r="AI34" s="5076">
        <f t="shared" ref="AI34" si="83">+AG34+AE34</f>
        <v>320</v>
      </c>
      <c r="AJ34" s="7457"/>
      <c r="AK34" s="5657">
        <v>40</v>
      </c>
      <c r="AL34" s="2976"/>
      <c r="AM34" s="2886">
        <f t="shared" ref="AM34" si="84">+AC34+AG34+AK34</f>
        <v>120</v>
      </c>
      <c r="AN34" s="2975"/>
      <c r="AO34" s="5076">
        <f t="shared" ref="AO34" si="85">+AK34+AI34</f>
        <v>360</v>
      </c>
      <c r="AP34" s="7457"/>
      <c r="AQ34" s="5657">
        <v>40</v>
      </c>
      <c r="AR34" s="2975"/>
      <c r="AS34" s="5076">
        <f t="shared" ref="AS34" si="86">+AQ34+AO34</f>
        <v>400</v>
      </c>
      <c r="AT34" s="7457"/>
      <c r="AU34" s="5657">
        <v>40</v>
      </c>
      <c r="AV34" s="2975"/>
      <c r="AW34" s="5076">
        <f t="shared" ref="AW34" si="87">+AU34+AS34</f>
        <v>440</v>
      </c>
      <c r="AX34" s="7457"/>
      <c r="AY34" s="5657">
        <v>40</v>
      </c>
      <c r="AZ34" s="2976"/>
      <c r="BA34" s="2886">
        <f t="shared" ref="BA34" si="88">+AQ34+AU34+AY34</f>
        <v>120</v>
      </c>
      <c r="BB34" s="2977"/>
      <c r="BC34" s="7448">
        <f t="shared" ref="BC34" si="89">+BA34+AM34</f>
        <v>240</v>
      </c>
      <c r="BD34" s="2975"/>
      <c r="BE34" s="5076">
        <f t="shared" ref="BE34" si="90">+AY34+AW34</f>
        <v>480</v>
      </c>
    </row>
    <row r="35" spans="2:57" ht="15.75" x14ac:dyDescent="0.25">
      <c r="B35" s="3104" t="s">
        <v>1084</v>
      </c>
      <c r="C35" s="760" t="s">
        <v>352</v>
      </c>
      <c r="D35" s="3106"/>
      <c r="E35" s="2973"/>
      <c r="F35" s="3106"/>
      <c r="G35" s="2973"/>
      <c r="H35" s="2975"/>
      <c r="I35" s="5076">
        <f t="shared" si="59"/>
        <v>0</v>
      </c>
      <c r="J35" s="3106"/>
      <c r="K35" s="2973"/>
      <c r="L35" s="2976"/>
      <c r="M35" s="2886">
        <f t="shared" si="60"/>
        <v>0</v>
      </c>
      <c r="N35" s="3106"/>
      <c r="O35" s="2973"/>
      <c r="P35" s="2975"/>
      <c r="Q35" s="5076">
        <f t="shared" si="74"/>
        <v>0</v>
      </c>
      <c r="R35" s="3106"/>
      <c r="S35" s="2973"/>
      <c r="T35" s="2975"/>
      <c r="U35" s="5076">
        <f t="shared" si="63"/>
        <v>0</v>
      </c>
      <c r="V35" s="3106"/>
      <c r="W35" s="2973"/>
      <c r="X35" s="2976"/>
      <c r="Y35" s="2886">
        <f t="shared" si="64"/>
        <v>0</v>
      </c>
      <c r="Z35" s="2977"/>
      <c r="AA35" s="7448">
        <f t="shared" si="65"/>
        <v>0</v>
      </c>
      <c r="AB35" s="3106"/>
      <c r="AC35" s="2973"/>
      <c r="AD35" s="2975"/>
      <c r="AE35" s="5076">
        <f t="shared" si="66"/>
        <v>0</v>
      </c>
      <c r="AF35" s="3106"/>
      <c r="AG35" s="2973"/>
      <c r="AH35" s="2975"/>
      <c r="AI35" s="5076">
        <f t="shared" si="75"/>
        <v>0</v>
      </c>
      <c r="AJ35" s="3106"/>
      <c r="AK35" s="2973"/>
      <c r="AL35" s="2976"/>
      <c r="AM35" s="2886">
        <f t="shared" si="68"/>
        <v>0</v>
      </c>
      <c r="AN35" s="2975"/>
      <c r="AO35" s="5076">
        <f t="shared" si="69"/>
        <v>0</v>
      </c>
      <c r="AP35" s="3106"/>
      <c r="AQ35" s="2973">
        <v>0</v>
      </c>
      <c r="AR35" s="2975"/>
      <c r="AS35" s="5076">
        <f t="shared" si="70"/>
        <v>0</v>
      </c>
      <c r="AT35" s="3106"/>
      <c r="AU35" s="2973"/>
      <c r="AV35" s="2975"/>
      <c r="AW35" s="5076">
        <f t="shared" si="76"/>
        <v>0</v>
      </c>
      <c r="AX35" s="3106"/>
      <c r="AY35" s="2973"/>
      <c r="AZ35" s="2976"/>
      <c r="BA35" s="2886">
        <f t="shared" si="72"/>
        <v>0</v>
      </c>
      <c r="BB35" s="2977"/>
      <c r="BC35" s="7448">
        <f t="shared" si="57"/>
        <v>0</v>
      </c>
      <c r="BD35" s="2975"/>
      <c r="BE35" s="5076">
        <f t="shared" si="73"/>
        <v>0</v>
      </c>
    </row>
    <row r="36" spans="2:57" ht="15.75" x14ac:dyDescent="0.25">
      <c r="B36" s="3104" t="s">
        <v>2</v>
      </c>
      <c r="C36" s="3107" t="s">
        <v>352</v>
      </c>
      <c r="D36" s="3108"/>
      <c r="E36" s="2973">
        <f>SUM(E27:E35)+E21</f>
        <v>110323.17</v>
      </c>
      <c r="F36" s="3108"/>
      <c r="G36" s="2973">
        <f>SUM(G27:G35)+G21</f>
        <v>113274.25</v>
      </c>
      <c r="H36" s="2983"/>
      <c r="I36" s="2983">
        <f t="shared" ref="I36:BE36" si="91">SUM(I27:I35)+I21</f>
        <v>223597.42</v>
      </c>
      <c r="J36" s="3108"/>
      <c r="K36" s="2973">
        <f>SUM(K27:K35)+K21</f>
        <v>97401.08</v>
      </c>
      <c r="L36" s="2976"/>
      <c r="M36" s="2886">
        <f t="shared" si="91"/>
        <v>320998.5</v>
      </c>
      <c r="N36" s="3108"/>
      <c r="O36" s="2973">
        <f>SUM(O27:O35)+O21</f>
        <v>85433.74</v>
      </c>
      <c r="P36" s="2975"/>
      <c r="Q36" s="5076">
        <f t="shared" ref="Q36" si="92">SUM(Q27:Q35)+Q21</f>
        <v>406432.24</v>
      </c>
      <c r="R36" s="3108"/>
      <c r="S36" s="2973">
        <f>SUM(S27:S35)+S21</f>
        <v>92218.72</v>
      </c>
      <c r="T36" s="2983"/>
      <c r="U36" s="2983">
        <f t="shared" si="91"/>
        <v>498650.96</v>
      </c>
      <c r="V36" s="3108"/>
      <c r="W36" s="2973">
        <f>SUM(W27:W35)+W21</f>
        <v>79249.510000000009</v>
      </c>
      <c r="X36" s="2983"/>
      <c r="Y36" s="2983">
        <f t="shared" si="91"/>
        <v>256901.97</v>
      </c>
      <c r="Z36" s="2983"/>
      <c r="AA36" s="2983">
        <f t="shared" si="91"/>
        <v>577900.47000000009</v>
      </c>
      <c r="AB36" s="3108"/>
      <c r="AC36" s="2973">
        <f>SUM(AC27:AC35)+AC21</f>
        <v>116100.21</v>
      </c>
      <c r="AD36" s="2983"/>
      <c r="AE36" s="2983">
        <f t="shared" si="91"/>
        <v>694000.68</v>
      </c>
      <c r="AF36" s="3108"/>
      <c r="AG36" s="2973">
        <f>SUM(AG27:AG35)+AG21</f>
        <v>132343.91</v>
      </c>
      <c r="AH36" s="6432"/>
      <c r="AI36" s="6432">
        <f t="shared" ref="AI36" si="93">SUM(AI27:AI35)+AI21</f>
        <v>826344.59000000008</v>
      </c>
      <c r="AJ36" s="3108"/>
      <c r="AK36" s="2973">
        <f>SUM(AK27:AK35)+AK21</f>
        <v>144020.79999999999</v>
      </c>
      <c r="AL36" s="2983"/>
      <c r="AM36" s="2983">
        <f t="shared" si="91"/>
        <v>392464.91999999993</v>
      </c>
      <c r="AN36" s="2983"/>
      <c r="AO36" s="2983">
        <f t="shared" si="91"/>
        <v>970365.39</v>
      </c>
      <c r="AP36" s="3108"/>
      <c r="AQ36" s="2973">
        <f>SUM(AQ27:AQ35)+AQ21</f>
        <v>221301.16</v>
      </c>
      <c r="AR36" s="2983"/>
      <c r="AS36" s="2983">
        <f t="shared" si="91"/>
        <v>1191666.55</v>
      </c>
      <c r="AT36" s="3108"/>
      <c r="AU36" s="2973">
        <f>SUM(AU27:AU35)+AU21</f>
        <v>222991.46</v>
      </c>
      <c r="AV36" s="2983"/>
      <c r="AW36" s="2983">
        <f t="shared" ref="AW36" si="94">SUM(AW27:AW35)+AW21</f>
        <v>1414658.0099999998</v>
      </c>
      <c r="AX36" s="3108"/>
      <c r="AY36" s="2973">
        <f>SUM(AY27:AY35)+AY21</f>
        <v>209473.93</v>
      </c>
      <c r="AZ36" s="2983"/>
      <c r="BA36" s="2983">
        <f t="shared" si="91"/>
        <v>653766.55000000005</v>
      </c>
      <c r="BB36" s="2983"/>
      <c r="BC36" s="2983">
        <f t="shared" si="91"/>
        <v>1046231.47</v>
      </c>
      <c r="BD36" s="2983"/>
      <c r="BE36" s="2983">
        <f t="shared" si="91"/>
        <v>1624131.9399999997</v>
      </c>
    </row>
    <row r="37" spans="2:57" x14ac:dyDescent="0.25">
      <c r="D37"/>
      <c r="E37"/>
      <c r="F37"/>
      <c r="G37"/>
      <c r="AB37" s="4487"/>
      <c r="AC37" s="4487"/>
      <c r="AT37" s="4487"/>
      <c r="AU37" s="4487"/>
    </row>
    <row r="38" spans="2:57" x14ac:dyDescent="0.25">
      <c r="D38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Q38" s="4777"/>
      <c r="AS38" s="4487"/>
      <c r="AT38" s="4487"/>
      <c r="AU38" s="4777"/>
      <c r="AY38" s="5209"/>
      <c r="BE38" s="4487"/>
    </row>
    <row r="39" spans="2:57" x14ac:dyDescent="0.25">
      <c r="D39"/>
      <c r="E39"/>
      <c r="F39"/>
      <c r="G39"/>
      <c r="K39" s="112"/>
      <c r="AC39" s="25"/>
      <c r="AG39" s="4777"/>
      <c r="AT39" s="4487"/>
      <c r="AU39" s="4487"/>
      <c r="BE39" s="4487"/>
    </row>
    <row r="40" spans="2:57" x14ac:dyDescent="0.25">
      <c r="D40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U40" s="25"/>
      <c r="AX40" s="25"/>
      <c r="AY40" s="25"/>
      <c r="AZ40" s="25"/>
      <c r="BA40" s="25"/>
      <c r="BB40" s="25"/>
      <c r="BC40" s="25"/>
      <c r="BD40" s="25"/>
      <c r="BE40" s="25"/>
    </row>
    <row r="42" spans="2:57" x14ac:dyDescent="0.25">
      <c r="G42" s="112"/>
      <c r="K42" s="112"/>
    </row>
    <row r="43" spans="2:57" x14ac:dyDescent="0.25">
      <c r="AU43" s="25"/>
      <c r="AX43" s="25"/>
      <c r="AY43" s="25"/>
      <c r="AZ43" s="25"/>
      <c r="BA43" s="25"/>
      <c r="BB43" s="25"/>
      <c r="BC43" s="25"/>
      <c r="BD43" s="25"/>
      <c r="BE43" s="25"/>
    </row>
  </sheetData>
  <mergeCells count="56">
    <mergeCell ref="AX3:AY3"/>
    <mergeCell ref="BD3:BE3"/>
    <mergeCell ref="AX22:AX25"/>
    <mergeCell ref="AZ3:BA3"/>
    <mergeCell ref="BB3:BC3"/>
    <mergeCell ref="AZ22:AZ25"/>
    <mergeCell ref="BB22:BB25"/>
    <mergeCell ref="BD22:BD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J3:AK3"/>
    <mergeCell ref="AN3:AO3"/>
    <mergeCell ref="AJ22:AJ25"/>
    <mergeCell ref="AL3:AM3"/>
    <mergeCell ref="AL22:AL25"/>
    <mergeCell ref="AN22:AN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Z3:AA3"/>
    <mergeCell ref="X3:Y3"/>
    <mergeCell ref="X22:X25"/>
    <mergeCell ref="Z22:Z25"/>
    <mergeCell ref="V22:V25"/>
    <mergeCell ref="N3:O3"/>
    <mergeCell ref="P3:Q3"/>
    <mergeCell ref="V3:W3"/>
    <mergeCell ref="R3:S3"/>
    <mergeCell ref="T3:U3"/>
    <mergeCell ref="AF3:AG3"/>
    <mergeCell ref="AH3:AI3"/>
    <mergeCell ref="AF22:AF25"/>
    <mergeCell ref="AH22:AH23"/>
    <mergeCell ref="AB3:AC3"/>
    <mergeCell ref="AB22:AB25"/>
    <mergeCell ref="AD3:AE3"/>
    <mergeCell ref="AD22:AD23"/>
  </mergeCells>
  <printOptions horizontalCentered="1" verticalCentered="1"/>
  <pageMargins left="0" right="0" top="0" bottom="0" header="0" footer="0"/>
  <pageSetup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0"/>
  <sheetViews>
    <sheetView topLeftCell="A44" zoomScaleNormal="100" workbookViewId="0">
      <pane xSplit="3" topLeftCell="D1" activePane="topRight" state="frozen"/>
      <selection activeCell="N21" sqref="N21:N24"/>
      <selection pane="topRight" activeCell="BF120" sqref="BF120"/>
    </sheetView>
  </sheetViews>
  <sheetFormatPr defaultRowHeight="15" x14ac:dyDescent="0.25"/>
  <cols>
    <col min="1" max="1" width="8.85546875" customWidth="1"/>
    <col min="2" max="2" width="44.28515625" customWidth="1"/>
    <col min="3" max="3" width="27.140625" bestFit="1" customWidth="1"/>
    <col min="4" max="5" width="9.85546875" customWidth="1"/>
    <col min="6" max="9" width="9.85546875" hidden="1" customWidth="1"/>
    <col min="10" max="10" width="11" hidden="1" customWidth="1"/>
    <col min="11" max="11" width="9.85546875" hidden="1" customWidth="1"/>
    <col min="12" max="12" width="12" hidden="1" customWidth="1"/>
    <col min="13" max="13" width="11.28515625" hidden="1" customWidth="1"/>
    <col min="14" max="14" width="11" hidden="1" customWidth="1"/>
    <col min="15" max="15" width="9.85546875" hidden="1" customWidth="1"/>
    <col min="16" max="17" width="11.28515625" hidden="1" customWidth="1"/>
    <col min="18" max="18" width="11" style="4233" hidden="1" customWidth="1"/>
    <col min="19" max="19" width="9.85546875" style="4233" hidden="1" customWidth="1"/>
    <col min="20" max="21" width="11.28515625" style="4233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4487" hidden="1" customWidth="1"/>
    <col min="29" max="29" width="9.85546875" style="4487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556" hidden="1" customWidth="1"/>
    <col min="40" max="41" width="11.28515625" hidden="1" customWidth="1"/>
    <col min="42" max="42" width="10.5703125" hidden="1" customWidth="1"/>
    <col min="43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39" hidden="1" customWidth="1"/>
    <col min="51" max="51" width="9.85546875" hidden="1" customWidth="1"/>
    <col min="52" max="55" width="11.28515625" style="2832" hidden="1" customWidth="1"/>
    <col min="56" max="57" width="11.28515625" hidden="1" customWidth="1"/>
    <col min="58" max="58" width="18.5703125" style="90" customWidth="1"/>
    <col min="59" max="59" width="12.85546875" style="90" customWidth="1"/>
    <col min="60" max="61" width="9.140625" style="90"/>
  </cols>
  <sheetData>
    <row r="1" spans="1:62" ht="22.5" x14ac:dyDescent="0.3">
      <c r="B1" s="935" t="s">
        <v>320</v>
      </c>
      <c r="C1" s="936"/>
      <c r="D1" s="937"/>
      <c r="E1" s="936"/>
      <c r="F1" s="937"/>
      <c r="G1" s="936"/>
      <c r="H1" s="936"/>
      <c r="I1" s="936"/>
      <c r="J1" s="610"/>
      <c r="K1" s="250"/>
      <c r="L1" s="250"/>
      <c r="M1" s="250"/>
      <c r="N1" s="610"/>
      <c r="O1" s="250"/>
      <c r="P1" s="250"/>
      <c r="Q1" s="250"/>
      <c r="R1" s="61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</row>
    <row r="2" spans="1:62" s="4487" customFormat="1" ht="22.5" hidden="1" x14ac:dyDescent="0.3">
      <c r="B2" s="5218"/>
      <c r="C2" s="5219" t="s">
        <v>1870</v>
      </c>
      <c r="D2" s="5167">
        <f>+'B-FCE'!E50</f>
        <v>26</v>
      </c>
      <c r="E2" s="5167">
        <f>+'B-FCE'!F50</f>
        <v>29.53833333333333</v>
      </c>
      <c r="F2" s="5167">
        <f>+'B-FCE'!G50</f>
        <v>30.000000000000004</v>
      </c>
      <c r="G2" s="5167">
        <f>+'B-FCE'!H50</f>
        <v>29.791666666666664</v>
      </c>
      <c r="H2" s="5167">
        <f>+'B-FCE'!I50</f>
        <v>56</v>
      </c>
      <c r="I2" s="5167">
        <f>+'B-FCE'!J50</f>
        <v>59.33</v>
      </c>
      <c r="J2" s="5167">
        <f>+'B-FCE'!K50</f>
        <v>29</v>
      </c>
      <c r="K2" s="5167">
        <f>+'B-FCE'!L50</f>
        <v>29.611111111111111</v>
      </c>
      <c r="L2" s="5167">
        <f>+'B-FCE'!M50</f>
        <v>85</v>
      </c>
      <c r="M2" s="5167">
        <f>+'B-FCE'!N50</f>
        <v>88.941111111111098</v>
      </c>
      <c r="N2" s="5167">
        <f>+'B-FCE'!O50</f>
        <v>30</v>
      </c>
      <c r="O2" s="5167">
        <f>+'B-FCE'!P50</f>
        <v>30.999999999999996</v>
      </c>
      <c r="P2" s="5167">
        <f>+'B-FCE'!Q50</f>
        <v>115</v>
      </c>
      <c r="Q2" s="5167">
        <f>+'B-FCE'!R50</f>
        <v>119.9411111111111</v>
      </c>
      <c r="R2" s="5167">
        <f>+'B-FCE'!S50</f>
        <v>30</v>
      </c>
      <c r="S2" s="5167">
        <f>+'B-FCE'!T50</f>
        <v>30.024305555555554</v>
      </c>
      <c r="T2" s="5167">
        <f>+'B-FCE'!U50</f>
        <v>145</v>
      </c>
      <c r="U2" s="5167">
        <f>+'B-FCE'!V50</f>
        <v>149.96541666666664</v>
      </c>
      <c r="V2" s="5167">
        <f>+'B-FCE'!W50</f>
        <v>17.016867469879518</v>
      </c>
      <c r="W2" s="5167">
        <f>+'B-FCE'!X50</f>
        <v>29.673611111111111</v>
      </c>
      <c r="X2" s="5167">
        <f>+'B-FCE'!Y50</f>
        <v>77.016867469879514</v>
      </c>
      <c r="Y2" s="5167">
        <f>+'B-FCE'!Z50</f>
        <v>90.697916666666657</v>
      </c>
      <c r="Z2" s="5167">
        <f>+'B-FCE'!AA50</f>
        <v>162.01686746987951</v>
      </c>
      <c r="AA2" s="5167">
        <f>+'B-FCE'!AB50</f>
        <v>179.63902777777776</v>
      </c>
      <c r="AB2" s="5167">
        <f>+'B-FCE'!AC50</f>
        <v>30.000000000000004</v>
      </c>
      <c r="AC2" s="5167">
        <f>+'B-FCE'!AD50</f>
        <v>26.930555555555561</v>
      </c>
      <c r="AD2" s="5167">
        <f>+'B-FCE'!AE50</f>
        <v>192.01686746987951</v>
      </c>
      <c r="AE2" s="5167">
        <f>+'B-FCE'!AF50</f>
        <v>206.56958333333333</v>
      </c>
      <c r="AF2" s="5167">
        <f>+'B-FCE'!AG50</f>
        <v>29</v>
      </c>
      <c r="AG2" s="5167">
        <f>+'B-FCE'!AH50</f>
        <v>29.107638888888889</v>
      </c>
      <c r="AH2" s="5167">
        <f>+'B-FCE'!AI50</f>
        <v>221.01686746987951</v>
      </c>
      <c r="AI2" s="5167">
        <f>+'B-FCE'!AJ50</f>
        <v>235.67722222222221</v>
      </c>
      <c r="AJ2" s="5167">
        <f>+'B-FCE'!AK50</f>
        <v>30.000000000000004</v>
      </c>
      <c r="AK2" s="5167">
        <f>+'B-FCE'!AL50</f>
        <v>30.697916666666668</v>
      </c>
      <c r="AL2" s="5167">
        <f>+'B-FCE'!AM50</f>
        <v>89</v>
      </c>
      <c r="AM2" s="5167">
        <f>+'B-FCE'!AN50</f>
        <v>86.736111111111114</v>
      </c>
      <c r="AN2" s="5167">
        <f>+'B-FCE'!AO50</f>
        <v>251.01686746987951</v>
      </c>
      <c r="AO2" s="5167">
        <f>+'B-FCE'!AP50</f>
        <v>266.3751388888889</v>
      </c>
      <c r="AP2" s="5167">
        <f>+'B-FCE'!AQ50</f>
        <v>30</v>
      </c>
      <c r="AQ2" s="5167">
        <f>+'B-FCE'!AR50</f>
        <v>30.413194444444393</v>
      </c>
      <c r="AR2" s="5167">
        <f>+'B-FCE'!AS50</f>
        <v>281.01686746987951</v>
      </c>
      <c r="AS2" s="5167">
        <f>+'B-FCE'!AT50</f>
        <v>296.7883333333333</v>
      </c>
      <c r="AT2" s="5167">
        <f>+'B-FCE'!AU50</f>
        <v>27</v>
      </c>
      <c r="AU2" s="5167">
        <f>+'B-FCE'!AV50</f>
        <v>27.576388888888886</v>
      </c>
      <c r="AV2" s="5167">
        <f>+'B-FCE'!AW50</f>
        <v>308.01686746987951</v>
      </c>
      <c r="AW2" s="5167">
        <f>+'B-FCE'!AX50</f>
        <v>324.36472222222221</v>
      </c>
      <c r="AX2" s="5167">
        <f>+'B-FCE'!AY50</f>
        <v>30</v>
      </c>
      <c r="AY2" s="5167">
        <f>+'B-FCE'!AZ50</f>
        <v>29.972222222222232</v>
      </c>
      <c r="AZ2" s="5167">
        <f>+'B-FCE'!BA50</f>
        <v>87</v>
      </c>
      <c r="BA2" s="5167">
        <f>+'B-FCE'!BB50</f>
        <v>87.961805555555515</v>
      </c>
      <c r="BB2" s="5167">
        <f>+'B-FCE'!BC50</f>
        <v>176</v>
      </c>
      <c r="BC2" s="5167">
        <f>+'B-FCE'!BD50</f>
        <v>174.69791666666663</v>
      </c>
      <c r="BD2" s="5167">
        <f>+'B-FCE'!BE50</f>
        <v>338.01686746987951</v>
      </c>
      <c r="BE2" s="5167">
        <f>+'B-FCE'!BF50</f>
        <v>354.33694444444444</v>
      </c>
      <c r="BF2" s="90"/>
      <c r="BG2" s="90"/>
      <c r="BH2" s="90"/>
      <c r="BI2" s="90"/>
    </row>
    <row r="3" spans="1:62" x14ac:dyDescent="0.25">
      <c r="A3" s="90"/>
      <c r="B3" s="936"/>
      <c r="C3" s="938" t="s">
        <v>475</v>
      </c>
      <c r="D3" s="939">
        <v>30</v>
      </c>
      <c r="E3" s="940">
        <v>30</v>
      </c>
      <c r="F3" s="939">
        <v>31</v>
      </c>
      <c r="G3" s="940">
        <v>31</v>
      </c>
      <c r="H3" s="940">
        <f>+D3+F3</f>
        <v>61</v>
      </c>
      <c r="I3" s="940">
        <f>+E3+G3</f>
        <v>61</v>
      </c>
      <c r="J3" s="939">
        <v>30</v>
      </c>
      <c r="K3" s="940">
        <v>30</v>
      </c>
      <c r="L3" s="940">
        <f>+H3+J3</f>
        <v>91</v>
      </c>
      <c r="M3" s="940">
        <f>+I3+K3</f>
        <v>91</v>
      </c>
      <c r="N3" s="939">
        <v>31</v>
      </c>
      <c r="O3" s="940">
        <v>31</v>
      </c>
      <c r="P3" s="940">
        <f>+L3+N3</f>
        <v>122</v>
      </c>
      <c r="Q3" s="940">
        <f>+M3+O3</f>
        <v>122</v>
      </c>
      <c r="R3" s="939">
        <v>31</v>
      </c>
      <c r="S3" s="940">
        <v>31</v>
      </c>
      <c r="T3" s="940">
        <f>+P3+R3</f>
        <v>153</v>
      </c>
      <c r="U3" s="940">
        <f>+Q3+S3</f>
        <v>153</v>
      </c>
      <c r="V3" s="939">
        <v>30</v>
      </c>
      <c r="W3" s="940">
        <v>30</v>
      </c>
      <c r="X3" s="940">
        <f>+N3+R3+V3</f>
        <v>92</v>
      </c>
      <c r="Y3" s="940">
        <f>+O3+S3+W3</f>
        <v>92</v>
      </c>
      <c r="Z3" s="940">
        <f>+T3+V3</f>
        <v>183</v>
      </c>
      <c r="AA3" s="940">
        <f>+U3+W3</f>
        <v>183</v>
      </c>
      <c r="AB3" s="939">
        <v>31</v>
      </c>
      <c r="AC3" s="940">
        <v>31</v>
      </c>
      <c r="AD3" s="940">
        <f>+Z3+AB3</f>
        <v>214</v>
      </c>
      <c r="AE3" s="940">
        <f>+AA3+AC3</f>
        <v>214</v>
      </c>
      <c r="AF3" s="939">
        <v>30</v>
      </c>
      <c r="AG3" s="940">
        <v>30</v>
      </c>
      <c r="AH3" s="940">
        <f>+AD3+AF3</f>
        <v>244</v>
      </c>
      <c r="AI3" s="940">
        <f>+AE3+AG3</f>
        <v>244</v>
      </c>
      <c r="AJ3" s="939">
        <v>31</v>
      </c>
      <c r="AK3" s="940">
        <v>31</v>
      </c>
      <c r="AL3" s="940">
        <f>+AB3+AF3+AJ3</f>
        <v>92</v>
      </c>
      <c r="AM3" s="940">
        <f>+AC3+AG3+AK3</f>
        <v>92</v>
      </c>
      <c r="AN3" s="940">
        <f>+AH3+AJ3</f>
        <v>275</v>
      </c>
      <c r="AO3" s="940">
        <f>+AI3+AK3</f>
        <v>275</v>
      </c>
      <c r="AP3" s="939">
        <v>31</v>
      </c>
      <c r="AQ3" s="940">
        <v>31</v>
      </c>
      <c r="AR3" s="940">
        <f>+AN3+AP3</f>
        <v>306</v>
      </c>
      <c r="AS3" s="940">
        <f>+AO3+AQ3</f>
        <v>306</v>
      </c>
      <c r="AT3" s="939">
        <v>28</v>
      </c>
      <c r="AU3" s="940">
        <v>28</v>
      </c>
      <c r="AV3" s="940">
        <f>+AR3+AT3</f>
        <v>334</v>
      </c>
      <c r="AW3" s="940">
        <f>+AS3+AU3</f>
        <v>334</v>
      </c>
      <c r="AX3" s="939">
        <v>31</v>
      </c>
      <c r="AY3" s="940">
        <v>31</v>
      </c>
      <c r="AZ3" s="940">
        <f>+AP3+AT3+AX3</f>
        <v>90</v>
      </c>
      <c r="BA3" s="940">
        <f>+AQ3+AU3+AY3</f>
        <v>90</v>
      </c>
      <c r="BB3" s="940">
        <f>+AL3+AZ3</f>
        <v>182</v>
      </c>
      <c r="BC3" s="940">
        <f>+AM3+BA3</f>
        <v>182</v>
      </c>
      <c r="BD3" s="940">
        <f>+AV3+AX3</f>
        <v>365</v>
      </c>
      <c r="BE3" s="940">
        <f>+AW3+AY3</f>
        <v>365</v>
      </c>
    </row>
    <row r="4" spans="1:62" x14ac:dyDescent="0.25">
      <c r="A4" s="90"/>
      <c r="B4" s="7968" t="s">
        <v>171</v>
      </c>
      <c r="C4" s="7959" t="s">
        <v>172</v>
      </c>
      <c r="D4" s="7959" t="s">
        <v>2319</v>
      </c>
      <c r="E4" s="7959"/>
      <c r="F4" s="7959" t="s">
        <v>1956</v>
      </c>
      <c r="G4" s="7959"/>
      <c r="H4" s="7958" t="s">
        <v>14</v>
      </c>
      <c r="I4" s="7958"/>
      <c r="J4" s="7959" t="s">
        <v>1986</v>
      </c>
      <c r="K4" s="7959"/>
      <c r="L4" s="7947" t="s">
        <v>607</v>
      </c>
      <c r="M4" s="7947"/>
      <c r="N4" s="7959" t="s">
        <v>2008</v>
      </c>
      <c r="O4" s="7959"/>
      <c r="P4" s="7958" t="s">
        <v>17</v>
      </c>
      <c r="Q4" s="7958"/>
      <c r="R4" s="7959" t="s">
        <v>2011</v>
      </c>
      <c r="S4" s="7959"/>
      <c r="T4" s="7958" t="s">
        <v>18</v>
      </c>
      <c r="U4" s="7958"/>
      <c r="V4" s="7959" t="s">
        <v>2042</v>
      </c>
      <c r="W4" s="7959"/>
      <c r="X4" s="7947" t="s">
        <v>629</v>
      </c>
      <c r="Y4" s="7947"/>
      <c r="Z4" s="7948" t="s">
        <v>626</v>
      </c>
      <c r="AA4" s="7948"/>
      <c r="AB4" s="7959" t="s">
        <v>2067</v>
      </c>
      <c r="AC4" s="7959"/>
      <c r="AD4" s="7958" t="s">
        <v>24</v>
      </c>
      <c r="AE4" s="7958"/>
      <c r="AF4" s="7959" t="s">
        <v>2170</v>
      </c>
      <c r="AG4" s="7959"/>
      <c r="AH4" s="7958" t="s">
        <v>27</v>
      </c>
      <c r="AI4" s="7958"/>
      <c r="AJ4" s="7959" t="s">
        <v>2194</v>
      </c>
      <c r="AK4" s="7959"/>
      <c r="AL4" s="7947" t="s">
        <v>631</v>
      </c>
      <c r="AM4" s="7947"/>
      <c r="AN4" s="7958" t="s">
        <v>1575</v>
      </c>
      <c r="AO4" s="7958"/>
      <c r="AP4" s="7959" t="s">
        <v>2206</v>
      </c>
      <c r="AQ4" s="7959"/>
      <c r="AR4" s="7958" t="s">
        <v>28</v>
      </c>
      <c r="AS4" s="7958"/>
      <c r="AT4" s="7959" t="s">
        <v>2243</v>
      </c>
      <c r="AU4" s="7959"/>
      <c r="AV4" s="7958" t="s">
        <v>30</v>
      </c>
      <c r="AW4" s="7958"/>
      <c r="AX4" s="7959" t="s">
        <v>2261</v>
      </c>
      <c r="AY4" s="7959"/>
      <c r="AZ4" s="7947" t="s">
        <v>632</v>
      </c>
      <c r="BA4" s="7947"/>
      <c r="BB4" s="7948" t="s">
        <v>638</v>
      </c>
      <c r="BC4" s="7948"/>
      <c r="BD4" s="7958" t="s">
        <v>1984</v>
      </c>
      <c r="BE4" s="7958"/>
    </row>
    <row r="5" spans="1:62" ht="15.75" thickBot="1" x14ac:dyDescent="0.3">
      <c r="A5" s="90"/>
      <c r="B5" s="8250"/>
      <c r="C5" s="8251"/>
      <c r="D5" s="3232" t="s">
        <v>173</v>
      </c>
      <c r="E5" s="3233" t="s">
        <v>174</v>
      </c>
      <c r="F5" s="3232" t="s">
        <v>173</v>
      </c>
      <c r="G5" s="3233" t="s">
        <v>174</v>
      </c>
      <c r="H5" s="3234" t="s">
        <v>173</v>
      </c>
      <c r="I5" s="3234" t="s">
        <v>174</v>
      </c>
      <c r="J5" s="761" t="s">
        <v>173</v>
      </c>
      <c r="K5" s="663" t="s">
        <v>174</v>
      </c>
      <c r="L5" s="665" t="s">
        <v>173</v>
      </c>
      <c r="M5" s="665" t="s">
        <v>174</v>
      </c>
      <c r="N5" s="761" t="s">
        <v>173</v>
      </c>
      <c r="O5" s="663" t="s">
        <v>174</v>
      </c>
      <c r="P5" s="664" t="s">
        <v>173</v>
      </c>
      <c r="Q5" s="664" t="s">
        <v>174</v>
      </c>
      <c r="R5" s="761" t="s">
        <v>173</v>
      </c>
      <c r="S5" s="4362" t="s">
        <v>174</v>
      </c>
      <c r="T5" s="4361" t="s">
        <v>173</v>
      </c>
      <c r="U5" s="4361" t="s">
        <v>174</v>
      </c>
      <c r="V5" s="761" t="s">
        <v>173</v>
      </c>
      <c r="W5" s="663" t="s">
        <v>174</v>
      </c>
      <c r="X5" s="665" t="s">
        <v>173</v>
      </c>
      <c r="Y5" s="665" t="s">
        <v>174</v>
      </c>
      <c r="Z5" s="748" t="s">
        <v>173</v>
      </c>
      <c r="AA5" s="748" t="s">
        <v>174</v>
      </c>
      <c r="AB5" s="761" t="s">
        <v>173</v>
      </c>
      <c r="AC5" s="4611" t="s">
        <v>174</v>
      </c>
      <c r="AD5" s="2452" t="s">
        <v>173</v>
      </c>
      <c r="AE5" s="2452" t="s">
        <v>174</v>
      </c>
      <c r="AF5" s="761" t="s">
        <v>173</v>
      </c>
      <c r="AG5" s="2486" t="s">
        <v>174</v>
      </c>
      <c r="AH5" s="2489" t="s">
        <v>173</v>
      </c>
      <c r="AI5" s="2489" t="s">
        <v>174</v>
      </c>
      <c r="AJ5" s="761" t="s">
        <v>173</v>
      </c>
      <c r="AK5" s="2557" t="s">
        <v>174</v>
      </c>
      <c r="AL5" s="2559" t="s">
        <v>173</v>
      </c>
      <c r="AM5" s="2559" t="s">
        <v>174</v>
      </c>
      <c r="AN5" s="2560" t="s">
        <v>173</v>
      </c>
      <c r="AO5" s="2560" t="s">
        <v>174</v>
      </c>
      <c r="AP5" s="761" t="s">
        <v>173</v>
      </c>
      <c r="AQ5" s="2614" t="s">
        <v>174</v>
      </c>
      <c r="AR5" s="2616" t="s">
        <v>173</v>
      </c>
      <c r="AS5" s="2616" t="s">
        <v>174</v>
      </c>
      <c r="AT5" s="761" t="s">
        <v>173</v>
      </c>
      <c r="AU5" s="2646" t="s">
        <v>174</v>
      </c>
      <c r="AV5" s="2647" t="s">
        <v>173</v>
      </c>
      <c r="AW5" s="2647" t="s">
        <v>174</v>
      </c>
      <c r="AX5" s="761" t="s">
        <v>173</v>
      </c>
      <c r="AY5" s="2833" t="s">
        <v>174</v>
      </c>
      <c r="AZ5" s="2835" t="s">
        <v>173</v>
      </c>
      <c r="BA5" s="2835" t="s">
        <v>174</v>
      </c>
      <c r="BB5" s="2836" t="s">
        <v>173</v>
      </c>
      <c r="BC5" s="2836" t="s">
        <v>174</v>
      </c>
      <c r="BD5" s="2834" t="s">
        <v>173</v>
      </c>
      <c r="BE5" s="2834" t="s">
        <v>174</v>
      </c>
    </row>
    <row r="6" spans="1:62" ht="20.25" x14ac:dyDescent="0.25">
      <c r="A6" s="144"/>
      <c r="B6" s="3235" t="s">
        <v>321</v>
      </c>
      <c r="C6" s="3236" t="s">
        <v>476</v>
      </c>
      <c r="D6" s="3237"/>
      <c r="E6" s="3237">
        <f>+'B-FCE'!F50</f>
        <v>29.53833333333333</v>
      </c>
      <c r="F6" s="3237"/>
      <c r="G6" s="3237">
        <f>+'B-FCE'!H50</f>
        <v>29.791666666666664</v>
      </c>
      <c r="H6" s="3237"/>
      <c r="I6" s="3238">
        <f>+'B-FCE'!J50</f>
        <v>59.33</v>
      </c>
      <c r="J6" s="3237"/>
      <c r="K6" s="3237">
        <f>+'B-FCE'!L50</f>
        <v>29.611111111111111</v>
      </c>
      <c r="L6" s="942"/>
      <c r="M6" s="942">
        <f>+'B-FCE'!N50</f>
        <v>88.941111111111098</v>
      </c>
      <c r="N6" s="3237"/>
      <c r="O6" s="3237">
        <f>+'B-FCE'!P50</f>
        <v>30.999999999999996</v>
      </c>
      <c r="P6" s="942"/>
      <c r="Q6" s="942">
        <f>+M6+O6</f>
        <v>119.9411111111111</v>
      </c>
      <c r="R6" s="3237"/>
      <c r="S6" s="3237">
        <f>+'B-FCE'!T50</f>
        <v>30.024305555555554</v>
      </c>
      <c r="T6" s="942"/>
      <c r="U6" s="942">
        <f>+Q6+S6</f>
        <v>149.96541666666664</v>
      </c>
      <c r="V6" s="3237"/>
      <c r="W6" s="3237">
        <f>+'B-FCE'!X50</f>
        <v>29.673611111111111</v>
      </c>
      <c r="X6" s="942"/>
      <c r="Y6" s="942">
        <f>+'B-FCE'!Z50</f>
        <v>90.697916666666657</v>
      </c>
      <c r="Z6" s="942"/>
      <c r="AA6" s="942">
        <f>+U6+W6</f>
        <v>179.63902777777776</v>
      </c>
      <c r="AB6" s="3237"/>
      <c r="AC6" s="3237">
        <f>+'B-FCE'!AD50</f>
        <v>26.930555555555561</v>
      </c>
      <c r="AD6" s="942"/>
      <c r="AE6" s="942">
        <f>+AA6+AC6</f>
        <v>206.56958333333333</v>
      </c>
      <c r="AF6" s="3237"/>
      <c r="AG6" s="3237">
        <f>+'B-FCE'!AH50</f>
        <v>29.107638888888889</v>
      </c>
      <c r="AH6" s="942"/>
      <c r="AI6" s="942">
        <f>+AE6+AG6</f>
        <v>235.67722222222221</v>
      </c>
      <c r="AJ6" s="3237"/>
      <c r="AK6" s="3237">
        <f>+'B-FCE'!AL50</f>
        <v>30.697916666666668</v>
      </c>
      <c r="AL6" s="942"/>
      <c r="AM6" s="942">
        <f>+'B-FCE'!AN50</f>
        <v>86.736111111111114</v>
      </c>
      <c r="AN6" s="942"/>
      <c r="AO6" s="942">
        <f>+AI6+AK6</f>
        <v>266.3751388888889</v>
      </c>
      <c r="AP6" s="3237"/>
      <c r="AQ6" s="3237">
        <f>+'B-FCE'!AR50</f>
        <v>30.413194444444393</v>
      </c>
      <c r="AR6" s="942"/>
      <c r="AS6" s="942">
        <f>+AO6+AQ6</f>
        <v>296.7883333333333</v>
      </c>
      <c r="AT6" s="3237"/>
      <c r="AU6" s="3237">
        <f>+'B-FCE'!AV50</f>
        <v>27.576388888888886</v>
      </c>
      <c r="AV6" s="942"/>
      <c r="AW6" s="942">
        <f>+AS6+AU6</f>
        <v>324.36472222222221</v>
      </c>
      <c r="AX6" s="3237"/>
      <c r="AY6" s="3237">
        <f>+'B-FCE'!AZ50</f>
        <v>29.972222222222232</v>
      </c>
      <c r="AZ6" s="942"/>
      <c r="BA6" s="942">
        <f>+'B-FCE'!BB50</f>
        <v>87.961805555555515</v>
      </c>
      <c r="BB6" s="942"/>
      <c r="BC6" s="2842">
        <f>+AM6+BA6</f>
        <v>174.69791666666663</v>
      </c>
      <c r="BD6" s="942"/>
      <c r="BE6" s="942">
        <f>+AW6+AY6</f>
        <v>354.33694444444444</v>
      </c>
    </row>
    <row r="7" spans="1:62" ht="15.75" thickBot="1" x14ac:dyDescent="0.3">
      <c r="A7" s="144"/>
      <c r="B7" s="3222" t="s">
        <v>328</v>
      </c>
      <c r="C7" s="2893" t="s">
        <v>327</v>
      </c>
      <c r="D7" s="3239">
        <v>4250</v>
      </c>
      <c r="E7" s="2993">
        <v>4254.87</v>
      </c>
      <c r="F7" s="3239">
        <v>4225</v>
      </c>
      <c r="G7" s="2993">
        <v>4249.6948738243291</v>
      </c>
      <c r="H7" s="2884">
        <v>4225</v>
      </c>
      <c r="I7" s="37">
        <f>+((E7*E$3*E13)+(G$3*G7*G13))/(I$3*I13)</f>
        <v>4252.2087225749365</v>
      </c>
      <c r="J7" s="3239">
        <v>4225</v>
      </c>
      <c r="K7" s="2993">
        <v>4254.7899129775424</v>
      </c>
      <c r="L7" s="732">
        <v>4225</v>
      </c>
      <c r="M7" s="732">
        <f>+((I7*I$3*I13)+(K$3*K7*K13))/(M$3*M13)</f>
        <v>4253.0608092155035</v>
      </c>
      <c r="N7" s="3239">
        <v>4225</v>
      </c>
      <c r="O7" s="2993">
        <v>4252.457958941076</v>
      </c>
      <c r="P7" s="733">
        <v>4225</v>
      </c>
      <c r="Q7" s="733">
        <f>+((M7*M$3*M13)+(O$3*O7*O13))/(Q$3*Q13)</f>
        <v>4252.907771580084</v>
      </c>
      <c r="R7" s="3239">
        <v>4225</v>
      </c>
      <c r="S7" s="2993">
        <v>4252.995935040025</v>
      </c>
      <c r="T7" s="5974">
        <f>+((P7*P$3*P13)+(R$3*R7*R13))/(T$3*T13)</f>
        <v>4225</v>
      </c>
      <c r="U7" s="4359">
        <f>+((Q7*Q$3*Q13)+(S$3*S7*S13))/(U$3*U13)</f>
        <v>4252.9254899175849</v>
      </c>
      <c r="V7" s="3239">
        <v>4225</v>
      </c>
      <c r="W7" s="2993">
        <v>4252.1400000000003</v>
      </c>
      <c r="X7" s="732">
        <v>4225</v>
      </c>
      <c r="Y7" s="732">
        <f>+((O7*O$3*O13)+(S7*S$3*S13)+(W$3*W7*W13))/(Y$3*Y13)</f>
        <v>4252.5338760567529</v>
      </c>
      <c r="Z7" s="439">
        <v>4225</v>
      </c>
      <c r="AA7" s="439">
        <f>+((M7*M$3*M13)+(Y$3*Y7*Y13))/(AA$3*AA13)</f>
        <v>4252.7963990542939</v>
      </c>
      <c r="AB7" s="3239">
        <v>4225</v>
      </c>
      <c r="AC7" s="2993">
        <v>4253.99</v>
      </c>
      <c r="AD7" s="2236">
        <v>4225</v>
      </c>
      <c r="AE7" s="2236">
        <f>+((AA7*AA$3*AA13)+(AC$3*AC7*AC13))/(AE$3*AE13)</f>
        <v>4252.965665210183</v>
      </c>
      <c r="AF7" s="3239">
        <v>4225</v>
      </c>
      <c r="AG7" s="2993">
        <v>4251.29</v>
      </c>
      <c r="AH7" s="4652">
        <v>4225</v>
      </c>
      <c r="AI7" s="4652">
        <f>+((AE7*AE$3*AE13)+(AG$3*AG7*AG13))/(AI$3*AI13)</f>
        <v>4252.7606993475865</v>
      </c>
      <c r="AJ7" s="3239">
        <v>4225</v>
      </c>
      <c r="AK7" s="2993">
        <v>4248.0200000000004</v>
      </c>
      <c r="AL7" s="2553">
        <v>4225</v>
      </c>
      <c r="AM7" s="2553">
        <f>+((AC7*AC$3*AC13)+(AG7*AG$3*AG13)+(AK$3*AK7*AK13))/(AM$3*AM13)</f>
        <v>4251.1000773732476</v>
      </c>
      <c r="AN7" s="2236">
        <v>4225</v>
      </c>
      <c r="AO7" s="2236">
        <f>+((AI7*AI$3*AI13)+(AK$3*AK7*AK13))/(AO$3*AO13)</f>
        <v>4252.2364908566133</v>
      </c>
      <c r="AP7" s="3239">
        <v>4225</v>
      </c>
      <c r="AQ7" s="2993">
        <v>4250.0200000000004</v>
      </c>
      <c r="AR7" s="2236">
        <v>4225</v>
      </c>
      <c r="AS7" s="2236">
        <f>+((AO7*AO$3*AO13)+(AQ$3*AQ7*AQ13))/(AS$3*AS13)</f>
        <v>4252.0175082806763</v>
      </c>
      <c r="AT7" s="3239">
        <v>4225</v>
      </c>
      <c r="AU7" s="2993">
        <v>4254.3500000000004</v>
      </c>
      <c r="AV7" s="5072">
        <v>4225</v>
      </c>
      <c r="AW7" s="5072">
        <f>+((AS7*AS$3*AS13)+(AU$3*AU7*AU13))/(AW$3*AW13)</f>
        <v>4252.2092567378231</v>
      </c>
      <c r="AX7" s="3239">
        <v>4225</v>
      </c>
      <c r="AY7" s="2993">
        <v>4253.0600000000004</v>
      </c>
      <c r="AZ7" s="2829">
        <v>4225</v>
      </c>
      <c r="BA7" s="2829">
        <f>+((AQ7*AQ$3*AQ13)+(AU7*AU$3*AU13)+(AY$3*AY7*AY13))/(BA$3*BA13)</f>
        <v>4252.4145368006912</v>
      </c>
      <c r="BB7" s="2827">
        <v>4225</v>
      </c>
      <c r="BC7" s="2827">
        <f>+((AM7*AM$3*AM13)+(BA$3*BA7*BA13))/(BC$3*BC13)</f>
        <v>4251.7447407046793</v>
      </c>
      <c r="BD7" s="2236">
        <v>4225</v>
      </c>
      <c r="BE7" s="5206">
        <f>+((AW7*AW$3*AW13)+(AY$3*AY7*AY13))/(BE$3*BE13)</f>
        <v>4252.2794167069696</v>
      </c>
      <c r="BF7" s="112"/>
      <c r="BG7" s="112"/>
      <c r="BH7" s="112"/>
      <c r="BI7" s="4699"/>
      <c r="BJ7" s="1137"/>
    </row>
    <row r="8" spans="1:62" ht="15.75" hidden="1" customHeight="1" thickBot="1" x14ac:dyDescent="0.3">
      <c r="A8" s="144"/>
      <c r="B8" s="3240" t="s">
        <v>329</v>
      </c>
      <c r="C8" s="3216" t="s">
        <v>953</v>
      </c>
      <c r="D8" s="3217">
        <v>21.772333333333332</v>
      </c>
      <c r="E8" s="3218"/>
      <c r="F8" s="3217">
        <v>21.772333333333332</v>
      </c>
      <c r="G8" s="3218"/>
      <c r="H8" s="3179"/>
      <c r="I8" s="154"/>
      <c r="J8" s="3217">
        <v>20.883666666666667</v>
      </c>
      <c r="K8" s="3218"/>
      <c r="L8" s="732"/>
      <c r="M8" s="732"/>
      <c r="N8" s="3217">
        <v>20.883666666666667</v>
      </c>
      <c r="O8" s="3218"/>
      <c r="P8" s="733"/>
      <c r="Q8" s="733"/>
      <c r="R8" s="3217">
        <v>20.883666666666667</v>
      </c>
      <c r="S8" s="3218"/>
      <c r="T8" s="4359"/>
      <c r="U8" s="4359"/>
      <c r="V8" s="3217">
        <v>20.461549999999999</v>
      </c>
      <c r="W8" s="3218"/>
      <c r="X8" s="732"/>
      <c r="Y8" s="732"/>
      <c r="Z8" s="439"/>
      <c r="AA8" s="439"/>
      <c r="AB8" s="3217">
        <v>20.883666666666667</v>
      </c>
      <c r="AC8" s="3218"/>
      <c r="AD8" s="2236"/>
      <c r="AE8" s="2236"/>
      <c r="AF8" s="3217">
        <v>20.883666666666667</v>
      </c>
      <c r="AG8" s="3218"/>
      <c r="AH8" s="4652"/>
      <c r="AI8" s="4652"/>
      <c r="AJ8" s="3217">
        <v>20.883666666666667</v>
      </c>
      <c r="AK8" s="3218"/>
      <c r="AL8" s="2553"/>
      <c r="AM8" s="2553"/>
      <c r="AN8" s="2236"/>
      <c r="AO8" s="2236"/>
      <c r="AP8" s="3217">
        <v>20.883666666666667</v>
      </c>
      <c r="AQ8" s="3218"/>
      <c r="AR8" s="2236"/>
      <c r="AS8" s="2236"/>
      <c r="AT8" s="3217">
        <v>20.883666666666667</v>
      </c>
      <c r="AU8" s="3218"/>
      <c r="AV8" s="5072"/>
      <c r="AW8" s="5072"/>
      <c r="AX8" s="3217">
        <v>20.883666666666667</v>
      </c>
      <c r="AY8" s="3218"/>
      <c r="AZ8" s="2829"/>
      <c r="BA8" s="2829"/>
      <c r="BB8" s="2827"/>
      <c r="BC8" s="2827"/>
      <c r="BD8" s="2236"/>
      <c r="BE8" s="2236"/>
      <c r="BF8" s="112"/>
      <c r="BG8" s="112"/>
      <c r="BH8" s="112"/>
      <c r="BI8" s="4699"/>
      <c r="BJ8" s="1137"/>
    </row>
    <row r="9" spans="1:62" x14ac:dyDescent="0.25">
      <c r="A9" s="144"/>
      <c r="B9" s="3220" t="s">
        <v>329</v>
      </c>
      <c r="C9" s="767" t="s">
        <v>324</v>
      </c>
      <c r="D9" s="254">
        <f>+D8*24*D3</f>
        <v>15676.079999999998</v>
      </c>
      <c r="E9" s="3221">
        <v>14775.92</v>
      </c>
      <c r="F9" s="254">
        <f>+F8*24*F3</f>
        <v>16198.615999999998</v>
      </c>
      <c r="G9" s="3221">
        <v>16165.260000000002</v>
      </c>
      <c r="H9" s="349">
        <f>+D9+F9</f>
        <v>31874.695999999996</v>
      </c>
      <c r="I9" s="41">
        <f>+E9+G9</f>
        <v>30941.18</v>
      </c>
      <c r="J9" s="254">
        <f>+J8*24*J3</f>
        <v>15036.24</v>
      </c>
      <c r="K9" s="3221">
        <v>15397.140000000001</v>
      </c>
      <c r="L9" s="732">
        <f>+H9+J9</f>
        <v>46910.935999999994</v>
      </c>
      <c r="M9" s="732">
        <f>+I9+K9</f>
        <v>46338.32</v>
      </c>
      <c r="N9" s="254">
        <f>+N8*24*N3</f>
        <v>15537.447999999999</v>
      </c>
      <c r="O9" s="3221">
        <v>15742.000000000002</v>
      </c>
      <c r="P9" s="733">
        <f>+L9+N9</f>
        <v>62448.383999999991</v>
      </c>
      <c r="Q9" s="733">
        <f>+M9+O9</f>
        <v>62080.32</v>
      </c>
      <c r="R9" s="254">
        <f>+R8*24*R3</f>
        <v>15537.447999999999</v>
      </c>
      <c r="S9" s="3221">
        <v>15956.017725097459</v>
      </c>
      <c r="T9" s="4359">
        <f>+P9+R9</f>
        <v>77985.831999999995</v>
      </c>
      <c r="U9" s="4359">
        <f>+Q9+S9</f>
        <v>78036.337725097459</v>
      </c>
      <c r="V9" s="254">
        <f>+V8*24*V3</f>
        <v>14732.315999999999</v>
      </c>
      <c r="W9" s="3221">
        <v>15459.72</v>
      </c>
      <c r="X9" s="732">
        <f>+V9+R9+N9</f>
        <v>45807.211999999992</v>
      </c>
      <c r="Y9" s="732">
        <f>+W9+S9+O9</f>
        <v>47157.73772509746</v>
      </c>
      <c r="Z9" s="439">
        <f>+L9+X9</f>
        <v>92718.147999999986</v>
      </c>
      <c r="AA9" s="439">
        <f>+Y9+M9</f>
        <v>93496.05772509746</v>
      </c>
      <c r="AB9" s="254">
        <f>+AB8*24*AB3</f>
        <v>15537.447999999999</v>
      </c>
      <c r="AC9" s="3221">
        <v>15529.25</v>
      </c>
      <c r="AD9" s="2236">
        <f>+Z9+AB9</f>
        <v>108255.59599999999</v>
      </c>
      <c r="AE9" s="2236">
        <f>+AA9+AC9</f>
        <v>109025.30772509746</v>
      </c>
      <c r="AF9" s="254">
        <f>+AF8*24*AF3</f>
        <v>15036.24</v>
      </c>
      <c r="AG9" s="3221">
        <v>15076.4</v>
      </c>
      <c r="AH9" s="4652">
        <f>+AD9+AF9</f>
        <v>123291.836</v>
      </c>
      <c r="AI9" s="4652">
        <f>+AE9+AG9</f>
        <v>124101.70772509745</v>
      </c>
      <c r="AJ9" s="254">
        <f>+AJ8*24*AJ3</f>
        <v>15537.447999999999</v>
      </c>
      <c r="AK9" s="3221">
        <v>15200.621000000001</v>
      </c>
      <c r="AL9" s="2553">
        <f>+AJ9+AF9+AB9</f>
        <v>46111.135999999999</v>
      </c>
      <c r="AM9" s="2553">
        <f>+AK9+AG9+AC9</f>
        <v>45806.271000000001</v>
      </c>
      <c r="AN9" s="2236">
        <f>+AH9+AJ9</f>
        <v>138829.28399999999</v>
      </c>
      <c r="AO9" s="2236">
        <f>+AI9+AK9</f>
        <v>139302.32872509747</v>
      </c>
      <c r="AP9" s="254">
        <f>+AP8*24*AP3</f>
        <v>15537.447999999999</v>
      </c>
      <c r="AQ9" s="3221">
        <v>14796.88</v>
      </c>
      <c r="AR9" s="2236">
        <f>+AN9+AP9</f>
        <v>154366.73199999999</v>
      </c>
      <c r="AS9" s="2236">
        <f>+AO9+AQ9</f>
        <v>154099.20872509747</v>
      </c>
      <c r="AT9" s="254">
        <f>+AT8*24*AT3</f>
        <v>14033.823999999999</v>
      </c>
      <c r="AU9" s="3221">
        <v>12972.32</v>
      </c>
      <c r="AV9" s="5072">
        <f>+AR9+AT9</f>
        <v>168400.55599999998</v>
      </c>
      <c r="AW9" s="5072">
        <f>+AS9+AU9</f>
        <v>167071.52872509748</v>
      </c>
      <c r="AX9" s="254">
        <f>+AX8*24*AX3</f>
        <v>15537.447999999999</v>
      </c>
      <c r="AY9" s="3221">
        <v>14377.6</v>
      </c>
      <c r="AZ9" s="2829">
        <f>+AX9+AT9+AP9</f>
        <v>45108.719999999994</v>
      </c>
      <c r="BA9" s="2829">
        <f>+AY9+AU9+AQ9</f>
        <v>42146.799999999996</v>
      </c>
      <c r="BB9" s="2827">
        <f>+AL9+AZ9</f>
        <v>91219.856</v>
      </c>
      <c r="BC9" s="2837">
        <f t="shared" ref="BC9:BC11" si="0">+AM9+BA9</f>
        <v>87953.070999999996</v>
      </c>
      <c r="BD9" s="2236">
        <f>+AV9+AX9</f>
        <v>183938.00399999999</v>
      </c>
      <c r="BE9" s="2236">
        <f>+AW9+AY9</f>
        <v>181449.12872509749</v>
      </c>
      <c r="BF9" s="112"/>
      <c r="BG9" s="112"/>
      <c r="BH9" s="112"/>
      <c r="BI9" s="112"/>
      <c r="BJ9" s="112"/>
    </row>
    <row r="10" spans="1:62" ht="15" hidden="1" customHeight="1" x14ac:dyDescent="0.25">
      <c r="A10" s="144"/>
      <c r="B10" s="3222" t="s">
        <v>330</v>
      </c>
      <c r="C10" s="2893" t="s">
        <v>953</v>
      </c>
      <c r="D10" s="7635">
        <v>43.176175000000001</v>
      </c>
      <c r="E10" s="2993"/>
      <c r="F10" s="5629">
        <v>43.801916666666671</v>
      </c>
      <c r="G10" s="2993"/>
      <c r="H10" s="2884"/>
      <c r="I10" s="37"/>
      <c r="J10" s="5763">
        <v>43.801916666666671</v>
      </c>
      <c r="K10" s="2993"/>
      <c r="L10" s="732"/>
      <c r="M10" s="732"/>
      <c r="N10" s="5871">
        <v>43.801916666666671</v>
      </c>
      <c r="O10" s="2993"/>
      <c r="P10" s="733"/>
      <c r="Q10" s="733"/>
      <c r="R10" s="5975">
        <v>43.801916666666671</v>
      </c>
      <c r="S10" s="2993"/>
      <c r="T10" s="4359"/>
      <c r="U10" s="4359"/>
      <c r="V10" s="6049">
        <v>41.790604166666675</v>
      </c>
      <c r="W10" s="2993"/>
      <c r="X10" s="732"/>
      <c r="Y10" s="732"/>
      <c r="Z10" s="439"/>
      <c r="AA10" s="439"/>
      <c r="AB10" s="6179">
        <v>43.801916666666671</v>
      </c>
      <c r="AC10" s="2993"/>
      <c r="AD10" s="2236"/>
      <c r="AE10" s="2236"/>
      <c r="AF10" s="6372">
        <v>43.801916666666671</v>
      </c>
      <c r="AG10" s="2993"/>
      <c r="AH10" s="4652"/>
      <c r="AI10" s="4652"/>
      <c r="AJ10" s="6624">
        <v>43.801916666666671</v>
      </c>
      <c r="AK10" s="2993"/>
      <c r="AL10" s="2553"/>
      <c r="AM10" s="2553"/>
      <c r="AN10" s="2236"/>
      <c r="AO10" s="2236"/>
      <c r="AP10" s="6716">
        <v>43.801916666666671</v>
      </c>
      <c r="AQ10" s="2993"/>
      <c r="AR10" s="2236"/>
      <c r="AS10" s="2236"/>
      <c r="AT10" s="6861">
        <v>43.801916666666671</v>
      </c>
      <c r="AU10" s="2993"/>
      <c r="AV10" s="5072"/>
      <c r="AW10" s="5072"/>
      <c r="AX10" s="7015">
        <v>43.801916666666671</v>
      </c>
      <c r="AY10" s="2993"/>
      <c r="AZ10" s="2829"/>
      <c r="BA10" s="2829"/>
      <c r="BB10" s="2837">
        <f t="shared" ref="BB10:BB11" si="1">+AL10+AZ10</f>
        <v>0</v>
      </c>
      <c r="BC10" s="2837">
        <f t="shared" si="0"/>
        <v>0</v>
      </c>
      <c r="BD10" s="2236"/>
      <c r="BE10" s="2236"/>
      <c r="BF10" s="112"/>
      <c r="BG10" s="112"/>
      <c r="BH10" s="112"/>
      <c r="BI10" s="112"/>
      <c r="BJ10" s="112"/>
    </row>
    <row r="11" spans="1:62" x14ac:dyDescent="0.25">
      <c r="A11" s="144"/>
      <c r="B11" s="3222" t="s">
        <v>330</v>
      </c>
      <c r="C11" s="2893" t="s">
        <v>324</v>
      </c>
      <c r="D11" s="7635">
        <f>+D10*D3*24</f>
        <v>31086.845999999998</v>
      </c>
      <c r="E11" s="2993">
        <v>30954.2</v>
      </c>
      <c r="F11" s="5629">
        <f>+F10*F3*24</f>
        <v>32588.626</v>
      </c>
      <c r="G11" s="2993">
        <v>32246.775915850627</v>
      </c>
      <c r="H11" s="2884">
        <f>+D11+F11</f>
        <v>63675.471999999994</v>
      </c>
      <c r="I11" s="37">
        <f>+E11+G11</f>
        <v>63200.975915850628</v>
      </c>
      <c r="J11" s="5763">
        <f>+J10*J3*24</f>
        <v>31537.380000000005</v>
      </c>
      <c r="K11" s="2993">
        <v>30995.260000000002</v>
      </c>
      <c r="L11" s="732">
        <f>+H11+J11</f>
        <v>95212.851999999999</v>
      </c>
      <c r="M11" s="732">
        <f>+I11+K11</f>
        <v>94196.23591585063</v>
      </c>
      <c r="N11" s="5871">
        <f>+N10*N3*24</f>
        <v>32588.626</v>
      </c>
      <c r="O11" s="2993">
        <v>32071.409999999993</v>
      </c>
      <c r="P11" s="733">
        <f>+L11+N11</f>
        <v>127801.478</v>
      </c>
      <c r="Q11" s="733">
        <f>+M11+O11</f>
        <v>126267.64591585062</v>
      </c>
      <c r="R11" s="5975">
        <f>+R10*R3*24</f>
        <v>32588.626</v>
      </c>
      <c r="S11" s="2993">
        <v>31417.21</v>
      </c>
      <c r="T11" s="4359">
        <f>+P11+R11</f>
        <v>160390.10399999999</v>
      </c>
      <c r="U11" s="4359">
        <f>+Q11+S11</f>
        <v>157684.85591585061</v>
      </c>
      <c r="V11" s="6049">
        <f>+V10*V3*24</f>
        <v>30089.235000000008</v>
      </c>
      <c r="W11" s="2993">
        <v>30898.44</v>
      </c>
      <c r="X11" s="732">
        <f>+V11+R11+N11</f>
        <v>95266.487000000008</v>
      </c>
      <c r="Y11" s="732">
        <f>+W11+S11+O11</f>
        <v>94387.059999999983</v>
      </c>
      <c r="Z11" s="439">
        <f>+L11+X11</f>
        <v>190479.33900000001</v>
      </c>
      <c r="AA11" s="439">
        <f>+Y11+M11</f>
        <v>188583.29591585061</v>
      </c>
      <c r="AB11" s="6179">
        <f>+AB10*AB3*24</f>
        <v>32588.626</v>
      </c>
      <c r="AC11" s="2993">
        <v>31082.94</v>
      </c>
      <c r="AD11" s="2236">
        <f>+Z11+AB11</f>
        <v>223067.965</v>
      </c>
      <c r="AE11" s="2236">
        <f>+AA11+AC11</f>
        <v>219666.23591585062</v>
      </c>
      <c r="AF11" s="6372">
        <f>+AF10*AF3*24</f>
        <v>31537.380000000005</v>
      </c>
      <c r="AG11" s="2993">
        <v>30732.11</v>
      </c>
      <c r="AH11" s="4652">
        <f>+AD11+AF11</f>
        <v>254605.345</v>
      </c>
      <c r="AI11" s="4652">
        <f>+AE11+AG11</f>
        <v>250398.3459158506</v>
      </c>
      <c r="AJ11" s="6624">
        <f>+AJ10*AJ3*24</f>
        <v>32588.626</v>
      </c>
      <c r="AK11" s="2993">
        <v>31358.5</v>
      </c>
      <c r="AL11" s="2553">
        <f>+AJ11+AF11+AB11</f>
        <v>96714.632000000012</v>
      </c>
      <c r="AM11" s="2553">
        <f>+AK11+AG11+AC11</f>
        <v>93173.55</v>
      </c>
      <c r="AN11" s="2236">
        <f>+AH11+AJ11</f>
        <v>287193.97100000002</v>
      </c>
      <c r="AO11" s="2236">
        <f>+AI11+AK11</f>
        <v>281756.8459158506</v>
      </c>
      <c r="AP11" s="6716">
        <f>+AP10*AP3*24</f>
        <v>32588.626</v>
      </c>
      <c r="AQ11" s="2993">
        <v>31362.94</v>
      </c>
      <c r="AR11" s="2236">
        <f>+AN11+AP11</f>
        <v>319782.59700000001</v>
      </c>
      <c r="AS11" s="2236">
        <f>+AO11+AQ11</f>
        <v>313119.7859158506</v>
      </c>
      <c r="AT11" s="6861">
        <f>+AT10*AT3*24</f>
        <v>29434.888000000003</v>
      </c>
      <c r="AU11" s="2993">
        <v>28876.94</v>
      </c>
      <c r="AV11" s="5072">
        <f>+AR11+AT11</f>
        <v>349217.48499999999</v>
      </c>
      <c r="AW11" s="5072">
        <f>+AS11+AU11</f>
        <v>341996.72591585061</v>
      </c>
      <c r="AX11" s="7015">
        <f>+AX10*AX3*24</f>
        <v>32588.626</v>
      </c>
      <c r="AY11" s="2993">
        <v>31378.2</v>
      </c>
      <c r="AZ11" s="2829">
        <f>+AX11+AT11+AP11</f>
        <v>94612.14</v>
      </c>
      <c r="BA11" s="2829">
        <f>+AY11+AU11+AQ11</f>
        <v>91618.08</v>
      </c>
      <c r="BB11" s="2837">
        <f t="shared" si="1"/>
        <v>191326.772</v>
      </c>
      <c r="BC11" s="2837">
        <f t="shared" si="0"/>
        <v>184791.63</v>
      </c>
      <c r="BD11" s="2236">
        <f>+AV11+AX11</f>
        <v>381806.11099999998</v>
      </c>
      <c r="BE11" s="2236">
        <f>+AW11+AY11</f>
        <v>373374.92591585062</v>
      </c>
      <c r="BF11" s="112"/>
      <c r="BG11" s="112"/>
      <c r="BH11" s="112"/>
      <c r="BI11" s="112"/>
      <c r="BJ11" s="112"/>
    </row>
    <row r="12" spans="1:62" ht="19.5" thickBot="1" x14ac:dyDescent="0.3">
      <c r="B12" s="3223" t="s">
        <v>331</v>
      </c>
      <c r="C12" s="2400" t="s">
        <v>324</v>
      </c>
      <c r="D12" s="2401">
        <f t="shared" ref="D12:E12" si="2">+D9+D11</f>
        <v>46762.925999999992</v>
      </c>
      <c r="E12" s="3224">
        <f t="shared" si="2"/>
        <v>45730.12</v>
      </c>
      <c r="F12" s="2401">
        <f t="shared" ref="F12:G12" si="3">+F9+F11</f>
        <v>48787.241999999998</v>
      </c>
      <c r="G12" s="3224">
        <f t="shared" si="3"/>
        <v>48412.035915850633</v>
      </c>
      <c r="H12" s="2402">
        <f t="shared" ref="H12:K12" si="4">+H9+H11</f>
        <v>95550.167999999991</v>
      </c>
      <c r="I12" s="3225">
        <f t="shared" si="4"/>
        <v>94142.155915850628</v>
      </c>
      <c r="J12" s="2401">
        <f t="shared" si="4"/>
        <v>46573.62</v>
      </c>
      <c r="K12" s="3224">
        <f t="shared" si="4"/>
        <v>46392.4</v>
      </c>
      <c r="L12" s="617">
        <f t="shared" ref="L12:Q12" si="5">+L9+L11</f>
        <v>142123.788</v>
      </c>
      <c r="M12" s="617">
        <f t="shared" si="5"/>
        <v>140534.55591585062</v>
      </c>
      <c r="N12" s="2401">
        <f t="shared" si="5"/>
        <v>48126.074000000001</v>
      </c>
      <c r="O12" s="3224">
        <f t="shared" si="5"/>
        <v>47813.409999999996</v>
      </c>
      <c r="P12" s="616">
        <f t="shared" si="5"/>
        <v>190249.86199999999</v>
      </c>
      <c r="Q12" s="616">
        <f t="shared" si="5"/>
        <v>188347.96591585063</v>
      </c>
      <c r="R12" s="2401">
        <f t="shared" ref="R12:S12" si="6">+R9+R11</f>
        <v>48126.074000000001</v>
      </c>
      <c r="S12" s="3224">
        <f t="shared" si="6"/>
        <v>47373.227725097458</v>
      </c>
      <c r="T12" s="3402">
        <f t="shared" ref="T12:W12" si="7">+T9+T11</f>
        <v>238375.93599999999</v>
      </c>
      <c r="U12" s="3402">
        <f t="shared" si="7"/>
        <v>235721.19364094807</v>
      </c>
      <c r="V12" s="2401">
        <f t="shared" si="7"/>
        <v>44821.551000000007</v>
      </c>
      <c r="W12" s="3224">
        <f t="shared" si="7"/>
        <v>46358.159999999996</v>
      </c>
      <c r="X12" s="589">
        <f t="shared" ref="X12:AE12" si="8">+X9+X11</f>
        <v>141073.69899999999</v>
      </c>
      <c r="Y12" s="589">
        <f t="shared" si="8"/>
        <v>141544.79772509745</v>
      </c>
      <c r="Z12" s="589">
        <f t="shared" si="8"/>
        <v>283197.48699999996</v>
      </c>
      <c r="AA12" s="589">
        <f t="shared" si="8"/>
        <v>282079.35364094807</v>
      </c>
      <c r="AB12" s="2401">
        <f t="shared" si="8"/>
        <v>48126.074000000001</v>
      </c>
      <c r="AC12" s="3224">
        <f t="shared" si="8"/>
        <v>46612.19</v>
      </c>
      <c r="AD12" s="2451">
        <f t="shared" si="8"/>
        <v>331323.56099999999</v>
      </c>
      <c r="AE12" s="2451">
        <f t="shared" si="8"/>
        <v>328691.54364094808</v>
      </c>
      <c r="AF12" s="2401">
        <f t="shared" ref="AF12:AG12" si="9">+AF9+AF11</f>
        <v>46573.62</v>
      </c>
      <c r="AG12" s="3224">
        <f t="shared" si="9"/>
        <v>45808.51</v>
      </c>
      <c r="AH12" s="3402">
        <f t="shared" ref="AH12:AK12" si="10">+AH9+AH11</f>
        <v>377897.18099999998</v>
      </c>
      <c r="AI12" s="3402">
        <f t="shared" si="10"/>
        <v>374500.05364094803</v>
      </c>
      <c r="AJ12" s="2401">
        <f t="shared" si="10"/>
        <v>48126.074000000001</v>
      </c>
      <c r="AK12" s="3224">
        <f t="shared" si="10"/>
        <v>46559.120999999999</v>
      </c>
      <c r="AL12" s="2831">
        <f t="shared" ref="AL12:AQ12" si="11">+AL9+AL11</f>
        <v>142825.76800000001</v>
      </c>
      <c r="AM12" s="2831">
        <f t="shared" si="11"/>
        <v>138979.821</v>
      </c>
      <c r="AN12" s="2554">
        <f t="shared" si="11"/>
        <v>426023.255</v>
      </c>
      <c r="AO12" s="2554">
        <f t="shared" si="11"/>
        <v>421059.17464094807</v>
      </c>
      <c r="AP12" s="2401">
        <f t="shared" si="11"/>
        <v>48126.074000000001</v>
      </c>
      <c r="AQ12" s="3224">
        <f t="shared" si="11"/>
        <v>46159.82</v>
      </c>
      <c r="AR12" s="2613">
        <f t="shared" ref="AR12:AU12" si="12">+AR9+AR11</f>
        <v>474149.32900000003</v>
      </c>
      <c r="AS12" s="2613">
        <f t="shared" si="12"/>
        <v>467218.99464094808</v>
      </c>
      <c r="AT12" s="2401">
        <f t="shared" si="12"/>
        <v>43468.712</v>
      </c>
      <c r="AU12" s="3224">
        <f t="shared" si="12"/>
        <v>41849.259999999995</v>
      </c>
      <c r="AV12" s="3402">
        <f t="shared" ref="AV12:AY12" si="13">+AV9+AV11</f>
        <v>517618.04099999997</v>
      </c>
      <c r="AW12" s="3402">
        <f t="shared" si="13"/>
        <v>509068.25464094809</v>
      </c>
      <c r="AX12" s="2401">
        <f t="shared" si="13"/>
        <v>48126.074000000001</v>
      </c>
      <c r="AY12" s="3224">
        <f t="shared" si="13"/>
        <v>45755.8</v>
      </c>
      <c r="AZ12" s="589">
        <f t="shared" ref="AZ12:BE12" si="14">+AZ9+AZ11</f>
        <v>139720.85999999999</v>
      </c>
      <c r="BA12" s="589">
        <f t="shared" si="14"/>
        <v>133764.88</v>
      </c>
      <c r="BB12" s="589">
        <f t="shared" si="14"/>
        <v>282546.62800000003</v>
      </c>
      <c r="BC12" s="589">
        <f t="shared" si="14"/>
        <v>272744.701</v>
      </c>
      <c r="BD12" s="2830">
        <f t="shared" si="14"/>
        <v>565744.11499999999</v>
      </c>
      <c r="BE12" s="2830">
        <f t="shared" si="14"/>
        <v>554824.05464094807</v>
      </c>
      <c r="BF12" s="112"/>
      <c r="BG12" s="112"/>
      <c r="BH12" s="112"/>
      <c r="BI12" s="112"/>
      <c r="BJ12" s="112"/>
    </row>
    <row r="13" spans="1:62" ht="15.75" x14ac:dyDescent="0.25">
      <c r="B13" s="3241" t="s">
        <v>332</v>
      </c>
      <c r="C13" s="3219" t="s">
        <v>326</v>
      </c>
      <c r="D13" s="3186">
        <f t="shared" ref="D13:E13" si="15">+D12/(D3*24)</f>
        <v>64.948508333333322</v>
      </c>
      <c r="E13" s="3186">
        <f t="shared" si="15"/>
        <v>63.514055555555558</v>
      </c>
      <c r="F13" s="3186">
        <f t="shared" ref="F13:G13" si="16">+F12/(F3*24)</f>
        <v>65.574249999999992</v>
      </c>
      <c r="G13" s="3186">
        <f t="shared" si="16"/>
        <v>65.069940747111062</v>
      </c>
      <c r="H13" s="2326">
        <f t="shared" ref="H13:K13" si="17">+H12/(H3*24)</f>
        <v>65.266508196721304</v>
      </c>
      <c r="I13" s="3242">
        <f t="shared" si="17"/>
        <v>64.304751308641144</v>
      </c>
      <c r="J13" s="3186">
        <f t="shared" si="17"/>
        <v>64.685583333333341</v>
      </c>
      <c r="K13" s="3186">
        <f t="shared" si="17"/>
        <v>64.433888888888887</v>
      </c>
      <c r="L13" s="764">
        <f t="shared" ref="L13:Q13" si="18">+L12/(L3*24)</f>
        <v>65.074994505494502</v>
      </c>
      <c r="M13" s="764">
        <f t="shared" si="18"/>
        <v>64.347324137294237</v>
      </c>
      <c r="N13" s="3186">
        <f t="shared" si="18"/>
        <v>64.685583333333341</v>
      </c>
      <c r="O13" s="3186">
        <f t="shared" si="18"/>
        <v>64.265336021505377</v>
      </c>
      <c r="P13" s="763">
        <f t="shared" si="18"/>
        <v>64.976045765027322</v>
      </c>
      <c r="Q13" s="763">
        <f t="shared" si="18"/>
        <v>64.326491091479042</v>
      </c>
      <c r="R13" s="3186">
        <f t="shared" ref="R13:S13" si="19">+R12/(R3*24)</f>
        <v>64.685583333333341</v>
      </c>
      <c r="S13" s="3186">
        <f t="shared" si="19"/>
        <v>63.673693178894432</v>
      </c>
      <c r="T13" s="763">
        <f t="shared" ref="T13:W13" si="20">+T12/(T3*24)</f>
        <v>64.917193899782134</v>
      </c>
      <c r="U13" s="763">
        <f t="shared" si="20"/>
        <v>64.194224847752736</v>
      </c>
      <c r="V13" s="3186">
        <f t="shared" si="20"/>
        <v>62.252154166666678</v>
      </c>
      <c r="W13" s="3186">
        <f t="shared" si="20"/>
        <v>64.386333333333326</v>
      </c>
      <c r="X13" s="764">
        <f t="shared" ref="X13:AE13" si="21">+X12/(X3*24)</f>
        <v>63.892073822463765</v>
      </c>
      <c r="Y13" s="764">
        <f t="shared" si="21"/>
        <v>64.105433752308628</v>
      </c>
      <c r="Z13" s="762">
        <f t="shared" si="21"/>
        <v>64.480302140255006</v>
      </c>
      <c r="AA13" s="762">
        <f t="shared" si="21"/>
        <v>64.225718042110216</v>
      </c>
      <c r="AB13" s="3186">
        <f t="shared" si="21"/>
        <v>64.685583333333341</v>
      </c>
      <c r="AC13" s="3186">
        <f t="shared" si="21"/>
        <v>62.650793010752693</v>
      </c>
      <c r="AD13" s="763">
        <f t="shared" si="21"/>
        <v>64.51003913551402</v>
      </c>
      <c r="AE13" s="763">
        <f t="shared" si="21"/>
        <v>63.997574696446279</v>
      </c>
      <c r="AF13" s="3186">
        <f t="shared" ref="AF13:AG13" si="22">+AF12/(AF3*24)</f>
        <v>64.685583333333341</v>
      </c>
      <c r="AG13" s="3186">
        <f t="shared" si="22"/>
        <v>63.622930555555556</v>
      </c>
      <c r="AH13" s="763">
        <f t="shared" ref="AH13:AK13" si="23">+AH12/(AH3*24)</f>
        <v>64.531622438524593</v>
      </c>
      <c r="AI13" s="763">
        <f t="shared" si="23"/>
        <v>63.951511892238393</v>
      </c>
      <c r="AJ13" s="3186">
        <f t="shared" si="23"/>
        <v>64.685583333333341</v>
      </c>
      <c r="AK13" s="3186">
        <f t="shared" si="23"/>
        <v>62.57946370967742</v>
      </c>
      <c r="AL13" s="764">
        <f t="shared" ref="AL13:AQ13" si="24">+AL12/(AL3*24)</f>
        <v>64.685583333333341</v>
      </c>
      <c r="AM13" s="764">
        <f t="shared" si="24"/>
        <v>62.943759510869562</v>
      </c>
      <c r="AN13" s="763">
        <f t="shared" si="24"/>
        <v>64.548978030303033</v>
      </c>
      <c r="AO13" s="763">
        <f t="shared" si="24"/>
        <v>63.796844642567891</v>
      </c>
      <c r="AP13" s="3186">
        <f t="shared" si="24"/>
        <v>64.685583333333341</v>
      </c>
      <c r="AQ13" s="3186">
        <f t="shared" si="24"/>
        <v>62.042768817204298</v>
      </c>
      <c r="AR13" s="763">
        <f t="shared" ref="AR13:AU13" si="25">+AR12/(AR3*24)</f>
        <v>64.562817129629636</v>
      </c>
      <c r="AS13" s="763">
        <f t="shared" si="25"/>
        <v>63.619144150455895</v>
      </c>
      <c r="AT13" s="3186">
        <f t="shared" si="25"/>
        <v>64.685583333333327</v>
      </c>
      <c r="AU13" s="3186">
        <f t="shared" si="25"/>
        <v>62.275684523809517</v>
      </c>
      <c r="AV13" s="763">
        <f t="shared" ref="AV13:AY13" si="26">+AV12/(AV3*24)</f>
        <v>64.573108907185627</v>
      </c>
      <c r="AW13" s="763">
        <f t="shared" si="26"/>
        <v>63.506518792533441</v>
      </c>
      <c r="AX13" s="3186">
        <f t="shared" si="26"/>
        <v>64.685583333333341</v>
      </c>
      <c r="AY13" s="3186">
        <f t="shared" si="26"/>
        <v>61.499731182795706</v>
      </c>
      <c r="AZ13" s="764">
        <f t="shared" ref="AZ13:BE13" si="27">+AZ12/(AZ3*24)</f>
        <v>64.685583333333327</v>
      </c>
      <c r="BA13" s="764">
        <f t="shared" si="27"/>
        <v>61.928185185185185</v>
      </c>
      <c r="BB13" s="762">
        <f t="shared" si="27"/>
        <v>64.685583333333341</v>
      </c>
      <c r="BC13" s="762">
        <f t="shared" si="27"/>
        <v>62.441552426739925</v>
      </c>
      <c r="BD13" s="763">
        <f t="shared" si="27"/>
        <v>64.582661529680365</v>
      </c>
      <c r="BE13" s="763">
        <f t="shared" si="27"/>
        <v>63.336079296911883</v>
      </c>
      <c r="BF13" s="112"/>
      <c r="BG13" s="112"/>
      <c r="BH13" s="112"/>
      <c r="BI13" s="112"/>
      <c r="BJ13" s="112"/>
    </row>
    <row r="14" spans="1:62" ht="15.75" hidden="1" customHeight="1" x14ac:dyDescent="0.25">
      <c r="B14" s="3243" t="s">
        <v>54</v>
      </c>
      <c r="C14" s="3244" t="s">
        <v>954</v>
      </c>
      <c r="D14" s="3245">
        <v>0.51995655833333332</v>
      </c>
      <c r="E14" s="3246"/>
      <c r="F14" s="3245">
        <v>0.52433675000000002</v>
      </c>
      <c r="G14" s="3246"/>
      <c r="H14" s="3247"/>
      <c r="I14" s="1745"/>
      <c r="J14" s="3245">
        <v>0.51545008333333331</v>
      </c>
      <c r="K14" s="3246"/>
      <c r="L14" s="764"/>
      <c r="M14" s="764"/>
      <c r="N14" s="3245">
        <v>0.51545008333333331</v>
      </c>
      <c r="O14" s="3246"/>
      <c r="P14" s="763"/>
      <c r="Q14" s="763"/>
      <c r="R14" s="3245">
        <v>0.51545008333333331</v>
      </c>
      <c r="S14" s="3246"/>
      <c r="T14" s="763"/>
      <c r="U14" s="763"/>
      <c r="V14" s="3245">
        <v>0.49714972916666667</v>
      </c>
      <c r="W14" s="3246"/>
      <c r="X14" s="764"/>
      <c r="Y14" s="764"/>
      <c r="Z14" s="762"/>
      <c r="AA14" s="762"/>
      <c r="AB14" s="3245">
        <v>0.51545008333333331</v>
      </c>
      <c r="AC14" s="3246"/>
      <c r="AD14" s="763"/>
      <c r="AE14" s="763"/>
      <c r="AF14" s="3245">
        <v>0.51545008333333331</v>
      </c>
      <c r="AG14" s="3246"/>
      <c r="AH14" s="763"/>
      <c r="AI14" s="763"/>
      <c r="AJ14" s="3245">
        <v>0.51545008333333331</v>
      </c>
      <c r="AK14" s="3246"/>
      <c r="AL14" s="764"/>
      <c r="AM14" s="764"/>
      <c r="AN14" s="763"/>
      <c r="AO14" s="763"/>
      <c r="AP14" s="3245">
        <v>0.51545008333333331</v>
      </c>
      <c r="AQ14" s="3246"/>
      <c r="AR14" s="763"/>
      <c r="AS14" s="763"/>
      <c r="AT14" s="3245">
        <v>0.51545008333333331</v>
      </c>
      <c r="AU14" s="3246"/>
      <c r="AV14" s="763"/>
      <c r="AW14" s="763"/>
      <c r="AX14" s="3245">
        <v>0.51545008333333331</v>
      </c>
      <c r="AY14" s="3246"/>
      <c r="AZ14" s="764"/>
      <c r="BA14" s="764"/>
      <c r="BB14" s="762"/>
      <c r="BC14" s="762"/>
      <c r="BD14" s="763"/>
      <c r="BE14" s="763"/>
      <c r="BF14" s="112"/>
      <c r="BG14" s="112"/>
      <c r="BH14" s="112"/>
      <c r="BI14" s="112"/>
      <c r="BJ14" s="112"/>
    </row>
    <row r="15" spans="1:62" x14ac:dyDescent="0.25">
      <c r="B15" s="3243" t="s">
        <v>54</v>
      </c>
      <c r="C15" s="2893" t="s">
        <v>324</v>
      </c>
      <c r="D15" s="7635">
        <f>+D14*D3*24</f>
        <v>374.36872199999999</v>
      </c>
      <c r="E15" s="2996">
        <v>406.58</v>
      </c>
      <c r="F15" s="5629">
        <f>+F14*F3*24</f>
        <v>390.10654199999999</v>
      </c>
      <c r="G15" s="2996">
        <v>104.0840639053433</v>
      </c>
      <c r="H15" s="2884">
        <f>+D15+F15</f>
        <v>764.47526399999992</v>
      </c>
      <c r="I15" s="37">
        <f>+E15+G15</f>
        <v>510.66406390534326</v>
      </c>
      <c r="J15" s="5763">
        <f>+J14*J3*24</f>
        <v>371.12405999999999</v>
      </c>
      <c r="K15" s="2996">
        <v>98.058000000000007</v>
      </c>
      <c r="L15" s="732">
        <f>+H15+J15</f>
        <v>1135.5993239999998</v>
      </c>
      <c r="M15" s="732">
        <f>+I15+K15</f>
        <v>608.72206390534325</v>
      </c>
      <c r="N15" s="5871">
        <f>+N14*N3*24</f>
        <v>383.49486200000001</v>
      </c>
      <c r="O15" s="2996">
        <v>96.962822583267354</v>
      </c>
      <c r="P15" s="733">
        <f>+L15+N15</f>
        <v>1519.0941859999998</v>
      </c>
      <c r="Q15" s="733">
        <f>+M15+O15</f>
        <v>705.68488648861057</v>
      </c>
      <c r="R15" s="5975">
        <f>+R14*R3*24</f>
        <v>383.49486200000001</v>
      </c>
      <c r="S15" s="2996">
        <v>112.89019718109057</v>
      </c>
      <c r="T15" s="4359">
        <f>+P15+R15</f>
        <v>1902.5890479999998</v>
      </c>
      <c r="U15" s="4359">
        <f>+Q15+S15</f>
        <v>818.57508366970114</v>
      </c>
      <c r="V15" s="6049">
        <f>+V14*V3*24</f>
        <v>357.94780500000002</v>
      </c>
      <c r="W15" s="2996">
        <v>101.82</v>
      </c>
      <c r="X15" s="732">
        <f>+V15+R15+N15</f>
        <v>1124.937529</v>
      </c>
      <c r="Y15" s="732">
        <f>+W15+S15+O15</f>
        <v>311.67301976435795</v>
      </c>
      <c r="Z15" s="439">
        <f>+L15+X15</f>
        <v>2260.5368529999996</v>
      </c>
      <c r="AA15" s="439">
        <f>+Y15+M15</f>
        <v>920.39508366970119</v>
      </c>
      <c r="AB15" s="6179">
        <f>+AB14*AB3*24</f>
        <v>383.49486200000001</v>
      </c>
      <c r="AC15" s="2996">
        <v>611.49</v>
      </c>
      <c r="AD15" s="2236">
        <f>+Z15+AB15</f>
        <v>2644.0317149999996</v>
      </c>
      <c r="AE15" s="2236">
        <f>+AA15+AC15</f>
        <v>1531.8850836697011</v>
      </c>
      <c r="AF15" s="6372">
        <f>+AF14*AF3*24</f>
        <v>371.12405999999999</v>
      </c>
      <c r="AG15" s="2996">
        <v>96.82</v>
      </c>
      <c r="AH15" s="4652">
        <f>+AD15+AF15</f>
        <v>3015.1557749999997</v>
      </c>
      <c r="AI15" s="4652">
        <f>+AE15+AG15</f>
        <v>1628.705083669701</v>
      </c>
      <c r="AJ15" s="6624">
        <f>+AJ14*AJ3*24</f>
        <v>383.49486200000001</v>
      </c>
      <c r="AK15" s="2996">
        <v>105.23297035831769</v>
      </c>
      <c r="AL15" s="6622">
        <f>+AJ15+AF15+AB15</f>
        <v>1138.1137840000001</v>
      </c>
      <c r="AM15" s="6622">
        <f>+AK15+AG15+AC15</f>
        <v>813.54297035831769</v>
      </c>
      <c r="AN15" s="2236">
        <f>+AH15+AJ15</f>
        <v>3398.6506369999997</v>
      </c>
      <c r="AO15" s="2236">
        <f>+AI15+AK15</f>
        <v>1733.9380540280188</v>
      </c>
      <c r="AP15" s="6716">
        <f>+AP14*AP3*24</f>
        <v>383.49486200000001</v>
      </c>
      <c r="AQ15" s="2996">
        <v>600.47</v>
      </c>
      <c r="AR15" s="2236">
        <f>+AN15+AP15</f>
        <v>3782.1454989999997</v>
      </c>
      <c r="AS15" s="2236">
        <f>+AO15+AQ15</f>
        <v>2334.4080540280188</v>
      </c>
      <c r="AT15" s="6861">
        <f>+AT14*AT3*24</f>
        <v>346.38245599999993</v>
      </c>
      <c r="AU15" s="2996">
        <v>883.93</v>
      </c>
      <c r="AV15" s="5072">
        <f>+AR15+AT15</f>
        <v>4128.5279549999996</v>
      </c>
      <c r="AW15" s="5072">
        <f>+AS15+AU15</f>
        <v>3218.3380540280186</v>
      </c>
      <c r="AX15" s="7015">
        <f>+AX14*AX3*24</f>
        <v>383.49486200000001</v>
      </c>
      <c r="AY15" s="2996">
        <v>135.55000000000001</v>
      </c>
      <c r="AZ15" s="2829">
        <f>+AX15+AT15+AP15</f>
        <v>1113.3721799999998</v>
      </c>
      <c r="BA15" s="2829">
        <f>+AY15+AU15+AQ15</f>
        <v>1619.95</v>
      </c>
      <c r="BB15" s="2837">
        <f t="shared" ref="BB15:BB17" si="28">+AL15+AZ15</f>
        <v>2251.485964</v>
      </c>
      <c r="BC15" s="2837">
        <f t="shared" ref="BC15:BC17" si="29">+AM15+BA15</f>
        <v>2433.4929703583175</v>
      </c>
      <c r="BD15" s="2236">
        <f>+AV15+AX15</f>
        <v>4512.0228169999991</v>
      </c>
      <c r="BE15" s="2236">
        <f>+AW15+AY15</f>
        <v>3353.8880540280188</v>
      </c>
      <c r="BF15" s="112"/>
      <c r="BG15" s="112"/>
      <c r="BH15" s="112"/>
      <c r="BI15" s="112"/>
      <c r="BJ15" s="112"/>
    </row>
    <row r="16" spans="1:62" ht="15" hidden="1" customHeight="1" x14ac:dyDescent="0.25">
      <c r="B16" s="3243" t="s">
        <v>373</v>
      </c>
      <c r="C16" s="2893" t="s">
        <v>953</v>
      </c>
      <c r="D16" s="3174">
        <v>0.34725185833333333</v>
      </c>
      <c r="E16" s="2993"/>
      <c r="F16" s="3174">
        <v>0.34912908333333331</v>
      </c>
      <c r="G16" s="2993"/>
      <c r="H16" s="2884"/>
      <c r="I16" s="37"/>
      <c r="J16" s="3174">
        <v>0.34024241666666666</v>
      </c>
      <c r="K16" s="2993"/>
      <c r="L16" s="732"/>
      <c r="M16" s="732"/>
      <c r="N16" s="3174">
        <v>0.34024241666666666</v>
      </c>
      <c r="O16" s="2993"/>
      <c r="P16" s="733"/>
      <c r="Q16" s="733"/>
      <c r="R16" s="3174">
        <v>0.34024241666666666</v>
      </c>
      <c r="S16" s="2993"/>
      <c r="T16" s="4359"/>
      <c r="U16" s="4359"/>
      <c r="V16" s="3174">
        <v>0.32998731250000002</v>
      </c>
      <c r="W16" s="2993"/>
      <c r="X16" s="732"/>
      <c r="Y16" s="732"/>
      <c r="Z16" s="439"/>
      <c r="AA16" s="439"/>
      <c r="AB16" s="3174">
        <v>0.34024241666666666</v>
      </c>
      <c r="AC16" s="2993"/>
      <c r="AD16" s="2236"/>
      <c r="AE16" s="2236"/>
      <c r="AF16" s="3174">
        <v>0.34024241666666666</v>
      </c>
      <c r="AG16" s="2993"/>
      <c r="AH16" s="4652"/>
      <c r="AI16" s="4652"/>
      <c r="AJ16" s="3174">
        <v>0.34024241666666666</v>
      </c>
      <c r="AK16" s="2993"/>
      <c r="AL16" s="6622"/>
      <c r="AM16" s="6622"/>
      <c r="AN16" s="2236"/>
      <c r="AO16" s="2236"/>
      <c r="AP16" s="3174">
        <v>0.34024241666666666</v>
      </c>
      <c r="AQ16" s="2993"/>
      <c r="AR16" s="2236"/>
      <c r="AS16" s="2236"/>
      <c r="AT16" s="3174">
        <v>0.34024241666666666</v>
      </c>
      <c r="AU16" s="2993"/>
      <c r="AV16" s="5072"/>
      <c r="AW16" s="5072"/>
      <c r="AX16" s="3174">
        <v>0.34024241666666666</v>
      </c>
      <c r="AY16" s="2993"/>
      <c r="AZ16" s="2829"/>
      <c r="BA16" s="2829"/>
      <c r="BB16" s="2837">
        <f t="shared" si="28"/>
        <v>0</v>
      </c>
      <c r="BC16" s="2837">
        <f t="shared" si="29"/>
        <v>0</v>
      </c>
      <c r="BD16" s="2236"/>
      <c r="BE16" s="2236"/>
      <c r="BF16" s="112"/>
      <c r="BG16" s="112"/>
      <c r="BH16" s="112"/>
      <c r="BI16" s="112"/>
      <c r="BJ16" s="112"/>
    </row>
    <row r="17" spans="2:62" x14ac:dyDescent="0.25">
      <c r="B17" s="3243" t="s">
        <v>373</v>
      </c>
      <c r="C17" s="2893" t="s">
        <v>324</v>
      </c>
      <c r="D17" s="7635">
        <f>+D16*D3*24</f>
        <v>250.02133800000001</v>
      </c>
      <c r="E17" s="2993">
        <v>950.35</v>
      </c>
      <c r="F17" s="5629">
        <f>+F16*F3*24</f>
        <v>259.75203799999997</v>
      </c>
      <c r="G17" s="2993">
        <v>242.86281577913434</v>
      </c>
      <c r="H17" s="2884">
        <f>+D17+F17</f>
        <v>509.77337599999998</v>
      </c>
      <c r="I17" s="37">
        <f>+E17+G17</f>
        <v>1193.2128157791344</v>
      </c>
      <c r="J17" s="5763">
        <f>+J16*J3*24</f>
        <v>244.97453999999999</v>
      </c>
      <c r="K17" s="2993">
        <v>228.80200000000005</v>
      </c>
      <c r="L17" s="732">
        <f>+H17+J17</f>
        <v>754.74791600000003</v>
      </c>
      <c r="M17" s="732">
        <f>+I17+K17</f>
        <v>1422.0148157791346</v>
      </c>
      <c r="N17" s="5871">
        <f>+N16*N3*24</f>
        <v>253.14035799999999</v>
      </c>
      <c r="O17" s="2993">
        <v>226.24658602762378</v>
      </c>
      <c r="P17" s="733">
        <f>+L17+N17</f>
        <v>1007.888274</v>
      </c>
      <c r="Q17" s="733">
        <f>+M17+O17</f>
        <v>1648.2614018067584</v>
      </c>
      <c r="R17" s="5975">
        <f>+R16*R3*24</f>
        <v>253.14035799999999</v>
      </c>
      <c r="S17" s="2993">
        <v>267.077126755878</v>
      </c>
      <c r="T17" s="4359">
        <f>+P17+R17</f>
        <v>1261.028632</v>
      </c>
      <c r="U17" s="4359">
        <f>+Q17+S17</f>
        <v>1915.3385285626364</v>
      </c>
      <c r="V17" s="6049">
        <f>+V16*V3*24</f>
        <v>237.59086500000001</v>
      </c>
      <c r="W17" s="2993">
        <v>237.58</v>
      </c>
      <c r="X17" s="732">
        <f>+V17+R17+N17</f>
        <v>743.87158099999999</v>
      </c>
      <c r="Y17" s="732">
        <f>+W17+S17+O17</f>
        <v>730.90371278350176</v>
      </c>
      <c r="Z17" s="439">
        <f>+L17+X17</f>
        <v>1498.6194970000001</v>
      </c>
      <c r="AA17" s="439">
        <f>+Y17+M17</f>
        <v>2152.9185285626363</v>
      </c>
      <c r="AB17" s="6179">
        <f>+AB16*AB3*24</f>
        <v>253.14035799999999</v>
      </c>
      <c r="AC17" s="2993">
        <v>571.41999999999996</v>
      </c>
      <c r="AD17" s="2236">
        <f>+Z17+AB17</f>
        <v>1751.7598550000002</v>
      </c>
      <c r="AE17" s="2236">
        <f>+AA17+AC17</f>
        <v>2724.3385285626364</v>
      </c>
      <c r="AF17" s="6372">
        <f>+AF16*AF3*24</f>
        <v>244.97453999999999</v>
      </c>
      <c r="AG17" s="2993">
        <v>225.91</v>
      </c>
      <c r="AH17" s="4652">
        <f>+AD17+AF17</f>
        <v>1996.7343950000002</v>
      </c>
      <c r="AI17" s="4652">
        <f>+AE17+AG17</f>
        <v>2950.2485285626362</v>
      </c>
      <c r="AJ17" s="6624">
        <f>+AJ16*AJ3*24</f>
        <v>253.14035799999999</v>
      </c>
      <c r="AK17" s="2993">
        <v>245.54359750274122</v>
      </c>
      <c r="AL17" s="6622">
        <f>+AJ17+AF17+AB17</f>
        <v>751.25525599999992</v>
      </c>
      <c r="AM17" s="6622">
        <f>+AK17+AG17+AC17</f>
        <v>1042.8735975027412</v>
      </c>
      <c r="AN17" s="2236">
        <f>+AH17+AJ17</f>
        <v>2249.8747530000001</v>
      </c>
      <c r="AO17" s="2236">
        <f>+AI17+AK17</f>
        <v>3195.7921260653775</v>
      </c>
      <c r="AP17" s="6716">
        <f>+AP16*AP3*24</f>
        <v>253.14035799999999</v>
      </c>
      <c r="AQ17" s="2993">
        <v>1401.1</v>
      </c>
      <c r="AR17" s="2236">
        <f>+AN17+AP17</f>
        <v>2503.0151110000002</v>
      </c>
      <c r="AS17" s="2236">
        <f>+AO17+AQ17</f>
        <v>4596.8921260653769</v>
      </c>
      <c r="AT17" s="6861">
        <f>+AT16*AT3*24</f>
        <v>228.64290400000002</v>
      </c>
      <c r="AU17" s="2993">
        <v>2062.5100000000002</v>
      </c>
      <c r="AV17" s="5072">
        <f>+AR17+AT17</f>
        <v>2731.658015</v>
      </c>
      <c r="AW17" s="5072">
        <f>+AS17+AU17</f>
        <v>6659.4021260653772</v>
      </c>
      <c r="AX17" s="7015">
        <f>+AX16*AX3*24</f>
        <v>253.14035799999999</v>
      </c>
      <c r="AY17" s="2993">
        <v>316.29000000000002</v>
      </c>
      <c r="AZ17" s="2829">
        <f>+AX17+AT17+AP17</f>
        <v>734.92362000000003</v>
      </c>
      <c r="BA17" s="2829">
        <f>+AY17+AU17+AQ17</f>
        <v>3779.9</v>
      </c>
      <c r="BB17" s="2837">
        <f t="shared" si="28"/>
        <v>1486.1788759999999</v>
      </c>
      <c r="BC17" s="2837">
        <f t="shared" si="29"/>
        <v>4822.7735975027408</v>
      </c>
      <c r="BD17" s="2236">
        <f>+AV17+AX17</f>
        <v>2984.7983730000001</v>
      </c>
      <c r="BE17" s="2236">
        <f>+AW17+AY17</f>
        <v>6975.6921260653771</v>
      </c>
      <c r="BF17" s="112"/>
      <c r="BG17" s="112"/>
      <c r="BH17" s="112"/>
      <c r="BI17" s="112"/>
      <c r="BJ17" s="112"/>
    </row>
    <row r="18" spans="2:62" x14ac:dyDescent="0.25">
      <c r="B18" s="3248" t="s">
        <v>73</v>
      </c>
      <c r="C18" s="2893" t="s">
        <v>49</v>
      </c>
      <c r="D18" s="3249">
        <f>+(+D17)*100/D12</f>
        <v>0.53465717264997503</v>
      </c>
      <c r="E18" s="3231">
        <f>+E17/E12*100</f>
        <v>2.0781707985896385</v>
      </c>
      <c r="F18" s="3249">
        <f>+(+F17)*100/F12</f>
        <v>0.5324179587770097</v>
      </c>
      <c r="G18" s="3231">
        <f>+G17/G12*100</f>
        <v>0.50165792696939315</v>
      </c>
      <c r="H18" s="3250">
        <f>+H17/H12*100</f>
        <v>0.53351384583646155</v>
      </c>
      <c r="I18" s="3183">
        <f>+I17/I12*100</f>
        <v>1.267458562183017</v>
      </c>
      <c r="J18" s="3249">
        <f>+(+J17)*100/J12</f>
        <v>0.5259942001502137</v>
      </c>
      <c r="K18" s="3231">
        <f>+K17/K12*100</f>
        <v>0.49318853950215991</v>
      </c>
      <c r="L18" s="353">
        <f>+L17/L12*100</f>
        <v>0.53104967621606036</v>
      </c>
      <c r="M18" s="353">
        <f>+M17/M12*100</f>
        <v>1.0118613223004096</v>
      </c>
      <c r="N18" s="3249">
        <f>+(+N17)*100/N12</f>
        <v>0.5259942001502137</v>
      </c>
      <c r="O18" s="3231">
        <f>+O17/O12*100</f>
        <v>0.47318646803820058</v>
      </c>
      <c r="P18" s="351">
        <f>+P17/P12*100</f>
        <v>0.52977083053022145</v>
      </c>
      <c r="Q18" s="351">
        <f>+Q17/Q12*100</f>
        <v>0.87511505303070924</v>
      </c>
      <c r="R18" s="3249">
        <f>+(+R17)*100/R12</f>
        <v>0.5259942001502137</v>
      </c>
      <c r="S18" s="3231">
        <f>+S17/S12*100</f>
        <v>0.56377228147869152</v>
      </c>
      <c r="T18" s="2045">
        <f>+T17/T12*100</f>
        <v>0.52900836097818194</v>
      </c>
      <c r="U18" s="2045">
        <f>+U17/U12*100</f>
        <v>0.81254404789757317</v>
      </c>
      <c r="V18" s="3249">
        <f>+(+V17)*100/V12</f>
        <v>0.53008175687628478</v>
      </c>
      <c r="W18" s="3231">
        <f>+W17/W12*100</f>
        <v>0.51248798485530922</v>
      </c>
      <c r="X18" s="353">
        <f>+X17/X12*100</f>
        <v>0.52729288752824155</v>
      </c>
      <c r="Y18" s="353">
        <f>+Y17/Y12*100</f>
        <v>0.51637624591688158</v>
      </c>
      <c r="Z18" s="467">
        <f>+Z17/Z12*100</f>
        <v>0.52917824691007942</v>
      </c>
      <c r="AA18" s="467">
        <f>+AA17/AA12*100</f>
        <v>0.76323151651256038</v>
      </c>
      <c r="AB18" s="3249">
        <f>+(+AB17)*100/AB12</f>
        <v>0.5259942001502137</v>
      </c>
      <c r="AC18" s="3231">
        <f>+AC17/AC12*100</f>
        <v>1.2259024946049519</v>
      </c>
      <c r="AD18" s="2045">
        <f>+AD17/AD12*100</f>
        <v>0.52871575136789029</v>
      </c>
      <c r="AE18" s="2045">
        <f>+AE17/AE12*100</f>
        <v>0.82884351035772774</v>
      </c>
      <c r="AF18" s="3249">
        <f>+(+AF17)*100/AF12</f>
        <v>0.5259942001502137</v>
      </c>
      <c r="AG18" s="3231">
        <f>+AG17/AG12*100</f>
        <v>0.4931616417997442</v>
      </c>
      <c r="AH18" s="2045">
        <f>+AH17/AH12*100</f>
        <v>0.52838033607877066</v>
      </c>
      <c r="AI18" s="2045">
        <f>+AI17/AI12*100</f>
        <v>0.78778320587136341</v>
      </c>
      <c r="AJ18" s="3249">
        <f>+(+AJ17)*100/AJ12</f>
        <v>0.5259942001502137</v>
      </c>
      <c r="AK18" s="3231">
        <f>+AK17/AK12*100</f>
        <v>0.52738022589116584</v>
      </c>
      <c r="AL18" s="2097">
        <f>+AL17/AL12*100</f>
        <v>0.5259942001502137</v>
      </c>
      <c r="AM18" s="2097">
        <f>+AM17/AM12*100</f>
        <v>0.75037770951132621</v>
      </c>
      <c r="AN18" s="2045">
        <f>+AN17/AN12*100</f>
        <v>0.52811078423406721</v>
      </c>
      <c r="AO18" s="2045">
        <f>+AO17/AO12*100</f>
        <v>0.75898883542688311</v>
      </c>
      <c r="AP18" s="3249">
        <f>+(+AP17)*100/AP12</f>
        <v>0.5259942001502137</v>
      </c>
      <c r="AQ18" s="3231">
        <f>+AQ17/AQ12*100</f>
        <v>3.0353237945901865</v>
      </c>
      <c r="AR18" s="2045">
        <f>+AR17/AR12*100</f>
        <v>0.52789595131958944</v>
      </c>
      <c r="AS18" s="2045">
        <f>+AS17/AS12*100</f>
        <v>0.98388382723994994</v>
      </c>
      <c r="AT18" s="3249">
        <f>+(+AT17)*100/AT12</f>
        <v>0.52599420015021381</v>
      </c>
      <c r="AU18" s="3231">
        <f>+AU17/AU12*100</f>
        <v>4.9284264524629595</v>
      </c>
      <c r="AV18" s="2045">
        <f>+AV17/AV12*100</f>
        <v>0.52773624538330188</v>
      </c>
      <c r="AW18" s="2045">
        <f>+AW17/AW12*100</f>
        <v>1.3081550588461526</v>
      </c>
      <c r="AX18" s="3249">
        <f>+(+AX17)*100/AX12</f>
        <v>0.5259942001502137</v>
      </c>
      <c r="AY18" s="3231">
        <f>+AY17/AY12*100</f>
        <v>0.69125662757508333</v>
      </c>
      <c r="AZ18" s="2097">
        <f t="shared" ref="AZ18:BE18" si="30">+AZ17/AZ12*100</f>
        <v>0.52599420015021392</v>
      </c>
      <c r="BA18" s="2097">
        <f t="shared" si="30"/>
        <v>2.8257790834186074</v>
      </c>
      <c r="BB18" s="2096">
        <f t="shared" si="30"/>
        <v>0.5259942001502137</v>
      </c>
      <c r="BC18" s="2096">
        <f t="shared" si="30"/>
        <v>1.7682373222359105</v>
      </c>
      <c r="BD18" s="2045">
        <f t="shared" si="30"/>
        <v>0.52758805506973772</v>
      </c>
      <c r="BE18" s="2045">
        <f t="shared" si="30"/>
        <v>1.2572800453973945</v>
      </c>
      <c r="BF18" s="112"/>
      <c r="BG18" s="112"/>
      <c r="BH18" s="112"/>
      <c r="BI18" s="112"/>
      <c r="BJ18" s="112"/>
    </row>
    <row r="19" spans="2:62" ht="18.75" x14ac:dyDescent="0.25">
      <c r="B19" s="1276" t="s">
        <v>55</v>
      </c>
      <c r="C19" s="3251" t="s">
        <v>324</v>
      </c>
      <c r="D19" s="2895">
        <f t="shared" ref="D19:E19" si="31">+D12-D15-D17</f>
        <v>46138.535939999994</v>
      </c>
      <c r="E19" s="3252">
        <f t="shared" si="31"/>
        <v>44373.19</v>
      </c>
      <c r="F19" s="2895">
        <f t="shared" ref="F19:G19" si="32">+F12-F15-F17</f>
        <v>48137.383419999998</v>
      </c>
      <c r="G19" s="3252">
        <f t="shared" si="32"/>
        <v>48065.089036166159</v>
      </c>
      <c r="H19" s="3253">
        <f t="shared" ref="H19:K19" si="33">+H12-H15-H17</f>
        <v>94275.91936</v>
      </c>
      <c r="I19" s="1578">
        <f t="shared" si="33"/>
        <v>92438.279036166161</v>
      </c>
      <c r="J19" s="2895">
        <f t="shared" si="33"/>
        <v>45957.521399999998</v>
      </c>
      <c r="K19" s="3252">
        <f t="shared" si="33"/>
        <v>46065.54</v>
      </c>
      <c r="L19" s="617">
        <f t="shared" ref="L19:Q19" si="34">+L12-L15-L17</f>
        <v>140233.44076</v>
      </c>
      <c r="M19" s="617">
        <f t="shared" si="34"/>
        <v>138503.81903616613</v>
      </c>
      <c r="N19" s="2895">
        <f t="shared" si="34"/>
        <v>47489.438780000004</v>
      </c>
      <c r="O19" s="3252">
        <f t="shared" si="34"/>
        <v>47490.200591389112</v>
      </c>
      <c r="P19" s="616">
        <f t="shared" si="34"/>
        <v>187722.87953999999</v>
      </c>
      <c r="Q19" s="616">
        <f t="shared" si="34"/>
        <v>185994.01962755527</v>
      </c>
      <c r="R19" s="2895">
        <f t="shared" ref="R19:S19" si="35">+R12-R15-R17</f>
        <v>47489.438780000004</v>
      </c>
      <c r="S19" s="3252">
        <f t="shared" si="35"/>
        <v>46993.260401160485</v>
      </c>
      <c r="T19" s="3402">
        <f t="shared" ref="T19:W19" si="36">+T12-T15-T17</f>
        <v>235212.31831999999</v>
      </c>
      <c r="U19" s="3402">
        <f t="shared" si="36"/>
        <v>232987.28002871573</v>
      </c>
      <c r="V19" s="2895">
        <f t="shared" si="36"/>
        <v>44226.012330000005</v>
      </c>
      <c r="W19" s="3252">
        <f t="shared" si="36"/>
        <v>46018.759999999995</v>
      </c>
      <c r="X19" s="589">
        <f t="shared" ref="X19:AE19" si="37">+X12-X15-X17</f>
        <v>139204.88988999999</v>
      </c>
      <c r="Y19" s="589">
        <f t="shared" si="37"/>
        <v>140502.22099254958</v>
      </c>
      <c r="Z19" s="589">
        <f t="shared" si="37"/>
        <v>279438.33064999996</v>
      </c>
      <c r="AA19" s="589">
        <f t="shared" si="37"/>
        <v>279006.04002871574</v>
      </c>
      <c r="AB19" s="2895">
        <f t="shared" si="37"/>
        <v>47489.438780000004</v>
      </c>
      <c r="AC19" s="3252">
        <f t="shared" si="37"/>
        <v>45429.280000000006</v>
      </c>
      <c r="AD19" s="2451">
        <f t="shared" si="37"/>
        <v>326927.76942999999</v>
      </c>
      <c r="AE19" s="2451">
        <f t="shared" si="37"/>
        <v>324435.32002871577</v>
      </c>
      <c r="AF19" s="2895">
        <f t="shared" ref="AF19:AG19" si="38">+AF12-AF15-AF17</f>
        <v>45957.521399999998</v>
      </c>
      <c r="AG19" s="3252">
        <f t="shared" si="38"/>
        <v>45485.78</v>
      </c>
      <c r="AH19" s="3402">
        <f t="shared" ref="AH19:AK19" si="39">+AH12-AH15-AH17</f>
        <v>372885.29083000001</v>
      </c>
      <c r="AI19" s="3402">
        <f t="shared" si="39"/>
        <v>369921.10002871568</v>
      </c>
      <c r="AJ19" s="2895">
        <f t="shared" si="39"/>
        <v>47489.438780000004</v>
      </c>
      <c r="AK19" s="3252">
        <f t="shared" si="39"/>
        <v>46208.34443213894</v>
      </c>
      <c r="AL19" s="2831">
        <f t="shared" ref="AL19:AQ19" si="40">+AL12-AL15-AL17</f>
        <v>140936.39896000002</v>
      </c>
      <c r="AM19" s="2831">
        <f t="shared" si="40"/>
        <v>137123.40443213895</v>
      </c>
      <c r="AN19" s="2554">
        <f t="shared" si="40"/>
        <v>420374.72961000004</v>
      </c>
      <c r="AO19" s="2554">
        <f t="shared" si="40"/>
        <v>416129.44446085469</v>
      </c>
      <c r="AP19" s="2895">
        <f t="shared" si="40"/>
        <v>47489.438780000004</v>
      </c>
      <c r="AQ19" s="3252">
        <f t="shared" si="40"/>
        <v>44158.25</v>
      </c>
      <c r="AR19" s="2613">
        <f t="shared" ref="AR19:AU19" si="41">+AR12-AR15-AR17</f>
        <v>467864.16839000006</v>
      </c>
      <c r="AS19" s="2613">
        <f t="shared" si="41"/>
        <v>460287.69446085469</v>
      </c>
      <c r="AT19" s="2895">
        <f t="shared" si="41"/>
        <v>42893.68664</v>
      </c>
      <c r="AU19" s="3252">
        <f t="shared" si="41"/>
        <v>38902.819999999992</v>
      </c>
      <c r="AV19" s="3402">
        <f t="shared" ref="AV19:AY19" si="42">+AV12-AV15-AV17</f>
        <v>510757.85502999998</v>
      </c>
      <c r="AW19" s="3402">
        <f t="shared" si="42"/>
        <v>499190.5144608547</v>
      </c>
      <c r="AX19" s="2895">
        <f t="shared" si="42"/>
        <v>47489.438780000004</v>
      </c>
      <c r="AY19" s="3252">
        <f t="shared" si="42"/>
        <v>45303.96</v>
      </c>
      <c r="AZ19" s="589">
        <f t="shared" ref="AZ19:BC19" si="43">+AZ12-AZ15-AZ17</f>
        <v>137872.56419999999</v>
      </c>
      <c r="BA19" s="589">
        <f t="shared" si="43"/>
        <v>128365.03</v>
      </c>
      <c r="BB19" s="589">
        <f t="shared" si="43"/>
        <v>278808.96316000004</v>
      </c>
      <c r="BC19" s="589">
        <f t="shared" si="43"/>
        <v>265488.43443213898</v>
      </c>
      <c r="BD19" s="2830">
        <f t="shared" ref="BD19:BE19" si="44">+BD12-BD15-BD17</f>
        <v>558247.29380999994</v>
      </c>
      <c r="BE19" s="2830">
        <f t="shared" si="44"/>
        <v>544494.47446085466</v>
      </c>
      <c r="BF19" s="112"/>
      <c r="BG19" s="112"/>
      <c r="BH19" s="112"/>
      <c r="BI19" s="112"/>
      <c r="BJ19" s="112"/>
    </row>
    <row r="20" spans="2:62" ht="16.5" thickBot="1" x14ac:dyDescent="0.3">
      <c r="B20" s="1265" t="s">
        <v>333</v>
      </c>
      <c r="C20" s="3226"/>
      <c r="D20" s="3177"/>
      <c r="E20" s="3227"/>
      <c r="F20" s="3177"/>
      <c r="G20" s="3227"/>
      <c r="H20" s="3226"/>
      <c r="I20" s="3254"/>
      <c r="J20" s="3177"/>
      <c r="K20" s="3227"/>
      <c r="L20" s="759"/>
      <c r="M20" s="759"/>
      <c r="N20" s="3177"/>
      <c r="O20" s="3227"/>
      <c r="P20" s="759"/>
      <c r="Q20" s="759"/>
      <c r="R20" s="3177"/>
      <c r="S20" s="3227"/>
      <c r="T20" s="759"/>
      <c r="U20" s="759"/>
      <c r="V20" s="3177"/>
      <c r="W20" s="3227"/>
      <c r="X20" s="759"/>
      <c r="Y20" s="759"/>
      <c r="Z20" s="759"/>
      <c r="AA20" s="759"/>
      <c r="AB20" s="3177"/>
      <c r="AC20" s="3227"/>
      <c r="AD20" s="759"/>
      <c r="AE20" s="759"/>
      <c r="AF20" s="3177"/>
      <c r="AG20" s="3227"/>
      <c r="AH20" s="759"/>
      <c r="AI20" s="759"/>
      <c r="AJ20" s="3177"/>
      <c r="AK20" s="3227"/>
      <c r="AL20" s="759"/>
      <c r="AM20" s="759"/>
      <c r="AN20" s="759"/>
      <c r="AO20" s="759"/>
      <c r="AP20" s="3177"/>
      <c r="AQ20" s="3227"/>
      <c r="AR20" s="759"/>
      <c r="AS20" s="759"/>
      <c r="AT20" s="3177"/>
      <c r="AU20" s="3227"/>
      <c r="AV20" s="759"/>
      <c r="AW20" s="759"/>
      <c r="AX20" s="3177"/>
      <c r="AY20" s="3227"/>
      <c r="AZ20" s="759"/>
      <c r="BA20" s="759"/>
      <c r="BB20" s="759"/>
      <c r="BC20" s="759"/>
      <c r="BD20" s="759"/>
      <c r="BE20" s="759"/>
      <c r="BF20" s="112"/>
      <c r="BG20" s="112"/>
      <c r="BH20" s="112"/>
      <c r="BI20" s="112"/>
      <c r="BJ20" s="112"/>
    </row>
    <row r="21" spans="2:62" x14ac:dyDescent="0.25">
      <c r="B21" s="3230" t="s">
        <v>106</v>
      </c>
      <c r="C21" s="767" t="s">
        <v>324</v>
      </c>
      <c r="D21" s="254">
        <f>D22*D$3*24</f>
        <v>9979.5836319693299</v>
      </c>
      <c r="E21" s="3221">
        <v>10453.65</v>
      </c>
      <c r="F21" s="254">
        <f>F22*F$3*24</f>
        <v>10592.24368</v>
      </c>
      <c r="G21" s="3221">
        <v>9732.1800000000021</v>
      </c>
      <c r="H21" s="349">
        <f t="shared" ref="H21:I41" si="45">+D21+F21</f>
        <v>20571.827311969329</v>
      </c>
      <c r="I21" s="41">
        <f t="shared" si="45"/>
        <v>20185.830000000002</v>
      </c>
      <c r="J21" s="254">
        <f>J22*J$3*24</f>
        <v>9623.5151999999998</v>
      </c>
      <c r="K21" s="3221">
        <v>9373.7900000000009</v>
      </c>
      <c r="L21" s="732">
        <f t="shared" ref="L21:L41" si="46">+H21+J21</f>
        <v>30195.342511969327</v>
      </c>
      <c r="M21" s="732">
        <f t="shared" ref="M21:M41" si="47">+I21+K21</f>
        <v>29559.620000000003</v>
      </c>
      <c r="N21" s="254">
        <f>N22*N$3*24</f>
        <v>9944.2990399999999</v>
      </c>
      <c r="O21" s="3221">
        <v>9929.1600000000035</v>
      </c>
      <c r="P21" s="733">
        <f t="shared" ref="P21:P41" si="48">+L21+N21</f>
        <v>40139.641551969326</v>
      </c>
      <c r="Q21" s="733">
        <f t="shared" ref="Q21:Q41" si="49">+M21+O21</f>
        <v>39488.780000000006</v>
      </c>
      <c r="R21" s="254">
        <f>R22*R$3*24</f>
        <v>9944.2990399999999</v>
      </c>
      <c r="S21" s="3221">
        <v>10110.750000000002</v>
      </c>
      <c r="T21" s="4359">
        <f t="shared" ref="T21" si="50">+P21+R21</f>
        <v>50083.940591969324</v>
      </c>
      <c r="U21" s="4359">
        <f t="shared" ref="U21" si="51">+Q21+S21</f>
        <v>49599.530000000006</v>
      </c>
      <c r="V21" s="254">
        <f>V22*V$3*24</f>
        <v>9325.6696800000009</v>
      </c>
      <c r="W21" s="3221">
        <v>9779.42</v>
      </c>
      <c r="X21" s="732">
        <f>+V21+R21+N21</f>
        <v>29214.267760000002</v>
      </c>
      <c r="Y21" s="732">
        <f>+W21+S21+O21</f>
        <v>29819.330000000005</v>
      </c>
      <c r="Z21" s="439">
        <f t="shared" ref="Z21:Z41" si="52">+L21+X21</f>
        <v>59409.61027196933</v>
      </c>
      <c r="AA21" s="439">
        <f t="shared" ref="AA21:AA41" si="53">+Y21+M21</f>
        <v>59378.950000000012</v>
      </c>
      <c r="AB21" s="254">
        <f>AB22*AB$3*24</f>
        <v>9944.2990399999999</v>
      </c>
      <c r="AC21" s="3221">
        <v>10113</v>
      </c>
      <c r="AD21" s="2236">
        <f t="shared" ref="AD21" si="54">+Z21+AB21</f>
        <v>69353.909311969328</v>
      </c>
      <c r="AE21" s="2236">
        <f t="shared" ref="AE21" si="55">+AA21+AC21</f>
        <v>69491.950000000012</v>
      </c>
      <c r="AF21" s="254">
        <f>AF22*AF$3*24</f>
        <v>9623.5151999999998</v>
      </c>
      <c r="AG21" s="3221">
        <v>9750.2999999999993</v>
      </c>
      <c r="AH21" s="4652">
        <f t="shared" ref="AH21" si="56">+AD21+AF21</f>
        <v>78977.424511969322</v>
      </c>
      <c r="AI21" s="4652">
        <f t="shared" ref="AI21" si="57">+AE21+AG21</f>
        <v>79242.250000000015</v>
      </c>
      <c r="AJ21" s="254">
        <f>AJ22*AJ$3*24</f>
        <v>9944.2990399999999</v>
      </c>
      <c r="AK21" s="3221">
        <v>9986.41</v>
      </c>
      <c r="AL21" s="2553">
        <f>+AJ21+AF21+AB21</f>
        <v>29512.113279999998</v>
      </c>
      <c r="AM21" s="2553">
        <f>+AK21+AG21+AC21</f>
        <v>29849.71</v>
      </c>
      <c r="AN21" s="2236">
        <f t="shared" ref="AN21" si="58">+AH21+AJ21</f>
        <v>88921.72355196932</v>
      </c>
      <c r="AO21" s="2236">
        <f t="shared" ref="AO21" si="59">+AI21+AK21</f>
        <v>89228.660000000018</v>
      </c>
      <c r="AP21" s="254">
        <f>AP22*AP$3*24</f>
        <v>9944.2990399999999</v>
      </c>
      <c r="AQ21" s="3221">
        <v>10359.76</v>
      </c>
      <c r="AR21" s="2236">
        <f t="shared" ref="AR21" si="60">+AN21+AP21</f>
        <v>98866.022591969318</v>
      </c>
      <c r="AS21" s="2236">
        <f t="shared" ref="AS21" si="61">+AO21+AQ21</f>
        <v>99588.420000000013</v>
      </c>
      <c r="AT21" s="254">
        <f>AT22*AT$3*24</f>
        <v>8981.9475199999997</v>
      </c>
      <c r="AU21" s="3221">
        <v>9765.93</v>
      </c>
      <c r="AV21" s="5072">
        <f t="shared" ref="AV21" si="62">+AR21+AT21</f>
        <v>107847.97011196932</v>
      </c>
      <c r="AW21" s="5072">
        <f t="shared" ref="AW21" si="63">+AS21+AU21</f>
        <v>109354.35</v>
      </c>
      <c r="AX21" s="254">
        <f>AX22*AX$3*24</f>
        <v>9944.2990399999999</v>
      </c>
      <c r="AY21" s="3221">
        <v>10831.67</v>
      </c>
      <c r="AZ21" s="2829">
        <f>+AX21+AT21+AP21</f>
        <v>28870.545599999998</v>
      </c>
      <c r="BA21" s="2829">
        <f>+AY21+AU21+AQ21</f>
        <v>30957.360000000001</v>
      </c>
      <c r="BB21" s="2837">
        <f t="shared" ref="BB21:BB41" si="64">+AL21+AZ21</f>
        <v>58382.658879999995</v>
      </c>
      <c r="BC21" s="2837">
        <f t="shared" ref="BC21:BC41" si="65">+AM21+BA21</f>
        <v>60807.07</v>
      </c>
      <c r="BD21" s="2236">
        <f t="shared" ref="BD21" si="66">+AV21+AX21</f>
        <v>117792.26915196932</v>
      </c>
      <c r="BE21" s="2236">
        <f t="shared" ref="BE21" si="67">+AW21+AY21</f>
        <v>120186.02</v>
      </c>
      <c r="BF21" s="112"/>
      <c r="BG21" s="112"/>
      <c r="BH21" s="112"/>
      <c r="BI21" s="112"/>
      <c r="BJ21" s="112"/>
    </row>
    <row r="22" spans="2:62" hidden="1" x14ac:dyDescent="0.25">
      <c r="B22" s="8"/>
      <c r="C22" s="2893"/>
      <c r="D22" s="2961">
        <v>13.860532822179625</v>
      </c>
      <c r="E22" s="3231"/>
      <c r="F22" s="2961">
        <v>14.236886666666667</v>
      </c>
      <c r="G22" s="3231"/>
      <c r="H22" s="2884"/>
      <c r="I22" s="37"/>
      <c r="J22" s="2961">
        <v>13.365993333333334</v>
      </c>
      <c r="K22" s="3231"/>
      <c r="L22" s="732"/>
      <c r="M22" s="732"/>
      <c r="N22" s="2961">
        <v>13.365993333333334</v>
      </c>
      <c r="O22" s="3231"/>
      <c r="P22" s="733"/>
      <c r="Q22" s="733"/>
      <c r="R22" s="2961">
        <v>13.365993333333334</v>
      </c>
      <c r="S22" s="3231"/>
      <c r="T22" s="4359"/>
      <c r="U22" s="4359"/>
      <c r="V22" s="2961">
        <v>12.952319000000001</v>
      </c>
      <c r="W22" s="3231"/>
      <c r="X22" s="732"/>
      <c r="Y22" s="732"/>
      <c r="Z22" s="439"/>
      <c r="AA22" s="439"/>
      <c r="AB22" s="2961">
        <v>13.365993333333334</v>
      </c>
      <c r="AC22" s="3231"/>
      <c r="AD22" s="2236"/>
      <c r="AE22" s="2236"/>
      <c r="AF22" s="2961">
        <v>13.365993333333334</v>
      </c>
      <c r="AG22" s="3231"/>
      <c r="AH22" s="4652"/>
      <c r="AI22" s="4652"/>
      <c r="AJ22" s="2961">
        <v>13.365993333333334</v>
      </c>
      <c r="AK22" s="3231"/>
      <c r="AL22" s="2553"/>
      <c r="AM22" s="2553"/>
      <c r="AN22" s="2236"/>
      <c r="AO22" s="2236"/>
      <c r="AP22" s="2961">
        <v>13.365993333333334</v>
      </c>
      <c r="AQ22" s="3231"/>
      <c r="AR22" s="2236"/>
      <c r="AS22" s="2236"/>
      <c r="AT22" s="2961">
        <v>13.365993333333334</v>
      </c>
      <c r="AU22" s="3231"/>
      <c r="AV22" s="5072"/>
      <c r="AW22" s="5072"/>
      <c r="AX22" s="2961">
        <v>13.365993333333334</v>
      </c>
      <c r="AY22" s="3231"/>
      <c r="AZ22" s="2829"/>
      <c r="BA22" s="2829"/>
      <c r="BB22" s="2837">
        <f t="shared" si="64"/>
        <v>0</v>
      </c>
      <c r="BC22" s="2837">
        <f t="shared" si="65"/>
        <v>0</v>
      </c>
      <c r="BD22" s="2236"/>
      <c r="BE22" s="2236"/>
      <c r="BF22" s="112"/>
      <c r="BG22" s="112"/>
      <c r="BH22" s="112"/>
      <c r="BI22" s="112"/>
      <c r="BJ22" s="112"/>
    </row>
    <row r="23" spans="2:62" x14ac:dyDescent="0.25">
      <c r="B23" s="8" t="s">
        <v>107</v>
      </c>
      <c r="C23" s="2893" t="s">
        <v>324</v>
      </c>
      <c r="D23" s="7635">
        <f>D24*D$3*24</f>
        <v>3684.6720000000005</v>
      </c>
      <c r="E23" s="2993">
        <v>2719.31</v>
      </c>
      <c r="F23" s="5629">
        <f>F24*F$3*24</f>
        <v>2249.1031952662674</v>
      </c>
      <c r="G23" s="2993">
        <v>2404.0740098619704</v>
      </c>
      <c r="H23" s="2884">
        <f t="shared" si="45"/>
        <v>5933.7751952662675</v>
      </c>
      <c r="I23" s="37">
        <f t="shared" si="45"/>
        <v>5123.3840098619703</v>
      </c>
      <c r="J23" s="5763">
        <f>J24*J$3*24</f>
        <v>2176.5514792899367</v>
      </c>
      <c r="K23" s="2993">
        <v>1775.5708633069646</v>
      </c>
      <c r="L23" s="732">
        <f t="shared" si="46"/>
        <v>8110.3266745562041</v>
      </c>
      <c r="M23" s="732">
        <f t="shared" si="47"/>
        <v>6898.9548731689347</v>
      </c>
      <c r="N23" s="5871">
        <f>N24*N$3*24</f>
        <v>2249.1031952662674</v>
      </c>
      <c r="O23" s="2993">
        <v>1752.1803291755632</v>
      </c>
      <c r="P23" s="733">
        <f t="shared" si="48"/>
        <v>10359.429869822472</v>
      </c>
      <c r="Q23" s="733">
        <f t="shared" si="49"/>
        <v>8651.1352023444979</v>
      </c>
      <c r="R23" s="5975">
        <f>R24*R$3*24</f>
        <v>2253.8687573964498</v>
      </c>
      <c r="S23" s="2993">
        <v>2163.5875828678936</v>
      </c>
      <c r="T23" s="4359">
        <f t="shared" ref="T23" si="68">+P23+R23</f>
        <v>12613.298627218923</v>
      </c>
      <c r="U23" s="4359">
        <f t="shared" ref="U23" si="69">+Q23+S23</f>
        <v>10814.722785212391</v>
      </c>
      <c r="V23" s="6049">
        <f>V24*V$3*24</f>
        <v>7704</v>
      </c>
      <c r="W23" s="2993">
        <v>1915.71</v>
      </c>
      <c r="X23" s="732">
        <f t="shared" ref="X23:X41" si="70">+V23+R23+N23</f>
        <v>12206.971952662716</v>
      </c>
      <c r="Y23" s="732">
        <f t="shared" ref="Y23:Y41" si="71">+W23+S23+O23</f>
        <v>5831.4779120434569</v>
      </c>
      <c r="Z23" s="439">
        <f t="shared" si="52"/>
        <v>20317.298627218919</v>
      </c>
      <c r="AA23" s="439">
        <f t="shared" si="53"/>
        <v>12730.432785212392</v>
      </c>
      <c r="AB23" s="6179">
        <f>AB24*AB$3*24</f>
        <v>2253.8687573964498</v>
      </c>
      <c r="AC23" s="2993">
        <v>4171.13</v>
      </c>
      <c r="AD23" s="2236">
        <f t="shared" ref="AD23" si="72">+Z23+AB23</f>
        <v>22571.167384615368</v>
      </c>
      <c r="AE23" s="2236">
        <f t="shared" ref="AE23" si="73">+AA23+AC23</f>
        <v>16901.562785212391</v>
      </c>
      <c r="AF23" s="6372">
        <f>AF24*AF$3*24</f>
        <v>2181.1633136094679</v>
      </c>
      <c r="AG23" s="2993">
        <v>2333.5</v>
      </c>
      <c r="AH23" s="4652">
        <f t="shared" ref="AH23" si="74">+AD23+AF23</f>
        <v>24752.330698224836</v>
      </c>
      <c r="AI23" s="4652">
        <f t="shared" ref="AI23" si="75">+AE23+AG23</f>
        <v>19235.062785212391</v>
      </c>
      <c r="AJ23" s="6624">
        <f>AJ24*AJ$3*24</f>
        <v>2253.8687573964498</v>
      </c>
      <c r="AK23" s="2993">
        <v>2086.1999999999998</v>
      </c>
      <c r="AL23" s="2553">
        <f t="shared" ref="AL23" si="76">+AJ23+AF23+AB23</f>
        <v>6688.9008284023676</v>
      </c>
      <c r="AM23" s="2553">
        <f t="shared" ref="AM23" si="77">+AK23+AG23+AC23</f>
        <v>8590.83</v>
      </c>
      <c r="AN23" s="2236">
        <f t="shared" ref="AN23" si="78">+AH23+AJ23</f>
        <v>27006.199455621285</v>
      </c>
      <c r="AO23" s="2236">
        <f t="shared" ref="AO23" si="79">+AI23+AK23</f>
        <v>21321.262785212391</v>
      </c>
      <c r="AP23" s="6716">
        <f>AP24*AP$3*24</f>
        <v>2253.8687573964498</v>
      </c>
      <c r="AQ23" s="2993">
        <v>2105.2199999999998</v>
      </c>
      <c r="AR23" s="2236">
        <f t="shared" ref="AR23" si="80">+AN23+AP23</f>
        <v>29260.068213017734</v>
      </c>
      <c r="AS23" s="2236">
        <f t="shared" ref="AS23" si="81">+AO23+AQ23</f>
        <v>23426.482785212393</v>
      </c>
      <c r="AT23" s="6861">
        <f>AT24*AT$3*24</f>
        <v>2035.752426035499</v>
      </c>
      <c r="AU23" s="2993">
        <v>2841.44</v>
      </c>
      <c r="AV23" s="5072">
        <f t="shared" ref="AV23" si="82">+AR23+AT23</f>
        <v>31295.820639053232</v>
      </c>
      <c r="AW23" s="5072">
        <f t="shared" ref="AW23" si="83">+AS23+AU23</f>
        <v>26267.922785212391</v>
      </c>
      <c r="AX23" s="7015">
        <f>AX24*AX$3*24</f>
        <v>2253.8687573964498</v>
      </c>
      <c r="AY23" s="2993">
        <v>3299.64</v>
      </c>
      <c r="AZ23" s="2829">
        <f t="shared" ref="AZ23" si="84">+AX23+AT23+AP23</f>
        <v>6543.4899408283991</v>
      </c>
      <c r="BA23" s="2829">
        <f t="shared" ref="BA23" si="85">+AY23+AU23+AQ23</f>
        <v>8246.2999999999993</v>
      </c>
      <c r="BB23" s="2837">
        <f t="shared" si="64"/>
        <v>13232.390769230766</v>
      </c>
      <c r="BC23" s="2837">
        <f t="shared" si="65"/>
        <v>16837.129999999997</v>
      </c>
      <c r="BD23" s="2236">
        <f t="shared" ref="BD23" si="86">+AV23+AX23</f>
        <v>33549.689396449685</v>
      </c>
      <c r="BE23" s="2236">
        <f t="shared" ref="BE23" si="87">+AW23+AY23</f>
        <v>29567.562785212391</v>
      </c>
      <c r="BF23" s="112"/>
      <c r="BG23" s="112"/>
      <c r="BH23" s="112"/>
      <c r="BI23" s="112"/>
      <c r="BJ23" s="112"/>
    </row>
    <row r="24" spans="2:62" ht="15" hidden="1" customHeight="1" x14ac:dyDescent="0.25">
      <c r="B24" s="8"/>
      <c r="C24" s="2893"/>
      <c r="D24" s="2961">
        <v>5.1176000000000004</v>
      </c>
      <c r="E24" s="3231"/>
      <c r="F24" s="2961">
        <v>3.0229881656804674</v>
      </c>
      <c r="G24" s="3231"/>
      <c r="H24" s="2884"/>
      <c r="I24" s="37"/>
      <c r="J24" s="2961">
        <v>3.0229881656804674</v>
      </c>
      <c r="K24" s="3231"/>
      <c r="L24" s="732"/>
      <c r="M24" s="732"/>
      <c r="N24" s="2961">
        <v>3.0229881656804674</v>
      </c>
      <c r="O24" s="3231"/>
      <c r="P24" s="733"/>
      <c r="Q24" s="733"/>
      <c r="R24" s="2961">
        <v>3.029393491124261</v>
      </c>
      <c r="S24" s="3231"/>
      <c r="T24" s="4359"/>
      <c r="U24" s="4359"/>
      <c r="V24" s="2961">
        <v>10.7</v>
      </c>
      <c r="W24" s="3231"/>
      <c r="X24" s="732"/>
      <c r="Y24" s="732"/>
      <c r="Z24" s="439"/>
      <c r="AA24" s="439"/>
      <c r="AB24" s="2961">
        <v>3.029393491124261</v>
      </c>
      <c r="AC24" s="3231"/>
      <c r="AD24" s="2236"/>
      <c r="AE24" s="2236"/>
      <c r="AF24" s="2961">
        <v>3.029393491124261</v>
      </c>
      <c r="AG24" s="3231"/>
      <c r="AH24" s="4652"/>
      <c r="AI24" s="4652"/>
      <c r="AJ24" s="2961">
        <v>3.029393491124261</v>
      </c>
      <c r="AK24" s="3231"/>
      <c r="AL24" s="2553"/>
      <c r="AM24" s="2553"/>
      <c r="AN24" s="2236"/>
      <c r="AO24" s="2236"/>
      <c r="AP24" s="2961">
        <v>3.029393491124261</v>
      </c>
      <c r="AQ24" s="3231"/>
      <c r="AR24" s="2236"/>
      <c r="AS24" s="2236"/>
      <c r="AT24" s="2961">
        <v>3.0293934911242544</v>
      </c>
      <c r="AU24" s="3231"/>
      <c r="AV24" s="5072"/>
      <c r="AW24" s="5072"/>
      <c r="AX24" s="2961">
        <v>3.029393491124261</v>
      </c>
      <c r="AY24" s="3231"/>
      <c r="AZ24" s="2829"/>
      <c r="BA24" s="2829"/>
      <c r="BB24" s="2837">
        <f t="shared" si="64"/>
        <v>0</v>
      </c>
      <c r="BC24" s="2837">
        <f t="shared" si="65"/>
        <v>0</v>
      </c>
      <c r="BD24" s="2236"/>
      <c r="BE24" s="2236"/>
      <c r="BF24" s="112"/>
      <c r="BG24" s="112"/>
      <c r="BH24" s="112"/>
      <c r="BI24" s="112"/>
      <c r="BJ24" s="112"/>
    </row>
    <row r="25" spans="2:62" x14ac:dyDescent="0.25">
      <c r="B25" s="8" t="s">
        <v>80</v>
      </c>
      <c r="C25" s="2893" t="s">
        <v>324</v>
      </c>
      <c r="D25" s="7635">
        <f>D26*D$3*24</f>
        <v>5760</v>
      </c>
      <c r="E25" s="2993">
        <v>5387.52</v>
      </c>
      <c r="F25" s="5629">
        <f>F26*F$3*24</f>
        <v>4464</v>
      </c>
      <c r="G25" s="2993">
        <v>5873.498959055366</v>
      </c>
      <c r="H25" s="2884">
        <f t="shared" si="45"/>
        <v>10224</v>
      </c>
      <c r="I25" s="37">
        <f t="shared" si="45"/>
        <v>11261.018959055367</v>
      </c>
      <c r="J25" s="5763">
        <f>J26*J$3*24</f>
        <v>4320</v>
      </c>
      <c r="K25" s="2993">
        <v>5907.9616409987657</v>
      </c>
      <c r="L25" s="732">
        <f t="shared" si="46"/>
        <v>14544</v>
      </c>
      <c r="M25" s="732">
        <f t="shared" si="47"/>
        <v>17168.980600054132</v>
      </c>
      <c r="N25" s="5871">
        <f>N26*N$3*24</f>
        <v>4464</v>
      </c>
      <c r="O25" s="2993">
        <v>6376.3379167321564</v>
      </c>
      <c r="P25" s="733">
        <f t="shared" si="48"/>
        <v>19008</v>
      </c>
      <c r="Q25" s="733">
        <f t="shared" si="49"/>
        <v>23545.31851678629</v>
      </c>
      <c r="R25" s="5975">
        <f>R26*R$3*24</f>
        <v>4464</v>
      </c>
      <c r="S25" s="2993">
        <v>5864.3675446341649</v>
      </c>
      <c r="T25" s="4359">
        <f t="shared" ref="T25" si="88">+P25+R25</f>
        <v>23472</v>
      </c>
      <c r="U25" s="4359">
        <f t="shared" ref="U25" si="89">+Q25+S25</f>
        <v>29409.686061420456</v>
      </c>
      <c r="V25" s="6049">
        <f>V26*V$3*24</f>
        <v>3600</v>
      </c>
      <c r="W25" s="2993">
        <v>6078.68</v>
      </c>
      <c r="X25" s="732">
        <f t="shared" si="70"/>
        <v>12528</v>
      </c>
      <c r="Y25" s="732">
        <f t="shared" si="71"/>
        <v>18319.385461366321</v>
      </c>
      <c r="Z25" s="439">
        <f t="shared" si="52"/>
        <v>27072</v>
      </c>
      <c r="AA25" s="439">
        <f t="shared" si="53"/>
        <v>35488.366061420456</v>
      </c>
      <c r="AB25" s="6179">
        <f>AB26*AB$3*24</f>
        <v>4464</v>
      </c>
      <c r="AC25" s="2993">
        <v>5325.39</v>
      </c>
      <c r="AD25" s="2236">
        <f t="shared" ref="AD25" si="90">+Z25+AB25</f>
        <v>31536</v>
      </c>
      <c r="AE25" s="2236">
        <f t="shared" ref="AE25" si="91">+AA25+AC25</f>
        <v>40813.756061420456</v>
      </c>
      <c r="AF25" s="6372">
        <f>AF26*AF$3*24</f>
        <v>4320</v>
      </c>
      <c r="AG25" s="2993">
        <v>5850.87</v>
      </c>
      <c r="AH25" s="4652">
        <f t="shared" ref="AH25" si="92">+AD25+AF25</f>
        <v>35856</v>
      </c>
      <c r="AI25" s="4652">
        <f t="shared" ref="AI25" si="93">+AE25+AG25</f>
        <v>46664.626061420458</v>
      </c>
      <c r="AJ25" s="6624">
        <f>AJ26*AJ$3*24</f>
        <v>4464</v>
      </c>
      <c r="AK25" s="2993">
        <v>6465.04</v>
      </c>
      <c r="AL25" s="2553">
        <f t="shared" ref="AL25" si="94">+AJ25+AF25+AB25</f>
        <v>13248</v>
      </c>
      <c r="AM25" s="2553">
        <f t="shared" ref="AM25" si="95">+AK25+AG25+AC25</f>
        <v>17641.3</v>
      </c>
      <c r="AN25" s="2236">
        <f t="shared" ref="AN25" si="96">+AH25+AJ25</f>
        <v>40320</v>
      </c>
      <c r="AO25" s="2236">
        <f t="shared" ref="AO25" si="97">+AI25+AK25</f>
        <v>53129.666061420459</v>
      </c>
      <c r="AP25" s="6716">
        <f>AP26*AP$3*24</f>
        <v>4464</v>
      </c>
      <c r="AQ25" s="2993">
        <v>5905.14</v>
      </c>
      <c r="AR25" s="2236">
        <f t="shared" ref="AR25" si="98">+AN25+AP25</f>
        <v>44784</v>
      </c>
      <c r="AS25" s="2236">
        <f t="shared" ref="AS25" si="99">+AO25+AQ25</f>
        <v>59034.806061420459</v>
      </c>
      <c r="AT25" s="6861">
        <f>AT26*AT$3*24</f>
        <v>4032</v>
      </c>
      <c r="AU25" s="2993">
        <v>4564.99</v>
      </c>
      <c r="AV25" s="5072">
        <f t="shared" ref="AV25" si="100">+AR25+AT25</f>
        <v>48816</v>
      </c>
      <c r="AW25" s="5072">
        <f t="shared" ref="AW25" si="101">+AS25+AU25</f>
        <v>63599.796061420457</v>
      </c>
      <c r="AX25" s="7015">
        <f>AX26*AX$3*24</f>
        <v>4464</v>
      </c>
      <c r="AY25" s="2993">
        <v>5367.99</v>
      </c>
      <c r="AZ25" s="2829">
        <f t="shared" ref="AZ25" si="102">+AX25+AT25+AP25</f>
        <v>12960</v>
      </c>
      <c r="BA25" s="2829">
        <f t="shared" ref="BA25" si="103">+AY25+AU25+AQ25</f>
        <v>15838.119999999999</v>
      </c>
      <c r="BB25" s="2837">
        <f t="shared" si="64"/>
        <v>26208</v>
      </c>
      <c r="BC25" s="2837">
        <f t="shared" si="65"/>
        <v>33479.42</v>
      </c>
      <c r="BD25" s="2236">
        <f t="shared" ref="BD25" si="104">+AV25+AX25</f>
        <v>53280</v>
      </c>
      <c r="BE25" s="2236">
        <f t="shared" ref="BE25" si="105">+AW25+AY25</f>
        <v>68967.786061420455</v>
      </c>
      <c r="BF25" s="112"/>
      <c r="BG25" s="112"/>
      <c r="BH25" s="112"/>
      <c r="BI25" s="112"/>
      <c r="BJ25" s="112"/>
    </row>
    <row r="26" spans="2:62" ht="15" hidden="1" customHeight="1" x14ac:dyDescent="0.25">
      <c r="B26" s="8"/>
      <c r="C26" s="2893"/>
      <c r="D26" s="2961">
        <v>8</v>
      </c>
      <c r="E26" s="3231"/>
      <c r="F26" s="2961">
        <v>6</v>
      </c>
      <c r="G26" s="3231"/>
      <c r="H26" s="2884"/>
      <c r="I26" s="37"/>
      <c r="J26" s="2961">
        <v>6</v>
      </c>
      <c r="K26" s="3231"/>
      <c r="L26" s="732"/>
      <c r="M26" s="732"/>
      <c r="N26" s="2961">
        <v>6</v>
      </c>
      <c r="O26" s="3231"/>
      <c r="P26" s="733"/>
      <c r="Q26" s="733"/>
      <c r="R26" s="2961">
        <v>6</v>
      </c>
      <c r="S26" s="3231"/>
      <c r="T26" s="4359"/>
      <c r="U26" s="4359"/>
      <c r="V26" s="2961">
        <v>5</v>
      </c>
      <c r="W26" s="3231"/>
      <c r="X26" s="732"/>
      <c r="Y26" s="732"/>
      <c r="Z26" s="439"/>
      <c r="AA26" s="439"/>
      <c r="AB26" s="2961">
        <v>6</v>
      </c>
      <c r="AC26" s="3231"/>
      <c r="AD26" s="2236"/>
      <c r="AE26" s="2236"/>
      <c r="AF26" s="2961">
        <v>6</v>
      </c>
      <c r="AG26" s="3231"/>
      <c r="AH26" s="4652"/>
      <c r="AI26" s="4652"/>
      <c r="AJ26" s="2961">
        <v>6</v>
      </c>
      <c r="AK26" s="3231"/>
      <c r="AL26" s="2553"/>
      <c r="AM26" s="2553"/>
      <c r="AN26" s="2236"/>
      <c r="AO26" s="2236"/>
      <c r="AP26" s="2961">
        <v>6</v>
      </c>
      <c r="AQ26" s="3231"/>
      <c r="AR26" s="2236"/>
      <c r="AS26" s="2236"/>
      <c r="AT26" s="2961">
        <v>6</v>
      </c>
      <c r="AU26" s="3231"/>
      <c r="AV26" s="5072"/>
      <c r="AW26" s="5072"/>
      <c r="AX26" s="2961">
        <v>6</v>
      </c>
      <c r="AY26" s="3231"/>
      <c r="AZ26" s="2829"/>
      <c r="BA26" s="2829"/>
      <c r="BB26" s="2837">
        <f t="shared" si="64"/>
        <v>0</v>
      </c>
      <c r="BC26" s="2837">
        <f t="shared" si="65"/>
        <v>0</v>
      </c>
      <c r="BD26" s="2236"/>
      <c r="BE26" s="2236"/>
      <c r="BF26" s="112"/>
      <c r="BG26" s="112"/>
      <c r="BH26" s="112"/>
      <c r="BI26" s="112"/>
      <c r="BJ26" s="112"/>
    </row>
    <row r="27" spans="2:62" x14ac:dyDescent="0.25">
      <c r="B27" s="8" t="s">
        <v>81</v>
      </c>
      <c r="C27" s="2893" t="s">
        <v>324</v>
      </c>
      <c r="D27" s="7635">
        <f>D28*D$3*24</f>
        <v>10985.224506487099</v>
      </c>
      <c r="E27" s="2993">
        <v>9255.74</v>
      </c>
      <c r="F27" s="5629">
        <f>F28*F$3*24</f>
        <v>10169.32580362149</v>
      </c>
      <c r="G27" s="2993">
        <v>10172.221038753694</v>
      </c>
      <c r="H27" s="2884">
        <f t="shared" si="45"/>
        <v>21154.550310108589</v>
      </c>
      <c r="I27" s="37">
        <f t="shared" si="45"/>
        <v>19427.961038753696</v>
      </c>
      <c r="J27" s="5763">
        <f>J28*J$3*24</f>
        <v>9797.1546597739634</v>
      </c>
      <c r="K27" s="2993">
        <v>9690.8945314058328</v>
      </c>
      <c r="L27" s="732">
        <f t="shared" si="46"/>
        <v>30951.70496988255</v>
      </c>
      <c r="M27" s="732">
        <f t="shared" si="47"/>
        <v>29118.855570159529</v>
      </c>
      <c r="N27" s="5871">
        <f>N28*N$3*24</f>
        <v>10428.164621257716</v>
      </c>
      <c r="O27" s="2993">
        <v>9827.931974380359</v>
      </c>
      <c r="P27" s="733">
        <f t="shared" si="48"/>
        <v>41379.869591140268</v>
      </c>
      <c r="Q27" s="733">
        <f t="shared" si="49"/>
        <v>38946.787544539889</v>
      </c>
      <c r="R27" s="5975">
        <f>R28*R$3*24</f>
        <v>10423.399059127532</v>
      </c>
      <c r="S27" s="2993">
        <v>9485.8884009390804</v>
      </c>
      <c r="T27" s="4359">
        <f t="shared" ref="T27" si="106">+P27+R27</f>
        <v>51803.268650267797</v>
      </c>
      <c r="U27" s="4359">
        <f t="shared" ref="U27" si="107">+Q27+S27</f>
        <v>48432.675945478972</v>
      </c>
      <c r="V27" s="6049">
        <f>V28*V$3*24</f>
        <v>11699.700633482855</v>
      </c>
      <c r="W27" s="2993">
        <v>9697.5499999999993</v>
      </c>
      <c r="X27" s="732">
        <f t="shared" si="70"/>
        <v>32551.264313868101</v>
      </c>
      <c r="Y27" s="732">
        <f t="shared" si="71"/>
        <v>29011.370375319435</v>
      </c>
      <c r="Z27" s="439">
        <f t="shared" si="52"/>
        <v>63502.969283750652</v>
      </c>
      <c r="AA27" s="439">
        <f t="shared" si="53"/>
        <v>58130.22594547896</v>
      </c>
      <c r="AB27" s="6179">
        <f>AB28*AB$3*24</f>
        <v>10164.560241491308</v>
      </c>
      <c r="AC27" s="2993">
        <v>9686.9</v>
      </c>
      <c r="AD27" s="2236">
        <f t="shared" ref="AD27" si="108">+Z27+AB27</f>
        <v>73667.52952524196</v>
      </c>
      <c r="AE27" s="2236">
        <f t="shared" ref="AE27" si="109">+AA27+AC27</f>
        <v>67817.125945478954</v>
      </c>
      <c r="AF27" s="6372">
        <f>AF28*AF$3*24</f>
        <v>9797.5742718147121</v>
      </c>
      <c r="AG27" s="2993">
        <v>9937.1200000000008</v>
      </c>
      <c r="AH27" s="4652">
        <f t="shared" ref="AH27" si="110">+AD27+AF27</f>
        <v>83465.103797056669</v>
      </c>
      <c r="AI27" s="4652">
        <f t="shared" ref="AI27" si="111">+AE27+AG27</f>
        <v>77754.24594547895</v>
      </c>
      <c r="AJ27" s="6624">
        <f>AJ28*AJ$3*24</f>
        <v>10151.305803621486</v>
      </c>
      <c r="AK27" s="2993">
        <v>10366.282520915043</v>
      </c>
      <c r="AL27" s="2553">
        <f t="shared" ref="AL27" si="112">+AJ27+AF27+AB27</f>
        <v>30113.440316927507</v>
      </c>
      <c r="AM27" s="2553">
        <f t="shared" ref="AM27" si="113">+AK27+AG27+AC27</f>
        <v>29990.302520915044</v>
      </c>
      <c r="AN27" s="2236">
        <f t="shared" ref="AN27" si="114">+AH27+AJ27</f>
        <v>93616.409600678162</v>
      </c>
      <c r="AO27" s="2236">
        <f t="shared" ref="AO27" si="115">+AI27+AK27</f>
        <v>88120.528466393996</v>
      </c>
      <c r="AP27" s="6716">
        <f>AP28*AP$3*24</f>
        <v>9961.1463642283561</v>
      </c>
      <c r="AQ27" s="2993">
        <v>9629.27</v>
      </c>
      <c r="AR27" s="2236">
        <f t="shared" ref="AR27" si="116">+AN27+AP27</f>
        <v>103577.55596490653</v>
      </c>
      <c r="AS27" s="2236">
        <f t="shared" ref="AS27" si="117">+AO27+AQ27</f>
        <v>97749.798466394001</v>
      </c>
      <c r="AT27" s="6861">
        <f>AT28*AT$3*24</f>
        <v>9121.6515303011038</v>
      </c>
      <c r="AU27" s="2993">
        <v>7871.4</v>
      </c>
      <c r="AV27" s="5072">
        <f t="shared" ref="AV27" si="118">+AR27+AT27</f>
        <v>112699.20749520764</v>
      </c>
      <c r="AW27" s="5072">
        <f t="shared" ref="AW27" si="119">+AS27+AU27</f>
        <v>105621.19846639399</v>
      </c>
      <c r="AX27" s="7015">
        <f>AX28*AX$3*24</f>
        <v>9961.1463642283525</v>
      </c>
      <c r="AY27" s="2993">
        <v>9458.42</v>
      </c>
      <c r="AZ27" s="2829">
        <f t="shared" ref="AZ27" si="120">+AX27+AT27+AP27</f>
        <v>29043.944258757812</v>
      </c>
      <c r="BA27" s="2829">
        <f t="shared" ref="BA27" si="121">+AY27+AU27+AQ27</f>
        <v>26959.09</v>
      </c>
      <c r="BB27" s="2837">
        <f t="shared" si="64"/>
        <v>59157.384575685319</v>
      </c>
      <c r="BC27" s="2837">
        <f t="shared" si="65"/>
        <v>56949.392520915047</v>
      </c>
      <c r="BD27" s="2236">
        <f t="shared" ref="BD27" si="122">+AV27+AX27</f>
        <v>122660.35385943599</v>
      </c>
      <c r="BE27" s="2236">
        <f t="shared" ref="BE27" si="123">+AW27+AY27</f>
        <v>115079.61846639399</v>
      </c>
      <c r="BF27" s="112"/>
      <c r="BG27" s="112"/>
      <c r="BH27" s="112"/>
      <c r="BI27" s="112"/>
      <c r="BJ27" s="112"/>
    </row>
    <row r="28" spans="2:62" ht="15" hidden="1" customHeight="1" x14ac:dyDescent="0.25">
      <c r="B28" s="8"/>
      <c r="C28" s="2893"/>
      <c r="D28" s="7635">
        <v>15.257256259009859</v>
      </c>
      <c r="E28" s="2993"/>
      <c r="F28" s="5629">
        <v>13.668448660781571</v>
      </c>
      <c r="G28" s="2993"/>
      <c r="H28" s="2884"/>
      <c r="I28" s="37"/>
      <c r="J28" s="5763">
        <v>13.60715924968606</v>
      </c>
      <c r="K28" s="2993"/>
      <c r="L28" s="732"/>
      <c r="M28" s="732"/>
      <c r="N28" s="5871">
        <v>14.016350297389403</v>
      </c>
      <c r="O28" s="2993"/>
      <c r="P28" s="733"/>
      <c r="Q28" s="733"/>
      <c r="R28" s="5975">
        <v>14.009944971945609</v>
      </c>
      <c r="S28" s="2993"/>
      <c r="T28" s="4359"/>
      <c r="U28" s="4359"/>
      <c r="V28" s="6049">
        <v>16.249584213170632</v>
      </c>
      <c r="W28" s="2993"/>
      <c r="X28" s="732"/>
      <c r="Y28" s="732"/>
      <c r="Z28" s="439"/>
      <c r="AA28" s="439"/>
      <c r="AB28" s="6179">
        <v>13.662043335337781</v>
      </c>
      <c r="AC28" s="2993"/>
      <c r="AD28" s="2236"/>
      <c r="AE28" s="2236"/>
      <c r="AF28" s="6372">
        <v>13.607742044187098</v>
      </c>
      <c r="AG28" s="2993"/>
      <c r="AH28" s="4652"/>
      <c r="AI28" s="4652"/>
      <c r="AJ28" s="6624">
        <v>13.644228230674042</v>
      </c>
      <c r="AK28" s="2993"/>
      <c r="AL28" s="2553"/>
      <c r="AM28" s="2553"/>
      <c r="AN28" s="2236"/>
      <c r="AO28" s="2236"/>
      <c r="AP28" s="6716">
        <v>13.388637586328436</v>
      </c>
      <c r="AQ28" s="2993"/>
      <c r="AR28" s="2236"/>
      <c r="AS28" s="2236"/>
      <c r="AT28" s="6861">
        <v>13.573886205805213</v>
      </c>
      <c r="AU28" s="2993"/>
      <c r="AV28" s="5072"/>
      <c r="AW28" s="5072"/>
      <c r="AX28" s="7015">
        <v>13.388637586328432</v>
      </c>
      <c r="AY28" s="2993"/>
      <c r="AZ28" s="2829"/>
      <c r="BA28" s="2829"/>
      <c r="BB28" s="2837">
        <f t="shared" si="64"/>
        <v>0</v>
      </c>
      <c r="BC28" s="2837">
        <f t="shared" si="65"/>
        <v>0</v>
      </c>
      <c r="BD28" s="2236"/>
      <c r="BE28" s="2236"/>
      <c r="BF28" s="112"/>
      <c r="BG28" s="112"/>
      <c r="BH28" s="112"/>
      <c r="BI28" s="112"/>
      <c r="BJ28" s="112"/>
    </row>
    <row r="29" spans="2:62" x14ac:dyDescent="0.25">
      <c r="B29" s="8" t="s">
        <v>57</v>
      </c>
      <c r="C29" s="2893" t="s">
        <v>324</v>
      </c>
      <c r="D29" s="7635">
        <f>D30*D$3*24</f>
        <v>2094.3986291208971</v>
      </c>
      <c r="E29" s="2993">
        <v>2519.8000000000002</v>
      </c>
      <c r="F29" s="5629">
        <f>F30*F$3*24</f>
        <v>2672.7149177155043</v>
      </c>
      <c r="G29" s="2993">
        <v>2613.1999999999998</v>
      </c>
      <c r="H29" s="2884">
        <f t="shared" si="45"/>
        <v>4767.1135468364009</v>
      </c>
      <c r="I29" s="37">
        <f t="shared" si="45"/>
        <v>5133</v>
      </c>
      <c r="J29" s="5763">
        <f>J30*J$3*24</f>
        <v>2590.1918789593333</v>
      </c>
      <c r="K29" s="2993">
        <v>2511</v>
      </c>
      <c r="L29" s="732">
        <f t="shared" si="46"/>
        <v>7357.3054257957338</v>
      </c>
      <c r="M29" s="732">
        <f t="shared" si="47"/>
        <v>7644</v>
      </c>
      <c r="N29" s="5871">
        <f>N30*N$3*24</f>
        <v>2621.1380184928976</v>
      </c>
      <c r="O29" s="2993">
        <v>2604</v>
      </c>
      <c r="P29" s="733">
        <f t="shared" si="48"/>
        <v>9978.4434442886304</v>
      </c>
      <c r="Q29" s="733">
        <f t="shared" si="49"/>
        <v>10248</v>
      </c>
      <c r="R29" s="5975">
        <f>R30*R$3*24</f>
        <v>2621.1380184928976</v>
      </c>
      <c r="S29" s="2993">
        <v>2543.5</v>
      </c>
      <c r="T29" s="4359">
        <f t="shared" ref="T29" si="124">+P29+R29</f>
        <v>12599.581462781527</v>
      </c>
      <c r="U29" s="4359">
        <f t="shared" ref="U29" si="125">+Q29+S29</f>
        <v>12791.5</v>
      </c>
      <c r="V29" s="6049">
        <f>V30*V$3*24</f>
        <v>1375.555902266934</v>
      </c>
      <c r="W29" s="2993">
        <v>2516.5300000000002</v>
      </c>
      <c r="X29" s="732">
        <f t="shared" si="70"/>
        <v>6617.8319392527292</v>
      </c>
      <c r="Y29" s="732">
        <f t="shared" si="71"/>
        <v>7664.0300000000007</v>
      </c>
      <c r="Z29" s="439">
        <f t="shared" si="52"/>
        <v>13975.137365048464</v>
      </c>
      <c r="AA29" s="439">
        <f t="shared" si="53"/>
        <v>15308.03</v>
      </c>
      <c r="AB29" s="6179">
        <f>AB30*AB$3*24</f>
        <v>2672.7149177155043</v>
      </c>
      <c r="AC29" s="2993">
        <v>2410.3000000000002</v>
      </c>
      <c r="AD29" s="2236">
        <f t="shared" ref="AD29" si="126">+Z29+AB29</f>
        <v>16647.852282763968</v>
      </c>
      <c r="AE29" s="2236">
        <f t="shared" ref="AE29" si="127">+AA29+AC29</f>
        <v>17718.330000000002</v>
      </c>
      <c r="AF29" s="6372">
        <f>AF30*AF$3*24</f>
        <v>2590.1918789593333</v>
      </c>
      <c r="AG29" s="2993">
        <v>2520</v>
      </c>
      <c r="AH29" s="4652">
        <f t="shared" ref="AH29" si="128">+AD29+AF29</f>
        <v>19238.044161723301</v>
      </c>
      <c r="AI29" s="4652">
        <f t="shared" ref="AI29" si="129">+AE29+AG29</f>
        <v>20238.330000000002</v>
      </c>
      <c r="AJ29" s="6624">
        <f>AJ30*AJ$3*24</f>
        <v>2672.7149177155043</v>
      </c>
      <c r="AK29" s="2993">
        <v>2604</v>
      </c>
      <c r="AL29" s="2553">
        <f t="shared" ref="AL29" si="130">+AJ29+AF29+AB29</f>
        <v>7935.6217143903414</v>
      </c>
      <c r="AM29" s="2553">
        <f t="shared" ref="AM29" si="131">+AK29+AG29+AC29</f>
        <v>7534.3</v>
      </c>
      <c r="AN29" s="2236">
        <f t="shared" ref="AN29" si="132">+AH29+AJ29</f>
        <v>21910.759079438805</v>
      </c>
      <c r="AO29" s="2236">
        <f t="shared" ref="AO29" si="133">+AI29+AK29</f>
        <v>22842.33</v>
      </c>
      <c r="AP29" s="6716">
        <f>AP30*AP$3*24</f>
        <v>2713.97643709359</v>
      </c>
      <c r="AQ29" s="2993">
        <v>2576</v>
      </c>
      <c r="AR29" s="2236">
        <f t="shared" ref="AR29" si="134">+AN29+AP29</f>
        <v>24624.735516532397</v>
      </c>
      <c r="AS29" s="2236">
        <f t="shared" ref="AS29" si="135">+AO29+AQ29</f>
        <v>25418.33</v>
      </c>
      <c r="AT29" s="6861">
        <f>AT30*AT$3*24</f>
        <v>2425.1458014469899</v>
      </c>
      <c r="AU29" s="2993">
        <v>2285</v>
      </c>
      <c r="AV29" s="5072">
        <f t="shared" ref="AV29" si="136">+AR29+AT29</f>
        <v>27049.881317979387</v>
      </c>
      <c r="AW29" s="5072">
        <f t="shared" ref="AW29" si="137">+AS29+AU29</f>
        <v>27703.33</v>
      </c>
      <c r="AX29" s="7015">
        <f>AX30*AX$3*24</f>
        <v>2713.97643709359</v>
      </c>
      <c r="AY29" s="2993">
        <v>2542.0300000000002</v>
      </c>
      <c r="AZ29" s="2829">
        <f t="shared" ref="AZ29" si="138">+AX29+AT29+AP29</f>
        <v>7853.0986756341699</v>
      </c>
      <c r="BA29" s="2829">
        <f t="shared" ref="BA29" si="139">+AY29+AU29+AQ29</f>
        <v>7403.0300000000007</v>
      </c>
      <c r="BB29" s="2837">
        <f t="shared" si="64"/>
        <v>15788.720390024511</v>
      </c>
      <c r="BC29" s="2837">
        <f t="shared" si="65"/>
        <v>14937.330000000002</v>
      </c>
      <c r="BD29" s="2236">
        <f t="shared" ref="BD29" si="140">+AV29+AX29</f>
        <v>29763.857755072975</v>
      </c>
      <c r="BE29" s="2236">
        <f t="shared" ref="BE29" si="141">+AW29+AY29</f>
        <v>30245.360000000001</v>
      </c>
      <c r="BF29" s="112"/>
      <c r="BG29" s="112"/>
      <c r="BH29" s="112"/>
      <c r="BI29" s="112"/>
      <c r="BJ29" s="112"/>
    </row>
    <row r="30" spans="2:62" ht="15" hidden="1" customHeight="1" x14ac:dyDescent="0.25">
      <c r="B30" s="8"/>
      <c r="C30" s="2893"/>
      <c r="D30" s="2961">
        <v>2.9088869848901351</v>
      </c>
      <c r="E30" s="3231"/>
      <c r="F30" s="2961">
        <v>3.5923587603703018</v>
      </c>
      <c r="G30" s="3231"/>
      <c r="H30" s="2884"/>
      <c r="I30" s="37"/>
      <c r="J30" s="2961">
        <v>3.5974887207768518</v>
      </c>
      <c r="K30" s="3231"/>
      <c r="L30" s="732"/>
      <c r="M30" s="732"/>
      <c r="N30" s="2961">
        <v>3.5230349710926041</v>
      </c>
      <c r="O30" s="3231"/>
      <c r="P30" s="733"/>
      <c r="Q30" s="733"/>
      <c r="R30" s="2961">
        <v>3.5230349710926041</v>
      </c>
      <c r="S30" s="3231"/>
      <c r="T30" s="4359"/>
      <c r="U30" s="4359"/>
      <c r="V30" s="2961">
        <v>1.9104943087040749</v>
      </c>
      <c r="W30" s="3231"/>
      <c r="X30" s="732"/>
      <c r="Y30" s="732"/>
      <c r="Z30" s="439"/>
      <c r="AA30" s="439"/>
      <c r="AB30" s="2961">
        <v>3.5923587603703018</v>
      </c>
      <c r="AC30" s="3231"/>
      <c r="AD30" s="2236"/>
      <c r="AE30" s="2236"/>
      <c r="AF30" s="2961">
        <v>3.5974887207768518</v>
      </c>
      <c r="AG30" s="3231"/>
      <c r="AH30" s="4652"/>
      <c r="AI30" s="4652"/>
      <c r="AJ30" s="2961">
        <v>3.5923587603703018</v>
      </c>
      <c r="AK30" s="3231"/>
      <c r="AL30" s="2553"/>
      <c r="AM30" s="2553"/>
      <c r="AN30" s="2236"/>
      <c r="AO30" s="2236"/>
      <c r="AP30" s="2961">
        <v>3.6478177917924599</v>
      </c>
      <c r="AQ30" s="3231"/>
      <c r="AR30" s="2236"/>
      <c r="AS30" s="2236"/>
      <c r="AT30" s="2961">
        <v>3.6088479188199258</v>
      </c>
      <c r="AU30" s="3231"/>
      <c r="AV30" s="5072"/>
      <c r="AW30" s="5072"/>
      <c r="AX30" s="2961">
        <v>3.6478177917924599</v>
      </c>
      <c r="AY30" s="3231"/>
      <c r="AZ30" s="2829"/>
      <c r="BA30" s="2829"/>
      <c r="BB30" s="2837">
        <f t="shared" si="64"/>
        <v>0</v>
      </c>
      <c r="BC30" s="2837">
        <f t="shared" si="65"/>
        <v>0</v>
      </c>
      <c r="BD30" s="2236"/>
      <c r="BE30" s="2236"/>
      <c r="BF30" s="112"/>
      <c r="BG30" s="112"/>
      <c r="BH30" s="112"/>
      <c r="BI30" s="112"/>
      <c r="BJ30" s="112"/>
    </row>
    <row r="31" spans="2:62" x14ac:dyDescent="0.25">
      <c r="B31" s="8" t="s">
        <v>58</v>
      </c>
      <c r="C31" s="2893" t="s">
        <v>324</v>
      </c>
      <c r="D31" s="7635">
        <f>D32*D$3*24</f>
        <v>764.91424918373855</v>
      </c>
      <c r="E31" s="2993">
        <v>1080</v>
      </c>
      <c r="F31" s="5629">
        <f>F32*F$3*24</f>
        <v>1157.85238949327</v>
      </c>
      <c r="G31" s="2993">
        <v>1127.8000000000002</v>
      </c>
      <c r="H31" s="2884">
        <f t="shared" si="45"/>
        <v>1922.7666386770086</v>
      </c>
      <c r="I31" s="37">
        <f t="shared" si="45"/>
        <v>2207.8000000000002</v>
      </c>
      <c r="J31" s="5763">
        <f>J32*J$3*24</f>
        <v>1123.6233803241867</v>
      </c>
      <c r="K31" s="2993">
        <v>1080</v>
      </c>
      <c r="L31" s="732">
        <f t="shared" si="46"/>
        <v>3046.3900190011955</v>
      </c>
      <c r="M31" s="732">
        <f t="shared" si="47"/>
        <v>3287.8</v>
      </c>
      <c r="N31" s="5871">
        <f>N32*N$3*24</f>
        <v>1114.2699096501669</v>
      </c>
      <c r="O31" s="2993">
        <v>1116.0100000000002</v>
      </c>
      <c r="P31" s="733">
        <f t="shared" si="48"/>
        <v>4160.6599286513629</v>
      </c>
      <c r="Q31" s="733">
        <f t="shared" si="49"/>
        <v>4403.8100000000004</v>
      </c>
      <c r="R31" s="5975">
        <f>R32*R$3*24</f>
        <v>1114.2699096501669</v>
      </c>
      <c r="S31" s="2993">
        <v>1087.04</v>
      </c>
      <c r="T31" s="4359">
        <f t="shared" ref="T31" si="142">+P31+R31</f>
        <v>5274.9298383015303</v>
      </c>
      <c r="U31" s="4359">
        <f t="shared" ref="U31" si="143">+Q31+S31</f>
        <v>5490.85</v>
      </c>
      <c r="V31" s="6049">
        <f>V32*V$3*24</f>
        <v>369.91870191260034</v>
      </c>
      <c r="W31" s="2993">
        <v>1078.5</v>
      </c>
      <c r="X31" s="732">
        <f t="shared" si="70"/>
        <v>2598.4585212129341</v>
      </c>
      <c r="Y31" s="732">
        <f t="shared" si="71"/>
        <v>3281.55</v>
      </c>
      <c r="Z31" s="439">
        <f t="shared" si="52"/>
        <v>5644.8485402141296</v>
      </c>
      <c r="AA31" s="439">
        <f t="shared" si="53"/>
        <v>6569.35</v>
      </c>
      <c r="AB31" s="6179">
        <f>AB32*AB$3*24</f>
        <v>1157.85238949327</v>
      </c>
      <c r="AC31" s="2993">
        <v>989</v>
      </c>
      <c r="AD31" s="2236">
        <f t="shared" ref="AD31" si="144">+Z31+AB31</f>
        <v>6802.7009297074001</v>
      </c>
      <c r="AE31" s="2236">
        <f t="shared" ref="AE31" si="145">+AA31+AC31</f>
        <v>7558.35</v>
      </c>
      <c r="AF31" s="6372">
        <f>AF32*AF$3*24</f>
        <v>1123.6233803241867</v>
      </c>
      <c r="AG31" s="2993">
        <v>1080.0999999999999</v>
      </c>
      <c r="AH31" s="4652">
        <f t="shared" ref="AH31" si="146">+AD31+AF31</f>
        <v>7926.3243100315867</v>
      </c>
      <c r="AI31" s="4652">
        <f t="shared" ref="AI31" si="147">+AE31+AG31</f>
        <v>8638.4500000000007</v>
      </c>
      <c r="AJ31" s="6624">
        <f>AJ32*AJ$3*24</f>
        <v>1157.85238949327</v>
      </c>
      <c r="AK31" s="2993">
        <v>1117.5</v>
      </c>
      <c r="AL31" s="2553">
        <f t="shared" ref="AL31" si="148">+AJ31+AF31+AB31</f>
        <v>3439.3281593107267</v>
      </c>
      <c r="AM31" s="2553">
        <f t="shared" ref="AM31" si="149">+AK31+AG31+AC31</f>
        <v>3186.6</v>
      </c>
      <c r="AN31" s="2236">
        <f t="shared" ref="AN31" si="150">+AH31+AJ31</f>
        <v>9084.1766995248563</v>
      </c>
      <c r="AO31" s="2236">
        <f t="shared" ref="AO31" si="151">+AI31+AK31</f>
        <v>9755.9500000000007</v>
      </c>
      <c r="AP31" s="6716">
        <f>AP32*AP$3*24</f>
        <v>1192.7183733677523</v>
      </c>
      <c r="AQ31" s="2993">
        <v>1104</v>
      </c>
      <c r="AR31" s="2236">
        <f t="shared" ref="AR31" si="152">+AN31+AP31</f>
        <v>10276.895072892608</v>
      </c>
      <c r="AS31" s="2236">
        <f t="shared" ref="AS31" si="153">+AO31+AQ31</f>
        <v>10859.95</v>
      </c>
      <c r="AT31" s="6861">
        <f>AT32*AT$3*24</f>
        <v>1055.1653619860201</v>
      </c>
      <c r="AU31" s="2993">
        <v>973.4</v>
      </c>
      <c r="AV31" s="5072">
        <f t="shared" ref="AV31" si="154">+AR31+AT31</f>
        <v>11332.060434878629</v>
      </c>
      <c r="AW31" s="5072">
        <f t="shared" ref="AW31" si="155">+AS31+AU31</f>
        <v>11833.35</v>
      </c>
      <c r="AX31" s="7015">
        <f>AX32*AX$3*24</f>
        <v>1192.7183733677523</v>
      </c>
      <c r="AY31" s="2993">
        <v>1092</v>
      </c>
      <c r="AZ31" s="2829">
        <f t="shared" ref="AZ31" si="156">+AX31+AT31+AP31</f>
        <v>3440.6021087215249</v>
      </c>
      <c r="BA31" s="2829">
        <f t="shared" ref="BA31" si="157">+AY31+AU31+AQ31</f>
        <v>3169.4</v>
      </c>
      <c r="BB31" s="2837">
        <f t="shared" si="64"/>
        <v>6879.9302680322517</v>
      </c>
      <c r="BC31" s="2837">
        <f t="shared" si="65"/>
        <v>6356</v>
      </c>
      <c r="BD31" s="2236">
        <f t="shared" ref="BD31" si="158">+AV31+AX31</f>
        <v>12524.778808246381</v>
      </c>
      <c r="BE31" s="2236">
        <f t="shared" ref="BE31" si="159">+AW31+AY31</f>
        <v>12925.35</v>
      </c>
      <c r="BF31" s="112"/>
      <c r="BG31" s="112"/>
      <c r="BH31" s="112"/>
      <c r="BI31" s="112"/>
      <c r="BJ31" s="112"/>
    </row>
    <row r="32" spans="2:62" ht="15" hidden="1" customHeight="1" x14ac:dyDescent="0.25">
      <c r="B32" s="8"/>
      <c r="C32" s="2893"/>
      <c r="D32" s="2961">
        <v>1.0623809016440813</v>
      </c>
      <c r="E32" s="3231"/>
      <c r="F32" s="2961">
        <v>1.5562532116845027</v>
      </c>
      <c r="G32" s="3231"/>
      <c r="H32" s="2884"/>
      <c r="I32" s="37"/>
      <c r="J32" s="2961">
        <v>1.5605880282280371</v>
      </c>
      <c r="K32" s="3231"/>
      <c r="L32" s="732"/>
      <c r="M32" s="732"/>
      <c r="N32" s="2961">
        <v>1.4976746097448479</v>
      </c>
      <c r="O32" s="3231"/>
      <c r="P32" s="733"/>
      <c r="Q32" s="733"/>
      <c r="R32" s="2961">
        <v>1.4976746097448479</v>
      </c>
      <c r="S32" s="3231"/>
      <c r="T32" s="4359"/>
      <c r="U32" s="4359"/>
      <c r="V32" s="2961">
        <v>0.5137759748786116</v>
      </c>
      <c r="W32" s="3231"/>
      <c r="X32" s="732"/>
      <c r="Y32" s="732"/>
      <c r="Z32" s="439"/>
      <c r="AA32" s="439"/>
      <c r="AB32" s="2961">
        <v>1.5562532116845027</v>
      </c>
      <c r="AC32" s="3231"/>
      <c r="AD32" s="2236"/>
      <c r="AE32" s="2236"/>
      <c r="AF32" s="2961">
        <v>1.5605880282280371</v>
      </c>
      <c r="AG32" s="3231"/>
      <c r="AH32" s="4652"/>
      <c r="AI32" s="4652"/>
      <c r="AJ32" s="2961">
        <v>1.5562532116845027</v>
      </c>
      <c r="AK32" s="3231"/>
      <c r="AL32" s="2553"/>
      <c r="AM32" s="2553"/>
      <c r="AN32" s="2236"/>
      <c r="AO32" s="2236"/>
      <c r="AP32" s="2961">
        <v>1.6031160932362261</v>
      </c>
      <c r="AQ32" s="3231"/>
      <c r="AR32" s="2236"/>
      <c r="AS32" s="2236"/>
      <c r="AT32" s="2961">
        <v>1.5701865505744348</v>
      </c>
      <c r="AU32" s="3231"/>
      <c r="AV32" s="5072"/>
      <c r="AW32" s="5072"/>
      <c r="AX32" s="2961">
        <v>1.6031160932362261</v>
      </c>
      <c r="AY32" s="3231"/>
      <c r="AZ32" s="2829"/>
      <c r="BA32" s="2829"/>
      <c r="BB32" s="2837">
        <f t="shared" si="64"/>
        <v>0</v>
      </c>
      <c r="BC32" s="2837">
        <f t="shared" si="65"/>
        <v>0</v>
      </c>
      <c r="BD32" s="2236"/>
      <c r="BE32" s="2236"/>
      <c r="BF32" s="112"/>
      <c r="BG32" s="112"/>
      <c r="BH32" s="112"/>
      <c r="BI32" s="112"/>
      <c r="BJ32" s="112"/>
    </row>
    <row r="33" spans="2:62" x14ac:dyDescent="0.25">
      <c r="B33" s="8" t="s">
        <v>59</v>
      </c>
      <c r="C33" s="2893" t="s">
        <v>324</v>
      </c>
      <c r="D33" s="7635">
        <f>D34*D$3*24</f>
        <v>1080.4279942943483</v>
      </c>
      <c r="E33" s="2993">
        <v>1231.1400000000001</v>
      </c>
      <c r="F33" s="5629">
        <f>F34*F$3*24</f>
        <v>1427.9339305750007</v>
      </c>
      <c r="G33" s="2993">
        <v>1042.0188628037854</v>
      </c>
      <c r="H33" s="2884">
        <f t="shared" si="45"/>
        <v>2508.361924869349</v>
      </c>
      <c r="I33" s="37">
        <f t="shared" si="45"/>
        <v>2273.1588628037853</v>
      </c>
      <c r="J33" s="5763">
        <f>J34*J$3*24</f>
        <v>1392.1569503851563</v>
      </c>
      <c r="K33" s="2993">
        <v>958.26913737942414</v>
      </c>
      <c r="L33" s="732">
        <f t="shared" si="46"/>
        <v>3900.5188752545055</v>
      </c>
      <c r="M33" s="732">
        <f t="shared" si="47"/>
        <v>3231.4280001832094</v>
      </c>
      <c r="N33" s="5871">
        <f>N34*N$3*24</f>
        <v>1429.0303923548265</v>
      </c>
      <c r="O33" s="2993">
        <v>935.03565531522622</v>
      </c>
      <c r="P33" s="733">
        <f t="shared" si="48"/>
        <v>5329.5492676093318</v>
      </c>
      <c r="Q33" s="733">
        <f t="shared" si="49"/>
        <v>4166.4636554984354</v>
      </c>
      <c r="R33" s="5975">
        <f>R34*R$3*24</f>
        <v>1429.0303923548265</v>
      </c>
      <c r="S33" s="2993">
        <v>1045.4579780087024</v>
      </c>
      <c r="T33" s="4359">
        <f t="shared" ref="T33" si="160">+P33+R33</f>
        <v>6758.5796599641581</v>
      </c>
      <c r="U33" s="4359">
        <f t="shared" ref="U33" si="161">+Q33+S33</f>
        <v>5211.9216335071378</v>
      </c>
      <c r="V33" s="6049">
        <f>V34*V$3*24</f>
        <v>1047.4550253027198</v>
      </c>
      <c r="W33" s="2993">
        <v>811.42</v>
      </c>
      <c r="X33" s="732">
        <f t="shared" si="70"/>
        <v>3905.5158100123726</v>
      </c>
      <c r="Y33" s="732">
        <f t="shared" si="71"/>
        <v>2791.9136333239285</v>
      </c>
      <c r="Z33" s="439">
        <f t="shared" si="52"/>
        <v>7806.0346852668781</v>
      </c>
      <c r="AA33" s="439">
        <f t="shared" si="53"/>
        <v>6023.3416335071379</v>
      </c>
      <c r="AB33" s="6179">
        <f>AB34*AB$3*24</f>
        <v>1372.6941978160871</v>
      </c>
      <c r="AC33" s="2993">
        <v>688.81</v>
      </c>
      <c r="AD33" s="2236">
        <f t="shared" ref="AD33" si="162">+Z33+AB33</f>
        <v>9178.7288830829657</v>
      </c>
      <c r="AE33" s="2236">
        <f t="shared" ref="AE33" si="163">+AA33+AC33</f>
        <v>6712.1516335071374</v>
      </c>
      <c r="AF33" s="6372">
        <f>AF34*AF$3*24</f>
        <v>1359.5175349059991</v>
      </c>
      <c r="AG33" s="2993">
        <v>794.92</v>
      </c>
      <c r="AH33" s="4652">
        <f t="shared" ref="AH33" si="164">+AD33+AF33</f>
        <v>10538.246417988965</v>
      </c>
      <c r="AI33" s="4652">
        <f t="shared" ref="AI33" si="165">+AE33+AG33</f>
        <v>7507.0716335071374</v>
      </c>
      <c r="AJ33" s="6624">
        <f>AJ34*AJ$3*24</f>
        <v>1407.416253255557</v>
      </c>
      <c r="AK33" s="2993">
        <v>808.94292980589137</v>
      </c>
      <c r="AL33" s="2553">
        <f t="shared" ref="AL33" si="166">+AJ33+AF33+AB33</f>
        <v>4139.6279859776432</v>
      </c>
      <c r="AM33" s="2553">
        <f t="shared" ref="AM33" si="167">+AK33+AG33+AC33</f>
        <v>2292.6729298058913</v>
      </c>
      <c r="AN33" s="2236">
        <f t="shared" ref="AN33" si="168">+AH33+AJ33</f>
        <v>11945.662671244521</v>
      </c>
      <c r="AO33" s="2236">
        <f t="shared" ref="AO33" si="169">+AI33+AK33</f>
        <v>8316.0145633130287</v>
      </c>
      <c r="AP33" s="6716">
        <f>AP34*AP$3*24</f>
        <v>1420.2621343384963</v>
      </c>
      <c r="AQ33" s="2993">
        <v>638.47</v>
      </c>
      <c r="AR33" s="2236">
        <f t="shared" ref="AR33" si="170">+AN33+AP33</f>
        <v>13365.924805583018</v>
      </c>
      <c r="AS33" s="2236">
        <f t="shared" ref="AS33" si="171">+AO33+AQ33</f>
        <v>8954.484563313028</v>
      </c>
      <c r="AT33" s="6861">
        <f>AT34*AT$3*24</f>
        <v>1249.9860416014999</v>
      </c>
      <c r="AU33" s="2993">
        <v>726.51</v>
      </c>
      <c r="AV33" s="5072">
        <f t="shared" ref="AV33" si="172">+AR33+AT33</f>
        <v>14615.910847184517</v>
      </c>
      <c r="AW33" s="5072">
        <f t="shared" ref="AW33" si="173">+AS33+AU33</f>
        <v>9680.9945633130283</v>
      </c>
      <c r="AX33" s="7015">
        <f>AX34*AX$3*24</f>
        <v>1413.8819577888135</v>
      </c>
      <c r="AY33" s="2993">
        <v>1081.67</v>
      </c>
      <c r="AZ33" s="2829">
        <f t="shared" ref="AZ33" si="174">+AX33+AT33+AP33</f>
        <v>4084.1301337288096</v>
      </c>
      <c r="BA33" s="2829">
        <f t="shared" ref="BA33" si="175">+AY33+AU33+AQ33</f>
        <v>2446.65</v>
      </c>
      <c r="BB33" s="2837">
        <f t="shared" si="64"/>
        <v>8223.7581197064537</v>
      </c>
      <c r="BC33" s="2837">
        <f t="shared" si="65"/>
        <v>4739.3229298058914</v>
      </c>
      <c r="BD33" s="2236">
        <f t="shared" ref="BD33" si="176">+AV33+AX33</f>
        <v>16029.792804973331</v>
      </c>
      <c r="BE33" s="2236">
        <f t="shared" ref="BE33" si="177">+AW33+AY33</f>
        <v>10762.664563313028</v>
      </c>
      <c r="BF33" s="112"/>
      <c r="BG33" s="112"/>
      <c r="BH33" s="112"/>
      <c r="BI33" s="112"/>
      <c r="BJ33" s="112"/>
    </row>
    <row r="34" spans="2:62" ht="15" hidden="1" customHeight="1" x14ac:dyDescent="0.25">
      <c r="B34" s="8"/>
      <c r="C34" s="2893"/>
      <c r="D34" s="2961">
        <v>1.5005944365199282</v>
      </c>
      <c r="E34" s="3231"/>
      <c r="F34" s="2961">
        <v>1.9192660357190869</v>
      </c>
      <c r="G34" s="3231"/>
      <c r="H34" s="2884"/>
      <c r="I34" s="37"/>
      <c r="J34" s="2961">
        <v>1.9335513199793837</v>
      </c>
      <c r="K34" s="3231"/>
      <c r="L34" s="732"/>
      <c r="M34" s="732"/>
      <c r="N34" s="2961">
        <v>1.9207397746704657</v>
      </c>
      <c r="O34" s="3231"/>
      <c r="P34" s="733"/>
      <c r="Q34" s="733"/>
      <c r="R34" s="2961">
        <v>1.9207397746704657</v>
      </c>
      <c r="S34" s="3231"/>
      <c r="T34" s="4359"/>
      <c r="U34" s="4359"/>
      <c r="V34" s="2961">
        <v>1.4547986462537776</v>
      </c>
      <c r="W34" s="3231"/>
      <c r="X34" s="732"/>
      <c r="Y34" s="732"/>
      <c r="Z34" s="439"/>
      <c r="AA34" s="439"/>
      <c r="AB34" s="2961">
        <v>1.8450190830861386</v>
      </c>
      <c r="AC34" s="3231"/>
      <c r="AD34" s="2236"/>
      <c r="AE34" s="2236"/>
      <c r="AF34" s="2961">
        <v>1.8882187984805545</v>
      </c>
      <c r="AG34" s="3231"/>
      <c r="AH34" s="4652"/>
      <c r="AI34" s="4652"/>
      <c r="AJ34" s="2961">
        <v>1.8916885124402647</v>
      </c>
      <c r="AK34" s="3231"/>
      <c r="AL34" s="2553"/>
      <c r="AM34" s="2553"/>
      <c r="AN34" s="2236"/>
      <c r="AO34" s="2236"/>
      <c r="AP34" s="2961">
        <v>1.9089544816377637</v>
      </c>
      <c r="AQ34" s="3231"/>
      <c r="AR34" s="2236"/>
      <c r="AS34" s="2236"/>
      <c r="AT34" s="2961">
        <v>1.8600982761927081</v>
      </c>
      <c r="AU34" s="3231"/>
      <c r="AV34" s="5072"/>
      <c r="AW34" s="5072"/>
      <c r="AX34" s="2961">
        <v>1.9003789755225988</v>
      </c>
      <c r="AY34" s="3231"/>
      <c r="AZ34" s="2829"/>
      <c r="BA34" s="2829"/>
      <c r="BB34" s="2837">
        <f t="shared" si="64"/>
        <v>0</v>
      </c>
      <c r="BC34" s="2837">
        <f t="shared" si="65"/>
        <v>0</v>
      </c>
      <c r="BD34" s="2236"/>
      <c r="BE34" s="2236"/>
      <c r="BF34" s="112"/>
      <c r="BG34" s="112"/>
      <c r="BH34" s="112"/>
      <c r="BI34" s="112"/>
      <c r="BJ34" s="112"/>
    </row>
    <row r="35" spans="2:62" x14ac:dyDescent="0.25">
      <c r="B35" s="8" t="s">
        <v>91</v>
      </c>
      <c r="C35" s="2893" t="s">
        <v>324</v>
      </c>
      <c r="D35" s="7635">
        <f>D36*D$3*24</f>
        <v>1722.9793580669616</v>
      </c>
      <c r="E35" s="2993">
        <v>1696.06</v>
      </c>
      <c r="F35" s="5629">
        <f>F36*F$3*24</f>
        <v>2178.5577018994009</v>
      </c>
      <c r="G35" s="2993">
        <v>1511.2833702499265</v>
      </c>
      <c r="H35" s="2884">
        <f t="shared" si="45"/>
        <v>3901.5370599663624</v>
      </c>
      <c r="I35" s="37">
        <f t="shared" si="45"/>
        <v>3207.3433702499265</v>
      </c>
      <c r="J35" s="5763">
        <f>J36*J$3*24</f>
        <v>2115.4336153124768</v>
      </c>
      <c r="K35" s="2993">
        <v>1368.3023550549533</v>
      </c>
      <c r="L35" s="732">
        <f t="shared" si="46"/>
        <v>6016.9706752788388</v>
      </c>
      <c r="M35" s="732">
        <f t="shared" si="47"/>
        <v>4575.6457253048793</v>
      </c>
      <c r="N35" s="5871">
        <f>N36*N$3*24</f>
        <v>2180.2305420806797</v>
      </c>
      <c r="O35" s="2993">
        <v>1325.8729510126152</v>
      </c>
      <c r="P35" s="733">
        <f t="shared" si="48"/>
        <v>8197.2012173595176</v>
      </c>
      <c r="Q35" s="733">
        <f t="shared" si="49"/>
        <v>5901.5186763174943</v>
      </c>
      <c r="R35" s="5975">
        <f>R36*R$3*24</f>
        <v>2180.2305420806797</v>
      </c>
      <c r="S35" s="2993">
        <v>1509.3571648790987</v>
      </c>
      <c r="T35" s="4359">
        <f t="shared" ref="T35" si="178">+P35+R35</f>
        <v>10377.431759440198</v>
      </c>
      <c r="U35" s="4359">
        <f t="shared" ref="U35" si="179">+Q35+S35</f>
        <v>7410.8758411965928</v>
      </c>
      <c r="V35" s="6049">
        <f>V36*V$3*24</f>
        <v>1691.1242791934073</v>
      </c>
      <c r="W35" s="2993">
        <v>1180.43</v>
      </c>
      <c r="X35" s="732">
        <f t="shared" si="70"/>
        <v>6051.5853633547667</v>
      </c>
      <c r="Y35" s="732">
        <f t="shared" si="71"/>
        <v>4015.6601158917138</v>
      </c>
      <c r="Z35" s="439">
        <f t="shared" si="52"/>
        <v>12068.556038633606</v>
      </c>
      <c r="AA35" s="439">
        <f t="shared" si="53"/>
        <v>8591.305841196594</v>
      </c>
      <c r="AB35" s="6179">
        <f>AB36*AB$3*24</f>
        <v>2140.7502808245517</v>
      </c>
      <c r="AC35" s="2993">
        <v>832.6</v>
      </c>
      <c r="AD35" s="2236">
        <f t="shared" ref="AD35" si="180">+Z35+AB35</f>
        <v>14209.306319458157</v>
      </c>
      <c r="AE35" s="2236">
        <f t="shared" ref="AE35" si="181">+AA35+AC35</f>
        <v>9423.9058411965943</v>
      </c>
      <c r="AF35" s="6372">
        <f>AF36*AF$3*24</f>
        <v>2065.8368247568887</v>
      </c>
      <c r="AG35" s="2993">
        <v>1157.3599999999999</v>
      </c>
      <c r="AH35" s="4652">
        <f t="shared" ref="AH35" si="182">+AD35+AF35</f>
        <v>16275.143144215046</v>
      </c>
      <c r="AI35" s="4652">
        <f t="shared" ref="AI35" si="183">+AE35+AG35</f>
        <v>10581.265841196595</v>
      </c>
      <c r="AJ35" s="6624">
        <f>AJ36*AJ$3*24</f>
        <v>2147.2544721124586</v>
      </c>
      <c r="AK35" s="2993">
        <v>1046.574957600182</v>
      </c>
      <c r="AL35" s="2553">
        <f t="shared" ref="AL35" si="184">+AJ35+AF35+AB35</f>
        <v>6353.8415776938991</v>
      </c>
      <c r="AM35" s="2553">
        <f t="shared" ref="AM35" si="185">+AK35+AG35+AC35</f>
        <v>3036.5349576001818</v>
      </c>
      <c r="AN35" s="2236">
        <f t="shared" ref="AN35" si="186">+AH35+AJ35</f>
        <v>18422.397616327504</v>
      </c>
      <c r="AO35" s="2236">
        <f t="shared" ref="AO35" si="187">+AI35+AK35</f>
        <v>11627.840798796777</v>
      </c>
      <c r="AP35" s="6716">
        <f>AP36*AP$3*24</f>
        <v>2142.506399544689</v>
      </c>
      <c r="AQ35" s="2993">
        <v>875.31</v>
      </c>
      <c r="AR35" s="2236">
        <f t="shared" ref="AR35" si="188">+AN35+AP35</f>
        <v>20564.904015872191</v>
      </c>
      <c r="AS35" s="2236">
        <f t="shared" ref="AS35" si="189">+AO35+AQ35</f>
        <v>12503.150798796776</v>
      </c>
      <c r="AT35" s="6861">
        <f>AT36*AT$3*24</f>
        <v>1898.6186947952312</v>
      </c>
      <c r="AU35" s="2993">
        <v>1006.76</v>
      </c>
      <c r="AV35" s="5072">
        <f t="shared" ref="AV35" si="190">+AR35+AT35</f>
        <v>22463.522710667421</v>
      </c>
      <c r="AW35" s="5072">
        <f t="shared" ref="AW35" si="191">+AS35+AU35</f>
        <v>13509.910798796776</v>
      </c>
      <c r="AX35" s="7015">
        <f>AX36*AX$3*24</f>
        <v>2159.8802219467002</v>
      </c>
      <c r="AY35" s="2993">
        <v>1466.13</v>
      </c>
      <c r="AZ35" s="2829">
        <f t="shared" ref="AZ35" si="192">+AX35+AT35+AP35</f>
        <v>6201.0053162866207</v>
      </c>
      <c r="BA35" s="2829">
        <f t="shared" ref="BA35" si="193">+AY35+AU35+AQ35</f>
        <v>3348.2000000000003</v>
      </c>
      <c r="BB35" s="2837">
        <f t="shared" si="64"/>
        <v>12554.846893980521</v>
      </c>
      <c r="BC35" s="2837">
        <f t="shared" si="65"/>
        <v>6384.7349576001816</v>
      </c>
      <c r="BD35" s="2236">
        <f t="shared" ref="BD35" si="194">+AV35+AX35</f>
        <v>24623.402932614121</v>
      </c>
      <c r="BE35" s="2236">
        <f t="shared" ref="BE35" si="195">+AW35+AY35</f>
        <v>14976.040798796777</v>
      </c>
      <c r="BF35" s="112"/>
      <c r="BG35" s="112"/>
      <c r="BH35" s="112"/>
      <c r="BI35" s="112"/>
      <c r="BJ35" s="112"/>
    </row>
    <row r="36" spans="2:62" ht="15" hidden="1" customHeight="1" x14ac:dyDescent="0.25">
      <c r="B36" s="8"/>
      <c r="C36" s="2893"/>
      <c r="D36" s="2961">
        <v>2.3930268862041131</v>
      </c>
      <c r="E36" s="3231"/>
      <c r="F36" s="2961">
        <v>2.9281689541658609</v>
      </c>
      <c r="G36" s="3231"/>
      <c r="H36" s="2884"/>
      <c r="I36" s="37"/>
      <c r="J36" s="2961">
        <v>2.938102243489551</v>
      </c>
      <c r="K36" s="3231"/>
      <c r="L36" s="732"/>
      <c r="M36" s="732"/>
      <c r="N36" s="2961">
        <v>2.930417395269731</v>
      </c>
      <c r="O36" s="3231"/>
      <c r="P36" s="733"/>
      <c r="Q36" s="733"/>
      <c r="R36" s="2961">
        <v>2.930417395269731</v>
      </c>
      <c r="S36" s="3231"/>
      <c r="T36" s="4359"/>
      <c r="U36" s="4359"/>
      <c r="V36" s="2961">
        <v>2.3487837211019547</v>
      </c>
      <c r="W36" s="3231"/>
      <c r="X36" s="732"/>
      <c r="Y36" s="732"/>
      <c r="Z36" s="439"/>
      <c r="AA36" s="439"/>
      <c r="AB36" s="2961">
        <v>2.8773525279899888</v>
      </c>
      <c r="AC36" s="3231"/>
      <c r="AD36" s="2236"/>
      <c r="AE36" s="2236"/>
      <c r="AF36" s="2961">
        <v>2.8692178121623453</v>
      </c>
      <c r="AG36" s="3231"/>
      <c r="AH36" s="4652"/>
      <c r="AI36" s="4652"/>
      <c r="AJ36" s="2961">
        <v>2.8860947205812613</v>
      </c>
      <c r="AK36" s="3231"/>
      <c r="AL36" s="2553"/>
      <c r="AM36" s="2553"/>
      <c r="AN36" s="2236"/>
      <c r="AO36" s="2236"/>
      <c r="AP36" s="2961">
        <v>2.8797129026138291</v>
      </c>
      <c r="AQ36" s="3231"/>
      <c r="AR36" s="2236"/>
      <c r="AS36" s="2236"/>
      <c r="AT36" s="2961">
        <v>2.8253254386833797</v>
      </c>
      <c r="AU36" s="3231"/>
      <c r="AV36" s="5072"/>
      <c r="AW36" s="5072"/>
      <c r="AX36" s="2961">
        <v>2.9030648144444897</v>
      </c>
      <c r="AY36" s="3231"/>
      <c r="AZ36" s="2829"/>
      <c r="BA36" s="2829"/>
      <c r="BB36" s="2837">
        <f t="shared" si="64"/>
        <v>0</v>
      </c>
      <c r="BC36" s="2837">
        <f t="shared" si="65"/>
        <v>0</v>
      </c>
      <c r="BD36" s="2236"/>
      <c r="BE36" s="2236"/>
      <c r="BF36" s="112"/>
      <c r="BG36" s="112"/>
      <c r="BH36" s="112"/>
      <c r="BI36" s="112"/>
      <c r="BJ36" s="112"/>
    </row>
    <row r="37" spans="2:62" x14ac:dyDescent="0.25">
      <c r="B37" s="8" t="s">
        <v>109</v>
      </c>
      <c r="C37" s="2893" t="s">
        <v>324</v>
      </c>
      <c r="D37" s="7635">
        <f>D38*D$3*24</f>
        <v>2904.1033906467283</v>
      </c>
      <c r="E37" s="2993">
        <v>2156.0700000000002</v>
      </c>
      <c r="F37" s="5629">
        <f>F38*F$3*24</f>
        <v>3610.3083675255994</v>
      </c>
      <c r="G37" s="2993">
        <v>2091.9133019239598</v>
      </c>
      <c r="H37" s="2884">
        <f t="shared" si="45"/>
        <v>6514.4117581723276</v>
      </c>
      <c r="I37" s="37">
        <f t="shared" si="45"/>
        <v>4247.9833019239595</v>
      </c>
      <c r="J37" s="5763">
        <f>J38*J$3*24</f>
        <v>3476.4094343023658</v>
      </c>
      <c r="K37" s="2993">
        <v>1902.3456359625527</v>
      </c>
      <c r="L37" s="732">
        <f t="shared" si="46"/>
        <v>9990.8211924746938</v>
      </c>
      <c r="M37" s="732">
        <f t="shared" si="47"/>
        <v>6150.328937886512</v>
      </c>
      <c r="N37" s="5871">
        <f>N38*N$3*24</f>
        <v>3607.5390655644942</v>
      </c>
      <c r="O37" s="2993">
        <v>1634.8711733840794</v>
      </c>
      <c r="P37" s="733">
        <f t="shared" si="48"/>
        <v>13598.360258039189</v>
      </c>
      <c r="Q37" s="733">
        <f t="shared" si="49"/>
        <v>7785.2001112705912</v>
      </c>
      <c r="R37" s="5975">
        <f>R38*R$3*24</f>
        <v>3607.5390655644942</v>
      </c>
      <c r="S37" s="2993">
        <v>1910.3431970441127</v>
      </c>
      <c r="T37" s="4359">
        <f t="shared" ref="T37" si="196">+P37+R37</f>
        <v>17205.899323603684</v>
      </c>
      <c r="U37" s="4359">
        <f t="shared" ref="U37" si="197">+Q37+S37</f>
        <v>9695.5433083147036</v>
      </c>
      <c r="V37" s="6049">
        <f>V38*V$3*24</f>
        <v>2373.4206955038726</v>
      </c>
      <c r="W37" s="2993">
        <v>1550.07</v>
      </c>
      <c r="X37" s="732">
        <f t="shared" si="70"/>
        <v>9588.4988266328619</v>
      </c>
      <c r="Y37" s="732">
        <f t="shared" si="71"/>
        <v>5095.2843704281922</v>
      </c>
      <c r="Z37" s="439">
        <f t="shared" si="52"/>
        <v>19579.320019107556</v>
      </c>
      <c r="AA37" s="439">
        <f t="shared" si="53"/>
        <v>11245.613308314703</v>
      </c>
      <c r="AB37" s="6179">
        <f>AB38*AB$3*24</f>
        <v>3703.35552135936</v>
      </c>
      <c r="AC37" s="2993">
        <v>919.54</v>
      </c>
      <c r="AD37" s="2236">
        <f t="shared" ref="AD37" si="198">+Z37+AB37</f>
        <v>23282.675540466917</v>
      </c>
      <c r="AE37" s="2236">
        <f t="shared" ref="AE37" si="199">+AA37+AC37</f>
        <v>12165.153308314704</v>
      </c>
      <c r="AF37" s="6372">
        <f>AF38*AF$3*24</f>
        <v>3558.6456403371121</v>
      </c>
      <c r="AG37" s="2993">
        <v>1573.92</v>
      </c>
      <c r="AH37" s="4652">
        <f t="shared" ref="AH37" si="200">+AD37+AF37</f>
        <v>26841.321180804029</v>
      </c>
      <c r="AI37" s="4652">
        <f t="shared" ref="AI37" si="201">+AE37+AG37</f>
        <v>13739.073308314704</v>
      </c>
      <c r="AJ37" s="6624">
        <f>AJ38*AJ$3*24</f>
        <v>3662.1292746319841</v>
      </c>
      <c r="AK37" s="2993">
        <v>1358.6805916788826</v>
      </c>
      <c r="AL37" s="2553">
        <f t="shared" ref="AL37" si="202">+AJ37+AF37+AB37</f>
        <v>10924.130436328456</v>
      </c>
      <c r="AM37" s="2553">
        <f t="shared" ref="AM37" si="203">+AK37+AG37+AC37</f>
        <v>3852.1405916788826</v>
      </c>
      <c r="AN37" s="2236">
        <f t="shared" ref="AN37" si="204">+AH37+AJ37</f>
        <v>30503.450455436014</v>
      </c>
      <c r="AO37" s="2236">
        <f t="shared" ref="AO37" si="205">+AI37+AK37</f>
        <v>15097.753899993586</v>
      </c>
      <c r="AP37" s="6716">
        <f>AP38*AP$3*24</f>
        <v>3654.031466116815</v>
      </c>
      <c r="AQ37" s="2993">
        <v>1184.4100000000001</v>
      </c>
      <c r="AR37" s="2236">
        <f t="shared" ref="AR37" si="206">+AN37+AP37</f>
        <v>34157.481921552826</v>
      </c>
      <c r="AS37" s="2236">
        <f t="shared" ref="AS37" si="207">+AO37+AQ37</f>
        <v>16282.163899993586</v>
      </c>
      <c r="AT37" s="6861">
        <f>AT38*AT$3*24</f>
        <v>3369.7952636032692</v>
      </c>
      <c r="AU37" s="2993">
        <v>1508.52</v>
      </c>
      <c r="AV37" s="5072">
        <f t="shared" ref="AV37" si="208">+AR37+AT37</f>
        <v>37527.277185156097</v>
      </c>
      <c r="AW37" s="5072">
        <f t="shared" ref="AW37" si="209">+AS37+AU37</f>
        <v>17790.683899993586</v>
      </c>
      <c r="AX37" s="7015">
        <f>AX38*AX$3*24</f>
        <v>3643.0378202644861</v>
      </c>
      <c r="AY37" s="2993">
        <v>2027.47</v>
      </c>
      <c r="AZ37" s="2829">
        <f t="shared" ref="AZ37" si="210">+AX37+AT37+AP37</f>
        <v>10666.86454998457</v>
      </c>
      <c r="BA37" s="2829">
        <f t="shared" ref="BA37" si="211">+AY37+AU37+AQ37</f>
        <v>4720.3999999999996</v>
      </c>
      <c r="BB37" s="2837">
        <f t="shared" si="64"/>
        <v>21590.994986313024</v>
      </c>
      <c r="BC37" s="2837">
        <f t="shared" si="65"/>
        <v>8572.5405916788823</v>
      </c>
      <c r="BD37" s="2236">
        <f t="shared" ref="BD37" si="212">+AV37+AX37</f>
        <v>41170.315005420583</v>
      </c>
      <c r="BE37" s="2236">
        <f t="shared" ref="BE37" si="213">+AW37+AY37</f>
        <v>19818.153899993587</v>
      </c>
      <c r="BF37" s="112"/>
      <c r="BG37" s="112"/>
      <c r="BH37" s="112"/>
      <c r="BI37" s="112"/>
      <c r="BJ37" s="112"/>
    </row>
    <row r="38" spans="2:62" ht="15" hidden="1" customHeight="1" x14ac:dyDescent="0.25">
      <c r="B38" s="8"/>
      <c r="C38" s="2893"/>
      <c r="D38" s="2961">
        <v>4.033476931453789</v>
      </c>
      <c r="E38" s="3231"/>
      <c r="F38" s="2961">
        <v>4.852565010115053</v>
      </c>
      <c r="G38" s="3231"/>
      <c r="H38" s="2884"/>
      <c r="I38" s="37"/>
      <c r="J38" s="2961">
        <v>4.8283464365310635</v>
      </c>
      <c r="K38" s="3231"/>
      <c r="L38" s="732"/>
      <c r="M38" s="732"/>
      <c r="N38" s="2961">
        <v>4.8488428300598034</v>
      </c>
      <c r="O38" s="3231"/>
      <c r="P38" s="733"/>
      <c r="Q38" s="733"/>
      <c r="R38" s="2961">
        <v>4.8488428300598034</v>
      </c>
      <c r="S38" s="3231"/>
      <c r="T38" s="4359"/>
      <c r="U38" s="4359"/>
      <c r="V38" s="2961">
        <v>3.296417632644268</v>
      </c>
      <c r="W38" s="3231"/>
      <c r="X38" s="732"/>
      <c r="Y38" s="732"/>
      <c r="Z38" s="439"/>
      <c r="AA38" s="439"/>
      <c r="AB38" s="2961">
        <v>4.9776283889238711</v>
      </c>
      <c r="AC38" s="3231"/>
      <c r="AD38" s="2236"/>
      <c r="AE38" s="2236"/>
      <c r="AF38" s="2961">
        <v>4.9425633893571002</v>
      </c>
      <c r="AG38" s="3231"/>
      <c r="AH38" s="4652"/>
      <c r="AI38" s="4652"/>
      <c r="AJ38" s="2961">
        <v>4.9222167669784733</v>
      </c>
      <c r="AK38" s="3231"/>
      <c r="AL38" s="2553"/>
      <c r="AM38" s="2553"/>
      <c r="AN38" s="2236"/>
      <c r="AO38" s="2236"/>
      <c r="AP38" s="2961">
        <v>4.9113326157484076</v>
      </c>
      <c r="AQ38" s="3231"/>
      <c r="AR38" s="2236"/>
      <c r="AS38" s="2236"/>
      <c r="AT38" s="2961">
        <v>5.014576285123912</v>
      </c>
      <c r="AU38" s="3231"/>
      <c r="AV38" s="5072"/>
      <c r="AW38" s="5072"/>
      <c r="AX38" s="2961">
        <v>4.8965562100329114</v>
      </c>
      <c r="AY38" s="3231"/>
      <c r="AZ38" s="2829"/>
      <c r="BA38" s="2829"/>
      <c r="BB38" s="2837">
        <f t="shared" si="64"/>
        <v>0</v>
      </c>
      <c r="BC38" s="2837">
        <f t="shared" si="65"/>
        <v>0</v>
      </c>
      <c r="BD38" s="2236"/>
      <c r="BE38" s="2236"/>
      <c r="BF38" s="112"/>
      <c r="BG38" s="112"/>
      <c r="BH38" s="112"/>
      <c r="BI38" s="112"/>
      <c r="BJ38" s="112"/>
    </row>
    <row r="39" spans="2:62" x14ac:dyDescent="0.25">
      <c r="B39" s="8" t="s">
        <v>82</v>
      </c>
      <c r="C39" s="2893" t="s">
        <v>324</v>
      </c>
      <c r="D39" s="7635">
        <f>D40*D$3*24</f>
        <v>6195.7270041868787</v>
      </c>
      <c r="E39" s="2993">
        <v>6844.7</v>
      </c>
      <c r="F39" s="5629">
        <f>F40*F$3*24</f>
        <v>8345.6234277820495</v>
      </c>
      <c r="G39" s="2993">
        <v>7559.6794935174457</v>
      </c>
      <c r="H39" s="2884">
        <f t="shared" si="45"/>
        <v>14541.350431968927</v>
      </c>
      <c r="I39" s="37">
        <f t="shared" si="45"/>
        <v>14404.379493517445</v>
      </c>
      <c r="J39" s="5763">
        <f>J40*J$3*24</f>
        <v>8109.7939591241648</v>
      </c>
      <c r="K39" s="2993">
        <v>7701.5</v>
      </c>
      <c r="L39" s="732">
        <f t="shared" si="46"/>
        <v>22651.14439109309</v>
      </c>
      <c r="M39" s="732">
        <f t="shared" si="47"/>
        <v>22105.879493517445</v>
      </c>
      <c r="N39" s="5871">
        <f>N40*N$3*24</f>
        <v>8205.087216457161</v>
      </c>
      <c r="O39" s="2993">
        <v>8067.8305913891072</v>
      </c>
      <c r="P39" s="733">
        <f t="shared" si="48"/>
        <v>30856.231607550253</v>
      </c>
      <c r="Q39" s="733">
        <f t="shared" si="49"/>
        <v>30173.710084906554</v>
      </c>
      <c r="R39" s="5975">
        <f>R40*R$3*24</f>
        <v>8205.087216457161</v>
      </c>
      <c r="S39" s="2993">
        <v>7482.4085327874436</v>
      </c>
      <c r="T39" s="4359">
        <f t="shared" ref="T39" si="214">+P39+R39</f>
        <v>39061.318824007416</v>
      </c>
      <c r="U39" s="4359">
        <f t="shared" ref="U39" si="215">+Q39+S39</f>
        <v>37656.118617693995</v>
      </c>
      <c r="V39" s="6049">
        <f>V40*V$3*24</f>
        <v>4351.3937358507546</v>
      </c>
      <c r="W39" s="2993">
        <v>7557.59</v>
      </c>
      <c r="X39" s="732">
        <f t="shared" si="70"/>
        <v>20761.568168765079</v>
      </c>
      <c r="Y39" s="732">
        <f t="shared" si="71"/>
        <v>23107.829124176551</v>
      </c>
      <c r="Z39" s="439">
        <f t="shared" si="52"/>
        <v>43412.71255985817</v>
      </c>
      <c r="AA39" s="439">
        <f t="shared" si="53"/>
        <v>45213.708617693992</v>
      </c>
      <c r="AB39" s="6179">
        <f>AB40*AB$3*24</f>
        <v>8345.6234277820495</v>
      </c>
      <c r="AC39" s="2993">
        <v>6184.99</v>
      </c>
      <c r="AD39" s="2236">
        <f t="shared" ref="AD39" si="216">+Z39+AB39</f>
        <v>51758.335987640217</v>
      </c>
      <c r="AE39" s="2236">
        <f t="shared" ref="AE39" si="217">+AA39+AC39</f>
        <v>51398.69861769399</v>
      </c>
      <c r="AF39" s="6372">
        <f>AF40*AF$3*24</f>
        <v>8091.5080748940563</v>
      </c>
      <c r="AG39" s="2993">
        <v>6738.75</v>
      </c>
      <c r="AH39" s="4652">
        <f t="shared" ref="AH39" si="218">+AD39+AF39</f>
        <v>59849.844062534277</v>
      </c>
      <c r="AI39" s="4652">
        <f t="shared" ref="AI39" si="219">+AE39+AG39</f>
        <v>58137.44861769399</v>
      </c>
      <c r="AJ39" s="6624">
        <f>AJ40*AJ$3*24</f>
        <v>8345.6234277820495</v>
      </c>
      <c r="AK39" s="2993">
        <v>6418.0534321389423</v>
      </c>
      <c r="AL39" s="2553">
        <f t="shared" ref="AL39" si="220">+AJ39+AF39+AB39</f>
        <v>24782.754930458155</v>
      </c>
      <c r="AM39" s="2553">
        <f t="shared" ref="AM39" si="221">+AK39+AG39+AC39</f>
        <v>19341.79343213894</v>
      </c>
      <c r="AN39" s="2236">
        <f t="shared" ref="AN39" si="222">+AH39+AJ39</f>
        <v>68195.467490316325</v>
      </c>
      <c r="AO39" s="2236">
        <f t="shared" ref="AO39" si="223">+AI39+AK39</f>
        <v>64555.502049832932</v>
      </c>
      <c r="AP39" s="6716">
        <f>AP40*AP$3*24</f>
        <v>8454.3952199959422</v>
      </c>
      <c r="AQ39" s="2993">
        <v>7151.15</v>
      </c>
      <c r="AR39" s="2236">
        <f t="shared" ref="AR39" si="224">+AN39+AP39</f>
        <v>76649.862710312271</v>
      </c>
      <c r="AS39" s="2236">
        <f t="shared" ref="AS39" si="225">+AO39+AQ39</f>
        <v>71706.652049832934</v>
      </c>
      <c r="AT39" s="6861">
        <f>AT40*AT$3*24</f>
        <v>7564.9914848879571</v>
      </c>
      <c r="AU39" s="2993">
        <v>6408.73</v>
      </c>
      <c r="AV39" s="5072">
        <f t="shared" ref="AV39" si="226">+AR39+AT39</f>
        <v>84214.854195200227</v>
      </c>
      <c r="AW39" s="5072">
        <f t="shared" ref="AW39" si="227">+AS39+AU39</f>
        <v>78115.38204983293</v>
      </c>
      <c r="AX39" s="7015">
        <f>AX40*AX$3*24</f>
        <v>8454.3952199959422</v>
      </c>
      <c r="AY39" s="2993">
        <v>7097.34</v>
      </c>
      <c r="AZ39" s="2829">
        <f t="shared" ref="AZ39" si="228">+AX39+AT39+AP39</f>
        <v>24473.781924879841</v>
      </c>
      <c r="BA39" s="2829">
        <f t="shared" ref="BA39" si="229">+AY39+AU39+AQ39</f>
        <v>20657.22</v>
      </c>
      <c r="BB39" s="2837">
        <f t="shared" si="64"/>
        <v>49256.536855337996</v>
      </c>
      <c r="BC39" s="2837">
        <f t="shared" si="65"/>
        <v>39999.013432138941</v>
      </c>
      <c r="BD39" s="2236">
        <f t="shared" ref="BD39" si="230">+AV39+AX39</f>
        <v>92669.249415196173</v>
      </c>
      <c r="BE39" s="2236">
        <f t="shared" ref="BE39" si="231">+AW39+AY39</f>
        <v>85212.722049832926</v>
      </c>
      <c r="BF39" s="112"/>
      <c r="BG39" s="112"/>
      <c r="BH39" s="112"/>
      <c r="BI39" s="112"/>
      <c r="BJ39" s="112"/>
    </row>
    <row r="40" spans="2:62" ht="15" hidden="1" customHeight="1" x14ac:dyDescent="0.25">
      <c r="B40" s="8"/>
      <c r="C40" s="2893"/>
      <c r="D40" s="2961">
        <v>8.6051763947039976</v>
      </c>
      <c r="E40" s="3231"/>
      <c r="F40" s="2961">
        <v>11.217235790029637</v>
      </c>
      <c r="G40" s="3231"/>
      <c r="H40" s="2884"/>
      <c r="I40" s="37"/>
      <c r="J40" s="2961">
        <v>11.263602721005784</v>
      </c>
      <c r="K40" s="3231"/>
      <c r="L40" s="732"/>
      <c r="M40" s="732"/>
      <c r="N40" s="2961">
        <v>11.028343032872529</v>
      </c>
      <c r="O40" s="3231"/>
      <c r="P40" s="733"/>
      <c r="Q40" s="733"/>
      <c r="R40" s="2961">
        <v>11.028343032872529</v>
      </c>
      <c r="S40" s="3231"/>
      <c r="T40" s="4359"/>
      <c r="U40" s="4359"/>
      <c r="V40" s="2961">
        <v>6.0436024109038264</v>
      </c>
      <c r="W40" s="3231"/>
      <c r="X40" s="732"/>
      <c r="Y40" s="732"/>
      <c r="Z40" s="439"/>
      <c r="AA40" s="439"/>
      <c r="AB40" s="2961">
        <v>11.217235790029637</v>
      </c>
      <c r="AC40" s="3231"/>
      <c r="AD40" s="2236"/>
      <c r="AE40" s="2236"/>
      <c r="AF40" s="2961">
        <v>11.238205659575078</v>
      </c>
      <c r="AG40" s="3231"/>
      <c r="AH40" s="4652"/>
      <c r="AI40" s="4652"/>
      <c r="AJ40" s="2961">
        <v>11.217235790029637</v>
      </c>
      <c r="AK40" s="3231"/>
      <c r="AL40" s="2553"/>
      <c r="AM40" s="2553"/>
      <c r="AN40" s="2236"/>
      <c r="AO40" s="2236"/>
      <c r="AP40" s="2961">
        <v>11.363434435478418</v>
      </c>
      <c r="AQ40" s="3231"/>
      <c r="AR40" s="2236"/>
      <c r="AS40" s="2236"/>
      <c r="AT40" s="2961">
        <v>11.257427804892794</v>
      </c>
      <c r="AU40" s="3231"/>
      <c r="AV40" s="5072"/>
      <c r="AW40" s="5072"/>
      <c r="AX40" s="2961">
        <v>11.363434435478418</v>
      </c>
      <c r="AY40" s="3231"/>
      <c r="AZ40" s="2829"/>
      <c r="BA40" s="2829"/>
      <c r="BB40" s="2837">
        <f t="shared" si="64"/>
        <v>0</v>
      </c>
      <c r="BC40" s="2837">
        <f t="shared" si="65"/>
        <v>0</v>
      </c>
      <c r="BD40" s="2236"/>
      <c r="BE40" s="2236"/>
      <c r="BF40" s="112"/>
      <c r="BG40" s="112"/>
      <c r="BH40" s="112"/>
      <c r="BI40" s="112"/>
      <c r="BJ40" s="112"/>
    </row>
    <row r="41" spans="2:62" x14ac:dyDescent="0.25">
      <c r="B41" s="8" t="s">
        <v>60</v>
      </c>
      <c r="C41" s="2893" t="s">
        <v>324</v>
      </c>
      <c r="D41" s="7635">
        <f>D42*D$3*24</f>
        <v>966.50517604400875</v>
      </c>
      <c r="E41" s="2993">
        <v>1029.2</v>
      </c>
      <c r="F41" s="5629">
        <f>F42*F$3*24</f>
        <v>1269.7200061214151</v>
      </c>
      <c r="G41" s="2993">
        <v>1077.1399999999994</v>
      </c>
      <c r="H41" s="2884">
        <f t="shared" si="45"/>
        <v>2236.2251821654236</v>
      </c>
      <c r="I41" s="37">
        <f t="shared" si="45"/>
        <v>2106.3399999999992</v>
      </c>
      <c r="J41" s="5763">
        <f>J42*J$3*24</f>
        <v>1232.6908425284214</v>
      </c>
      <c r="K41" s="2993">
        <v>1055.6500000000005</v>
      </c>
      <c r="L41" s="732">
        <f t="shared" si="46"/>
        <v>3468.916024693845</v>
      </c>
      <c r="M41" s="732">
        <f t="shared" si="47"/>
        <v>3161.99</v>
      </c>
      <c r="N41" s="5871">
        <f>N42*N$3*24</f>
        <v>1246.5767788757939</v>
      </c>
      <c r="O41" s="2993">
        <v>1085.1300000000003</v>
      </c>
      <c r="P41" s="733">
        <f t="shared" si="48"/>
        <v>4715.4928035696394</v>
      </c>
      <c r="Q41" s="733">
        <f t="shared" si="49"/>
        <v>4247.12</v>
      </c>
      <c r="R41" s="5975">
        <f>R42*R$3*24</f>
        <v>1246.5767788757939</v>
      </c>
      <c r="S41" s="2993">
        <v>1047.3599999999999</v>
      </c>
      <c r="T41" s="4359">
        <f t="shared" ref="T41" si="232">+P41+R41</f>
        <v>5962.0695824454333</v>
      </c>
      <c r="U41" s="4359">
        <f t="shared" ref="U41" si="233">+Q41+S41</f>
        <v>5294.48</v>
      </c>
      <c r="V41" s="6049">
        <f>V42*V$3*24</f>
        <v>687.77367648686129</v>
      </c>
      <c r="W41" s="2993">
        <v>1043.2</v>
      </c>
      <c r="X41" s="732">
        <f t="shared" si="70"/>
        <v>3180.9272342384493</v>
      </c>
      <c r="Y41" s="732">
        <f t="shared" si="71"/>
        <v>3175.6900000000005</v>
      </c>
      <c r="Z41" s="439">
        <f t="shared" si="52"/>
        <v>6649.8432589322947</v>
      </c>
      <c r="AA41" s="439">
        <f t="shared" si="53"/>
        <v>6337.68</v>
      </c>
      <c r="AB41" s="6179">
        <f>AB42*AB$3*24</f>
        <v>1269.7200061214151</v>
      </c>
      <c r="AC41" s="2993">
        <v>882.3</v>
      </c>
      <c r="AD41" s="2236">
        <f t="shared" ref="AD41" si="234">+Z41+AB41</f>
        <v>7919.56326505371</v>
      </c>
      <c r="AE41" s="2236">
        <f t="shared" ref="AE41" si="235">+AA41+AC41</f>
        <v>7219.9800000000005</v>
      </c>
      <c r="AF41" s="6372">
        <f>AF42*AF$3*24</f>
        <v>1245.945280398244</v>
      </c>
      <c r="AG41" s="2993">
        <v>1009.4</v>
      </c>
      <c r="AH41" s="4652">
        <f t="shared" ref="AH41" si="236">+AD41+AF41</f>
        <v>9165.508545451954</v>
      </c>
      <c r="AI41" s="4652">
        <f t="shared" ref="AI41" si="237">+AE41+AG41</f>
        <v>8229.380000000001</v>
      </c>
      <c r="AJ41" s="6624">
        <f>AJ42*AJ$3*24</f>
        <v>1282.9744439912374</v>
      </c>
      <c r="AK41" s="2993">
        <v>1067.1600000000001</v>
      </c>
      <c r="AL41" s="2553">
        <f t="shared" ref="AL41" si="238">+AJ41+AF41+AB41</f>
        <v>3798.6397305108967</v>
      </c>
      <c r="AM41" s="2553">
        <f t="shared" ref="AM41" si="239">+AK41+AG41+AC41</f>
        <v>2958.8599999999997</v>
      </c>
      <c r="AN41" s="2236">
        <f t="shared" ref="AN41" si="240">+AH41+AJ41</f>
        <v>10448.482989443191</v>
      </c>
      <c r="AO41" s="2236">
        <f t="shared" ref="AO41" si="241">+AI41+AK41</f>
        <v>9296.5400000000009</v>
      </c>
      <c r="AP41" s="6716">
        <f>AP42*AP$3*24</f>
        <v>1288.2345879179118</v>
      </c>
      <c r="AQ41" s="2993">
        <v>1072.1300000000001</v>
      </c>
      <c r="AR41" s="2236">
        <f t="shared" ref="AR41" si="242">+AN41+AP41</f>
        <v>11736.717577361103</v>
      </c>
      <c r="AS41" s="2236">
        <f t="shared" ref="AS41" si="243">+AO41+AQ41</f>
        <v>10368.670000000002</v>
      </c>
      <c r="AT41" s="6861">
        <f>AT42*AT$3*24</f>
        <v>1158.6325153424336</v>
      </c>
      <c r="AU41" s="2993">
        <v>950.14</v>
      </c>
      <c r="AV41" s="5072">
        <f t="shared" ref="AV41" si="244">+AR41+AT41</f>
        <v>12895.350092703537</v>
      </c>
      <c r="AW41" s="5072">
        <f t="shared" ref="AW41" si="245">+AS41+AU41</f>
        <v>11318.810000000001</v>
      </c>
      <c r="AX41" s="7015">
        <f>AX42*AX$3*24</f>
        <v>1288.2345879179118</v>
      </c>
      <c r="AY41" s="2993">
        <v>1039.5999999999999</v>
      </c>
      <c r="AZ41" s="2829">
        <f t="shared" ref="AZ41" si="246">+AX41+AT41+AP41</f>
        <v>3735.1016911782572</v>
      </c>
      <c r="BA41" s="2829">
        <f t="shared" ref="BA41" si="247">+AY41+AU41+AQ41</f>
        <v>3061.87</v>
      </c>
      <c r="BB41" s="2837">
        <f t="shared" si="64"/>
        <v>7533.7414216891539</v>
      </c>
      <c r="BC41" s="2837">
        <f t="shared" si="65"/>
        <v>6020.73</v>
      </c>
      <c r="BD41" s="2236">
        <f t="shared" ref="BD41" si="248">+AV41+AX41</f>
        <v>14183.584680621449</v>
      </c>
      <c r="BE41" s="2236">
        <f t="shared" ref="BE41" si="249">+AW41+AY41</f>
        <v>12358.410000000002</v>
      </c>
      <c r="BF41" s="112"/>
      <c r="BG41" s="112"/>
      <c r="BH41" s="112"/>
      <c r="BI41" s="112"/>
      <c r="BJ41" s="112"/>
    </row>
    <row r="42" spans="2:62" ht="15" hidden="1" customHeight="1" x14ac:dyDescent="0.25">
      <c r="B42" s="8"/>
      <c r="C42" s="2893"/>
      <c r="D42" s="2961">
        <v>1.3423683000611233</v>
      </c>
      <c r="E42" s="3231"/>
      <c r="F42" s="2961">
        <v>1.7066129114535147</v>
      </c>
      <c r="G42" s="3231"/>
      <c r="H42" s="2884"/>
      <c r="I42" s="37"/>
      <c r="J42" s="2961">
        <v>1.7120706146228075</v>
      </c>
      <c r="K42" s="3231"/>
      <c r="L42" s="732"/>
      <c r="M42" s="732"/>
      <c r="N42" s="2961">
        <v>1.6755064232201531</v>
      </c>
      <c r="O42" s="3231"/>
      <c r="P42" s="733"/>
      <c r="Q42" s="733"/>
      <c r="R42" s="2961">
        <v>1.6755064232201531</v>
      </c>
      <c r="S42" s="3231"/>
      <c r="T42" s="4359"/>
      <c r="U42" s="4359"/>
      <c r="V42" s="2961">
        <v>0.95524121734286294</v>
      </c>
      <c r="W42" s="3231"/>
      <c r="X42" s="732"/>
      <c r="Y42" s="732"/>
      <c r="Z42" s="439"/>
      <c r="AA42" s="439"/>
      <c r="AB42" s="2961">
        <v>1.7066129114535147</v>
      </c>
      <c r="AC42" s="3231"/>
      <c r="AD42" s="2236"/>
      <c r="AE42" s="2236"/>
      <c r="AF42" s="2961">
        <v>1.7304795561086721</v>
      </c>
      <c r="AG42" s="3231"/>
      <c r="AH42" s="4652"/>
      <c r="AI42" s="4652"/>
      <c r="AJ42" s="2961">
        <v>1.7244280161172545</v>
      </c>
      <c r="AK42" s="3231"/>
      <c r="AL42" s="2553"/>
      <c r="AM42" s="2553"/>
      <c r="AN42" s="2236"/>
      <c r="AO42" s="2236"/>
      <c r="AP42" s="2961">
        <v>1.731498102040204</v>
      </c>
      <c r="AQ42" s="3231"/>
      <c r="AR42" s="2236"/>
      <c r="AS42" s="2236"/>
      <c r="AT42" s="2961">
        <v>1.7241555287833832</v>
      </c>
      <c r="AU42" s="3231"/>
      <c r="AV42" s="5072"/>
      <c r="AW42" s="5072"/>
      <c r="AX42" s="2961">
        <v>1.731498102040204</v>
      </c>
      <c r="AY42" s="3231"/>
      <c r="AZ42" s="2829"/>
      <c r="BA42" s="2829"/>
      <c r="BB42" s="2827"/>
      <c r="BC42" s="2827"/>
      <c r="BD42" s="2236"/>
      <c r="BE42" s="2236"/>
      <c r="BF42" s="112"/>
      <c r="BG42" s="112"/>
      <c r="BH42" s="112"/>
      <c r="BI42" s="112"/>
      <c r="BJ42" s="112"/>
    </row>
    <row r="43" spans="2:62" ht="16.5" thickBot="1" x14ac:dyDescent="0.3">
      <c r="B43" s="2285" t="s">
        <v>61</v>
      </c>
      <c r="C43" s="3135" t="s">
        <v>324</v>
      </c>
      <c r="D43" s="2287">
        <f>D21+D23+D25+D27+D29+D31+D33+D35+D37+D39+D41</f>
        <v>46138.535939999994</v>
      </c>
      <c r="E43" s="2287">
        <f>E21+E23+E25+E27+E29+E31+E33+E35+E37+E39+E41</f>
        <v>44373.189999999995</v>
      </c>
      <c r="F43" s="2287" t="e">
        <f>F21+F23+F25+#REF!+F27+F29+F31+F33+F35+F37+F39+F41</f>
        <v>#REF!</v>
      </c>
      <c r="G43" s="2287" t="e">
        <f>G21+G23+G25+#REF!+G27+G29+G31+G33+G35+G37+G39+G41</f>
        <v>#REF!</v>
      </c>
      <c r="H43" s="2272" t="e">
        <f>H21+H23+H25+#REF!+H27+H29+H31+H33+H35+H37+H39+H41</f>
        <v>#REF!</v>
      </c>
      <c r="I43" s="1878" t="e">
        <f>I21+I23+I25+#REF!+I27+I29+I31+I33+I35+I37+I39+I41</f>
        <v>#REF!</v>
      </c>
      <c r="J43" s="2287" t="e">
        <f>J21+J23+J25+#REF!+J27+J29+J31+J33+J35+J37+J39+J41</f>
        <v>#REF!</v>
      </c>
      <c r="K43" s="2287" t="e">
        <f>K21+K23+K25+#REF!+K27+K29+K31+K33+K35+K37+K39+K41</f>
        <v>#REF!</v>
      </c>
      <c r="L43" s="749">
        <f>SUM(L21:L41)</f>
        <v>140233.44075999997</v>
      </c>
      <c r="M43" s="749">
        <f>SUM(M21:M41)</f>
        <v>132903.48320027464</v>
      </c>
      <c r="N43" s="2287" t="e">
        <f>N21+N23+N25+#REF!+N27+N29+N31+N33+N35+N37+N39+N41</f>
        <v>#REF!</v>
      </c>
      <c r="O43" s="2287" t="e">
        <f>O21+O23+O25+#REF!+O27+O29+O31+O33+O35+O37+O39+O41</f>
        <v>#REF!</v>
      </c>
      <c r="P43" s="235">
        <f>SUM(P21:P41)</f>
        <v>187722.87954000002</v>
      </c>
      <c r="Q43" s="235">
        <f>SUM(Q21:Q41)</f>
        <v>177557.84379166376</v>
      </c>
      <c r="R43" s="2287" t="e">
        <f>R21+R23+R25+#REF!+R27+R29+R31+R33+R35+R37+R39+R41</f>
        <v>#REF!</v>
      </c>
      <c r="S43" s="2287" t="e">
        <f>S21+S23+S25+#REF!+S27+S29+S31+S33+S35+S37+S39+S41</f>
        <v>#REF!</v>
      </c>
      <c r="T43" s="235">
        <f>SUM(T21:T41)</f>
        <v>235212.31831999999</v>
      </c>
      <c r="U43" s="235">
        <f>SUM(U21:U41)</f>
        <v>221807.90419282424</v>
      </c>
      <c r="V43" s="2287" t="e">
        <f>V21+V23+V25+#REF!+V27+V29+V31+V33+V35+V37+V39+V41</f>
        <v>#REF!</v>
      </c>
      <c r="W43" s="2287" t="e">
        <f>W21+W23+W25+#REF!+W27+W29+W31+W33+W35+W37+W39+W41</f>
        <v>#REF!</v>
      </c>
      <c r="X43" s="749">
        <f>SUM(X21:X41)</f>
        <v>139204.88989000002</v>
      </c>
      <c r="Y43" s="749">
        <f>SUM(Y21:Y41)</f>
        <v>132113.5209925496</v>
      </c>
      <c r="Z43" s="492">
        <f>SUM(Z21:Z41)</f>
        <v>279438.33064999996</v>
      </c>
      <c r="AA43" s="492">
        <f>SUM(AA21:AA41)</f>
        <v>265017.00419282424</v>
      </c>
      <c r="AB43" s="2287" t="e">
        <f>AB21+AB23+AB25+#REF!+AB27+AB29+AB31+AB33+AB35+AB37+AB39+AB41</f>
        <v>#REF!</v>
      </c>
      <c r="AC43" s="2287" t="e">
        <f>AC21+AC23+AC25+#REF!+AC27+AC29+AC31+AC33+AC35+AC37+AC39+AC41</f>
        <v>#REF!</v>
      </c>
      <c r="AD43" s="235">
        <f>SUM(AD21:AD41)</f>
        <v>326927.76942999999</v>
      </c>
      <c r="AE43" s="235">
        <f>SUM(AE21:AE41)</f>
        <v>307220.96419282426</v>
      </c>
      <c r="AF43" s="2287" t="e">
        <f>AF21+AF23+AF25+#REF!+AF27+AF29+AF31+AF33+AF35+AF37+AF39+AF41</f>
        <v>#REF!</v>
      </c>
      <c r="AG43" s="2287" t="e">
        <f>AG21+AG23+AG25+#REF!+AG27+AG29+AG31+AG33+AG35+AG37+AG39+AG41</f>
        <v>#REF!</v>
      </c>
      <c r="AH43" s="235">
        <f>SUM(AH21:AH41)</f>
        <v>372885.29082999995</v>
      </c>
      <c r="AI43" s="235">
        <f>SUM(AI21:AI41)</f>
        <v>349967.20419282425</v>
      </c>
      <c r="AJ43" s="2287" t="e">
        <f>AJ21+AJ23+AJ25+#REF!+AJ27+AJ29+AJ31+AJ33+AJ35+AJ37+AJ39+AJ41</f>
        <v>#REF!</v>
      </c>
      <c r="AK43" s="2287" t="e">
        <f>AK21+AK23+AK25+#REF!+AK27+AK29+AK31+AK33+AK35+AK37+AK39+AK41</f>
        <v>#REF!</v>
      </c>
      <c r="AL43" s="749">
        <f>SUM(AL21:AL41)</f>
        <v>140936.39895999996</v>
      </c>
      <c r="AM43" s="749">
        <f>SUM(AM21:AM41)</f>
        <v>128275.04443213895</v>
      </c>
      <c r="AN43" s="235">
        <f>SUM(AN21:AN41)</f>
        <v>420374.72960999998</v>
      </c>
      <c r="AO43" s="235">
        <f>SUM(AO21:AO41)</f>
        <v>393292.04862496327</v>
      </c>
      <c r="AP43" s="2287" t="e">
        <f>AP21+AP23+AP25+#REF!+AP27+AP29+AP31+AP33+AP35+AP37+AP39+AP41</f>
        <v>#REF!</v>
      </c>
      <c r="AQ43" s="2287" t="e">
        <f>AQ21+AQ23+AQ25+#REF!+AQ27+AQ29+AQ31+AQ33+AQ35+AQ37+AQ39+AQ41</f>
        <v>#REF!</v>
      </c>
      <c r="AR43" s="235">
        <f>SUM(AR21:AR41)</f>
        <v>467864.16838999995</v>
      </c>
      <c r="AS43" s="235">
        <f>SUM(AS21:AS41)</f>
        <v>435892.90862496319</v>
      </c>
      <c r="AT43" s="2287" t="e">
        <f>AT21+AT23+AT25+#REF!+AT27+AT29+AT31+AT33+AT35+AT37+AT39+AT41</f>
        <v>#REF!</v>
      </c>
      <c r="AU43" s="2287" t="e">
        <f>AU21+AU23+AU25+#REF!+AU27+AU29+AU31+AU33+AU35+AU37+AU39+AU41</f>
        <v>#REF!</v>
      </c>
      <c r="AV43" s="235">
        <f>SUM(AV21:AV41)</f>
        <v>510757.85503000004</v>
      </c>
      <c r="AW43" s="235">
        <f>SUM(AW21:AW41)</f>
        <v>474795.72862496326</v>
      </c>
      <c r="AX43" s="2287" t="e">
        <f>AX21+AX23+AX25+#REF!+AX27+AX29+AX31+AX33+AX35+AX37+AX39+AX41</f>
        <v>#REF!</v>
      </c>
      <c r="AY43" s="2287" t="e">
        <f>AY21+AY23+AY25+#REF!+AY27+AY29+AY31+AY33+AY35+AY37+AY39+AY41</f>
        <v>#REF!</v>
      </c>
      <c r="AZ43" s="749">
        <f t="shared" ref="AZ43:BE43" si="250">SUM(AZ21:AZ41)</f>
        <v>137872.56419999999</v>
      </c>
      <c r="BA43" s="749">
        <f t="shared" si="250"/>
        <v>126807.63999999997</v>
      </c>
      <c r="BB43" s="492">
        <f t="shared" si="250"/>
        <v>278808.96315999993</v>
      </c>
      <c r="BC43" s="492">
        <f t="shared" si="250"/>
        <v>255082.68443213895</v>
      </c>
      <c r="BD43" s="235">
        <f t="shared" si="250"/>
        <v>558247.29380999994</v>
      </c>
      <c r="BE43" s="235">
        <f t="shared" si="250"/>
        <v>520099.68862496305</v>
      </c>
      <c r="BF43" s="112"/>
      <c r="BG43" s="112"/>
      <c r="BH43" s="112"/>
      <c r="BI43" s="112"/>
      <c r="BJ43" s="112"/>
    </row>
    <row r="44" spans="2:62" ht="20.25" x14ac:dyDescent="0.25">
      <c r="B44" s="3255" t="s">
        <v>127</v>
      </c>
      <c r="C44" s="3256"/>
      <c r="D44" s="3257"/>
      <c r="E44" s="3256"/>
      <c r="F44" s="3257"/>
      <c r="G44" s="3256"/>
      <c r="H44" s="3256"/>
      <c r="I44" s="3258"/>
      <c r="J44" s="3257"/>
      <c r="K44" s="3256"/>
      <c r="L44" s="946"/>
      <c r="M44" s="946"/>
      <c r="N44" s="3257"/>
      <c r="O44" s="3256"/>
      <c r="P44" s="946"/>
      <c r="Q44" s="946"/>
      <c r="R44" s="3257"/>
      <c r="S44" s="3256"/>
      <c r="T44" s="946"/>
      <c r="U44" s="946"/>
      <c r="V44" s="3257"/>
      <c r="W44" s="3256"/>
      <c r="X44" s="946"/>
      <c r="Y44" s="946"/>
      <c r="Z44" s="946"/>
      <c r="AA44" s="946"/>
      <c r="AB44" s="3257"/>
      <c r="AC44" s="3256"/>
      <c r="AD44" s="946"/>
      <c r="AE44" s="946"/>
      <c r="AF44" s="3257"/>
      <c r="AG44" s="3256"/>
      <c r="AH44" s="946"/>
      <c r="AI44" s="946"/>
      <c r="AJ44" s="3257"/>
      <c r="AK44" s="3256"/>
      <c r="AL44" s="946"/>
      <c r="AM44" s="946"/>
      <c r="AN44" s="946"/>
      <c r="AO44" s="946"/>
      <c r="AP44" s="3257"/>
      <c r="AQ44" s="3256"/>
      <c r="AR44" s="946"/>
      <c r="AS44" s="946"/>
      <c r="AT44" s="3257"/>
      <c r="AU44" s="3256"/>
      <c r="AV44" s="946"/>
      <c r="AW44" s="946"/>
      <c r="AX44" s="3257"/>
      <c r="AY44" s="3256"/>
      <c r="AZ44" s="946"/>
      <c r="BA44" s="946"/>
      <c r="BB44" s="946"/>
      <c r="BC44" s="946"/>
      <c r="BD44" s="946"/>
      <c r="BE44" s="946"/>
      <c r="BF44" s="112"/>
      <c r="BG44" s="112"/>
      <c r="BH44" s="112"/>
      <c r="BI44" s="112"/>
      <c r="BJ44" s="112"/>
    </row>
    <row r="45" spans="2:62" x14ac:dyDescent="0.25">
      <c r="B45" s="3222" t="s">
        <v>328</v>
      </c>
      <c r="C45" s="2893" t="s">
        <v>327</v>
      </c>
      <c r="D45" s="3239">
        <v>885</v>
      </c>
      <c r="E45" s="7636">
        <v>902.11</v>
      </c>
      <c r="F45" s="3239">
        <v>880</v>
      </c>
      <c r="G45" s="5630">
        <v>916.02929177382873</v>
      </c>
      <c r="H45" s="3259">
        <v>880</v>
      </c>
      <c r="I45" s="37">
        <f>+((E45*E49*E3)+(G3*G49*G45))/(I49*I3)</f>
        <v>909.25611729363607</v>
      </c>
      <c r="J45" s="3239">
        <v>880</v>
      </c>
      <c r="K45" s="5766">
        <v>917.31854372983719</v>
      </c>
      <c r="L45" s="891">
        <v>880</v>
      </c>
      <c r="M45" s="732">
        <f>+((I45*I49*I3)+(K3*K49*K45))/(M49*M3)</f>
        <v>911.99762500269821</v>
      </c>
      <c r="N45" s="3239">
        <v>880</v>
      </c>
      <c r="O45" s="5872">
        <v>912.75170296611168</v>
      </c>
      <c r="P45" s="558">
        <v>880</v>
      </c>
      <c r="Q45" s="733">
        <f>+((M45*M49*M3)+(O3*O49*O45))/(Q49*Q3)</f>
        <v>912.19578003230242</v>
      </c>
      <c r="R45" s="3239">
        <v>880</v>
      </c>
      <c r="S45" s="5976">
        <v>916.48533097577422</v>
      </c>
      <c r="T45" s="4360">
        <v>880</v>
      </c>
      <c r="U45" s="4359">
        <f>+((Q45*Q49*Q3)+(S3*S49*S45))/(U49*U3)</f>
        <v>913.06079137081383</v>
      </c>
      <c r="V45" s="3239">
        <v>880</v>
      </c>
      <c r="W45" s="6050">
        <v>917.97</v>
      </c>
      <c r="X45" s="891">
        <v>880</v>
      </c>
      <c r="Y45" s="732">
        <f>+((O45*O49*O3)+(S45*S49*S3)+(W3*W49*W45))/(Y49*Y3)</f>
        <v>915.68271803992684</v>
      </c>
      <c r="Z45" s="439">
        <v>880</v>
      </c>
      <c r="AA45" s="439">
        <f>+((M45*M49*M3)+(Y3*Y49*Y45))/(AA49*AA3)</f>
        <v>913.87239735427374</v>
      </c>
      <c r="AB45" s="3239">
        <v>880</v>
      </c>
      <c r="AC45" s="6180">
        <v>918.08</v>
      </c>
      <c r="AD45" s="558">
        <v>880</v>
      </c>
      <c r="AE45" s="2236">
        <f>+((AA45*AA49*AA3)+(AC3*AC49*AC45))/(AE49*AE3)</f>
        <v>914.39035323592748</v>
      </c>
      <c r="AF45" s="3239">
        <v>880</v>
      </c>
      <c r="AG45" s="6373">
        <v>918.94</v>
      </c>
      <c r="AH45" s="4651">
        <v>880</v>
      </c>
      <c r="AI45" s="4652">
        <f>+((AE45*AE49*AE3)+(AG3*AG49*AG45))/(AI49*AI3)</f>
        <v>914.94569204435174</v>
      </c>
      <c r="AJ45" s="3239">
        <v>880</v>
      </c>
      <c r="AK45" s="6625">
        <v>920.70876709190111</v>
      </c>
      <c r="AL45" s="891">
        <v>880</v>
      </c>
      <c r="AM45" s="2553">
        <f>+((AC45*AC49*AC3)+(AG45*AG49*AG3)+(AK3*AK49*AK45))/(AM49*AM3)</f>
        <v>919.31388092308191</v>
      </c>
      <c r="AN45" s="558">
        <v>880</v>
      </c>
      <c r="AO45" s="2236">
        <f>+((AI45*AI49*AI3)+(AK3*AK49*AK45))/(AO49*AO3)</f>
        <v>915.60109239931705</v>
      </c>
      <c r="AP45" s="3239">
        <v>880</v>
      </c>
      <c r="AQ45" s="6717">
        <v>914.9</v>
      </c>
      <c r="AR45" s="558">
        <v>880</v>
      </c>
      <c r="AS45" s="2236">
        <f>+((AO45*AO49*AO3)+(AQ3*AQ49*AQ45))/(AS49*AS3)</f>
        <v>915.52929021097304</v>
      </c>
      <c r="AT45" s="3239">
        <v>880</v>
      </c>
      <c r="AU45" s="6862">
        <v>881.55</v>
      </c>
      <c r="AV45" s="5071">
        <v>880</v>
      </c>
      <c r="AW45" s="5072">
        <f>+((AS45*AS49*AS3)+(AU3*AU49*AU45))/(AW49*AW3)</f>
        <v>912.68058287634665</v>
      </c>
      <c r="AX45" s="3239">
        <v>880</v>
      </c>
      <c r="AY45" s="7016">
        <v>896.25</v>
      </c>
      <c r="AZ45" s="891">
        <v>880</v>
      </c>
      <c r="BA45" s="2829">
        <f>+((AQ45*AQ49*AQ3)+(AU45*AU49*AU3)+(AY3*AY49*AY45))/(BA49*BA3)</f>
        <v>898.17189277526677</v>
      </c>
      <c r="BB45" s="2827">
        <v>880</v>
      </c>
      <c r="BC45" s="2827">
        <f>+((AM45*AM49*AM3)+(BA3*BA49*BA45))/(BC49*BC3)</f>
        <v>908.58302098800482</v>
      </c>
      <c r="BD45" s="558">
        <v>880</v>
      </c>
      <c r="BE45" s="2236">
        <f>+((AW45*AW49*AW3)+(AY3*AY49*AY45))/(BE49*BE3)</f>
        <v>911.30178157263606</v>
      </c>
      <c r="BF45" s="112"/>
      <c r="BG45" s="112"/>
      <c r="BH45" s="112"/>
      <c r="BI45" s="112"/>
      <c r="BJ45" s="112"/>
    </row>
    <row r="46" spans="2:62" x14ac:dyDescent="0.25">
      <c r="B46" s="3222" t="s">
        <v>334</v>
      </c>
      <c r="C46" s="2893" t="s">
        <v>324</v>
      </c>
      <c r="D46" s="7635">
        <f>D47*D$3*24</f>
        <v>315120</v>
      </c>
      <c r="E46" s="7636">
        <v>363942.08</v>
      </c>
      <c r="F46" s="5629">
        <f>F47*F$3*24</f>
        <v>401700.00000000012</v>
      </c>
      <c r="G46" s="5630">
        <v>383981.3664</v>
      </c>
      <c r="H46" s="2884">
        <f>+D46+F46</f>
        <v>716820.00000000012</v>
      </c>
      <c r="I46" s="37">
        <f>+E46+G46</f>
        <v>747923.44640000002</v>
      </c>
      <c r="J46" s="5763">
        <f>J47*J$3*24</f>
        <v>388080</v>
      </c>
      <c r="K46" s="5766">
        <v>385354.10879999999</v>
      </c>
      <c r="L46" s="732">
        <f>+H46+J46</f>
        <v>1104900</v>
      </c>
      <c r="M46" s="732">
        <f>+I46+K46</f>
        <v>1133277.5552000001</v>
      </c>
      <c r="N46" s="5871">
        <f>N47*N$3*24</f>
        <v>397800</v>
      </c>
      <c r="O46" s="5872">
        <v>403949.24160000007</v>
      </c>
      <c r="P46" s="733">
        <f>+L46+N46</f>
        <v>1502700</v>
      </c>
      <c r="Q46" s="733">
        <f>+M46+O46</f>
        <v>1537226.7968000001</v>
      </c>
      <c r="R46" s="5975">
        <f>R47*R$3*24</f>
        <v>395250</v>
      </c>
      <c r="S46" s="5976">
        <v>388291.20479999995</v>
      </c>
      <c r="T46" s="4359">
        <f>+P46+R46</f>
        <v>1897950</v>
      </c>
      <c r="U46" s="4359">
        <f>+Q46+S46</f>
        <v>1925518.0016000001</v>
      </c>
      <c r="V46" s="6049">
        <f>V47*V$3*24</f>
        <v>217000</v>
      </c>
      <c r="W46" s="6050">
        <v>381384.45</v>
      </c>
      <c r="X46" s="732">
        <f>+V46+R46+N46</f>
        <v>1010050</v>
      </c>
      <c r="Y46" s="732">
        <f>+W46+S46+O46</f>
        <v>1173624.8964</v>
      </c>
      <c r="Z46" s="439">
        <f>+L46+X46</f>
        <v>2114950</v>
      </c>
      <c r="AA46" s="439">
        <f>+Y46+M46</f>
        <v>2306902.4516000003</v>
      </c>
      <c r="AB46" s="6179">
        <f>AB47*AB$3*24</f>
        <v>400400.00000000006</v>
      </c>
      <c r="AC46" s="6180">
        <v>323845.01</v>
      </c>
      <c r="AD46" s="2236">
        <f>+Z46+AB46</f>
        <v>2515350</v>
      </c>
      <c r="AE46" s="2236">
        <f>+AA46+AC46</f>
        <v>2630747.4616</v>
      </c>
      <c r="AF46" s="6372">
        <f>AF47*AF$3*24</f>
        <v>388080</v>
      </c>
      <c r="AG46" s="6373">
        <v>365759.52</v>
      </c>
      <c r="AH46" s="4652">
        <f>+AD46+AF46</f>
        <v>2903430</v>
      </c>
      <c r="AI46" s="4652">
        <f>+AE46+AG46</f>
        <v>2996506.9816000001</v>
      </c>
      <c r="AJ46" s="6624">
        <f>AJ47*AJ$3*24</f>
        <v>400400.00000000006</v>
      </c>
      <c r="AK46" s="6625">
        <v>384502.11840000004</v>
      </c>
      <c r="AL46" s="2553">
        <f>+AJ46+AF46+AB46</f>
        <v>1188880</v>
      </c>
      <c r="AM46" s="2553">
        <f>+AK46+AG46+AC46</f>
        <v>1074106.6484000001</v>
      </c>
      <c r="AN46" s="2236">
        <f>+AH46+AJ46</f>
        <v>3303830</v>
      </c>
      <c r="AO46" s="2236">
        <f>+AI46+AK46</f>
        <v>3381009.1</v>
      </c>
      <c r="AP46" s="6716">
        <f>AP47*AP$3*24</f>
        <v>401280</v>
      </c>
      <c r="AQ46" s="6717">
        <v>385774.08000000002</v>
      </c>
      <c r="AR46" s="2236">
        <f>+AN46+AP46</f>
        <v>3705110</v>
      </c>
      <c r="AS46" s="2236">
        <f>+AO46+AQ46</f>
        <v>3766783.18</v>
      </c>
      <c r="AT46" s="6861">
        <f>AT47*AT$3*24</f>
        <v>362260</v>
      </c>
      <c r="AU46" s="6862">
        <v>344692</v>
      </c>
      <c r="AV46" s="5072">
        <f>+AR46+AT46</f>
        <v>4067370</v>
      </c>
      <c r="AW46" s="5072">
        <f>+AS46+AU46</f>
        <v>4111475.18</v>
      </c>
      <c r="AX46" s="7015">
        <f>AX47*AX$3*24</f>
        <v>401280</v>
      </c>
      <c r="AY46" s="7016">
        <v>376627</v>
      </c>
      <c r="AZ46" s="2829">
        <f>+AX46+AT46+AP46</f>
        <v>1164820</v>
      </c>
      <c r="BA46" s="2829">
        <f>+AY46+AU46+AQ46</f>
        <v>1107093.08</v>
      </c>
      <c r="BB46" s="2837">
        <f t="shared" ref="BB46" si="251">+AL46+AZ46</f>
        <v>2353700</v>
      </c>
      <c r="BC46" s="2837">
        <f t="shared" ref="BC46" si="252">+AM46+BA46</f>
        <v>2181199.7284000004</v>
      </c>
      <c r="BD46" s="2236">
        <f>+AV46+AX46</f>
        <v>4468650</v>
      </c>
      <c r="BE46" s="2236">
        <f>+AW46+AY46</f>
        <v>4488102.18</v>
      </c>
      <c r="BF46" s="112"/>
      <c r="BG46" s="112"/>
      <c r="BH46" s="112"/>
      <c r="BI46" s="112"/>
      <c r="BJ46" s="112"/>
    </row>
    <row r="47" spans="2:62" ht="15" hidden="1" customHeight="1" x14ac:dyDescent="0.25">
      <c r="B47" s="3222"/>
      <c r="C47" s="2893"/>
      <c r="D47" s="7635">
        <v>437.66666666666669</v>
      </c>
      <c r="E47" s="7636"/>
      <c r="F47" s="5629">
        <v>539.91935483870975</v>
      </c>
      <c r="G47" s="5630"/>
      <c r="H47" s="2884"/>
      <c r="I47" s="37"/>
      <c r="J47" s="5763">
        <v>539</v>
      </c>
      <c r="K47" s="5766"/>
      <c r="L47" s="732"/>
      <c r="M47" s="732"/>
      <c r="N47" s="5871">
        <v>534.67741935483866</v>
      </c>
      <c r="O47" s="5872"/>
      <c r="P47" s="733"/>
      <c r="Q47" s="733"/>
      <c r="R47" s="5975">
        <v>531.25</v>
      </c>
      <c r="S47" s="5976"/>
      <c r="T47" s="4359"/>
      <c r="U47" s="4359"/>
      <c r="V47" s="6049">
        <v>301.38888888888886</v>
      </c>
      <c r="W47" s="6050"/>
      <c r="X47" s="732"/>
      <c r="Y47" s="732"/>
      <c r="Z47" s="439"/>
      <c r="AA47" s="439"/>
      <c r="AB47" s="6179">
        <v>538.17204301075276</v>
      </c>
      <c r="AC47" s="6180"/>
      <c r="AD47" s="2236"/>
      <c r="AE47" s="2236"/>
      <c r="AF47" s="6372">
        <v>539</v>
      </c>
      <c r="AG47" s="6373"/>
      <c r="AH47" s="4652"/>
      <c r="AI47" s="4652"/>
      <c r="AJ47" s="6624">
        <v>538.17204301075276</v>
      </c>
      <c r="AK47" s="6625"/>
      <c r="AL47" s="2553"/>
      <c r="AM47" s="2553"/>
      <c r="AN47" s="2236"/>
      <c r="AO47" s="2236"/>
      <c r="AP47" s="6716">
        <v>539.35483870967744</v>
      </c>
      <c r="AQ47" s="6717"/>
      <c r="AR47" s="2236"/>
      <c r="AS47" s="2236"/>
      <c r="AT47" s="6861">
        <v>539.07738095238096</v>
      </c>
      <c r="AU47" s="6862"/>
      <c r="AV47" s="5072"/>
      <c r="AW47" s="5072"/>
      <c r="AX47" s="7015">
        <v>539.35483870967744</v>
      </c>
      <c r="AY47" s="7016"/>
      <c r="AZ47" s="2829"/>
      <c r="BA47" s="2829"/>
      <c r="BB47" s="2827"/>
      <c r="BC47" s="2827"/>
      <c r="BD47" s="2236"/>
      <c r="BE47" s="2236"/>
      <c r="BF47" s="112"/>
      <c r="BG47" s="112"/>
      <c r="BH47" s="112"/>
      <c r="BI47" s="112"/>
      <c r="BJ47" s="112"/>
    </row>
    <row r="48" spans="2:62" ht="18.75" x14ac:dyDescent="0.25">
      <c r="B48" s="3260" t="s">
        <v>331</v>
      </c>
      <c r="C48" s="3251" t="s">
        <v>324</v>
      </c>
      <c r="D48" s="2895">
        <f t="shared" ref="D48:E48" si="253">SUM(D46)</f>
        <v>315120</v>
      </c>
      <c r="E48" s="3261">
        <f t="shared" si="253"/>
        <v>363942.08</v>
      </c>
      <c r="F48" s="2895">
        <f t="shared" ref="F48:G48" si="254">SUM(F46)</f>
        <v>401700.00000000012</v>
      </c>
      <c r="G48" s="3261">
        <f t="shared" si="254"/>
        <v>383981.3664</v>
      </c>
      <c r="H48" s="3253">
        <f t="shared" ref="H48:K48" si="255">SUM(H46)</f>
        <v>716820.00000000012</v>
      </c>
      <c r="I48" s="1578">
        <f t="shared" si="255"/>
        <v>747923.44640000002</v>
      </c>
      <c r="J48" s="2895">
        <f t="shared" si="255"/>
        <v>388080</v>
      </c>
      <c r="K48" s="3261">
        <f t="shared" si="255"/>
        <v>385354.10879999999</v>
      </c>
      <c r="L48" s="617">
        <f t="shared" ref="L48:Q48" si="256">SUM(L46)</f>
        <v>1104900</v>
      </c>
      <c r="M48" s="617">
        <f t="shared" si="256"/>
        <v>1133277.5552000001</v>
      </c>
      <c r="N48" s="2895">
        <f t="shared" si="256"/>
        <v>397800</v>
      </c>
      <c r="O48" s="3261">
        <f t="shared" si="256"/>
        <v>403949.24160000007</v>
      </c>
      <c r="P48" s="616">
        <f t="shared" si="256"/>
        <v>1502700</v>
      </c>
      <c r="Q48" s="616">
        <f t="shared" si="256"/>
        <v>1537226.7968000001</v>
      </c>
      <c r="R48" s="2895">
        <f t="shared" ref="R48:S48" si="257">SUM(R46)</f>
        <v>395250</v>
      </c>
      <c r="S48" s="3261">
        <f t="shared" si="257"/>
        <v>388291.20479999995</v>
      </c>
      <c r="T48" s="3402">
        <f t="shared" ref="T48:W48" si="258">SUM(T46)</f>
        <v>1897950</v>
      </c>
      <c r="U48" s="3402">
        <f t="shared" si="258"/>
        <v>1925518.0016000001</v>
      </c>
      <c r="V48" s="2895">
        <f t="shared" si="258"/>
        <v>217000</v>
      </c>
      <c r="W48" s="3261">
        <f t="shared" si="258"/>
        <v>381384.45</v>
      </c>
      <c r="X48" s="617">
        <f t="shared" ref="X48:AE48" si="259">SUM(X46)</f>
        <v>1010050</v>
      </c>
      <c r="Y48" s="617">
        <f t="shared" si="259"/>
        <v>1173624.8964</v>
      </c>
      <c r="Z48" s="618">
        <f t="shared" si="259"/>
        <v>2114950</v>
      </c>
      <c r="AA48" s="618">
        <f t="shared" si="259"/>
        <v>2306902.4516000003</v>
      </c>
      <c r="AB48" s="2895">
        <f t="shared" si="259"/>
        <v>400400.00000000006</v>
      </c>
      <c r="AC48" s="3261">
        <f t="shared" si="259"/>
        <v>323845.01</v>
      </c>
      <c r="AD48" s="2451">
        <f t="shared" si="259"/>
        <v>2515350</v>
      </c>
      <c r="AE48" s="2451">
        <f t="shared" si="259"/>
        <v>2630747.4616</v>
      </c>
      <c r="AF48" s="2895">
        <f t="shared" ref="AF48:AG48" si="260">SUM(AF46)</f>
        <v>388080</v>
      </c>
      <c r="AG48" s="3261">
        <f t="shared" si="260"/>
        <v>365759.52</v>
      </c>
      <c r="AH48" s="3402">
        <f t="shared" ref="AH48:AK48" si="261">SUM(AH46)</f>
        <v>2903430</v>
      </c>
      <c r="AI48" s="3402">
        <f t="shared" si="261"/>
        <v>2996506.9816000001</v>
      </c>
      <c r="AJ48" s="2895">
        <f t="shared" si="261"/>
        <v>400400.00000000006</v>
      </c>
      <c r="AK48" s="3261">
        <f t="shared" si="261"/>
        <v>384502.11840000004</v>
      </c>
      <c r="AL48" s="2555">
        <f t="shared" ref="AL48:AQ48" si="262">SUM(AL46)</f>
        <v>1188880</v>
      </c>
      <c r="AM48" s="2555">
        <f t="shared" si="262"/>
        <v>1074106.6484000001</v>
      </c>
      <c r="AN48" s="2554">
        <f t="shared" si="262"/>
        <v>3303830</v>
      </c>
      <c r="AO48" s="2554">
        <f t="shared" si="262"/>
        <v>3381009.1</v>
      </c>
      <c r="AP48" s="2895">
        <f t="shared" si="262"/>
        <v>401280</v>
      </c>
      <c r="AQ48" s="3261">
        <f t="shared" si="262"/>
        <v>385774.08000000002</v>
      </c>
      <c r="AR48" s="2613">
        <f t="shared" ref="AR48:AU48" si="263">SUM(AR46)</f>
        <v>3705110</v>
      </c>
      <c r="AS48" s="2613">
        <f t="shared" si="263"/>
        <v>3766783.18</v>
      </c>
      <c r="AT48" s="2895">
        <f t="shared" si="263"/>
        <v>362260</v>
      </c>
      <c r="AU48" s="3261">
        <f t="shared" si="263"/>
        <v>344692</v>
      </c>
      <c r="AV48" s="3402">
        <f t="shared" ref="AV48:AY48" si="264">SUM(AV46)</f>
        <v>4067370</v>
      </c>
      <c r="AW48" s="3402">
        <f t="shared" si="264"/>
        <v>4111475.18</v>
      </c>
      <c r="AX48" s="2895">
        <f t="shared" si="264"/>
        <v>401280</v>
      </c>
      <c r="AY48" s="3261">
        <f t="shared" si="264"/>
        <v>376627</v>
      </c>
      <c r="AZ48" s="2831">
        <f t="shared" ref="AZ48:BE48" si="265">SUM(AZ46)</f>
        <v>1164820</v>
      </c>
      <c r="BA48" s="2831">
        <f t="shared" si="265"/>
        <v>1107093.08</v>
      </c>
      <c r="BB48" s="618">
        <f t="shared" si="265"/>
        <v>2353700</v>
      </c>
      <c r="BC48" s="618">
        <f t="shared" si="265"/>
        <v>2181199.7284000004</v>
      </c>
      <c r="BD48" s="2830">
        <f t="shared" si="265"/>
        <v>4468650</v>
      </c>
      <c r="BE48" s="2830">
        <f t="shared" si="265"/>
        <v>4488102.18</v>
      </c>
      <c r="BF48" s="112"/>
      <c r="BG48" s="112"/>
      <c r="BH48" s="112"/>
      <c r="BI48" s="112"/>
      <c r="BJ48" s="112"/>
    </row>
    <row r="49" spans="2:62" ht="15.75" x14ac:dyDescent="0.25">
      <c r="B49" s="3262" t="s">
        <v>332</v>
      </c>
      <c r="C49" s="3263" t="s">
        <v>326</v>
      </c>
      <c r="D49" s="3268">
        <f t="shared" ref="D49:AI49" si="266">+D48/(D3*24)</f>
        <v>437.66666666666669</v>
      </c>
      <c r="E49" s="3264">
        <f t="shared" si="266"/>
        <v>505.47511111111112</v>
      </c>
      <c r="F49" s="3245">
        <f t="shared" si="266"/>
        <v>539.91935483870986</v>
      </c>
      <c r="G49" s="3264">
        <f t="shared" si="266"/>
        <v>516.10398709677418</v>
      </c>
      <c r="H49" s="3247">
        <f t="shared" si="266"/>
        <v>489.6311475409837</v>
      </c>
      <c r="I49" s="1745">
        <f t="shared" si="266"/>
        <v>510.8766710382514</v>
      </c>
      <c r="J49" s="3245">
        <f t="shared" si="266"/>
        <v>539</v>
      </c>
      <c r="K49" s="3264">
        <f t="shared" si="266"/>
        <v>535.21403999999995</v>
      </c>
      <c r="L49" s="764">
        <f t="shared" si="266"/>
        <v>505.9065934065934</v>
      </c>
      <c r="M49" s="764">
        <f t="shared" si="266"/>
        <v>518.89997948717951</v>
      </c>
      <c r="N49" s="3245">
        <f t="shared" si="266"/>
        <v>534.67741935483866</v>
      </c>
      <c r="O49" s="3264">
        <f t="shared" si="266"/>
        <v>542.94252903225811</v>
      </c>
      <c r="P49" s="763">
        <f t="shared" si="266"/>
        <v>513.21721311475414</v>
      </c>
      <c r="Q49" s="763">
        <f t="shared" si="266"/>
        <v>525.00915191256831</v>
      </c>
      <c r="R49" s="3245">
        <f t="shared" si="266"/>
        <v>531.25</v>
      </c>
      <c r="S49" s="3264">
        <f t="shared" si="266"/>
        <v>521.89678064516124</v>
      </c>
      <c r="T49" s="763">
        <f t="shared" si="266"/>
        <v>516.8709150326797</v>
      </c>
      <c r="U49" s="763">
        <f t="shared" si="266"/>
        <v>524.37854074074073</v>
      </c>
      <c r="V49" s="3245">
        <f t="shared" si="266"/>
        <v>301.38888888888891</v>
      </c>
      <c r="W49" s="3264">
        <f t="shared" si="266"/>
        <v>529.70062500000006</v>
      </c>
      <c r="X49" s="764">
        <f t="shared" si="266"/>
        <v>457.45018115942031</v>
      </c>
      <c r="Y49" s="764">
        <f t="shared" si="266"/>
        <v>531.53301467391304</v>
      </c>
      <c r="Z49" s="765">
        <f t="shared" si="266"/>
        <v>481.54599271402549</v>
      </c>
      <c r="AA49" s="765">
        <f t="shared" si="266"/>
        <v>525.25101357012761</v>
      </c>
      <c r="AB49" s="3245">
        <f t="shared" si="266"/>
        <v>538.17204301075276</v>
      </c>
      <c r="AC49" s="3264">
        <f t="shared" si="266"/>
        <v>435.27555107526882</v>
      </c>
      <c r="AD49" s="763">
        <f t="shared" si="266"/>
        <v>489.74883177570092</v>
      </c>
      <c r="AE49" s="763">
        <f t="shared" si="266"/>
        <v>512.21718489096577</v>
      </c>
      <c r="AF49" s="3245">
        <f t="shared" si="266"/>
        <v>539</v>
      </c>
      <c r="AG49" s="3264">
        <f t="shared" si="266"/>
        <v>507.99933333333337</v>
      </c>
      <c r="AH49" s="763">
        <f t="shared" si="266"/>
        <v>495.80430327868851</v>
      </c>
      <c r="AI49" s="763">
        <f t="shared" si="266"/>
        <v>511.69859658469949</v>
      </c>
      <c r="AJ49" s="3245">
        <f t="shared" ref="AJ49:BE49" si="267">+AJ48/(AJ3*24)</f>
        <v>538.17204301075276</v>
      </c>
      <c r="AK49" s="3264">
        <f t="shared" si="267"/>
        <v>516.80392258064524</v>
      </c>
      <c r="AL49" s="764">
        <f t="shared" si="267"/>
        <v>538.44202898550725</v>
      </c>
      <c r="AM49" s="764">
        <f t="shared" si="267"/>
        <v>486.46134438405801</v>
      </c>
      <c r="AN49" s="763">
        <f t="shared" si="267"/>
        <v>500.58030303030301</v>
      </c>
      <c r="AO49" s="763">
        <f t="shared" si="267"/>
        <v>512.27410606060607</v>
      </c>
      <c r="AP49" s="3245">
        <f t="shared" si="267"/>
        <v>539.35483870967744</v>
      </c>
      <c r="AQ49" s="3264">
        <f t="shared" si="267"/>
        <v>518.51354838709676</v>
      </c>
      <c r="AR49" s="763">
        <f t="shared" si="267"/>
        <v>504.50844226579522</v>
      </c>
      <c r="AS49" s="763">
        <f t="shared" si="267"/>
        <v>512.90620642701526</v>
      </c>
      <c r="AT49" s="3245">
        <f t="shared" si="267"/>
        <v>539.07738095238096</v>
      </c>
      <c r="AU49" s="3264">
        <f t="shared" si="267"/>
        <v>512.93452380952385</v>
      </c>
      <c r="AV49" s="763">
        <f t="shared" si="267"/>
        <v>507.40643712574848</v>
      </c>
      <c r="AW49" s="763">
        <f t="shared" si="267"/>
        <v>512.90858033932136</v>
      </c>
      <c r="AX49" s="3245">
        <f t="shared" si="267"/>
        <v>539.35483870967744</v>
      </c>
      <c r="AY49" s="3264">
        <f t="shared" si="267"/>
        <v>506.2190860215054</v>
      </c>
      <c r="AZ49" s="764">
        <f t="shared" si="267"/>
        <v>539.26851851851848</v>
      </c>
      <c r="BA49" s="764">
        <f t="shared" si="267"/>
        <v>512.54309259259264</v>
      </c>
      <c r="BB49" s="765">
        <f t="shared" si="267"/>
        <v>538.85073260073261</v>
      </c>
      <c r="BC49" s="765">
        <f t="shared" si="267"/>
        <v>499.35891217948728</v>
      </c>
      <c r="BD49" s="763">
        <f t="shared" si="267"/>
        <v>510.11986301369865</v>
      </c>
      <c r="BE49" s="763">
        <f t="shared" si="267"/>
        <v>512.34043150684931</v>
      </c>
      <c r="BF49" s="112"/>
      <c r="BG49" s="112"/>
      <c r="BH49" s="112"/>
      <c r="BI49" s="112"/>
      <c r="BJ49" s="112"/>
    </row>
    <row r="50" spans="2:62" ht="15.75" x14ac:dyDescent="0.25">
      <c r="B50" s="3265" t="s">
        <v>54</v>
      </c>
      <c r="C50" s="3131" t="s">
        <v>324</v>
      </c>
      <c r="D50" s="7635">
        <f>D51*D$3*24</f>
        <v>3600</v>
      </c>
      <c r="E50" s="2907">
        <v>1738.59</v>
      </c>
      <c r="F50" s="5629">
        <f>F51*F$3*24</f>
        <v>3720</v>
      </c>
      <c r="G50" s="2907">
        <v>3791.466625819447</v>
      </c>
      <c r="H50" s="2884">
        <f>+D50+F50</f>
        <v>7320</v>
      </c>
      <c r="I50" s="37">
        <f>+E50+G50</f>
        <v>5530.0566258194467</v>
      </c>
      <c r="J50" s="5763">
        <f>J51*J$3*24</f>
        <v>3600</v>
      </c>
      <c r="K50" s="2907">
        <v>3248.5710522888285</v>
      </c>
      <c r="L50" s="732">
        <f t="shared" ref="L50:L52" si="268">+H50+J50</f>
        <v>10920</v>
      </c>
      <c r="M50" s="732">
        <f>+I50+K50</f>
        <v>8778.6276781082743</v>
      </c>
      <c r="N50" s="5871">
        <f>N51*N$3*24</f>
        <v>3720</v>
      </c>
      <c r="O50" s="2907">
        <v>3166.5293380894718</v>
      </c>
      <c r="P50" s="1987">
        <f t="shared" ref="P50:P52" si="269">+L50+N50</f>
        <v>14640</v>
      </c>
      <c r="Q50" s="733">
        <f>+M50+O50</f>
        <v>11945.157016197747</v>
      </c>
      <c r="R50" s="5975">
        <f>R51*R$3*24</f>
        <v>3720</v>
      </c>
      <c r="S50" s="2907">
        <v>3354.3573187931192</v>
      </c>
      <c r="T50" s="4359">
        <f t="shared" ref="T50:T52" si="270">+P50+R50</f>
        <v>18360</v>
      </c>
      <c r="U50" s="4359">
        <f>+Q50+S50</f>
        <v>15299.514334990867</v>
      </c>
      <c r="V50" s="6049">
        <f>V51*V$3*24</f>
        <v>2160</v>
      </c>
      <c r="W50" s="2907">
        <v>2337.4</v>
      </c>
      <c r="X50" s="2469">
        <f t="shared" ref="X50:X52" si="271">+V50+R50+N50</f>
        <v>9600</v>
      </c>
      <c r="Y50" s="732">
        <f>+W50+S50+O50</f>
        <v>8858.2866568825921</v>
      </c>
      <c r="Z50" s="2470">
        <f t="shared" ref="Z50:Z52" si="272">+L50+X50</f>
        <v>20520</v>
      </c>
      <c r="AA50" s="439">
        <f>+Y50+M50</f>
        <v>17636.914334990866</v>
      </c>
      <c r="AB50" s="6179">
        <f>AB51*AB$3*24</f>
        <v>3720</v>
      </c>
      <c r="AC50" s="2907">
        <v>1007.4</v>
      </c>
      <c r="AD50" s="2236">
        <f>+Z50+AB50</f>
        <v>24240</v>
      </c>
      <c r="AE50" s="2236">
        <f>+AA50+AC50</f>
        <v>18644.314334990868</v>
      </c>
      <c r="AF50" s="6372">
        <f>AF51*AF$3*24</f>
        <v>3600</v>
      </c>
      <c r="AG50" s="2907">
        <v>1273.79</v>
      </c>
      <c r="AH50" s="4652">
        <f>+AD50+AF50</f>
        <v>27840</v>
      </c>
      <c r="AI50" s="4652">
        <f>+AE50+AG50</f>
        <v>19918.104334990869</v>
      </c>
      <c r="AJ50" s="6624">
        <f>AJ51*AJ$3*24</f>
        <v>3720</v>
      </c>
      <c r="AK50" s="2907">
        <v>1344.2154231276545</v>
      </c>
      <c r="AL50" s="2553">
        <f t="shared" ref="AL50:AL52" si="273">+AJ50+AF50+AB50</f>
        <v>11040</v>
      </c>
      <c r="AM50" s="2553">
        <f>+AK50+AG50+AC50</f>
        <v>3625.4054231276546</v>
      </c>
      <c r="AN50" s="2236">
        <f>+AH50+AJ50</f>
        <v>31560</v>
      </c>
      <c r="AO50" s="2236">
        <f>+AI50+AK50</f>
        <v>21262.319758118523</v>
      </c>
      <c r="AP50" s="6716">
        <f>AP51*AP$3*24</f>
        <v>3720</v>
      </c>
      <c r="AQ50" s="2907">
        <v>1718.92</v>
      </c>
      <c r="AR50" s="2236">
        <f>+AN50+AP50</f>
        <v>35280</v>
      </c>
      <c r="AS50" s="2236">
        <f>+AO50+AQ50</f>
        <v>22981.239758118521</v>
      </c>
      <c r="AT50" s="6861">
        <f>AT51*AT$3*24</f>
        <v>3360</v>
      </c>
      <c r="AU50" s="2907">
        <v>10277.41</v>
      </c>
      <c r="AV50" s="5072">
        <f>+AR50+AT50</f>
        <v>38640</v>
      </c>
      <c r="AW50" s="5072">
        <f>+AS50+AU50</f>
        <v>33258.649758118525</v>
      </c>
      <c r="AX50" s="7015">
        <f>AX51*AX$3*24</f>
        <v>3720</v>
      </c>
      <c r="AY50" s="2907">
        <v>1393.02</v>
      </c>
      <c r="AZ50" s="2829">
        <f t="shared" ref="AZ50:AZ52" si="274">+AX50+AT50+AP50</f>
        <v>10800</v>
      </c>
      <c r="BA50" s="2829">
        <f>+AY50+AU50+AQ50</f>
        <v>13389.35</v>
      </c>
      <c r="BB50" s="2837">
        <f t="shared" ref="BB50:BB52" si="275">+AL50+AZ50</f>
        <v>21840</v>
      </c>
      <c r="BC50" s="2837">
        <f t="shared" ref="BC50:BC52" si="276">+AM50+BA50</f>
        <v>17014.755423127655</v>
      </c>
      <c r="BD50" s="2236">
        <f>+AV50+AX50</f>
        <v>42360</v>
      </c>
      <c r="BE50" s="2236">
        <f>+AW50+AY50</f>
        <v>34651.669758118522</v>
      </c>
      <c r="BF50" s="112"/>
      <c r="BG50" s="112"/>
      <c r="BH50" s="112"/>
      <c r="BI50" s="112"/>
      <c r="BJ50" s="112"/>
    </row>
    <row r="51" spans="2:62" ht="15.75" hidden="1" customHeight="1" x14ac:dyDescent="0.25">
      <c r="B51" s="3265"/>
      <c r="C51" s="3131"/>
      <c r="D51" s="3174">
        <v>5</v>
      </c>
      <c r="E51" s="2907"/>
      <c r="F51" s="3174">
        <v>5</v>
      </c>
      <c r="G51" s="2907"/>
      <c r="H51" s="2884">
        <f t="shared" ref="H51:H52" si="277">+D51+F51</f>
        <v>10</v>
      </c>
      <c r="I51" s="37"/>
      <c r="J51" s="3174">
        <v>5</v>
      </c>
      <c r="K51" s="2907"/>
      <c r="L51" s="732">
        <f t="shared" si="268"/>
        <v>15</v>
      </c>
      <c r="M51" s="732"/>
      <c r="N51" s="3174">
        <v>5</v>
      </c>
      <c r="O51" s="2907"/>
      <c r="P51" s="1987">
        <f t="shared" si="269"/>
        <v>20</v>
      </c>
      <c r="Q51" s="733"/>
      <c r="R51" s="3174">
        <v>5</v>
      </c>
      <c r="S51" s="2907"/>
      <c r="T51" s="4359">
        <f t="shared" si="270"/>
        <v>25</v>
      </c>
      <c r="U51" s="4359"/>
      <c r="V51" s="3174">
        <v>3</v>
      </c>
      <c r="W51" s="2907"/>
      <c r="X51" s="2469">
        <f t="shared" si="271"/>
        <v>13</v>
      </c>
      <c r="Y51" s="732"/>
      <c r="Z51" s="2470">
        <f t="shared" si="272"/>
        <v>28</v>
      </c>
      <c r="AA51" s="439"/>
      <c r="AB51" s="3174">
        <v>5</v>
      </c>
      <c r="AC51" s="2907"/>
      <c r="AD51" s="2236">
        <f t="shared" ref="AD51:AD52" si="278">+Z51+AB51</f>
        <v>33</v>
      </c>
      <c r="AE51" s="2236"/>
      <c r="AF51" s="3174">
        <v>5</v>
      </c>
      <c r="AG51" s="2907"/>
      <c r="AH51" s="4652">
        <f t="shared" ref="AH51:AH52" si="279">+AD51+AF51</f>
        <v>38</v>
      </c>
      <c r="AI51" s="4652"/>
      <c r="AJ51" s="3174">
        <v>5</v>
      </c>
      <c r="AK51" s="2907"/>
      <c r="AL51" s="2553">
        <f t="shared" si="273"/>
        <v>15</v>
      </c>
      <c r="AM51" s="2553"/>
      <c r="AN51" s="2236">
        <f t="shared" ref="AN51:AN52" si="280">+AH51+AJ51</f>
        <v>43</v>
      </c>
      <c r="AO51" s="2236"/>
      <c r="AP51" s="3174">
        <v>5</v>
      </c>
      <c r="AQ51" s="2907"/>
      <c r="AR51" s="2236">
        <f t="shared" ref="AR51:AR52" si="281">+AN51+AP51</f>
        <v>48</v>
      </c>
      <c r="AS51" s="2236"/>
      <c r="AT51" s="3174">
        <v>5</v>
      </c>
      <c r="AU51" s="2907"/>
      <c r="AV51" s="5072">
        <f t="shared" ref="AV51:AV52" si="282">+AR51+AT51</f>
        <v>53</v>
      </c>
      <c r="AW51" s="5072"/>
      <c r="AX51" s="3174">
        <v>5</v>
      </c>
      <c r="AY51" s="2907"/>
      <c r="AZ51" s="2829">
        <f t="shared" si="274"/>
        <v>15</v>
      </c>
      <c r="BA51" s="2829"/>
      <c r="BB51" s="2837">
        <f t="shared" si="275"/>
        <v>30</v>
      </c>
      <c r="BC51" s="2837">
        <f t="shared" si="276"/>
        <v>0</v>
      </c>
      <c r="BD51" s="2236">
        <f t="shared" ref="BD51:BD52" si="283">+AV51+AX51</f>
        <v>58</v>
      </c>
      <c r="BE51" s="2236"/>
      <c r="BF51" s="112"/>
      <c r="BG51" s="112"/>
      <c r="BH51" s="112"/>
      <c r="BI51" s="112"/>
      <c r="BJ51" s="112"/>
    </row>
    <row r="52" spans="2:62" x14ac:dyDescent="0.25">
      <c r="B52" s="3243" t="s">
        <v>449</v>
      </c>
      <c r="C52" s="2893" t="s">
        <v>324</v>
      </c>
      <c r="D52" s="7635">
        <f>D53*D$3*24</f>
        <v>8823.36</v>
      </c>
      <c r="E52" s="7636">
        <v>10169.6</v>
      </c>
      <c r="F52" s="5629">
        <f>F53*F$3*24</f>
        <v>11247.6</v>
      </c>
      <c r="G52" s="5630">
        <v>11587.557559102774</v>
      </c>
      <c r="H52" s="2884">
        <f t="shared" si="277"/>
        <v>20070.96</v>
      </c>
      <c r="I52" s="37">
        <f>+E52+G52</f>
        <v>21757.157559102772</v>
      </c>
      <c r="J52" s="5763">
        <f>J53*J$3*24</f>
        <v>10866.24</v>
      </c>
      <c r="K52" s="5766">
        <v>10929.684948992981</v>
      </c>
      <c r="L52" s="732">
        <f t="shared" si="268"/>
        <v>30937.199999999997</v>
      </c>
      <c r="M52" s="732">
        <f>+I52+K52</f>
        <v>32686.842508095753</v>
      </c>
      <c r="N52" s="5871">
        <f>N53*N$3*24</f>
        <v>11138.399999999998</v>
      </c>
      <c r="O52" s="5872">
        <v>11273.188348622441</v>
      </c>
      <c r="P52" s="1987">
        <f t="shared" si="269"/>
        <v>42075.599999999991</v>
      </c>
      <c r="Q52" s="733">
        <f>+M52+O52</f>
        <v>43960.030856718193</v>
      </c>
      <c r="R52" s="5975">
        <f>R53*R$3*24</f>
        <v>11067</v>
      </c>
      <c r="S52" s="5976">
        <v>11042.319702374782</v>
      </c>
      <c r="T52" s="4359">
        <f t="shared" si="270"/>
        <v>53142.599999999991</v>
      </c>
      <c r="U52" s="4359">
        <f>+Q52+S52</f>
        <v>55002.350559092971</v>
      </c>
      <c r="V52" s="6049">
        <f>V53*V$3*24</f>
        <v>10849.999999999998</v>
      </c>
      <c r="W52" s="6050">
        <v>10738.68</v>
      </c>
      <c r="X52" s="2469">
        <f t="shared" si="271"/>
        <v>33055.399999999994</v>
      </c>
      <c r="Y52" s="732">
        <f>+W52+S52+O52</f>
        <v>33054.188050997225</v>
      </c>
      <c r="Z52" s="2470">
        <f t="shared" si="272"/>
        <v>63992.599999999991</v>
      </c>
      <c r="AA52" s="439">
        <f>+Y52+M52</f>
        <v>65741.030559092978</v>
      </c>
      <c r="AB52" s="6179">
        <f>AB53*AB$3*24</f>
        <v>11211.2</v>
      </c>
      <c r="AC52" s="6180">
        <v>9629.94</v>
      </c>
      <c r="AD52" s="2236">
        <f t="shared" si="278"/>
        <v>75203.799999999988</v>
      </c>
      <c r="AE52" s="2236">
        <f>+AA52+AC52</f>
        <v>75370.970559092981</v>
      </c>
      <c r="AF52" s="6372">
        <f>AF53*AF$3*24</f>
        <v>10866.24</v>
      </c>
      <c r="AG52" s="6373">
        <v>10634.3</v>
      </c>
      <c r="AH52" s="4652">
        <f t="shared" si="279"/>
        <v>86070.04</v>
      </c>
      <c r="AI52" s="4652">
        <f>+AE52+AG52</f>
        <v>86005.270559092984</v>
      </c>
      <c r="AJ52" s="6624">
        <f>AJ53*AJ$3*24</f>
        <v>11211.2</v>
      </c>
      <c r="AK52" s="6625">
        <v>11110.192702482917</v>
      </c>
      <c r="AL52" s="2553">
        <f t="shared" si="273"/>
        <v>33288.639999999999</v>
      </c>
      <c r="AM52" s="2553">
        <f>+AK52+AG52+AC52</f>
        <v>31374.432702482918</v>
      </c>
      <c r="AN52" s="2236">
        <f t="shared" si="280"/>
        <v>97281.239999999991</v>
      </c>
      <c r="AO52" s="2236">
        <f>+AI52+AK52</f>
        <v>97115.463261575904</v>
      </c>
      <c r="AP52" s="6716">
        <f>AP53*AP$3*24</f>
        <v>11235.84</v>
      </c>
      <c r="AQ52" s="6717">
        <v>11094.57</v>
      </c>
      <c r="AR52" s="2236">
        <f t="shared" si="281"/>
        <v>108517.07999999999</v>
      </c>
      <c r="AS52" s="2236">
        <f>+AO52+AQ52</f>
        <v>108210.03326157591</v>
      </c>
      <c r="AT52" s="6861">
        <f>AT53*AT$3*24</f>
        <v>10143.279999999999</v>
      </c>
      <c r="AU52" s="6862">
        <v>1001.96</v>
      </c>
      <c r="AV52" s="5072">
        <f t="shared" si="282"/>
        <v>118660.35999999999</v>
      </c>
      <c r="AW52" s="5072">
        <f>+AS52+AU52</f>
        <v>109211.99326157592</v>
      </c>
      <c r="AX52" s="7015">
        <f>AX53*AX$3*24</f>
        <v>11235.84</v>
      </c>
      <c r="AY52" s="7016">
        <v>10651.66</v>
      </c>
      <c r="AZ52" s="2829">
        <f t="shared" si="274"/>
        <v>32614.959999999999</v>
      </c>
      <c r="BA52" s="2829">
        <f>+AY52+AU52+AQ52</f>
        <v>22748.19</v>
      </c>
      <c r="BB52" s="2837">
        <f t="shared" si="275"/>
        <v>65903.600000000006</v>
      </c>
      <c r="BC52" s="2837">
        <f t="shared" si="276"/>
        <v>54122.622702482913</v>
      </c>
      <c r="BD52" s="2236">
        <f t="shared" si="283"/>
        <v>129896.19999999998</v>
      </c>
      <c r="BE52" s="2236">
        <f>+AW52+AY52</f>
        <v>119863.65326157592</v>
      </c>
      <c r="BF52" s="112"/>
      <c r="BG52" s="112"/>
      <c r="BH52" s="112"/>
      <c r="BI52" s="112"/>
      <c r="BJ52" s="112"/>
    </row>
    <row r="53" spans="2:62" ht="15.75" hidden="1" customHeight="1" x14ac:dyDescent="0.25">
      <c r="B53" s="3243"/>
      <c r="C53" s="2893"/>
      <c r="D53" s="3174">
        <v>12.254666666666667</v>
      </c>
      <c r="E53" s="7636"/>
      <c r="F53" s="3174">
        <v>15.117741935483872</v>
      </c>
      <c r="G53" s="5630"/>
      <c r="H53" s="3132"/>
      <c r="I53" s="37"/>
      <c r="J53" s="3174">
        <v>15.091999999999999</v>
      </c>
      <c r="K53" s="5766"/>
      <c r="L53" s="543"/>
      <c r="M53" s="732"/>
      <c r="N53" s="3174">
        <v>14.97096774193548</v>
      </c>
      <c r="O53" s="5872"/>
      <c r="P53" s="555"/>
      <c r="Q53" s="733"/>
      <c r="R53" s="3174">
        <v>14.875</v>
      </c>
      <c r="S53" s="5976"/>
      <c r="T53" s="2422"/>
      <c r="U53" s="4359"/>
      <c r="V53" s="3174">
        <v>15.069444444444443</v>
      </c>
      <c r="W53" s="6050"/>
      <c r="X53" s="543"/>
      <c r="Y53" s="732"/>
      <c r="Z53" s="1502"/>
      <c r="AA53" s="439"/>
      <c r="AB53" s="3174">
        <v>15.068817204301077</v>
      </c>
      <c r="AC53" s="6180"/>
      <c r="AD53" s="2422"/>
      <c r="AE53" s="2236"/>
      <c r="AF53" s="3174">
        <v>15.091999999999999</v>
      </c>
      <c r="AG53" s="6373"/>
      <c r="AH53" s="2422"/>
      <c r="AI53" s="4652"/>
      <c r="AJ53" s="3174">
        <v>15.068817204301077</v>
      </c>
      <c r="AK53" s="6625"/>
      <c r="AL53" s="2449"/>
      <c r="AM53" s="2553"/>
      <c r="AN53" s="2422"/>
      <c r="AO53" s="2236"/>
      <c r="AP53" s="3174">
        <v>15.101935483870967</v>
      </c>
      <c r="AQ53" s="6717"/>
      <c r="AR53" s="2422"/>
      <c r="AS53" s="2236"/>
      <c r="AT53" s="3174">
        <v>15.094166666666665</v>
      </c>
      <c r="AU53" s="6862"/>
      <c r="AV53" s="2422"/>
      <c r="AW53" s="5072"/>
      <c r="AX53" s="3174">
        <v>15.101935483870967</v>
      </c>
      <c r="AY53" s="7016"/>
      <c r="AZ53" s="2449"/>
      <c r="BA53" s="2829"/>
      <c r="BB53" s="2828"/>
      <c r="BC53" s="2827"/>
      <c r="BD53" s="2422"/>
      <c r="BE53" s="2236"/>
      <c r="BF53" s="112"/>
      <c r="BG53" s="112"/>
      <c r="BH53" s="112"/>
      <c r="BI53" s="112"/>
      <c r="BJ53" s="112"/>
    </row>
    <row r="54" spans="2:62" x14ac:dyDescent="0.25">
      <c r="B54" s="3243" t="s">
        <v>73</v>
      </c>
      <c r="C54" s="2893" t="s">
        <v>49</v>
      </c>
      <c r="D54" s="3249">
        <f>+D52*100/D48</f>
        <v>2.8</v>
      </c>
      <c r="E54" s="3249">
        <f>+E52/E48*100</f>
        <v>2.7942907838521998</v>
      </c>
      <c r="F54" s="3249">
        <f>+F52*100/F48</f>
        <v>2.7999999999999994</v>
      </c>
      <c r="G54" s="3249">
        <f>+G52/G48*100</f>
        <v>3.0177395501613522</v>
      </c>
      <c r="H54" s="3266">
        <f>+H52*100/H48</f>
        <v>2.7999999999999994</v>
      </c>
      <c r="I54" s="37">
        <f>+I52/I48*100</f>
        <v>2.909008624322059</v>
      </c>
      <c r="J54" s="3249">
        <f>+J52*100/J48</f>
        <v>2.8</v>
      </c>
      <c r="K54" s="3249">
        <f>+K52/K48*100</f>
        <v>2.8362705105255599</v>
      </c>
      <c r="L54" s="957">
        <f>+L52*100/L48</f>
        <v>2.7999999999999994</v>
      </c>
      <c r="M54" s="732">
        <f>+M52/M48*100</f>
        <v>2.8842751149630952</v>
      </c>
      <c r="N54" s="3249">
        <f>+N52*100/N48</f>
        <v>2.7999999999999994</v>
      </c>
      <c r="O54" s="3249">
        <f>+O52/O48*100</f>
        <v>2.7907437835433329</v>
      </c>
      <c r="P54" s="947">
        <f>+P52*100/P48</f>
        <v>2.7999999999999994</v>
      </c>
      <c r="Q54" s="733">
        <f>+Q52/Q48*100</f>
        <v>2.8596971473713895</v>
      </c>
      <c r="R54" s="3249">
        <f>+R52*100/R48</f>
        <v>2.8</v>
      </c>
      <c r="S54" s="3249">
        <f>+S52/S48*100</f>
        <v>2.8438243168712596</v>
      </c>
      <c r="T54" s="947">
        <f>+T52*100/T48</f>
        <v>2.7999999999999994</v>
      </c>
      <c r="U54" s="4359">
        <f>+U52/U48*100</f>
        <v>2.8564963045470897</v>
      </c>
      <c r="V54" s="3249">
        <f>+V52*100/V48</f>
        <v>4.9999999999999991</v>
      </c>
      <c r="W54" s="3249">
        <f>+W52/W48*100</f>
        <v>2.8157099745414369</v>
      </c>
      <c r="X54" s="732">
        <f>+X52/X48*100</f>
        <v>3.2726498688183745</v>
      </c>
      <c r="Y54" s="732">
        <f>+Y52/Y48*100</f>
        <v>2.8164184444611129</v>
      </c>
      <c r="Z54" s="467">
        <f>+Z52/Z48*100</f>
        <v>3.0257263765100828</v>
      </c>
      <c r="AA54" s="467">
        <f>+AA52/AA48*100</f>
        <v>2.8497533787567355</v>
      </c>
      <c r="AB54" s="3249">
        <f>+AB52*100/AB48</f>
        <v>2.7999999999999994</v>
      </c>
      <c r="AC54" s="3249">
        <f>+AC52/AC48*100</f>
        <v>2.9736261800050587</v>
      </c>
      <c r="AD54" s="947">
        <f>+AD52*100/AD48</f>
        <v>2.9897946607827932</v>
      </c>
      <c r="AE54" s="2045">
        <f>+AE52/AE48*100</f>
        <v>2.865002120471607</v>
      </c>
      <c r="AF54" s="3249">
        <f>+AF52*100/AF48</f>
        <v>2.8</v>
      </c>
      <c r="AG54" s="3249">
        <f>+AG52/AG48*100</f>
        <v>2.9074567901882635</v>
      </c>
      <c r="AH54" s="947">
        <f>+AH52*100/AH48</f>
        <v>2.9644262131341206</v>
      </c>
      <c r="AI54" s="2045">
        <f>+AI52/AI48*100</f>
        <v>2.8701842207345711</v>
      </c>
      <c r="AJ54" s="3249">
        <f>+AJ52*100/AJ48</f>
        <v>2.7999999999999994</v>
      </c>
      <c r="AK54" s="3249">
        <f>+AK52/AK48*100</f>
        <v>2.889501038047575</v>
      </c>
      <c r="AL54" s="2553">
        <f>+AL52/AL48*100</f>
        <v>2.8000000000000003</v>
      </c>
      <c r="AM54" s="2553">
        <f>+AM52/AM48*100</f>
        <v>2.9209792853641288</v>
      </c>
      <c r="AN54" s="947">
        <f>+AN52*100/AN48</f>
        <v>2.9444989602975942</v>
      </c>
      <c r="AO54" s="2045">
        <f>+AO52/AO48*100</f>
        <v>2.872381007835084</v>
      </c>
      <c r="AP54" s="3249">
        <f>+AP52*100/AP48</f>
        <v>2.8</v>
      </c>
      <c r="AQ54" s="3249">
        <f>+AQ52/AQ48*100</f>
        <v>2.8759241678445577</v>
      </c>
      <c r="AR54" s="947">
        <f>+AR52*100/AR48</f>
        <v>2.9288490760058399</v>
      </c>
      <c r="AS54" s="2045">
        <f>+AS52/AS48*100</f>
        <v>2.8727438796085925</v>
      </c>
      <c r="AT54" s="3249">
        <f>+AT52*100/AT48</f>
        <v>2.8</v>
      </c>
      <c r="AU54" s="3249">
        <f>+AU52/AU48*100</f>
        <v>0.29068269643623873</v>
      </c>
      <c r="AV54" s="947">
        <f>+AV52*100/AV48</f>
        <v>2.9173731428416882</v>
      </c>
      <c r="AW54" s="2045">
        <f>+AW52/AW48*100</f>
        <v>2.6562727118682474</v>
      </c>
      <c r="AX54" s="3249">
        <f>+AX52*100/AX48</f>
        <v>2.8</v>
      </c>
      <c r="AY54" s="3249">
        <f>+AY52/AY48*100</f>
        <v>2.8281721703436022</v>
      </c>
      <c r="AZ54" s="330">
        <f>+AZ52/AZ48*100</f>
        <v>2.8000000000000003</v>
      </c>
      <c r="BA54" s="330">
        <f>+BA52/BA48*100</f>
        <v>2.0547676081581141</v>
      </c>
      <c r="BB54" s="2096">
        <f>+BB52/BB48*100</f>
        <v>2.8000000000000003</v>
      </c>
      <c r="BC54" s="2096">
        <f>+BC52/BC48*100</f>
        <v>2.4813235577552577</v>
      </c>
      <c r="BD54" s="947">
        <f>+BD52*100/BD48</f>
        <v>2.9068331599028787</v>
      </c>
      <c r="BE54" s="2045">
        <f>+BE52/BE48*100</f>
        <v>2.6706979577184207</v>
      </c>
      <c r="BF54" s="112"/>
      <c r="BG54" s="112"/>
      <c r="BH54" s="112"/>
      <c r="BI54" s="112"/>
      <c r="BJ54" s="112"/>
    </row>
    <row r="55" spans="2:62" ht="18.75" x14ac:dyDescent="0.25">
      <c r="B55" s="1276" t="s">
        <v>55</v>
      </c>
      <c r="C55" s="3251" t="s">
        <v>324</v>
      </c>
      <c r="D55" s="2895">
        <f>+D48-D50-D52</f>
        <v>302696.64</v>
      </c>
      <c r="E55" s="2895">
        <f>+E48-E50-E52</f>
        <v>352033.89</v>
      </c>
      <c r="F55" s="2895">
        <f>+F48-F50-F52</f>
        <v>386732.40000000014</v>
      </c>
      <c r="G55" s="2895">
        <f>+G48-G50-G52</f>
        <v>368602.34221507778</v>
      </c>
      <c r="H55" s="3253">
        <f>+D55+F55</f>
        <v>689429.04000000015</v>
      </c>
      <c r="I55" s="1578">
        <f>+I48-I50-I52</f>
        <v>720636.23221507785</v>
      </c>
      <c r="J55" s="2895">
        <f>+J48-J50-J52</f>
        <v>373613.76</v>
      </c>
      <c r="K55" s="2895">
        <f>+K48-K50-K52</f>
        <v>371175.8527987182</v>
      </c>
      <c r="L55" s="617">
        <f>+H55+J55</f>
        <v>1063042.8000000003</v>
      </c>
      <c r="M55" s="617">
        <f>+M48-M50-M52</f>
        <v>1091812.0850137961</v>
      </c>
      <c r="N55" s="2895">
        <f>+N48-N50-N52</f>
        <v>382941.6</v>
      </c>
      <c r="O55" s="2895">
        <f>+O48-O50-O52</f>
        <v>389509.52391328814</v>
      </c>
      <c r="P55" s="616">
        <f>+L55+N55</f>
        <v>1445984.4000000004</v>
      </c>
      <c r="Q55" s="616">
        <f>+Q48-Q50-Q52</f>
        <v>1481321.6089270841</v>
      </c>
      <c r="R55" s="2895">
        <f>+R48-R50-R52</f>
        <v>380463</v>
      </c>
      <c r="S55" s="2895">
        <f>+S48-S50-S52</f>
        <v>373894.52777883201</v>
      </c>
      <c r="T55" s="3402">
        <f>+P55+R55</f>
        <v>1826447.4000000004</v>
      </c>
      <c r="U55" s="3402">
        <f>+U48-U50-U52</f>
        <v>1855216.1367059161</v>
      </c>
      <c r="V55" s="2895">
        <f>+V48-V50-V52</f>
        <v>203990</v>
      </c>
      <c r="W55" s="2895">
        <f>+W48-W50-W52</f>
        <v>368308.37</v>
      </c>
      <c r="X55" s="617">
        <f>+V55+R55+N55</f>
        <v>967394.6</v>
      </c>
      <c r="Y55" s="617">
        <f>+W55+S55+O55</f>
        <v>1131712.4216921201</v>
      </c>
      <c r="Z55" s="618">
        <f>+L55+X55</f>
        <v>2030437.4000000004</v>
      </c>
      <c r="AA55" s="618">
        <f>+Y55+M55</f>
        <v>2223524.5067059165</v>
      </c>
      <c r="AB55" s="2895">
        <f>+AB48-AB50-AB52</f>
        <v>385468.80000000005</v>
      </c>
      <c r="AC55" s="2895">
        <f>+AC48-AC50-AC52</f>
        <v>313207.67</v>
      </c>
      <c r="AD55" s="2451">
        <f>+Z55+AB55</f>
        <v>2415906.2000000002</v>
      </c>
      <c r="AE55" s="2451">
        <f>+AE48-AE50-AE52</f>
        <v>2536732.1767059159</v>
      </c>
      <c r="AF55" s="2895">
        <f>+AF48-AF50-AF52</f>
        <v>373613.76</v>
      </c>
      <c r="AG55" s="2895">
        <f>+AG48-AG50-AG52</f>
        <v>353851.43000000005</v>
      </c>
      <c r="AH55" s="3402">
        <f>+AD55+AF55</f>
        <v>2789519.96</v>
      </c>
      <c r="AI55" s="3402">
        <f>+AI48-AI50-AI52</f>
        <v>2890583.6067059161</v>
      </c>
      <c r="AJ55" s="2895">
        <f>+AJ48-AJ50-AJ52</f>
        <v>385468.80000000005</v>
      </c>
      <c r="AK55" s="2895">
        <f>+AK48-AK50-AK52</f>
        <v>372047.71027438948</v>
      </c>
      <c r="AL55" s="2555">
        <f>+AJ55+AF55+AB55</f>
        <v>1144551.3600000001</v>
      </c>
      <c r="AM55" s="2555">
        <f>+AK55+AG55+AC55</f>
        <v>1039106.8102743896</v>
      </c>
      <c r="AN55" s="2554">
        <f>+AH55+AJ55</f>
        <v>3174988.76</v>
      </c>
      <c r="AO55" s="2554">
        <f>+AO48-AO50-AO52</f>
        <v>3262631.3169803056</v>
      </c>
      <c r="AP55" s="2895">
        <f>+AP48-AP50-AP52</f>
        <v>386324.16</v>
      </c>
      <c r="AQ55" s="2895">
        <f>+AQ48-AQ50-AQ52</f>
        <v>372960.59</v>
      </c>
      <c r="AR55" s="2613">
        <f>+AN55+AP55</f>
        <v>3561312.92</v>
      </c>
      <c r="AS55" s="2613">
        <f>+AS48-AS50-AS52</f>
        <v>3635591.9069803059</v>
      </c>
      <c r="AT55" s="2895">
        <f>+AT48-AT50-AT52</f>
        <v>348756.72</v>
      </c>
      <c r="AU55" s="2895">
        <f>+AU48-AU50-AU52</f>
        <v>333412.63</v>
      </c>
      <c r="AV55" s="3402">
        <f>+AR55+AT55</f>
        <v>3910069.6399999997</v>
      </c>
      <c r="AW55" s="3402">
        <f>+AW48-AW50-AW52</f>
        <v>3969004.5369803058</v>
      </c>
      <c r="AX55" s="2895">
        <f>+AX48-AX50-AX52</f>
        <v>386324.16</v>
      </c>
      <c r="AY55" s="2895">
        <f>+AY48-AY50-AY52</f>
        <v>364582.32</v>
      </c>
      <c r="AZ55" s="2831">
        <f>+AX55+AT55+AP55</f>
        <v>1121405.0399999998</v>
      </c>
      <c r="BA55" s="2831">
        <f>+AY55+AU55+AQ55</f>
        <v>1070955.54</v>
      </c>
      <c r="BB55" s="618">
        <f>+AL55+AZ55</f>
        <v>2265956.4</v>
      </c>
      <c r="BC55" s="618">
        <f>+BA55+AM55</f>
        <v>2110062.3502743896</v>
      </c>
      <c r="BD55" s="2830">
        <f>+AV55+AX55</f>
        <v>4296393.8</v>
      </c>
      <c r="BE55" s="2830">
        <f>+BE48-BE50-BE52</f>
        <v>4333586.8569803052</v>
      </c>
      <c r="BF55" s="112"/>
      <c r="BG55" s="112"/>
      <c r="BH55" s="112"/>
      <c r="BI55" s="112"/>
      <c r="BJ55" s="112"/>
    </row>
    <row r="56" spans="2:62" ht="15.75" x14ac:dyDescent="0.25">
      <c r="B56" s="1266" t="s">
        <v>335</v>
      </c>
      <c r="C56" s="3267"/>
      <c r="D56" s="3268"/>
      <c r="E56" s="3268"/>
      <c r="F56" s="3268"/>
      <c r="G56" s="3268"/>
      <c r="H56" s="3268"/>
      <c r="I56" s="242"/>
      <c r="J56" s="3268"/>
      <c r="K56" s="3268"/>
      <c r="L56" s="1057"/>
      <c r="M56" s="1057"/>
      <c r="N56" s="3268"/>
      <c r="O56" s="3268"/>
      <c r="P56" s="1057"/>
      <c r="Q56" s="1057"/>
      <c r="R56" s="3268"/>
      <c r="S56" s="3268"/>
      <c r="T56" s="1057"/>
      <c r="U56" s="1057"/>
      <c r="V56" s="3268"/>
      <c r="W56" s="3268"/>
      <c r="X56" s="1057"/>
      <c r="Y56" s="1057"/>
      <c r="Z56" s="1057"/>
      <c r="AA56" s="1057"/>
      <c r="AB56" s="3268"/>
      <c r="AC56" s="3268"/>
      <c r="AD56" s="1057"/>
      <c r="AE56" s="1057"/>
      <c r="AF56" s="3268"/>
      <c r="AG56" s="3268"/>
      <c r="AH56" s="1057"/>
      <c r="AI56" s="1057"/>
      <c r="AJ56" s="3268"/>
      <c r="AK56" s="3268"/>
      <c r="AL56" s="1057"/>
      <c r="AM56" s="1057"/>
      <c r="AN56" s="1057"/>
      <c r="AO56" s="1057"/>
      <c r="AP56" s="3268"/>
      <c r="AQ56" s="3268"/>
      <c r="AR56" s="1057"/>
      <c r="AS56" s="1057"/>
      <c r="AT56" s="3268"/>
      <c r="AU56" s="3268"/>
      <c r="AV56" s="1057"/>
      <c r="AW56" s="1057"/>
      <c r="AX56" s="3268"/>
      <c r="AY56" s="3268"/>
      <c r="AZ56" s="1057"/>
      <c r="BA56" s="1057"/>
      <c r="BB56" s="1057"/>
      <c r="BC56" s="1057"/>
      <c r="BD56" s="1057"/>
      <c r="BE56" s="1057"/>
      <c r="BF56" s="112"/>
      <c r="BG56" s="112"/>
      <c r="BH56" s="112"/>
      <c r="BI56" s="112"/>
      <c r="BJ56" s="112"/>
    </row>
    <row r="57" spans="2:62" x14ac:dyDescent="0.25">
      <c r="B57" s="8" t="s">
        <v>80</v>
      </c>
      <c r="C57" s="2893" t="s">
        <v>324</v>
      </c>
      <c r="D57" s="7635">
        <f>D58*D$3*24</f>
        <v>141218.18181818179</v>
      </c>
      <c r="E57" s="7636">
        <v>148213</v>
      </c>
      <c r="F57" s="5629">
        <f>F58*F$3*24</f>
        <v>178641.13636363635</v>
      </c>
      <c r="G57" s="5630">
        <v>163016</v>
      </c>
      <c r="H57" s="2884">
        <f t="shared" ref="H57:I71" si="284">+D57+F57</f>
        <v>319859.31818181812</v>
      </c>
      <c r="I57" s="37">
        <f t="shared" si="284"/>
        <v>311229</v>
      </c>
      <c r="J57" s="5763">
        <f>J58*J$3*24</f>
        <v>173178.40909090912</v>
      </c>
      <c r="K57" s="5766">
        <v>163513.99999999997</v>
      </c>
      <c r="L57" s="732">
        <f t="shared" ref="L57:L71" si="285">+H57+J57</f>
        <v>493037.72727272724</v>
      </c>
      <c r="M57" s="732">
        <f t="shared" ref="M57:M71" si="286">+I57+K57</f>
        <v>474743</v>
      </c>
      <c r="N57" s="5871">
        <f>N58*N$3*24</f>
        <v>174767.55681818182</v>
      </c>
      <c r="O57" s="5872">
        <v>170113</v>
      </c>
      <c r="P57" s="733">
        <f t="shared" ref="P57:P71" si="287">+L57+N57</f>
        <v>667805.28409090906</v>
      </c>
      <c r="Q57" s="733">
        <f t="shared" ref="Q57:Q71" si="288">+M57+O57</f>
        <v>644856</v>
      </c>
      <c r="R57" s="5975">
        <f>R58*R$3*24</f>
        <v>174767.55681818182</v>
      </c>
      <c r="S57" s="5976">
        <v>162704</v>
      </c>
      <c r="T57" s="4359">
        <f t="shared" ref="T57" si="289">+P57+R57</f>
        <v>842572.84090909082</v>
      </c>
      <c r="U57" s="4359">
        <f t="shared" ref="U57" si="290">+Q57+S57</f>
        <v>807560</v>
      </c>
      <c r="V57" s="6049">
        <f>V58*V$3*24</f>
        <v>95952.272727272735</v>
      </c>
      <c r="W57" s="6050">
        <v>159350</v>
      </c>
      <c r="X57" s="732">
        <f t="shared" ref="X57:X71" si="291">+V57+R57+N57</f>
        <v>445487.38636363641</v>
      </c>
      <c r="Y57" s="732">
        <f t="shared" ref="Y57:Y72" si="292">+W57+S57+O57</f>
        <v>492167</v>
      </c>
      <c r="Z57" s="439">
        <f t="shared" ref="Z57:Z71" si="293">+L57+X57</f>
        <v>938525.11363636365</v>
      </c>
      <c r="AA57" s="439">
        <f t="shared" ref="AA57:AA71" si="294">+Y57+M57</f>
        <v>966910</v>
      </c>
      <c r="AB57" s="6179">
        <f>AB58*AB$3*24</f>
        <v>178641.13636363635</v>
      </c>
      <c r="AC57" s="6180">
        <v>135260</v>
      </c>
      <c r="AD57" s="2236">
        <f t="shared" ref="AD57" si="295">+Z57+AB57</f>
        <v>1117166.25</v>
      </c>
      <c r="AE57" s="2236">
        <f t="shared" ref="AE57" si="296">+AA57+AC57</f>
        <v>1102170</v>
      </c>
      <c r="AF57" s="6372">
        <f>AF58*AF$3*24</f>
        <v>173178.40909090912</v>
      </c>
      <c r="AG57" s="6373">
        <v>151505</v>
      </c>
      <c r="AH57" s="4652">
        <f t="shared" ref="AH57" si="297">+AD57+AF57</f>
        <v>1290344.6590909092</v>
      </c>
      <c r="AI57" s="4652">
        <f t="shared" ref="AI57" si="298">+AE57+AG57</f>
        <v>1253675</v>
      </c>
      <c r="AJ57" s="6624">
        <f>AJ58*AJ$3*24</f>
        <v>178641.13636363635</v>
      </c>
      <c r="AK57" s="6625">
        <v>157823</v>
      </c>
      <c r="AL57" s="2553">
        <f t="shared" ref="AL57" si="299">+AJ57+AF57+AB57</f>
        <v>530460.68181818188</v>
      </c>
      <c r="AM57" s="2553">
        <f t="shared" ref="AM57:AM72" si="300">+AK57+AG57+AC57</f>
        <v>444588</v>
      </c>
      <c r="AN57" s="2236">
        <f t="shared" ref="AN57" si="301">+AH57+AJ57</f>
        <v>1468985.7954545454</v>
      </c>
      <c r="AO57" s="2236">
        <f t="shared" ref="AO57" si="302">+AI57+AK57</f>
        <v>1411498</v>
      </c>
      <c r="AP57" s="6716">
        <f>AP58*AP$3*24</f>
        <v>181739.99999999997</v>
      </c>
      <c r="AQ57" s="6717">
        <v>157798</v>
      </c>
      <c r="AR57" s="2236">
        <f t="shared" ref="AR57" si="303">+AN57+AP57</f>
        <v>1650725.7954545454</v>
      </c>
      <c r="AS57" s="2236">
        <f t="shared" ref="AS57" si="304">+AO57+AQ57</f>
        <v>1569296</v>
      </c>
      <c r="AT57" s="6861">
        <f>AT58*AT$3*24</f>
        <v>162252.95454545456</v>
      </c>
      <c r="AU57" s="6862">
        <v>141171</v>
      </c>
      <c r="AV57" s="5072">
        <f t="shared" ref="AV57" si="305">+AR57+AT57</f>
        <v>1812978.75</v>
      </c>
      <c r="AW57" s="5072">
        <f t="shared" ref="AW57" si="306">+AS57+AU57</f>
        <v>1710467</v>
      </c>
      <c r="AX57" s="7015">
        <f>AX58*AX$3*24</f>
        <v>181739.99999999997</v>
      </c>
      <c r="AY57" s="7016">
        <v>154562</v>
      </c>
      <c r="AZ57" s="2829">
        <f t="shared" ref="AZ57" si="307">+AX57+AT57+AP57</f>
        <v>525732.95454545447</v>
      </c>
      <c r="BA57" s="2829">
        <f t="shared" ref="BA57:BA72" si="308">+AY57+AU57+AQ57</f>
        <v>453531</v>
      </c>
      <c r="BB57" s="2837">
        <f t="shared" ref="BB57:BB71" si="309">+AL57+AZ57</f>
        <v>1056193.6363636362</v>
      </c>
      <c r="BC57" s="2837">
        <f t="shared" ref="BC57:BC71" si="310">+AM57+BA57</f>
        <v>898119</v>
      </c>
      <c r="BD57" s="2236">
        <f t="shared" ref="BD57" si="311">+AV57+AX57</f>
        <v>1994718.75</v>
      </c>
      <c r="BE57" s="2236">
        <f t="shared" ref="BE57" si="312">+AW57+AY57</f>
        <v>1865029</v>
      </c>
      <c r="BF57" s="112"/>
      <c r="BG57" s="112"/>
      <c r="BH57" s="112"/>
      <c r="BI57" s="112"/>
      <c r="BJ57" s="112"/>
    </row>
    <row r="58" spans="2:62" ht="15" hidden="1" customHeight="1" x14ac:dyDescent="0.25">
      <c r="B58" s="8"/>
      <c r="C58" s="2893"/>
      <c r="D58" s="2961">
        <v>196.1363636363636</v>
      </c>
      <c r="E58" s="7636"/>
      <c r="F58" s="2961">
        <v>240.10905425219943</v>
      </c>
      <c r="G58" s="5630"/>
      <c r="H58" s="2884"/>
      <c r="I58" s="37"/>
      <c r="J58" s="2961">
        <v>240.52556818181819</v>
      </c>
      <c r="K58" s="5766"/>
      <c r="L58" s="732"/>
      <c r="M58" s="732"/>
      <c r="N58" s="2961">
        <v>234.90263013196483</v>
      </c>
      <c r="O58" s="5872"/>
      <c r="P58" s="733"/>
      <c r="Q58" s="733"/>
      <c r="R58" s="2961">
        <v>234.90263013196483</v>
      </c>
      <c r="S58" s="5976"/>
      <c r="T58" s="4359"/>
      <c r="U58" s="4359"/>
      <c r="V58" s="2961">
        <v>133.26704545454547</v>
      </c>
      <c r="W58" s="6050"/>
      <c r="X58" s="732"/>
      <c r="Y58" s="2104">
        <f t="shared" si="292"/>
        <v>0</v>
      </c>
      <c r="Z58" s="439"/>
      <c r="AA58" s="439"/>
      <c r="AB58" s="2961">
        <v>240.10905425219943</v>
      </c>
      <c r="AC58" s="6180"/>
      <c r="AD58" s="2236"/>
      <c r="AE58" s="2236"/>
      <c r="AF58" s="2961">
        <v>240.52556818181819</v>
      </c>
      <c r="AG58" s="6373"/>
      <c r="AH58" s="4652"/>
      <c r="AI58" s="4652"/>
      <c r="AJ58" s="2961">
        <v>240.10905425219943</v>
      </c>
      <c r="AK58" s="6625"/>
      <c r="AL58" s="2553"/>
      <c r="AM58" s="2553">
        <f t="shared" si="300"/>
        <v>0</v>
      </c>
      <c r="AN58" s="2236"/>
      <c r="AO58" s="2236"/>
      <c r="AP58" s="2961">
        <v>244.27419354838707</v>
      </c>
      <c r="AQ58" s="6717"/>
      <c r="AR58" s="2236"/>
      <c r="AS58" s="2236"/>
      <c r="AT58" s="2961">
        <v>241.44784902597402</v>
      </c>
      <c r="AU58" s="6862"/>
      <c r="AV58" s="5072"/>
      <c r="AW58" s="5072"/>
      <c r="AX58" s="2961">
        <v>244.27419354838707</v>
      </c>
      <c r="AY58" s="7016"/>
      <c r="AZ58" s="2829"/>
      <c r="BA58" s="2829">
        <f t="shared" si="308"/>
        <v>0</v>
      </c>
      <c r="BB58" s="2837">
        <f t="shared" si="309"/>
        <v>0</v>
      </c>
      <c r="BC58" s="2837">
        <f t="shared" si="310"/>
        <v>0</v>
      </c>
      <c r="BD58" s="2236"/>
      <c r="BE58" s="2236"/>
      <c r="BF58" s="112"/>
      <c r="BG58" s="112"/>
      <c r="BH58" s="112"/>
      <c r="BI58" s="112"/>
      <c r="BJ58" s="112"/>
    </row>
    <row r="59" spans="2:62" x14ac:dyDescent="0.25">
      <c r="B59" s="8" t="s">
        <v>107</v>
      </c>
      <c r="C59" s="2893" t="s">
        <v>324</v>
      </c>
      <c r="D59" s="7635">
        <f>D60*D$3*24</f>
        <v>54000</v>
      </c>
      <c r="E59" s="7636">
        <v>63416</v>
      </c>
      <c r="F59" s="5629">
        <f>F60*F$3*24</f>
        <v>64356</v>
      </c>
      <c r="G59" s="5630">
        <v>64672</v>
      </c>
      <c r="H59" s="2884">
        <f t="shared" si="284"/>
        <v>118356</v>
      </c>
      <c r="I59" s="37">
        <f t="shared" si="284"/>
        <v>128088</v>
      </c>
      <c r="J59" s="5763">
        <f>J60*J$3*24</f>
        <v>62280</v>
      </c>
      <c r="K59" s="5766">
        <v>65772.333333333328</v>
      </c>
      <c r="L59" s="732">
        <f t="shared" si="285"/>
        <v>180636</v>
      </c>
      <c r="M59" s="732">
        <f t="shared" si="286"/>
        <v>193860.33333333331</v>
      </c>
      <c r="N59" s="5871">
        <f>N60*N$3*24</f>
        <v>64356</v>
      </c>
      <c r="O59" s="5872">
        <v>68850</v>
      </c>
      <c r="P59" s="733">
        <f t="shared" si="287"/>
        <v>244992</v>
      </c>
      <c r="Q59" s="733">
        <f t="shared" si="288"/>
        <v>262710.33333333331</v>
      </c>
      <c r="R59" s="5975">
        <f>R60*R$3*24</f>
        <v>64356</v>
      </c>
      <c r="S59" s="5976">
        <v>66064</v>
      </c>
      <c r="T59" s="4359">
        <f t="shared" ref="T59" si="313">+P59+R59</f>
        <v>309348</v>
      </c>
      <c r="U59" s="4359">
        <f t="shared" ref="U59" si="314">+Q59+S59</f>
        <v>328774.33333333331</v>
      </c>
      <c r="V59" s="6049">
        <f>V60*V$3*24</f>
        <v>32400</v>
      </c>
      <c r="W59" s="6050">
        <v>65513.2</v>
      </c>
      <c r="X59" s="732">
        <f t="shared" si="291"/>
        <v>161112</v>
      </c>
      <c r="Y59" s="2104">
        <f t="shared" si="292"/>
        <v>200427.2</v>
      </c>
      <c r="Z59" s="439">
        <f t="shared" si="293"/>
        <v>341748</v>
      </c>
      <c r="AA59" s="439">
        <f t="shared" si="294"/>
        <v>394287.53333333333</v>
      </c>
      <c r="AB59" s="6179">
        <f>AB60*AB$3*24</f>
        <v>64356</v>
      </c>
      <c r="AC59" s="6180">
        <v>55488</v>
      </c>
      <c r="AD59" s="2236">
        <f t="shared" ref="AD59" si="315">+Z59+AB59</f>
        <v>406104</v>
      </c>
      <c r="AE59" s="2236">
        <f t="shared" ref="AE59" si="316">+AA59+AC59</f>
        <v>449775.53333333333</v>
      </c>
      <c r="AF59" s="6372">
        <f>AF60*AF$3*24</f>
        <v>62280</v>
      </c>
      <c r="AG59" s="6373">
        <v>63249</v>
      </c>
      <c r="AH59" s="4652">
        <f t="shared" ref="AH59" si="317">+AD59+AF59</f>
        <v>468384</v>
      </c>
      <c r="AI59" s="4652">
        <f t="shared" ref="AI59" si="318">+AE59+AG59</f>
        <v>513024.53333333333</v>
      </c>
      <c r="AJ59" s="6624">
        <f>AJ60*AJ$3*24</f>
        <v>64356</v>
      </c>
      <c r="AK59" s="6625">
        <v>67056.899999999994</v>
      </c>
      <c r="AL59" s="2553">
        <f t="shared" ref="AL59" si="319">+AJ59+AF59+AB59</f>
        <v>190992</v>
      </c>
      <c r="AM59" s="2553">
        <f t="shared" si="300"/>
        <v>185793.9</v>
      </c>
      <c r="AN59" s="2236">
        <f t="shared" ref="AN59" si="320">+AH59+AJ59</f>
        <v>532740</v>
      </c>
      <c r="AO59" s="2236">
        <f t="shared" ref="AO59" si="321">+AI59+AK59</f>
        <v>580081.43333333335</v>
      </c>
      <c r="AP59" s="6716">
        <f>AP60*AP$3*24</f>
        <v>64356</v>
      </c>
      <c r="AQ59" s="6717">
        <v>66654</v>
      </c>
      <c r="AR59" s="2236">
        <f t="shared" ref="AR59" si="322">+AN59+AP59</f>
        <v>597096</v>
      </c>
      <c r="AS59" s="2236">
        <f t="shared" ref="AS59" si="323">+AO59+AQ59</f>
        <v>646735.43333333335</v>
      </c>
      <c r="AT59" s="6861">
        <f>AT60*AT$3*24</f>
        <v>58128</v>
      </c>
      <c r="AU59" s="6862">
        <v>58549</v>
      </c>
      <c r="AV59" s="5072">
        <f t="shared" ref="AV59" si="324">+AR59+AT59</f>
        <v>655224</v>
      </c>
      <c r="AW59" s="5072">
        <f t="shared" ref="AW59" si="325">+AS59+AU59</f>
        <v>705284.43333333335</v>
      </c>
      <c r="AX59" s="7015">
        <f>AX60*AX$3*24</f>
        <v>64356</v>
      </c>
      <c r="AY59" s="7016">
        <v>65647</v>
      </c>
      <c r="AZ59" s="2829">
        <f t="shared" ref="AZ59" si="326">+AX59+AT59+AP59</f>
        <v>186840</v>
      </c>
      <c r="BA59" s="2829">
        <f t="shared" si="308"/>
        <v>190850</v>
      </c>
      <c r="BB59" s="2837">
        <f t="shared" si="309"/>
        <v>377832</v>
      </c>
      <c r="BC59" s="2837">
        <f t="shared" si="310"/>
        <v>376643.9</v>
      </c>
      <c r="BD59" s="2236">
        <f t="shared" ref="BD59" si="327">+AV59+AX59</f>
        <v>719580</v>
      </c>
      <c r="BE59" s="2236">
        <f t="shared" ref="BE59" si="328">+AW59+AY59</f>
        <v>770931.43333333335</v>
      </c>
      <c r="BF59" s="112"/>
      <c r="BG59" s="112"/>
      <c r="BH59" s="112"/>
      <c r="BI59" s="112"/>
      <c r="BJ59" s="112"/>
    </row>
    <row r="60" spans="2:62" ht="15" hidden="1" customHeight="1" x14ac:dyDescent="0.25">
      <c r="B60" s="8"/>
      <c r="C60" s="2893"/>
      <c r="D60" s="2961">
        <v>75</v>
      </c>
      <c r="E60" s="7636"/>
      <c r="F60" s="2961">
        <v>86.5</v>
      </c>
      <c r="G60" s="5630"/>
      <c r="H60" s="2884"/>
      <c r="I60" s="37"/>
      <c r="J60" s="2961">
        <v>86.5</v>
      </c>
      <c r="K60" s="5766"/>
      <c r="L60" s="732"/>
      <c r="M60" s="732"/>
      <c r="N60" s="2961">
        <v>86.5</v>
      </c>
      <c r="O60" s="5872"/>
      <c r="P60" s="733"/>
      <c r="Q60" s="733"/>
      <c r="R60" s="2961">
        <v>86.5</v>
      </c>
      <c r="S60" s="5976"/>
      <c r="T60" s="4359"/>
      <c r="U60" s="4359"/>
      <c r="V60" s="2961">
        <v>45</v>
      </c>
      <c r="W60" s="6050"/>
      <c r="X60" s="732"/>
      <c r="Y60" s="2104">
        <f t="shared" si="292"/>
        <v>0</v>
      </c>
      <c r="Z60" s="439"/>
      <c r="AA60" s="439"/>
      <c r="AB60" s="2961">
        <v>86.5</v>
      </c>
      <c r="AC60" s="6180"/>
      <c r="AD60" s="2236"/>
      <c r="AE60" s="2236"/>
      <c r="AF60" s="2961">
        <v>86.5</v>
      </c>
      <c r="AG60" s="6373"/>
      <c r="AH60" s="4652"/>
      <c r="AI60" s="4652"/>
      <c r="AJ60" s="2961">
        <v>86.5</v>
      </c>
      <c r="AK60" s="6625"/>
      <c r="AL60" s="2553"/>
      <c r="AM60" s="2553">
        <f t="shared" si="300"/>
        <v>0</v>
      </c>
      <c r="AN60" s="2236"/>
      <c r="AO60" s="2236"/>
      <c r="AP60" s="2961">
        <v>86.5</v>
      </c>
      <c r="AQ60" s="6717"/>
      <c r="AR60" s="2236"/>
      <c r="AS60" s="2236"/>
      <c r="AT60" s="2961">
        <v>86.5</v>
      </c>
      <c r="AU60" s="6862"/>
      <c r="AV60" s="5072"/>
      <c r="AW60" s="5072"/>
      <c r="AX60" s="2961">
        <v>86.5</v>
      </c>
      <c r="AY60" s="7016"/>
      <c r="AZ60" s="2829"/>
      <c r="BA60" s="2829">
        <f t="shared" si="308"/>
        <v>0</v>
      </c>
      <c r="BB60" s="2837">
        <f t="shared" si="309"/>
        <v>0</v>
      </c>
      <c r="BC60" s="2837">
        <f t="shared" si="310"/>
        <v>0</v>
      </c>
      <c r="BD60" s="2236"/>
      <c r="BE60" s="2236"/>
      <c r="BF60" s="112"/>
      <c r="BG60" s="112"/>
      <c r="BH60" s="112"/>
      <c r="BI60" s="112"/>
      <c r="BJ60" s="112"/>
    </row>
    <row r="61" spans="2:62" x14ac:dyDescent="0.25">
      <c r="B61" s="8" t="s">
        <v>90</v>
      </c>
      <c r="C61" s="2893" t="s">
        <v>324</v>
      </c>
      <c r="D61" s="7635">
        <f>D62*D$3*24</f>
        <v>94102.707096938189</v>
      </c>
      <c r="E61" s="7636">
        <v>132382</v>
      </c>
      <c r="F61" s="5629">
        <f>F62*F$3*24</f>
        <v>130573.11180132374</v>
      </c>
      <c r="G61" s="5630">
        <v>132037.49999999997</v>
      </c>
      <c r="H61" s="2884">
        <f t="shared" si="284"/>
        <v>224675.81889826193</v>
      </c>
      <c r="I61" s="37">
        <f t="shared" si="284"/>
        <v>264419.5</v>
      </c>
      <c r="J61" s="5763">
        <f>J62*J$3*24</f>
        <v>125587.44737132653</v>
      </c>
      <c r="K61" s="5766">
        <v>133448.99999999991</v>
      </c>
      <c r="L61" s="732">
        <f t="shared" si="285"/>
        <v>350263.26626958849</v>
      </c>
      <c r="M61" s="732">
        <f t="shared" si="286"/>
        <v>397868.49999999988</v>
      </c>
      <c r="N61" s="5871">
        <f>N62*N$3*24</f>
        <v>130670.40545758719</v>
      </c>
      <c r="O61" s="5872">
        <v>140977</v>
      </c>
      <c r="P61" s="733">
        <f t="shared" si="287"/>
        <v>480933.67172717571</v>
      </c>
      <c r="Q61" s="733">
        <f t="shared" si="288"/>
        <v>538845.49999999988</v>
      </c>
      <c r="R61" s="5975">
        <f>R62*R$3*24</f>
        <v>128191.80545758724</v>
      </c>
      <c r="S61" s="5976">
        <v>136614</v>
      </c>
      <c r="T61" s="4359">
        <f t="shared" ref="T61" si="329">+P61+R61</f>
        <v>609125.47718476295</v>
      </c>
      <c r="U61" s="4359">
        <f t="shared" ref="U61" si="330">+Q61+S61</f>
        <v>675459.49999999988</v>
      </c>
      <c r="V61" s="6049">
        <f>V62*V$3*24</f>
        <v>67969.352302229032</v>
      </c>
      <c r="W61" s="6050">
        <v>135017</v>
      </c>
      <c r="X61" s="732">
        <f t="shared" si="291"/>
        <v>326831.56321740348</v>
      </c>
      <c r="Y61" s="2104">
        <f t="shared" si="292"/>
        <v>412608</v>
      </c>
      <c r="Z61" s="439">
        <f t="shared" si="293"/>
        <v>677094.82948699198</v>
      </c>
      <c r="AA61" s="439">
        <f t="shared" si="294"/>
        <v>810476.49999999988</v>
      </c>
      <c r="AB61" s="6179">
        <f>AB62*AB$3*24</f>
        <v>129219.10949805951</v>
      </c>
      <c r="AC61" s="6180">
        <v>115412</v>
      </c>
      <c r="AD61" s="2236">
        <f t="shared" ref="AD61" si="331">+Z61+AB61</f>
        <v>806313.93898505147</v>
      </c>
      <c r="AE61" s="2236">
        <f t="shared" ref="AE61" si="332">+AA61+AC61</f>
        <v>925888.49999999988</v>
      </c>
      <c r="AF61" s="6372">
        <f>AF62*AF$3*24</f>
        <v>123286.29370997811</v>
      </c>
      <c r="AG61" s="6373">
        <v>133438.20000000001</v>
      </c>
      <c r="AH61" s="4652">
        <f t="shared" ref="AH61" si="333">+AD61+AF61</f>
        <v>929600.23269502958</v>
      </c>
      <c r="AI61" s="4652">
        <f t="shared" ref="AI61" si="334">+AE61+AG61</f>
        <v>1059326.7</v>
      </c>
      <c r="AJ61" s="6624">
        <f>AJ62*AJ$3*24</f>
        <v>127105.8223476383</v>
      </c>
      <c r="AK61" s="6625">
        <v>140162.4</v>
      </c>
      <c r="AL61" s="2553">
        <f t="shared" ref="AL61" si="335">+AJ61+AF61+AB61</f>
        <v>379611.22555567592</v>
      </c>
      <c r="AM61" s="2553">
        <f t="shared" si="300"/>
        <v>389012.6</v>
      </c>
      <c r="AN61" s="2236">
        <f t="shared" ref="AN61" si="336">+AH61+AJ61</f>
        <v>1056706.0550426678</v>
      </c>
      <c r="AO61" s="2236">
        <f t="shared" ref="AO61" si="337">+AI61+AK61</f>
        <v>1199489.0999999999</v>
      </c>
      <c r="AP61" s="6716">
        <f>AP62*AP$3*24</f>
        <v>124819.78638140394</v>
      </c>
      <c r="AQ61" s="6717">
        <v>139254</v>
      </c>
      <c r="AR61" s="2236">
        <f t="shared" ref="AR61" si="338">+AN61+AP61</f>
        <v>1181525.8414240717</v>
      </c>
      <c r="AS61" s="2236">
        <f t="shared" ref="AS61" si="339">+AO61+AQ61</f>
        <v>1338743.0999999999</v>
      </c>
      <c r="AT61" s="6861">
        <f>AT62*AT$3*24</f>
        <v>114088.06572527008</v>
      </c>
      <c r="AU61" s="6862">
        <v>126757</v>
      </c>
      <c r="AV61" s="5072">
        <f t="shared" ref="AV61" si="340">+AR61+AT61</f>
        <v>1295613.9071493419</v>
      </c>
      <c r="AW61" s="5072">
        <f t="shared" ref="AW61" si="341">+AS61+AU61</f>
        <v>1465500.0999999999</v>
      </c>
      <c r="AX61" s="7015">
        <f>AX62*AX$3*24</f>
        <v>126660.91069560601</v>
      </c>
      <c r="AY61" s="7016">
        <v>137252</v>
      </c>
      <c r="AZ61" s="2829">
        <f t="shared" ref="AZ61" si="342">+AX61+AT61+AP61</f>
        <v>365568.76280228002</v>
      </c>
      <c r="BA61" s="2829">
        <f t="shared" si="308"/>
        <v>403263</v>
      </c>
      <c r="BB61" s="2837">
        <f t="shared" si="309"/>
        <v>745179.98835795594</v>
      </c>
      <c r="BC61" s="2837">
        <f t="shared" si="310"/>
        <v>792275.6</v>
      </c>
      <c r="BD61" s="2236">
        <f t="shared" ref="BD61" si="343">+AV61+AX61</f>
        <v>1422274.8178449478</v>
      </c>
      <c r="BE61" s="2236">
        <f t="shared" ref="BE61" si="344">+AW61+AY61</f>
        <v>1602752.0999999999</v>
      </c>
      <c r="BF61" s="112"/>
      <c r="BG61" s="112"/>
      <c r="BH61" s="112"/>
      <c r="BI61" s="112"/>
      <c r="BJ61" s="112"/>
    </row>
    <row r="62" spans="2:62" ht="15" hidden="1" customHeight="1" x14ac:dyDescent="0.25">
      <c r="B62" s="8"/>
      <c r="C62" s="2893"/>
      <c r="D62" s="2961">
        <v>130.69820430130304</v>
      </c>
      <c r="E62" s="7636"/>
      <c r="F62" s="2961">
        <v>175.50149435661791</v>
      </c>
      <c r="G62" s="5630"/>
      <c r="H62" s="2884"/>
      <c r="I62" s="37"/>
      <c r="J62" s="2961">
        <v>174.42701023795354</v>
      </c>
      <c r="K62" s="5766"/>
      <c r="L62" s="732"/>
      <c r="M62" s="732"/>
      <c r="N62" s="2961">
        <v>175.6322653999828</v>
      </c>
      <c r="O62" s="5872"/>
      <c r="P62" s="733"/>
      <c r="Q62" s="733"/>
      <c r="R62" s="2961">
        <v>172.30081378707962</v>
      </c>
      <c r="S62" s="5976"/>
      <c r="T62" s="4359"/>
      <c r="U62" s="4359"/>
      <c r="V62" s="2961">
        <v>94.401878197540313</v>
      </c>
      <c r="W62" s="6050"/>
      <c r="X62" s="732"/>
      <c r="Y62" s="2104">
        <f t="shared" si="292"/>
        <v>0</v>
      </c>
      <c r="Z62" s="439"/>
      <c r="AA62" s="439"/>
      <c r="AB62" s="2961">
        <v>173.68159878771439</v>
      </c>
      <c r="AC62" s="6180"/>
      <c r="AD62" s="2236"/>
      <c r="AE62" s="2236"/>
      <c r="AF62" s="2961">
        <v>171.23096348608073</v>
      </c>
      <c r="AG62" s="6373"/>
      <c r="AH62" s="4652"/>
      <c r="AI62" s="4652"/>
      <c r="AJ62" s="2961">
        <v>170.84115906940633</v>
      </c>
      <c r="AK62" s="6625"/>
      <c r="AL62" s="2553"/>
      <c r="AM62" s="2553">
        <f t="shared" si="300"/>
        <v>0</v>
      </c>
      <c r="AN62" s="2236"/>
      <c r="AO62" s="2236"/>
      <c r="AP62" s="2961">
        <v>167.76853008253218</v>
      </c>
      <c r="AQ62" s="6717"/>
      <c r="AR62" s="2236"/>
      <c r="AS62" s="2236"/>
      <c r="AT62" s="2961">
        <v>169.77390732927094</v>
      </c>
      <c r="AU62" s="6862"/>
      <c r="AV62" s="5072"/>
      <c r="AW62" s="5072"/>
      <c r="AX62" s="2961">
        <v>170.24315953710484</v>
      </c>
      <c r="AY62" s="7016"/>
      <c r="AZ62" s="2829"/>
      <c r="BA62" s="2829">
        <f t="shared" si="308"/>
        <v>0</v>
      </c>
      <c r="BB62" s="2837">
        <f t="shared" si="309"/>
        <v>0</v>
      </c>
      <c r="BC62" s="2837">
        <f t="shared" si="310"/>
        <v>0</v>
      </c>
      <c r="BD62" s="2236"/>
      <c r="BE62" s="2236"/>
      <c r="BF62" s="112"/>
      <c r="BG62" s="112"/>
      <c r="BH62" s="112"/>
      <c r="BI62" s="112"/>
      <c r="BJ62" s="112"/>
    </row>
    <row r="63" spans="2:62" x14ac:dyDescent="0.25">
      <c r="B63" s="8" t="s">
        <v>59</v>
      </c>
      <c r="C63" s="2893" t="s">
        <v>324</v>
      </c>
      <c r="D63" s="7635">
        <f>D64*D$3*24</f>
        <v>2532.020799876932</v>
      </c>
      <c r="E63" s="7636">
        <v>1939.34</v>
      </c>
      <c r="F63" s="5629">
        <f>F64*F$3*24</f>
        <v>2604.295976697917</v>
      </c>
      <c r="G63" s="5630">
        <v>2012.0675056975531</v>
      </c>
      <c r="H63" s="2884">
        <f t="shared" si="284"/>
        <v>5136.3167765748494</v>
      </c>
      <c r="I63" s="37">
        <f t="shared" si="284"/>
        <v>3951.407505697553</v>
      </c>
      <c r="J63" s="5763">
        <f>J64*J$3*24</f>
        <v>2505.2254097750365</v>
      </c>
      <c r="K63" s="5766">
        <v>1899.1130777918936</v>
      </c>
      <c r="L63" s="732">
        <f t="shared" si="285"/>
        <v>7641.5421863498859</v>
      </c>
      <c r="M63" s="732">
        <f t="shared" si="286"/>
        <v>5850.5205834894468</v>
      </c>
      <c r="N63" s="5871">
        <f>N64*N$3*24</f>
        <v>2603.4217236998202</v>
      </c>
      <c r="O63" s="5872">
        <v>2311.4546741922049</v>
      </c>
      <c r="P63" s="733">
        <f t="shared" si="287"/>
        <v>10244.963910049706</v>
      </c>
      <c r="Q63" s="733">
        <f t="shared" si="288"/>
        <v>8161.9752576816518</v>
      </c>
      <c r="R63" s="5975">
        <f>R64*R$3*24</f>
        <v>2603.4217236998202</v>
      </c>
      <c r="S63" s="5976">
        <v>1938.8333894748712</v>
      </c>
      <c r="T63" s="4359">
        <f t="shared" ref="T63" si="345">+P63+R63</f>
        <v>12848.385633749527</v>
      </c>
      <c r="U63" s="4359">
        <f t="shared" ref="U63" si="346">+Q63+S63</f>
        <v>10100.808647156522</v>
      </c>
      <c r="V63" s="6049">
        <f>V64*V$3*24</f>
        <v>1571.2593698658002</v>
      </c>
      <c r="W63" s="6050">
        <v>1874.87</v>
      </c>
      <c r="X63" s="732">
        <f t="shared" si="291"/>
        <v>6778.1028172654405</v>
      </c>
      <c r="Y63" s="2104">
        <f t="shared" si="292"/>
        <v>6125.158063667076</v>
      </c>
      <c r="Z63" s="439">
        <f t="shared" si="293"/>
        <v>14419.645003615326</v>
      </c>
      <c r="AA63" s="439">
        <f t="shared" si="294"/>
        <v>11975.678647156523</v>
      </c>
      <c r="AB63" s="6179">
        <f>AB64*AB$3*24</f>
        <v>2520.7438437941669</v>
      </c>
      <c r="AC63" s="6180">
        <v>1896.68</v>
      </c>
      <c r="AD63" s="2236">
        <f t="shared" ref="AD63" si="347">+Z63+AB63</f>
        <v>16940.388847409493</v>
      </c>
      <c r="AE63" s="2236">
        <f t="shared" ref="AE63" si="348">+AA63+AC63</f>
        <v>13872.358647156523</v>
      </c>
      <c r="AF63" s="6372">
        <f>AF64*AF$3*24</f>
        <v>2894.4364246440591</v>
      </c>
      <c r="AG63" s="6373">
        <v>1267.57</v>
      </c>
      <c r="AH63" s="4652">
        <f t="shared" ref="AH63" si="349">+AD63+AF63</f>
        <v>19834.825272053553</v>
      </c>
      <c r="AI63" s="4652">
        <f t="shared" ref="AI63" si="350">+AE63+AG63</f>
        <v>15139.928647156523</v>
      </c>
      <c r="AJ63" s="6624">
        <f>AJ64*AJ$3*24</f>
        <v>2996.6376752435194</v>
      </c>
      <c r="AK63" s="6625">
        <v>1853.538538551838</v>
      </c>
      <c r="AL63" s="2553">
        <f t="shared" ref="AL63" si="351">+AJ63+AF63+AB63</f>
        <v>8411.8179436817463</v>
      </c>
      <c r="AM63" s="2553">
        <f t="shared" si="300"/>
        <v>5017.7885385518384</v>
      </c>
      <c r="AN63" s="2236">
        <f t="shared" ref="AN63" si="352">+AH63+AJ63</f>
        <v>22831.462947297074</v>
      </c>
      <c r="AO63" s="2236">
        <f t="shared" ref="AO63" si="353">+AI63+AK63</f>
        <v>16993.467185708359</v>
      </c>
      <c r="AP63" s="6716">
        <f>AP64*AP$3*24</f>
        <v>3032.3591622647473</v>
      </c>
      <c r="AQ63" s="6717">
        <v>2126.38</v>
      </c>
      <c r="AR63" s="2236">
        <f t="shared" ref="AR63" si="354">+AN63+AP63</f>
        <v>25863.822109561821</v>
      </c>
      <c r="AS63" s="2236">
        <f t="shared" ref="AS63" si="355">+AO63+AQ63</f>
        <v>19119.84718570836</v>
      </c>
      <c r="AT63" s="6861">
        <f>AT64*AT$3*24</f>
        <v>2739.8480038334214</v>
      </c>
      <c r="AU63" s="6862">
        <v>1534.42</v>
      </c>
      <c r="AV63" s="5072">
        <f t="shared" ref="AV63" si="356">+AR63+AT63</f>
        <v>28603.670113395241</v>
      </c>
      <c r="AW63" s="5072">
        <f t="shared" ref="AW63" si="357">+AS63+AU63</f>
        <v>20654.267185708362</v>
      </c>
      <c r="AX63" s="7015">
        <f>AX64*AX$3*24</f>
        <v>2658.0325086333974</v>
      </c>
      <c r="AY63" s="7016">
        <v>1681.43</v>
      </c>
      <c r="AZ63" s="2829">
        <f t="shared" ref="AZ63" si="358">+AX63+AT63+AP63</f>
        <v>8430.2396747315652</v>
      </c>
      <c r="BA63" s="2829">
        <f t="shared" si="308"/>
        <v>5342.2300000000005</v>
      </c>
      <c r="BB63" s="2837">
        <f t="shared" si="309"/>
        <v>16842.05761841331</v>
      </c>
      <c r="BC63" s="2837">
        <f t="shared" si="310"/>
        <v>10360.018538551838</v>
      </c>
      <c r="BD63" s="2236">
        <f t="shared" ref="BD63" si="359">+AV63+AX63</f>
        <v>31261.702622028639</v>
      </c>
      <c r="BE63" s="2236">
        <f t="shared" ref="BE63" si="360">+AW63+AY63</f>
        <v>22335.697185708363</v>
      </c>
      <c r="BF63" s="112"/>
      <c r="BG63" s="112"/>
      <c r="BH63" s="112"/>
      <c r="BI63" s="112"/>
      <c r="BJ63" s="112"/>
    </row>
    <row r="64" spans="2:62" ht="15" hidden="1" customHeight="1" x14ac:dyDescent="0.25">
      <c r="B64" s="8"/>
      <c r="C64" s="2893"/>
      <c r="D64" s="2961">
        <v>3.5166955553846275</v>
      </c>
      <c r="E64" s="7636"/>
      <c r="F64" s="2961">
        <v>3.5003978181423614</v>
      </c>
      <c r="G64" s="5630"/>
      <c r="H64" s="2884"/>
      <c r="I64" s="37"/>
      <c r="J64" s="2961">
        <v>3.4794797357986615</v>
      </c>
      <c r="K64" s="5766"/>
      <c r="L64" s="732"/>
      <c r="M64" s="732"/>
      <c r="N64" s="2961">
        <v>3.4992227469083601</v>
      </c>
      <c r="O64" s="5872"/>
      <c r="P64" s="733"/>
      <c r="Q64" s="733"/>
      <c r="R64" s="2961">
        <v>3.4992227469083601</v>
      </c>
      <c r="S64" s="5976"/>
      <c r="T64" s="4359"/>
      <c r="U64" s="4359"/>
      <c r="V64" s="2961">
        <v>2.1823046803691666</v>
      </c>
      <c r="W64" s="6050"/>
      <c r="X64" s="732"/>
      <c r="Y64" s="2104">
        <f t="shared" si="292"/>
        <v>0</v>
      </c>
      <c r="Z64" s="439"/>
      <c r="AA64" s="439"/>
      <c r="AB64" s="2961">
        <v>3.3880965642394716</v>
      </c>
      <c r="AC64" s="6180"/>
      <c r="AD64" s="2236"/>
      <c r="AE64" s="2236"/>
      <c r="AF64" s="2961">
        <v>4.0200505897834153</v>
      </c>
      <c r="AG64" s="6373"/>
      <c r="AH64" s="4652"/>
      <c r="AI64" s="4652"/>
      <c r="AJ64" s="2961">
        <v>4.027738810811182</v>
      </c>
      <c r="AK64" s="6625"/>
      <c r="AL64" s="2553"/>
      <c r="AM64" s="2553">
        <f t="shared" si="300"/>
        <v>0</v>
      </c>
      <c r="AN64" s="2236"/>
      <c r="AO64" s="2236"/>
      <c r="AP64" s="2961">
        <v>4.0757515621838003</v>
      </c>
      <c r="AQ64" s="6717"/>
      <c r="AR64" s="2236"/>
      <c r="AS64" s="2236"/>
      <c r="AT64" s="2961">
        <v>4.0771547676092581</v>
      </c>
      <c r="AU64" s="6862"/>
      <c r="AV64" s="5072"/>
      <c r="AW64" s="5072"/>
      <c r="AX64" s="2961">
        <v>3.5726243395610178</v>
      </c>
      <c r="AY64" s="7016"/>
      <c r="AZ64" s="2829"/>
      <c r="BA64" s="2829">
        <f t="shared" si="308"/>
        <v>0</v>
      </c>
      <c r="BB64" s="2837">
        <f t="shared" si="309"/>
        <v>0</v>
      </c>
      <c r="BC64" s="2837">
        <f t="shared" si="310"/>
        <v>0</v>
      </c>
      <c r="BD64" s="2236"/>
      <c r="BE64" s="2236"/>
      <c r="BF64" s="112"/>
      <c r="BG64" s="112"/>
      <c r="BH64" s="112"/>
      <c r="BI64" s="112"/>
      <c r="BJ64" s="112"/>
    </row>
    <row r="65" spans="1:62" x14ac:dyDescent="0.25">
      <c r="B65" s="8" t="s">
        <v>91</v>
      </c>
      <c r="C65" s="2893" t="s">
        <v>324</v>
      </c>
      <c r="D65" s="7635">
        <f>D66*D$3*24</f>
        <v>4037.862398440976</v>
      </c>
      <c r="E65" s="7636">
        <v>2663.3</v>
      </c>
      <c r="F65" s="5629">
        <f>F66*F$3*24</f>
        <v>3973.2994199361992</v>
      </c>
      <c r="G65" s="5630">
        <v>2888.2165205590927</v>
      </c>
      <c r="H65" s="2884">
        <f t="shared" si="284"/>
        <v>8011.1618183771752</v>
      </c>
      <c r="I65" s="37">
        <f t="shared" si="284"/>
        <v>5551.5165205590929</v>
      </c>
      <c r="J65" s="5763">
        <f>J66*J$3*24</f>
        <v>3806.7820185840974</v>
      </c>
      <c r="K65" s="5766">
        <v>2735.8936281915189</v>
      </c>
      <c r="L65" s="732">
        <f t="shared" si="285"/>
        <v>11817.943836961273</v>
      </c>
      <c r="M65" s="732">
        <f t="shared" si="286"/>
        <v>8287.4101487506123</v>
      </c>
      <c r="N65" s="5871">
        <f>N66*N$3*24</f>
        <v>3971.9655972980295</v>
      </c>
      <c r="O65" s="5872">
        <v>3255.9549650913755</v>
      </c>
      <c r="P65" s="733">
        <f t="shared" si="287"/>
        <v>15789.909434259302</v>
      </c>
      <c r="Q65" s="733">
        <f t="shared" si="288"/>
        <v>11543.365113841988</v>
      </c>
      <c r="R65" s="5975">
        <f>R66*R$3*24</f>
        <v>3971.9655972980295</v>
      </c>
      <c r="S65" s="5976">
        <v>2854.8184825587114</v>
      </c>
      <c r="T65" s="4359">
        <f t="shared" ref="T65" si="361">+P65+R65</f>
        <v>19761.875031557331</v>
      </c>
      <c r="U65" s="4359">
        <f t="shared" ref="U65" si="362">+Q65+S65</f>
        <v>14398.1835964007</v>
      </c>
      <c r="V65" s="6049">
        <f>V66*V$3*24</f>
        <v>2536.8104645087219</v>
      </c>
      <c r="W65" s="6050">
        <v>2790.48</v>
      </c>
      <c r="X65" s="732">
        <f t="shared" si="291"/>
        <v>10480.74165910478</v>
      </c>
      <c r="Y65" s="2104">
        <f t="shared" si="292"/>
        <v>8901.2534476500878</v>
      </c>
      <c r="Z65" s="439">
        <f t="shared" si="293"/>
        <v>22298.685496066053</v>
      </c>
      <c r="AA65" s="439">
        <f t="shared" si="294"/>
        <v>17188.6635964007</v>
      </c>
      <c r="AB65" s="6179">
        <f>AB66*AB$3*24</f>
        <v>3931.1618713581211</v>
      </c>
      <c r="AC65" s="6180">
        <v>2333.6799999999998</v>
      </c>
      <c r="AD65" s="2236">
        <f t="shared" ref="AD65" si="363">+Z65+AB65</f>
        <v>26229.847367424176</v>
      </c>
      <c r="AE65" s="2236">
        <f t="shared" ref="AE65" si="364">+AA65+AC65</f>
        <v>19522.3435964007</v>
      </c>
      <c r="AF65" s="6372">
        <f>AF66*AF$3*24</f>
        <v>4398.2024500778489</v>
      </c>
      <c r="AG65" s="6373">
        <v>1844.32</v>
      </c>
      <c r="AH65" s="4652">
        <f t="shared" ref="AH65" si="365">+AD65+AF65</f>
        <v>30628.049817502026</v>
      </c>
      <c r="AI65" s="4652">
        <f t="shared" ref="AI65" si="366">+AE65+AG65</f>
        <v>21366.6635964007</v>
      </c>
      <c r="AJ65" s="6624">
        <f>AJ66*AJ$3*24</f>
        <v>4571.8838578020532</v>
      </c>
      <c r="AK65" s="6625">
        <v>2212.6360916611698</v>
      </c>
      <c r="AL65" s="2553">
        <f t="shared" ref="AL65" si="367">+AJ65+AF65+AB65</f>
        <v>12901.248179238022</v>
      </c>
      <c r="AM65" s="2553">
        <f t="shared" si="300"/>
        <v>6390.6360916611702</v>
      </c>
      <c r="AN65" s="2236">
        <f t="shared" ref="AN65" si="368">+AH65+AJ65</f>
        <v>35199.933675304077</v>
      </c>
      <c r="AO65" s="2236">
        <f t="shared" ref="AO65" si="369">+AI65+AK65</f>
        <v>23579.29968806187</v>
      </c>
      <c r="AP65" s="6716">
        <f>AP66*AP$3*24</f>
        <v>4574.4012698727456</v>
      </c>
      <c r="AQ65" s="6717">
        <v>2968.21</v>
      </c>
      <c r="AR65" s="2236">
        <f t="shared" ref="AR65" si="370">+AN65+AP65</f>
        <v>39774.334945176823</v>
      </c>
      <c r="AS65" s="2236">
        <f t="shared" ref="AS65" si="371">+AO65+AQ65</f>
        <v>26547.509688061869</v>
      </c>
      <c r="AT65" s="6861">
        <f>AT66*AT$3*24</f>
        <v>4161.587784060971</v>
      </c>
      <c r="AU65" s="6862">
        <v>2170.19</v>
      </c>
      <c r="AV65" s="5072">
        <f t="shared" ref="AV65" si="372">+AR65+AT65</f>
        <v>43935.922729237791</v>
      </c>
      <c r="AW65" s="5072">
        <f t="shared" ref="AW65" si="373">+AS65+AU65</f>
        <v>28717.699688061868</v>
      </c>
      <c r="AX65" s="7015">
        <f>AX66*AX$3*24</f>
        <v>4060.4746478745037</v>
      </c>
      <c r="AY65" s="7016">
        <v>2283.37</v>
      </c>
      <c r="AZ65" s="2829">
        <f t="shared" ref="AZ65" si="374">+AX65+AT65+AP65</f>
        <v>12796.463701808221</v>
      </c>
      <c r="BA65" s="2829">
        <f t="shared" si="308"/>
        <v>7421.7699999999995</v>
      </c>
      <c r="BB65" s="2837">
        <f t="shared" si="309"/>
        <v>25697.711881046242</v>
      </c>
      <c r="BC65" s="2837">
        <f t="shared" si="310"/>
        <v>13812.406091661171</v>
      </c>
      <c r="BD65" s="2236">
        <f t="shared" ref="BD65" si="375">+AV65+AX65</f>
        <v>47996.397377112298</v>
      </c>
      <c r="BE65" s="2236">
        <f t="shared" ref="BE65" si="376">+AW65+AY65</f>
        <v>31001.069688061867</v>
      </c>
      <c r="BF65" s="112"/>
      <c r="BG65" s="112"/>
      <c r="BH65" s="112"/>
      <c r="BI65" s="112"/>
      <c r="BJ65" s="112"/>
    </row>
    <row r="66" spans="1:62" ht="15" hidden="1" customHeight="1" x14ac:dyDescent="0.25">
      <c r="B66" s="8"/>
      <c r="C66" s="2893"/>
      <c r="D66" s="2961">
        <v>5.6081422200569104</v>
      </c>
      <c r="E66" s="7636"/>
      <c r="F66" s="2961">
        <v>5.3404562095916663</v>
      </c>
      <c r="G66" s="5630"/>
      <c r="H66" s="2884"/>
      <c r="I66" s="37"/>
      <c r="J66" s="2961">
        <v>5.2871972480334684</v>
      </c>
      <c r="K66" s="5766"/>
      <c r="L66" s="732"/>
      <c r="M66" s="732"/>
      <c r="N66" s="2961">
        <v>5.3386634372285346</v>
      </c>
      <c r="O66" s="5872"/>
      <c r="P66" s="733"/>
      <c r="Q66" s="733"/>
      <c r="R66" s="2961">
        <v>5.3386634372285346</v>
      </c>
      <c r="S66" s="5976"/>
      <c r="T66" s="4359"/>
      <c r="U66" s="4359"/>
      <c r="V66" s="2961">
        <v>3.523347867373225</v>
      </c>
      <c r="W66" s="6050"/>
      <c r="X66" s="732"/>
      <c r="Y66" s="2104">
        <f t="shared" si="292"/>
        <v>0</v>
      </c>
      <c r="Z66" s="439"/>
      <c r="AA66" s="439"/>
      <c r="AB66" s="2961">
        <v>5.2838197195673668</v>
      </c>
      <c r="AC66" s="6180"/>
      <c r="AD66" s="2236"/>
      <c r="AE66" s="2236"/>
      <c r="AF66" s="2961">
        <v>6.1086145139970123</v>
      </c>
      <c r="AG66" s="6373"/>
      <c r="AH66" s="4652"/>
      <c r="AI66" s="4652"/>
      <c r="AJ66" s="2961">
        <v>6.1450051852178138</v>
      </c>
      <c r="AK66" s="6625"/>
      <c r="AL66" s="2553"/>
      <c r="AM66" s="2553">
        <f t="shared" si="300"/>
        <v>0</v>
      </c>
      <c r="AN66" s="2236"/>
      <c r="AO66" s="2236"/>
      <c r="AP66" s="2961">
        <v>6.1483888035924004</v>
      </c>
      <c r="AQ66" s="6717"/>
      <c r="AR66" s="2236"/>
      <c r="AS66" s="2236"/>
      <c r="AT66" s="2961">
        <v>6.1928389643764454</v>
      </c>
      <c r="AU66" s="6862"/>
      <c r="AV66" s="5072"/>
      <c r="AW66" s="5072"/>
      <c r="AX66" s="2961">
        <v>5.4576272148850862</v>
      </c>
      <c r="AY66" s="7016"/>
      <c r="AZ66" s="2829"/>
      <c r="BA66" s="2829">
        <f t="shared" si="308"/>
        <v>0</v>
      </c>
      <c r="BB66" s="2837">
        <f t="shared" si="309"/>
        <v>0</v>
      </c>
      <c r="BC66" s="2837">
        <f t="shared" si="310"/>
        <v>0</v>
      </c>
      <c r="BD66" s="2236"/>
      <c r="BE66" s="2236"/>
      <c r="BF66" s="112"/>
      <c r="BG66" s="112"/>
      <c r="BH66" s="112"/>
      <c r="BI66" s="112"/>
      <c r="BJ66" s="112"/>
    </row>
    <row r="67" spans="1:62" x14ac:dyDescent="0.25">
      <c r="B67" s="8" t="s">
        <v>109</v>
      </c>
      <c r="C67" s="2893" t="s">
        <v>324</v>
      </c>
      <c r="D67" s="7635">
        <f>D68*D$3*24</f>
        <v>6805.8678865621314</v>
      </c>
      <c r="E67" s="7636">
        <v>3420.25</v>
      </c>
      <c r="F67" s="5629">
        <f>F68*F$3*24</f>
        <v>6584.5564384058143</v>
      </c>
      <c r="G67" s="5630">
        <v>3976.5581888211391</v>
      </c>
      <c r="H67" s="2884">
        <f t="shared" si="284"/>
        <v>13390.424324967946</v>
      </c>
      <c r="I67" s="37">
        <f t="shared" si="284"/>
        <v>7396.8081888211391</v>
      </c>
      <c r="J67" s="5763">
        <f>J68*J$3*24</f>
        <v>6255.8961094052274</v>
      </c>
      <c r="K67" s="5766">
        <v>3805.5127594015194</v>
      </c>
      <c r="L67" s="732">
        <f t="shared" si="285"/>
        <v>19646.320434373174</v>
      </c>
      <c r="M67" s="732">
        <f t="shared" si="286"/>
        <v>11202.320948222659</v>
      </c>
      <c r="N67" s="5871">
        <f>N68*N$3*24</f>
        <v>6572.2504032330917</v>
      </c>
      <c r="O67" s="5872">
        <v>4002.1142740044975</v>
      </c>
      <c r="P67" s="733">
        <f t="shared" si="287"/>
        <v>26218.570837606265</v>
      </c>
      <c r="Q67" s="733">
        <f t="shared" si="288"/>
        <v>15204.435222227157</v>
      </c>
      <c r="R67" s="5975">
        <f>R68*R$3*24</f>
        <v>6572.2504032330917</v>
      </c>
      <c r="S67" s="5976">
        <v>3718.8759067985261</v>
      </c>
      <c r="T67" s="4359">
        <f t="shared" ref="T67" si="377">+P67+R67</f>
        <v>32790.821240839359</v>
      </c>
      <c r="U67" s="4359">
        <f t="shared" ref="U67" si="378">+Q67+S67</f>
        <v>18923.311129025682</v>
      </c>
      <c r="V67" s="6049">
        <f>V68*V$3*24</f>
        <v>3560.3051361237108</v>
      </c>
      <c r="W67" s="6050">
        <v>3762.81</v>
      </c>
      <c r="X67" s="732">
        <f t="shared" si="291"/>
        <v>16704.805942589894</v>
      </c>
      <c r="Y67" s="2104">
        <f t="shared" si="292"/>
        <v>11483.800180803024</v>
      </c>
      <c r="Z67" s="439">
        <f t="shared" si="293"/>
        <v>36351.126376963068</v>
      </c>
      <c r="AA67" s="439">
        <f t="shared" si="294"/>
        <v>22686.121129025683</v>
      </c>
      <c r="AB67" s="6179">
        <f>AB68*AB$3*24</f>
        <v>6800.6484231519062</v>
      </c>
      <c r="AC67" s="6180">
        <v>2817.3</v>
      </c>
      <c r="AD67" s="2236">
        <f t="shared" ref="AD67" si="379">+Z67+AB67</f>
        <v>43151.774800114974</v>
      </c>
      <c r="AE67" s="2236">
        <f t="shared" ref="AE67" si="380">+AA67+AC67</f>
        <v>25503.421129025683</v>
      </c>
      <c r="AF67" s="6372">
        <f>AF68*AF$3*24</f>
        <v>7576.4183243908719</v>
      </c>
      <c r="AG67" s="6373">
        <v>2547.3200000000002</v>
      </c>
      <c r="AH67" s="4652">
        <f t="shared" ref="AH67" si="381">+AD67+AF67</f>
        <v>50728.193124505844</v>
      </c>
      <c r="AI67" s="4652">
        <f t="shared" ref="AI67" si="382">+AE67+AG67</f>
        <v>28050.741129025682</v>
      </c>
      <c r="AJ67" s="6624">
        <f>AJ68*AJ$3*24</f>
        <v>7797.3197556798186</v>
      </c>
      <c r="AK67" s="6625">
        <v>2939.2356441764327</v>
      </c>
      <c r="AL67" s="2553">
        <f t="shared" ref="AL67" si="383">+AJ67+AF67+AB67</f>
        <v>22174.386503222595</v>
      </c>
      <c r="AM67" s="2553">
        <f t="shared" si="300"/>
        <v>8303.855644176434</v>
      </c>
      <c r="AN67" s="2236">
        <f t="shared" ref="AN67" si="384">+AH67+AJ67</f>
        <v>58525.512880185663</v>
      </c>
      <c r="AO67" s="2236">
        <f t="shared" ref="AO67" si="385">+AI67+AK67</f>
        <v>30989.976773202114</v>
      </c>
      <c r="AP67" s="6716">
        <f>AP68*AP$3*24</f>
        <v>7801.6131864585768</v>
      </c>
      <c r="AQ67" s="6717">
        <v>4160.01</v>
      </c>
      <c r="AR67" s="2236">
        <f t="shared" ref="AR67" si="386">+AN67+AP67</f>
        <v>66327.126066644239</v>
      </c>
      <c r="AS67" s="2236">
        <f t="shared" ref="AS67" si="387">+AO67+AQ67</f>
        <v>35149.986773202116</v>
      </c>
      <c r="AT67" s="6861">
        <f>AT68*AT$3*24</f>
        <v>7386.2639413810048</v>
      </c>
      <c r="AU67" s="6862">
        <v>3231.07</v>
      </c>
      <c r="AV67" s="5072">
        <f t="shared" ref="AV67" si="388">+AR67+AT67</f>
        <v>73713.39000802525</v>
      </c>
      <c r="AW67" s="5072">
        <f t="shared" ref="AW67" si="389">+AS67+AU67</f>
        <v>38381.056773202115</v>
      </c>
      <c r="AX67" s="7015">
        <f>AX68*AX$3*24</f>
        <v>6848.7421478860942</v>
      </c>
      <c r="AY67" s="7016">
        <v>3156.51</v>
      </c>
      <c r="AZ67" s="2829">
        <f t="shared" ref="AZ67" si="390">+AX67+AT67+AP67</f>
        <v>22036.619275725676</v>
      </c>
      <c r="BA67" s="2829">
        <f t="shared" si="308"/>
        <v>10547.59</v>
      </c>
      <c r="BB67" s="2837">
        <f t="shared" si="309"/>
        <v>44211.005778948267</v>
      </c>
      <c r="BC67" s="2837">
        <f t="shared" si="310"/>
        <v>18851.445644176434</v>
      </c>
      <c r="BD67" s="2236">
        <f t="shared" ref="BD67" si="391">+AV67+AX67</f>
        <v>80562.132155911342</v>
      </c>
      <c r="BE67" s="2236">
        <f t="shared" ref="BE67" si="392">+AW67+AY67</f>
        <v>41537.566773202117</v>
      </c>
      <c r="BF67" s="112"/>
      <c r="BG67" s="112"/>
      <c r="BH67" s="112"/>
      <c r="BI67" s="112"/>
      <c r="BJ67" s="112"/>
    </row>
    <row r="68" spans="1:62" ht="15" hidden="1" customHeight="1" x14ac:dyDescent="0.25">
      <c r="B68" s="8"/>
      <c r="C68" s="2893"/>
      <c r="D68" s="2961">
        <v>9.4525942868918484</v>
      </c>
      <c r="E68" s="7636"/>
      <c r="F68" s="2961">
        <v>8.8502102666744822</v>
      </c>
      <c r="G68" s="5630"/>
      <c r="H68" s="2884"/>
      <c r="I68" s="37"/>
      <c r="J68" s="2961">
        <v>8.68874459639615</v>
      </c>
      <c r="K68" s="5766"/>
      <c r="L68" s="732"/>
      <c r="M68" s="732"/>
      <c r="N68" s="2961">
        <v>8.8336698968186713</v>
      </c>
      <c r="O68" s="5872"/>
      <c r="P68" s="733"/>
      <c r="Q68" s="733"/>
      <c r="R68" s="2961">
        <v>8.8336698968186713</v>
      </c>
      <c r="S68" s="5976"/>
      <c r="T68" s="4359"/>
      <c r="U68" s="4359"/>
      <c r="V68" s="2961">
        <v>4.9448682446162646</v>
      </c>
      <c r="W68" s="6050"/>
      <c r="X68" s="732"/>
      <c r="Y68" s="2104">
        <f t="shared" si="292"/>
        <v>0</v>
      </c>
      <c r="Z68" s="439"/>
      <c r="AA68" s="439"/>
      <c r="AB68" s="2961">
        <v>9.1406564827310568</v>
      </c>
      <c r="AC68" s="6180"/>
      <c r="AD68" s="2236"/>
      <c r="AE68" s="2236"/>
      <c r="AF68" s="2961">
        <v>10.522803228320655</v>
      </c>
      <c r="AG68" s="6373"/>
      <c r="AH68" s="4652"/>
      <c r="AI68" s="4652"/>
      <c r="AJ68" s="2961">
        <v>10.480268488816959</v>
      </c>
      <c r="AK68" s="6625"/>
      <c r="AL68" s="2553"/>
      <c r="AM68" s="2553">
        <f t="shared" si="300"/>
        <v>0</v>
      </c>
      <c r="AN68" s="2236"/>
      <c r="AO68" s="2236"/>
      <c r="AP68" s="2961">
        <v>10.48603922911099</v>
      </c>
      <c r="AQ68" s="6717"/>
      <c r="AR68" s="2236"/>
      <c r="AS68" s="2236"/>
      <c r="AT68" s="2961">
        <v>10.991464198483639</v>
      </c>
      <c r="AU68" s="6862"/>
      <c r="AV68" s="5072"/>
      <c r="AW68" s="5072"/>
      <c r="AX68" s="2961">
        <v>9.2052985858684071</v>
      </c>
      <c r="AY68" s="7016"/>
      <c r="AZ68" s="2829"/>
      <c r="BA68" s="2829">
        <f t="shared" si="308"/>
        <v>0</v>
      </c>
      <c r="BB68" s="2837">
        <f t="shared" si="309"/>
        <v>0</v>
      </c>
      <c r="BC68" s="2837">
        <f t="shared" si="310"/>
        <v>0</v>
      </c>
      <c r="BD68" s="2236"/>
      <c r="BE68" s="2236"/>
      <c r="BF68" s="112"/>
      <c r="BG68" s="112"/>
      <c r="BH68" s="112"/>
      <c r="BI68" s="112"/>
      <c r="BJ68" s="112"/>
    </row>
    <row r="69" spans="1:62" x14ac:dyDescent="0.25">
      <c r="B69" s="8" t="s">
        <v>82</v>
      </c>
      <c r="C69" s="2893" t="s">
        <v>324</v>
      </c>
      <c r="D69" s="7635">
        <f>D70*D$3*24</f>
        <v>0</v>
      </c>
      <c r="E69" s="7636"/>
      <c r="F69" s="5629">
        <f>F70*F$3*24</f>
        <v>0</v>
      </c>
      <c r="G69" s="5630">
        <v>0</v>
      </c>
      <c r="H69" s="2884">
        <f t="shared" si="284"/>
        <v>0</v>
      </c>
      <c r="I69" s="37">
        <f t="shared" si="284"/>
        <v>0</v>
      </c>
      <c r="J69" s="5763">
        <f>J70*J$3*24</f>
        <v>0</v>
      </c>
      <c r="K69" s="5766">
        <v>0</v>
      </c>
      <c r="L69" s="732">
        <f t="shared" si="285"/>
        <v>0</v>
      </c>
      <c r="M69" s="732">
        <f t="shared" si="286"/>
        <v>0</v>
      </c>
      <c r="N69" s="5871">
        <f>N70*N$3*24</f>
        <v>0</v>
      </c>
      <c r="O69" s="5872">
        <v>0</v>
      </c>
      <c r="P69" s="733">
        <f t="shared" si="287"/>
        <v>0</v>
      </c>
      <c r="Q69" s="733">
        <f t="shared" si="288"/>
        <v>0</v>
      </c>
      <c r="R69" s="5975">
        <f>R70*R$3*24</f>
        <v>0</v>
      </c>
      <c r="S69" s="5976">
        <v>0</v>
      </c>
      <c r="T69" s="4359">
        <f t="shared" ref="T69" si="393">+P69+R69</f>
        <v>0</v>
      </c>
      <c r="U69" s="4359">
        <f t="shared" ref="U69" si="394">+Q69+S69</f>
        <v>0</v>
      </c>
      <c r="V69" s="6049">
        <f>V70*V$3*24</f>
        <v>0</v>
      </c>
      <c r="W69" s="6050">
        <v>0</v>
      </c>
      <c r="X69" s="732">
        <f t="shared" si="291"/>
        <v>0</v>
      </c>
      <c r="Y69" s="2104">
        <f t="shared" si="292"/>
        <v>0</v>
      </c>
      <c r="Z69" s="439">
        <f t="shared" si="293"/>
        <v>0</v>
      </c>
      <c r="AA69" s="439">
        <f t="shared" si="294"/>
        <v>0</v>
      </c>
      <c r="AB69" s="6179">
        <f>AB70*AB$3*24</f>
        <v>0</v>
      </c>
      <c r="AC69" s="6180">
        <v>0</v>
      </c>
      <c r="AD69" s="2236">
        <f t="shared" ref="AD69" si="395">+Z69+AB69</f>
        <v>0</v>
      </c>
      <c r="AE69" s="2236">
        <f t="shared" ref="AE69" si="396">+AA69+AC69</f>
        <v>0</v>
      </c>
      <c r="AF69" s="6372">
        <f>AF70*AF$3*24</f>
        <v>0</v>
      </c>
      <c r="AG69" s="6373">
        <v>0</v>
      </c>
      <c r="AH69" s="4652">
        <f t="shared" ref="AH69" si="397">+AD69+AF69</f>
        <v>0</v>
      </c>
      <c r="AI69" s="4652">
        <f t="shared" ref="AI69" si="398">+AE69+AG69</f>
        <v>0</v>
      </c>
      <c r="AJ69" s="6624">
        <f>AJ70*AJ$3*24</f>
        <v>0</v>
      </c>
      <c r="AK69" s="6625">
        <v>0</v>
      </c>
      <c r="AL69" s="2553">
        <f t="shared" ref="AL69" si="399">+AJ69+AF69+AB69</f>
        <v>0</v>
      </c>
      <c r="AM69" s="2553">
        <f t="shared" si="300"/>
        <v>0</v>
      </c>
      <c r="AN69" s="2236">
        <f t="shared" ref="AN69" si="400">+AH69+AJ69</f>
        <v>0</v>
      </c>
      <c r="AO69" s="2236">
        <f t="shared" ref="AO69" si="401">+AI69+AK69</f>
        <v>0</v>
      </c>
      <c r="AP69" s="6716">
        <f>AP70*AP$3*24</f>
        <v>0</v>
      </c>
      <c r="AQ69" s="6717">
        <v>0</v>
      </c>
      <c r="AR69" s="2236">
        <f t="shared" ref="AR69" si="402">+AN69+AP69</f>
        <v>0</v>
      </c>
      <c r="AS69" s="2236">
        <f t="shared" ref="AS69" si="403">+AO69+AQ69</f>
        <v>0</v>
      </c>
      <c r="AT69" s="6861">
        <f>AT70*AT$3*24</f>
        <v>0</v>
      </c>
      <c r="AU69" s="6862">
        <v>0</v>
      </c>
      <c r="AV69" s="5072">
        <f t="shared" ref="AV69" si="404">+AR69+AT69</f>
        <v>0</v>
      </c>
      <c r="AW69" s="5072">
        <f t="shared" ref="AW69" si="405">+AS69+AU69</f>
        <v>0</v>
      </c>
      <c r="AX69" s="7015">
        <f>AX70*AX$3*24</f>
        <v>0</v>
      </c>
      <c r="AY69" s="7016">
        <v>0</v>
      </c>
      <c r="AZ69" s="2829">
        <f t="shared" ref="AZ69" si="406">+AX69+AT69+AP69</f>
        <v>0</v>
      </c>
      <c r="BA69" s="2829">
        <f t="shared" si="308"/>
        <v>0</v>
      </c>
      <c r="BB69" s="2837">
        <f t="shared" si="309"/>
        <v>0</v>
      </c>
      <c r="BC69" s="2837">
        <f t="shared" si="310"/>
        <v>0</v>
      </c>
      <c r="BD69" s="2236">
        <f t="shared" ref="BD69" si="407">+AV69+AX69</f>
        <v>0</v>
      </c>
      <c r="BE69" s="2236">
        <f t="shared" ref="BE69" si="408">+AW69+AY69</f>
        <v>0</v>
      </c>
      <c r="BF69" s="112"/>
      <c r="BG69" s="112"/>
      <c r="BH69" s="112"/>
      <c r="BI69" s="112"/>
      <c r="BJ69" s="112"/>
    </row>
    <row r="70" spans="1:62" ht="15" hidden="1" customHeight="1" x14ac:dyDescent="0.25">
      <c r="B70" s="8"/>
      <c r="C70" s="2893"/>
      <c r="D70" s="7635"/>
      <c r="E70" s="7636"/>
      <c r="F70" s="5629">
        <v>0</v>
      </c>
      <c r="G70" s="5630">
        <v>0</v>
      </c>
      <c r="H70" s="2884"/>
      <c r="I70" s="37"/>
      <c r="J70" s="5763">
        <v>0</v>
      </c>
      <c r="K70" s="5766"/>
      <c r="L70" s="732"/>
      <c r="M70" s="732"/>
      <c r="N70" s="5871">
        <v>0</v>
      </c>
      <c r="O70" s="5872"/>
      <c r="P70" s="733"/>
      <c r="Q70" s="733"/>
      <c r="R70" s="5975">
        <v>0</v>
      </c>
      <c r="S70" s="5976"/>
      <c r="T70" s="4359"/>
      <c r="U70" s="4359"/>
      <c r="V70" s="6049">
        <v>0</v>
      </c>
      <c r="W70" s="6050"/>
      <c r="X70" s="732"/>
      <c r="Y70" s="2104">
        <f t="shared" si="292"/>
        <v>0</v>
      </c>
      <c r="Z70" s="439"/>
      <c r="AA70" s="439"/>
      <c r="AB70" s="6179">
        <v>0</v>
      </c>
      <c r="AC70" s="6180"/>
      <c r="AD70" s="2236"/>
      <c r="AE70" s="2236"/>
      <c r="AF70" s="6372">
        <v>0</v>
      </c>
      <c r="AG70" s="6373"/>
      <c r="AH70" s="4652"/>
      <c r="AI70" s="4652"/>
      <c r="AJ70" s="6624">
        <v>0</v>
      </c>
      <c r="AK70" s="6625"/>
      <c r="AL70" s="2553"/>
      <c r="AM70" s="2553">
        <f t="shared" si="300"/>
        <v>0</v>
      </c>
      <c r="AN70" s="2236"/>
      <c r="AO70" s="2236"/>
      <c r="AP70" s="6716">
        <v>0</v>
      </c>
      <c r="AQ70" s="6717"/>
      <c r="AR70" s="2236"/>
      <c r="AS70" s="2236"/>
      <c r="AT70" s="6861">
        <v>0</v>
      </c>
      <c r="AU70" s="6862"/>
      <c r="AV70" s="5072"/>
      <c r="AW70" s="5072"/>
      <c r="AX70" s="7015"/>
      <c r="AY70" s="7016"/>
      <c r="AZ70" s="2829"/>
      <c r="BA70" s="2829">
        <f t="shared" si="308"/>
        <v>0</v>
      </c>
      <c r="BB70" s="2837">
        <f t="shared" si="309"/>
        <v>0</v>
      </c>
      <c r="BC70" s="2837">
        <f t="shared" si="310"/>
        <v>0</v>
      </c>
      <c r="BD70" s="2236"/>
      <c r="BE70" s="2236"/>
      <c r="BF70" s="112"/>
      <c r="BG70" s="112"/>
      <c r="BH70" s="112"/>
      <c r="BI70" s="112"/>
      <c r="BJ70" s="112"/>
    </row>
    <row r="71" spans="1:62" x14ac:dyDescent="0.25">
      <c r="B71" s="8" t="s">
        <v>442</v>
      </c>
      <c r="C71" s="2893" t="s">
        <v>324</v>
      </c>
      <c r="D71" s="7635">
        <f>D72*D$3*24</f>
        <v>0</v>
      </c>
      <c r="E71" s="7636"/>
      <c r="F71" s="5629">
        <f>F72*F$3*24</f>
        <v>0</v>
      </c>
      <c r="G71" s="5630">
        <v>0</v>
      </c>
      <c r="H71" s="2884">
        <f t="shared" si="284"/>
        <v>0</v>
      </c>
      <c r="I71" s="37">
        <f t="shared" si="284"/>
        <v>0</v>
      </c>
      <c r="J71" s="5763">
        <f>J72*J$3*24</f>
        <v>0</v>
      </c>
      <c r="K71" s="5766">
        <v>0</v>
      </c>
      <c r="L71" s="732">
        <f t="shared" si="285"/>
        <v>0</v>
      </c>
      <c r="M71" s="732">
        <f t="shared" si="286"/>
        <v>0</v>
      </c>
      <c r="N71" s="5871">
        <f>N72*N$3*24</f>
        <v>0</v>
      </c>
      <c r="O71" s="5872">
        <v>0</v>
      </c>
      <c r="P71" s="733">
        <f t="shared" si="287"/>
        <v>0</v>
      </c>
      <c r="Q71" s="733">
        <f t="shared" si="288"/>
        <v>0</v>
      </c>
      <c r="R71" s="5975">
        <f>R72*R$3*24</f>
        <v>0</v>
      </c>
      <c r="S71" s="5976">
        <v>0</v>
      </c>
      <c r="T71" s="4359">
        <f t="shared" ref="T71" si="409">+P71+R71</f>
        <v>0</v>
      </c>
      <c r="U71" s="4359">
        <f t="shared" ref="U71" si="410">+Q71+S71</f>
        <v>0</v>
      </c>
      <c r="V71" s="6049">
        <f>V72*V$3*24</f>
        <v>0</v>
      </c>
      <c r="W71" s="6050">
        <v>0</v>
      </c>
      <c r="X71" s="732">
        <f t="shared" si="291"/>
        <v>0</v>
      </c>
      <c r="Y71" s="2104">
        <f t="shared" si="292"/>
        <v>0</v>
      </c>
      <c r="Z71" s="439">
        <f t="shared" si="293"/>
        <v>0</v>
      </c>
      <c r="AA71" s="439">
        <f t="shared" si="294"/>
        <v>0</v>
      </c>
      <c r="AB71" s="6179">
        <f>AB72*AB$3*24</f>
        <v>0</v>
      </c>
      <c r="AC71" s="6180">
        <v>0</v>
      </c>
      <c r="AD71" s="2236">
        <f t="shared" ref="AD71" si="411">+Z71+AB71</f>
        <v>0</v>
      </c>
      <c r="AE71" s="2236">
        <f t="shared" ref="AE71" si="412">+AA71+AC71</f>
        <v>0</v>
      </c>
      <c r="AF71" s="6372">
        <f>AF72*AF$3*24</f>
        <v>0</v>
      </c>
      <c r="AG71" s="6373">
        <v>0</v>
      </c>
      <c r="AH71" s="4652">
        <f t="shared" ref="AH71" si="413">+AD71+AF71</f>
        <v>0</v>
      </c>
      <c r="AI71" s="4652">
        <f t="shared" ref="AI71" si="414">+AE71+AG71</f>
        <v>0</v>
      </c>
      <c r="AJ71" s="6624">
        <f>AJ72*AJ$3*24</f>
        <v>0</v>
      </c>
      <c r="AK71" s="6625">
        <v>0</v>
      </c>
      <c r="AL71" s="2553">
        <f t="shared" ref="AL71" si="415">+AJ71+AF71+AB71</f>
        <v>0</v>
      </c>
      <c r="AM71" s="2553">
        <f t="shared" si="300"/>
        <v>0</v>
      </c>
      <c r="AN71" s="2236">
        <f t="shared" ref="AN71" si="416">+AH71+AJ71</f>
        <v>0</v>
      </c>
      <c r="AO71" s="2236">
        <f t="shared" ref="AO71" si="417">+AI71+AK71</f>
        <v>0</v>
      </c>
      <c r="AP71" s="6716">
        <f>AP72*AP$3*24</f>
        <v>0</v>
      </c>
      <c r="AQ71" s="6717">
        <v>0</v>
      </c>
      <c r="AR71" s="2236">
        <f t="shared" ref="AR71" si="418">+AN71+AP71</f>
        <v>0</v>
      </c>
      <c r="AS71" s="2236">
        <f t="shared" ref="AS71" si="419">+AO71+AQ71</f>
        <v>0</v>
      </c>
      <c r="AT71" s="6861">
        <f>AT72*AT$3*24</f>
        <v>0</v>
      </c>
      <c r="AU71" s="6862">
        <v>0</v>
      </c>
      <c r="AV71" s="5072">
        <f t="shared" ref="AV71" si="420">+AR71+AT71</f>
        <v>0</v>
      </c>
      <c r="AW71" s="5072">
        <f t="shared" ref="AW71" si="421">+AS71+AU71</f>
        <v>0</v>
      </c>
      <c r="AX71" s="7015">
        <f>AX72*AX$3*24</f>
        <v>0</v>
      </c>
      <c r="AY71" s="7016">
        <v>0</v>
      </c>
      <c r="AZ71" s="2829">
        <f t="shared" ref="AZ71" si="422">+AX71+AT71+AP71</f>
        <v>0</v>
      </c>
      <c r="BA71" s="2829">
        <f t="shared" si="308"/>
        <v>0</v>
      </c>
      <c r="BB71" s="2837">
        <f t="shared" si="309"/>
        <v>0</v>
      </c>
      <c r="BC71" s="2837">
        <f t="shared" si="310"/>
        <v>0</v>
      </c>
      <c r="BD71" s="2236">
        <f t="shared" ref="BD71" si="423">+AV71+AX71</f>
        <v>0</v>
      </c>
      <c r="BE71" s="2236">
        <f t="shared" ref="BE71" si="424">+AW71+AY71</f>
        <v>0</v>
      </c>
      <c r="BF71" s="112"/>
      <c r="BG71" s="112"/>
      <c r="BH71" s="112"/>
      <c r="BI71" s="112"/>
      <c r="BJ71" s="112"/>
    </row>
    <row r="72" spans="1:62" ht="15" hidden="1" customHeight="1" x14ac:dyDescent="0.25">
      <c r="B72" s="8"/>
      <c r="C72" s="2893"/>
      <c r="D72" s="7635"/>
      <c r="E72" s="7636"/>
      <c r="F72" s="5629">
        <v>0</v>
      </c>
      <c r="G72" s="5630"/>
      <c r="H72" s="2884"/>
      <c r="I72" s="37"/>
      <c r="J72" s="5763">
        <v>0</v>
      </c>
      <c r="K72" s="5766"/>
      <c r="L72" s="732"/>
      <c r="M72" s="732"/>
      <c r="N72" s="5871">
        <v>0</v>
      </c>
      <c r="O72" s="5872"/>
      <c r="P72" s="733"/>
      <c r="Q72" s="733"/>
      <c r="R72" s="5975">
        <v>0</v>
      </c>
      <c r="S72" s="5976"/>
      <c r="T72" s="4359"/>
      <c r="U72" s="4359"/>
      <c r="V72" s="6049">
        <v>0</v>
      </c>
      <c r="W72" s="6050"/>
      <c r="X72" s="732"/>
      <c r="Y72" s="2104">
        <f t="shared" si="292"/>
        <v>0</v>
      </c>
      <c r="Z72" s="439"/>
      <c r="AA72" s="439"/>
      <c r="AB72" s="6179">
        <v>0</v>
      </c>
      <c r="AC72" s="6180"/>
      <c r="AD72" s="2236"/>
      <c r="AE72" s="2236"/>
      <c r="AF72" s="6372">
        <v>0</v>
      </c>
      <c r="AG72" s="6373"/>
      <c r="AH72" s="4652"/>
      <c r="AI72" s="4652"/>
      <c r="AJ72" s="6624">
        <v>0</v>
      </c>
      <c r="AK72" s="6625"/>
      <c r="AL72" s="2553"/>
      <c r="AM72" s="2553">
        <f t="shared" si="300"/>
        <v>0</v>
      </c>
      <c r="AN72" s="2236"/>
      <c r="AO72" s="2236"/>
      <c r="AP72" s="6716">
        <v>0</v>
      </c>
      <c r="AQ72" s="6717">
        <v>0</v>
      </c>
      <c r="AR72" s="2236"/>
      <c r="AS72" s="2236"/>
      <c r="AT72" s="6861">
        <v>0</v>
      </c>
      <c r="AU72" s="6862"/>
      <c r="AV72" s="5072"/>
      <c r="AW72" s="5072"/>
      <c r="AX72" s="7015"/>
      <c r="AY72" s="7016"/>
      <c r="AZ72" s="2829"/>
      <c r="BA72" s="2829">
        <f t="shared" si="308"/>
        <v>0</v>
      </c>
      <c r="BB72" s="2827"/>
      <c r="BC72" s="2827"/>
      <c r="BD72" s="2236"/>
      <c r="BE72" s="2236"/>
      <c r="BF72" s="112"/>
      <c r="BG72" s="112">
        <f>D73/(24*30)</f>
        <v>420.41200000000003</v>
      </c>
      <c r="BH72" s="112"/>
      <c r="BI72" s="112"/>
      <c r="BJ72" s="112"/>
    </row>
    <row r="73" spans="1:62" ht="16.5" thickBot="1" x14ac:dyDescent="0.3">
      <c r="B73" s="2285" t="s">
        <v>61</v>
      </c>
      <c r="C73" s="3135" t="s">
        <v>324</v>
      </c>
      <c r="D73" s="2287">
        <f>D57+D59+D61+D63+D65+D67+D69+D71</f>
        <v>302696.64</v>
      </c>
      <c r="E73" s="2287">
        <f t="shared" ref="E73" si="425">E57+E59+E61+E63+E65+E67+E69+E71</f>
        <v>352033.89</v>
      </c>
      <c r="F73" s="2287">
        <f>F57+F59+F61+F63+F65+F67+F69+F71</f>
        <v>386732.4</v>
      </c>
      <c r="G73" s="2287">
        <f t="shared" ref="G73" si="426">G57+G59+G61+G63+G65+G67+G69+G71</f>
        <v>368602.34221507778</v>
      </c>
      <c r="H73" s="2272">
        <f t="shared" ref="H73:I73" si="427">H57+H59+H61+H63+H65+H67+H69+H71</f>
        <v>689429.04</v>
      </c>
      <c r="I73" s="1878">
        <f t="shared" si="427"/>
        <v>720636.23221507785</v>
      </c>
      <c r="J73" s="2287">
        <f>J57+J59+J61+J63+J65+J67+J69+J71</f>
        <v>373613.76</v>
      </c>
      <c r="K73" s="2287">
        <f t="shared" ref="K73" si="428">K57+K59+K61+K63+K65+K67+K69+K71</f>
        <v>371175.85279871814</v>
      </c>
      <c r="L73" s="749">
        <f t="shared" ref="L73:Q73" si="429">SUM(L57:L71)</f>
        <v>1063042.8</v>
      </c>
      <c r="M73" s="749">
        <f t="shared" si="429"/>
        <v>1091812.0850137956</v>
      </c>
      <c r="N73" s="2287">
        <f>N57+N59+N61+N63+N65+N67+N69+N71</f>
        <v>382941.6</v>
      </c>
      <c r="O73" s="2287">
        <f t="shared" ref="O73" si="430">O57+O59+O61+O63+O65+O67+O69+O71</f>
        <v>389509.52391328802</v>
      </c>
      <c r="P73" s="235">
        <f t="shared" si="429"/>
        <v>1445984.4000000001</v>
      </c>
      <c r="Q73" s="235">
        <f t="shared" si="429"/>
        <v>1481321.6089270839</v>
      </c>
      <c r="R73" s="2287">
        <f>R57+R59+R61+R63+R65+R67+R69+R71</f>
        <v>380463.00000000006</v>
      </c>
      <c r="S73" s="2287">
        <f t="shared" ref="S73" si="431">S57+S59+S61+S63+S65+S67+S69+S71</f>
        <v>373894.52777883213</v>
      </c>
      <c r="T73" s="235">
        <f t="shared" ref="T73:U73" si="432">SUM(T57:T71)</f>
        <v>1826447.4</v>
      </c>
      <c r="U73" s="235">
        <f t="shared" si="432"/>
        <v>1855216.1367059159</v>
      </c>
      <c r="V73" s="2287">
        <f>V57+V59+V61+V63+V65+V67+V69+V71</f>
        <v>203989.99999999997</v>
      </c>
      <c r="W73" s="2287">
        <f t="shared" ref="W73" si="433">W57+W59+W61+W63+W65+W67+W69+W71</f>
        <v>368308.36</v>
      </c>
      <c r="X73" s="749">
        <f t="shared" ref="X73:AA73" si="434">SUM(X57:X71)</f>
        <v>967394.60000000009</v>
      </c>
      <c r="Y73" s="749">
        <f t="shared" si="434"/>
        <v>1131712.4116921201</v>
      </c>
      <c r="Z73" s="492">
        <f t="shared" si="434"/>
        <v>2030437.4000000001</v>
      </c>
      <c r="AA73" s="492">
        <f t="shared" si="434"/>
        <v>2223524.4967059158</v>
      </c>
      <c r="AB73" s="2287">
        <f>AB57+AB59+AB61+AB63+AB65+AB67+AB69+AB71</f>
        <v>385468.80000000005</v>
      </c>
      <c r="AC73" s="2287">
        <f t="shared" ref="AC73" si="435">AC57+AC59+AC61+AC63+AC65+AC67+AC69+AC71</f>
        <v>313207.65999999997</v>
      </c>
      <c r="AD73" s="235">
        <f t="shared" ref="AD73:AE73" si="436">SUM(AD57:AD71)</f>
        <v>2415906.1999999997</v>
      </c>
      <c r="AE73" s="235">
        <f t="shared" si="436"/>
        <v>2536732.1567059159</v>
      </c>
      <c r="AF73" s="2287">
        <f>AF57+AF59+AF61+AF63+AF65+AF67+AF69+AF71</f>
        <v>373613.76000000007</v>
      </c>
      <c r="AG73" s="2287">
        <f t="shared" ref="AG73" si="437">AG57+AG59+AG61+AG63+AG65+AG67+AG69+AG71</f>
        <v>353851.41000000003</v>
      </c>
      <c r="AH73" s="235">
        <f t="shared" ref="AH73:AI73" si="438">SUM(AH57:AH71)</f>
        <v>2789519.96</v>
      </c>
      <c r="AI73" s="235">
        <f t="shared" si="438"/>
        <v>2890583.5667059161</v>
      </c>
      <c r="AJ73" s="2287">
        <f>AJ57+AJ59+AJ61+AJ63+AJ65+AJ67+AJ69+AJ71</f>
        <v>385468.8000000001</v>
      </c>
      <c r="AK73" s="2287">
        <f t="shared" ref="AK73" si="439">AK57+AK59+AK61+AK63+AK65+AK67+AK69+AK71</f>
        <v>372047.71027438942</v>
      </c>
      <c r="AL73" s="749">
        <f t="shared" ref="AL73:AM73" si="440">SUM(AL57:AL71)</f>
        <v>1144551.3600000001</v>
      </c>
      <c r="AM73" s="749">
        <f t="shared" si="440"/>
        <v>1039106.7802743895</v>
      </c>
      <c r="AN73" s="235">
        <f t="shared" ref="AN73:AO73" si="441">SUM(AN57:AN71)</f>
        <v>3174988.76</v>
      </c>
      <c r="AO73" s="235">
        <f t="shared" si="441"/>
        <v>3262631.2769803051</v>
      </c>
      <c r="AP73" s="2287">
        <f>AP57+AP59+AP61+AP63+AP65+AP67+AP69+AP71</f>
        <v>386324.16</v>
      </c>
      <c r="AQ73" s="2287">
        <f t="shared" ref="AQ73" si="442">AQ57+AQ59+AQ61+AQ63+AQ65+AQ67+AQ69+AQ71</f>
        <v>372960.60000000003</v>
      </c>
      <c r="AR73" s="235">
        <f t="shared" ref="AR73:AS73" si="443">SUM(AR57:AR71)</f>
        <v>3561312.92</v>
      </c>
      <c r="AS73" s="235">
        <f t="shared" si="443"/>
        <v>3635591.8769803056</v>
      </c>
      <c r="AT73" s="2287">
        <f>AT57+AT59+AT61+AT63+AT65+AT67+AT69+AT71</f>
        <v>348756.72000000009</v>
      </c>
      <c r="AU73" s="2287">
        <f t="shared" ref="AU73" si="444">AU57+AU59+AU61+AU63+AU65+AU67+AU69+AU71</f>
        <v>333412.68</v>
      </c>
      <c r="AV73" s="235">
        <f t="shared" ref="AV73:AW73" si="445">SUM(AV57:AV71)</f>
        <v>3910069.6400000006</v>
      </c>
      <c r="AW73" s="235">
        <f t="shared" si="445"/>
        <v>3969004.5569803058</v>
      </c>
      <c r="AX73" s="2287">
        <f>AX57+AX59+AX61+AX63+AX65+AX67+AX69+AX71</f>
        <v>386324.15999999992</v>
      </c>
      <c r="AY73" s="2287">
        <f t="shared" ref="AY73" si="446">AY57+AY59+AY61+AY63+AY65+AY67+AY69+AY71</f>
        <v>364582.31</v>
      </c>
      <c r="AZ73" s="749">
        <f t="shared" ref="AZ73:BC73" si="447">SUM(AZ57:AZ71)</f>
        <v>1121405.04</v>
      </c>
      <c r="BA73" s="749">
        <f t="shared" si="447"/>
        <v>1070955.5900000001</v>
      </c>
      <c r="BB73" s="492">
        <f t="shared" si="447"/>
        <v>2265956.4</v>
      </c>
      <c r="BC73" s="492">
        <f t="shared" si="447"/>
        <v>2110062.3702743896</v>
      </c>
      <c r="BD73" s="235">
        <f t="shared" ref="BD73:BE73" si="448">SUM(BD57:BD71)</f>
        <v>4296393.8</v>
      </c>
      <c r="BE73" s="235">
        <f t="shared" si="448"/>
        <v>4333586.8669803059</v>
      </c>
      <c r="BF73" s="112"/>
      <c r="BG73" s="112"/>
      <c r="BH73" s="112"/>
      <c r="BI73" s="112"/>
      <c r="BJ73" s="112"/>
    </row>
    <row r="74" spans="1:62" ht="20.25" x14ac:dyDescent="0.25">
      <c r="A74" s="90"/>
      <c r="B74" s="3228" t="s">
        <v>441</v>
      </c>
      <c r="C74" s="3228"/>
      <c r="D74" s="3229"/>
      <c r="E74" s="3228"/>
      <c r="F74" s="3229"/>
      <c r="G74" s="3228"/>
      <c r="H74" s="3228"/>
      <c r="I74" s="3228"/>
      <c r="J74" s="3229"/>
      <c r="K74" s="3228"/>
      <c r="L74" s="946"/>
      <c r="M74" s="946"/>
      <c r="N74" s="3229"/>
      <c r="O74" s="3228"/>
      <c r="P74" s="946"/>
      <c r="Q74" s="946"/>
      <c r="R74" s="3229"/>
      <c r="S74" s="3228"/>
      <c r="T74" s="946"/>
      <c r="U74" s="946"/>
      <c r="V74" s="3229"/>
      <c r="W74" s="3228"/>
      <c r="X74" s="946"/>
      <c r="Y74" s="946"/>
      <c r="Z74" s="946"/>
      <c r="AA74" s="946"/>
      <c r="AB74" s="3229"/>
      <c r="AC74" s="3228"/>
      <c r="AD74" s="946"/>
      <c r="AE74" s="946"/>
      <c r="AF74" s="3229"/>
      <c r="AG74" s="3228"/>
      <c r="AH74" s="946"/>
      <c r="AI74" s="946"/>
      <c r="AJ74" s="3229"/>
      <c r="AK74" s="3228"/>
      <c r="AL74" s="946"/>
      <c r="AM74" s="946"/>
      <c r="AN74" s="946"/>
      <c r="AO74" s="946"/>
      <c r="AP74" s="3229"/>
      <c r="AQ74" s="3228"/>
      <c r="AR74" s="946"/>
      <c r="AS74" s="946"/>
      <c r="AT74" s="3229"/>
      <c r="AU74" s="3228"/>
      <c r="AV74" s="946"/>
      <c r="AW74" s="946"/>
      <c r="AX74" s="3229"/>
      <c r="AY74" s="3228"/>
      <c r="AZ74" s="946"/>
      <c r="BA74" s="946"/>
      <c r="BB74" s="946"/>
      <c r="BC74" s="946"/>
      <c r="BD74" s="946"/>
      <c r="BE74" s="946"/>
      <c r="BF74" s="112"/>
      <c r="BG74" s="112"/>
      <c r="BH74" s="112"/>
      <c r="BI74" s="112"/>
      <c r="BJ74" s="112"/>
    </row>
    <row r="75" spans="1:62" ht="15.75" x14ac:dyDescent="0.25">
      <c r="B75" s="943" t="s">
        <v>328</v>
      </c>
      <c r="C75" s="148" t="s">
        <v>327</v>
      </c>
      <c r="D75" s="7634">
        <v>1850</v>
      </c>
      <c r="E75" s="948">
        <v>1900.45</v>
      </c>
      <c r="F75" s="5625">
        <v>1850</v>
      </c>
      <c r="G75" s="948">
        <v>1904.8524287013684</v>
      </c>
      <c r="H75" s="733">
        <v>1850</v>
      </c>
      <c r="I75" s="949">
        <f>+((E75*E76)+(G76*G75))/I76</f>
        <v>1902.7512152598613</v>
      </c>
      <c r="J75" s="5761">
        <v>1850</v>
      </c>
      <c r="K75" s="948">
        <v>1904.2601676483159</v>
      </c>
      <c r="L75" s="732">
        <v>1850</v>
      </c>
      <c r="M75" s="956">
        <f>+((I75*I76)+(K76*K75))/M76</f>
        <v>1903.3044748495361</v>
      </c>
      <c r="N75" s="5870">
        <v>1850</v>
      </c>
      <c r="O75" s="948">
        <v>1906.639288767047</v>
      </c>
      <c r="P75" s="733">
        <v>1850</v>
      </c>
      <c r="Q75" s="949">
        <f>+((M75*M76)+(O76*O75))/Q76</f>
        <v>1904.1159446160182</v>
      </c>
      <c r="R75" s="5973">
        <v>1850</v>
      </c>
      <c r="S75" s="948">
        <v>1910.7794521043527</v>
      </c>
      <c r="T75" s="4359">
        <v>1850</v>
      </c>
      <c r="U75" s="949">
        <f>+((Q75*Q76)+(S76*S75))/U76</f>
        <v>1905.1077089607795</v>
      </c>
      <c r="V75" s="6047">
        <v>1850</v>
      </c>
      <c r="W75" s="948">
        <v>1906.3</v>
      </c>
      <c r="X75" s="732">
        <v>1850</v>
      </c>
      <c r="Y75" s="950">
        <f>+((O75*O76)+(S75*S76)+(W76*W75))/Y76</f>
        <v>1907.7383518140505</v>
      </c>
      <c r="Z75" s="951">
        <v>1850</v>
      </c>
      <c r="AA75" s="951">
        <f>+((M75*M76)+(Y76*Y75))/AA76</f>
        <v>1905.2689820658738</v>
      </c>
      <c r="AB75" s="6174">
        <v>1850</v>
      </c>
      <c r="AC75" s="948">
        <v>1902.24</v>
      </c>
      <c r="AD75" s="2236">
        <v>1850</v>
      </c>
      <c r="AE75" s="949">
        <f>+((AA75*AA76)+(AC76*AC75))/AE76</f>
        <v>1904.9360322608081</v>
      </c>
      <c r="AF75" s="6371">
        <v>1850</v>
      </c>
      <c r="AG75" s="948">
        <v>1895.06</v>
      </c>
      <c r="AH75" s="4652">
        <v>1850</v>
      </c>
      <c r="AI75" s="949">
        <f>+((AE75*AE76)+(AG76*AG75))/AI76</f>
        <v>1903.4244979264909</v>
      </c>
      <c r="AJ75" s="6623">
        <v>1850</v>
      </c>
      <c r="AK75" s="948">
        <v>1903.5530574013421</v>
      </c>
      <c r="AL75" s="2553">
        <v>1850</v>
      </c>
      <c r="AM75" s="950">
        <f>+((AC75*AC76)+(AG75*AG76)+(AK76*AK75))/AM76</f>
        <v>1899.8960564055506</v>
      </c>
      <c r="AN75" s="2236">
        <v>1850</v>
      </c>
      <c r="AO75" s="949">
        <f>+((AI75*AI76)+(AK76*AK75))/AO76</f>
        <v>1903.4405548711102</v>
      </c>
      <c r="AP75" s="6742">
        <v>1850</v>
      </c>
      <c r="AQ75" s="948">
        <v>1905.3</v>
      </c>
      <c r="AR75" s="2236">
        <v>1850</v>
      </c>
      <c r="AS75" s="949">
        <f>+((AO75*AO76)+(AQ76*AQ75))/AS76</f>
        <v>1903.6429773708937</v>
      </c>
      <c r="AT75" s="6860">
        <v>1850</v>
      </c>
      <c r="AU75" s="948">
        <v>1918.44</v>
      </c>
      <c r="AV75" s="5072">
        <v>1850</v>
      </c>
      <c r="AW75" s="949">
        <f>+((AS75*AS76)+(AU76*AU75))/AW76</f>
        <v>1904.8784606814081</v>
      </c>
      <c r="AX75" s="7014">
        <v>1850</v>
      </c>
      <c r="AY75" s="948">
        <v>1899.71</v>
      </c>
      <c r="AZ75" s="2829">
        <v>1850</v>
      </c>
      <c r="BA75" s="950">
        <f>+((AQ75*AQ76)+(AU75*AU76)+(AY76*AY75))/BA76</f>
        <v>1907.3479321303073</v>
      </c>
      <c r="BB75" s="951">
        <v>1850</v>
      </c>
      <c r="BC75" s="951">
        <f>+((AM75*AM76)+(BA76*BA75))/BC76</f>
        <v>1903.620880457423</v>
      </c>
      <c r="BD75" s="2236">
        <v>1850</v>
      </c>
      <c r="BE75" s="949">
        <f>+((AW75*AW76)+(AY76*AY75))/BE76</f>
        <v>1904.43219749373</v>
      </c>
      <c r="BF75" s="112"/>
      <c r="BG75" s="112"/>
      <c r="BH75" s="112"/>
      <c r="BI75" s="112"/>
      <c r="BJ75" s="112"/>
    </row>
    <row r="76" spans="1:62" ht="16.5" customHeight="1" x14ac:dyDescent="0.25">
      <c r="B76" s="952" t="s">
        <v>443</v>
      </c>
      <c r="C76" s="753" t="s">
        <v>324</v>
      </c>
      <c r="D76" s="1820">
        <f>D77*D$3*24</f>
        <v>0</v>
      </c>
      <c r="E76" s="953">
        <v>11950.9</v>
      </c>
      <c r="F76" s="1820">
        <f>F77*F$3*24</f>
        <v>14679.886685552407</v>
      </c>
      <c r="G76" s="953">
        <v>13088.434000000001</v>
      </c>
      <c r="H76" s="235">
        <f>+D76+F76</f>
        <v>14679.886685552407</v>
      </c>
      <c r="I76" s="954">
        <f>+E76+G76</f>
        <v>25039.334000000003</v>
      </c>
      <c r="J76" s="1820">
        <f>J77*J$3*24</f>
        <v>14226.628895184138</v>
      </c>
      <c r="K76" s="953">
        <v>14495.507</v>
      </c>
      <c r="L76" s="749">
        <f>+H76+J76</f>
        <v>28906.515580736545</v>
      </c>
      <c r="M76" s="950">
        <f>+I76+K76</f>
        <v>39534.841</v>
      </c>
      <c r="N76" s="1820">
        <f>N77*N$3*24</f>
        <v>14396.600566572235</v>
      </c>
      <c r="O76" s="953">
        <v>12713.814</v>
      </c>
      <c r="P76" s="235">
        <f>+L76+N76</f>
        <v>43303.116147308778</v>
      </c>
      <c r="Q76" s="954">
        <f>+M76+O76</f>
        <v>52248.654999999999</v>
      </c>
      <c r="R76" s="1820">
        <f>R77*R$3*24</f>
        <v>14396.600566572235</v>
      </c>
      <c r="S76" s="953">
        <v>9136.2305695109899</v>
      </c>
      <c r="T76" s="235">
        <f>+P76+R76</f>
        <v>57699.716713881011</v>
      </c>
      <c r="U76" s="954">
        <f>+Q76+S76</f>
        <v>61384.885569510989</v>
      </c>
      <c r="V76" s="1820">
        <f>V77*V$3*24</f>
        <v>7555.2407932011338</v>
      </c>
      <c r="W76" s="953">
        <v>9601.9</v>
      </c>
      <c r="X76" s="749">
        <f>+V76+R76+N76</f>
        <v>36348.4419263456</v>
      </c>
      <c r="Y76" s="749">
        <f>+W76+S76+O76</f>
        <v>31451.94456951099</v>
      </c>
      <c r="Z76" s="492">
        <f>+L76+X76</f>
        <v>65254.957507082145</v>
      </c>
      <c r="AA76" s="492">
        <f>+Y76+M76</f>
        <v>70986.78556951099</v>
      </c>
      <c r="AB76" s="1820">
        <f>AB77*AB$3*24</f>
        <v>14679.886685552407</v>
      </c>
      <c r="AC76" s="953">
        <v>8766.6</v>
      </c>
      <c r="AD76" s="235">
        <f>+Z76+AB76</f>
        <v>79934.844192634555</v>
      </c>
      <c r="AE76" s="954">
        <f>+AA76+AC76</f>
        <v>79753.385569510996</v>
      </c>
      <c r="AF76" s="1820">
        <f>AF77*AF$3*24</f>
        <v>0</v>
      </c>
      <c r="AG76" s="953">
        <v>14412.1</v>
      </c>
      <c r="AH76" s="235">
        <f>+AD76+AF76</f>
        <v>79934.844192634555</v>
      </c>
      <c r="AI76" s="954">
        <f>+AE76+AG76</f>
        <v>94165.485569511002</v>
      </c>
      <c r="AJ76" s="1820">
        <f>AJ77*AJ$3*24</f>
        <v>0</v>
      </c>
      <c r="AK76" s="953">
        <v>13439.786498254285</v>
      </c>
      <c r="AL76" s="749">
        <f>+AJ76+AF76+AB76</f>
        <v>14679.886685552407</v>
      </c>
      <c r="AM76" s="749">
        <f>+AK76+AG76+AC76</f>
        <v>36618.486498254286</v>
      </c>
      <c r="AN76" s="235">
        <f>+AH76+AJ76</f>
        <v>79934.844192634555</v>
      </c>
      <c r="AO76" s="954">
        <f>+AI76+AK76</f>
        <v>107605.27206776528</v>
      </c>
      <c r="AP76" s="1820">
        <f>AP77*AP$3*24</f>
        <v>0</v>
      </c>
      <c r="AQ76" s="953">
        <v>13145.1</v>
      </c>
      <c r="AR76" s="235">
        <f>+AN76+AP76</f>
        <v>79934.844192634555</v>
      </c>
      <c r="AS76" s="954">
        <f>+AO76+AQ76</f>
        <v>120750.37206776529</v>
      </c>
      <c r="AT76" s="1820">
        <f>AT77*AT$3*24</f>
        <v>0</v>
      </c>
      <c r="AU76" s="953">
        <v>11000.6</v>
      </c>
      <c r="AV76" s="235">
        <f>+AR76+AT76</f>
        <v>79934.844192634555</v>
      </c>
      <c r="AW76" s="954">
        <f>+AS76+AU76</f>
        <v>131750.97206776528</v>
      </c>
      <c r="AX76" s="1820">
        <f>AX77*AX$3*24</f>
        <v>14906.515580736545</v>
      </c>
      <c r="AY76" s="953">
        <v>12450.9</v>
      </c>
      <c r="AZ76" s="749">
        <f>+AX76+AT76+AP76</f>
        <v>14906.515580736545</v>
      </c>
      <c r="BA76" s="749">
        <f>+AY76+AU76+AQ76</f>
        <v>36596.6</v>
      </c>
      <c r="BB76" s="492">
        <f>+AL76+AZ76</f>
        <v>29586.402266288951</v>
      </c>
      <c r="BC76" s="492">
        <f>+BA76+AM76</f>
        <v>73215.086498254284</v>
      </c>
      <c r="BD76" s="235">
        <f>+AV76+AX76</f>
        <v>94841.359773371107</v>
      </c>
      <c r="BE76" s="954">
        <f>+AW76+AY76</f>
        <v>144201.87206776527</v>
      </c>
      <c r="BF76" s="112"/>
      <c r="BG76" s="112"/>
      <c r="BH76" s="112"/>
      <c r="BI76" s="112"/>
      <c r="BJ76" s="112"/>
    </row>
    <row r="77" spans="1:62" ht="15.75" hidden="1" customHeight="1" x14ac:dyDescent="0.25">
      <c r="B77" s="952"/>
      <c r="C77" s="753"/>
      <c r="D77" s="1056"/>
      <c r="E77" s="953"/>
      <c r="F77" s="1056">
        <v>19.731030491333879</v>
      </c>
      <c r="G77" s="953"/>
      <c r="H77" s="235"/>
      <c r="I77" s="954"/>
      <c r="J77" s="1056">
        <v>19.759206798866856</v>
      </c>
      <c r="K77" s="953"/>
      <c r="L77" s="749"/>
      <c r="M77" s="950"/>
      <c r="N77" s="1056">
        <v>19.350269578726124</v>
      </c>
      <c r="O77" s="953"/>
      <c r="P77" s="235"/>
      <c r="Q77" s="954"/>
      <c r="R77" s="1056">
        <v>19.350269578726124</v>
      </c>
      <c r="S77" s="953"/>
      <c r="T77" s="235"/>
      <c r="U77" s="954"/>
      <c r="V77" s="1056">
        <v>10.49338999055713</v>
      </c>
      <c r="W77" s="953"/>
      <c r="X77" s="749"/>
      <c r="Y77" s="749"/>
      <c r="Z77" s="492"/>
      <c r="AA77" s="492"/>
      <c r="AB77" s="1056">
        <v>19.731030491333879</v>
      </c>
      <c r="AC77" s="953"/>
      <c r="AD77" s="235"/>
      <c r="AE77" s="954"/>
      <c r="AF77" s="1056">
        <v>0</v>
      </c>
      <c r="AG77" s="953"/>
      <c r="AH77" s="235"/>
      <c r="AI77" s="954"/>
      <c r="AJ77" s="1056">
        <v>0</v>
      </c>
      <c r="AK77" s="953"/>
      <c r="AL77" s="749"/>
      <c r="AM77" s="749"/>
      <c r="AN77" s="235"/>
      <c r="AO77" s="954"/>
      <c r="AP77" s="1056"/>
      <c r="AQ77" s="953"/>
      <c r="AR77" s="235"/>
      <c r="AS77" s="954"/>
      <c r="AT77" s="1056">
        <v>0</v>
      </c>
      <c r="AU77" s="953"/>
      <c r="AV77" s="235"/>
      <c r="AW77" s="954"/>
      <c r="AX77" s="1056">
        <v>20.035639221420087</v>
      </c>
      <c r="AY77" s="953"/>
      <c r="AZ77" s="749"/>
      <c r="BA77" s="749"/>
      <c r="BB77" s="492"/>
      <c r="BC77" s="492"/>
      <c r="BD77" s="235"/>
      <c r="BE77" s="954"/>
      <c r="BF77" s="112"/>
      <c r="BG77" s="112"/>
      <c r="BH77" s="112"/>
      <c r="BI77" s="112"/>
      <c r="BJ77" s="112"/>
    </row>
    <row r="78" spans="1:62" x14ac:dyDescent="0.25">
      <c r="B78" s="727" t="s">
        <v>449</v>
      </c>
      <c r="C78" s="148" t="s">
        <v>324</v>
      </c>
      <c r="D78" s="7634">
        <f>D79*D$3*24</f>
        <v>0</v>
      </c>
      <c r="E78" s="948"/>
      <c r="F78" s="5625">
        <f>F79*F$3*24</f>
        <v>0</v>
      </c>
      <c r="G78" s="948">
        <v>0</v>
      </c>
      <c r="H78" s="733">
        <f>+D78+F78</f>
        <v>0</v>
      </c>
      <c r="I78" s="949">
        <f>+E78+G78</f>
        <v>0</v>
      </c>
      <c r="J78" s="5761">
        <f>J79*J$3*24</f>
        <v>0</v>
      </c>
      <c r="K78" s="948">
        <v>0</v>
      </c>
      <c r="L78" s="732">
        <f>+H78+J78</f>
        <v>0</v>
      </c>
      <c r="M78" s="956">
        <f>+I78+K78</f>
        <v>0</v>
      </c>
      <c r="N78" s="5870">
        <f>N79*N$3*24</f>
        <v>0</v>
      </c>
      <c r="O78" s="948">
        <v>0</v>
      </c>
      <c r="P78" s="733">
        <f>+L78+N78</f>
        <v>0</v>
      </c>
      <c r="Q78" s="949">
        <f>+M78+O78</f>
        <v>0</v>
      </c>
      <c r="R78" s="5973">
        <f>R79*R$3*24</f>
        <v>0</v>
      </c>
      <c r="S78" s="948">
        <v>0</v>
      </c>
      <c r="T78" s="4359">
        <f>+P78+R78</f>
        <v>0</v>
      </c>
      <c r="U78" s="949">
        <f>+Q78+S78</f>
        <v>0</v>
      </c>
      <c r="V78" s="6047">
        <f>V79*V$3*24</f>
        <v>0</v>
      </c>
      <c r="W78" s="948">
        <v>0</v>
      </c>
      <c r="X78" s="732">
        <f>+V78+R78+N78</f>
        <v>0</v>
      </c>
      <c r="Y78" s="732">
        <f>+W78+S78+O78</f>
        <v>0</v>
      </c>
      <c r="Z78" s="439">
        <f>+L78+X78</f>
        <v>0</v>
      </c>
      <c r="AA78" s="439">
        <f>+Y78+M78</f>
        <v>0</v>
      </c>
      <c r="AB78" s="6174">
        <f>AB79*AB$3*24</f>
        <v>0</v>
      </c>
      <c r="AC78" s="948">
        <v>0</v>
      </c>
      <c r="AD78" s="2236">
        <f>+Z78+AB78</f>
        <v>0</v>
      </c>
      <c r="AE78" s="949">
        <f>+AA78+AC78</f>
        <v>0</v>
      </c>
      <c r="AF78" s="6371">
        <f>AF79*AF$3*24</f>
        <v>0</v>
      </c>
      <c r="AG78" s="948">
        <v>0</v>
      </c>
      <c r="AH78" s="4652">
        <f>+AD78+AF78</f>
        <v>0</v>
      </c>
      <c r="AI78" s="949">
        <f>+AE78+AG78</f>
        <v>0</v>
      </c>
      <c r="AJ78" s="6623">
        <f>AJ79*AJ$3*24</f>
        <v>0</v>
      </c>
      <c r="AK78" s="948">
        <v>0</v>
      </c>
      <c r="AL78" s="2553">
        <f>+AJ78+AF78+AB78</f>
        <v>0</v>
      </c>
      <c r="AM78" s="2553">
        <f>+AK78+AG78+AC78</f>
        <v>0</v>
      </c>
      <c r="AN78" s="2236">
        <f>+AH78+AJ78</f>
        <v>0</v>
      </c>
      <c r="AO78" s="949">
        <f>+AI78+AK78</f>
        <v>0</v>
      </c>
      <c r="AP78" s="6715">
        <f>AP79*AP$3*24</f>
        <v>0</v>
      </c>
      <c r="AQ78" s="948">
        <v>0</v>
      </c>
      <c r="AR78" s="2236">
        <f>+AN78+AP78</f>
        <v>0</v>
      </c>
      <c r="AS78" s="949">
        <f>+AO78+AQ78</f>
        <v>0</v>
      </c>
      <c r="AT78" s="6860">
        <f>AT79*AT$3*24</f>
        <v>0</v>
      </c>
      <c r="AU78" s="948"/>
      <c r="AV78" s="5072">
        <f>+AR78+AT78</f>
        <v>0</v>
      </c>
      <c r="AW78" s="949">
        <f>+AS78+AU78</f>
        <v>0</v>
      </c>
      <c r="AX78" s="7014">
        <f>AX79*AX$3*24</f>
        <v>0</v>
      </c>
      <c r="AY78" s="948"/>
      <c r="AZ78" s="2829">
        <f>+AX78+AT78+AP78</f>
        <v>0</v>
      </c>
      <c r="BA78" s="2829">
        <f>+AY78+AU78+AQ78</f>
        <v>0</v>
      </c>
      <c r="BB78" s="2837">
        <f t="shared" ref="BB78" si="449">+AL78+AZ78</f>
        <v>0</v>
      </c>
      <c r="BC78" s="2837">
        <f t="shared" ref="BC78" si="450">+AM78+BA78</f>
        <v>0</v>
      </c>
      <c r="BD78" s="2236">
        <f>+AV78+AX78</f>
        <v>0</v>
      </c>
      <c r="BE78" s="949">
        <f>+AW78+AY78</f>
        <v>0</v>
      </c>
      <c r="BF78" s="112"/>
      <c r="BG78" s="112"/>
      <c r="BH78" s="112"/>
      <c r="BI78" s="112"/>
      <c r="BJ78" s="112"/>
    </row>
    <row r="79" spans="1:62" ht="15" hidden="1" customHeight="1" x14ac:dyDescent="0.25">
      <c r="B79" s="727"/>
      <c r="C79" s="148"/>
      <c r="D79" s="7634"/>
      <c r="E79" s="948"/>
      <c r="F79" s="5625"/>
      <c r="G79" s="948"/>
      <c r="H79" s="733"/>
      <c r="I79" s="949"/>
      <c r="J79" s="5761"/>
      <c r="K79" s="948"/>
      <c r="L79" s="732"/>
      <c r="M79" s="956"/>
      <c r="N79" s="5870"/>
      <c r="O79" s="948"/>
      <c r="P79" s="733"/>
      <c r="Q79" s="949"/>
      <c r="R79" s="5973"/>
      <c r="S79" s="948"/>
      <c r="T79" s="4359"/>
      <c r="U79" s="949"/>
      <c r="V79" s="6047"/>
      <c r="W79" s="948"/>
      <c r="X79" s="732"/>
      <c r="Y79" s="732"/>
      <c r="Z79" s="439"/>
      <c r="AA79" s="439"/>
      <c r="AB79" s="6174"/>
      <c r="AC79" s="948"/>
      <c r="AD79" s="2236"/>
      <c r="AE79" s="949"/>
      <c r="AF79" s="6371"/>
      <c r="AG79" s="948"/>
      <c r="AH79" s="4652"/>
      <c r="AI79" s="949"/>
      <c r="AJ79" s="6623"/>
      <c r="AK79" s="948"/>
      <c r="AL79" s="2553"/>
      <c r="AM79" s="2553"/>
      <c r="AN79" s="2236"/>
      <c r="AO79" s="949"/>
      <c r="AP79" s="6715"/>
      <c r="AQ79" s="948"/>
      <c r="AR79" s="2236"/>
      <c r="AS79" s="949"/>
      <c r="AT79" s="6860"/>
      <c r="AU79" s="948"/>
      <c r="AV79" s="5072"/>
      <c r="AW79" s="949"/>
      <c r="AX79" s="7014"/>
      <c r="AY79" s="948"/>
      <c r="AZ79" s="2829"/>
      <c r="BA79" s="2829"/>
      <c r="BB79" s="2827"/>
      <c r="BC79" s="2827"/>
      <c r="BD79" s="2236"/>
      <c r="BE79" s="949"/>
      <c r="BF79" s="112"/>
      <c r="BG79" s="112"/>
      <c r="BH79" s="112"/>
      <c r="BI79" s="112"/>
      <c r="BJ79" s="112"/>
    </row>
    <row r="80" spans="1:62" x14ac:dyDescent="0.25">
      <c r="B80" s="727" t="s">
        <v>73</v>
      </c>
      <c r="C80" s="148" t="s">
        <v>49</v>
      </c>
      <c r="D80" s="7634" t="e">
        <f t="shared" ref="D80:E80" si="451">+D78/D76*100</f>
        <v>#DIV/0!</v>
      </c>
      <c r="E80" s="948">
        <f t="shared" si="451"/>
        <v>0</v>
      </c>
      <c r="F80" s="5625">
        <f t="shared" ref="F80:G80" si="452">+F78/F76*100</f>
        <v>0</v>
      </c>
      <c r="G80" s="948">
        <f t="shared" si="452"/>
        <v>0</v>
      </c>
      <c r="H80" s="733">
        <f t="shared" ref="H80:K80" si="453">+H78/H76*100</f>
        <v>0</v>
      </c>
      <c r="I80" s="947">
        <f t="shared" si="453"/>
        <v>0</v>
      </c>
      <c r="J80" s="5761">
        <f t="shared" si="453"/>
        <v>0</v>
      </c>
      <c r="K80" s="948">
        <f t="shared" si="453"/>
        <v>0</v>
      </c>
      <c r="L80" s="732">
        <f t="shared" ref="L80:Q80" si="454">+L78/L76*100</f>
        <v>0</v>
      </c>
      <c r="M80" s="957">
        <f t="shared" si="454"/>
        <v>0</v>
      </c>
      <c r="N80" s="5870">
        <f t="shared" si="454"/>
        <v>0</v>
      </c>
      <c r="O80" s="948">
        <f t="shared" si="454"/>
        <v>0</v>
      </c>
      <c r="P80" s="733">
        <f t="shared" si="454"/>
        <v>0</v>
      </c>
      <c r="Q80" s="947">
        <f t="shared" si="454"/>
        <v>0</v>
      </c>
      <c r="R80" s="5973">
        <f t="shared" ref="R80:S80" si="455">+R78/R76*100</f>
        <v>0</v>
      </c>
      <c r="S80" s="948">
        <f t="shared" si="455"/>
        <v>0</v>
      </c>
      <c r="T80" s="4359">
        <f t="shared" ref="T80:W80" si="456">+T78/T76*100</f>
        <v>0</v>
      </c>
      <c r="U80" s="947">
        <f t="shared" si="456"/>
        <v>0</v>
      </c>
      <c r="V80" s="6047">
        <f t="shared" si="456"/>
        <v>0</v>
      </c>
      <c r="W80" s="948">
        <f t="shared" si="456"/>
        <v>0</v>
      </c>
      <c r="X80" s="732">
        <f t="shared" ref="X80:AE80" si="457">+X78/X76*100</f>
        <v>0</v>
      </c>
      <c r="Y80" s="957">
        <f t="shared" si="457"/>
        <v>0</v>
      </c>
      <c r="Z80" s="439">
        <f t="shared" si="457"/>
        <v>0</v>
      </c>
      <c r="AA80" s="958">
        <f t="shared" si="457"/>
        <v>0</v>
      </c>
      <c r="AB80" s="6174">
        <f t="shared" si="457"/>
        <v>0</v>
      </c>
      <c r="AC80" s="948">
        <f t="shared" si="457"/>
        <v>0</v>
      </c>
      <c r="AD80" s="2236">
        <f t="shared" si="457"/>
        <v>0</v>
      </c>
      <c r="AE80" s="949">
        <f t="shared" si="457"/>
        <v>0</v>
      </c>
      <c r="AF80" s="6371" t="e">
        <f t="shared" ref="AF80:AG80" si="458">+AF78/AF76*100</f>
        <v>#DIV/0!</v>
      </c>
      <c r="AG80" s="948">
        <f t="shared" si="458"/>
        <v>0</v>
      </c>
      <c r="AH80" s="4652">
        <f t="shared" ref="AH80:AK80" si="459">+AH78/AH76*100</f>
        <v>0</v>
      </c>
      <c r="AI80" s="949">
        <f t="shared" si="459"/>
        <v>0</v>
      </c>
      <c r="AJ80" s="6623" t="e">
        <f t="shared" si="459"/>
        <v>#DIV/0!</v>
      </c>
      <c r="AK80" s="948">
        <f t="shared" si="459"/>
        <v>0</v>
      </c>
      <c r="AL80" s="2553">
        <f t="shared" ref="AL80:AQ80" si="460">+AL78/AL76*100</f>
        <v>0</v>
      </c>
      <c r="AM80" s="957">
        <f t="shared" si="460"/>
        <v>0</v>
      </c>
      <c r="AN80" s="2236">
        <f t="shared" si="460"/>
        <v>0</v>
      </c>
      <c r="AO80" s="949">
        <f t="shared" si="460"/>
        <v>0</v>
      </c>
      <c r="AP80" s="6715" t="e">
        <f t="shared" si="460"/>
        <v>#DIV/0!</v>
      </c>
      <c r="AQ80" s="948">
        <f t="shared" si="460"/>
        <v>0</v>
      </c>
      <c r="AR80" s="2236">
        <f t="shared" ref="AR80:AU80" si="461">+AR78/AR76*100</f>
        <v>0</v>
      </c>
      <c r="AS80" s="949">
        <f t="shared" si="461"/>
        <v>0</v>
      </c>
      <c r="AT80" s="6860" t="e">
        <f t="shared" si="461"/>
        <v>#DIV/0!</v>
      </c>
      <c r="AU80" s="948">
        <f t="shared" si="461"/>
        <v>0</v>
      </c>
      <c r="AV80" s="5072">
        <f t="shared" ref="AV80:AY80" si="462">+AV78/AV76*100</f>
        <v>0</v>
      </c>
      <c r="AW80" s="949">
        <f t="shared" si="462"/>
        <v>0</v>
      </c>
      <c r="AX80" s="7014">
        <f t="shared" si="462"/>
        <v>0</v>
      </c>
      <c r="AY80" s="948">
        <f t="shared" si="462"/>
        <v>0</v>
      </c>
      <c r="AZ80" s="2829">
        <f t="shared" ref="AZ80:BE80" si="463">+AZ78/AZ76*100</f>
        <v>0</v>
      </c>
      <c r="BA80" s="957">
        <f t="shared" si="463"/>
        <v>0</v>
      </c>
      <c r="BB80" s="2827">
        <f t="shared" si="463"/>
        <v>0</v>
      </c>
      <c r="BC80" s="958">
        <f t="shared" si="463"/>
        <v>0</v>
      </c>
      <c r="BD80" s="2236">
        <f t="shared" si="463"/>
        <v>0</v>
      </c>
      <c r="BE80" s="949">
        <f t="shared" si="463"/>
        <v>0</v>
      </c>
      <c r="BF80" s="112"/>
      <c r="BG80" s="112"/>
      <c r="BH80" s="112"/>
      <c r="BI80" s="112"/>
      <c r="BJ80" s="112"/>
    </row>
    <row r="81" spans="1:62" ht="18.75" x14ac:dyDescent="0.25">
      <c r="A81" s="90"/>
      <c r="B81" s="552" t="s">
        <v>55</v>
      </c>
      <c r="C81" s="944" t="s">
        <v>324</v>
      </c>
      <c r="D81" s="1057">
        <f t="shared" ref="D81:E81" si="464">+D76-D78</f>
        <v>0</v>
      </c>
      <c r="E81" s="1057">
        <f t="shared" si="464"/>
        <v>11950.9</v>
      </c>
      <c r="F81" s="1057">
        <f t="shared" ref="F81:G81" si="465">+F76-F78</f>
        <v>14679.886685552407</v>
      </c>
      <c r="G81" s="1057">
        <f t="shared" si="465"/>
        <v>13088.434000000001</v>
      </c>
      <c r="H81" s="235">
        <f t="shared" ref="H81:K81" si="466">+H76-H78</f>
        <v>14679.886685552407</v>
      </c>
      <c r="I81" s="954">
        <f t="shared" si="466"/>
        <v>25039.334000000003</v>
      </c>
      <c r="J81" s="1057">
        <f t="shared" si="466"/>
        <v>14226.628895184138</v>
      </c>
      <c r="K81" s="1057">
        <f t="shared" si="466"/>
        <v>14495.507</v>
      </c>
      <c r="L81" s="749">
        <f t="shared" ref="L81:Q81" si="467">+L76-L78</f>
        <v>28906.515580736545</v>
      </c>
      <c r="M81" s="950">
        <f t="shared" si="467"/>
        <v>39534.841</v>
      </c>
      <c r="N81" s="1057">
        <f t="shared" si="467"/>
        <v>14396.600566572235</v>
      </c>
      <c r="O81" s="1057">
        <f t="shared" si="467"/>
        <v>12713.814</v>
      </c>
      <c r="P81" s="235">
        <f t="shared" si="467"/>
        <v>43303.116147308778</v>
      </c>
      <c r="Q81" s="954">
        <f t="shared" si="467"/>
        <v>52248.654999999999</v>
      </c>
      <c r="R81" s="1057">
        <f t="shared" ref="R81:S81" si="468">+R76-R78</f>
        <v>14396.600566572235</v>
      </c>
      <c r="S81" s="1057">
        <f t="shared" si="468"/>
        <v>9136.2305695109899</v>
      </c>
      <c r="T81" s="235">
        <f t="shared" ref="T81:W81" si="469">+T76-T78</f>
        <v>57699.716713881011</v>
      </c>
      <c r="U81" s="954">
        <f t="shared" si="469"/>
        <v>61384.885569510989</v>
      </c>
      <c r="V81" s="1057">
        <f t="shared" si="469"/>
        <v>7555.2407932011338</v>
      </c>
      <c r="W81" s="1057">
        <f t="shared" si="469"/>
        <v>9601.9</v>
      </c>
      <c r="X81" s="749">
        <f t="shared" ref="X81:AE81" si="470">+X76-X78</f>
        <v>36348.4419263456</v>
      </c>
      <c r="Y81" s="950">
        <f t="shared" si="470"/>
        <v>31451.94456951099</v>
      </c>
      <c r="Z81" s="955">
        <f t="shared" si="470"/>
        <v>65254.957507082145</v>
      </c>
      <c r="AA81" s="955">
        <f t="shared" si="470"/>
        <v>70986.78556951099</v>
      </c>
      <c r="AB81" s="1057">
        <f t="shared" si="470"/>
        <v>14679.886685552407</v>
      </c>
      <c r="AC81" s="1057">
        <f t="shared" si="470"/>
        <v>8766.6</v>
      </c>
      <c r="AD81" s="235">
        <f t="shared" si="470"/>
        <v>79934.844192634555</v>
      </c>
      <c r="AE81" s="954">
        <f t="shared" si="470"/>
        <v>79753.385569510996</v>
      </c>
      <c r="AF81" s="1057">
        <f t="shared" ref="AF81:AG81" si="471">+AF76-AF78</f>
        <v>0</v>
      </c>
      <c r="AG81" s="1057">
        <f t="shared" si="471"/>
        <v>14412.1</v>
      </c>
      <c r="AH81" s="235">
        <f t="shared" ref="AH81:AK81" si="472">+AH76-AH78</f>
        <v>79934.844192634555</v>
      </c>
      <c r="AI81" s="954">
        <f t="shared" si="472"/>
        <v>94165.485569511002</v>
      </c>
      <c r="AJ81" s="1057">
        <f t="shared" si="472"/>
        <v>0</v>
      </c>
      <c r="AK81" s="1057">
        <f t="shared" si="472"/>
        <v>13439.786498254285</v>
      </c>
      <c r="AL81" s="749">
        <f t="shared" ref="AL81:AQ81" si="473">+AL76-AL78</f>
        <v>14679.886685552407</v>
      </c>
      <c r="AM81" s="950">
        <f t="shared" si="473"/>
        <v>36618.486498254286</v>
      </c>
      <c r="AN81" s="235">
        <f t="shared" si="473"/>
        <v>79934.844192634555</v>
      </c>
      <c r="AO81" s="954">
        <f t="shared" si="473"/>
        <v>107605.27206776528</v>
      </c>
      <c r="AP81" s="1057">
        <f t="shared" si="473"/>
        <v>0</v>
      </c>
      <c r="AQ81" s="1057">
        <f t="shared" si="473"/>
        <v>13145.1</v>
      </c>
      <c r="AR81" s="235">
        <f t="shared" ref="AR81:AU81" si="474">+AR76-AR78</f>
        <v>79934.844192634555</v>
      </c>
      <c r="AS81" s="954">
        <f t="shared" si="474"/>
        <v>120750.37206776529</v>
      </c>
      <c r="AT81" s="1057">
        <f t="shared" si="474"/>
        <v>0</v>
      </c>
      <c r="AU81" s="1057">
        <f t="shared" si="474"/>
        <v>11000.6</v>
      </c>
      <c r="AV81" s="235">
        <f t="shared" ref="AV81:AY81" si="475">+AV76-AV78</f>
        <v>79934.844192634555</v>
      </c>
      <c r="AW81" s="954">
        <f t="shared" si="475"/>
        <v>131750.97206776528</v>
      </c>
      <c r="AX81" s="1057">
        <f t="shared" si="475"/>
        <v>14906.515580736545</v>
      </c>
      <c r="AY81" s="1057">
        <f t="shared" si="475"/>
        <v>12450.9</v>
      </c>
      <c r="AZ81" s="749">
        <f t="shared" ref="AZ81:BE81" si="476">+AZ76-AZ78</f>
        <v>14906.515580736545</v>
      </c>
      <c r="BA81" s="950">
        <f t="shared" si="476"/>
        <v>36596.6</v>
      </c>
      <c r="BB81" s="955">
        <f t="shared" si="476"/>
        <v>29586.402266288951</v>
      </c>
      <c r="BC81" s="955">
        <f t="shared" si="476"/>
        <v>73215.086498254284</v>
      </c>
      <c r="BD81" s="235">
        <f t="shared" si="476"/>
        <v>94841.359773371107</v>
      </c>
      <c r="BE81" s="954">
        <f t="shared" si="476"/>
        <v>144201.87206776527</v>
      </c>
      <c r="BF81" s="112"/>
      <c r="BG81" s="112"/>
      <c r="BH81" s="112"/>
      <c r="BI81" s="112"/>
      <c r="BJ81" s="112"/>
    </row>
    <row r="82" spans="1:62" ht="15.75" x14ac:dyDescent="0.25">
      <c r="A82" s="90"/>
      <c r="B82" s="952" t="s">
        <v>444</v>
      </c>
      <c r="C82" s="952"/>
      <c r="D82" s="798"/>
      <c r="E82" s="952"/>
      <c r="F82" s="798"/>
      <c r="G82" s="952"/>
      <c r="H82" s="952"/>
      <c r="I82" s="952"/>
      <c r="J82" s="798"/>
      <c r="K82" s="952"/>
      <c r="L82" s="952"/>
      <c r="M82" s="952"/>
      <c r="N82" s="798"/>
      <c r="O82" s="952"/>
      <c r="P82" s="952"/>
      <c r="Q82" s="952"/>
      <c r="R82" s="798"/>
      <c r="S82" s="952"/>
      <c r="T82" s="952"/>
      <c r="U82" s="952"/>
      <c r="V82" s="798"/>
      <c r="W82" s="952"/>
      <c r="X82" s="952"/>
      <c r="Y82" s="952"/>
      <c r="Z82" s="952"/>
      <c r="AA82" s="952"/>
      <c r="AB82" s="798"/>
      <c r="AC82" s="952"/>
      <c r="AD82" s="952"/>
      <c r="AE82" s="952"/>
      <c r="AF82" s="798"/>
      <c r="AG82" s="952"/>
      <c r="AH82" s="952"/>
      <c r="AI82" s="952"/>
      <c r="AJ82" s="798"/>
      <c r="AK82" s="952"/>
      <c r="AL82" s="952"/>
      <c r="AM82" s="952"/>
      <c r="AN82" s="952"/>
      <c r="AO82" s="952"/>
      <c r="AP82" s="798"/>
      <c r="AQ82" s="952"/>
      <c r="AR82" s="952"/>
      <c r="AS82" s="952"/>
      <c r="AT82" s="798"/>
      <c r="AU82" s="952"/>
      <c r="AV82" s="952"/>
      <c r="AW82" s="952"/>
      <c r="AX82" s="798"/>
      <c r="AY82" s="952"/>
      <c r="AZ82" s="952"/>
      <c r="BA82" s="952"/>
      <c r="BB82" s="952"/>
      <c r="BC82" s="952"/>
      <c r="BD82" s="952"/>
      <c r="BE82" s="952"/>
      <c r="BF82" s="112"/>
      <c r="BG82" s="112"/>
      <c r="BH82" s="112"/>
      <c r="BI82" s="112"/>
      <c r="BJ82" s="112"/>
    </row>
    <row r="83" spans="1:62" x14ac:dyDescent="0.25">
      <c r="A83" s="90"/>
      <c r="B83" s="945" t="s">
        <v>122</v>
      </c>
      <c r="C83" s="148" t="s">
        <v>324</v>
      </c>
      <c r="D83" s="7635">
        <f>D84*D$3*24</f>
        <v>0</v>
      </c>
      <c r="E83" s="1819">
        <v>4687</v>
      </c>
      <c r="F83" s="5629">
        <f>F84*F$3*24</f>
        <v>12447.886685552407</v>
      </c>
      <c r="G83" s="1819">
        <v>4467.5640000000003</v>
      </c>
      <c r="H83" s="733">
        <f>+D83+F83</f>
        <v>12447.886685552407</v>
      </c>
      <c r="I83" s="733">
        <f>+E83+G83</f>
        <v>9154.5640000000003</v>
      </c>
      <c r="J83" s="5763">
        <f>J84*J$3*24</f>
        <v>12066.628895184138</v>
      </c>
      <c r="K83" s="1819">
        <v>6702.2109999999993</v>
      </c>
      <c r="L83" s="732">
        <f>+H83+J83</f>
        <v>24514.515580736545</v>
      </c>
      <c r="M83" s="732">
        <f>+I83+K83</f>
        <v>15856.775</v>
      </c>
      <c r="N83" s="5871">
        <f>N84*N$3*24</f>
        <v>12164.600566572237</v>
      </c>
      <c r="O83" s="1819">
        <v>5306.7839999999997</v>
      </c>
      <c r="P83" s="733">
        <f>+L83+N83</f>
        <v>36679.116147308785</v>
      </c>
      <c r="Q83" s="733">
        <f>+M83+O83</f>
        <v>21163.559000000001</v>
      </c>
      <c r="R83" s="5975">
        <f>R84*R$3*24</f>
        <v>12164.600566572237</v>
      </c>
      <c r="S83" s="1819">
        <v>2019.7756535991027</v>
      </c>
      <c r="T83" s="4359">
        <f>+P83+R83</f>
        <v>48843.716713881018</v>
      </c>
      <c r="U83" s="4359">
        <f>+Q83+S83</f>
        <v>23183.334653599104</v>
      </c>
      <c r="V83" s="6049">
        <f>V84*V$3*24</f>
        <v>7555.2407932011338</v>
      </c>
      <c r="W83" s="1819">
        <v>586.70000000000005</v>
      </c>
      <c r="X83" s="6631">
        <f>+V83+R83+N83</f>
        <v>31884.441926345607</v>
      </c>
      <c r="Y83" s="732">
        <f>+W83+S83+O83</f>
        <v>7913.2596535991024</v>
      </c>
      <c r="Z83" s="439">
        <f>+L83+X83</f>
        <v>56398.957507082152</v>
      </c>
      <c r="AA83" s="439">
        <f>+Y83+M83</f>
        <v>23770.034653599101</v>
      </c>
      <c r="AB83" s="6179">
        <f>AB84*AB$3*24</f>
        <v>12447.886685552403</v>
      </c>
      <c r="AC83" s="1819">
        <v>2968.5</v>
      </c>
      <c r="AD83" s="6633">
        <f>+Z83+AB83</f>
        <v>68846.844192634555</v>
      </c>
      <c r="AE83" s="2236">
        <f>+AA83+AC83</f>
        <v>26738.534653599101</v>
      </c>
      <c r="AF83" s="6372">
        <f>AF84*AF$3*24</f>
        <v>0</v>
      </c>
      <c r="AG83" s="1819">
        <v>3016.2</v>
      </c>
      <c r="AH83" s="6633">
        <f>+AD83+AF83</f>
        <v>68846.844192634555</v>
      </c>
      <c r="AI83" s="4652">
        <f>+AE83+AG83</f>
        <v>29754.734653599102</v>
      </c>
      <c r="AJ83" s="6624">
        <f>AJ84*AJ$3*24</f>
        <v>0</v>
      </c>
      <c r="AK83" s="1819">
        <v>1007.3280000000002</v>
      </c>
      <c r="AL83" s="6631">
        <f>+AJ83+AF83+AB83</f>
        <v>12447.886685552403</v>
      </c>
      <c r="AM83" s="2553">
        <f>+AK83+AG83+AC83</f>
        <v>6992.0280000000002</v>
      </c>
      <c r="AN83" s="6633">
        <f>+AH83+AJ83</f>
        <v>68846.844192634555</v>
      </c>
      <c r="AO83" s="2236">
        <f>+AI83+AK83</f>
        <v>30762.062653599103</v>
      </c>
      <c r="AP83" s="6716">
        <f>AP84*AP$3*24</f>
        <v>0</v>
      </c>
      <c r="AQ83" s="1819">
        <v>688.7</v>
      </c>
      <c r="AR83" s="6633">
        <f>+AN83+AP83</f>
        <v>68846.844192634555</v>
      </c>
      <c r="AS83" s="2236">
        <f>+AO83+AQ83</f>
        <v>31450.762653599104</v>
      </c>
      <c r="AT83" s="6861">
        <f>AT84*AT$3*24</f>
        <v>0</v>
      </c>
      <c r="AU83" s="1819">
        <v>966.1</v>
      </c>
      <c r="AV83" s="6633">
        <f>+AR83+AT83</f>
        <v>68846.844192634555</v>
      </c>
      <c r="AW83" s="5072">
        <f>+AS83+AU83</f>
        <v>32416.862653599102</v>
      </c>
      <c r="AX83" s="7015">
        <f>AX84*AX$3*24</f>
        <v>12674.515580736545</v>
      </c>
      <c r="AY83" s="1819">
        <v>2071.5</v>
      </c>
      <c r="AZ83" s="2829">
        <f>+AX83+AT83+AP83</f>
        <v>12674.515580736545</v>
      </c>
      <c r="BA83" s="2829">
        <f>+AY83+AU83+AQ83</f>
        <v>3726.3</v>
      </c>
      <c r="BB83" s="2837">
        <f t="shared" ref="BB83:BB91" si="477">+AL83+AZ83</f>
        <v>25122.402266288947</v>
      </c>
      <c r="BC83" s="2837">
        <f t="shared" ref="BC83:BC91" si="478">+AM83+BA83</f>
        <v>10718.328000000001</v>
      </c>
      <c r="BD83" s="6633">
        <f>+AV83+AX83</f>
        <v>81521.359773371107</v>
      </c>
      <c r="BE83" s="2236">
        <f>+AW83+AY83</f>
        <v>34488.362653599106</v>
      </c>
      <c r="BF83" s="112"/>
      <c r="BG83" s="112"/>
      <c r="BH83" s="112"/>
      <c r="BI83" s="112"/>
      <c r="BJ83" s="112"/>
    </row>
    <row r="84" spans="1:62" s="4487" customFormat="1" ht="15.75" hidden="1" x14ac:dyDescent="0.25">
      <c r="A84" s="90"/>
      <c r="B84" s="5477"/>
      <c r="C84" s="5476"/>
      <c r="D84" s="5478"/>
      <c r="E84" s="5248"/>
      <c r="F84" s="5478">
        <v>16.731030491333879</v>
      </c>
      <c r="G84" s="5248"/>
      <c r="H84" s="5241"/>
      <c r="I84" s="5241"/>
      <c r="J84" s="5478">
        <v>16.759206798866856</v>
      </c>
      <c r="K84" s="5248"/>
      <c r="L84" s="5249"/>
      <c r="M84" s="5249"/>
      <c r="N84" s="5478">
        <v>16.350269578726124</v>
      </c>
      <c r="O84" s="5248"/>
      <c r="P84" s="5241"/>
      <c r="Q84" s="5241"/>
      <c r="R84" s="5478">
        <v>16.350269578726124</v>
      </c>
      <c r="S84" s="5248"/>
      <c r="T84" s="5241"/>
      <c r="U84" s="5241"/>
      <c r="V84" s="5478">
        <v>10.49338999055713</v>
      </c>
      <c r="W84" s="5248"/>
      <c r="X84" s="5249"/>
      <c r="Y84" s="5249"/>
      <c r="Z84" s="5360"/>
      <c r="AA84" s="5360"/>
      <c r="AB84" s="5478">
        <v>16.731030491333875</v>
      </c>
      <c r="AC84" s="5248"/>
      <c r="AD84" s="5241"/>
      <c r="AE84" s="5241"/>
      <c r="AF84" s="5478">
        <v>0</v>
      </c>
      <c r="AG84" s="5248"/>
      <c r="AH84" s="5241"/>
      <c r="AI84" s="5241"/>
      <c r="AJ84" s="5478">
        <v>0</v>
      </c>
      <c r="AK84" s="5248"/>
      <c r="AL84" s="5249"/>
      <c r="AM84" s="5249"/>
      <c r="AN84" s="5241"/>
      <c r="AO84" s="5241"/>
      <c r="AP84" s="5478"/>
      <c r="AQ84" s="5248"/>
      <c r="AR84" s="5241"/>
      <c r="AS84" s="5241"/>
      <c r="AT84" s="5478"/>
      <c r="AU84" s="5248"/>
      <c r="AV84" s="5241"/>
      <c r="AW84" s="5241"/>
      <c r="AX84" s="5478">
        <v>17.035639221420087</v>
      </c>
      <c r="AY84" s="5248"/>
      <c r="AZ84" s="6631">
        <f t="shared" ref="AZ84:AZ91" si="479">+AX84+AT84+AP84</f>
        <v>17.035639221420087</v>
      </c>
      <c r="BA84" s="5249"/>
      <c r="BB84" s="5360"/>
      <c r="BC84" s="5360"/>
      <c r="BD84" s="5241"/>
      <c r="BE84" s="5241"/>
      <c r="BF84" s="112"/>
      <c r="BG84" s="112"/>
      <c r="BH84" s="112"/>
      <c r="BI84" s="112"/>
      <c r="BJ84" s="112"/>
    </row>
    <row r="85" spans="1:62" x14ac:dyDescent="0.25">
      <c r="A85" s="90"/>
      <c r="B85" s="945" t="s">
        <v>1293</v>
      </c>
      <c r="C85" s="148" t="s">
        <v>324</v>
      </c>
      <c r="D85" s="7635">
        <f>D86*D$3*24</f>
        <v>0</v>
      </c>
      <c r="E85" s="1819">
        <v>3118.7</v>
      </c>
      <c r="F85" s="5629">
        <f>F86*F$3*24</f>
        <v>1116.5902167604945</v>
      </c>
      <c r="G85" s="1819">
        <v>3828.6043275515049</v>
      </c>
      <c r="H85" s="733">
        <f>+D85+F85</f>
        <v>1116.5902167604945</v>
      </c>
      <c r="I85" s="733">
        <f>+E85+G85</f>
        <v>6947.3043275515047</v>
      </c>
      <c r="J85" s="5763">
        <f>J86*J$3*24</f>
        <v>1075.178175557433</v>
      </c>
      <c r="K85" s="1819">
        <v>3573.6069560380729</v>
      </c>
      <c r="L85" s="732">
        <f t="shared" ref="L85:L89" si="480">+H85+J85</f>
        <v>2191.7683923179275</v>
      </c>
      <c r="M85" s="732">
        <f t="shared" ref="M85:M89" si="481">+I85+K85</f>
        <v>10520.911283589578</v>
      </c>
      <c r="N85" s="5871">
        <f>N86*N$3*24</f>
        <v>1115.7337316178846</v>
      </c>
      <c r="O85" s="1819">
        <v>3192.9922877678187</v>
      </c>
      <c r="P85" s="5886">
        <f>+L85+N85</f>
        <v>3307.5021239358121</v>
      </c>
      <c r="Q85" s="1606">
        <f t="shared" ref="Q85:Q89" si="482">+M85+O85</f>
        <v>13713.903571357396</v>
      </c>
      <c r="R85" s="5975">
        <f>R86*R$3*24</f>
        <v>1115.7337316178846</v>
      </c>
      <c r="S85" s="1819">
        <v>3133.3300290292059</v>
      </c>
      <c r="T85" s="5982">
        <f>+P85+R85</f>
        <v>4423.2358555536966</v>
      </c>
      <c r="U85" s="4359">
        <f t="shared" ref="U85:U89" si="483">+Q85+S85</f>
        <v>16847.2336003866</v>
      </c>
      <c r="V85" s="6049">
        <f>V86*V$3*24</f>
        <v>0</v>
      </c>
      <c r="W85" s="1819">
        <v>3972.6</v>
      </c>
      <c r="X85" s="6631">
        <f t="shared" ref="X85:Y91" si="484">+V85+R85+N85</f>
        <v>2231.4674632357692</v>
      </c>
      <c r="Y85" s="2104">
        <f t="shared" si="484"/>
        <v>10298.922316797025</v>
      </c>
      <c r="Z85" s="439">
        <f t="shared" ref="Z85:Z89" si="485">+L85+X85</f>
        <v>4423.2358555536966</v>
      </c>
      <c r="AA85" s="439">
        <f t="shared" ref="AA85:AA91" si="486">+Y85+M85</f>
        <v>20819.833600386602</v>
      </c>
      <c r="AB85" s="6179">
        <f>AB86*AB$3*24</f>
        <v>1145.367687018359</v>
      </c>
      <c r="AC85" s="1819">
        <v>2397.1999999999998</v>
      </c>
      <c r="AD85" s="6633">
        <f t="shared" ref="AD85:AE89" si="487">+Z85+AB85</f>
        <v>5568.6035425720556</v>
      </c>
      <c r="AE85" s="2236">
        <f t="shared" si="487"/>
        <v>23217.033600386603</v>
      </c>
      <c r="AF85" s="6372">
        <f>AF86*AF$3*24</f>
        <v>0</v>
      </c>
      <c r="AG85" s="1819">
        <v>5031.8999999999996</v>
      </c>
      <c r="AH85" s="6633">
        <f t="shared" ref="AH85:AI89" si="488">+AD85+AF85</f>
        <v>5568.6035425720556</v>
      </c>
      <c r="AI85" s="4652">
        <f t="shared" si="488"/>
        <v>28248.933600386605</v>
      </c>
      <c r="AJ85" s="6624">
        <f>AJ86*AJ$3*24</f>
        <v>0</v>
      </c>
      <c r="AK85" s="1819">
        <v>5255.6771507618287</v>
      </c>
      <c r="AL85" s="6631">
        <f t="shared" ref="AL85:AM91" si="489">+AJ85+AF85+AB85</f>
        <v>1145.367687018359</v>
      </c>
      <c r="AM85" s="2553">
        <f t="shared" si="489"/>
        <v>12684.777150761827</v>
      </c>
      <c r="AN85" s="6633">
        <f t="shared" ref="AN85:AO89" si="490">+AH85+AJ85</f>
        <v>5568.6035425720556</v>
      </c>
      <c r="AO85" s="2236">
        <f t="shared" si="490"/>
        <v>33504.61075114843</v>
      </c>
      <c r="AP85" s="6716">
        <f>AP86*AP$3*24</f>
        <v>0</v>
      </c>
      <c r="AQ85" s="1819">
        <v>5533.6</v>
      </c>
      <c r="AR85" s="6633">
        <f t="shared" ref="AR85:AS89" si="491">+AN85+AP85</f>
        <v>5568.6035425720556</v>
      </c>
      <c r="AS85" s="2236">
        <f t="shared" si="491"/>
        <v>39038.210751148428</v>
      </c>
      <c r="AT85" s="6861">
        <f>AT86*AT$3*24</f>
        <v>0</v>
      </c>
      <c r="AU85" s="1819">
        <v>4698.7</v>
      </c>
      <c r="AV85" s="6633">
        <f t="shared" ref="AV85:AW89" si="492">+AR85+AT85</f>
        <v>5568.6035425720556</v>
      </c>
      <c r="AW85" s="5072">
        <f t="shared" si="492"/>
        <v>43736.910751148425</v>
      </c>
      <c r="AX85" s="7015">
        <f>AX86*AX$3*24</f>
        <v>1126.7127279168515</v>
      </c>
      <c r="AY85" s="1819">
        <v>4643.7</v>
      </c>
      <c r="AZ85" s="6631">
        <f t="shared" si="479"/>
        <v>1126.7127279168515</v>
      </c>
      <c r="BA85" s="2829">
        <f t="shared" ref="BA85:BA91" si="493">+AY85+AU85+AQ85</f>
        <v>14876</v>
      </c>
      <c r="BB85" s="2837">
        <f t="shared" si="477"/>
        <v>2272.0804149352107</v>
      </c>
      <c r="BC85" s="2837">
        <f t="shared" si="478"/>
        <v>27560.777150761827</v>
      </c>
      <c r="BD85" s="6633">
        <f t="shared" ref="BD85:BE89" si="494">+AV85+AX85</f>
        <v>6695.3162704889073</v>
      </c>
      <c r="BE85" s="2236">
        <f t="shared" si="494"/>
        <v>48380.610751148422</v>
      </c>
      <c r="BF85" s="112"/>
      <c r="BG85" s="112"/>
      <c r="BH85" s="112"/>
      <c r="BI85" s="112"/>
      <c r="BJ85" s="112"/>
    </row>
    <row r="86" spans="1:62" s="4487" customFormat="1" ht="15.75" hidden="1" x14ac:dyDescent="0.25">
      <c r="A86" s="90"/>
      <c r="B86" s="5477"/>
      <c r="C86" s="5476"/>
      <c r="D86" s="5478"/>
      <c r="E86" s="5248"/>
      <c r="F86" s="5478">
        <v>1.5007933020974389</v>
      </c>
      <c r="G86" s="5248"/>
      <c r="H86" s="5241"/>
      <c r="I86" s="5241"/>
      <c r="J86" s="5478">
        <v>1.4933030216075458</v>
      </c>
      <c r="K86" s="5248"/>
      <c r="L86" s="5249"/>
      <c r="M86" s="5249"/>
      <c r="N86" s="5478">
        <v>1.49964211238963</v>
      </c>
      <c r="O86" s="5248"/>
      <c r="P86" s="5241"/>
      <c r="Q86" s="5241"/>
      <c r="R86" s="5478">
        <v>1.49964211238963</v>
      </c>
      <c r="S86" s="5248"/>
      <c r="T86" s="5241"/>
      <c r="U86" s="5241"/>
      <c r="V86" s="5478">
        <v>0</v>
      </c>
      <c r="W86" s="5248"/>
      <c r="X86" s="5249"/>
      <c r="Y86" s="5249"/>
      <c r="Z86" s="5360"/>
      <c r="AA86" s="5360"/>
      <c r="AB86" s="5478">
        <v>1.5394726976053212</v>
      </c>
      <c r="AC86" s="5248"/>
      <c r="AD86" s="5241"/>
      <c r="AE86" s="5241"/>
      <c r="AF86" s="5478">
        <v>0</v>
      </c>
      <c r="AG86" s="5248"/>
      <c r="AH86" s="5241"/>
      <c r="AI86" s="5241"/>
      <c r="AJ86" s="5478">
        <v>0</v>
      </c>
      <c r="AK86" s="5248"/>
      <c r="AL86" s="5249"/>
      <c r="AM86" s="5249"/>
      <c r="AN86" s="5241"/>
      <c r="AO86" s="5241"/>
      <c r="AP86" s="5478"/>
      <c r="AQ86" s="5248"/>
      <c r="AR86" s="5241"/>
      <c r="AS86" s="5241"/>
      <c r="AT86" s="5478"/>
      <c r="AU86" s="5248"/>
      <c r="AV86" s="5241"/>
      <c r="AW86" s="5241"/>
      <c r="AX86" s="5478">
        <v>1.5143988278452303</v>
      </c>
      <c r="AY86" s="5248"/>
      <c r="AZ86" s="6631">
        <f t="shared" si="479"/>
        <v>1.5143988278452303</v>
      </c>
      <c r="BA86" s="5249"/>
      <c r="BB86" s="5360"/>
      <c r="BC86" s="5360"/>
      <c r="BD86" s="5241"/>
      <c r="BE86" s="5241"/>
      <c r="BF86" s="112"/>
      <c r="BG86" s="112"/>
      <c r="BH86" s="112"/>
      <c r="BI86" s="112"/>
      <c r="BJ86" s="112"/>
    </row>
    <row r="87" spans="1:62" x14ac:dyDescent="0.25">
      <c r="A87" s="90"/>
      <c r="B87" s="945" t="s">
        <v>91</v>
      </c>
      <c r="C87" s="148" t="s">
        <v>324</v>
      </c>
      <c r="D87" s="7635">
        <f>D88*D$3*24</f>
        <v>0</v>
      </c>
      <c r="E87" s="1819">
        <v>2436.9</v>
      </c>
      <c r="F87" s="5629">
        <f>F88*F$3*24</f>
        <v>673.78073254620631</v>
      </c>
      <c r="G87" s="1819">
        <v>2845.3154649731773</v>
      </c>
      <c r="H87" s="733">
        <f t="shared" ref="H87:H91" si="495">+D87+F87</f>
        <v>673.78073254620631</v>
      </c>
      <c r="I87" s="733">
        <f t="shared" ref="I87:I91" si="496">+E87+G87</f>
        <v>5282.2154649731774</v>
      </c>
      <c r="J87" s="5763">
        <f>J88*J$3*24</f>
        <v>654.25781916880749</v>
      </c>
      <c r="K87" s="1819">
        <v>2473.3741110866117</v>
      </c>
      <c r="L87" s="732">
        <f t="shared" si="480"/>
        <v>1328.0385517150139</v>
      </c>
      <c r="M87" s="732">
        <f t="shared" si="481"/>
        <v>7755.5895760597887</v>
      </c>
      <c r="N87" s="5871">
        <f>N88*N$3*24</f>
        <v>674.29810579814841</v>
      </c>
      <c r="O87" s="1819">
        <v>2485.4007884967182</v>
      </c>
      <c r="P87" s="5886">
        <f>+L87+N87</f>
        <v>2002.3366575131622</v>
      </c>
      <c r="Q87" s="1606">
        <f t="shared" si="482"/>
        <v>10240.990364556506</v>
      </c>
      <c r="R87" s="5975">
        <f>R88*R$3*24</f>
        <v>674.29810579814841</v>
      </c>
      <c r="S87" s="1819">
        <v>2406.6359294407875</v>
      </c>
      <c r="T87" s="5982">
        <f>+P87+R87</f>
        <v>2676.6347633113105</v>
      </c>
      <c r="U87" s="4359">
        <f t="shared" si="483"/>
        <v>12647.626293997295</v>
      </c>
      <c r="V87" s="6049">
        <f>V88*V$3*24</f>
        <v>0</v>
      </c>
      <c r="W87" s="1819">
        <v>2969.9</v>
      </c>
      <c r="X87" s="6631">
        <f t="shared" si="484"/>
        <v>1348.5962115962968</v>
      </c>
      <c r="Y87" s="2104">
        <f t="shared" si="484"/>
        <v>7861.9367179375058</v>
      </c>
      <c r="Z87" s="439">
        <f t="shared" si="485"/>
        <v>2676.634763311311</v>
      </c>
      <c r="AA87" s="2105">
        <f t="shared" si="486"/>
        <v>15617.526293997294</v>
      </c>
      <c r="AB87" s="6179">
        <f>AB88*AB$3*24</f>
        <v>662.08771571893362</v>
      </c>
      <c r="AC87" s="1819">
        <v>1954.2</v>
      </c>
      <c r="AD87" s="6633">
        <f t="shared" si="487"/>
        <v>3338.7224790302444</v>
      </c>
      <c r="AE87" s="2236">
        <f t="shared" si="487"/>
        <v>17571.726293997293</v>
      </c>
      <c r="AF87" s="6372">
        <f>AF88*AF$3*24</f>
        <v>0</v>
      </c>
      <c r="AG87" s="1819">
        <v>3735.6</v>
      </c>
      <c r="AH87" s="6633">
        <f t="shared" si="488"/>
        <v>3338.7224790302444</v>
      </c>
      <c r="AI87" s="4652">
        <f t="shared" si="488"/>
        <v>21307.326293997292</v>
      </c>
      <c r="AJ87" s="6624">
        <f>AJ88*AJ$3*24</f>
        <v>0</v>
      </c>
      <c r="AK87" s="1819">
        <v>4017.3000405304383</v>
      </c>
      <c r="AL87" s="6631">
        <f t="shared" si="489"/>
        <v>662.08771571893362</v>
      </c>
      <c r="AM87" s="2553">
        <f t="shared" si="489"/>
        <v>9707.1000405304385</v>
      </c>
      <c r="AN87" s="6633">
        <f t="shared" si="490"/>
        <v>3338.7224790302444</v>
      </c>
      <c r="AO87" s="2236">
        <f t="shared" si="490"/>
        <v>25324.626334527729</v>
      </c>
      <c r="AP87" s="6716">
        <f>AP88*AP$3*24</f>
        <v>0</v>
      </c>
      <c r="AQ87" s="1819">
        <v>3954.4</v>
      </c>
      <c r="AR87" s="6633">
        <f t="shared" si="491"/>
        <v>3338.7224790302444</v>
      </c>
      <c r="AS87" s="2236">
        <f t="shared" si="491"/>
        <v>29279.026334527731</v>
      </c>
      <c r="AT87" s="6861">
        <f>AT88*AT$3*24</f>
        <v>0</v>
      </c>
      <c r="AU87" s="1819">
        <v>3081.8</v>
      </c>
      <c r="AV87" s="6633">
        <f t="shared" si="492"/>
        <v>3338.7224790302444</v>
      </c>
      <c r="AW87" s="5072">
        <f t="shared" si="492"/>
        <v>32360.82633452773</v>
      </c>
      <c r="AX87" s="7015">
        <f>AX88*AX$3*24</f>
        <v>668.0041923546496</v>
      </c>
      <c r="AY87" s="1819">
        <v>3227.9</v>
      </c>
      <c r="AZ87" s="6631">
        <f t="shared" si="479"/>
        <v>668.0041923546496</v>
      </c>
      <c r="BA87" s="2829">
        <f t="shared" si="493"/>
        <v>10264.1</v>
      </c>
      <c r="BB87" s="2837">
        <f t="shared" si="477"/>
        <v>1330.0919080735832</v>
      </c>
      <c r="BC87" s="2837">
        <f t="shared" si="478"/>
        <v>19971.200040530439</v>
      </c>
      <c r="BD87" s="6633">
        <f t="shared" si="494"/>
        <v>4006.726671384894</v>
      </c>
      <c r="BE87" s="2236">
        <f t="shared" si="494"/>
        <v>35588.726334527732</v>
      </c>
      <c r="BF87" s="112"/>
      <c r="BG87" s="112"/>
      <c r="BH87" s="112"/>
      <c r="BI87" s="112"/>
      <c r="BJ87" s="112"/>
    </row>
    <row r="88" spans="1:62" s="4487" customFormat="1" ht="15.75" hidden="1" x14ac:dyDescent="0.25">
      <c r="A88" s="90"/>
      <c r="B88" s="5477"/>
      <c r="C88" s="5476"/>
      <c r="D88" s="5478"/>
      <c r="E88" s="5248"/>
      <c r="F88" s="5478">
        <v>0.90561926417500849</v>
      </c>
      <c r="G88" s="5248"/>
      <c r="H88" s="5241"/>
      <c r="I88" s="5241"/>
      <c r="J88" s="5478">
        <v>0.90869141551223254</v>
      </c>
      <c r="K88" s="5248"/>
      <c r="L88" s="5249"/>
      <c r="M88" s="5249"/>
      <c r="N88" s="5478">
        <v>0.90631465833084468</v>
      </c>
      <c r="O88" s="5248"/>
      <c r="P88" s="5241"/>
      <c r="Q88" s="5241"/>
      <c r="R88" s="5478">
        <v>0.90631465833084468</v>
      </c>
      <c r="S88" s="5248"/>
      <c r="T88" s="5241"/>
      <c r="U88" s="5241"/>
      <c r="V88" s="5478">
        <v>0</v>
      </c>
      <c r="W88" s="5248"/>
      <c r="X88" s="5249"/>
      <c r="Y88" s="5249"/>
      <c r="Z88" s="5360"/>
      <c r="AA88" s="5360"/>
      <c r="AB88" s="5478">
        <v>0.88990284370824413</v>
      </c>
      <c r="AC88" s="5248"/>
      <c r="AD88" s="5241"/>
      <c r="AE88" s="5241"/>
      <c r="AF88" s="5478">
        <v>0</v>
      </c>
      <c r="AG88" s="5248"/>
      <c r="AH88" s="5241"/>
      <c r="AI88" s="5241"/>
      <c r="AJ88" s="5478">
        <v>0</v>
      </c>
      <c r="AK88" s="5248"/>
      <c r="AL88" s="5249"/>
      <c r="AM88" s="5249"/>
      <c r="AN88" s="5241"/>
      <c r="AO88" s="5241"/>
      <c r="AP88" s="5478"/>
      <c r="AQ88" s="5248"/>
      <c r="AR88" s="5241"/>
      <c r="AS88" s="5241"/>
      <c r="AT88" s="5478"/>
      <c r="AU88" s="5248"/>
      <c r="AV88" s="5241"/>
      <c r="AW88" s="5241"/>
      <c r="AX88" s="5478">
        <v>0.89785509725087309</v>
      </c>
      <c r="AY88" s="5248"/>
      <c r="AZ88" s="6631">
        <f t="shared" si="479"/>
        <v>0.89785509725087309</v>
      </c>
      <c r="BA88" s="5249"/>
      <c r="BB88" s="5360"/>
      <c r="BC88" s="5360"/>
      <c r="BD88" s="5241"/>
      <c r="BE88" s="5241"/>
      <c r="BF88" s="112"/>
      <c r="BG88" s="112"/>
      <c r="BH88" s="112"/>
      <c r="BI88" s="112"/>
      <c r="BJ88" s="112"/>
    </row>
    <row r="89" spans="1:62" x14ac:dyDescent="0.25">
      <c r="A89" s="90"/>
      <c r="B89" s="945" t="s">
        <v>1294</v>
      </c>
      <c r="C89" s="148" t="s">
        <v>324</v>
      </c>
      <c r="D89" s="7635">
        <f>D90*D$3*24</f>
        <v>0</v>
      </c>
      <c r="E89" s="1819">
        <v>1708.2</v>
      </c>
      <c r="F89" s="5629">
        <f>F90*F$3*24</f>
        <v>441.62905069329918</v>
      </c>
      <c r="G89" s="1819">
        <v>1946.9502074753182</v>
      </c>
      <c r="H89" s="733">
        <f t="shared" si="495"/>
        <v>441.62905069329918</v>
      </c>
      <c r="I89" s="733">
        <f t="shared" si="496"/>
        <v>3655.150207475318</v>
      </c>
      <c r="J89" s="5763">
        <f>J90*J$3*24</f>
        <v>430.56400527375979</v>
      </c>
      <c r="K89" s="1819">
        <v>1746.3149328753157</v>
      </c>
      <c r="L89" s="732">
        <f t="shared" si="480"/>
        <v>872.19305596705897</v>
      </c>
      <c r="M89" s="732">
        <f t="shared" si="481"/>
        <v>5401.4651403506341</v>
      </c>
      <c r="N89" s="5871">
        <f>N90*N$3*24</f>
        <v>441.96816258396706</v>
      </c>
      <c r="O89" s="1819">
        <v>1728.6369237354629</v>
      </c>
      <c r="P89" s="5886">
        <f>+L89+N89</f>
        <v>1314.161218551026</v>
      </c>
      <c r="Q89" s="1606">
        <f t="shared" si="482"/>
        <v>7130.102064086097</v>
      </c>
      <c r="R89" s="5975">
        <f>R90*R$3*24</f>
        <v>441.96816258396706</v>
      </c>
      <c r="S89" s="1819">
        <v>1576.4889574418933</v>
      </c>
      <c r="T89" s="5982">
        <f>+P89+R89</f>
        <v>1756.1293811349931</v>
      </c>
      <c r="U89" s="4359">
        <f t="shared" si="483"/>
        <v>8706.591021527991</v>
      </c>
      <c r="V89" s="6049">
        <f>V90*V$3*24</f>
        <v>0</v>
      </c>
      <c r="W89" s="1819">
        <v>2072.8000000000002</v>
      </c>
      <c r="X89" s="6631">
        <f t="shared" si="484"/>
        <v>883.93632516793411</v>
      </c>
      <c r="Y89" s="2104">
        <f t="shared" si="484"/>
        <v>5377.9258811773561</v>
      </c>
      <c r="Z89" s="439">
        <f t="shared" si="485"/>
        <v>1756.1293811349931</v>
      </c>
      <c r="AA89" s="2105">
        <f t="shared" si="486"/>
        <v>10779.39102152799</v>
      </c>
      <c r="AB89" s="6179">
        <f>AB90*AB$3*24</f>
        <v>424.54459726270744</v>
      </c>
      <c r="AC89" s="1819">
        <v>1446.6</v>
      </c>
      <c r="AD89" s="6633">
        <f t="shared" si="487"/>
        <v>2180.6739783977005</v>
      </c>
      <c r="AE89" s="2236">
        <f t="shared" si="487"/>
        <v>12225.991021527991</v>
      </c>
      <c r="AF89" s="6372">
        <f>AF90*AF$3*24</f>
        <v>0</v>
      </c>
      <c r="AG89" s="1819">
        <v>2628.5</v>
      </c>
      <c r="AH89" s="6633">
        <f t="shared" si="488"/>
        <v>2180.6739783977005</v>
      </c>
      <c r="AI89" s="4652">
        <f t="shared" si="488"/>
        <v>14854.491021527991</v>
      </c>
      <c r="AJ89" s="6624">
        <f>AJ90*AJ$3*24</f>
        <v>0</v>
      </c>
      <c r="AK89" s="1819">
        <v>3159.4813069620204</v>
      </c>
      <c r="AL89" s="6631">
        <f t="shared" si="489"/>
        <v>424.54459726270744</v>
      </c>
      <c r="AM89" s="2553">
        <f t="shared" si="489"/>
        <v>7234.5813069620199</v>
      </c>
      <c r="AN89" s="6633">
        <f t="shared" si="490"/>
        <v>2180.6739783977005</v>
      </c>
      <c r="AO89" s="2236">
        <f t="shared" si="490"/>
        <v>18013.97232849001</v>
      </c>
      <c r="AP89" s="6716">
        <f>AP90*AP$3*24</f>
        <v>0</v>
      </c>
      <c r="AQ89" s="1819">
        <v>2968.5</v>
      </c>
      <c r="AR89" s="6633">
        <f t="shared" si="491"/>
        <v>2180.6739783977005</v>
      </c>
      <c r="AS89" s="2236">
        <f t="shared" si="491"/>
        <v>20982.47232849001</v>
      </c>
      <c r="AT89" s="6861">
        <f>AT90*AT$3*24</f>
        <v>0</v>
      </c>
      <c r="AU89" s="1819">
        <v>2254</v>
      </c>
      <c r="AV89" s="6633">
        <f t="shared" si="492"/>
        <v>2180.6739783977005</v>
      </c>
      <c r="AW89" s="5072">
        <f t="shared" si="492"/>
        <v>23236.47232849001</v>
      </c>
      <c r="AX89" s="7015">
        <f>AX90*AX$3*24</f>
        <v>437.28307972849899</v>
      </c>
      <c r="AY89" s="1819">
        <v>2507.8000000000002</v>
      </c>
      <c r="AZ89" s="6631">
        <f t="shared" si="479"/>
        <v>437.28307972849899</v>
      </c>
      <c r="BA89" s="2829">
        <f t="shared" si="493"/>
        <v>7730.3</v>
      </c>
      <c r="BB89" s="2837">
        <f t="shared" si="477"/>
        <v>861.82767699120643</v>
      </c>
      <c r="BC89" s="2837">
        <f t="shared" si="478"/>
        <v>14964.881306962019</v>
      </c>
      <c r="BD89" s="6633">
        <f t="shared" si="494"/>
        <v>2617.9570581261996</v>
      </c>
      <c r="BE89" s="2236">
        <f t="shared" si="494"/>
        <v>25744.272328490009</v>
      </c>
      <c r="BF89" s="112"/>
      <c r="BG89" s="112"/>
      <c r="BH89" s="112"/>
      <c r="BI89" s="112"/>
      <c r="BJ89" s="112"/>
    </row>
    <row r="90" spans="1:62" s="4487" customFormat="1" ht="15.75" hidden="1" x14ac:dyDescent="0.25">
      <c r="A90" s="90"/>
      <c r="B90" s="5477"/>
      <c r="C90" s="5476"/>
      <c r="D90" s="5478"/>
      <c r="E90" s="5248"/>
      <c r="F90" s="5478">
        <v>0.59358743372755263</v>
      </c>
      <c r="G90" s="5248"/>
      <c r="H90" s="5241"/>
      <c r="I90" s="5241"/>
      <c r="J90" s="5478">
        <v>0.59800556288022189</v>
      </c>
      <c r="K90" s="5248"/>
      <c r="L90" s="5249"/>
      <c r="M90" s="5249"/>
      <c r="N90" s="5478">
        <v>0.59404322927952558</v>
      </c>
      <c r="O90" s="5248"/>
      <c r="P90" s="5241"/>
      <c r="Q90" s="5241"/>
      <c r="R90" s="5478">
        <v>0.59404322927952558</v>
      </c>
      <c r="S90" s="5248"/>
      <c r="T90" s="5241"/>
      <c r="U90" s="5241"/>
      <c r="V90" s="5478">
        <v>0</v>
      </c>
      <c r="W90" s="5248"/>
      <c r="X90" s="5249"/>
      <c r="Y90" s="5249"/>
      <c r="Z90" s="5360"/>
      <c r="AA90" s="5360"/>
      <c r="AB90" s="5478">
        <v>0.57062445868643474</v>
      </c>
      <c r="AC90" s="5248"/>
      <c r="AD90" s="5241"/>
      <c r="AE90" s="5241"/>
      <c r="AF90" s="5478">
        <v>0</v>
      </c>
      <c r="AG90" s="5248"/>
      <c r="AH90" s="5241"/>
      <c r="AI90" s="5241"/>
      <c r="AJ90" s="5478">
        <v>0</v>
      </c>
      <c r="AK90" s="5248"/>
      <c r="AL90" s="5249"/>
      <c r="AM90" s="5249"/>
      <c r="AN90" s="5241"/>
      <c r="AO90" s="5241"/>
      <c r="AP90" s="5478"/>
      <c r="AQ90" s="5248"/>
      <c r="AR90" s="5241"/>
      <c r="AS90" s="5241"/>
      <c r="AT90" s="5478"/>
      <c r="AU90" s="5248"/>
      <c r="AV90" s="5241"/>
      <c r="AW90" s="5241"/>
      <c r="AX90" s="5478">
        <v>0.58774607490389652</v>
      </c>
      <c r="AY90" s="5248"/>
      <c r="AZ90" s="6631">
        <f t="shared" si="479"/>
        <v>0.58774607490389652</v>
      </c>
      <c r="BA90" s="5249"/>
      <c r="BB90" s="5360"/>
      <c r="BC90" s="5360"/>
      <c r="BD90" s="5241"/>
      <c r="BE90" s="5241"/>
      <c r="BF90" s="112"/>
      <c r="BG90" s="112"/>
      <c r="BH90" s="112"/>
      <c r="BI90" s="112"/>
      <c r="BJ90" s="112"/>
    </row>
    <row r="91" spans="1:62" x14ac:dyDescent="0.25">
      <c r="A91" s="90"/>
      <c r="B91" s="945" t="s">
        <v>54</v>
      </c>
      <c r="C91" s="148" t="s">
        <v>324</v>
      </c>
      <c r="D91" s="7634"/>
      <c r="E91" s="1819"/>
      <c r="F91" s="5625"/>
      <c r="G91" s="1819"/>
      <c r="H91" s="733">
        <f t="shared" si="495"/>
        <v>0</v>
      </c>
      <c r="I91" s="733">
        <f t="shared" si="496"/>
        <v>0</v>
      </c>
      <c r="J91" s="5761"/>
      <c r="K91" s="1819"/>
      <c r="L91" s="732">
        <f>+H91+J91</f>
        <v>0</v>
      </c>
      <c r="M91" s="891">
        <f>+I91+K91</f>
        <v>0</v>
      </c>
      <c r="N91" s="5870"/>
      <c r="O91" s="1819"/>
      <c r="P91" s="733">
        <f>+L91+N91</f>
        <v>0</v>
      </c>
      <c r="Q91" s="558">
        <f>+M91+O91</f>
        <v>0</v>
      </c>
      <c r="R91" s="5973"/>
      <c r="S91" s="1819"/>
      <c r="T91" s="4359">
        <f>+P91+R91</f>
        <v>0</v>
      </c>
      <c r="U91" s="4360">
        <f>+Q91+S91</f>
        <v>0</v>
      </c>
      <c r="V91" s="6047"/>
      <c r="W91" s="1819"/>
      <c r="X91" s="6631">
        <f t="shared" si="484"/>
        <v>0</v>
      </c>
      <c r="Y91" s="2104">
        <f t="shared" si="484"/>
        <v>0</v>
      </c>
      <c r="Z91" s="439">
        <f>+L91+X91</f>
        <v>0</v>
      </c>
      <c r="AA91" s="2105">
        <f t="shared" si="486"/>
        <v>0</v>
      </c>
      <c r="AB91" s="6174"/>
      <c r="AC91" s="1819">
        <v>0</v>
      </c>
      <c r="AD91" s="6632">
        <f>+Z91+AB91</f>
        <v>0</v>
      </c>
      <c r="AE91" s="558">
        <f>+AA91+AC91</f>
        <v>0</v>
      </c>
      <c r="AF91" s="6371"/>
      <c r="AG91" s="1819">
        <v>0</v>
      </c>
      <c r="AH91" s="6632">
        <f>+AD91+AF91</f>
        <v>0</v>
      </c>
      <c r="AI91" s="4651">
        <f>+AE91+AG91</f>
        <v>0</v>
      </c>
      <c r="AJ91" s="6623"/>
      <c r="AK91" s="1819">
        <v>0</v>
      </c>
      <c r="AL91" s="6631">
        <f t="shared" si="489"/>
        <v>0</v>
      </c>
      <c r="AM91" s="2553">
        <f t="shared" si="489"/>
        <v>0</v>
      </c>
      <c r="AN91" s="6632">
        <f>+AH91+AJ91</f>
        <v>0</v>
      </c>
      <c r="AO91" s="558">
        <f>+AI91+AK91</f>
        <v>0</v>
      </c>
      <c r="AP91" s="6715"/>
      <c r="AQ91" s="1819">
        <v>0</v>
      </c>
      <c r="AR91" s="6632">
        <f>+AN91+AP91</f>
        <v>0</v>
      </c>
      <c r="AS91" s="558">
        <f>+AO91+AQ91</f>
        <v>0</v>
      </c>
      <c r="AT91" s="6860"/>
      <c r="AU91" s="1819">
        <v>0</v>
      </c>
      <c r="AV91" s="6632">
        <f>+AR91+AT91</f>
        <v>0</v>
      </c>
      <c r="AW91" s="5071">
        <f>+AS91+AU91</f>
        <v>0</v>
      </c>
      <c r="AX91" s="7014"/>
      <c r="AY91" s="1819"/>
      <c r="AZ91" s="6631">
        <f t="shared" si="479"/>
        <v>0</v>
      </c>
      <c r="BA91" s="2829">
        <f t="shared" si="493"/>
        <v>0</v>
      </c>
      <c r="BB91" s="2837">
        <f t="shared" si="477"/>
        <v>0</v>
      </c>
      <c r="BC91" s="2837">
        <f t="shared" si="478"/>
        <v>0</v>
      </c>
      <c r="BD91" s="6632">
        <f>+AV91+AX91</f>
        <v>0</v>
      </c>
      <c r="BE91" s="558">
        <f>+AW91+AY91</f>
        <v>0</v>
      </c>
      <c r="BF91" s="112"/>
      <c r="BG91" s="112"/>
      <c r="BH91" s="112"/>
      <c r="BI91" s="112"/>
      <c r="BJ91" s="112"/>
    </row>
    <row r="92" spans="1:62" ht="18.75" x14ac:dyDescent="0.25">
      <c r="A92" s="90"/>
      <c r="B92" s="959" t="s">
        <v>61</v>
      </c>
      <c r="C92" s="944" t="s">
        <v>324</v>
      </c>
      <c r="D92" s="589">
        <f>D83+D85+D87+D89+D91</f>
        <v>0</v>
      </c>
      <c r="E92" s="3120">
        <f t="shared" ref="E92" si="497">SUM(E83:E91)</f>
        <v>11950.800000000001</v>
      </c>
      <c r="F92" s="589">
        <f>F83+F85+F87+F89+F91</f>
        <v>14679.886685552407</v>
      </c>
      <c r="G92" s="3120">
        <f t="shared" ref="G92" si="498">SUM(G83:G91)</f>
        <v>13088.434000000001</v>
      </c>
      <c r="H92" s="616">
        <f t="shared" ref="H92:AE92" si="499">SUM(H83:H91)</f>
        <v>14679.886685552407</v>
      </c>
      <c r="I92" s="616">
        <f t="shared" si="499"/>
        <v>25039.234</v>
      </c>
      <c r="J92" s="589">
        <f>J83+J85+J87+J89+J91</f>
        <v>14226.62889518414</v>
      </c>
      <c r="K92" s="3120">
        <f t="shared" ref="K92" si="500">SUM(K83:K91)</f>
        <v>14495.507</v>
      </c>
      <c r="L92" s="617">
        <f t="shared" si="499"/>
        <v>28906.515580736545</v>
      </c>
      <c r="M92" s="617">
        <f t="shared" si="499"/>
        <v>39534.741000000002</v>
      </c>
      <c r="N92" s="589">
        <f>N83+N85+N87+N89+N91</f>
        <v>14396.600566572239</v>
      </c>
      <c r="O92" s="3120">
        <f t="shared" ref="O92" si="501">SUM(O83:O91)</f>
        <v>12713.813999999998</v>
      </c>
      <c r="P92" s="616">
        <f t="shared" si="499"/>
        <v>43303.116147308778</v>
      </c>
      <c r="Q92" s="616">
        <f t="shared" si="499"/>
        <v>52248.555</v>
      </c>
      <c r="R92" s="589">
        <f>R83+R85+R87+R89+R91</f>
        <v>14396.600566572239</v>
      </c>
      <c r="S92" s="3120">
        <f t="shared" ref="S92" si="502">SUM(S83:S91)</f>
        <v>9136.2305695109899</v>
      </c>
      <c r="T92" s="3402">
        <f t="shared" ref="T92:U92" si="503">SUM(T83:T91)</f>
        <v>57699.716713881018</v>
      </c>
      <c r="U92" s="3402">
        <f t="shared" si="503"/>
        <v>61384.78556951099</v>
      </c>
      <c r="V92" s="589">
        <f>V83+V85+V87+V89+V91</f>
        <v>7555.2407932011338</v>
      </c>
      <c r="W92" s="3120">
        <f t="shared" ref="W92" si="504">SUM(W83:W91)</f>
        <v>9602</v>
      </c>
      <c r="X92" s="617">
        <f t="shared" si="499"/>
        <v>36348.441926345607</v>
      </c>
      <c r="Y92" s="617">
        <f t="shared" si="499"/>
        <v>31452.044569510988</v>
      </c>
      <c r="Z92" s="618">
        <f t="shared" si="499"/>
        <v>65254.957507082152</v>
      </c>
      <c r="AA92" s="618">
        <f t="shared" si="499"/>
        <v>70986.78556951099</v>
      </c>
      <c r="AB92" s="589">
        <f>AB83+AB85+AB87+AB89+AB91</f>
        <v>14679.886685552403</v>
      </c>
      <c r="AC92" s="3120">
        <f t="shared" ref="AC92" si="505">SUM(AC83:AC91)</f>
        <v>8766.5</v>
      </c>
      <c r="AD92" s="2451">
        <f t="shared" si="499"/>
        <v>79934.844192634555</v>
      </c>
      <c r="AE92" s="2451">
        <f t="shared" si="499"/>
        <v>79753.285569511005</v>
      </c>
      <c r="AF92" s="589">
        <f>AF83+AF85+AF87+AF89+AF91</f>
        <v>0</v>
      </c>
      <c r="AG92" s="3120">
        <f t="shared" ref="AG92" si="506">SUM(AG83:AG91)</f>
        <v>14412.199999999999</v>
      </c>
      <c r="AH92" s="3402">
        <f t="shared" ref="AH92:AI92" si="507">SUM(AH83:AH91)</f>
        <v>79934.844192634555</v>
      </c>
      <c r="AI92" s="3402">
        <f t="shared" si="507"/>
        <v>94165.485569510987</v>
      </c>
      <c r="AJ92" s="589">
        <f>AJ83+AJ85+AJ87+AJ89+AJ91</f>
        <v>0</v>
      </c>
      <c r="AK92" s="3120">
        <f t="shared" ref="AK92" si="508">SUM(AK83:AK91)</f>
        <v>13439.786498254289</v>
      </c>
      <c r="AL92" s="2555">
        <f t="shared" ref="AL92:AO92" si="509">SUM(AL83:AL91)</f>
        <v>14679.886685552403</v>
      </c>
      <c r="AM92" s="2555">
        <f t="shared" si="509"/>
        <v>36618.486498254286</v>
      </c>
      <c r="AN92" s="2554">
        <f t="shared" si="509"/>
        <v>79934.844192634555</v>
      </c>
      <c r="AO92" s="2554">
        <f t="shared" si="509"/>
        <v>107605.27206776527</v>
      </c>
      <c r="AP92" s="589">
        <f>AP83+AP85+AP87+AP89+AP91</f>
        <v>0</v>
      </c>
      <c r="AQ92" s="3120">
        <f t="shared" ref="AQ92" si="510">SUM(AQ83:AQ91)</f>
        <v>13145.2</v>
      </c>
      <c r="AR92" s="2613">
        <f t="shared" ref="AR92:AS92" si="511">SUM(AR83:AR91)</f>
        <v>79934.844192634555</v>
      </c>
      <c r="AS92" s="2613">
        <f t="shared" si="511"/>
        <v>120750.47206776528</v>
      </c>
      <c r="AT92" s="589">
        <f>AT83+AT85+AT87+AT89+AT91</f>
        <v>0</v>
      </c>
      <c r="AU92" s="3120">
        <f t="shared" ref="AU92" si="512">SUM(AU83:AU91)</f>
        <v>11000.6</v>
      </c>
      <c r="AV92" s="3402">
        <f t="shared" ref="AV92:AW92" si="513">SUM(AV83:AV91)</f>
        <v>79934.844192634555</v>
      </c>
      <c r="AW92" s="3402">
        <f t="shared" si="513"/>
        <v>131751.07206776529</v>
      </c>
      <c r="AX92" s="589">
        <f>AX83+AX85+AX87+AX89+AX91</f>
        <v>14906.515580736545</v>
      </c>
      <c r="AY92" s="3120">
        <f t="shared" ref="AY92" si="514">SUM(AY83:AY91)</f>
        <v>12450.900000000001</v>
      </c>
      <c r="AZ92" s="2831">
        <f t="shared" ref="AZ92:BE92" si="515">SUM(AZ83:AZ91)</f>
        <v>14926.551219957963</v>
      </c>
      <c r="BA92" s="2831">
        <f t="shared" si="515"/>
        <v>36596.700000000004</v>
      </c>
      <c r="BB92" s="618">
        <f t="shared" si="515"/>
        <v>29586.402266288951</v>
      </c>
      <c r="BC92" s="618">
        <f t="shared" si="515"/>
        <v>73215.18649825429</v>
      </c>
      <c r="BD92" s="2830">
        <f t="shared" si="515"/>
        <v>94841.359773371107</v>
      </c>
      <c r="BE92" s="2830">
        <f t="shared" si="515"/>
        <v>144201.97206776525</v>
      </c>
      <c r="BF92" s="112"/>
      <c r="BG92" s="112"/>
      <c r="BH92" s="112"/>
      <c r="BI92" s="112"/>
      <c r="BJ92" s="112"/>
    </row>
    <row r="93" spans="1:62" ht="20.25" x14ac:dyDescent="0.25">
      <c r="A93" s="90"/>
      <c r="B93" s="946" t="s">
        <v>128</v>
      </c>
      <c r="C93" s="946"/>
      <c r="D93" s="941"/>
      <c r="E93" s="946"/>
      <c r="F93" s="941"/>
      <c r="G93" s="946"/>
      <c r="H93" s="946"/>
      <c r="I93" s="946"/>
      <c r="J93" s="941"/>
      <c r="K93" s="946"/>
      <c r="L93" s="946"/>
      <c r="M93" s="946"/>
      <c r="N93" s="941"/>
      <c r="O93" s="946"/>
      <c r="P93" s="946"/>
      <c r="Q93" s="946"/>
      <c r="R93" s="941"/>
      <c r="S93" s="946"/>
      <c r="T93" s="946"/>
      <c r="U93" s="946"/>
      <c r="V93" s="941"/>
      <c r="W93" s="946"/>
      <c r="X93" s="946"/>
      <c r="Y93" s="946"/>
      <c r="Z93" s="946"/>
      <c r="AA93" s="946"/>
      <c r="AB93" s="941"/>
      <c r="AC93" s="946"/>
      <c r="AD93" s="946"/>
      <c r="AE93" s="946"/>
      <c r="AF93" s="941"/>
      <c r="AG93" s="946"/>
      <c r="AH93" s="946"/>
      <c r="AI93" s="946"/>
      <c r="AJ93" s="941"/>
      <c r="AK93" s="946"/>
      <c r="AL93" s="946"/>
      <c r="AM93" s="946"/>
      <c r="AN93" s="946"/>
      <c r="AO93" s="946"/>
      <c r="AP93" s="941"/>
      <c r="AQ93" s="946"/>
      <c r="AR93" s="946"/>
      <c r="AS93" s="946"/>
      <c r="AT93" s="941"/>
      <c r="AU93" s="946"/>
      <c r="AV93" s="946"/>
      <c r="AW93" s="946"/>
      <c r="AX93" s="941"/>
      <c r="AY93" s="946"/>
      <c r="AZ93" s="946"/>
      <c r="BA93" s="946"/>
      <c r="BB93" s="946"/>
      <c r="BC93" s="946"/>
      <c r="BD93" s="946"/>
      <c r="BE93" s="946"/>
      <c r="BF93" s="112"/>
      <c r="BG93" s="112"/>
      <c r="BH93" s="112"/>
      <c r="BI93" s="112"/>
      <c r="BJ93" s="112"/>
    </row>
    <row r="94" spans="1:62" x14ac:dyDescent="0.25">
      <c r="B94" s="943" t="s">
        <v>328</v>
      </c>
      <c r="C94" s="148" t="s">
        <v>327</v>
      </c>
      <c r="D94" s="194">
        <v>8500</v>
      </c>
      <c r="E94" s="1819">
        <v>8034.3</v>
      </c>
      <c r="F94" s="194">
        <v>8000</v>
      </c>
      <c r="G94" s="1819">
        <v>8037.7</v>
      </c>
      <c r="H94" s="558">
        <v>8000</v>
      </c>
      <c r="I94" s="733">
        <f>+((E94*E112)+(G94*G112))/I112</f>
        <v>8036.0351156228489</v>
      </c>
      <c r="J94" s="194">
        <v>8000</v>
      </c>
      <c r="K94" s="1819">
        <v>8036.5204192648926</v>
      </c>
      <c r="L94" s="891">
        <v>8000</v>
      </c>
      <c r="M94" s="732">
        <f>+((I94*I112)+(K94*K112))/M112</f>
        <v>8036.1946937578523</v>
      </c>
      <c r="N94" s="194">
        <v>8000</v>
      </c>
      <c r="O94" s="1819">
        <v>8036.5204192648926</v>
      </c>
      <c r="P94" s="558">
        <v>8000</v>
      </c>
      <c r="Q94" s="733">
        <f>+((M94*M112)+(O94*O112))/Q112</f>
        <v>8036.278791667758</v>
      </c>
      <c r="R94" s="194">
        <v>8000</v>
      </c>
      <c r="S94" s="1819">
        <v>8031.9</v>
      </c>
      <c r="T94" s="4360">
        <v>8000</v>
      </c>
      <c r="U94" s="4359">
        <f>+((Q94*Q112)+(S94*S112))/U112</f>
        <v>8035.3940756207039</v>
      </c>
      <c r="V94" s="194">
        <v>8000</v>
      </c>
      <c r="W94" s="1819">
        <v>8031.9</v>
      </c>
      <c r="X94" s="891">
        <v>8000</v>
      </c>
      <c r="Y94" s="732">
        <f>+((O94*O112)+(S94*S112)+(W94*W112))/Y112</f>
        <v>8033.4421308684696</v>
      </c>
      <c r="Z94" s="439">
        <v>8000</v>
      </c>
      <c r="AA94" s="439">
        <f>+((M94*M112)+(Y94*Y112))/AA112</f>
        <v>8034.7895804504897</v>
      </c>
      <c r="AB94" s="194">
        <v>8000</v>
      </c>
      <c r="AC94" s="1819">
        <v>8032.3</v>
      </c>
      <c r="AD94" s="558">
        <v>8000</v>
      </c>
      <c r="AE94" s="2236">
        <f>+((AA94*AA112)+(AC94*AC112))/AE112</f>
        <v>8034.4095453609934</v>
      </c>
      <c r="AF94" s="194">
        <v>8000</v>
      </c>
      <c r="AG94" s="1819">
        <v>8031.8</v>
      </c>
      <c r="AH94" s="4651">
        <v>8000</v>
      </c>
      <c r="AI94" s="4778">
        <f>+((AE94*AE112)+(AG94*AG112))/AI112</f>
        <v>8034.0772020620743</v>
      </c>
      <c r="AJ94" s="194">
        <v>8000</v>
      </c>
      <c r="AK94" s="1819">
        <v>8032.3765000000003</v>
      </c>
      <c r="AL94" s="891">
        <v>8000</v>
      </c>
      <c r="AM94" s="2553">
        <f>+((AC94*AC112)+(AG94*AG112)+(AK94*AK112))/AM112</f>
        <v>8032.17645036053</v>
      </c>
      <c r="AN94" s="558">
        <v>8000</v>
      </c>
      <c r="AO94" s="2236">
        <f>+((AI94*AI112)+(AK94*AK112))/AO112</f>
        <v>8033.8459303075388</v>
      </c>
      <c r="AP94" s="194">
        <v>8000</v>
      </c>
      <c r="AQ94" s="1819">
        <v>8029.6</v>
      </c>
      <c r="AR94" s="558">
        <v>8000</v>
      </c>
      <c r="AS94" s="2236">
        <f>+((AO94*AO112)+(AQ94*AQ112))/AS112</f>
        <v>8033.3035810919509</v>
      </c>
      <c r="AT94" s="194">
        <v>8000</v>
      </c>
      <c r="AU94" s="1819">
        <v>8030</v>
      </c>
      <c r="AV94" s="5071">
        <v>8000</v>
      </c>
      <c r="AW94" s="5072">
        <f>+((AS94*AS112)+(AU94*AU112))/AW112</f>
        <v>8033.0411830892599</v>
      </c>
      <c r="AX94" s="194">
        <v>8000</v>
      </c>
      <c r="AY94" s="1819">
        <v>8036.3</v>
      </c>
      <c r="AZ94" s="891">
        <v>8000</v>
      </c>
      <c r="BA94" s="2829">
        <f>+((AQ94*AQ112)+(AU94*AU112)+(AY94*AY112))/BA112</f>
        <v>8031.7647852831324</v>
      </c>
      <c r="BB94" s="2827">
        <v>8000</v>
      </c>
      <c r="BC94" s="2827">
        <f>+((AM94*AM112)+(BA94*BA112))/BC112</f>
        <v>8031.9727405047506</v>
      </c>
      <c r="BD94" s="558">
        <v>8000</v>
      </c>
      <c r="BE94" s="2236">
        <f>+((AW94*AW112)+(AY94*AY112))/BE112</f>
        <v>8033.3021077990488</v>
      </c>
      <c r="BF94" s="112"/>
      <c r="BG94" s="112"/>
      <c r="BH94" s="112"/>
      <c r="BI94" s="112"/>
      <c r="BJ94" s="112"/>
    </row>
    <row r="95" spans="1:62" ht="18.75" x14ac:dyDescent="0.25">
      <c r="B95" s="552" t="s">
        <v>336</v>
      </c>
      <c r="C95" s="552"/>
      <c r="D95" s="248"/>
      <c r="E95" s="552"/>
      <c r="F95" s="248"/>
      <c r="G95" s="552"/>
      <c r="H95" s="552"/>
      <c r="I95" s="552"/>
      <c r="J95" s="248"/>
      <c r="K95" s="552"/>
      <c r="L95" s="552"/>
      <c r="M95" s="552"/>
      <c r="N95" s="248"/>
      <c r="O95" s="552"/>
      <c r="P95" s="552"/>
      <c r="Q95" s="552"/>
      <c r="R95" s="248"/>
      <c r="S95" s="552"/>
      <c r="T95" s="552"/>
      <c r="U95" s="552"/>
      <c r="V95" s="248"/>
      <c r="W95" s="552"/>
      <c r="X95" s="552"/>
      <c r="Y95" s="552"/>
      <c r="Z95" s="552"/>
      <c r="AA95" s="552"/>
      <c r="AB95" s="248"/>
      <c r="AC95" s="552"/>
      <c r="AD95" s="552"/>
      <c r="AE95" s="552"/>
      <c r="AF95" s="248"/>
      <c r="AG95" s="552"/>
      <c r="AH95" s="552"/>
      <c r="AI95" s="552"/>
      <c r="AJ95" s="248"/>
      <c r="AK95" s="552"/>
      <c r="AL95" s="552"/>
      <c r="AM95" s="552"/>
      <c r="AN95" s="552"/>
      <c r="AO95" s="552"/>
      <c r="AP95" s="248"/>
      <c r="AQ95" s="552"/>
      <c r="AR95" s="552"/>
      <c r="AS95" s="552"/>
      <c r="AT95" s="248"/>
      <c r="AU95" s="552"/>
      <c r="AV95" s="552"/>
      <c r="AW95" s="552"/>
      <c r="AX95" s="248"/>
      <c r="AY95" s="552"/>
      <c r="AZ95" s="552"/>
      <c r="BA95" s="552"/>
      <c r="BB95" s="552"/>
      <c r="BC95" s="552"/>
      <c r="BD95" s="552"/>
      <c r="BE95" s="552"/>
      <c r="BF95" s="112"/>
      <c r="BG95" s="112"/>
      <c r="BH95" s="112"/>
      <c r="BI95" s="112"/>
      <c r="BJ95" s="112"/>
    </row>
    <row r="96" spans="1:62" x14ac:dyDescent="0.25">
      <c r="B96" s="945" t="s">
        <v>122</v>
      </c>
      <c r="C96" s="148" t="s">
        <v>325</v>
      </c>
      <c r="D96" s="7634">
        <f>D97*D$3*24</f>
        <v>0</v>
      </c>
      <c r="E96" s="1819">
        <v>285.51</v>
      </c>
      <c r="F96" s="5625">
        <f>F97*F$3*24</f>
        <v>412.23387887463844</v>
      </c>
      <c r="G96" s="1819">
        <v>291.92941536766227</v>
      </c>
      <c r="H96" s="733">
        <f>+D96+F96</f>
        <v>412.23387887463844</v>
      </c>
      <c r="I96" s="733">
        <f>+E96+G96</f>
        <v>577.43941536766226</v>
      </c>
      <c r="J96" s="5761">
        <f>J97*J$3*24</f>
        <v>455.06742769291083</v>
      </c>
      <c r="K96" s="1819">
        <v>129.99281012881951</v>
      </c>
      <c r="L96" s="732">
        <f>+H96+J96</f>
        <v>867.30130656754932</v>
      </c>
      <c r="M96" s="732">
        <f>+I96+K96</f>
        <v>707.43222549648181</v>
      </c>
      <c r="N96" s="5870">
        <f>N97*N$3*24</f>
        <v>417.0357435721931</v>
      </c>
      <c r="O96" s="1819">
        <v>20.372773784355161</v>
      </c>
      <c r="P96" s="733">
        <f>+L96+N96</f>
        <v>1284.3370501397424</v>
      </c>
      <c r="Q96" s="733">
        <f>+M96+O96</f>
        <v>727.80499928083691</v>
      </c>
      <c r="R96" s="5973">
        <f>R97*R$3*24</f>
        <v>417.0357435721931</v>
      </c>
      <c r="S96" s="1819">
        <v>330.82390125717183</v>
      </c>
      <c r="T96" s="4359">
        <f>+P96+R96</f>
        <v>1701.3727937119354</v>
      </c>
      <c r="U96" s="4359">
        <f>+Q96+S96</f>
        <v>1058.6289005380088</v>
      </c>
      <c r="V96" s="6047">
        <f>V97*V$3*24</f>
        <v>1991.9208041529209</v>
      </c>
      <c r="W96" s="1819">
        <v>187.19399999999999</v>
      </c>
      <c r="X96" s="732">
        <f t="shared" ref="X96:X110" si="516">+V96+R96+N96</f>
        <v>2825.992291297307</v>
      </c>
      <c r="Y96" s="732">
        <f t="shared" ref="Y96:Y110" si="517">+W96+S96+O96</f>
        <v>538.39067504152695</v>
      </c>
      <c r="Z96" s="439">
        <f t="shared" ref="Z96:Z110" si="518">+L96+X96</f>
        <v>3693.2935978648566</v>
      </c>
      <c r="AA96" s="439">
        <f t="shared" ref="AA96:AA110" si="519">+Y96+M96</f>
        <v>1245.8229005380088</v>
      </c>
      <c r="AB96" s="6174">
        <f>AB97*AB$3*24</f>
        <v>382.32507947692989</v>
      </c>
      <c r="AC96" s="1819">
        <v>974.23</v>
      </c>
      <c r="AD96" s="2236">
        <f>+Z96+AB96</f>
        <v>4075.6186773417867</v>
      </c>
      <c r="AE96" s="2236">
        <f>+AA96+AC96</f>
        <v>2220.0529005380085</v>
      </c>
      <c r="AF96" s="6371">
        <f>AF97*AF$3*24</f>
        <v>73.276738882489383</v>
      </c>
      <c r="AG96" s="1819">
        <v>243.75800000000001</v>
      </c>
      <c r="AH96" s="4652">
        <f>+AD96+AF96</f>
        <v>4148.8954162242762</v>
      </c>
      <c r="AI96" s="4652">
        <f>+AE96+AG96</f>
        <v>2463.8109005380084</v>
      </c>
      <c r="AJ96" s="6623">
        <f>AJ97*AJ$3*24</f>
        <v>87.243772119369581</v>
      </c>
      <c r="AK96" s="1819">
        <v>259.47895001974899</v>
      </c>
      <c r="AL96" s="2553">
        <f t="shared" ref="AL96" si="520">+AJ96+AF96+AB96</f>
        <v>542.84559047878884</v>
      </c>
      <c r="AM96" s="2553">
        <f t="shared" ref="AM96" si="521">+AK96+AG96+AC96</f>
        <v>1477.466950019749</v>
      </c>
      <c r="AN96" s="2236">
        <f>+AH96+AJ96</f>
        <v>4236.1391883436454</v>
      </c>
      <c r="AO96" s="2236">
        <f>+AI96+AK96</f>
        <v>2723.2898505577573</v>
      </c>
      <c r="AP96" s="6715">
        <f>AP97*AP$3*24</f>
        <v>87.243772119369581</v>
      </c>
      <c r="AQ96" s="1819">
        <v>323.75900000000001</v>
      </c>
      <c r="AR96" s="2236">
        <f>+AN96+AP96</f>
        <v>4323.3829604630146</v>
      </c>
      <c r="AS96" s="2236">
        <f>+AO96+AQ96</f>
        <v>3047.0488505577573</v>
      </c>
      <c r="AT96" s="6860">
        <f>AT97*AT$3*24</f>
        <v>54.946401803838825</v>
      </c>
      <c r="AU96" s="1819">
        <v>114.48099999999999</v>
      </c>
      <c r="AV96" s="5072">
        <f>+AR96+AT96</f>
        <v>4378.3293622668534</v>
      </c>
      <c r="AW96" s="5072">
        <f>+AS96+AU96</f>
        <v>3161.5298505577575</v>
      </c>
      <c r="AX96" s="7014">
        <f>AX97*AX$3*24</f>
        <v>278.21097779862163</v>
      </c>
      <c r="AY96" s="1819">
        <v>384.13200000000001</v>
      </c>
      <c r="AZ96" s="2829">
        <f t="shared" ref="AZ96" si="522">+AX96+AT96+AP96</f>
        <v>420.40115172182999</v>
      </c>
      <c r="BA96" s="2829">
        <f t="shared" ref="BA96" si="523">+AY96+AU96+AQ96</f>
        <v>822.37200000000007</v>
      </c>
      <c r="BB96" s="2837">
        <f t="shared" ref="BB96:BB110" si="524">+AL96+AZ96</f>
        <v>963.24674220061888</v>
      </c>
      <c r="BC96" s="2837">
        <f t="shared" ref="BC96:BC110" si="525">+AM96+BA96</f>
        <v>2299.8389500197491</v>
      </c>
      <c r="BD96" s="2236">
        <f>+AV96+AX96</f>
        <v>4656.540340065475</v>
      </c>
      <c r="BE96" s="2236">
        <f>+AW96+AY96</f>
        <v>3545.6618505577576</v>
      </c>
      <c r="BF96" s="112"/>
      <c r="BG96" s="112"/>
      <c r="BH96" s="112"/>
      <c r="BI96" s="112"/>
      <c r="BJ96" s="112"/>
    </row>
    <row r="97" spans="2:62" ht="15.75" hidden="1" customHeight="1" x14ac:dyDescent="0.25">
      <c r="B97" s="945"/>
      <c r="C97" s="148"/>
      <c r="D97" s="1576"/>
      <c r="E97" s="1819"/>
      <c r="F97" s="1576">
        <v>0.55407779418634195</v>
      </c>
      <c r="G97" s="1819"/>
      <c r="H97" s="733"/>
      <c r="I97" s="733"/>
      <c r="J97" s="1576">
        <v>0.63203809401793176</v>
      </c>
      <c r="K97" s="1819"/>
      <c r="L97" s="732"/>
      <c r="M97" s="732"/>
      <c r="N97" s="1576">
        <v>0.5605319134034854</v>
      </c>
      <c r="O97" s="1819"/>
      <c r="P97" s="733"/>
      <c r="Q97" s="733"/>
      <c r="R97" s="1576">
        <v>0.5605319134034854</v>
      </c>
      <c r="S97" s="1819"/>
      <c r="T97" s="4359"/>
      <c r="U97" s="4359"/>
      <c r="V97" s="1576">
        <v>2.7665566724346125</v>
      </c>
      <c r="W97" s="1819"/>
      <c r="X97" s="732"/>
      <c r="Y97" s="732"/>
      <c r="Z97" s="439"/>
      <c r="AA97" s="439"/>
      <c r="AB97" s="1576">
        <v>0.51387779499587349</v>
      </c>
      <c r="AC97" s="1819"/>
      <c r="AD97" s="2236"/>
      <c r="AE97" s="2236"/>
      <c r="AF97" s="1576">
        <v>0.10177324844790192</v>
      </c>
      <c r="AG97" s="1819"/>
      <c r="AH97" s="4652"/>
      <c r="AI97" s="4652"/>
      <c r="AJ97" s="1576">
        <v>0.11726313456904514</v>
      </c>
      <c r="AK97" s="1819"/>
      <c r="AL97" s="2553"/>
      <c r="AM97" s="2553"/>
      <c r="AN97" s="2236"/>
      <c r="AO97" s="2236"/>
      <c r="AP97" s="1576">
        <v>0.11726313456904514</v>
      </c>
      <c r="AQ97" s="1819"/>
      <c r="AR97" s="2236"/>
      <c r="AS97" s="2236"/>
      <c r="AT97" s="1576">
        <v>8.1765478874760156E-2</v>
      </c>
      <c r="AU97" s="1819"/>
      <c r="AV97" s="5072"/>
      <c r="AW97" s="5072"/>
      <c r="AX97" s="1576">
        <v>0.37393948628846996</v>
      </c>
      <c r="AY97" s="1819"/>
      <c r="AZ97" s="2829"/>
      <c r="BA97" s="2829"/>
      <c r="BB97" s="2837">
        <f t="shared" si="524"/>
        <v>0</v>
      </c>
      <c r="BC97" s="2837">
        <f t="shared" si="525"/>
        <v>0</v>
      </c>
      <c r="BD97" s="2236"/>
      <c r="BE97" s="2236"/>
      <c r="BF97" s="112"/>
      <c r="BG97" s="112"/>
      <c r="BH97" s="112"/>
      <c r="BI97" s="112"/>
      <c r="BJ97" s="112"/>
    </row>
    <row r="98" spans="2:62" x14ac:dyDescent="0.25">
      <c r="B98" s="945" t="s">
        <v>489</v>
      </c>
      <c r="C98" s="148" t="s">
        <v>1053</v>
      </c>
      <c r="D98" s="7634">
        <f>D99*D$3*24</f>
        <v>144</v>
      </c>
      <c r="E98" s="1819">
        <v>151.374</v>
      </c>
      <c r="F98" s="5625">
        <f>F99*F$3*24</f>
        <v>148.80000000000001</v>
      </c>
      <c r="G98" s="1819">
        <v>150.31712473572932</v>
      </c>
      <c r="H98" s="733">
        <f>+D98+F98</f>
        <v>292.8</v>
      </c>
      <c r="I98" s="733">
        <f>+E98+G98</f>
        <v>301.69112473572932</v>
      </c>
      <c r="J98" s="5761">
        <f>J99*J$3*24</f>
        <v>144</v>
      </c>
      <c r="K98" s="1819">
        <v>149.89429175475678</v>
      </c>
      <c r="L98" s="732">
        <f>+H98+J98</f>
        <v>436.8</v>
      </c>
      <c r="M98" s="732">
        <f>+I98+K98</f>
        <v>451.58541649048607</v>
      </c>
      <c r="N98" s="5870">
        <f>N99*N$3*24</f>
        <v>148.80000000000001</v>
      </c>
      <c r="O98" s="1819">
        <v>155.42786892177588</v>
      </c>
      <c r="P98" s="733">
        <f>+L98+N98</f>
        <v>585.6</v>
      </c>
      <c r="Q98" s="733">
        <f>+M98+O98</f>
        <v>607.01328541226189</v>
      </c>
      <c r="R98" s="5973">
        <f>R99*R$3*24</f>
        <v>148.80000000000001</v>
      </c>
      <c r="S98" s="1819">
        <v>152.11416490486252</v>
      </c>
      <c r="T98" s="4359">
        <f>+P98+R98</f>
        <v>734.40000000000009</v>
      </c>
      <c r="U98" s="4359">
        <f>+Q98+S98</f>
        <v>759.12745031712439</v>
      </c>
      <c r="V98" s="6047">
        <f>V99*V$3*24</f>
        <v>144</v>
      </c>
      <c r="W98" s="1819">
        <v>150.63399999999999</v>
      </c>
      <c r="X98" s="732">
        <f t="shared" si="516"/>
        <v>441.6</v>
      </c>
      <c r="Y98" s="732">
        <f t="shared" si="517"/>
        <v>458.17603382663839</v>
      </c>
      <c r="Z98" s="439">
        <f t="shared" si="518"/>
        <v>878.40000000000009</v>
      </c>
      <c r="AA98" s="439">
        <f t="shared" si="519"/>
        <v>909.7614503171244</v>
      </c>
      <c r="AB98" s="6174">
        <f>AB99*AB$3*24</f>
        <v>148.80000000000001</v>
      </c>
      <c r="AC98" s="1819">
        <v>128.541</v>
      </c>
      <c r="AD98" s="2236">
        <f>+Z98+AB98</f>
        <v>1027.2</v>
      </c>
      <c r="AE98" s="2236">
        <f>+AA98+AC98</f>
        <v>1038.3024503171243</v>
      </c>
      <c r="AF98" s="6371">
        <f>AF99*AF$3*24</f>
        <v>144</v>
      </c>
      <c r="AG98" s="1819">
        <v>147.45699999999999</v>
      </c>
      <c r="AH98" s="4652">
        <f>+AD98+AF98</f>
        <v>1171.2</v>
      </c>
      <c r="AI98" s="4652">
        <f>+AE98+AG98</f>
        <v>1185.7594503171244</v>
      </c>
      <c r="AJ98" s="6623">
        <f>AJ99*AJ$3*24</f>
        <v>148.80000000000001</v>
      </c>
      <c r="AK98" s="1819">
        <v>151.85939069767434</v>
      </c>
      <c r="AL98" s="2553">
        <f t="shared" ref="AL98" si="526">+AJ98+AF98+AB98</f>
        <v>441.6</v>
      </c>
      <c r="AM98" s="2553">
        <f t="shared" ref="AM98" si="527">+AK98+AG98+AC98</f>
        <v>427.85739069767436</v>
      </c>
      <c r="AN98" s="2236">
        <f>+AH98+AJ98</f>
        <v>1320</v>
      </c>
      <c r="AO98" s="2236">
        <f>+AI98+AK98</f>
        <v>1337.6188410147988</v>
      </c>
      <c r="AP98" s="6715">
        <f>AP99*AP$3*24</f>
        <v>148.80000000000001</v>
      </c>
      <c r="AQ98" s="1819">
        <v>156.702</v>
      </c>
      <c r="AR98" s="2236">
        <f>+AN98+AP98</f>
        <v>1468.8</v>
      </c>
      <c r="AS98" s="2236">
        <f>+AO98+AQ98</f>
        <v>1494.3208410147988</v>
      </c>
      <c r="AT98" s="6860">
        <f>AT99*AT$3*24</f>
        <v>134.4</v>
      </c>
      <c r="AU98" s="1819">
        <v>125.581</v>
      </c>
      <c r="AV98" s="5072">
        <f>+AR98+AT98</f>
        <v>1603.2</v>
      </c>
      <c r="AW98" s="5072">
        <f>+AS98+AU98</f>
        <v>1619.9018410147987</v>
      </c>
      <c r="AX98" s="7014">
        <f>AX99*AX$3*24</f>
        <v>148.80000000000001</v>
      </c>
      <c r="AY98" s="1819">
        <v>154.334</v>
      </c>
      <c r="AZ98" s="2829">
        <f t="shared" ref="AZ98" si="528">+AX98+AT98+AP98</f>
        <v>432.00000000000006</v>
      </c>
      <c r="BA98" s="2829">
        <f t="shared" ref="BA98" si="529">+AY98+AU98+AQ98</f>
        <v>436.61700000000002</v>
      </c>
      <c r="BB98" s="2837">
        <f t="shared" si="524"/>
        <v>873.60000000000014</v>
      </c>
      <c r="BC98" s="2837">
        <f t="shared" si="525"/>
        <v>864.47439069767438</v>
      </c>
      <c r="BD98" s="2236">
        <f>+AV98+AX98</f>
        <v>1752</v>
      </c>
      <c r="BE98" s="2236">
        <f>+AW98+AY98</f>
        <v>1774.2358410147988</v>
      </c>
      <c r="BF98" s="112"/>
      <c r="BG98" s="112"/>
      <c r="BH98" s="112"/>
      <c r="BI98" s="112"/>
      <c r="BJ98" s="112"/>
    </row>
    <row r="99" spans="2:62" ht="15.75" hidden="1" customHeight="1" x14ac:dyDescent="0.25">
      <c r="B99" s="945"/>
      <c r="C99" s="148"/>
      <c r="D99" s="1576">
        <v>0.2</v>
      </c>
      <c r="E99" s="1819"/>
      <c r="F99" s="1576">
        <v>0.2</v>
      </c>
      <c r="G99" s="1819"/>
      <c r="H99" s="733"/>
      <c r="I99" s="733"/>
      <c r="J99" s="1576">
        <v>0.2</v>
      </c>
      <c r="K99" s="1819"/>
      <c r="L99" s="732"/>
      <c r="M99" s="732"/>
      <c r="N99" s="1576">
        <v>0.2</v>
      </c>
      <c r="O99" s="1819"/>
      <c r="P99" s="733"/>
      <c r="Q99" s="733"/>
      <c r="R99" s="1576">
        <v>0.2</v>
      </c>
      <c r="S99" s="1819"/>
      <c r="T99" s="4359"/>
      <c r="U99" s="4359"/>
      <c r="V99" s="1576">
        <v>0.2</v>
      </c>
      <c r="W99" s="1819"/>
      <c r="X99" s="732"/>
      <c r="Y99" s="732"/>
      <c r="Z99" s="439"/>
      <c r="AA99" s="439"/>
      <c r="AB99" s="1576">
        <v>0.2</v>
      </c>
      <c r="AC99" s="1819"/>
      <c r="AD99" s="2236"/>
      <c r="AE99" s="2236"/>
      <c r="AF99" s="1576">
        <v>0.2</v>
      </c>
      <c r="AG99" s="1819"/>
      <c r="AH99" s="4652"/>
      <c r="AI99" s="4652"/>
      <c r="AJ99" s="1576">
        <v>0.2</v>
      </c>
      <c r="AK99" s="1819"/>
      <c r="AL99" s="2553"/>
      <c r="AM99" s="2553"/>
      <c r="AN99" s="2236"/>
      <c r="AO99" s="2236"/>
      <c r="AP99" s="1576">
        <v>0.2</v>
      </c>
      <c r="AQ99" s="1819"/>
      <c r="AR99" s="2236"/>
      <c r="AS99" s="2236"/>
      <c r="AT99" s="1576">
        <v>0.2</v>
      </c>
      <c r="AU99" s="1819"/>
      <c r="AV99" s="5072"/>
      <c r="AW99" s="5072"/>
      <c r="AX99" s="1576">
        <v>0.2</v>
      </c>
      <c r="AY99" s="1819"/>
      <c r="AZ99" s="2829"/>
      <c r="BA99" s="2829"/>
      <c r="BB99" s="2837">
        <f t="shared" si="524"/>
        <v>0</v>
      </c>
      <c r="BC99" s="2837">
        <f t="shared" si="525"/>
        <v>0</v>
      </c>
      <c r="BD99" s="2236"/>
      <c r="BE99" s="2236"/>
      <c r="BF99" s="112"/>
      <c r="BG99" s="112"/>
      <c r="BH99" s="112"/>
      <c r="BI99" s="112"/>
      <c r="BJ99" s="112"/>
    </row>
    <row r="100" spans="2:62" x14ac:dyDescent="0.25">
      <c r="B100" s="945" t="s">
        <v>123</v>
      </c>
      <c r="C100" s="148" t="s">
        <v>325</v>
      </c>
      <c r="D100" s="7634">
        <f>D101*D$3*24</f>
        <v>432</v>
      </c>
      <c r="E100" s="1819">
        <v>901.43799999999999</v>
      </c>
      <c r="F100" s="5625">
        <f>F101*F$3*24</f>
        <v>446.4</v>
      </c>
      <c r="G100" s="1819">
        <v>468.07610993657488</v>
      </c>
      <c r="H100" s="733">
        <f t="shared" ref="H100:I110" si="530">+D100+F100</f>
        <v>878.4</v>
      </c>
      <c r="I100" s="733">
        <f t="shared" si="530"/>
        <v>1369.5141099365749</v>
      </c>
      <c r="J100" s="5761">
        <f>J101*J$3*24</f>
        <v>432</v>
      </c>
      <c r="K100" s="1819">
        <v>451.31345454545442</v>
      </c>
      <c r="L100" s="732">
        <f t="shared" ref="L100:L110" si="531">+H100+J100</f>
        <v>1310.4000000000001</v>
      </c>
      <c r="M100" s="732">
        <f t="shared" ref="M100:M110" si="532">+I100+K100</f>
        <v>1820.8275644820292</v>
      </c>
      <c r="N100" s="5870">
        <f>N101*N$3*24</f>
        <v>446.4</v>
      </c>
      <c r="O100" s="1819">
        <v>471.20127484143745</v>
      </c>
      <c r="P100" s="733">
        <f t="shared" ref="P100:P110" si="533">+L100+N100</f>
        <v>1756.8000000000002</v>
      </c>
      <c r="Q100" s="733">
        <f t="shared" ref="Q100:Q110" si="534">+M100+O100</f>
        <v>2292.0288393234669</v>
      </c>
      <c r="R100" s="5973">
        <f>R101*R$3*24</f>
        <v>446.4</v>
      </c>
      <c r="S100" s="1819">
        <v>466.26316701902743</v>
      </c>
      <c r="T100" s="4359">
        <f t="shared" ref="T100" si="535">+P100+R100</f>
        <v>2203.2000000000003</v>
      </c>
      <c r="U100" s="4359">
        <f t="shared" ref="U100" si="536">+Q100+S100</f>
        <v>2758.2920063424945</v>
      </c>
      <c r="V100" s="6047">
        <f>V101*V$3*24</f>
        <v>288</v>
      </c>
      <c r="W100" s="1819">
        <v>458.26299999999998</v>
      </c>
      <c r="X100" s="732">
        <f t="shared" si="516"/>
        <v>1180.8</v>
      </c>
      <c r="Y100" s="732">
        <f t="shared" si="517"/>
        <v>1395.7274418604648</v>
      </c>
      <c r="Z100" s="439">
        <f t="shared" si="518"/>
        <v>2491.1999999999998</v>
      </c>
      <c r="AA100" s="439">
        <f t="shared" si="519"/>
        <v>3216.5550063424939</v>
      </c>
      <c r="AB100" s="6174">
        <f>AB101*AB$3*24</f>
        <v>446.4</v>
      </c>
      <c r="AC100" s="1819">
        <v>401.44799999999998</v>
      </c>
      <c r="AD100" s="2236">
        <f t="shared" ref="AD100" si="537">+Z100+AB100</f>
        <v>2937.6</v>
      </c>
      <c r="AE100" s="2236">
        <f t="shared" ref="AE100" si="538">+AA100+AC100</f>
        <v>3618.0030063424938</v>
      </c>
      <c r="AF100" s="6371">
        <f>AF101*AF$3*24</f>
        <v>375.46508496244081</v>
      </c>
      <c r="AG100" s="1819">
        <v>454.02699999999999</v>
      </c>
      <c r="AH100" s="4652">
        <f t="shared" ref="AH100" si="539">+AD100+AF100</f>
        <v>3313.0650849624408</v>
      </c>
      <c r="AI100" s="4652">
        <f t="shared" ref="AI100" si="540">+AE100+AG100</f>
        <v>4072.0300063424938</v>
      </c>
      <c r="AJ100" s="6623">
        <f>AJ101*AJ$3*24</f>
        <v>376.0760258163416</v>
      </c>
      <c r="AK100" s="1819">
        <v>458.56236786469327</v>
      </c>
      <c r="AL100" s="2553">
        <f t="shared" ref="AL100" si="541">+AJ100+AF100+AB100</f>
        <v>1197.9411107787823</v>
      </c>
      <c r="AM100" s="2553">
        <f t="shared" ref="AM100" si="542">+AK100+AG100+AC100</f>
        <v>1314.0373678646934</v>
      </c>
      <c r="AN100" s="2236">
        <f t="shared" ref="AN100" si="543">+AH100+AJ100</f>
        <v>3689.1411107787826</v>
      </c>
      <c r="AO100" s="2236">
        <f t="shared" ref="AO100" si="544">+AI100+AK100</f>
        <v>4530.5923742071873</v>
      </c>
      <c r="AP100" s="6715">
        <f>AP101*AP$3*24</f>
        <v>376.0760258163416</v>
      </c>
      <c r="AQ100" s="1819">
        <v>458.83300000000003</v>
      </c>
      <c r="AR100" s="2236">
        <f t="shared" ref="AR100" si="545">+AN100+AP100</f>
        <v>4065.2171365951244</v>
      </c>
      <c r="AS100" s="2236">
        <f t="shared" ref="AS100" si="546">+AO100+AQ100</f>
        <v>4989.4253742071869</v>
      </c>
      <c r="AT100" s="6860">
        <f>AT101*AT$3*24</f>
        <v>228.2632204732715</v>
      </c>
      <c r="AU100" s="1819">
        <v>400.18200000000002</v>
      </c>
      <c r="AV100" s="5072">
        <f t="shared" ref="AV100" si="547">+AR100+AT100</f>
        <v>4293.4803570683962</v>
      </c>
      <c r="AW100" s="5072">
        <f t="shared" ref="AW100" si="548">+AS100+AU100</f>
        <v>5389.6073742071867</v>
      </c>
      <c r="AX100" s="7014">
        <f>AX101*AX$3*24</f>
        <v>446.4</v>
      </c>
      <c r="AY100" s="1819">
        <v>749.10199999999998</v>
      </c>
      <c r="AZ100" s="2829">
        <f t="shared" ref="AZ100" si="549">+AX100+AT100+AP100</f>
        <v>1050.7392462896132</v>
      </c>
      <c r="BA100" s="2829">
        <f t="shared" ref="BA100" si="550">+AY100+AU100+AQ100</f>
        <v>1608.1170000000002</v>
      </c>
      <c r="BB100" s="2837">
        <f t="shared" si="524"/>
        <v>2248.6803570683956</v>
      </c>
      <c r="BC100" s="2837">
        <f t="shared" si="525"/>
        <v>2922.1543678646935</v>
      </c>
      <c r="BD100" s="2236">
        <f t="shared" ref="BD100" si="551">+AV100+AX100</f>
        <v>4739.8803570683958</v>
      </c>
      <c r="BE100" s="2236">
        <f t="shared" ref="BE100" si="552">+AW100+AY100</f>
        <v>6138.7093742071866</v>
      </c>
      <c r="BF100" s="112"/>
      <c r="BG100" s="112"/>
      <c r="BH100" s="112"/>
      <c r="BI100" s="112"/>
      <c r="BJ100" s="112"/>
    </row>
    <row r="101" spans="2:62" ht="15" hidden="1" customHeight="1" x14ac:dyDescent="0.25">
      <c r="B101" s="945"/>
      <c r="C101" s="148"/>
      <c r="D101" s="180">
        <v>0.6</v>
      </c>
      <c r="E101" s="98"/>
      <c r="F101" s="180">
        <v>0.6</v>
      </c>
      <c r="G101" s="98"/>
      <c r="H101" s="733"/>
      <c r="I101" s="733"/>
      <c r="J101" s="180">
        <v>0.6</v>
      </c>
      <c r="K101" s="98"/>
      <c r="L101" s="732"/>
      <c r="M101" s="732"/>
      <c r="N101" s="180">
        <v>0.6</v>
      </c>
      <c r="O101" s="98"/>
      <c r="P101" s="733"/>
      <c r="Q101" s="733"/>
      <c r="R101" s="180">
        <v>0.6</v>
      </c>
      <c r="S101" s="98"/>
      <c r="T101" s="4359"/>
      <c r="U101" s="4359"/>
      <c r="V101" s="180">
        <v>0.4</v>
      </c>
      <c r="W101" s="98"/>
      <c r="X101" s="732"/>
      <c r="Y101" s="732"/>
      <c r="Z101" s="439"/>
      <c r="AA101" s="439"/>
      <c r="AB101" s="180">
        <v>0.6</v>
      </c>
      <c r="AC101" s="98"/>
      <c r="AD101" s="2236"/>
      <c r="AE101" s="2236"/>
      <c r="AF101" s="180">
        <v>0.52147928467005666</v>
      </c>
      <c r="AG101" s="98"/>
      <c r="AH101" s="4652"/>
      <c r="AI101" s="4652"/>
      <c r="AJ101" s="180">
        <v>0.50547852932303972</v>
      </c>
      <c r="AK101" s="98"/>
      <c r="AL101" s="2553"/>
      <c r="AM101" s="2553"/>
      <c r="AN101" s="2236"/>
      <c r="AO101" s="2236"/>
      <c r="AP101" s="180">
        <v>0.50547852932303972</v>
      </c>
      <c r="AQ101" s="98"/>
      <c r="AR101" s="2236"/>
      <c r="AS101" s="2236"/>
      <c r="AT101" s="180">
        <v>0.33967741141855878</v>
      </c>
      <c r="AU101" s="98"/>
      <c r="AV101" s="5072"/>
      <c r="AW101" s="5072"/>
      <c r="AX101" s="180">
        <v>0.6</v>
      </c>
      <c r="AY101" s="98"/>
      <c r="AZ101" s="2829"/>
      <c r="BA101" s="2829"/>
      <c r="BB101" s="2837">
        <f t="shared" si="524"/>
        <v>0</v>
      </c>
      <c r="BC101" s="2837">
        <f t="shared" si="525"/>
        <v>0</v>
      </c>
      <c r="BD101" s="2236"/>
      <c r="BE101" s="2236"/>
      <c r="BF101" s="112"/>
      <c r="BG101" s="112"/>
      <c r="BH101" s="112"/>
      <c r="BI101" s="112"/>
      <c r="BJ101" s="112"/>
    </row>
    <row r="102" spans="2:62" x14ac:dyDescent="0.25">
      <c r="B102" s="945" t="s">
        <v>16</v>
      </c>
      <c r="C102" s="148" t="s">
        <v>325</v>
      </c>
      <c r="D102" s="7634">
        <f>D103*D$3*24</f>
        <v>519.62667752683535</v>
      </c>
      <c r="E102" s="1819">
        <v>506.13099999999997</v>
      </c>
      <c r="F102" s="5625">
        <f>F103*F$3*24</f>
        <v>507.27311750548159</v>
      </c>
      <c r="G102" s="1819">
        <v>612.35377962225061</v>
      </c>
      <c r="H102" s="733">
        <f t="shared" si="530"/>
        <v>1026.8997950323169</v>
      </c>
      <c r="I102" s="733">
        <f t="shared" si="530"/>
        <v>1118.4847796222507</v>
      </c>
      <c r="J102" s="5761">
        <f>J103*J$3*24</f>
        <v>483.37438928302839</v>
      </c>
      <c r="K102" s="1819">
        <v>615.54963819014984</v>
      </c>
      <c r="L102" s="732">
        <f t="shared" si="531"/>
        <v>1510.2741843153453</v>
      </c>
      <c r="M102" s="732">
        <f t="shared" si="532"/>
        <v>1734.0344178124005</v>
      </c>
      <c r="N102" s="5870">
        <f>N103*N$3*24</f>
        <v>506.7117968330848</v>
      </c>
      <c r="O102" s="1819">
        <v>724.42421433097797</v>
      </c>
      <c r="P102" s="733">
        <f t="shared" si="533"/>
        <v>2016.9859811484303</v>
      </c>
      <c r="Q102" s="733">
        <f t="shared" si="534"/>
        <v>2458.4586321433785</v>
      </c>
      <c r="R102" s="5973">
        <f>R103*R$3*24</f>
        <v>506.7117968330848</v>
      </c>
      <c r="S102" s="1819">
        <v>595.5571020304543</v>
      </c>
      <c r="T102" s="4359">
        <f t="shared" ref="T102" si="553">+P102+R102</f>
        <v>2523.6977779815152</v>
      </c>
      <c r="U102" s="4359">
        <f t="shared" ref="U102" si="554">+Q102+S102</f>
        <v>3054.0157341738327</v>
      </c>
      <c r="V102" s="6047">
        <f>V103*V$3*24</f>
        <v>211.47428407676304</v>
      </c>
      <c r="W102" s="1819">
        <v>656.49800000000005</v>
      </c>
      <c r="X102" s="732">
        <f t="shared" si="516"/>
        <v>1224.8978777429327</v>
      </c>
      <c r="Y102" s="732">
        <f t="shared" si="517"/>
        <v>1976.4793163614322</v>
      </c>
      <c r="Z102" s="439">
        <f t="shared" si="518"/>
        <v>2735.1720620582782</v>
      </c>
      <c r="AA102" s="439">
        <f t="shared" si="519"/>
        <v>3710.5137341738327</v>
      </c>
      <c r="AB102" s="6174">
        <f>AB103*AB$3*24</f>
        <v>493.33811584401963</v>
      </c>
      <c r="AC102" s="1819">
        <v>628.09799999999996</v>
      </c>
      <c r="AD102" s="2236">
        <f t="shared" ref="AD102" si="555">+Z102+AB102</f>
        <v>3228.510177902298</v>
      </c>
      <c r="AE102" s="2236">
        <f t="shared" ref="AE102" si="556">+AA102+AC102</f>
        <v>4338.6117341738327</v>
      </c>
      <c r="AF102" s="6371">
        <f>AF103*AF$3*24</f>
        <v>557.36679516692266</v>
      </c>
      <c r="AG102" s="1819">
        <v>658.822</v>
      </c>
      <c r="AH102" s="4652">
        <f t="shared" ref="AH102" si="557">+AD102+AF102</f>
        <v>3785.8769730692206</v>
      </c>
      <c r="AI102" s="4652">
        <f t="shared" ref="AI102" si="558">+AE102+AG102</f>
        <v>4997.4337341738328</v>
      </c>
      <c r="AJ102" s="6623">
        <f>AJ103*AJ$3*24</f>
        <v>577.07814697262199</v>
      </c>
      <c r="AK102" s="1819">
        <v>975.55503115573765</v>
      </c>
      <c r="AL102" s="2553">
        <f t="shared" ref="AL102" si="559">+AJ102+AF102+AB102</f>
        <v>1627.7830579835645</v>
      </c>
      <c r="AM102" s="2553">
        <f t="shared" ref="AM102" si="560">+AK102+AG102+AC102</f>
        <v>2262.4750311557377</v>
      </c>
      <c r="AN102" s="2236">
        <f t="shared" ref="AN102" si="561">+AH102+AJ102</f>
        <v>4362.9551200418427</v>
      </c>
      <c r="AO102" s="2236">
        <f t="shared" ref="AO102" si="562">+AI102+AK102</f>
        <v>5972.98876532957</v>
      </c>
      <c r="AP102" s="6715">
        <f>AP103*AP$3*24</f>
        <v>577.07814697262199</v>
      </c>
      <c r="AQ102" s="1819">
        <v>937.05399999999997</v>
      </c>
      <c r="AR102" s="2236">
        <f t="shared" ref="AR102" si="563">+AN102+AP102</f>
        <v>4940.0332670144644</v>
      </c>
      <c r="AS102" s="2236">
        <f t="shared" ref="AS102" si="564">+AO102+AQ102</f>
        <v>6910.0427653295701</v>
      </c>
      <c r="AT102" s="6860">
        <f>AT103*AT$3*24</f>
        <v>538.46784135753171</v>
      </c>
      <c r="AU102" s="1819">
        <v>590.76900000000001</v>
      </c>
      <c r="AV102" s="5072">
        <f t="shared" ref="AV102" si="565">+AR102+AT102</f>
        <v>5478.5011083719965</v>
      </c>
      <c r="AW102" s="5072">
        <f t="shared" ref="AW102" si="566">+AS102+AU102</f>
        <v>7500.8117653295703</v>
      </c>
      <c r="AX102" s="7014">
        <f>AX103*AX$3*24</f>
        <v>528.5383029058936</v>
      </c>
      <c r="AY102" s="1819">
        <v>558.83799999999997</v>
      </c>
      <c r="AZ102" s="2829">
        <f t="shared" ref="AZ102" si="567">+AX102+AT102+AP102</f>
        <v>1644.0842912360472</v>
      </c>
      <c r="BA102" s="2829">
        <f t="shared" ref="BA102" si="568">+AY102+AU102+AQ102</f>
        <v>2086.6610000000001</v>
      </c>
      <c r="BB102" s="2837">
        <f t="shared" si="524"/>
        <v>3271.8673492196117</v>
      </c>
      <c r="BC102" s="2837">
        <f t="shared" si="525"/>
        <v>4349.1360311557382</v>
      </c>
      <c r="BD102" s="2236">
        <f t="shared" ref="BD102" si="569">+AV102+AX102</f>
        <v>6007.0394112778904</v>
      </c>
      <c r="BE102" s="2236">
        <f t="shared" ref="BE102" si="570">+AW102+AY102</f>
        <v>8059.6497653295701</v>
      </c>
      <c r="BF102" s="112"/>
      <c r="BG102" s="112"/>
      <c r="BH102" s="112"/>
      <c r="BI102" s="112"/>
      <c r="BJ102" s="112"/>
    </row>
    <row r="103" spans="2:62" ht="15" hidden="1" customHeight="1" x14ac:dyDescent="0.25">
      <c r="B103" s="945"/>
      <c r="C103" s="148"/>
      <c r="D103" s="1056">
        <v>0.72170371878727135</v>
      </c>
      <c r="E103" s="1258"/>
      <c r="F103" s="1056">
        <v>0.68181870632457198</v>
      </c>
      <c r="G103" s="1258"/>
      <c r="H103" s="733"/>
      <c r="I103" s="733"/>
      <c r="J103" s="1056">
        <v>0.67135331844865054</v>
      </c>
      <c r="K103" s="1258"/>
      <c r="L103" s="732"/>
      <c r="M103" s="732"/>
      <c r="N103" s="1056">
        <v>0.68106424305522151</v>
      </c>
      <c r="O103" s="1258"/>
      <c r="P103" s="733"/>
      <c r="Q103" s="733"/>
      <c r="R103" s="1056">
        <v>0.68106424305522151</v>
      </c>
      <c r="S103" s="1258"/>
      <c r="T103" s="4359"/>
      <c r="U103" s="4359"/>
      <c r="V103" s="1056">
        <v>0.29371428343994865</v>
      </c>
      <c r="W103" s="1258"/>
      <c r="X103" s="732"/>
      <c r="Y103" s="732"/>
      <c r="Z103" s="439"/>
      <c r="AA103" s="439"/>
      <c r="AB103" s="1056">
        <v>0.66308886538174672</v>
      </c>
      <c r="AC103" s="1258"/>
      <c r="AD103" s="2236"/>
      <c r="AE103" s="2236"/>
      <c r="AF103" s="1056">
        <v>0.77412054884294812</v>
      </c>
      <c r="AG103" s="1258"/>
      <c r="AH103" s="4652"/>
      <c r="AI103" s="4652"/>
      <c r="AJ103" s="1056">
        <v>0.77564267066212633</v>
      </c>
      <c r="AK103" s="1258"/>
      <c r="AL103" s="2553"/>
      <c r="AM103" s="2553"/>
      <c r="AN103" s="2236"/>
      <c r="AO103" s="2236"/>
      <c r="AP103" s="1056">
        <v>0.77564267066212633</v>
      </c>
      <c r="AQ103" s="1258"/>
      <c r="AR103" s="2236"/>
      <c r="AS103" s="2236"/>
      <c r="AT103" s="1056">
        <v>0.80129143059156505</v>
      </c>
      <c r="AU103" s="1258"/>
      <c r="AV103" s="5072"/>
      <c r="AW103" s="5072"/>
      <c r="AX103" s="1056">
        <v>0.71040094476598603</v>
      </c>
      <c r="AY103" s="1258"/>
      <c r="AZ103" s="2829"/>
      <c r="BA103" s="2829"/>
      <c r="BB103" s="2837">
        <f t="shared" si="524"/>
        <v>0</v>
      </c>
      <c r="BC103" s="2837">
        <f t="shared" si="525"/>
        <v>0</v>
      </c>
      <c r="BD103" s="2236"/>
      <c r="BE103" s="2236"/>
      <c r="BF103" s="112"/>
      <c r="BG103" s="112"/>
      <c r="BH103" s="112"/>
      <c r="BI103" s="112"/>
      <c r="BJ103" s="112"/>
    </row>
    <row r="104" spans="2:62" x14ac:dyDescent="0.25">
      <c r="B104" s="945" t="s">
        <v>91</v>
      </c>
      <c r="C104" s="148" t="s">
        <v>325</v>
      </c>
      <c r="D104" s="7634">
        <f>D105*D$3*24</f>
        <v>828.65868341776843</v>
      </c>
      <c r="E104" s="1819">
        <v>691.60400000000004</v>
      </c>
      <c r="F104" s="5625">
        <f>F105*F$3*24</f>
        <v>773.931996043455</v>
      </c>
      <c r="G104" s="1819">
        <v>860.77619452684939</v>
      </c>
      <c r="H104" s="733">
        <f t="shared" si="530"/>
        <v>1602.5906794612233</v>
      </c>
      <c r="I104" s="733">
        <f t="shared" si="530"/>
        <v>1552.3801945268494</v>
      </c>
      <c r="J104" s="5761">
        <f>J105*J$3*24</f>
        <v>734.50513721714947</v>
      </c>
      <c r="K104" s="1819">
        <v>866.22411943062446</v>
      </c>
      <c r="L104" s="732">
        <f t="shared" si="531"/>
        <v>2337.095816678373</v>
      </c>
      <c r="M104" s="732">
        <f t="shared" si="532"/>
        <v>2418.604313957474</v>
      </c>
      <c r="N104" s="5870">
        <f>N105*N$3*24</f>
        <v>773.07560524840392</v>
      </c>
      <c r="O104" s="1819">
        <v>1006.834874629273</v>
      </c>
      <c r="P104" s="733">
        <f t="shared" si="533"/>
        <v>3110.1714219267769</v>
      </c>
      <c r="Q104" s="733">
        <f t="shared" si="534"/>
        <v>3425.4391885867472</v>
      </c>
      <c r="R104" s="5973">
        <f>R105*R$3*24</f>
        <v>773.07560524840392</v>
      </c>
      <c r="S104" s="1819">
        <v>871.08375067095221</v>
      </c>
      <c r="T104" s="4359">
        <f t="shared" ref="T104" si="571">+P104+R104</f>
        <v>3883.2470271751808</v>
      </c>
      <c r="U104" s="4359">
        <f t="shared" ref="U104" si="572">+Q104+S104</f>
        <v>4296.5229392576994</v>
      </c>
      <c r="V104" s="6047">
        <f>V105*V$3*24</f>
        <v>341.42687522445277</v>
      </c>
      <c r="W104" s="1819">
        <v>952.34199999999998</v>
      </c>
      <c r="X104" s="732">
        <f t="shared" si="516"/>
        <v>1887.5780857212605</v>
      </c>
      <c r="Y104" s="732">
        <f t="shared" si="517"/>
        <v>2830.2606253002255</v>
      </c>
      <c r="Z104" s="439">
        <f t="shared" si="518"/>
        <v>4224.6739023996333</v>
      </c>
      <c r="AA104" s="439">
        <f t="shared" si="519"/>
        <v>5248.864939257699</v>
      </c>
      <c r="AB104" s="6174">
        <f>AB105*AB$3*24</f>
        <v>769.37289580941138</v>
      </c>
      <c r="AC104" s="1819">
        <v>771.95100000000002</v>
      </c>
      <c r="AD104" s="2236">
        <f t="shared" ref="AD104" si="573">+Z104+AB104</f>
        <v>4994.0467982090449</v>
      </c>
      <c r="AE104" s="2236">
        <f t="shared" ref="AE104" si="574">+AA104+AC104</f>
        <v>6020.815939257699</v>
      </c>
      <c r="AF104" s="6371">
        <f>AF105*AF$3*24</f>
        <v>846.93931544779355</v>
      </c>
      <c r="AG104" s="1819">
        <v>916.02700000000004</v>
      </c>
      <c r="AH104" s="4652">
        <f t="shared" ref="AH104" si="575">+AD104+AF104</f>
        <v>5840.9861136568388</v>
      </c>
      <c r="AI104" s="4652">
        <f t="shared" ref="AI104" si="576">+AE104+AG104</f>
        <v>6936.8429392576991</v>
      </c>
      <c r="AJ104" s="6623">
        <f>AJ105*AJ$3*24</f>
        <v>880.43152051075026</v>
      </c>
      <c r="AK104" s="1819">
        <v>1179.4968629536356</v>
      </c>
      <c r="AL104" s="2553">
        <f t="shared" ref="AL104" si="577">+AJ104+AF104+AB104</f>
        <v>2496.7437317679551</v>
      </c>
      <c r="AM104" s="2553">
        <f t="shared" ref="AM104" si="578">+AK104+AG104+AC104</f>
        <v>2867.4748629536357</v>
      </c>
      <c r="AN104" s="2236">
        <f t="shared" ref="AN104" si="579">+AH104+AJ104</f>
        <v>6721.4176341675893</v>
      </c>
      <c r="AO104" s="2236">
        <f t="shared" ref="AO104" si="580">+AI104+AK104</f>
        <v>8116.3398022113342</v>
      </c>
      <c r="AP104" s="6715">
        <f>AP105*AP$3*24</f>
        <v>880.43152051075026</v>
      </c>
      <c r="AQ104" s="1819">
        <v>1266.2049999999999</v>
      </c>
      <c r="AR104" s="2236">
        <f t="shared" ref="AR104" si="581">+AN104+AP104</f>
        <v>7601.8491546783398</v>
      </c>
      <c r="AS104" s="2236">
        <f t="shared" ref="AS104" si="582">+AO104+AQ104</f>
        <v>9382.5448022113342</v>
      </c>
      <c r="AT104" s="6860">
        <f>AT105*AT$3*24</f>
        <v>817.88522121223036</v>
      </c>
      <c r="AU104" s="1819">
        <v>816.79600000000005</v>
      </c>
      <c r="AV104" s="5072">
        <f t="shared" ref="AV104" si="583">+AR104+AT104</f>
        <v>8419.7343758905699</v>
      </c>
      <c r="AW104" s="5072">
        <f t="shared" ref="AW104" si="584">+AS104+AU104</f>
        <v>10199.340802211334</v>
      </c>
      <c r="AX104" s="7014">
        <f>AX105*AX$3*24</f>
        <v>807.40787496365215</v>
      </c>
      <c r="AY104" s="1819">
        <v>747.92</v>
      </c>
      <c r="AZ104" s="2829">
        <f t="shared" ref="AZ104" si="585">+AX104+AT104+AP104</f>
        <v>2505.7246166866325</v>
      </c>
      <c r="BA104" s="2829">
        <f t="shared" ref="BA104" si="586">+AY104+AU104+AQ104</f>
        <v>2830.9209999999998</v>
      </c>
      <c r="BB104" s="2837">
        <f t="shared" si="524"/>
        <v>5002.4683484545876</v>
      </c>
      <c r="BC104" s="2837">
        <f t="shared" si="525"/>
        <v>5698.3958629536355</v>
      </c>
      <c r="BD104" s="2236">
        <f t="shared" ref="BD104" si="587">+AV104+AX104</f>
        <v>9227.1422508542219</v>
      </c>
      <c r="BE104" s="2236">
        <f t="shared" ref="BE104" si="588">+AW104+AY104</f>
        <v>10947.260802211335</v>
      </c>
      <c r="BF104" s="112"/>
      <c r="BG104" s="112"/>
      <c r="BH104" s="112"/>
      <c r="BI104" s="112"/>
      <c r="BJ104" s="112"/>
    </row>
    <row r="105" spans="2:62" ht="15" hidden="1" customHeight="1" x14ac:dyDescent="0.25">
      <c r="B105" s="945"/>
      <c r="C105" s="148"/>
      <c r="D105" s="1056">
        <v>1.1509148380802339</v>
      </c>
      <c r="E105" s="1258"/>
      <c r="F105" s="1056">
        <v>1.0402311774777622</v>
      </c>
      <c r="G105" s="1258"/>
      <c r="H105" s="733"/>
      <c r="I105" s="733"/>
      <c r="J105" s="1056">
        <v>1.0201460239127076</v>
      </c>
      <c r="K105" s="1258"/>
      <c r="L105" s="732"/>
      <c r="M105" s="732"/>
      <c r="N105" s="1056">
        <v>1.0390801145811881</v>
      </c>
      <c r="O105" s="1258"/>
      <c r="P105" s="733"/>
      <c r="Q105" s="733"/>
      <c r="R105" s="1056">
        <v>1.0390801145811881</v>
      </c>
      <c r="S105" s="1258"/>
      <c r="T105" s="4359"/>
      <c r="U105" s="4359"/>
      <c r="V105" s="1056">
        <v>0.47420399336729552</v>
      </c>
      <c r="W105" s="1258"/>
      <c r="X105" s="732"/>
      <c r="Y105" s="732"/>
      <c r="Z105" s="439"/>
      <c r="AA105" s="439"/>
      <c r="AB105" s="1056">
        <v>1.0341033545825422</v>
      </c>
      <c r="AC105" s="1258"/>
      <c r="AD105" s="2236"/>
      <c r="AE105" s="2236"/>
      <c r="AF105" s="1056">
        <v>1.1763046047886021</v>
      </c>
      <c r="AG105" s="1258"/>
      <c r="AH105" s="4652"/>
      <c r="AI105" s="4652"/>
      <c r="AJ105" s="1056">
        <v>1.1833756996112235</v>
      </c>
      <c r="AK105" s="1258"/>
      <c r="AL105" s="2553"/>
      <c r="AM105" s="2553"/>
      <c r="AN105" s="2236"/>
      <c r="AO105" s="2236"/>
      <c r="AP105" s="1056">
        <v>1.1833756996112235</v>
      </c>
      <c r="AQ105" s="1258"/>
      <c r="AR105" s="2236"/>
      <c r="AS105" s="2236"/>
      <c r="AT105" s="1056">
        <v>1.2170911029943903</v>
      </c>
      <c r="AU105" s="1258"/>
      <c r="AV105" s="5072"/>
      <c r="AW105" s="5072"/>
      <c r="AX105" s="1056">
        <v>1.0852256383920056</v>
      </c>
      <c r="AY105" s="1258"/>
      <c r="AZ105" s="2829"/>
      <c r="BA105" s="2829"/>
      <c r="BB105" s="2837">
        <f t="shared" si="524"/>
        <v>0</v>
      </c>
      <c r="BC105" s="2837">
        <f t="shared" si="525"/>
        <v>0</v>
      </c>
      <c r="BD105" s="2236"/>
      <c r="BE105" s="2236"/>
      <c r="BF105" s="112"/>
      <c r="BG105" s="112"/>
      <c r="BH105" s="112"/>
      <c r="BI105" s="112"/>
      <c r="BJ105" s="112"/>
    </row>
    <row r="106" spans="2:62" x14ac:dyDescent="0.25">
      <c r="B106" s="945" t="s">
        <v>109</v>
      </c>
      <c r="C106" s="148" t="s">
        <v>325</v>
      </c>
      <c r="D106" s="7634">
        <f>D107*D$3*24</f>
        <v>1396.7146390553964</v>
      </c>
      <c r="E106" s="1819">
        <v>882.42399999999998</v>
      </c>
      <c r="F106" s="5625">
        <f>F107*F$3*24</f>
        <v>1282.5610075764243</v>
      </c>
      <c r="G106" s="1819">
        <v>1180.3595068891568</v>
      </c>
      <c r="H106" s="733">
        <f t="shared" si="530"/>
        <v>2679.2756466318206</v>
      </c>
      <c r="I106" s="733">
        <f t="shared" si="530"/>
        <v>2062.7835068891568</v>
      </c>
      <c r="J106" s="5761">
        <f>J107*J$3*24</f>
        <v>1207.0530458069115</v>
      </c>
      <c r="K106" s="1819">
        <v>1207.0748128000887</v>
      </c>
      <c r="L106" s="732">
        <f t="shared" si="531"/>
        <v>3886.3286924387321</v>
      </c>
      <c r="M106" s="732">
        <f t="shared" si="532"/>
        <v>3269.8583196892455</v>
      </c>
      <c r="N106" s="5870">
        <f>N107*N$3*24</f>
        <v>1279.1768543463181</v>
      </c>
      <c r="O106" s="1819">
        <v>1245.7720400038083</v>
      </c>
      <c r="P106" s="733">
        <f t="shared" si="533"/>
        <v>5165.5055467850507</v>
      </c>
      <c r="Q106" s="733">
        <f t="shared" si="534"/>
        <v>4515.6303596930538</v>
      </c>
      <c r="R106" s="5973">
        <f>R107*R$3*24</f>
        <v>1279.1768543463181</v>
      </c>
      <c r="S106" s="1819">
        <v>1135.5755864219707</v>
      </c>
      <c r="T106" s="4359">
        <f t="shared" ref="T106" si="589">+P106+R106</f>
        <v>6444.6824011313693</v>
      </c>
      <c r="U106" s="4359">
        <f t="shared" ref="U106" si="590">+Q106+S106</f>
        <v>5651.2059461150247</v>
      </c>
      <c r="V106" s="6047">
        <f>V107*V$3*24</f>
        <v>479.17803654586316</v>
      </c>
      <c r="W106" s="1819">
        <v>1282.4100000000001</v>
      </c>
      <c r="X106" s="732">
        <f t="shared" si="516"/>
        <v>3037.5317452384993</v>
      </c>
      <c r="Y106" s="732">
        <f t="shared" si="517"/>
        <v>3663.7576264257791</v>
      </c>
      <c r="Z106" s="439">
        <f t="shared" si="518"/>
        <v>6923.8604376772309</v>
      </c>
      <c r="AA106" s="439">
        <f t="shared" si="519"/>
        <v>6933.6159461150246</v>
      </c>
      <c r="AB106" s="6174">
        <f>AB107*AB$3*24</f>
        <v>1330.9639088696395</v>
      </c>
      <c r="AC106" s="1819">
        <v>921.85</v>
      </c>
      <c r="AD106" s="2236">
        <f t="shared" ref="AD106" si="591">+Z106+AB106</f>
        <v>8254.8243465468695</v>
      </c>
      <c r="AE106" s="2236">
        <f t="shared" ref="AE106" si="592">+AA106+AC106</f>
        <v>7855.465946115025</v>
      </c>
      <c r="AF106" s="6371">
        <f>AF107*AF$3*24</f>
        <v>1458.9520655403535</v>
      </c>
      <c r="AG106" s="1819">
        <v>1250.05</v>
      </c>
      <c r="AH106" s="4652">
        <f t="shared" ref="AH106" si="593">+AD106+AF106</f>
        <v>9713.7764120872234</v>
      </c>
      <c r="AI106" s="4652">
        <f t="shared" ref="AI106" si="594">+AE106+AG106</f>
        <v>9105.5159461150251</v>
      </c>
      <c r="AJ106" s="6623">
        <f>AJ107*AJ$3*24</f>
        <v>1501.5705345809165</v>
      </c>
      <c r="AK106" s="1819">
        <v>1544.6841414945566</v>
      </c>
      <c r="AL106" s="2553">
        <f t="shared" ref="AL106" si="595">+AJ106+AF106+AB106</f>
        <v>4291.486508990909</v>
      </c>
      <c r="AM106" s="2553">
        <f t="shared" ref="AM106" si="596">+AK106+AG106+AC106</f>
        <v>3716.5841414945567</v>
      </c>
      <c r="AN106" s="2236">
        <f t="shared" ref="AN106" si="597">+AH106+AJ106</f>
        <v>11215.34694666814</v>
      </c>
      <c r="AO106" s="2236">
        <f t="shared" ref="AO106" si="598">+AI106+AK106</f>
        <v>10650.200087609581</v>
      </c>
      <c r="AP106" s="6715">
        <f>AP107*AP$3*24</f>
        <v>1501.5705345809165</v>
      </c>
      <c r="AQ106" s="1819">
        <v>1774.2850000000001</v>
      </c>
      <c r="AR106" s="2236">
        <f t="shared" ref="AR106" si="599">+AN106+AP106</f>
        <v>12716.917481249056</v>
      </c>
      <c r="AS106" s="2236">
        <f t="shared" ref="AS106" si="600">+AO106+AQ106</f>
        <v>12424.485087609581</v>
      </c>
      <c r="AT106" s="6860">
        <f>AT107*AT$3*24</f>
        <v>1451.6373151531275</v>
      </c>
      <c r="AU106" s="1819">
        <v>1251.442</v>
      </c>
      <c r="AV106" s="5072">
        <f t="shared" ref="AV106" si="601">+AR106+AT106</f>
        <v>14168.554796402184</v>
      </c>
      <c r="AW106" s="5072">
        <f t="shared" ref="AW106" si="602">+AS106+AU106</f>
        <v>13675.92708760958</v>
      </c>
      <c r="AX106" s="7014">
        <f>AX107*AX$3*24</f>
        <v>1361.8428443318326</v>
      </c>
      <c r="AY106" s="1819">
        <v>1013.987</v>
      </c>
      <c r="AZ106" s="2829">
        <f t="shared" ref="AZ106" si="603">+AX106+AT106+AP106</f>
        <v>4315.0506940658761</v>
      </c>
      <c r="BA106" s="2829">
        <f t="shared" ref="BA106" si="604">+AY106+AU106+AQ106</f>
        <v>4039.7139999999999</v>
      </c>
      <c r="BB106" s="2837">
        <f t="shared" si="524"/>
        <v>8606.5372030567851</v>
      </c>
      <c r="BC106" s="2837">
        <f t="shared" si="525"/>
        <v>7756.2981414945571</v>
      </c>
      <c r="BD106" s="2236">
        <f t="shared" ref="BD106" si="605">+AV106+AX106</f>
        <v>15530.397640734016</v>
      </c>
      <c r="BE106" s="2236">
        <f t="shared" ref="BE106" si="606">+AW106+AY106</f>
        <v>14689.914087609579</v>
      </c>
      <c r="BF106" s="112"/>
      <c r="BG106" s="112"/>
      <c r="BH106" s="112"/>
      <c r="BI106" s="112"/>
      <c r="BJ106" s="112"/>
    </row>
    <row r="107" spans="2:62" ht="15" hidden="1" customHeight="1" x14ac:dyDescent="0.25">
      <c r="B107" s="945"/>
      <c r="C107" s="148"/>
      <c r="D107" s="1056">
        <v>1.9398814431324951</v>
      </c>
      <c r="E107" s="1258"/>
      <c r="F107" s="1056">
        <v>1.7238723220113232</v>
      </c>
      <c r="G107" s="1258"/>
      <c r="H107" s="733"/>
      <c r="I107" s="733"/>
      <c r="J107" s="1056">
        <v>1.6764625636207104</v>
      </c>
      <c r="K107" s="1258"/>
      <c r="L107" s="732"/>
      <c r="M107" s="732"/>
      <c r="N107" s="1056">
        <v>1.7193237289601051</v>
      </c>
      <c r="O107" s="1258"/>
      <c r="P107" s="733"/>
      <c r="Q107" s="733"/>
      <c r="R107" s="1056">
        <v>1.7193237289601051</v>
      </c>
      <c r="S107" s="1258"/>
      <c r="T107" s="4359"/>
      <c r="U107" s="4359"/>
      <c r="V107" s="1056">
        <v>0.66552505075814328</v>
      </c>
      <c r="W107" s="1258"/>
      <c r="X107" s="732"/>
      <c r="Y107" s="732"/>
      <c r="Z107" s="439"/>
      <c r="AA107" s="439"/>
      <c r="AB107" s="1056">
        <v>1.7889299850398379</v>
      </c>
      <c r="AC107" s="1258"/>
      <c r="AD107" s="2236"/>
      <c r="AE107" s="2236"/>
      <c r="AF107" s="1056">
        <v>2.0263223132504908</v>
      </c>
      <c r="AG107" s="1258"/>
      <c r="AH107" s="4652"/>
      <c r="AI107" s="4652"/>
      <c r="AJ107" s="1056">
        <v>2.0182399658345651</v>
      </c>
      <c r="AK107" s="1258"/>
      <c r="AL107" s="2553"/>
      <c r="AM107" s="2553"/>
      <c r="AN107" s="2236"/>
      <c r="AO107" s="2236"/>
      <c r="AP107" s="1056">
        <v>2.0182399658345651</v>
      </c>
      <c r="AQ107" s="1258"/>
      <c r="AR107" s="2236"/>
      <c r="AS107" s="2236"/>
      <c r="AT107" s="1056">
        <v>2.1601745761207254</v>
      </c>
      <c r="AU107" s="1258"/>
      <c r="AV107" s="5072"/>
      <c r="AW107" s="5072"/>
      <c r="AX107" s="1056">
        <v>1.8304339305535384</v>
      </c>
      <c r="AY107" s="1258"/>
      <c r="AZ107" s="2829"/>
      <c r="BA107" s="2829"/>
      <c r="BB107" s="2837">
        <f t="shared" si="524"/>
        <v>0</v>
      </c>
      <c r="BC107" s="2837">
        <f t="shared" si="525"/>
        <v>0</v>
      </c>
      <c r="BD107" s="2236"/>
      <c r="BE107" s="2236"/>
      <c r="BF107" s="112"/>
      <c r="BG107" s="112"/>
      <c r="BH107" s="112"/>
      <c r="BI107" s="112"/>
      <c r="BJ107" s="112"/>
    </row>
    <row r="108" spans="2:62" x14ac:dyDescent="0.25">
      <c r="B108" s="945" t="s">
        <v>82</v>
      </c>
      <c r="C108" s="148" t="s">
        <v>325</v>
      </c>
      <c r="D108" s="7634">
        <f>D109*D$3*24</f>
        <v>0</v>
      </c>
      <c r="E108" s="1819"/>
      <c r="F108" s="5625">
        <f>F109*F$3*24</f>
        <v>0</v>
      </c>
      <c r="G108" s="1819">
        <v>0</v>
      </c>
      <c r="H108" s="733">
        <f t="shared" si="530"/>
        <v>0</v>
      </c>
      <c r="I108" s="733">
        <f t="shared" si="530"/>
        <v>0</v>
      </c>
      <c r="J108" s="5761">
        <f>J109*J$3*24</f>
        <v>0</v>
      </c>
      <c r="K108" s="1819">
        <v>0</v>
      </c>
      <c r="L108" s="732">
        <f t="shared" si="531"/>
        <v>0</v>
      </c>
      <c r="M108" s="732">
        <f t="shared" si="532"/>
        <v>0</v>
      </c>
      <c r="N108" s="5870">
        <f>N109*N$3*24</f>
        <v>0</v>
      </c>
      <c r="O108" s="1819">
        <v>0</v>
      </c>
      <c r="P108" s="733">
        <f t="shared" si="533"/>
        <v>0</v>
      </c>
      <c r="Q108" s="733">
        <f t="shared" si="534"/>
        <v>0</v>
      </c>
      <c r="R108" s="5973">
        <f>R109*R$3*24</f>
        <v>0</v>
      </c>
      <c r="S108" s="1819">
        <v>0</v>
      </c>
      <c r="T108" s="4359">
        <f t="shared" ref="T108" si="607">+P108+R108</f>
        <v>0</v>
      </c>
      <c r="U108" s="4359">
        <f t="shared" ref="U108" si="608">+Q108+S108</f>
        <v>0</v>
      </c>
      <c r="V108" s="6047">
        <f>V109*V$3*24</f>
        <v>0</v>
      </c>
      <c r="W108" s="1819"/>
      <c r="X108" s="732">
        <f t="shared" si="516"/>
        <v>0</v>
      </c>
      <c r="Y108" s="732">
        <f t="shared" si="517"/>
        <v>0</v>
      </c>
      <c r="Z108" s="439">
        <f t="shared" si="518"/>
        <v>0</v>
      </c>
      <c r="AA108" s="439">
        <f t="shared" si="519"/>
        <v>0</v>
      </c>
      <c r="AB108" s="6174">
        <f>AB109*AB$3*24</f>
        <v>0</v>
      </c>
      <c r="AC108" s="1819">
        <v>27.6</v>
      </c>
      <c r="AD108" s="2236">
        <f t="shared" ref="AD108" si="609">+Z108+AB108</f>
        <v>0</v>
      </c>
      <c r="AE108" s="2236">
        <f t="shared" ref="AE108" si="610">+AA108+AC108</f>
        <v>27.6</v>
      </c>
      <c r="AF108" s="6371">
        <f>AF109*AF$3*24</f>
        <v>0</v>
      </c>
      <c r="AG108" s="1819">
        <v>0</v>
      </c>
      <c r="AH108" s="4652">
        <f t="shared" ref="AH108" si="611">+AD108+AF108</f>
        <v>0</v>
      </c>
      <c r="AI108" s="4652">
        <f t="shared" ref="AI108" si="612">+AE108+AG108</f>
        <v>27.6</v>
      </c>
      <c r="AJ108" s="6623">
        <f>AJ109*AJ$3*24</f>
        <v>0</v>
      </c>
      <c r="AK108" s="1819">
        <v>0</v>
      </c>
      <c r="AL108" s="2553">
        <f t="shared" ref="AL108" si="613">+AJ108+AF108+AB108</f>
        <v>0</v>
      </c>
      <c r="AM108" s="2553">
        <f t="shared" ref="AM108" si="614">+AK108+AG108+AC108</f>
        <v>27.6</v>
      </c>
      <c r="AN108" s="2236">
        <f t="shared" ref="AN108" si="615">+AH108+AJ108</f>
        <v>0</v>
      </c>
      <c r="AO108" s="2236">
        <f t="shared" ref="AO108" si="616">+AI108+AK108</f>
        <v>27.6</v>
      </c>
      <c r="AP108" s="6715">
        <f>AP109*AP$3*24</f>
        <v>0</v>
      </c>
      <c r="AQ108" s="1819">
        <v>12.896000000000001</v>
      </c>
      <c r="AR108" s="2236">
        <f t="shared" ref="AR108" si="617">+AN108+AP108</f>
        <v>0</v>
      </c>
      <c r="AS108" s="2236">
        <f t="shared" ref="AS108" si="618">+AO108+AQ108</f>
        <v>40.496000000000002</v>
      </c>
      <c r="AT108" s="6860">
        <f>AT109*AT$3*24</f>
        <v>0</v>
      </c>
      <c r="AU108" s="1819"/>
      <c r="AV108" s="5072">
        <f t="shared" ref="AV108" si="619">+AR108+AT108</f>
        <v>0</v>
      </c>
      <c r="AW108" s="5072">
        <f t="shared" ref="AW108" si="620">+AS108+AU108</f>
        <v>40.496000000000002</v>
      </c>
      <c r="AX108" s="7014">
        <f>AX109*AX$3*24</f>
        <v>0</v>
      </c>
      <c r="AY108" s="1819">
        <v>0</v>
      </c>
      <c r="AZ108" s="2829">
        <f t="shared" ref="AZ108" si="621">+AX108+AT108+AP108</f>
        <v>0</v>
      </c>
      <c r="BA108" s="2829">
        <f t="shared" ref="BA108" si="622">+AY108+AU108+AQ108</f>
        <v>12.896000000000001</v>
      </c>
      <c r="BB108" s="2837">
        <f t="shared" si="524"/>
        <v>0</v>
      </c>
      <c r="BC108" s="2837">
        <f t="shared" si="525"/>
        <v>40.496000000000002</v>
      </c>
      <c r="BD108" s="2236">
        <f t="shared" ref="BD108" si="623">+AV108+AX108</f>
        <v>0</v>
      </c>
      <c r="BE108" s="2236">
        <f t="shared" ref="BE108" si="624">+AW108+AY108</f>
        <v>40.496000000000002</v>
      </c>
      <c r="BF108" s="112"/>
      <c r="BG108" s="112"/>
      <c r="BH108" s="112"/>
      <c r="BI108" s="112"/>
      <c r="BJ108" s="112"/>
    </row>
    <row r="109" spans="2:62" ht="15" hidden="1" customHeight="1" x14ac:dyDescent="0.25">
      <c r="B109" s="945"/>
      <c r="C109" s="148"/>
      <c r="D109" s="7634"/>
      <c r="E109" s="1819"/>
      <c r="F109" s="5625">
        <v>0</v>
      </c>
      <c r="G109" s="1819"/>
      <c r="H109" s="733"/>
      <c r="I109" s="733"/>
      <c r="J109" s="5761">
        <v>0</v>
      </c>
      <c r="K109" s="1819"/>
      <c r="L109" s="732"/>
      <c r="M109" s="732"/>
      <c r="N109" s="5870">
        <v>0</v>
      </c>
      <c r="O109" s="1819"/>
      <c r="P109" s="733"/>
      <c r="Q109" s="733"/>
      <c r="R109" s="5973">
        <v>0</v>
      </c>
      <c r="S109" s="1819"/>
      <c r="T109" s="4359"/>
      <c r="U109" s="4359"/>
      <c r="V109" s="6047">
        <v>0</v>
      </c>
      <c r="W109" s="1819"/>
      <c r="X109" s="732"/>
      <c r="Y109" s="732"/>
      <c r="Z109" s="439"/>
      <c r="AA109" s="439"/>
      <c r="AB109" s="6174">
        <v>0</v>
      </c>
      <c r="AC109" s="1819"/>
      <c r="AD109" s="2236"/>
      <c r="AE109" s="2236"/>
      <c r="AF109" s="6371">
        <v>0</v>
      </c>
      <c r="AG109" s="1819"/>
      <c r="AH109" s="4652"/>
      <c r="AI109" s="4652"/>
      <c r="AJ109" s="6623">
        <v>0</v>
      </c>
      <c r="AK109" s="1819"/>
      <c r="AL109" s="2553"/>
      <c r="AM109" s="2553"/>
      <c r="AN109" s="2236"/>
      <c r="AO109" s="2236"/>
      <c r="AP109" s="6715">
        <v>0</v>
      </c>
      <c r="AQ109" s="1819"/>
      <c r="AR109" s="2236"/>
      <c r="AS109" s="2236"/>
      <c r="AT109" s="6860"/>
      <c r="AU109" s="1819"/>
      <c r="AV109" s="5072"/>
      <c r="AW109" s="5072"/>
      <c r="AX109" s="7014"/>
      <c r="AY109" s="1819"/>
      <c r="AZ109" s="2829"/>
      <c r="BA109" s="2829"/>
      <c r="BB109" s="2837">
        <f t="shared" si="524"/>
        <v>0</v>
      </c>
      <c r="BC109" s="2837">
        <f t="shared" si="525"/>
        <v>0</v>
      </c>
      <c r="BD109" s="2236"/>
      <c r="BE109" s="2236"/>
      <c r="BF109" s="112"/>
      <c r="BG109" s="4699"/>
      <c r="BH109" s="112"/>
      <c r="BI109" s="112"/>
      <c r="BJ109" s="112"/>
    </row>
    <row r="110" spans="2:62" x14ac:dyDescent="0.25">
      <c r="B110" s="945" t="s">
        <v>532</v>
      </c>
      <c r="C110" s="148" t="s">
        <v>325</v>
      </c>
      <c r="D110" s="7634">
        <f>D111*D$3*24</f>
        <v>279</v>
      </c>
      <c r="E110" s="1819">
        <v>152.00800000000001</v>
      </c>
      <c r="F110" s="5625">
        <f>F111*F$3*24</f>
        <v>148.80000000000001</v>
      </c>
      <c r="G110" s="1819">
        <v>157.29386892177578</v>
      </c>
      <c r="H110" s="733">
        <f t="shared" si="530"/>
        <v>427.8</v>
      </c>
      <c r="I110" s="733">
        <f t="shared" si="530"/>
        <v>309.30186892177579</v>
      </c>
      <c r="J110" s="5761">
        <f>J111*J$3*24</f>
        <v>144</v>
      </c>
      <c r="K110" s="1819">
        <v>152.2198731501056</v>
      </c>
      <c r="L110" s="732">
        <f t="shared" si="531"/>
        <v>571.79999999999995</v>
      </c>
      <c r="M110" s="732">
        <f t="shared" si="532"/>
        <v>461.52174207188136</v>
      </c>
      <c r="N110" s="5870">
        <f>N111*N$3*24</f>
        <v>148.80000000000001</v>
      </c>
      <c r="O110" s="1819">
        <v>157.10895348837198</v>
      </c>
      <c r="P110" s="733">
        <f t="shared" si="533"/>
        <v>720.59999999999991</v>
      </c>
      <c r="Q110" s="733">
        <f t="shared" si="534"/>
        <v>618.63069556025334</v>
      </c>
      <c r="R110" s="5973">
        <f>R111*R$3*24</f>
        <v>148.80000000000001</v>
      </c>
      <c r="S110" s="1819">
        <v>156.7653276955603</v>
      </c>
      <c r="T110" s="4359">
        <f t="shared" ref="T110" si="625">+P110+R110</f>
        <v>869.39999999999986</v>
      </c>
      <c r="U110" s="4359">
        <f t="shared" ref="U110" si="626">+Q110+S110</f>
        <v>775.39602325581359</v>
      </c>
      <c r="V110" s="6047">
        <f>V111*V$3*24</f>
        <v>144</v>
      </c>
      <c r="W110" s="1819">
        <v>152.114</v>
      </c>
      <c r="X110" s="732">
        <f t="shared" si="516"/>
        <v>441.6</v>
      </c>
      <c r="Y110" s="732">
        <f t="shared" si="517"/>
        <v>465.98828118393226</v>
      </c>
      <c r="Z110" s="439">
        <f t="shared" si="518"/>
        <v>1013.4</v>
      </c>
      <c r="AA110" s="439">
        <f t="shared" si="519"/>
        <v>927.51002325581362</v>
      </c>
      <c r="AB110" s="6174">
        <f>AB111*AB$3*24</f>
        <v>148.80000000000001</v>
      </c>
      <c r="AC110" s="1819">
        <v>144.292</v>
      </c>
      <c r="AD110" s="2236">
        <f t="shared" ref="AD110" si="627">+Z110+AB110</f>
        <v>1162.2</v>
      </c>
      <c r="AE110" s="2236">
        <f t="shared" ref="AE110" si="628">+AA110+AC110</f>
        <v>1071.8020232558135</v>
      </c>
      <c r="AF110" s="6371">
        <f>AF111*AF$3*24</f>
        <v>144</v>
      </c>
      <c r="AG110" s="1819">
        <v>152.22</v>
      </c>
      <c r="AH110" s="4652">
        <f t="shared" ref="AH110" si="629">+AD110+AF110</f>
        <v>1306.2</v>
      </c>
      <c r="AI110" s="4652">
        <f t="shared" ref="AI110" si="630">+AE110+AG110</f>
        <v>1224.0220232558136</v>
      </c>
      <c r="AJ110" s="6623">
        <f>AJ111*AJ$3*24</f>
        <v>148.80000000000001</v>
      </c>
      <c r="AK110" s="1819">
        <v>154.07325581395344</v>
      </c>
      <c r="AL110" s="2553">
        <f t="shared" ref="AL110" si="631">+AJ110+AF110+AB110</f>
        <v>441.6</v>
      </c>
      <c r="AM110" s="2553">
        <f t="shared" ref="AM110" si="632">+AK110+AG110+AC110</f>
        <v>450.58525581395349</v>
      </c>
      <c r="AN110" s="2236">
        <f t="shared" ref="AN110" si="633">+AH110+AJ110</f>
        <v>1455</v>
      </c>
      <c r="AO110" s="2236">
        <f t="shared" ref="AO110" si="634">+AI110+AK110</f>
        <v>1378.095279069767</v>
      </c>
      <c r="AP110" s="6715">
        <f>AP111*AP$3*24</f>
        <v>148.80000000000001</v>
      </c>
      <c r="AQ110" s="1819">
        <v>157.08199999999999</v>
      </c>
      <c r="AR110" s="2236">
        <f t="shared" ref="AR110" si="635">+AN110+AP110</f>
        <v>1603.8</v>
      </c>
      <c r="AS110" s="2236">
        <f t="shared" ref="AS110" si="636">+AO110+AQ110</f>
        <v>1535.1772790697669</v>
      </c>
      <c r="AT110" s="6860">
        <f>AT111*AT$3*24</f>
        <v>134.4</v>
      </c>
      <c r="AU110" s="1819">
        <v>136.786</v>
      </c>
      <c r="AV110" s="5072">
        <f t="shared" ref="AV110" si="637">+AR110+AT110</f>
        <v>1738.2</v>
      </c>
      <c r="AW110" s="5072">
        <f t="shared" ref="AW110" si="638">+AS110+AU110</f>
        <v>1671.9632790697669</v>
      </c>
      <c r="AX110" s="7014">
        <f>AX111*AX$3*24</f>
        <v>148.80000000000001</v>
      </c>
      <c r="AY110" s="1819">
        <v>156.83000000000001</v>
      </c>
      <c r="AZ110" s="2829">
        <f t="shared" ref="AZ110" si="639">+AX110+AT110+AP110</f>
        <v>432.00000000000006</v>
      </c>
      <c r="BA110" s="2829">
        <f t="shared" ref="BA110" si="640">+AY110+AU110+AQ110</f>
        <v>450.69799999999998</v>
      </c>
      <c r="BB110" s="2837">
        <f t="shared" si="524"/>
        <v>873.60000000000014</v>
      </c>
      <c r="BC110" s="2837">
        <f t="shared" si="525"/>
        <v>901.28325581395347</v>
      </c>
      <c r="BD110" s="2236">
        <f t="shared" ref="BD110" si="641">+AV110+AX110</f>
        <v>1887</v>
      </c>
      <c r="BE110" s="2236">
        <f t="shared" ref="BE110" si="642">+AW110+AY110</f>
        <v>1828.7932790697669</v>
      </c>
      <c r="BF110" s="112"/>
      <c r="BG110" s="112"/>
      <c r="BH110" s="112"/>
      <c r="BI110" s="112"/>
      <c r="BJ110" s="112"/>
    </row>
    <row r="111" spans="2:62" ht="15" hidden="1" customHeight="1" x14ac:dyDescent="0.25">
      <c r="B111" s="945"/>
      <c r="C111" s="148"/>
      <c r="D111" s="180">
        <v>0.38750000000000001</v>
      </c>
      <c r="E111" s="98"/>
      <c r="F111" s="180">
        <v>0.2</v>
      </c>
      <c r="G111" s="98"/>
      <c r="H111" s="733"/>
      <c r="I111" s="733"/>
      <c r="J111" s="180">
        <v>0.2</v>
      </c>
      <c r="K111" s="98"/>
      <c r="L111" s="732"/>
      <c r="M111" s="732"/>
      <c r="N111" s="180">
        <v>0.2</v>
      </c>
      <c r="O111" s="98"/>
      <c r="P111" s="733"/>
      <c r="Q111" s="733"/>
      <c r="R111" s="180">
        <v>0.2</v>
      </c>
      <c r="S111" s="98"/>
      <c r="T111" s="4359"/>
      <c r="U111" s="4359"/>
      <c r="V111" s="180">
        <v>0.2</v>
      </c>
      <c r="W111" s="98"/>
      <c r="X111" s="732"/>
      <c r="Y111" s="732"/>
      <c r="Z111" s="439"/>
      <c r="AA111" s="439"/>
      <c r="AB111" s="180">
        <v>0.2</v>
      </c>
      <c r="AC111" s="98"/>
      <c r="AD111" s="2236"/>
      <c r="AE111" s="2236"/>
      <c r="AF111" s="180">
        <v>0.2</v>
      </c>
      <c r="AG111" s="98"/>
      <c r="AH111" s="4652"/>
      <c r="AI111" s="4652"/>
      <c r="AJ111" s="180">
        <v>0.2</v>
      </c>
      <c r="AK111" s="98"/>
      <c r="AL111" s="2553"/>
      <c r="AM111" s="2553"/>
      <c r="AN111" s="2236"/>
      <c r="AO111" s="2236"/>
      <c r="AP111" s="180">
        <v>0.2</v>
      </c>
      <c r="AQ111" s="98"/>
      <c r="AR111" s="2236"/>
      <c r="AS111" s="2236"/>
      <c r="AT111" s="180">
        <v>0.2</v>
      </c>
      <c r="AU111" s="98"/>
      <c r="AV111" s="5072"/>
      <c r="AW111" s="5072"/>
      <c r="AX111" s="180">
        <v>0.2</v>
      </c>
      <c r="AY111" s="98"/>
      <c r="AZ111" s="2829"/>
      <c r="BA111" s="2829"/>
      <c r="BB111" s="2827"/>
      <c r="BC111" s="2827"/>
      <c r="BD111" s="2236"/>
      <c r="BE111" s="2236"/>
      <c r="BF111" s="112"/>
      <c r="BG111" s="112"/>
      <c r="BH111" s="112"/>
      <c r="BI111" s="112"/>
      <c r="BJ111" s="112"/>
    </row>
    <row r="112" spans="2:62" ht="15.75" x14ac:dyDescent="0.25">
      <c r="B112" s="759" t="s">
        <v>61</v>
      </c>
      <c r="C112" s="753" t="s">
        <v>325</v>
      </c>
      <c r="D112" s="1057">
        <f t="shared" ref="D112:E112" si="643">D96+D98+D100+D102+D104+D106+D108+D110</f>
        <v>3600</v>
      </c>
      <c r="E112" s="1057">
        <f t="shared" si="643"/>
        <v>3570.4889999999996</v>
      </c>
      <c r="F112" s="1057">
        <f t="shared" ref="F112:G112" si="644">F96+F98+F100+F102+F104+F106+F108+F110</f>
        <v>3719.9999999999995</v>
      </c>
      <c r="G112" s="1057">
        <f t="shared" si="644"/>
        <v>3721.1059999999989</v>
      </c>
      <c r="H112" s="352">
        <f t="shared" ref="H112:K112" si="645">H96+H98+H100+H102+H104+H106+H108+H110</f>
        <v>7319.9999999999991</v>
      </c>
      <c r="I112" s="352">
        <f t="shared" si="645"/>
        <v>7291.5950000000003</v>
      </c>
      <c r="J112" s="1057">
        <f t="shared" si="645"/>
        <v>3600</v>
      </c>
      <c r="K112" s="1057">
        <f t="shared" si="645"/>
        <v>3572.2689999999993</v>
      </c>
      <c r="L112" s="749">
        <f t="shared" ref="L112:AA112" si="646">SUM(L96:L110)</f>
        <v>10920</v>
      </c>
      <c r="M112" s="749">
        <f t="shared" si="646"/>
        <v>10863.864</v>
      </c>
      <c r="N112" s="1057">
        <f t="shared" ref="N112:O112" si="647">N96+N98+N100+N102+N104+N106+N108+N110</f>
        <v>3720</v>
      </c>
      <c r="O112" s="1057">
        <f t="shared" si="647"/>
        <v>3781.1419999999998</v>
      </c>
      <c r="P112" s="235">
        <f t="shared" si="646"/>
        <v>14640.000000000002</v>
      </c>
      <c r="Q112" s="235">
        <f t="shared" si="646"/>
        <v>14645.005999999998</v>
      </c>
      <c r="R112" s="1057">
        <f t="shared" ref="R112:S112" si="648">R96+R98+R100+R102+R104+R106+R108+R110</f>
        <v>3720</v>
      </c>
      <c r="S112" s="1057">
        <f t="shared" si="648"/>
        <v>3708.1829999999995</v>
      </c>
      <c r="T112" s="235">
        <f t="shared" ref="T112:U112" si="649">SUM(T96:T110)</f>
        <v>18360</v>
      </c>
      <c r="U112" s="235">
        <f t="shared" si="649"/>
        <v>18353.188999999995</v>
      </c>
      <c r="V112" s="1057">
        <f t="shared" ref="V112:W112" si="650">V96+V98+V100+V102+V104+V106+V108+V110</f>
        <v>3600</v>
      </c>
      <c r="W112" s="1057">
        <f t="shared" si="650"/>
        <v>3839.4550000000004</v>
      </c>
      <c r="X112" s="749">
        <f t="shared" si="646"/>
        <v>11040</v>
      </c>
      <c r="Y112" s="749">
        <f t="shared" si="646"/>
        <v>11328.779999999999</v>
      </c>
      <c r="Z112" s="492">
        <f t="shared" si="646"/>
        <v>21960</v>
      </c>
      <c r="AA112" s="492">
        <f t="shared" si="646"/>
        <v>22192.643999999997</v>
      </c>
      <c r="AB112" s="1057">
        <f t="shared" ref="AB112:AC112" si="651">AB96+AB98+AB100+AB102+AB104+AB106+AB108+AB110</f>
        <v>3720.0000000000005</v>
      </c>
      <c r="AC112" s="1057">
        <f t="shared" si="651"/>
        <v>3998.0099999999998</v>
      </c>
      <c r="AD112" s="235">
        <f t="shared" ref="AD112:AE112" si="652">SUM(AD96:AD110)</f>
        <v>25680</v>
      </c>
      <c r="AE112" s="235">
        <f t="shared" si="652"/>
        <v>26190.653999999995</v>
      </c>
      <c r="AF112" s="1057">
        <f t="shared" ref="AF112:AG112" si="653">AF96+AF98+AF100+AF102+AF104+AF106+AF108+AF110</f>
        <v>3600</v>
      </c>
      <c r="AG112" s="1057">
        <f t="shared" si="653"/>
        <v>3822.3609999999994</v>
      </c>
      <c r="AH112" s="235">
        <f t="shared" ref="AH112:AI112" si="654">SUM(AH96:AH110)</f>
        <v>29280</v>
      </c>
      <c r="AI112" s="235">
        <f t="shared" si="654"/>
        <v>30013.014999999996</v>
      </c>
      <c r="AJ112" s="1057">
        <f t="shared" ref="AJ112:AK112" si="655">AJ96+AJ98+AJ100+AJ102+AJ104+AJ106+AJ108+AJ110</f>
        <v>3720</v>
      </c>
      <c r="AK112" s="1057">
        <f t="shared" si="655"/>
        <v>4723.71</v>
      </c>
      <c r="AL112" s="749">
        <f t="shared" ref="AL112:AO112" si="656">SUM(AL96:AL110)</f>
        <v>11040</v>
      </c>
      <c r="AM112" s="749">
        <f t="shared" si="656"/>
        <v>12544.081000000002</v>
      </c>
      <c r="AN112" s="235">
        <f t="shared" si="656"/>
        <v>33000</v>
      </c>
      <c r="AO112" s="235">
        <f t="shared" si="656"/>
        <v>34736.724999999991</v>
      </c>
      <c r="AP112" s="1057">
        <f t="shared" ref="AP112:AQ112" si="657">AP96+AP98+AP100+AP102+AP104+AP106+AP108+AP110</f>
        <v>3720</v>
      </c>
      <c r="AQ112" s="1057">
        <f t="shared" si="657"/>
        <v>5086.8159999999998</v>
      </c>
      <c r="AR112" s="235">
        <f t="shared" ref="AR112:AS112" si="658">SUM(AR96:AR110)</f>
        <v>36720</v>
      </c>
      <c r="AS112" s="235">
        <f t="shared" si="658"/>
        <v>39823.54099999999</v>
      </c>
      <c r="AT112" s="1057">
        <f t="shared" ref="AT112:AU112" si="659">AT96+AT98+AT100+AT102+AT104+AT106+AT108+AT110</f>
        <v>3360</v>
      </c>
      <c r="AU112" s="1057">
        <f t="shared" si="659"/>
        <v>3436.0370000000003</v>
      </c>
      <c r="AV112" s="235">
        <f t="shared" ref="AV112:AW112" si="660">SUM(AV96:AV110)</f>
        <v>40079.999999999993</v>
      </c>
      <c r="AW112" s="235">
        <f t="shared" si="660"/>
        <v>43259.577999999994</v>
      </c>
      <c r="AX112" s="1057">
        <f t="shared" ref="AX112:AY112" si="661">AX96+AX98+AX100+AX102+AX104+AX106+AX108+AX110</f>
        <v>3720</v>
      </c>
      <c r="AY112" s="1057">
        <f t="shared" si="661"/>
        <v>3765.143</v>
      </c>
      <c r="AZ112" s="749">
        <f t="shared" ref="AZ112:BE112" si="662">SUM(AZ96:AZ110)</f>
        <v>10800</v>
      </c>
      <c r="BA112" s="749">
        <f t="shared" si="662"/>
        <v>12287.996000000001</v>
      </c>
      <c r="BB112" s="492">
        <f t="shared" si="662"/>
        <v>21840</v>
      </c>
      <c r="BC112" s="492">
        <f t="shared" si="662"/>
        <v>24832.077000000001</v>
      </c>
      <c r="BD112" s="235">
        <f t="shared" si="662"/>
        <v>43800</v>
      </c>
      <c r="BE112" s="235">
        <f t="shared" si="662"/>
        <v>47024.72099999999</v>
      </c>
      <c r="BF112" s="112"/>
      <c r="BG112" s="112"/>
      <c r="BH112" s="112"/>
      <c r="BI112" s="112"/>
      <c r="BJ112" s="112"/>
    </row>
    <row r="113" spans="1:62" ht="20.25" x14ac:dyDescent="0.25">
      <c r="B113" s="960" t="s">
        <v>323</v>
      </c>
      <c r="C113" s="960"/>
      <c r="D113" s="961"/>
      <c r="E113" s="960"/>
      <c r="F113" s="961"/>
      <c r="G113" s="960"/>
      <c r="H113" s="960"/>
      <c r="I113" s="960"/>
      <c r="J113" s="961"/>
      <c r="K113" s="960"/>
      <c r="L113" s="960"/>
      <c r="M113" s="960"/>
      <c r="N113" s="961"/>
      <c r="O113" s="960"/>
      <c r="P113" s="960"/>
      <c r="Q113" s="960"/>
      <c r="R113" s="961"/>
      <c r="S113" s="960"/>
      <c r="T113" s="960"/>
      <c r="U113" s="960"/>
      <c r="V113" s="961"/>
      <c r="W113" s="960"/>
      <c r="X113" s="960"/>
      <c r="Y113" s="960"/>
      <c r="Z113" s="960"/>
      <c r="AA113" s="960"/>
      <c r="AB113" s="961"/>
      <c r="AC113" s="960"/>
      <c r="AD113" s="960"/>
      <c r="AE113" s="960"/>
      <c r="AF113" s="961"/>
      <c r="AG113" s="960"/>
      <c r="AH113" s="960"/>
      <c r="AI113" s="960"/>
      <c r="AJ113" s="961"/>
      <c r="AK113" s="960"/>
      <c r="AL113" s="960"/>
      <c r="AM113" s="960"/>
      <c r="AN113" s="960"/>
      <c r="AO113" s="960"/>
      <c r="AP113" s="961"/>
      <c r="AQ113" s="960"/>
      <c r="AR113" s="960"/>
      <c r="AS113" s="960"/>
      <c r="AT113" s="961"/>
      <c r="AU113" s="960"/>
      <c r="AV113" s="960"/>
      <c r="AW113" s="960"/>
      <c r="AX113" s="961"/>
      <c r="AY113" s="960"/>
      <c r="AZ113" s="960"/>
      <c r="BA113" s="960"/>
      <c r="BB113" s="960"/>
      <c r="BC113" s="960"/>
      <c r="BD113" s="960"/>
      <c r="BE113" s="960"/>
      <c r="BF113" s="112"/>
      <c r="BG113" s="112"/>
      <c r="BH113" s="112"/>
      <c r="BI113" s="112"/>
      <c r="BJ113" s="112"/>
    </row>
    <row r="114" spans="1:62" x14ac:dyDescent="0.25">
      <c r="B114" s="962" t="s">
        <v>110</v>
      </c>
      <c r="C114" s="148" t="s">
        <v>322</v>
      </c>
      <c r="D114" s="243">
        <v>0.47067219729075532</v>
      </c>
      <c r="E114" s="243">
        <v>0.54198232513247857</v>
      </c>
      <c r="F114" s="243">
        <v>0.4079878357892866</v>
      </c>
      <c r="G114" s="243">
        <v>0.44915926171985743</v>
      </c>
      <c r="H114" s="357">
        <v>0.42920449898390028</v>
      </c>
      <c r="I114" s="357">
        <v>0.45394868590390147</v>
      </c>
      <c r="J114" s="243">
        <v>0.40265163675865484</v>
      </c>
      <c r="K114" s="243">
        <v>0.46089305717975371</v>
      </c>
      <c r="L114" s="358">
        <v>0.42044655375237644</v>
      </c>
      <c r="M114" s="358">
        <v>0.45639712535576715</v>
      </c>
      <c r="N114" s="243">
        <v>0.40260587158869787</v>
      </c>
      <c r="O114" s="243">
        <v>0.45884359235561362</v>
      </c>
      <c r="P114" s="357">
        <v>0.41598199068581082</v>
      </c>
      <c r="Q114" s="357">
        <v>0.45757416911611182</v>
      </c>
      <c r="R114" s="243">
        <v>0.40266488037444587</v>
      </c>
      <c r="S114" s="243">
        <v>0.46179488752722814</v>
      </c>
      <c r="T114" s="357">
        <v>0.41331647061482396</v>
      </c>
      <c r="U114" s="357">
        <v>0.45850791535025492</v>
      </c>
      <c r="V114" s="243">
        <v>0.42094117765032152</v>
      </c>
      <c r="W114" s="243">
        <v>0.47364230537384505</v>
      </c>
      <c r="X114" s="358">
        <v>0.4064403462138651</v>
      </c>
      <c r="Y114" s="358">
        <v>0.46449484026625404</v>
      </c>
      <c r="Z114" s="630">
        <v>0.41404124851922108</v>
      </c>
      <c r="AA114" s="630">
        <v>0.46128873565114553</v>
      </c>
      <c r="AB114" s="243">
        <v>0.40842070090372701</v>
      </c>
      <c r="AC114" s="243">
        <v>0.4710475142051877</v>
      </c>
      <c r="AD114" s="357">
        <v>0.41316499839907639</v>
      </c>
      <c r="AE114" s="357">
        <v>0.46190947286915224</v>
      </c>
      <c r="AF114" s="243">
        <v>0.40795534247141441</v>
      </c>
      <c r="AG114" s="243">
        <v>0.48496135953706615</v>
      </c>
      <c r="AH114" s="357">
        <v>0.41248119786932752</v>
      </c>
      <c r="AI114" s="357">
        <v>0.46466131751422107</v>
      </c>
      <c r="AJ114" s="243">
        <v>0.40060388348633708</v>
      </c>
      <c r="AK114" s="243">
        <v>0.53512669643059352</v>
      </c>
      <c r="AL114" s="358">
        <f>((AB114*$AB$130)+(AF114*$AF$130)+(AJ114*$AJ$130))/$AL$130</f>
        <v>0.40563610595351324</v>
      </c>
      <c r="AM114" s="358">
        <f>((AK114*$AK$130)+(AG114*$AG$130)+(AC114*$AC$130))/$AM$130</f>
        <v>0.49936671664352084</v>
      </c>
      <c r="AN114" s="357">
        <f>((AH114*$AH$130)+(AJ114*$AJ$130))/$AN$130</f>
        <v>0.41103380010229257</v>
      </c>
      <c r="AO114" s="357">
        <f>((AI114*$AI$130)+(AK114*$AK$130))/$AO$130</f>
        <v>0.47266058636451608</v>
      </c>
      <c r="AP114" s="243">
        <v>0.40060591130283679</v>
      </c>
      <c r="AQ114" s="243">
        <v>0.5266324090059108</v>
      </c>
      <c r="AR114" s="357">
        <f>((AN114*$AN$130)+(AP114*$AP$130))/$AR$130</f>
        <v>0.40988550845849914</v>
      </c>
      <c r="AS114" s="357">
        <f>((AO114*$AO$130)+(AQ114*$AQ$130))/$AS$130</f>
        <v>0.4780292991274378</v>
      </c>
      <c r="AT114" s="243">
        <v>0.40074182391379265</v>
      </c>
      <c r="AU114" s="243">
        <v>0.48160759355255567</v>
      </c>
      <c r="AV114" s="357">
        <f>((AR114*$AR$130)+(AT114*$AT$130))/$AV$130</f>
        <v>0.40906638572971288</v>
      </c>
      <c r="AW114" s="357">
        <f>((AS114*$AS$130)+(AU114*$AU$130))/$AW$130</f>
        <v>0.47829651229051257</v>
      </c>
      <c r="AX114" s="243">
        <v>0.40060591130283679</v>
      </c>
      <c r="AY114" s="243">
        <v>0.53766063473116599</v>
      </c>
      <c r="AZ114" s="358">
        <f>((AX114*$AX$130)+(AP114*$AP$130)+(AT114*$AT$130))/$AZ$130</f>
        <v>0.40064788300234516</v>
      </c>
      <c r="BA114" s="358">
        <f>((AY114*$AY$130)+(AQ114*$AQ$130)+(AU114*$AU$130))/$BA$130</f>
        <v>0.51796690986872607</v>
      </c>
      <c r="BB114" s="630">
        <f>((AF114*$AF$130)+(AB114*$AB$130)+(AJ114*$AJ$130)+(AT114*$AT$130)+(AP114*$AP$130)+(AX114*$AX$130))/$BB$130</f>
        <v>0.40315503047152956</v>
      </c>
      <c r="BC114" s="630">
        <f>((AG114*$AG$130)+(AC114*$AC$130)+(AK114*$AK$130)+(AU114*$AU$130)+(AQ114*$AQ$130)+(AY114*$AY$130))/$BC$130</f>
        <v>0.5087473504235509</v>
      </c>
      <c r="BD114" s="357">
        <f>((AH114*$AH$130)+(AJ114*$AJ$130)+(AP114*$AP$130)+(AT114*$AT$130)+(AX114*$AX$130))/$BD$130</f>
        <v>0.40829548537430438</v>
      </c>
      <c r="BE114" s="357">
        <f>((AI114*$AI$130)+(AK114*$AK$130)+(AQ114*$AQ$130)+(AU114*$AU$130)+(AY114*$AY$130))/$BE$130</f>
        <v>0.48356387319154465</v>
      </c>
      <c r="BF114" s="112"/>
      <c r="BG114" s="112"/>
      <c r="BH114" s="112"/>
      <c r="BI114" s="112"/>
      <c r="BJ114" s="112"/>
    </row>
    <row r="115" spans="1:62" x14ac:dyDescent="0.25">
      <c r="A115" s="90"/>
      <c r="B115" s="962" t="s">
        <v>1020</v>
      </c>
      <c r="C115" s="148" t="s">
        <v>322</v>
      </c>
      <c r="D115" s="243">
        <v>3.1921604127423997</v>
      </c>
      <c r="E115" s="243">
        <v>3.2940400595497832</v>
      </c>
      <c r="F115" s="243">
        <v>3.1878516431682868</v>
      </c>
      <c r="G115" s="243">
        <v>3.1830302027977311</v>
      </c>
      <c r="H115" s="357">
        <v>3.1899995130770118</v>
      </c>
      <c r="I115" s="357">
        <v>3.1803815043806209</v>
      </c>
      <c r="J115" s="243">
        <v>3.192215813727552</v>
      </c>
      <c r="K115" s="243">
        <v>3.2659177041987215</v>
      </c>
      <c r="L115" s="358">
        <v>3.1907305167461972</v>
      </c>
      <c r="M115" s="358">
        <v>3.2105481417364601</v>
      </c>
      <c r="N115" s="243">
        <v>3.1803553389763484</v>
      </c>
      <c r="O115" s="243">
        <v>3.2864920848289811</v>
      </c>
      <c r="P115" s="357">
        <v>3.1881341678479123</v>
      </c>
      <c r="Q115" s="357">
        <v>3.2306404783771461</v>
      </c>
      <c r="R115" s="243">
        <v>3.1903155317778462</v>
      </c>
      <c r="S115" s="243">
        <v>3.2670592097068112</v>
      </c>
      <c r="T115" s="357">
        <v>3.1885707842910755</v>
      </c>
      <c r="U115" s="357">
        <v>3.2378773737631281</v>
      </c>
      <c r="V115" s="243">
        <v>3.2564569263786973</v>
      </c>
      <c r="W115" s="243">
        <v>3.3654871225576142</v>
      </c>
      <c r="X115" s="358">
        <v>3.2001184621482972</v>
      </c>
      <c r="Y115" s="358">
        <v>3.3050153189900842</v>
      </c>
      <c r="Z115" s="630">
        <v>3.1950238028229103</v>
      </c>
      <c r="AA115" s="630">
        <v>3.2581282360445876</v>
      </c>
      <c r="AB115" s="243">
        <v>3.1924522647738316</v>
      </c>
      <c r="AC115" s="243">
        <v>3.4225036436307481</v>
      </c>
      <c r="AD115" s="357">
        <v>3.1946228969541921</v>
      </c>
      <c r="AE115" s="357">
        <v>3.2772158503361757</v>
      </c>
      <c r="AF115" s="243">
        <v>3.1917150252548843</v>
      </c>
      <c r="AG115" s="243">
        <v>3.219743432654556</v>
      </c>
      <c r="AH115" s="357">
        <v>3.1942412202684305</v>
      </c>
      <c r="AI115" s="357">
        <v>3.269922788543159</v>
      </c>
      <c r="AJ115" s="243">
        <v>3.1923345249312436</v>
      </c>
      <c r="AK115" s="243">
        <v>3.2862657892876888</v>
      </c>
      <c r="AL115" s="358">
        <f t="shared" ref="AL115:AL128" si="663">((AB115*$AB$130)+(AF115*$AF$130)+(AJ115*$AJ$130))/$AL$130</f>
        <v>3.1921719745925987</v>
      </c>
      <c r="AM115" s="358">
        <f t="shared" ref="AM115:AM128" si="664">((AK115*$AK$130)+(AG115*$AG$130)+(AC115*$AC$130))/$AM$130</f>
        <v>3.3004897062670957</v>
      </c>
      <c r="AN115" s="357">
        <f t="shared" ref="AN115:AN127" si="665">((AH115*$AH$130)+(AJ115*$AJ$130))/$AN$130</f>
        <v>3.1940088658417927</v>
      </c>
      <c r="AO115" s="357">
        <f t="shared" ref="AO115:AO127" si="666">((AI115*$AI$130)+(AK115*$AK$130))/$AO$130</f>
        <v>3.2717780550412106</v>
      </c>
      <c r="AP115" s="243">
        <v>3.2065088900288075</v>
      </c>
      <c r="AQ115" s="243">
        <v>3.2325708109992632</v>
      </c>
      <c r="AR115" s="357">
        <f t="shared" ref="AR115:AR126" si="667">((AN115*$AN$130)+(AP115*$AP$130))/$AR$130</f>
        <v>3.1953853355757156</v>
      </c>
      <c r="AS115" s="357">
        <f t="shared" ref="AS115:AS126" si="668">((AO115*$AO$130)+(AQ115*$AQ$130))/$AS$130</f>
        <v>3.2678780119967952</v>
      </c>
      <c r="AT115" s="243">
        <v>3.1953335496254298</v>
      </c>
      <c r="AU115" s="243">
        <v>3.2556255612498846</v>
      </c>
      <c r="AV115" s="357">
        <f t="shared" ref="AV115:AV127" si="669">((AR115*$AR$130)+(AT115*$AT$130))/$AV$130</f>
        <v>3.1953806964120712</v>
      </c>
      <c r="AW115" s="357">
        <f t="shared" ref="AW115:AW127" si="670">((AS115*$AS$130)+(AU115*$AU$130))/$AW$130</f>
        <v>3.2669630464488186</v>
      </c>
      <c r="AX115" s="243">
        <v>3.2065088900288075</v>
      </c>
      <c r="AY115" s="243">
        <v>3.1923409952632977</v>
      </c>
      <c r="AZ115" s="358">
        <f t="shared" ref="AZ115:AZ127" si="671">((AX115*$AX$130)+(AP115*$AP$130)+(AT115*$AT$130))/$AZ$130</f>
        <v>3.2030577898989847</v>
      </c>
      <c r="BA115" s="358">
        <f t="shared" ref="BA115:BA127" si="672">((AY115*$AY$130)+(AQ115*$AQ$130)+(AU115*$AU$130))/$BA$130</f>
        <v>3.2242573185106531</v>
      </c>
      <c r="BB115" s="630">
        <f t="shared" ref="BB115:BB127" si="673">((AF115*$AF$130)+(AB115*$AB$130)+(AJ115*$AJ$130)+(AT115*$AT$130)+(AP115*$AP$130)+(AX115*$AX$130))/$BB$130</f>
        <v>3.197586433754203</v>
      </c>
      <c r="BC115" s="630">
        <f t="shared" ref="BC115:BC127" si="674">((AG115*$AG$130)+(AC115*$AC$130)+(AK115*$AK$130)+(AU115*$AU$130)+(AQ115*$AQ$130)+(AY115*$AY$130))/$BC$130</f>
        <v>3.2620434329912134</v>
      </c>
      <c r="BD115" s="357">
        <f t="shared" ref="BD115:BD127" si="675">((AH115*$AH$130)+(AJ115*$AJ$130)+(AP115*$AP$130)+(AT115*$AT$130)+(AX115*$AX$130))/$BD$130</f>
        <v>3.1963946736409303</v>
      </c>
      <c r="BE115" s="357">
        <f t="shared" ref="BE115:BE127" si="676">((AI115*$AI$130)+(AK115*$AK$130)+(AQ115*$AQ$130)+(AU115*$AU$130)+(AY115*$AY$130))/$BE$130</f>
        <v>3.2603418540752198</v>
      </c>
      <c r="BF115" s="112"/>
      <c r="BG115" s="112"/>
      <c r="BH115" s="112"/>
      <c r="BI115" s="112"/>
      <c r="BJ115" s="112"/>
    </row>
    <row r="116" spans="1:62" x14ac:dyDescent="0.25">
      <c r="A116" s="90"/>
      <c r="B116" s="962" t="s">
        <v>111</v>
      </c>
      <c r="C116" s="148" t="s">
        <v>322</v>
      </c>
      <c r="D116" s="243">
        <v>0.70571463599154127</v>
      </c>
      <c r="E116" s="243">
        <v>0.6516088777901472</v>
      </c>
      <c r="F116" s="243">
        <v>0.71547092574170856</v>
      </c>
      <c r="G116" s="243">
        <v>0.64777980583868877</v>
      </c>
      <c r="H116" s="357">
        <v>0.71546719052436825</v>
      </c>
      <c r="I116" s="357">
        <v>0.63381872997401234</v>
      </c>
      <c r="J116" s="243">
        <v>0.71546333630368797</v>
      </c>
      <c r="K116" s="243">
        <v>0.67079786505498851</v>
      </c>
      <c r="L116" s="358">
        <v>0.71546591928462988</v>
      </c>
      <c r="M116" s="358">
        <v>0.64679160616154463</v>
      </c>
      <c r="N116" s="243">
        <v>0.71546623834529244</v>
      </c>
      <c r="O116" s="243">
        <v>0.66587400922128304</v>
      </c>
      <c r="P116" s="357">
        <v>0.71546599912835096</v>
      </c>
      <c r="Q116" s="357">
        <v>0.65188612968933846</v>
      </c>
      <c r="R116" s="243">
        <v>0.71546623834529244</v>
      </c>
      <c r="S116" s="243">
        <v>0.67554009082433941</v>
      </c>
      <c r="T116" s="357">
        <v>0.71546604700942606</v>
      </c>
      <c r="U116" s="357">
        <v>0.65664189750609903</v>
      </c>
      <c r="V116" s="243">
        <v>0.70483669648078551</v>
      </c>
      <c r="W116" s="243">
        <v>0.69166624885775618</v>
      </c>
      <c r="X116" s="358">
        <v>0.71325682456985473</v>
      </c>
      <c r="Y116" s="358">
        <v>0.67721980243658286</v>
      </c>
      <c r="Z116" s="630">
        <v>0.71445565823443635</v>
      </c>
      <c r="AA116" s="630">
        <v>0.66229798755762526</v>
      </c>
      <c r="AB116" s="243">
        <v>0.71542243280221729</v>
      </c>
      <c r="AC116" s="243">
        <v>0.71318609028205104</v>
      </c>
      <c r="AD116" s="357">
        <v>0.71460637955006678</v>
      </c>
      <c r="AE116" s="357">
        <v>0.66836364869930776</v>
      </c>
      <c r="AF116" s="243">
        <v>0.715414843878591</v>
      </c>
      <c r="AG116" s="243">
        <v>0.70265039289681575</v>
      </c>
      <c r="AH116" s="357">
        <v>0.714712495643683</v>
      </c>
      <c r="AI116" s="357">
        <v>0.67260553797194655</v>
      </c>
      <c r="AJ116" s="243">
        <v>0.71547092574170856</v>
      </c>
      <c r="AK116" s="243">
        <v>0.64663317668122389</v>
      </c>
      <c r="AL116" s="358">
        <f t="shared" si="663"/>
        <v>0.71543628817970273</v>
      </c>
      <c r="AM116" s="358">
        <f t="shared" si="664"/>
        <v>0.68517095468618228</v>
      </c>
      <c r="AN116" s="357">
        <f t="shared" si="665"/>
        <v>0.71480491973846871</v>
      </c>
      <c r="AO116" s="357">
        <f t="shared" si="666"/>
        <v>0.66965714113031383</v>
      </c>
      <c r="AP116" s="243">
        <v>0.71547454738345528</v>
      </c>
      <c r="AQ116" s="243">
        <v>0.65540026929608652</v>
      </c>
      <c r="AR116" s="357">
        <f t="shared" si="667"/>
        <v>0.71487865737069511</v>
      </c>
      <c r="AS116" s="357">
        <f t="shared" si="668"/>
        <v>0.66823897427898638</v>
      </c>
      <c r="AT116" s="243">
        <v>0.71544660790393322</v>
      </c>
      <c r="AU116" s="243">
        <v>0.66802819045913386</v>
      </c>
      <c r="AV116" s="357">
        <f t="shared" si="669"/>
        <v>0.71492953633401968</v>
      </c>
      <c r="AW116" s="357">
        <f t="shared" si="670"/>
        <v>0.66822323376003057</v>
      </c>
      <c r="AX116" s="243">
        <v>0.71547454738345528</v>
      </c>
      <c r="AY116" s="243">
        <v>0.64567861681164163</v>
      </c>
      <c r="AZ116" s="358">
        <f t="shared" si="671"/>
        <v>0.7154659192846301</v>
      </c>
      <c r="BA116" s="358">
        <f t="shared" si="672"/>
        <v>0.65538669151416418</v>
      </c>
      <c r="BB116" s="630">
        <f t="shared" si="673"/>
        <v>0.71545102629559265</v>
      </c>
      <c r="BC116" s="630">
        <f t="shared" si="674"/>
        <v>0.67014985991356835</v>
      </c>
      <c r="BD116" s="357">
        <f t="shared" si="675"/>
        <v>0.71497919657652054</v>
      </c>
      <c r="BE116" s="357">
        <f t="shared" si="676"/>
        <v>0.66622285661369263</v>
      </c>
      <c r="BF116" s="112"/>
      <c r="BG116" s="112"/>
      <c r="BH116" s="112"/>
      <c r="BI116" s="112"/>
      <c r="BJ116" s="112"/>
    </row>
    <row r="117" spans="1:62" x14ac:dyDescent="0.25">
      <c r="A117" s="90"/>
      <c r="B117" s="962" t="s">
        <v>261</v>
      </c>
      <c r="C117" s="148" t="s">
        <v>322</v>
      </c>
      <c r="D117" s="243">
        <v>0.55827358896631174</v>
      </c>
      <c r="E117" s="243">
        <v>0.4506090966146441</v>
      </c>
      <c r="F117" s="243">
        <v>0.46314334621557507</v>
      </c>
      <c r="G117" s="243">
        <v>0.44453085597148223</v>
      </c>
      <c r="H117" s="357">
        <v>0.46313838005843</v>
      </c>
      <c r="I117" s="357">
        <v>0.45569641951194401</v>
      </c>
      <c r="J117" s="243">
        <v>0.46313325568042807</v>
      </c>
      <c r="K117" s="243">
        <v>0.40611159117348206</v>
      </c>
      <c r="L117" s="358">
        <v>0.4631366898819998</v>
      </c>
      <c r="M117" s="358">
        <v>0.4381209303926662</v>
      </c>
      <c r="N117" s="243">
        <v>0.46405383049987414</v>
      </c>
      <c r="O117" s="243">
        <v>0.41397634733447125</v>
      </c>
      <c r="P117" s="357">
        <v>0.46336620084418401</v>
      </c>
      <c r="Q117" s="357">
        <v>0.4316055461142137</v>
      </c>
      <c r="R117" s="243">
        <v>0.46405383049987414</v>
      </c>
      <c r="S117" s="243">
        <v>0.45489085509095062</v>
      </c>
      <c r="T117" s="357">
        <v>0.46350383510610671</v>
      </c>
      <c r="U117" s="357">
        <v>0.43630030721237612</v>
      </c>
      <c r="V117" s="243">
        <v>0.52703531913583501</v>
      </c>
      <c r="W117" s="243">
        <v>0.46106043435401112</v>
      </c>
      <c r="X117" s="358">
        <v>0.47714490915252067</v>
      </c>
      <c r="Y117" s="358">
        <v>0.44238769714422976</v>
      </c>
      <c r="Z117" s="630">
        <v>0.46954291511848451</v>
      </c>
      <c r="AA117" s="630">
        <v>0.44029737320444129</v>
      </c>
      <c r="AB117" s="243">
        <v>0.46307127968396267</v>
      </c>
      <c r="AC117" s="243">
        <v>0.50412684677906205</v>
      </c>
      <c r="AD117" s="357">
        <v>0.46853397938570995</v>
      </c>
      <c r="AE117" s="357">
        <v>0.44751881268805443</v>
      </c>
      <c r="AF117" s="243">
        <v>0.57247952640385169</v>
      </c>
      <c r="AG117" s="243">
        <v>0.41109681505100781</v>
      </c>
      <c r="AH117" s="357">
        <v>0.482177494639496</v>
      </c>
      <c r="AI117" s="357">
        <v>0.44290958853139728</v>
      </c>
      <c r="AJ117" s="243">
        <v>0.5721598604484196</v>
      </c>
      <c r="AK117" s="243">
        <v>0.40911726861156977</v>
      </c>
      <c r="AL117" s="358">
        <f t="shared" si="663"/>
        <v>0.53552319964683137</v>
      </c>
      <c r="AM117" s="358">
        <f t="shared" si="664"/>
        <v>0.43629965256495679</v>
      </c>
      <c r="AN117" s="357">
        <f t="shared" si="665"/>
        <v>0.49314295965496047</v>
      </c>
      <c r="AO117" s="357">
        <f t="shared" si="666"/>
        <v>0.43907346565416583</v>
      </c>
      <c r="AP117" s="243">
        <v>0.57072228492426702</v>
      </c>
      <c r="AQ117" s="243">
        <v>0.43163584280385348</v>
      </c>
      <c r="AR117" s="357">
        <f t="shared" si="667"/>
        <v>0.50168579058182317</v>
      </c>
      <c r="AS117" s="357">
        <f t="shared" si="668"/>
        <v>0.43833362662765046</v>
      </c>
      <c r="AT117" s="243">
        <v>0.56780703997875381</v>
      </c>
      <c r="AU117" s="243">
        <v>0.43971426102754713</v>
      </c>
      <c r="AV117" s="357">
        <f t="shared" si="669"/>
        <v>0.50760915965388131</v>
      </c>
      <c r="AW117" s="357">
        <f t="shared" si="670"/>
        <v>0.43843672705517722</v>
      </c>
      <c r="AX117" s="243">
        <v>0.46243987511974732</v>
      </c>
      <c r="AY117" s="243">
        <v>0.43053082261200826</v>
      </c>
      <c r="AZ117" s="358">
        <f t="shared" si="671"/>
        <v>0.53240036701245919</v>
      </c>
      <c r="BA117" s="358">
        <f t="shared" si="672"/>
        <v>0.43351274319250238</v>
      </c>
      <c r="BB117" s="630">
        <f t="shared" si="673"/>
        <v>0.53396994439755163</v>
      </c>
      <c r="BC117" s="630">
        <f t="shared" si="674"/>
        <v>0.43489413081125256</v>
      </c>
      <c r="BD117" s="357">
        <f t="shared" si="675"/>
        <v>0.50349343094364551</v>
      </c>
      <c r="BE117" s="357">
        <f t="shared" si="676"/>
        <v>0.43773523850891127</v>
      </c>
      <c r="BF117" s="112"/>
      <c r="BG117" s="112"/>
      <c r="BH117" s="112"/>
      <c r="BI117" s="112"/>
      <c r="BJ117" s="112"/>
    </row>
    <row r="118" spans="1:62" x14ac:dyDescent="0.25">
      <c r="A118" s="90"/>
      <c r="B118" s="962" t="s">
        <v>1334</v>
      </c>
      <c r="C118" s="148" t="s">
        <v>322</v>
      </c>
      <c r="D118" s="243">
        <v>0.20558491149315733</v>
      </c>
      <c r="E118" s="243">
        <v>0.1554976818297602</v>
      </c>
      <c r="F118" s="243">
        <v>0.19230797205670533</v>
      </c>
      <c r="G118" s="243">
        <v>0.16833085588563615</v>
      </c>
      <c r="H118" s="357">
        <v>0.19082974901970018</v>
      </c>
      <c r="I118" s="357">
        <v>0.16894915478000069</v>
      </c>
      <c r="J118" s="243">
        <v>0.18930443006753755</v>
      </c>
      <c r="K118" s="243">
        <v>0.15770875033244533</v>
      </c>
      <c r="L118" s="358">
        <v>0.19032665222620476</v>
      </c>
      <c r="M118" s="358">
        <v>0.16496776209933423</v>
      </c>
      <c r="N118" s="243">
        <v>0.19579131754254719</v>
      </c>
      <c r="O118" s="243">
        <v>0.14626592407130659</v>
      </c>
      <c r="P118" s="357">
        <v>0.19169416400174408</v>
      </c>
      <c r="Q118" s="357">
        <v>0.1599251477680364</v>
      </c>
      <c r="R118" s="243">
        <v>0.19579131754254719</v>
      </c>
      <c r="S118" s="243">
        <v>0.15213667429949701</v>
      </c>
      <c r="T118" s="357">
        <v>0.19251424018505883</v>
      </c>
      <c r="U118" s="357">
        <v>0.15835102679857527</v>
      </c>
      <c r="V118" s="243">
        <v>0.19603005814722854</v>
      </c>
      <c r="W118" s="243">
        <v>0.16595659005805058</v>
      </c>
      <c r="X118" s="358">
        <v>0.19584094120342202</v>
      </c>
      <c r="Y118" s="358">
        <v>0.15442848482668128</v>
      </c>
      <c r="Z118" s="630">
        <v>0.19284844150754898</v>
      </c>
      <c r="AA118" s="630">
        <v>0.15957816971832842</v>
      </c>
      <c r="AB118" s="243">
        <v>0.19778856129212369</v>
      </c>
      <c r="AC118" s="243">
        <v>0.14180085296024797</v>
      </c>
      <c r="AD118" s="357">
        <v>0.19361861211206977</v>
      </c>
      <c r="AE118" s="357">
        <v>0.15756832720239666</v>
      </c>
      <c r="AF118" s="243">
        <v>0.19800310945506483</v>
      </c>
      <c r="AG118" s="243">
        <v>0.16581460517423807</v>
      </c>
      <c r="AH118" s="357">
        <v>0.19419410532072928</v>
      </c>
      <c r="AI118" s="357">
        <v>0.15861683618222047</v>
      </c>
      <c r="AJ118" s="243">
        <v>0.1979120387270695</v>
      </c>
      <c r="AK118" s="243">
        <v>0.17447995475924089</v>
      </c>
      <c r="AL118" s="358">
        <f t="shared" si="663"/>
        <v>0.19790017710794192</v>
      </c>
      <c r="AM118" s="358">
        <f t="shared" si="664"/>
        <v>0.1622808672880269</v>
      </c>
      <c r="AN118" s="357">
        <f t="shared" si="665"/>
        <v>0.19464718152438926</v>
      </c>
      <c r="AO118" s="357">
        <f t="shared" si="666"/>
        <v>0.16041762619077618</v>
      </c>
      <c r="AP118" s="243">
        <v>0.19490311377492855</v>
      </c>
      <c r="AQ118" s="243">
        <v>0.1930849741871902</v>
      </c>
      <c r="AR118" s="357">
        <f t="shared" si="667"/>
        <v>0.19467536410960123</v>
      </c>
      <c r="AS118" s="357">
        <f t="shared" si="668"/>
        <v>0.16366712934883038</v>
      </c>
      <c r="AT118" s="243">
        <v>0.20543836713428287</v>
      </c>
      <c r="AU118" s="243">
        <v>0.16669549523584182</v>
      </c>
      <c r="AV118" s="357">
        <f t="shared" si="669"/>
        <v>0.19563955096058089</v>
      </c>
      <c r="AW118" s="357">
        <f t="shared" si="670"/>
        <v>0.16389327597945297</v>
      </c>
      <c r="AX118" s="243">
        <v>0.19519358041244705</v>
      </c>
      <c r="AY118" s="243">
        <v>0.16107565702012108</v>
      </c>
      <c r="AZ118" s="358">
        <f t="shared" si="671"/>
        <v>0.19825692940229664</v>
      </c>
      <c r="BA118" s="358">
        <f t="shared" si="672"/>
        <v>0.17382111094485991</v>
      </c>
      <c r="BB118" s="630">
        <f t="shared" si="673"/>
        <v>0.19807762093499812</v>
      </c>
      <c r="BC118" s="630">
        <f t="shared" si="674"/>
        <v>0.16810095733582109</v>
      </c>
      <c r="BD118" s="357">
        <f t="shared" si="675"/>
        <v>0.19559891507697533</v>
      </c>
      <c r="BE118" s="357">
        <f t="shared" si="676"/>
        <v>0.16364326948849156</v>
      </c>
      <c r="BF118" s="112"/>
      <c r="BG118" s="112"/>
      <c r="BH118" s="112"/>
      <c r="BI118" s="112"/>
      <c r="BJ118" s="112"/>
    </row>
    <row r="119" spans="1:62" s="3067" customFormat="1" x14ac:dyDescent="0.25">
      <c r="A119" s="90"/>
      <c r="B119" s="962" t="s">
        <v>95</v>
      </c>
      <c r="C119" s="148" t="s">
        <v>322</v>
      </c>
      <c r="D119" s="243">
        <v>0.15932982152689792</v>
      </c>
      <c r="E119" s="243">
        <v>0.15302894669304828</v>
      </c>
      <c r="F119" s="243">
        <v>0.14587004957069519</v>
      </c>
      <c r="G119" s="243">
        <v>0.15242590717043064</v>
      </c>
      <c r="H119" s="357">
        <v>0.14534419676036461</v>
      </c>
      <c r="I119" s="357">
        <v>0.15378591312222678</v>
      </c>
      <c r="J119" s="243">
        <v>0.14480159037582996</v>
      </c>
      <c r="K119" s="243">
        <v>0.14231140671574194</v>
      </c>
      <c r="L119" s="358">
        <v>0.14516522859649145</v>
      </c>
      <c r="M119" s="358">
        <v>0.1497216835483908</v>
      </c>
      <c r="N119" s="243">
        <v>0.14874037718916616</v>
      </c>
      <c r="O119" s="243">
        <v>0.14718654167285952</v>
      </c>
      <c r="P119" s="357">
        <v>0.14605989597624194</v>
      </c>
      <c r="Q119" s="357">
        <v>0.14903914793463705</v>
      </c>
      <c r="R119" s="243">
        <v>0.14874037718916616</v>
      </c>
      <c r="S119" s="243">
        <v>0.15125560159567672</v>
      </c>
      <c r="T119" s="357">
        <v>0.14659641450810806</v>
      </c>
      <c r="U119" s="357">
        <v>0.14948280867398675</v>
      </c>
      <c r="V119" s="243">
        <v>0.17370819699742648</v>
      </c>
      <c r="W119" s="243">
        <v>0.15749448528828525</v>
      </c>
      <c r="X119" s="358">
        <v>0.15393008768941013</v>
      </c>
      <c r="Y119" s="358">
        <v>0.15178907831632449</v>
      </c>
      <c r="Z119" s="630">
        <v>0.14917356544723243</v>
      </c>
      <c r="AA119" s="630">
        <v>0.15077564913879335</v>
      </c>
      <c r="AB119" s="243">
        <v>0.14402359324701552</v>
      </c>
      <c r="AC119" s="243">
        <v>0.148510300949108</v>
      </c>
      <c r="AD119" s="357">
        <v>0.14837067859920677</v>
      </c>
      <c r="AE119" s="357">
        <v>0.15052012427850206</v>
      </c>
      <c r="AF119" s="243">
        <v>0.14480159037582999</v>
      </c>
      <c r="AG119" s="243">
        <v>0.15350461409538579</v>
      </c>
      <c r="AH119" s="357">
        <v>0.14790221303223783</v>
      </c>
      <c r="AI119" s="357">
        <v>0.15090161222116291</v>
      </c>
      <c r="AJ119" s="243">
        <v>0.14587004957069521</v>
      </c>
      <c r="AK119" s="243">
        <v>0.16674947121205486</v>
      </c>
      <c r="AL119" s="358">
        <f t="shared" si="663"/>
        <v>0.14489941790905986</v>
      </c>
      <c r="AM119" s="358">
        <f t="shared" si="664"/>
        <v>0.15693993513145355</v>
      </c>
      <c r="AN119" s="357">
        <f t="shared" si="665"/>
        <v>0.14765456876168631</v>
      </c>
      <c r="AO119" s="357">
        <f t="shared" si="666"/>
        <v>0.15270066995304796</v>
      </c>
      <c r="AP119" s="243">
        <v>0.14365233692043758</v>
      </c>
      <c r="AQ119" s="243">
        <v>0.17423400552374882</v>
      </c>
      <c r="AR119" s="357">
        <f t="shared" si="667"/>
        <v>0.14721385353464345</v>
      </c>
      <c r="AS119" s="357">
        <f t="shared" si="668"/>
        <v>0.15484264492904276</v>
      </c>
      <c r="AT119" s="243">
        <v>0.14549895190462181</v>
      </c>
      <c r="AU119" s="243">
        <v>0.15664789652988795</v>
      </c>
      <c r="AV119" s="357">
        <f t="shared" si="669"/>
        <v>0.14706022674492697</v>
      </c>
      <c r="AW119" s="357">
        <f t="shared" si="670"/>
        <v>0.15497745412389871</v>
      </c>
      <c r="AX119" s="243">
        <v>0.14547072093208871</v>
      </c>
      <c r="AY119" s="243">
        <v>0.14731953450546598</v>
      </c>
      <c r="AZ119" s="358">
        <f t="shared" si="671"/>
        <v>0.14485101814498391</v>
      </c>
      <c r="BA119" s="358">
        <f t="shared" si="672"/>
        <v>0.15933791223049062</v>
      </c>
      <c r="BB119" s="630">
        <f t="shared" si="673"/>
        <v>0.14487534451275055</v>
      </c>
      <c r="BC119" s="630">
        <f t="shared" si="674"/>
        <v>0.15814930670660918</v>
      </c>
      <c r="BD119" s="357">
        <f t="shared" si="675"/>
        <v>0.1469153943709707</v>
      </c>
      <c r="BE119" s="357">
        <f t="shared" si="676"/>
        <v>0.15429796919726302</v>
      </c>
      <c r="BF119" s="112"/>
      <c r="BG119" s="112"/>
      <c r="BH119" s="112"/>
      <c r="BI119" s="112"/>
      <c r="BJ119" s="112"/>
    </row>
    <row r="120" spans="1:62" x14ac:dyDescent="0.25">
      <c r="A120" s="90"/>
      <c r="B120" s="962" t="s">
        <v>51</v>
      </c>
      <c r="C120" s="148" t="s">
        <v>322</v>
      </c>
      <c r="D120" s="243">
        <v>0.13477538940204176</v>
      </c>
      <c r="E120" s="243">
        <v>0.14364739980914221</v>
      </c>
      <c r="F120" s="243">
        <v>0.12871788398279943</v>
      </c>
      <c r="G120" s="243">
        <v>0.13296519318283465</v>
      </c>
      <c r="H120" s="357">
        <v>0.12850773865440906</v>
      </c>
      <c r="I120" s="357">
        <v>0.13743032982893802</v>
      </c>
      <c r="J120" s="243">
        <v>0.12829089813435354</v>
      </c>
      <c r="K120" s="243">
        <v>0.12612222014861924</v>
      </c>
      <c r="L120" s="358">
        <v>0.12843621802576605</v>
      </c>
      <c r="M120" s="358">
        <v>0.13342482782321458</v>
      </c>
      <c r="N120" s="243">
        <v>0.13125070342362591</v>
      </c>
      <c r="O120" s="243">
        <v>0.13411268691730685</v>
      </c>
      <c r="P120" s="357">
        <v>0.12914053232515169</v>
      </c>
      <c r="Q120" s="357">
        <v>0.13361113693000554</v>
      </c>
      <c r="R120" s="243">
        <v>0.13125070342362591</v>
      </c>
      <c r="S120" s="243">
        <v>0.12932818675311417</v>
      </c>
      <c r="T120" s="357">
        <v>0.12956289898613813</v>
      </c>
      <c r="U120" s="357">
        <v>0.13274569304598088</v>
      </c>
      <c r="V120" s="243">
        <v>0.14663070466281203</v>
      </c>
      <c r="W120" s="243">
        <v>0.13945374923608714</v>
      </c>
      <c r="X120" s="358">
        <v>0.13444752855844858</v>
      </c>
      <c r="Y120" s="358">
        <v>0.13421670897708782</v>
      </c>
      <c r="Z120" s="630">
        <v>0.13118530472230697</v>
      </c>
      <c r="AA120" s="630">
        <v>0.13382828900223104</v>
      </c>
      <c r="AB120" s="243">
        <v>0.12432977430156765</v>
      </c>
      <c r="AC120" s="243">
        <v>0.14387932423293734</v>
      </c>
      <c r="AD120" s="357">
        <v>0.1301165193003547</v>
      </c>
      <c r="AE120" s="357">
        <v>0.13496545018094477</v>
      </c>
      <c r="AF120" s="243">
        <v>0.12829089813435357</v>
      </c>
      <c r="AG120" s="243">
        <v>0.13266609083223588</v>
      </c>
      <c r="AH120" s="357">
        <v>0.1298768948918014</v>
      </c>
      <c r="AI120" s="357">
        <v>0.13467737411413447</v>
      </c>
      <c r="AJ120" s="243">
        <v>0.12871788398279949</v>
      </c>
      <c r="AK120" s="243">
        <v>0.15384789433002999</v>
      </c>
      <c r="AL120" s="358">
        <f t="shared" si="663"/>
        <v>0.12710060156377967</v>
      </c>
      <c r="AM120" s="358">
        <f t="shared" si="664"/>
        <v>0.14351050544375382</v>
      </c>
      <c r="AN120" s="357">
        <f t="shared" si="665"/>
        <v>0.12973565506707629</v>
      </c>
      <c r="AO120" s="357">
        <f t="shared" si="666"/>
        <v>0.13685362218893668</v>
      </c>
      <c r="AP120" s="243">
        <v>0.12820140686461065</v>
      </c>
      <c r="AQ120" s="243">
        <v>0.15619216452598886</v>
      </c>
      <c r="AR120" s="357">
        <f t="shared" si="667"/>
        <v>0.12956670769678133</v>
      </c>
      <c r="AS120" s="357">
        <f t="shared" si="668"/>
        <v>0.13877727556916561</v>
      </c>
      <c r="AT120" s="243">
        <v>0.12896177154767149</v>
      </c>
      <c r="AU120" s="243">
        <v>0.14020852296864986</v>
      </c>
      <c r="AV120" s="357">
        <f t="shared" si="669"/>
        <v>0.12951251543470385</v>
      </c>
      <c r="AW120" s="357">
        <f t="shared" si="670"/>
        <v>0.13888415557939454</v>
      </c>
      <c r="AX120" s="243">
        <v>0.12820140686461065</v>
      </c>
      <c r="AY120" s="243">
        <v>0.13360985338335093</v>
      </c>
      <c r="AZ120" s="358">
        <f t="shared" si="671"/>
        <v>0.12843621802576605</v>
      </c>
      <c r="BA120" s="358">
        <f t="shared" si="672"/>
        <v>0.14334645517355946</v>
      </c>
      <c r="BB120" s="630">
        <f t="shared" si="673"/>
        <v>0.12776491935582868</v>
      </c>
      <c r="BC120" s="630">
        <f t="shared" si="674"/>
        <v>0.14342776998570905</v>
      </c>
      <c r="BD120" s="357">
        <f t="shared" si="675"/>
        <v>0.12939305002275803</v>
      </c>
      <c r="BE120" s="357">
        <f t="shared" si="676"/>
        <v>0.13841616831662581</v>
      </c>
      <c r="BF120" s="112"/>
      <c r="BG120" s="112"/>
      <c r="BH120" s="112"/>
      <c r="BI120" s="112"/>
      <c r="BJ120" s="112"/>
    </row>
    <row r="121" spans="1:62" x14ac:dyDescent="0.25">
      <c r="A121" s="90"/>
      <c r="B121" s="962" t="s">
        <v>112</v>
      </c>
      <c r="C121" s="148" t="s">
        <v>322</v>
      </c>
      <c r="D121" s="243">
        <v>0.11901049615834465</v>
      </c>
      <c r="E121" s="243">
        <v>0.10777402378684546</v>
      </c>
      <c r="F121" s="243">
        <v>0.10992075397450803</v>
      </c>
      <c r="G121" s="243">
        <v>0.23797425917263368</v>
      </c>
      <c r="H121" s="357">
        <v>0.12659160894333954</v>
      </c>
      <c r="I121" s="357">
        <v>0.26499001115342175</v>
      </c>
      <c r="J121" s="243">
        <v>0.11002862630336677</v>
      </c>
      <c r="K121" s="243">
        <v>0.18439463154368232</v>
      </c>
      <c r="L121" s="358">
        <v>0.12112863121984398</v>
      </c>
      <c r="M121" s="358">
        <v>0.23643179006802609</v>
      </c>
      <c r="N121" s="243">
        <v>0.11274189219427787</v>
      </c>
      <c r="O121" s="243">
        <v>0.15851427497370432</v>
      </c>
      <c r="P121" s="357">
        <v>0.11902988157793305</v>
      </c>
      <c r="Q121" s="357">
        <v>0.21542674998256198</v>
      </c>
      <c r="R121" s="243">
        <v>0.11229173017373491</v>
      </c>
      <c r="S121" s="243">
        <v>0.16097800292256392</v>
      </c>
      <c r="T121" s="357">
        <v>0.11768118975295727</v>
      </c>
      <c r="U121" s="357">
        <v>0.20445588027982894</v>
      </c>
      <c r="V121" s="243">
        <v>0.23183575803613646</v>
      </c>
      <c r="W121" s="243">
        <v>0.18188982766944731</v>
      </c>
      <c r="X121" s="358">
        <v>0.13731796707634775</v>
      </c>
      <c r="Y121" s="358">
        <v>0.16671348927448665</v>
      </c>
      <c r="Z121" s="630">
        <v>0.12853232257582645</v>
      </c>
      <c r="AA121" s="630">
        <v>0.20081250707501569</v>
      </c>
      <c r="AB121" s="243">
        <v>0.11024739672440831</v>
      </c>
      <c r="AC121" s="243">
        <v>0.27589504502800816</v>
      </c>
      <c r="AD121" s="357">
        <v>0.12568168068641797</v>
      </c>
      <c r="AE121" s="357">
        <v>0.20930224900129665</v>
      </c>
      <c r="AF121" s="243">
        <v>0.10480754528800965</v>
      </c>
      <c r="AG121" s="243">
        <v>0.20556046252977472</v>
      </c>
      <c r="AH121" s="357">
        <v>0.12294181743216934</v>
      </c>
      <c r="AI121" s="357">
        <v>0.20881390525408697</v>
      </c>
      <c r="AJ121" s="243">
        <v>0.10438051667180659</v>
      </c>
      <c r="AK121" s="243">
        <v>0.20156497807615117</v>
      </c>
      <c r="AL121" s="358">
        <f t="shared" si="663"/>
        <v>0.10649586244999155</v>
      </c>
      <c r="AM121" s="358">
        <f t="shared" si="664"/>
        <v>0.22370415153978992</v>
      </c>
      <c r="AN121" s="357">
        <f t="shared" si="665"/>
        <v>0.12067989319513077</v>
      </c>
      <c r="AO121" s="357">
        <f t="shared" si="666"/>
        <v>0.20799100302515924</v>
      </c>
      <c r="AP121" s="243">
        <v>0.10231274736783876</v>
      </c>
      <c r="AQ121" s="243">
        <v>0.18999723656139991</v>
      </c>
      <c r="AR121" s="357">
        <f t="shared" si="667"/>
        <v>0.11865735148228522</v>
      </c>
      <c r="AS121" s="357">
        <f t="shared" si="668"/>
        <v>0.20620111787881387</v>
      </c>
      <c r="AT121" s="243">
        <v>0.10369869057641519</v>
      </c>
      <c r="AU121" s="243">
        <v>0.20378729000447246</v>
      </c>
      <c r="AV121" s="357">
        <f t="shared" si="669"/>
        <v>0.11731730315928197</v>
      </c>
      <c r="AW121" s="357">
        <f t="shared" si="670"/>
        <v>0.20602086256586558</v>
      </c>
      <c r="AX121" s="243">
        <v>0.10705837980802702</v>
      </c>
      <c r="AY121" s="243">
        <v>0.11730372361543255</v>
      </c>
      <c r="AZ121" s="358">
        <f t="shared" si="671"/>
        <v>0.10438080351305069</v>
      </c>
      <c r="BA121" s="358">
        <f t="shared" si="672"/>
        <v>0.16709469364892413</v>
      </c>
      <c r="BB121" s="630">
        <f t="shared" si="673"/>
        <v>0.10544386037976218</v>
      </c>
      <c r="BC121" s="630">
        <f t="shared" si="674"/>
        <v>0.19515430872199366</v>
      </c>
      <c r="BD121" s="357">
        <f t="shared" si="675"/>
        <v>0.11638253197996519</v>
      </c>
      <c r="BE121" s="357">
        <f t="shared" si="676"/>
        <v>0.19814901725346981</v>
      </c>
      <c r="BF121" s="112"/>
      <c r="BG121" s="112"/>
      <c r="BH121" s="112"/>
      <c r="BI121" s="112"/>
      <c r="BJ121" s="112"/>
    </row>
    <row r="122" spans="1:62" x14ac:dyDescent="0.25">
      <c r="A122" s="90"/>
      <c r="B122" s="962" t="s">
        <v>9</v>
      </c>
      <c r="C122" s="148" t="s">
        <v>322</v>
      </c>
      <c r="D122" s="243">
        <v>0.10632142438104845</v>
      </c>
      <c r="E122" s="243">
        <v>0.15726593645979989</v>
      </c>
      <c r="F122" s="243">
        <v>0.13525686514179952</v>
      </c>
      <c r="G122" s="243">
        <v>0.14682286647839049</v>
      </c>
      <c r="H122" s="357">
        <v>0.12866839982224759</v>
      </c>
      <c r="I122" s="357">
        <v>0.14091786399184808</v>
      </c>
      <c r="J122" s="243">
        <v>0.13453136659696491</v>
      </c>
      <c r="K122" s="243">
        <v>0.14988834146014768</v>
      </c>
      <c r="L122" s="358">
        <v>0.13060218539578169</v>
      </c>
      <c r="M122" s="358">
        <v>0.14409623318923276</v>
      </c>
      <c r="N122" s="243">
        <v>0.13880626957271155</v>
      </c>
      <c r="O122" s="243">
        <v>0.15582470878570653</v>
      </c>
      <c r="P122" s="357">
        <v>0.13265522635437721</v>
      </c>
      <c r="Q122" s="357">
        <v>0.14725859931966356</v>
      </c>
      <c r="R122" s="243">
        <v>0.13607225693899502</v>
      </c>
      <c r="S122" s="243">
        <v>0.1626490762484378</v>
      </c>
      <c r="T122" s="357">
        <v>0.13333917079829324</v>
      </c>
      <c r="U122" s="357">
        <v>0.150362069227124</v>
      </c>
      <c r="V122" s="243">
        <v>0.20973948699766887</v>
      </c>
      <c r="W122" s="243">
        <v>0.16277446631429987</v>
      </c>
      <c r="X122" s="358">
        <v>0.15246729666863662</v>
      </c>
      <c r="Y122" s="358">
        <v>0.160278146238369</v>
      </c>
      <c r="Z122" s="630">
        <v>0.14060151685466901</v>
      </c>
      <c r="AA122" s="630">
        <v>0.15236579208975401</v>
      </c>
      <c r="AB122" s="243">
        <v>0.1335658443965467</v>
      </c>
      <c r="AC122" s="243">
        <v>0.19052194205499948</v>
      </c>
      <c r="AD122" s="357">
        <v>0.13950464707284677</v>
      </c>
      <c r="AE122" s="357">
        <v>0.15668127188690989</v>
      </c>
      <c r="AF122" s="243">
        <v>9.6191095679846433E-2</v>
      </c>
      <c r="AG122" s="243">
        <v>0.15876851848341855</v>
      </c>
      <c r="AH122" s="357">
        <v>0.13381946751414084</v>
      </c>
      <c r="AI122" s="357">
        <v>0.15694535189583964</v>
      </c>
      <c r="AJ122" s="243">
        <v>9.6262926409999075E-2</v>
      </c>
      <c r="AK122" s="243">
        <v>0.1575597651837484</v>
      </c>
      <c r="AL122" s="358">
        <f t="shared" si="663"/>
        <v>0.10880309195526509</v>
      </c>
      <c r="AM122" s="358">
        <f t="shared" si="664"/>
        <v>0.16717658075735178</v>
      </c>
      <c r="AN122" s="357">
        <f t="shared" si="665"/>
        <v>0.12924273813081003</v>
      </c>
      <c r="AO122" s="357">
        <f t="shared" si="666"/>
        <v>0.15701510043264957</v>
      </c>
      <c r="AP122" s="243">
        <v>9.1221546759582661E-2</v>
      </c>
      <c r="AQ122" s="243">
        <v>0.1564473465349914</v>
      </c>
      <c r="AR122" s="357">
        <f t="shared" si="667"/>
        <v>0.125055944698478</v>
      </c>
      <c r="AS122" s="357">
        <f t="shared" si="668"/>
        <v>0.15695862452638254</v>
      </c>
      <c r="AT122" s="243">
        <v>9.4296227339339692E-2</v>
      </c>
      <c r="AU122" s="243">
        <v>0.15580487675503535</v>
      </c>
      <c r="AV122" s="357">
        <f t="shared" si="669"/>
        <v>0.12230038336029754</v>
      </c>
      <c r="AW122" s="357">
        <f t="shared" si="670"/>
        <v>0.15687246711317249</v>
      </c>
      <c r="AX122" s="243">
        <v>0.12664727664204237</v>
      </c>
      <c r="AY122" s="243">
        <v>0.13742772385545907</v>
      </c>
      <c r="AZ122" s="358">
        <f t="shared" si="671"/>
        <v>0.10441393732358638</v>
      </c>
      <c r="BA122" s="358">
        <f t="shared" si="672"/>
        <v>0.14925318578069449</v>
      </c>
      <c r="BB122" s="630">
        <f t="shared" si="673"/>
        <v>0.10661998505529319</v>
      </c>
      <c r="BC122" s="630">
        <f t="shared" si="674"/>
        <v>0.15813727657727389</v>
      </c>
      <c r="BD122" s="357">
        <f t="shared" si="675"/>
        <v>0.12269646298972994</v>
      </c>
      <c r="BE122" s="357">
        <f t="shared" si="676"/>
        <v>0.15514714083603129</v>
      </c>
      <c r="BF122" s="112"/>
      <c r="BG122" s="112"/>
      <c r="BH122" s="112"/>
      <c r="BI122" s="112"/>
      <c r="BJ122" s="112"/>
    </row>
    <row r="123" spans="1:62" x14ac:dyDescent="0.25">
      <c r="A123" s="90"/>
      <c r="B123" s="962" t="s">
        <v>99</v>
      </c>
      <c r="C123" s="148" t="s">
        <v>322</v>
      </c>
      <c r="D123" s="243">
        <v>5.8668221402041733E-2</v>
      </c>
      <c r="E123" s="243">
        <v>5.1902827373698973E-2</v>
      </c>
      <c r="F123" s="243">
        <v>4.7683064521806241E-2</v>
      </c>
      <c r="G123" s="243">
        <v>5.3372309023779332E-2</v>
      </c>
      <c r="H123" s="357">
        <v>4.7649599971775751E-2</v>
      </c>
      <c r="I123" s="357">
        <v>5.6007053591567144E-2</v>
      </c>
      <c r="J123" s="243">
        <v>4.7615069247311792E-2</v>
      </c>
      <c r="K123" s="243">
        <v>4.9738553964969005E-2</v>
      </c>
      <c r="L123" s="358">
        <v>4.7638210683830264E-2</v>
      </c>
      <c r="M123" s="358">
        <v>5.3786034008450799E-2</v>
      </c>
      <c r="N123" s="243">
        <v>4.8621338125147573E-2</v>
      </c>
      <c r="O123" s="243">
        <v>4.8381044854965333E-2</v>
      </c>
      <c r="P123" s="357">
        <v>4.7884234598384846E-2</v>
      </c>
      <c r="Q123" s="357">
        <v>5.2328678830982814E-2</v>
      </c>
      <c r="R123" s="243">
        <v>4.8621338125147573E-2</v>
      </c>
      <c r="S123" s="243">
        <v>5.2126808320060926E-2</v>
      </c>
      <c r="T123" s="357">
        <v>4.8031771428751459E-2</v>
      </c>
      <c r="U123" s="357">
        <v>5.228797190170769E-2</v>
      </c>
      <c r="V123" s="243">
        <v>5.9727504701912203E-2</v>
      </c>
      <c r="W123" s="243">
        <v>5.2973436280841266E-2</v>
      </c>
      <c r="X123" s="358">
        <v>5.0929821194295052E-2</v>
      </c>
      <c r="Y123" s="358">
        <v>5.1071147390420034E-2</v>
      </c>
      <c r="Z123" s="630">
        <v>4.9143526806714875E-2</v>
      </c>
      <c r="AA123" s="630">
        <v>5.2398625842146627E-2</v>
      </c>
      <c r="AB123" s="243">
        <v>4.7683064521806241E-2</v>
      </c>
      <c r="AC123" s="243">
        <v>6.9768306381243636E-2</v>
      </c>
      <c r="AD123" s="357">
        <v>4.8915838983362894E-2</v>
      </c>
      <c r="AE123" s="357">
        <v>5.4363145467889729E-2</v>
      </c>
      <c r="AF123" s="243">
        <v>4.7615069247311792E-2</v>
      </c>
      <c r="AG123" s="243">
        <v>4.7554207998069857E-2</v>
      </c>
      <c r="AH123" s="357">
        <v>4.8745104668670429E-2</v>
      </c>
      <c r="AI123" s="357">
        <v>5.3501673579115512E-2</v>
      </c>
      <c r="AJ123" s="243">
        <v>4.7683064521806241E-2</v>
      </c>
      <c r="AK123" s="243">
        <v>4.6513421052203179E-2</v>
      </c>
      <c r="AL123" s="358">
        <f t="shared" si="663"/>
        <v>4.7660870821786022E-2</v>
      </c>
      <c r="AM123" s="358">
        <f t="shared" si="664"/>
        <v>5.3365202499110302E-2</v>
      </c>
      <c r="AN123" s="357">
        <f t="shared" si="665"/>
        <v>4.8615681931551157E-2</v>
      </c>
      <c r="AO123" s="357">
        <f t="shared" si="666"/>
        <v>5.270836328097793E-2</v>
      </c>
      <c r="AP123" s="243">
        <v>4.6958122453819834E-2</v>
      </c>
      <c r="AQ123" s="243">
        <v>4.8523875111764522E-2</v>
      </c>
      <c r="AR123" s="357">
        <f t="shared" si="667"/>
        <v>4.8433155848470105E-2</v>
      </c>
      <c r="AS123" s="357">
        <f t="shared" si="668"/>
        <v>5.2292121732316184E-2</v>
      </c>
      <c r="AT123" s="243">
        <v>4.7465196209272614E-2</v>
      </c>
      <c r="AU123" s="243">
        <v>5.2429260331948342E-2</v>
      </c>
      <c r="AV123" s="357">
        <f t="shared" si="669"/>
        <v>4.8346442692833801E-2</v>
      </c>
      <c r="AW123" s="357">
        <f t="shared" si="670"/>
        <v>5.2302362711574381E-2</v>
      </c>
      <c r="AX123" s="243">
        <v>4.6958122453819834E-2</v>
      </c>
      <c r="AY123" s="243">
        <v>4.8935881041970393E-2</v>
      </c>
      <c r="AZ123" s="358">
        <f t="shared" si="671"/>
        <v>4.7114713863128842E-2</v>
      </c>
      <c r="BA123" s="358">
        <f t="shared" si="672"/>
        <v>4.9780099005740854E-2</v>
      </c>
      <c r="BB123" s="630">
        <f t="shared" si="673"/>
        <v>4.7389219644061134E-2</v>
      </c>
      <c r="BC123" s="630">
        <f t="shared" si="674"/>
        <v>5.1557127576037323E-2</v>
      </c>
      <c r="BD123" s="357">
        <f t="shared" si="675"/>
        <v>4.8219941918565531E-2</v>
      </c>
      <c r="BE123" s="357">
        <f t="shared" si="676"/>
        <v>5.2003655795823361E-2</v>
      </c>
      <c r="BF123" s="112"/>
      <c r="BG123" s="112"/>
      <c r="BH123" s="112"/>
      <c r="BI123" s="112"/>
      <c r="BJ123" s="112"/>
    </row>
    <row r="124" spans="1:62" x14ac:dyDescent="0.25">
      <c r="A124" s="90"/>
      <c r="B124" s="962" t="s">
        <v>1335</v>
      </c>
      <c r="C124" s="148" t="s">
        <v>322</v>
      </c>
      <c r="D124" s="243">
        <v>0.16844431266299414</v>
      </c>
      <c r="E124" s="243">
        <v>0.12498128392331329</v>
      </c>
      <c r="F124" s="243">
        <v>0.13976504945815149</v>
      </c>
      <c r="G124" s="243">
        <v>0.1208808761480521</v>
      </c>
      <c r="H124" s="357">
        <v>0.13960933487127314</v>
      </c>
      <c r="I124" s="357">
        <v>0.12556223985088177</v>
      </c>
      <c r="J124" s="243">
        <v>0.13933464809062721</v>
      </c>
      <c r="K124" s="243">
        <v>0.11619484146375993</v>
      </c>
      <c r="L124" s="358">
        <v>0.13951873477851051</v>
      </c>
      <c r="M124" s="358">
        <v>0.12224340820406754</v>
      </c>
      <c r="N124" s="243">
        <v>0.14401452908333354</v>
      </c>
      <c r="O124" s="243">
        <v>0.11647569941935632</v>
      </c>
      <c r="P124" s="357">
        <v>0.14064379025699736</v>
      </c>
      <c r="Q124" s="357">
        <v>0.12068591445671061</v>
      </c>
      <c r="R124" s="243">
        <v>0.14401452908333354</v>
      </c>
      <c r="S124" s="243">
        <v>0.12052688254760668</v>
      </c>
      <c r="T124" s="357">
        <v>0.14131846905634515</v>
      </c>
      <c r="U124" s="357">
        <v>0.1206538902214167</v>
      </c>
      <c r="V124" s="243">
        <v>0.23027862859554835</v>
      </c>
      <c r="W124" s="243">
        <v>0.12066488205867364</v>
      </c>
      <c r="X124" s="358">
        <v>0.16194503749258282</v>
      </c>
      <c r="Y124" s="358">
        <v>0.11913949439754598</v>
      </c>
      <c r="Z124" s="630">
        <v>0.14977470976244542</v>
      </c>
      <c r="AA124" s="630">
        <v>0.12065676442368946</v>
      </c>
      <c r="AB124" s="243">
        <v>0.13965087549237765</v>
      </c>
      <c r="AC124" s="243">
        <v>0.14901363785485516</v>
      </c>
      <c r="AD124" s="357">
        <v>0.1481963918471203</v>
      </c>
      <c r="AE124" s="357">
        <v>0.12386487403977894</v>
      </c>
      <c r="AF124" s="243">
        <v>0.13933464809062721</v>
      </c>
      <c r="AG124" s="243">
        <v>0.11141258630650952</v>
      </c>
      <c r="AH124" s="357">
        <v>0.14703323152341968</v>
      </c>
      <c r="AI124" s="357">
        <v>0.12229106799337941</v>
      </c>
      <c r="AJ124" s="243">
        <v>0.13965087549237765</v>
      </c>
      <c r="AK124" s="243">
        <v>0.11393778494384424</v>
      </c>
      <c r="AL124" s="358">
        <f t="shared" si="663"/>
        <v>0.13954765867113814</v>
      </c>
      <c r="AM124" s="358">
        <f t="shared" si="664"/>
        <v>0.12281101418218369</v>
      </c>
      <c r="AN124" s="357">
        <f t="shared" si="665"/>
        <v>0.14613360006716308</v>
      </c>
      <c r="AO124" s="357">
        <f t="shared" si="666"/>
        <v>0.12134279867412767</v>
      </c>
      <c r="AP124" s="243">
        <v>0.13627936845334493</v>
      </c>
      <c r="AQ124" s="243">
        <v>0.12820535252498633</v>
      </c>
      <c r="AR124" s="357">
        <f t="shared" si="667"/>
        <v>0.14504847804143312</v>
      </c>
      <c r="AS124" s="357">
        <f t="shared" si="668"/>
        <v>0.12202543414282657</v>
      </c>
      <c r="AT124" s="243">
        <v>0.13863762963215395</v>
      </c>
      <c r="AU124" s="243">
        <v>0.12356395268001165</v>
      </c>
      <c r="AV124" s="357">
        <f t="shared" si="669"/>
        <v>0.14447417217849914</v>
      </c>
      <c r="AW124" s="357">
        <f t="shared" si="670"/>
        <v>0.12214032474598224</v>
      </c>
      <c r="AX124" s="243">
        <v>0.13627936845334493</v>
      </c>
      <c r="AY124" s="243">
        <v>0.11085304327422793</v>
      </c>
      <c r="AZ124" s="358">
        <f t="shared" si="671"/>
        <v>0.13700763221682583</v>
      </c>
      <c r="BA124" s="358">
        <f t="shared" si="672"/>
        <v>0.1204951566105999</v>
      </c>
      <c r="BB124" s="630">
        <f t="shared" si="673"/>
        <v>0.13828428343288648</v>
      </c>
      <c r="BC124" s="630">
        <f t="shared" si="674"/>
        <v>0.12164305794093891</v>
      </c>
      <c r="BD124" s="357">
        <f t="shared" si="675"/>
        <v>0.14372747916987119</v>
      </c>
      <c r="BE124" s="357">
        <f t="shared" si="676"/>
        <v>0.12113880762319988</v>
      </c>
      <c r="BF124" s="112"/>
      <c r="BG124" s="112"/>
      <c r="BH124" s="112"/>
      <c r="BI124" s="112"/>
      <c r="BJ124" s="112"/>
    </row>
    <row r="125" spans="1:62" s="4487" customFormat="1" x14ac:dyDescent="0.25">
      <c r="A125" s="90"/>
      <c r="B125" s="962" t="s">
        <v>2347</v>
      </c>
      <c r="C125" s="4490" t="s">
        <v>322</v>
      </c>
      <c r="D125" s="2965">
        <v>8.0936775129504618E-2</v>
      </c>
      <c r="E125" s="2965">
        <v>0.13893437273415626</v>
      </c>
      <c r="F125" s="2965">
        <v>0.14721070917018117</v>
      </c>
      <c r="G125" s="2965">
        <v>0.14388549291912595</v>
      </c>
      <c r="H125" s="357">
        <v>0.14720994063581622</v>
      </c>
      <c r="I125" s="357">
        <v>0.15028737676582671</v>
      </c>
      <c r="J125" s="2965">
        <v>0.14720914761608717</v>
      </c>
      <c r="K125" s="2965">
        <v>0.12945776817874627</v>
      </c>
      <c r="L125" s="358">
        <v>0.14720967907368043</v>
      </c>
      <c r="M125" s="358">
        <v>0.14297642082290851</v>
      </c>
      <c r="N125" s="2965">
        <v>0.14720974472155615</v>
      </c>
      <c r="O125" s="2965">
        <v>0.10560516015569504</v>
      </c>
      <c r="P125" s="357">
        <v>0.14720969550181243</v>
      </c>
      <c r="Q125" s="357">
        <v>0.13296737373172313</v>
      </c>
      <c r="R125" s="2965">
        <v>0.14720974472155615</v>
      </c>
      <c r="S125" s="2965">
        <v>0.14314597451264105</v>
      </c>
      <c r="T125" s="357">
        <v>0.14720970535351535</v>
      </c>
      <c r="U125" s="357">
        <v>0.13500644249739621</v>
      </c>
      <c r="V125" s="2965">
        <v>0.14502267835766997</v>
      </c>
      <c r="W125" s="2965">
        <v>0.14709029193716019</v>
      </c>
      <c r="X125" s="358">
        <v>0.146755149912696</v>
      </c>
      <c r="Y125" s="358">
        <v>0.13113156282924104</v>
      </c>
      <c r="Z125" s="630">
        <v>0.1470018142390726</v>
      </c>
      <c r="AA125" s="630">
        <v>0.13694719123190952</v>
      </c>
      <c r="AB125" s="2965">
        <v>0.14721070917018117</v>
      </c>
      <c r="AC125" s="2965">
        <v>0.14350125820940507</v>
      </c>
      <c r="AD125" s="357">
        <v>0.14703438120958928</v>
      </c>
      <c r="AE125" s="357">
        <v>0.13772120917858738</v>
      </c>
      <c r="AF125" s="2965">
        <v>0.14720914761608717</v>
      </c>
      <c r="AG125" s="2965">
        <v>0.14295925152604619</v>
      </c>
      <c r="AH125" s="357">
        <v>0.14705732041382943</v>
      </c>
      <c r="AI125" s="357">
        <v>0.13837596319002265</v>
      </c>
      <c r="AJ125" s="2965">
        <v>0.14721070917018117</v>
      </c>
      <c r="AK125" s="2965">
        <v>0.14499014368557214</v>
      </c>
      <c r="AL125" s="358">
        <f t="shared" si="663"/>
        <v>0.14721019947795055</v>
      </c>
      <c r="AM125" s="358">
        <f t="shared" si="664"/>
        <v>0.14385044527325783</v>
      </c>
      <c r="AN125" s="357">
        <f t="shared" si="665"/>
        <v>0.1470760127323345</v>
      </c>
      <c r="AO125" s="357">
        <f t="shared" si="666"/>
        <v>0.13912680862393523</v>
      </c>
      <c r="AP125" s="2965">
        <v>0.14721145433596039</v>
      </c>
      <c r="AQ125" s="2965">
        <v>0.12269978394318222</v>
      </c>
      <c r="AR125" s="357">
        <f t="shared" si="667"/>
        <v>0.14709092720492398</v>
      </c>
      <c r="AS125" s="357">
        <f t="shared" si="668"/>
        <v>0.13749277121803985</v>
      </c>
      <c r="AT125" s="2965">
        <v>0.14720570568783747</v>
      </c>
      <c r="AU125" s="2965">
        <v>0.13616078483633287</v>
      </c>
      <c r="AV125" s="357">
        <f t="shared" si="669"/>
        <v>0.14710120945642449</v>
      </c>
      <c r="AW125" s="357">
        <f t="shared" si="670"/>
        <v>0.13739330363601809</v>
      </c>
      <c r="AX125" s="2965">
        <v>0.14721145433596039</v>
      </c>
      <c r="AY125" s="2965">
        <v>0.12921254767450291</v>
      </c>
      <c r="AZ125" s="358">
        <f t="shared" si="671"/>
        <v>0.14720967907368049</v>
      </c>
      <c r="BA125" s="358">
        <f t="shared" si="672"/>
        <v>0.12890736615477372</v>
      </c>
      <c r="BB125" s="630">
        <f t="shared" si="673"/>
        <v>0.14720994063581624</v>
      </c>
      <c r="BC125" s="630">
        <f t="shared" si="674"/>
        <v>0.1363142035224699</v>
      </c>
      <c r="BD125" s="357">
        <f t="shared" si="675"/>
        <v>0.14711125473432832</v>
      </c>
      <c r="BE125" s="357">
        <f t="shared" si="676"/>
        <v>0.13666742759640091</v>
      </c>
      <c r="BF125" s="112"/>
      <c r="BG125" s="112"/>
      <c r="BH125" s="112"/>
      <c r="BI125" s="112"/>
      <c r="BJ125" s="112"/>
    </row>
    <row r="126" spans="1:62" x14ac:dyDescent="0.25">
      <c r="A126" s="90"/>
      <c r="B126" s="4496" t="s">
        <v>1797</v>
      </c>
      <c r="C126" s="148" t="s">
        <v>322</v>
      </c>
      <c r="D126" s="243">
        <v>0.14782091527046951</v>
      </c>
      <c r="E126" s="2965">
        <v>0.14948631033116935</v>
      </c>
      <c r="F126" s="243">
        <v>7.3895836178396193E-2</v>
      </c>
      <c r="G126" s="243">
        <v>0.10625630489457343</v>
      </c>
      <c r="H126" s="357">
        <v>7.3810121042220622E-2</v>
      </c>
      <c r="I126" s="357">
        <v>0.11681168467587283</v>
      </c>
      <c r="J126" s="243">
        <v>7.3607663881953389E-2</v>
      </c>
      <c r="K126" s="243">
        <v>9.7392110697635731E-2</v>
      </c>
      <c r="L126" s="358">
        <v>7.3743344485090581E-2</v>
      </c>
      <c r="M126" s="358">
        <v>0.10993138739840846</v>
      </c>
      <c r="N126" s="243">
        <v>7.4832991008620411E-2</v>
      </c>
      <c r="O126" s="243">
        <v>9.1090467025014249E-2</v>
      </c>
      <c r="P126" s="357">
        <v>7.4016024396090105E-2</v>
      </c>
      <c r="Q126" s="357">
        <v>0.10484910629485827</v>
      </c>
      <c r="R126" s="243">
        <v>7.4571129190438609E-2</v>
      </c>
      <c r="S126" s="243">
        <v>0.10254907900679014</v>
      </c>
      <c r="T126" s="357">
        <v>7.4127132807467772E-2</v>
      </c>
      <c r="U126" s="357">
        <v>0.10438536567300624</v>
      </c>
      <c r="V126" s="243">
        <v>0.13824307032244373</v>
      </c>
      <c r="W126" s="243">
        <v>0.10205657713886715</v>
      </c>
      <c r="X126" s="358">
        <v>8.7909438656501887E-2</v>
      </c>
      <c r="Y126" s="358">
        <v>9.8346033874698688E-2</v>
      </c>
      <c r="Z126" s="630">
        <v>8.0221768917972863E-2</v>
      </c>
      <c r="AA126" s="630">
        <v>0.10400973223350518</v>
      </c>
      <c r="AB126" s="243">
        <v>7.3650740221113273E-2</v>
      </c>
      <c r="AC126" s="243">
        <v>0.18995333224713756</v>
      </c>
      <c r="AD126" s="357">
        <v>7.9197337656288516E-2</v>
      </c>
      <c r="AE126" s="357">
        <v>0.11372938623082321</v>
      </c>
      <c r="AF126" s="243">
        <v>7.151653586317358E-2</v>
      </c>
      <c r="AG126" s="243">
        <v>0.10358803820425416</v>
      </c>
      <c r="AH126" s="357">
        <v>7.8189183488728248E-2</v>
      </c>
      <c r="AI126" s="357">
        <v>0.1124461922308623</v>
      </c>
      <c r="AJ126" s="243">
        <v>7.3650740221113273E-2</v>
      </c>
      <c r="AK126" s="243">
        <v>0.10311114288669129</v>
      </c>
      <c r="AL126" s="358">
        <f t="shared" si="663"/>
        <v>7.2954134587058087E-2</v>
      </c>
      <c r="AM126" s="358">
        <f t="shared" si="664"/>
        <v>0.12748128042230594</v>
      </c>
      <c r="AN126" s="357">
        <f t="shared" si="665"/>
        <v>7.763611800274868E-2</v>
      </c>
      <c r="AO126" s="357">
        <f t="shared" si="666"/>
        <v>0.11138647225797439</v>
      </c>
      <c r="AP126" s="243">
        <v>7.2618279361803303E-2</v>
      </c>
      <c r="AQ126" s="2965">
        <v>0.13586382763757732</v>
      </c>
      <c r="AR126" s="357">
        <f t="shared" si="667"/>
        <v>7.7083566830396147E-2</v>
      </c>
      <c r="AS126" s="357">
        <f t="shared" si="668"/>
        <v>0.11382129627906011</v>
      </c>
      <c r="AT126" s="243">
        <v>7.3381748119500628E-2</v>
      </c>
      <c r="AU126" s="2965">
        <v>0.12439381482081713</v>
      </c>
      <c r="AV126" s="357">
        <f t="shared" si="669"/>
        <v>7.6751945170756078E-2</v>
      </c>
      <c r="AW126" s="357">
        <f t="shared" si="670"/>
        <v>0.11461081099908385</v>
      </c>
      <c r="AX126" s="243">
        <v>7.2618279361803303E-2</v>
      </c>
      <c r="AY126" s="2965">
        <v>0.12594398501604182</v>
      </c>
      <c r="AZ126" s="358">
        <f t="shared" si="671"/>
        <v>7.2854049104263088E-2</v>
      </c>
      <c r="BA126" s="358">
        <f t="shared" si="672"/>
        <v>0.12896305120016999</v>
      </c>
      <c r="BB126" s="630">
        <f t="shared" si="673"/>
        <v>7.290435340448144E-2</v>
      </c>
      <c r="BC126" s="630">
        <f t="shared" si="674"/>
        <v>0.12822858174572752</v>
      </c>
      <c r="BD126" s="357">
        <f t="shared" si="675"/>
        <v>7.6375294373120128E-2</v>
      </c>
      <c r="BE126" s="357">
        <f t="shared" si="676"/>
        <v>0.11561640015373185</v>
      </c>
      <c r="BF126" s="112"/>
      <c r="BG126" s="112"/>
      <c r="BH126" s="112"/>
      <c r="BI126" s="112"/>
      <c r="BJ126" s="112"/>
    </row>
    <row r="127" spans="1:62" s="4487" customFormat="1" x14ac:dyDescent="0.25">
      <c r="A127" s="90"/>
      <c r="B127" s="5817" t="s">
        <v>2018</v>
      </c>
      <c r="C127" s="7633" t="s">
        <v>322</v>
      </c>
      <c r="D127" s="5818">
        <v>-8.9214195430238202E-3</v>
      </c>
      <c r="E127" s="5818">
        <v>-7.7957493169261774E-3</v>
      </c>
      <c r="F127" s="5818"/>
      <c r="G127" s="5818">
        <v>-8.2523553054220725E-3</v>
      </c>
      <c r="H127" s="5819"/>
      <c r="I127" s="357">
        <v>-8.5311057058925603E-3</v>
      </c>
      <c r="J127" s="5818"/>
      <c r="K127" s="5818">
        <v>-5.92639163239932E-3</v>
      </c>
      <c r="L127" s="358">
        <v>0</v>
      </c>
      <c r="M127" s="358">
        <v>-7.6082180437317135E-3</v>
      </c>
      <c r="N127" s="5818"/>
      <c r="O127" s="5818">
        <v>-5.4515580575726719E-3</v>
      </c>
      <c r="P127" s="357">
        <v>0</v>
      </c>
      <c r="Q127" s="357">
        <v>-7.0267146387082095E-3</v>
      </c>
      <c r="R127" s="5818"/>
      <c r="S127" s="5818">
        <v>-5.8270918672904438E-3</v>
      </c>
      <c r="T127" s="357">
        <v>0</v>
      </c>
      <c r="U127" s="357">
        <v>-6.7848122474679006E-3</v>
      </c>
      <c r="V127" s="5818"/>
      <c r="W127" s="5818">
        <v>-6.1069989905090253E-3</v>
      </c>
      <c r="X127" s="358">
        <v>0</v>
      </c>
      <c r="Y127" s="358">
        <v>-5.7828623798294324E-3</v>
      </c>
      <c r="Z127" s="630">
        <v>0</v>
      </c>
      <c r="AA127" s="630">
        <v>-6.6753934212715098E-3</v>
      </c>
      <c r="AB127" s="5818"/>
      <c r="AC127" s="5818">
        <v>-7.2946877453072094E-3</v>
      </c>
      <c r="AD127" s="357">
        <v>0</v>
      </c>
      <c r="AE127" s="357">
        <v>-6.7454359215317191E-3</v>
      </c>
      <c r="AF127" s="5818"/>
      <c r="AG127" s="5818">
        <v>-4.932032514798919E-3</v>
      </c>
      <c r="AH127" s="357">
        <v>0</v>
      </c>
      <c r="AI127" s="357">
        <v>-6.5160027588933352E-3</v>
      </c>
      <c r="AJ127" s="5818"/>
      <c r="AK127" s="5818">
        <v>-4.3608522726351377E-3</v>
      </c>
      <c r="AL127" s="358">
        <f t="shared" si="663"/>
        <v>0</v>
      </c>
      <c r="AM127" s="358">
        <f t="shared" si="664"/>
        <v>-5.3822578758923054E-3</v>
      </c>
      <c r="AN127" s="357">
        <f t="shared" si="665"/>
        <v>0</v>
      </c>
      <c r="AO127" s="357">
        <f t="shared" si="666"/>
        <v>-6.2713488818045152E-3</v>
      </c>
      <c r="AP127" s="5818"/>
      <c r="AQ127" s="5818">
        <v>-5.1610106859504151E-3</v>
      </c>
      <c r="AR127" s="357">
        <f>((AN127*$AN$130)+(AP127*$AP$130))/$AR$130</f>
        <v>0</v>
      </c>
      <c r="AS127" s="357">
        <f>((AO127*$AO$130)+(AQ127*$AQ$130))/$AS$130</f>
        <v>-6.1609007525492056E-3</v>
      </c>
      <c r="AT127" s="5818"/>
      <c r="AU127" s="5818">
        <v>-6.2547496101749821E-3</v>
      </c>
      <c r="AV127" s="357">
        <f t="shared" si="669"/>
        <v>0</v>
      </c>
      <c r="AW127" s="357">
        <f t="shared" si="670"/>
        <v>-6.1679090216064146E-3</v>
      </c>
      <c r="AX127" s="5818"/>
      <c r="AY127" s="5818">
        <v>-6.1974587634788915E-3</v>
      </c>
      <c r="AZ127" s="358">
        <f t="shared" si="671"/>
        <v>0</v>
      </c>
      <c r="BA127" s="358">
        <f t="shared" si="672"/>
        <v>-5.8524211410871064E-3</v>
      </c>
      <c r="BB127" s="630">
        <f t="shared" si="673"/>
        <v>0</v>
      </c>
      <c r="BC127" s="630">
        <f t="shared" si="674"/>
        <v>-5.6193752732341248E-3</v>
      </c>
      <c r="BD127" s="357">
        <f t="shared" si="675"/>
        <v>0</v>
      </c>
      <c r="BE127" s="357">
        <f t="shared" si="676"/>
        <v>-6.1705309614006115E-3</v>
      </c>
      <c r="BF127" s="112"/>
      <c r="BG127" s="112"/>
      <c r="BH127" s="112"/>
      <c r="BI127" s="112"/>
      <c r="BJ127" s="112"/>
    </row>
    <row r="128" spans="1:62" ht="15.75" x14ac:dyDescent="0.25">
      <c r="A128" s="90"/>
      <c r="B128" s="963" t="s">
        <v>136</v>
      </c>
      <c r="C128" s="753" t="s">
        <v>322</v>
      </c>
      <c r="D128" s="964">
        <f t="shared" ref="D128:E128" si="677">SUM(D114:D127)</f>
        <v>6.0987916828744853</v>
      </c>
      <c r="E128" s="964">
        <f t="shared" si="677"/>
        <v>6.1129633927110598</v>
      </c>
      <c r="F128" s="964">
        <f t="shared" ref="F128:AI128" si="678">SUM(F114:F127)</f>
        <v>5.8950819349699</v>
      </c>
      <c r="G128" s="964">
        <f t="shared" si="678"/>
        <v>5.9791618358977949</v>
      </c>
      <c r="H128" s="964">
        <f t="shared" si="678"/>
        <v>5.9260302723648577</v>
      </c>
      <c r="I128" s="964">
        <f t="shared" si="678"/>
        <v>6.0300558618251694</v>
      </c>
      <c r="J128" s="964">
        <f t="shared" si="678"/>
        <v>5.8881874827843568</v>
      </c>
      <c r="K128" s="964">
        <f t="shared" si="678"/>
        <v>5.9510024504802947</v>
      </c>
      <c r="L128" s="964">
        <f t="shared" si="678"/>
        <v>5.9135485641504033</v>
      </c>
      <c r="M128" s="964">
        <f t="shared" si="678"/>
        <v>6.0018291327647386</v>
      </c>
      <c r="N128" s="964">
        <f t="shared" si="678"/>
        <v>5.9044904422712001</v>
      </c>
      <c r="O128" s="964">
        <f t="shared" si="678"/>
        <v>5.9231909835586922</v>
      </c>
      <c r="P128" s="964">
        <f t="shared" si="678"/>
        <v>5.9112818034949903</v>
      </c>
      <c r="Q128" s="964">
        <f t="shared" si="678"/>
        <v>5.9807714639072804</v>
      </c>
      <c r="R128" s="964">
        <f t="shared" si="678"/>
        <v>5.9110636073860041</v>
      </c>
      <c r="S128" s="964">
        <f t="shared" si="678"/>
        <v>6.028154237488426</v>
      </c>
      <c r="T128" s="964">
        <f t="shared" si="678"/>
        <v>5.9112381298980665</v>
      </c>
      <c r="U128" s="964">
        <f t="shared" si="678"/>
        <v>5.990273829903412</v>
      </c>
      <c r="V128" s="964">
        <f t="shared" si="678"/>
        <v>6.4404862064644854</v>
      </c>
      <c r="W128" s="964">
        <f t="shared" si="678"/>
        <v>6.2161034181344306</v>
      </c>
      <c r="X128" s="964">
        <f t="shared" si="678"/>
        <v>6.0185038105368784</v>
      </c>
      <c r="Y128" s="964">
        <f t="shared" si="678"/>
        <v>6.0504489425821761</v>
      </c>
      <c r="Z128" s="964">
        <f t="shared" si="678"/>
        <v>5.9615465955288425</v>
      </c>
      <c r="AA128" s="964">
        <f t="shared" si="678"/>
        <v>6.0267096597919014</v>
      </c>
      <c r="AB128" s="964">
        <f t="shared" si="678"/>
        <v>5.8975172375308782</v>
      </c>
      <c r="AC128" s="964">
        <f t="shared" si="678"/>
        <v>6.5564134070696864</v>
      </c>
      <c r="AD128" s="964">
        <f t="shared" si="678"/>
        <v>5.9515643417563009</v>
      </c>
      <c r="AE128" s="964">
        <f t="shared" si="678"/>
        <v>6.0869783861382887</v>
      </c>
      <c r="AF128" s="964">
        <f t="shared" si="678"/>
        <v>5.9653343777590448</v>
      </c>
      <c r="AG128" s="964">
        <f t="shared" si="678"/>
        <v>6.0353483427745793</v>
      </c>
      <c r="AH128" s="964">
        <f t="shared" si="678"/>
        <v>5.9533717467066625</v>
      </c>
      <c r="AI128" s="964">
        <f t="shared" si="678"/>
        <v>6.080153206462656</v>
      </c>
      <c r="AJ128" s="964">
        <f t="shared" ref="AJ128:AK128" si="679">SUM(AJ114:AJ127)</f>
        <v>5.9619079993755575</v>
      </c>
      <c r="AK128" s="964">
        <f t="shared" si="679"/>
        <v>6.135536634867977</v>
      </c>
      <c r="AL128" s="965">
        <f t="shared" si="663"/>
        <v>5.9413395829166165</v>
      </c>
      <c r="AM128" s="965">
        <f t="shared" si="664"/>
        <v>6.2170647548230979</v>
      </c>
      <c r="AN128" s="6630">
        <f t="shared" ref="AN128:BE128" si="680">SUM(AN114:AN127)</f>
        <v>5.9544119947504051</v>
      </c>
      <c r="AO128" s="6630">
        <f t="shared" si="680"/>
        <v>6.0864403639359859</v>
      </c>
      <c r="AP128" s="964">
        <f t="shared" si="680"/>
        <v>5.9566700099316927</v>
      </c>
      <c r="AQ128" s="964">
        <f t="shared" si="680"/>
        <v>6.1463268879699946</v>
      </c>
      <c r="AR128" s="6630">
        <f t="shared" si="680"/>
        <v>5.9546606414337466</v>
      </c>
      <c r="AS128" s="6630">
        <f t="shared" si="680"/>
        <v>6.0923974269027976</v>
      </c>
      <c r="AT128" s="964">
        <f t="shared" ref="AT128:AU128" si="681">SUM(AT114:AT127)</f>
        <v>5.9639133095730053</v>
      </c>
      <c r="AU128" s="964">
        <f t="shared" si="681"/>
        <v>6.0984127508419439</v>
      </c>
      <c r="AV128" s="6931">
        <f t="shared" si="680"/>
        <v>5.9554895272879893</v>
      </c>
      <c r="AW128" s="6931">
        <f t="shared" si="680"/>
        <v>6.0928466279873765</v>
      </c>
      <c r="AX128" s="964">
        <f t="shared" si="680"/>
        <v>5.8906678130989905</v>
      </c>
      <c r="AY128" s="964">
        <f t="shared" si="680"/>
        <v>5.9116955600412062</v>
      </c>
      <c r="AZ128" s="965">
        <f t="shared" si="680"/>
        <v>5.9360969398660011</v>
      </c>
      <c r="BA128" s="965">
        <f t="shared" si="680"/>
        <v>6.0462702726947715</v>
      </c>
      <c r="BB128" s="7103">
        <f t="shared" si="680"/>
        <v>5.9387319622747556</v>
      </c>
      <c r="BC128" s="7103">
        <f t="shared" si="680"/>
        <v>6.1309279889789305</v>
      </c>
      <c r="BD128" s="6630">
        <f t="shared" si="680"/>
        <v>5.9495831111716857</v>
      </c>
      <c r="BE128" s="6630">
        <f t="shared" si="680"/>
        <v>6.0767731476890043</v>
      </c>
      <c r="BF128" s="112"/>
      <c r="BG128" s="112"/>
      <c r="BH128" s="112"/>
      <c r="BI128" s="112"/>
      <c r="BJ128" s="112"/>
    </row>
    <row r="129" spans="1:62" x14ac:dyDescent="0.25">
      <c r="A129" s="90"/>
      <c r="B129" s="250"/>
      <c r="C129" s="250"/>
      <c r="D129" s="610"/>
      <c r="E129" s="250"/>
      <c r="F129" s="610"/>
      <c r="G129" s="250"/>
      <c r="H129" s="250"/>
      <c r="I129" s="250"/>
      <c r="J129" s="610"/>
      <c r="K129" s="250"/>
      <c r="L129" s="250"/>
      <c r="M129" s="250"/>
      <c r="N129" s="610"/>
      <c r="O129" s="250"/>
      <c r="P129" s="250"/>
      <c r="Q129" s="250"/>
      <c r="R129" s="610"/>
      <c r="S129" s="250"/>
      <c r="T129" s="250"/>
      <c r="U129" s="250"/>
      <c r="V129" s="610"/>
      <c r="W129" s="250"/>
      <c r="X129" s="250"/>
      <c r="Y129" s="250"/>
      <c r="Z129" s="250"/>
      <c r="AA129" s="250"/>
      <c r="AB129" s="610"/>
      <c r="AC129" s="250"/>
      <c r="AD129" s="250"/>
      <c r="AE129" s="250"/>
      <c r="AF129" s="610"/>
      <c r="AG129" s="250"/>
      <c r="AH129" s="250"/>
      <c r="AI129" s="250"/>
      <c r="AJ129" s="610"/>
      <c r="AK129" s="250"/>
      <c r="AL129" s="250"/>
      <c r="AM129" s="250"/>
      <c r="AN129" s="250"/>
      <c r="AO129" s="250"/>
      <c r="AP129" s="610"/>
      <c r="AQ129" s="250"/>
      <c r="AR129" s="250"/>
      <c r="AS129" s="250"/>
      <c r="AT129" s="610"/>
      <c r="AU129" s="250"/>
      <c r="AV129" s="250"/>
      <c r="AW129" s="250"/>
      <c r="AX129" s="610"/>
      <c r="AY129" s="250"/>
      <c r="AZ129" s="250"/>
      <c r="BA129" s="250"/>
      <c r="BB129" s="250"/>
      <c r="BC129" s="250"/>
      <c r="BD129" s="250"/>
      <c r="BE129" s="250"/>
      <c r="BF129" s="112"/>
      <c r="BG129" s="112"/>
      <c r="BH129" s="112"/>
      <c r="BI129" s="112"/>
      <c r="BJ129" s="112"/>
    </row>
    <row r="130" spans="1:62" x14ac:dyDescent="0.25">
      <c r="A130" s="90"/>
      <c r="B130" s="250" t="s">
        <v>267</v>
      </c>
      <c r="C130" s="845" t="s">
        <v>50</v>
      </c>
      <c r="D130" s="373">
        <f>+SMS!E5</f>
        <v>193691.14877589454</v>
      </c>
      <c r="E130" s="373">
        <f>+SMS!F5</f>
        <v>223226</v>
      </c>
      <c r="F130" s="373">
        <f>+SMS!G5</f>
        <v>244664.77809253999</v>
      </c>
      <c r="G130" s="373">
        <f>+SMS!H5</f>
        <v>236638</v>
      </c>
      <c r="H130" s="343">
        <f>+SMS!I5</f>
        <v>438355.92686843453</v>
      </c>
      <c r="I130" s="343">
        <f>+SMS!J5</f>
        <v>459864</v>
      </c>
      <c r="J130" s="373">
        <f>+SMS!K5</f>
        <v>237110.48158640199</v>
      </c>
      <c r="K130" s="373">
        <f>+SMS!L5</f>
        <v>243453</v>
      </c>
      <c r="L130" s="343">
        <f>+SMS!M5</f>
        <v>675466.40845483658</v>
      </c>
      <c r="M130" s="343">
        <f>+SMS!N5</f>
        <v>703317</v>
      </c>
      <c r="N130" s="373">
        <f>+SMS!O5</f>
        <v>239943.34277620399</v>
      </c>
      <c r="O130" s="373">
        <f>+SMS!P5</f>
        <v>253662</v>
      </c>
      <c r="P130" s="343">
        <f>+SMS!Q5</f>
        <v>915409.75123104057</v>
      </c>
      <c r="Q130" s="343">
        <f>+SMS!R5</f>
        <v>956979</v>
      </c>
      <c r="R130" s="373">
        <f>+SMS!S5</f>
        <v>239943.34277620399</v>
      </c>
      <c r="S130" s="373">
        <f>+SMS!T5</f>
        <v>237622</v>
      </c>
      <c r="T130" s="343">
        <f>+SMS!U5</f>
        <v>1155353.0940072446</v>
      </c>
      <c r="U130" s="343">
        <f>+SMS!V5</f>
        <v>1194601</v>
      </c>
      <c r="V130" s="373">
        <f>+SMS!W5</f>
        <v>125920.679886686</v>
      </c>
      <c r="W130" s="373">
        <f>+SMS!X5</f>
        <v>226847</v>
      </c>
      <c r="X130" s="343">
        <f>+SMS!Y5</f>
        <v>605807.36543909402</v>
      </c>
      <c r="Y130" s="343">
        <f>+SMS!Z5</f>
        <v>718131</v>
      </c>
      <c r="Z130" s="343">
        <f>+SMS!AA5</f>
        <v>1281273.7738939305</v>
      </c>
      <c r="AA130" s="343">
        <f>+SMS!AB5</f>
        <v>1421448</v>
      </c>
      <c r="AB130" s="373">
        <f>+SMS!AC5</f>
        <v>244664.77809253999</v>
      </c>
      <c r="AC130" s="373">
        <f>+SMS!AD5</f>
        <v>179201</v>
      </c>
      <c r="AD130" s="343">
        <f>+SMS!AE5</f>
        <v>1525938.5519864704</v>
      </c>
      <c r="AE130" s="343">
        <f>+SMS!AF5</f>
        <v>1600649</v>
      </c>
      <c r="AF130" s="373">
        <f>+SMS!AG5</f>
        <v>237110.48158640199</v>
      </c>
      <c r="AG130" s="373">
        <f>+SMS!AH5</f>
        <v>229502</v>
      </c>
      <c r="AH130" s="343">
        <f>+SMS!AI5</f>
        <v>1763049.0335728724</v>
      </c>
      <c r="AI130" s="343">
        <f>+SMS!AJ5</f>
        <v>1830151</v>
      </c>
      <c r="AJ130" s="373">
        <f>+SMS!AK5</f>
        <v>244664.77809253999</v>
      </c>
      <c r="AK130" s="373">
        <f>+SMS!AL5</f>
        <v>234365</v>
      </c>
      <c r="AL130" s="343">
        <f>+SMS!AM5</f>
        <v>726440.03777148202</v>
      </c>
      <c r="AM130" s="343">
        <f>+SMS!AN5</f>
        <v>643068</v>
      </c>
      <c r="AN130" s="343">
        <f>+SMS!AO5</f>
        <v>2007713.8116654125</v>
      </c>
      <c r="AO130" s="343">
        <f>+SMS!AP5</f>
        <v>2064516</v>
      </c>
      <c r="AP130" s="373">
        <f>+SMS!AQ5</f>
        <v>248441.92634560907</v>
      </c>
      <c r="AQ130" s="373">
        <f>+SMS!AR5</f>
        <v>228047</v>
      </c>
      <c r="AR130" s="343">
        <f>+SMS!AS5</f>
        <v>2256155.7380110216</v>
      </c>
      <c r="AS130" s="343">
        <f>+SMS!AT5</f>
        <v>2292563</v>
      </c>
      <c r="AT130" s="373">
        <f>+SMS!AU5</f>
        <v>222001.88857412653</v>
      </c>
      <c r="AU130" s="373">
        <f>+SMS!AV5</f>
        <v>185016</v>
      </c>
      <c r="AV130" s="343">
        <f>+SMS!AW5</f>
        <v>2478157.6265851483</v>
      </c>
      <c r="AW130" s="343">
        <f>+SMS!AX5</f>
        <v>2477579</v>
      </c>
      <c r="AX130" s="373">
        <f>+SMS!AY5</f>
        <v>248441.92634560907</v>
      </c>
      <c r="AY130" s="373">
        <f>+SMS!AZ5</f>
        <v>241240</v>
      </c>
      <c r="AZ130" s="343">
        <f>+SMS!BA5</f>
        <v>718885.74126534467</v>
      </c>
      <c r="BA130" s="343">
        <f>+SMS!BB5</f>
        <v>654303</v>
      </c>
      <c r="BB130" s="343">
        <f>+SMS!BC5</f>
        <v>1445325.7790368267</v>
      </c>
      <c r="BC130" s="343">
        <f>+SMS!BD5</f>
        <v>1297371</v>
      </c>
      <c r="BD130" s="343">
        <f>+SMS!BE5</f>
        <v>2726599.5529307574</v>
      </c>
      <c r="BE130" s="343">
        <f>+SMS!BF5</f>
        <v>2718819</v>
      </c>
      <c r="BF130" s="112"/>
      <c r="BG130" s="112"/>
      <c r="BH130" s="112"/>
      <c r="BI130" s="112"/>
      <c r="BJ130" s="112"/>
    </row>
    <row r="131" spans="1:62" x14ac:dyDescent="0.25">
      <c r="A131" s="90"/>
      <c r="D131" s="139"/>
      <c r="F131" s="139"/>
      <c r="H131" s="84"/>
      <c r="I131" s="90"/>
      <c r="J131" s="139"/>
      <c r="L131" s="84"/>
      <c r="M131" s="90"/>
      <c r="N131" s="139"/>
      <c r="P131" s="84"/>
      <c r="Q131" s="90"/>
      <c r="R131" s="139"/>
      <c r="T131" s="84"/>
      <c r="U131" s="90"/>
      <c r="V131" s="139"/>
      <c r="W131" s="4487"/>
      <c r="X131" s="84"/>
      <c r="AB131" s="139"/>
      <c r="AF131" s="1137"/>
      <c r="AG131" s="1137"/>
      <c r="AH131" s="1137"/>
      <c r="AI131" s="1137"/>
    </row>
    <row r="132" spans="1:62" ht="15.75" thickBot="1" x14ac:dyDescent="0.3">
      <c r="A132" s="90"/>
      <c r="E132" s="4487"/>
      <c r="F132" s="4487"/>
      <c r="G132" s="4487"/>
      <c r="H132" s="4487"/>
      <c r="I132" s="4487"/>
      <c r="J132" s="4487"/>
      <c r="K132" s="4487"/>
      <c r="L132" s="4487"/>
      <c r="M132" s="4487"/>
      <c r="N132" s="4487"/>
      <c r="O132" s="4487"/>
      <c r="P132" s="4487"/>
      <c r="Q132" s="4487"/>
      <c r="R132" s="4487"/>
      <c r="S132" s="4487"/>
      <c r="T132" s="4487"/>
      <c r="U132" s="4487"/>
      <c r="V132" s="4487"/>
      <c r="W132" s="4487"/>
      <c r="Z132" s="4487"/>
      <c r="AA132" s="4487"/>
    </row>
    <row r="133" spans="1:62" ht="21" customHeight="1" x14ac:dyDescent="0.25">
      <c r="A133" s="90"/>
      <c r="B133" s="383" t="s">
        <v>321</v>
      </c>
    </row>
    <row r="134" spans="1:62" ht="15.75" customHeight="1" thickBot="1" x14ac:dyDescent="0.3">
      <c r="A134" s="90"/>
    </row>
    <row r="135" spans="1:62" ht="15.75" customHeight="1" thickBot="1" x14ac:dyDescent="0.3">
      <c r="B135" s="3" t="s">
        <v>106</v>
      </c>
      <c r="C135" s="83" t="s">
        <v>326</v>
      </c>
    </row>
    <row r="136" spans="1:62" ht="15.75" customHeight="1" thickBot="1" x14ac:dyDescent="0.3">
      <c r="B136" s="3" t="s">
        <v>107</v>
      </c>
      <c r="C136" s="83" t="s">
        <v>326</v>
      </c>
    </row>
    <row r="137" spans="1:62" ht="15.75" customHeight="1" thickBot="1" x14ac:dyDescent="0.3">
      <c r="B137" s="3" t="s">
        <v>80</v>
      </c>
      <c r="C137" s="83" t="s">
        <v>326</v>
      </c>
      <c r="BB137" s="25"/>
    </row>
    <row r="138" spans="1:62" ht="15.75" customHeight="1" thickBot="1" x14ac:dyDescent="0.3">
      <c r="B138" s="3" t="s">
        <v>108</v>
      </c>
      <c r="C138" s="83" t="s">
        <v>326</v>
      </c>
    </row>
    <row r="139" spans="1:62" ht="15.75" customHeight="1" thickBot="1" x14ac:dyDescent="0.3">
      <c r="B139" s="3" t="s">
        <v>81</v>
      </c>
      <c r="C139" s="83" t="s">
        <v>326</v>
      </c>
      <c r="BE139" s="4234">
        <f>BB136/BE130</f>
        <v>0</v>
      </c>
    </row>
    <row r="140" spans="1:62" ht="15.75" customHeight="1" thickBot="1" x14ac:dyDescent="0.3">
      <c r="B140" s="3" t="s">
        <v>57</v>
      </c>
      <c r="C140" s="83" t="s">
        <v>326</v>
      </c>
    </row>
    <row r="141" spans="1:62" ht="15.75" customHeight="1" thickBot="1" x14ac:dyDescent="0.3">
      <c r="B141" s="3" t="s">
        <v>58</v>
      </c>
      <c r="C141" s="83" t="s">
        <v>326</v>
      </c>
    </row>
    <row r="142" spans="1:62" ht="15.75" customHeight="1" thickBot="1" x14ac:dyDescent="0.3">
      <c r="B142" s="3" t="s">
        <v>59</v>
      </c>
      <c r="C142" s="83" t="s">
        <v>326</v>
      </c>
    </row>
    <row r="143" spans="1:62" ht="15.75" customHeight="1" thickBot="1" x14ac:dyDescent="0.3">
      <c r="B143" s="3" t="s">
        <v>91</v>
      </c>
      <c r="C143" s="83" t="s">
        <v>326</v>
      </c>
    </row>
    <row r="144" spans="1:62" ht="15.75" customHeight="1" thickBot="1" x14ac:dyDescent="0.3">
      <c r="B144" s="3" t="s">
        <v>109</v>
      </c>
      <c r="C144" s="83" t="s">
        <v>326</v>
      </c>
    </row>
    <row r="145" spans="2:27" ht="15.75" customHeight="1" thickBot="1" x14ac:dyDescent="0.3">
      <c r="B145" s="3" t="s">
        <v>82</v>
      </c>
      <c r="C145" s="83" t="s">
        <v>326</v>
      </c>
    </row>
    <row r="146" spans="2:27" ht="15.75" customHeight="1" thickBot="1" x14ac:dyDescent="0.3">
      <c r="B146" s="3" t="s">
        <v>60</v>
      </c>
      <c r="C146" s="83" t="s">
        <v>326</v>
      </c>
    </row>
    <row r="147" spans="2:27" ht="15" customHeight="1" x14ac:dyDescent="0.25"/>
    <row r="148" spans="2:27" ht="15" customHeight="1" x14ac:dyDescent="0.25"/>
    <row r="149" spans="2:27" ht="15" customHeight="1" x14ac:dyDescent="0.25"/>
    <row r="156" spans="2:27" x14ac:dyDescent="0.25">
      <c r="AA156" s="4487"/>
    </row>
    <row r="157" spans="2:27" x14ac:dyDescent="0.25">
      <c r="Z157" s="6079"/>
      <c r="AA157" s="6079"/>
    </row>
    <row r="159" spans="2:27" ht="15" hidden="1" customHeight="1" x14ac:dyDescent="0.25"/>
    <row r="160" spans="2:27" ht="15" hidden="1" customHeight="1" x14ac:dyDescent="0.25"/>
    <row r="161" spans="2:29" ht="15" hidden="1" customHeight="1" x14ac:dyDescent="0.25"/>
    <row r="162" spans="2:29" ht="15" hidden="1" customHeight="1" x14ac:dyDescent="0.25">
      <c r="H162" s="84"/>
      <c r="I162" s="90"/>
      <c r="J162" s="192"/>
      <c r="L162" s="84"/>
      <c r="N162" s="192"/>
      <c r="P162" s="84"/>
      <c r="R162" s="192"/>
      <c r="T162" s="84"/>
      <c r="V162" s="192"/>
      <c r="W162" s="2031"/>
      <c r="AB162" s="192"/>
    </row>
    <row r="163" spans="2:29" ht="15" hidden="1" customHeight="1" x14ac:dyDescent="0.25">
      <c r="D163" s="253"/>
      <c r="E163" s="253"/>
      <c r="F163" s="253"/>
      <c r="G163" s="253"/>
      <c r="H163" s="1138"/>
      <c r="I163" s="845"/>
      <c r="J163" s="1458"/>
      <c r="K163" s="253"/>
      <c r="L163" s="1138"/>
      <c r="M163" s="253"/>
      <c r="N163" s="1458"/>
      <c r="O163" s="253"/>
      <c r="P163" s="1138"/>
      <c r="Q163" s="253"/>
      <c r="R163" s="1458"/>
      <c r="S163" s="253"/>
      <c r="T163" s="1138"/>
      <c r="U163" s="253"/>
      <c r="V163" s="1458"/>
      <c r="W163" s="253"/>
      <c r="X163" s="253"/>
      <c r="Y163" s="253"/>
      <c r="Z163" s="253"/>
      <c r="AA163" s="253"/>
      <c r="AB163" s="1458"/>
      <c r="AC163" s="253"/>
    </row>
    <row r="164" spans="2:29" ht="15" hidden="1" customHeight="1" x14ac:dyDescent="0.25">
      <c r="B164" t="s">
        <v>1113</v>
      </c>
      <c r="D164" s="1133">
        <f>+D55-D73</f>
        <v>0</v>
      </c>
      <c r="E164" s="1133"/>
      <c r="F164" s="1133">
        <f>+F55-F73</f>
        <v>0</v>
      </c>
      <c r="G164" s="1133"/>
      <c r="H164" s="1133">
        <f>+H55-H73</f>
        <v>0</v>
      </c>
      <c r="I164" s="1133">
        <f>+I55-I73</f>
        <v>0</v>
      </c>
      <c r="J164" s="1133">
        <f>+J55-J73</f>
        <v>0</v>
      </c>
      <c r="K164" s="1133"/>
      <c r="L164" s="1133">
        <f>+L55-L73</f>
        <v>0</v>
      </c>
      <c r="M164" s="1133"/>
      <c r="N164" s="1133">
        <f>+N55-N73</f>
        <v>0</v>
      </c>
      <c r="O164" s="1133"/>
      <c r="P164" s="1133">
        <f>+P55-P73</f>
        <v>0</v>
      </c>
      <c r="Q164" s="1133">
        <f>+Q55-Q73</f>
        <v>0</v>
      </c>
      <c r="R164" s="1133">
        <f>+R55-R73</f>
        <v>0</v>
      </c>
      <c r="S164" s="1133"/>
      <c r="T164" s="1133">
        <f>+T55-T73</f>
        <v>0</v>
      </c>
      <c r="U164" s="1133">
        <f>+U55-U73</f>
        <v>0</v>
      </c>
      <c r="V164" s="1133">
        <f>+V55-V73</f>
        <v>0</v>
      </c>
      <c r="W164" s="1133"/>
      <c r="X164" s="1133">
        <f>+X55-X73</f>
        <v>0</v>
      </c>
      <c r="Y164" s="1133"/>
      <c r="Z164" s="1133">
        <f>+Z55-Z73</f>
        <v>0</v>
      </c>
      <c r="AA164" s="1133"/>
      <c r="AB164" s="1133">
        <f>+AB55-AB73</f>
        <v>0</v>
      </c>
      <c r="AC164" s="1133"/>
    </row>
    <row r="165" spans="2:29" ht="15" hidden="1" customHeight="1" x14ac:dyDescent="0.25">
      <c r="D165" s="253"/>
      <c r="E165" s="253"/>
      <c r="F165" s="253"/>
      <c r="G165" s="253"/>
      <c r="H165" s="1138"/>
      <c r="I165" s="845"/>
      <c r="J165" s="1458"/>
      <c r="K165" s="253"/>
      <c r="L165" s="1138"/>
      <c r="M165" s="253"/>
      <c r="N165" s="1458"/>
      <c r="O165" s="253"/>
      <c r="P165" s="1138"/>
      <c r="Q165" s="253"/>
      <c r="R165" s="1458"/>
      <c r="S165" s="253"/>
      <c r="T165" s="1138"/>
      <c r="U165" s="253"/>
      <c r="V165" s="1458"/>
      <c r="W165" s="253"/>
      <c r="X165" s="253"/>
      <c r="Y165" s="253"/>
      <c r="Z165" s="253"/>
      <c r="AA165" s="253"/>
      <c r="AB165" s="1458"/>
      <c r="AC165" s="253"/>
    </row>
    <row r="166" spans="2:29" ht="15" hidden="1" customHeight="1" x14ac:dyDescent="0.25">
      <c r="D166" s="253">
        <v>382927.49999999988</v>
      </c>
      <c r="E166" s="253"/>
      <c r="F166" s="253">
        <v>382927.49999999988</v>
      </c>
      <c r="G166" s="253"/>
      <c r="H166" s="1138"/>
      <c r="I166" s="845"/>
      <c r="J166" s="1458">
        <v>368314.87500000256</v>
      </c>
      <c r="K166" s="253"/>
      <c r="L166" s="1138">
        <f>+D166+F166+J166</f>
        <v>1134169.8750000023</v>
      </c>
      <c r="M166" s="253"/>
      <c r="N166" s="1458">
        <v>380800.12500000373</v>
      </c>
      <c r="O166" s="253"/>
      <c r="P166" s="1138"/>
      <c r="Q166" s="253"/>
      <c r="R166" s="1458">
        <v>380800.12500000373</v>
      </c>
      <c r="S166" s="253"/>
      <c r="T166" s="1138"/>
      <c r="U166" s="253"/>
      <c r="V166" s="1458">
        <v>380800.12500000373</v>
      </c>
      <c r="W166" s="253"/>
      <c r="X166" s="253">
        <f>+N166+R166+V166</f>
        <v>1142400.3750000112</v>
      </c>
      <c r="Y166" s="253"/>
      <c r="Z166" s="253">
        <f>+X166+L166</f>
        <v>2276570.2500000135</v>
      </c>
      <c r="AA166" s="253"/>
      <c r="AB166" s="1458">
        <v>380800.12500000373</v>
      </c>
      <c r="AC166" s="253"/>
    </row>
    <row r="167" spans="2:29" ht="15" hidden="1" customHeight="1" x14ac:dyDescent="0.25">
      <c r="B167" t="s">
        <v>1114</v>
      </c>
      <c r="D167" s="1133">
        <f>+D166-D48</f>
        <v>67807.499999999884</v>
      </c>
      <c r="E167" s="1133"/>
      <c r="F167" s="1133">
        <f>+F166-F48</f>
        <v>-18772.500000000233</v>
      </c>
      <c r="G167" s="1133"/>
      <c r="H167" s="1133">
        <f>+H166-H48</f>
        <v>-716820.00000000012</v>
      </c>
      <c r="I167" s="1133">
        <f>+I166-I48</f>
        <v>-747923.44640000002</v>
      </c>
      <c r="J167" s="1133">
        <f>+J166-J48</f>
        <v>-19765.124999997439</v>
      </c>
      <c r="K167" s="1133"/>
      <c r="L167" s="1133">
        <f>+L166-L48</f>
        <v>29269.875000002328</v>
      </c>
      <c r="M167" s="1133"/>
      <c r="N167" s="1133">
        <f>+N166-N48</f>
        <v>-16999.874999996275</v>
      </c>
      <c r="O167" s="1133"/>
      <c r="P167" s="1133">
        <f>+P166-P48</f>
        <v>-1502700</v>
      </c>
      <c r="Q167" s="1133">
        <f>+Q166-Q48</f>
        <v>-1537226.7968000001</v>
      </c>
      <c r="R167" s="1133">
        <f>+R166-R48</f>
        <v>-14449.874999996275</v>
      </c>
      <c r="S167" s="1133"/>
      <c r="T167" s="1133">
        <f>+T166-T48</f>
        <v>-1897950</v>
      </c>
      <c r="U167" s="1133">
        <f>+U166-U48</f>
        <v>-1925518.0016000001</v>
      </c>
      <c r="V167" s="1133">
        <f>+V166-V48</f>
        <v>163800.12500000373</v>
      </c>
      <c r="W167" s="1133"/>
      <c r="X167" s="1133">
        <f>+X166-X48</f>
        <v>132350.37500001118</v>
      </c>
      <c r="Y167" s="1133"/>
      <c r="Z167" s="1133">
        <f>+Z166-Z48</f>
        <v>161620.2500000135</v>
      </c>
      <c r="AA167" s="1133"/>
      <c r="AB167" s="1133">
        <f>+AB166-AB48</f>
        <v>-19599.874999996333</v>
      </c>
      <c r="AC167" s="1133"/>
    </row>
    <row r="168" spans="2:29" ht="15" hidden="1" customHeight="1" x14ac:dyDescent="0.25">
      <c r="D168" s="253"/>
      <c r="E168" s="253"/>
      <c r="F168" s="253"/>
      <c r="G168" s="253"/>
      <c r="H168" s="1138"/>
      <c r="I168" s="845"/>
      <c r="J168" s="1458"/>
      <c r="K168" s="253"/>
      <c r="L168" s="1138"/>
      <c r="M168" s="253"/>
      <c r="N168" s="1458"/>
      <c r="O168" s="253"/>
      <c r="P168" s="1138"/>
      <c r="Q168" s="253"/>
      <c r="R168" s="1458"/>
      <c r="S168" s="253"/>
      <c r="T168" s="1138"/>
      <c r="U168" s="253"/>
      <c r="V168" s="1458"/>
      <c r="W168" s="253"/>
      <c r="X168" s="253"/>
      <c r="Y168" s="253"/>
      <c r="Z168" s="253"/>
      <c r="AA168" s="253"/>
      <c r="AB168" s="1458"/>
      <c r="AC168" s="253"/>
    </row>
    <row r="169" spans="2:29" ht="15" hidden="1" customHeight="1" x14ac:dyDescent="0.25">
      <c r="D169" s="253">
        <v>368047.49999999988</v>
      </c>
      <c r="E169" s="253"/>
      <c r="F169" s="253">
        <v>368047.49999999988</v>
      </c>
      <c r="G169" s="253"/>
      <c r="H169" s="1138"/>
      <c r="I169" s="845"/>
      <c r="J169" s="1458">
        <v>353914.87500000256</v>
      </c>
      <c r="K169" s="253"/>
      <c r="L169" s="1138"/>
      <c r="M169" s="253"/>
      <c r="N169" s="1458">
        <v>365920.12500000338</v>
      </c>
      <c r="O169" s="253"/>
      <c r="P169" s="1138"/>
      <c r="Q169" s="253"/>
      <c r="R169" s="1458">
        <v>365920.12500000338</v>
      </c>
      <c r="S169" s="253"/>
      <c r="T169" s="1138"/>
      <c r="U169" s="253"/>
      <c r="V169" s="1458">
        <v>365920.12500000338</v>
      </c>
      <c r="W169" s="253"/>
      <c r="X169" s="253"/>
      <c r="Y169" s="253"/>
      <c r="Z169" s="253"/>
      <c r="AA169" s="253"/>
      <c r="AB169" s="1458">
        <v>365920.12500000338</v>
      </c>
      <c r="AC169" s="253"/>
    </row>
    <row r="170" spans="2:29" ht="15" hidden="1" customHeight="1" x14ac:dyDescent="0.25">
      <c r="D170" s="253"/>
      <c r="E170" s="253"/>
      <c r="F170" s="253"/>
      <c r="G170" s="253"/>
      <c r="H170" s="1138"/>
      <c r="I170" s="845"/>
      <c r="J170" s="1458"/>
      <c r="K170" s="253"/>
      <c r="L170" s="1138"/>
      <c r="M170" s="253"/>
      <c r="N170" s="1458"/>
      <c r="O170" s="253"/>
      <c r="P170" s="1138"/>
      <c r="Q170" s="253"/>
      <c r="R170" s="1458"/>
      <c r="S170" s="253"/>
      <c r="T170" s="1138"/>
      <c r="U170" s="253"/>
      <c r="V170" s="1458"/>
      <c r="W170" s="253"/>
      <c r="X170" s="253"/>
      <c r="Y170" s="253"/>
      <c r="Z170" s="253"/>
      <c r="AA170" s="253"/>
      <c r="AB170" s="1458"/>
      <c r="AC170" s="253"/>
    </row>
    <row r="171" spans="2:29" ht="15" hidden="1" customHeight="1" x14ac:dyDescent="0.25">
      <c r="B171" t="s">
        <v>1115</v>
      </c>
      <c r="D171" s="1133">
        <f>+D169-D55</f>
        <v>65350.85999999987</v>
      </c>
      <c r="E171" s="253"/>
      <c r="F171" s="1133">
        <f>+F169-F55</f>
        <v>-18684.900000000256</v>
      </c>
      <c r="G171" s="253"/>
      <c r="H171" s="1138"/>
      <c r="I171" s="845"/>
      <c r="J171" s="1133">
        <f>+J169-J55</f>
        <v>-19698.884999997448</v>
      </c>
      <c r="K171" s="253"/>
      <c r="L171" s="1138"/>
      <c r="M171" s="253"/>
      <c r="N171" s="1133">
        <f>+N169-N55</f>
        <v>-17021.474999996601</v>
      </c>
      <c r="O171" s="253"/>
      <c r="P171" s="1138"/>
      <c r="Q171" s="253"/>
      <c r="R171" s="1133">
        <f>+R169-R55</f>
        <v>-14542.874999996624</v>
      </c>
      <c r="S171" s="253"/>
      <c r="T171" s="1138"/>
      <c r="U171" s="253"/>
      <c r="V171" s="1133">
        <f>+V169-V55</f>
        <v>161930.12500000338</v>
      </c>
      <c r="W171" s="253"/>
      <c r="X171" s="253"/>
      <c r="Y171" s="253"/>
      <c r="Z171" s="253"/>
      <c r="AA171" s="253"/>
      <c r="AB171" s="1133">
        <f>+AB169-AB55</f>
        <v>-19548.674999996671</v>
      </c>
      <c r="AC171" s="253"/>
    </row>
    <row r="172" spans="2:29" ht="15" hidden="1" customHeight="1" x14ac:dyDescent="0.25">
      <c r="B172" t="s">
        <v>1116</v>
      </c>
      <c r="D172" s="1133">
        <f>+D169-D73</f>
        <v>65350.85999999987</v>
      </c>
      <c r="E172" s="253"/>
      <c r="F172" s="1133">
        <f>+F169-F73</f>
        <v>-18684.90000000014</v>
      </c>
      <c r="G172" s="253"/>
      <c r="H172" s="1138"/>
      <c r="I172" s="845"/>
      <c r="J172" s="1133">
        <f>+J169-J73</f>
        <v>-19698.884999997448</v>
      </c>
      <c r="K172" s="253"/>
      <c r="L172" s="1138"/>
      <c r="M172" s="253"/>
      <c r="N172" s="1133">
        <f>+N169-N73</f>
        <v>-17021.474999996601</v>
      </c>
      <c r="O172" s="253"/>
      <c r="P172" s="1138"/>
      <c r="Q172" s="253"/>
      <c r="R172" s="1133">
        <f>+R169-R73</f>
        <v>-14542.874999996682</v>
      </c>
      <c r="S172" s="253"/>
      <c r="T172" s="1138"/>
      <c r="U172" s="253"/>
      <c r="V172" s="1133">
        <f>+V169-V73</f>
        <v>161930.12500000341</v>
      </c>
      <c r="W172" s="253"/>
      <c r="X172" s="253"/>
      <c r="Y172" s="253"/>
      <c r="Z172" s="253"/>
      <c r="AA172" s="253"/>
      <c r="AB172" s="1133">
        <f>+AB169-AB73</f>
        <v>-19548.674999996671</v>
      </c>
      <c r="AC172" s="253"/>
    </row>
    <row r="173" spans="2:29" ht="15" hidden="1" customHeight="1" x14ac:dyDescent="0.25">
      <c r="D173" s="253"/>
      <c r="E173" s="253"/>
      <c r="F173" s="253"/>
      <c r="G173" s="253"/>
      <c r="H173" s="1138"/>
      <c r="I173" s="845"/>
      <c r="J173" s="1458"/>
      <c r="K173" s="253"/>
      <c r="L173" s="1138"/>
      <c r="M173" s="253"/>
      <c r="N173" s="1458"/>
      <c r="O173" s="253"/>
      <c r="P173" s="1138"/>
      <c r="Q173" s="253"/>
      <c r="R173" s="1458"/>
      <c r="S173" s="253"/>
      <c r="T173" s="1138"/>
      <c r="U173" s="253"/>
      <c r="V173" s="1458"/>
      <c r="W173" s="253"/>
      <c r="X173" s="253"/>
      <c r="Y173" s="253"/>
      <c r="Z173" s="253"/>
      <c r="AA173" s="253"/>
      <c r="AB173" s="1458"/>
      <c r="AC173" s="253"/>
    </row>
    <row r="174" spans="2:29" ht="15" hidden="1" customHeight="1" x14ac:dyDescent="0.25">
      <c r="D174" s="253"/>
      <c r="E174" s="253"/>
      <c r="F174" s="253"/>
      <c r="G174" s="253"/>
      <c r="H174" s="1138"/>
      <c r="I174" s="845"/>
      <c r="J174" s="1458"/>
      <c r="K174" s="253"/>
      <c r="L174" s="1138"/>
      <c r="M174" s="253"/>
      <c r="N174" s="1458"/>
      <c r="O174" s="253"/>
      <c r="P174" s="1138"/>
      <c r="Q174" s="253"/>
      <c r="R174" s="1458"/>
      <c r="S174" s="253"/>
      <c r="T174" s="1138"/>
      <c r="U174" s="253"/>
      <c r="V174" s="1458"/>
      <c r="W174" s="253"/>
      <c r="X174" s="253"/>
      <c r="Y174" s="253"/>
      <c r="Z174" s="253"/>
      <c r="AA174" s="253"/>
      <c r="AB174" s="1458"/>
      <c r="AC174" s="253"/>
    </row>
    <row r="175" spans="2:29" ht="15" hidden="1" customHeight="1" x14ac:dyDescent="0.25"/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J32" sqref="BJ32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5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hidden="1" customWidth="1"/>
    <col min="8" max="8" width="8.42578125" hidden="1" customWidth="1"/>
    <col min="9" max="9" width="12.140625" hidden="1" customWidth="1"/>
    <col min="10" max="11" width="7.85546875" hidden="1" customWidth="1"/>
    <col min="12" max="12" width="8.42578125" hidden="1" customWidth="1"/>
    <col min="13" max="15" width="7.85546875" hidden="1" customWidth="1"/>
    <col min="16" max="16" width="8.42578125" hidden="1" customWidth="1"/>
    <col min="17" max="18" width="7.85546875" hidden="1" customWidth="1"/>
    <col min="19" max="19" width="7.85546875" style="4233" hidden="1" customWidth="1"/>
    <col min="20" max="20" width="8.42578125" style="4233" hidden="1" customWidth="1"/>
    <col min="21" max="22" width="9" style="4233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564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2859" hidden="1" customWidth="1"/>
    <col min="57" max="58" width="8.85546875" hidden="1" customWidth="1"/>
    <col min="59" max="60" width="8.85546875" customWidth="1"/>
  </cols>
  <sheetData>
    <row r="1" spans="1:63" x14ac:dyDescent="0.25">
      <c r="O1" s="139"/>
      <c r="S1" s="139"/>
    </row>
    <row r="2" spans="1:63" x14ac:dyDescent="0.25">
      <c r="C2" s="8273" t="s">
        <v>82</v>
      </c>
      <c r="O2" s="139"/>
      <c r="S2" s="139"/>
    </row>
    <row r="3" spans="1:63" ht="16.5" thickBot="1" x14ac:dyDescent="0.3">
      <c r="C3" s="8273"/>
      <c r="D3" s="1074"/>
      <c r="E3" s="1075">
        <v>30</v>
      </c>
      <c r="F3" s="1075">
        <v>30</v>
      </c>
      <c r="G3" s="1075">
        <v>31</v>
      </c>
      <c r="H3" s="1075">
        <v>31</v>
      </c>
      <c r="I3" s="1075">
        <f>+E3+G3</f>
        <v>61</v>
      </c>
      <c r="J3" s="1075">
        <f>+F3+H3</f>
        <v>61</v>
      </c>
      <c r="K3" s="1075">
        <v>30</v>
      </c>
      <c r="L3" s="1075">
        <v>30</v>
      </c>
      <c r="M3" s="1075">
        <f>+I3+K3</f>
        <v>91</v>
      </c>
      <c r="N3" s="1075">
        <f>+J3+L3</f>
        <v>91</v>
      </c>
      <c r="O3" s="1457">
        <v>31</v>
      </c>
      <c r="P3" s="1075">
        <v>31</v>
      </c>
      <c r="Q3" s="1075">
        <f>+M3+O3</f>
        <v>122</v>
      </c>
      <c r="R3" s="1075">
        <f>+N3+P3</f>
        <v>122</v>
      </c>
      <c r="S3" s="1457">
        <v>31</v>
      </c>
      <c r="T3" s="1075">
        <v>31</v>
      </c>
      <c r="U3" s="1075">
        <f>+Q3+S3</f>
        <v>153</v>
      </c>
      <c r="V3" s="1075">
        <f>+R3+T3</f>
        <v>153</v>
      </c>
      <c r="W3" s="1075">
        <v>30</v>
      </c>
      <c r="X3" s="1075">
        <v>30</v>
      </c>
      <c r="Y3" s="1075">
        <f>+O3+S3+W3</f>
        <v>92</v>
      </c>
      <c r="Z3" s="1075">
        <f>+P3+T3+X3</f>
        <v>92</v>
      </c>
      <c r="AA3" s="1075">
        <f>+U3+W3</f>
        <v>183</v>
      </c>
      <c r="AB3" s="1075">
        <f>+V3+X3</f>
        <v>183</v>
      </c>
      <c r="AC3" s="1075">
        <v>31</v>
      </c>
      <c r="AD3" s="1075">
        <v>31</v>
      </c>
      <c r="AE3" s="1075">
        <f>+AA3+AC3</f>
        <v>214</v>
      </c>
      <c r="AF3" s="1075">
        <f>+AB3+AD3</f>
        <v>214</v>
      </c>
      <c r="AG3" s="1075">
        <v>30</v>
      </c>
      <c r="AH3" s="1075">
        <v>30</v>
      </c>
      <c r="AI3" s="1075">
        <f>+AE3+AG3</f>
        <v>244</v>
      </c>
      <c r="AJ3" s="1075">
        <f>+AF3+AH3</f>
        <v>244</v>
      </c>
      <c r="AK3" s="1075">
        <v>31</v>
      </c>
      <c r="AL3" s="1075">
        <v>31</v>
      </c>
      <c r="AM3" s="1075">
        <f>+AC3+AG3+AK3</f>
        <v>92</v>
      </c>
      <c r="AN3" s="1075">
        <f>+AD3+AH3+AL3</f>
        <v>92</v>
      </c>
      <c r="AO3" s="1075">
        <f>+AI3+AK3</f>
        <v>275</v>
      </c>
      <c r="AP3" s="1075">
        <f>+AJ3+AL3</f>
        <v>275</v>
      </c>
      <c r="AQ3" s="1075">
        <v>31</v>
      </c>
      <c r="AR3" s="1075">
        <v>31</v>
      </c>
      <c r="AS3" s="1075">
        <f>+AO3+AQ3</f>
        <v>306</v>
      </c>
      <c r="AT3" s="1075">
        <f>+AP3+AR3</f>
        <v>306</v>
      </c>
      <c r="AU3" s="1075">
        <v>28</v>
      </c>
      <c r="AV3" s="1075">
        <v>28</v>
      </c>
      <c r="AW3" s="1075">
        <f>+AS3+AU3</f>
        <v>334</v>
      </c>
      <c r="AX3" s="1075">
        <f>+AT3+AV3</f>
        <v>334</v>
      </c>
      <c r="AY3" s="1075">
        <v>31</v>
      </c>
      <c r="AZ3" s="1075">
        <v>31</v>
      </c>
      <c r="BA3" s="1075">
        <f>+AQ3+AU3+AY3</f>
        <v>90</v>
      </c>
      <c r="BB3" s="1075">
        <f>+AR3+AV3+AZ3</f>
        <v>90</v>
      </c>
      <c r="BC3" s="1075">
        <f>+AM3+BA3</f>
        <v>182</v>
      </c>
      <c r="BD3" s="1075">
        <f>+AN3+BB3</f>
        <v>182</v>
      </c>
      <c r="BE3" s="1075">
        <f>+AW3+AY3</f>
        <v>365</v>
      </c>
      <c r="BF3" s="1075">
        <f>+AX3+AZ3</f>
        <v>365</v>
      </c>
    </row>
    <row r="4" spans="1:63" ht="15.75" x14ac:dyDescent="0.25">
      <c r="A4" s="139"/>
      <c r="B4" s="139"/>
      <c r="C4" s="8274" t="s">
        <v>509</v>
      </c>
      <c r="D4" s="8139" t="s">
        <v>172</v>
      </c>
      <c r="E4" s="8138" t="s">
        <v>2319</v>
      </c>
      <c r="F4" s="8139"/>
      <c r="G4" s="8138" t="s">
        <v>1956</v>
      </c>
      <c r="H4" s="8139"/>
      <c r="I4" s="8125" t="s">
        <v>14</v>
      </c>
      <c r="J4" s="8126"/>
      <c r="K4" s="8138" t="s">
        <v>1986</v>
      </c>
      <c r="L4" s="8139"/>
      <c r="M4" s="8140" t="s">
        <v>607</v>
      </c>
      <c r="N4" s="8141"/>
      <c r="O4" s="8138" t="s">
        <v>2008</v>
      </c>
      <c r="P4" s="8139"/>
      <c r="Q4" s="8279" t="s">
        <v>17</v>
      </c>
      <c r="R4" s="8280"/>
      <c r="S4" s="8138" t="s">
        <v>2011</v>
      </c>
      <c r="T4" s="8139"/>
      <c r="U4" s="8279" t="s">
        <v>18</v>
      </c>
      <c r="V4" s="8280"/>
      <c r="W4" s="8138" t="s">
        <v>2042</v>
      </c>
      <c r="X4" s="8139"/>
      <c r="Y4" s="8140" t="s">
        <v>629</v>
      </c>
      <c r="Z4" s="8141"/>
      <c r="AA4" s="8261" t="s">
        <v>626</v>
      </c>
      <c r="AB4" s="8262"/>
      <c r="AC4" s="8138" t="s">
        <v>2067</v>
      </c>
      <c r="AD4" s="8139"/>
      <c r="AE4" s="8125" t="s">
        <v>24</v>
      </c>
      <c r="AF4" s="8126"/>
      <c r="AG4" s="8138" t="s">
        <v>2170</v>
      </c>
      <c r="AH4" s="8139"/>
      <c r="AI4" s="8125" t="s">
        <v>27</v>
      </c>
      <c r="AJ4" s="8126"/>
      <c r="AK4" s="8138" t="s">
        <v>2194</v>
      </c>
      <c r="AL4" s="8139"/>
      <c r="AM4" s="8140" t="s">
        <v>631</v>
      </c>
      <c r="AN4" s="8141"/>
      <c r="AO4" s="8125" t="s">
        <v>1575</v>
      </c>
      <c r="AP4" s="8126"/>
      <c r="AQ4" s="8138" t="s">
        <v>2206</v>
      </c>
      <c r="AR4" s="8139"/>
      <c r="AS4" s="8125" t="s">
        <v>28</v>
      </c>
      <c r="AT4" s="8126"/>
      <c r="AU4" s="8138" t="s">
        <v>2243</v>
      </c>
      <c r="AV4" s="8139"/>
      <c r="AW4" s="8125" t="s">
        <v>30</v>
      </c>
      <c r="AX4" s="8126"/>
      <c r="AY4" s="8138" t="s">
        <v>2261</v>
      </c>
      <c r="AZ4" s="8139"/>
      <c r="BA4" s="8140" t="s">
        <v>632</v>
      </c>
      <c r="BB4" s="8141"/>
      <c r="BC4" s="8261" t="s">
        <v>638</v>
      </c>
      <c r="BD4" s="8262"/>
      <c r="BE4" s="8125" t="s">
        <v>1984</v>
      </c>
      <c r="BF4" s="8126"/>
    </row>
    <row r="5" spans="1:63" ht="16.5" thickBot="1" x14ac:dyDescent="0.3">
      <c r="A5" s="139"/>
      <c r="B5" s="139"/>
      <c r="C5" s="8275"/>
      <c r="D5" s="8276"/>
      <c r="E5" s="1076" t="s">
        <v>173</v>
      </c>
      <c r="F5" s="1933" t="s">
        <v>174</v>
      </c>
      <c r="G5" s="1076" t="s">
        <v>173</v>
      </c>
      <c r="H5" s="1933" t="s">
        <v>174</v>
      </c>
      <c r="I5" s="1399" t="s">
        <v>173</v>
      </c>
      <c r="J5" s="1073" t="s">
        <v>174</v>
      </c>
      <c r="K5" s="1076" t="s">
        <v>173</v>
      </c>
      <c r="L5" s="1933" t="s">
        <v>174</v>
      </c>
      <c r="M5" s="3015" t="s">
        <v>173</v>
      </c>
      <c r="N5" s="3016" t="s">
        <v>174</v>
      </c>
      <c r="O5" s="1076" t="s">
        <v>173</v>
      </c>
      <c r="P5" s="1933" t="s">
        <v>174</v>
      </c>
      <c r="Q5" s="3022" t="s">
        <v>173</v>
      </c>
      <c r="R5" s="3028" t="s">
        <v>174</v>
      </c>
      <c r="S5" s="1076" t="s">
        <v>173</v>
      </c>
      <c r="T5" s="4368" t="s">
        <v>174</v>
      </c>
      <c r="U5" s="3022" t="s">
        <v>173</v>
      </c>
      <c r="V5" s="3028" t="s">
        <v>174</v>
      </c>
      <c r="W5" s="1076" t="s">
        <v>173</v>
      </c>
      <c r="X5" s="1077" t="s">
        <v>174</v>
      </c>
      <c r="Y5" s="3015" t="s">
        <v>173</v>
      </c>
      <c r="Z5" s="3016" t="s">
        <v>174</v>
      </c>
      <c r="AA5" s="3008" t="s">
        <v>173</v>
      </c>
      <c r="AB5" s="3009" t="s">
        <v>174</v>
      </c>
      <c r="AC5" s="1076" t="s">
        <v>173</v>
      </c>
      <c r="AD5" s="4572" t="s">
        <v>174</v>
      </c>
      <c r="AE5" s="3022" t="s">
        <v>173</v>
      </c>
      <c r="AF5" s="1073" t="s">
        <v>174</v>
      </c>
      <c r="AG5" s="1076" t="s">
        <v>173</v>
      </c>
      <c r="AH5" s="2494" t="s">
        <v>174</v>
      </c>
      <c r="AI5" s="3022" t="s">
        <v>173</v>
      </c>
      <c r="AJ5" s="1073" t="s">
        <v>174</v>
      </c>
      <c r="AK5" s="1076" t="s">
        <v>173</v>
      </c>
      <c r="AL5" s="2566" t="s">
        <v>174</v>
      </c>
      <c r="AM5" s="3015" t="s">
        <v>173</v>
      </c>
      <c r="AN5" s="3016" t="s">
        <v>174</v>
      </c>
      <c r="AO5" s="3022" t="s">
        <v>173</v>
      </c>
      <c r="AP5" s="1073" t="s">
        <v>174</v>
      </c>
      <c r="AQ5" s="1076" t="s">
        <v>173</v>
      </c>
      <c r="AR5" s="2617" t="s">
        <v>174</v>
      </c>
      <c r="AS5" s="3022" t="s">
        <v>173</v>
      </c>
      <c r="AT5" s="1073" t="s">
        <v>174</v>
      </c>
      <c r="AU5" s="1076" t="s">
        <v>173</v>
      </c>
      <c r="AV5" s="2650" t="s">
        <v>174</v>
      </c>
      <c r="AW5" s="3022" t="s">
        <v>173</v>
      </c>
      <c r="AX5" s="1073" t="s">
        <v>174</v>
      </c>
      <c r="AY5" s="1076" t="s">
        <v>173</v>
      </c>
      <c r="AZ5" s="2860" t="s">
        <v>174</v>
      </c>
      <c r="BA5" s="3015" t="s">
        <v>173</v>
      </c>
      <c r="BB5" s="3016" t="s">
        <v>174</v>
      </c>
      <c r="BC5" s="3008" t="s">
        <v>173</v>
      </c>
      <c r="BD5" s="3009" t="s">
        <v>174</v>
      </c>
      <c r="BE5" s="3022" t="s">
        <v>173</v>
      </c>
      <c r="BF5" s="1073" t="s">
        <v>174</v>
      </c>
    </row>
    <row r="6" spans="1:63" ht="15.75" x14ac:dyDescent="0.25">
      <c r="A6" s="139"/>
      <c r="B6" s="139"/>
      <c r="C6" s="3460" t="s">
        <v>494</v>
      </c>
      <c r="D6" s="3461"/>
      <c r="E6" s="3462"/>
      <c r="F6" s="3461"/>
      <c r="G6" s="3462"/>
      <c r="H6" s="3461"/>
      <c r="I6" s="3463"/>
      <c r="J6" s="3464"/>
      <c r="K6" s="1085"/>
      <c r="L6" s="1086"/>
      <c r="M6" s="3017"/>
      <c r="N6" s="3018"/>
      <c r="O6" s="1085"/>
      <c r="P6" s="1086"/>
      <c r="Q6" s="3023"/>
      <c r="R6" s="3029"/>
      <c r="S6" s="1085"/>
      <c r="T6" s="1086"/>
      <c r="U6" s="3023"/>
      <c r="V6" s="3029"/>
      <c r="W6" s="1085"/>
      <c r="X6" s="1086"/>
      <c r="Y6" s="3017"/>
      <c r="Z6" s="3018"/>
      <c r="AA6" s="3010"/>
      <c r="AB6" s="3011"/>
      <c r="AC6" s="1085"/>
      <c r="AD6" s="1086"/>
      <c r="AE6" s="3023"/>
      <c r="AF6" s="3024"/>
      <c r="AG6" s="1085"/>
      <c r="AH6" s="1086"/>
      <c r="AI6" s="3023"/>
      <c r="AJ6" s="3024"/>
      <c r="AK6" s="1085"/>
      <c r="AL6" s="1086"/>
      <c r="AM6" s="3017"/>
      <c r="AN6" s="3018"/>
      <c r="AO6" s="3023"/>
      <c r="AP6" s="3024"/>
      <c r="AQ6" s="1085"/>
      <c r="AR6" s="1086"/>
      <c r="AS6" s="3023"/>
      <c r="AT6" s="3024"/>
      <c r="AU6" s="1085"/>
      <c r="AV6" s="1086"/>
      <c r="AW6" s="3023"/>
      <c r="AX6" s="3024"/>
      <c r="AY6" s="1085"/>
      <c r="AZ6" s="1086"/>
      <c r="BA6" s="3017"/>
      <c r="BB6" s="3018"/>
      <c r="BC6" s="3010"/>
      <c r="BD6" s="3011"/>
      <c r="BE6" s="3023"/>
      <c r="BF6" s="3024"/>
    </row>
    <row r="7" spans="1:63" ht="15.75" x14ac:dyDescent="0.25">
      <c r="C7" s="1986" t="s">
        <v>495</v>
      </c>
      <c r="D7" s="1932" t="s">
        <v>50</v>
      </c>
      <c r="E7" s="7631">
        <f>+E33*$E$35/1000</f>
        <v>47406.137438488076</v>
      </c>
      <c r="F7" s="7632">
        <v>62695</v>
      </c>
      <c r="G7" s="1491">
        <f>+G33*$E$35/1000</f>
        <v>59881.993420525469</v>
      </c>
      <c r="H7" s="5632">
        <v>57968</v>
      </c>
      <c r="I7" s="3147">
        <f>+E7+G7</f>
        <v>107288.13085901354</v>
      </c>
      <c r="J7" s="1099">
        <f>+F7+H7</f>
        <v>120663</v>
      </c>
      <c r="K7" s="1491">
        <f>+K33*$E$35/1000</f>
        <v>58033.070427996667</v>
      </c>
      <c r="L7" s="5733">
        <v>59622</v>
      </c>
      <c r="M7" s="1079">
        <f>E7+G7+K7</f>
        <v>165321.20128701022</v>
      </c>
      <c r="N7" s="1080">
        <f>F7+H7+L7</f>
        <v>180285</v>
      </c>
      <c r="O7" s="1491">
        <f>+O33*$E$35/1000</f>
        <v>58726.416550195034</v>
      </c>
      <c r="P7" s="5866">
        <v>66125</v>
      </c>
      <c r="Q7" s="2987">
        <f>+M7+O7</f>
        <v>224047.61783720524</v>
      </c>
      <c r="R7" s="1099">
        <f>+N7+P7</f>
        <v>246410</v>
      </c>
      <c r="S7" s="1491">
        <f>+S33*$E$35/1000</f>
        <v>58726.416550195034</v>
      </c>
      <c r="T7" s="5948">
        <v>59020</v>
      </c>
      <c r="U7" s="4366">
        <f>+Q7+S7</f>
        <v>282774.03438740026</v>
      </c>
      <c r="V7" s="1099">
        <f>+R7+T7</f>
        <v>305430</v>
      </c>
      <c r="W7" s="1491">
        <f>+W33*$E$35/1000</f>
        <v>30819.235131714027</v>
      </c>
      <c r="X7" s="6060">
        <v>57997</v>
      </c>
      <c r="Y7" s="1079">
        <f>O7+S7+W7</f>
        <v>148272.06823210409</v>
      </c>
      <c r="Z7" s="1080">
        <f>P7+T7+X7</f>
        <v>183142</v>
      </c>
      <c r="AA7" s="1082">
        <f>+U7+W7</f>
        <v>313593.26951911428</v>
      </c>
      <c r="AB7" s="1083">
        <f>+V7+X7</f>
        <v>363427</v>
      </c>
      <c r="AC7" s="1491">
        <f>+AC33*$E$35/1000</f>
        <v>59881.993420525469</v>
      </c>
      <c r="AD7" s="6182">
        <v>47901</v>
      </c>
      <c r="AE7" s="2987">
        <f>+AA7+AC7</f>
        <v>373475.26293963974</v>
      </c>
      <c r="AF7" s="1099">
        <f>+AB7+AD7</f>
        <v>411328</v>
      </c>
      <c r="AG7" s="1491">
        <f>+AG33*$E$35/1000</f>
        <v>58033.070427996667</v>
      </c>
      <c r="AH7" s="6370">
        <v>54250</v>
      </c>
      <c r="AI7" s="4653">
        <f>+AE7+AG7</f>
        <v>431508.33336763643</v>
      </c>
      <c r="AJ7" s="1099">
        <f>+AF7+AH7</f>
        <v>465578</v>
      </c>
      <c r="AK7" s="6627">
        <f>+AK33*$E$35/1000</f>
        <v>59881.993420525469</v>
      </c>
      <c r="AL7" s="6628">
        <v>55839</v>
      </c>
      <c r="AM7" s="1079">
        <f>AC7+AG7+AK7</f>
        <v>177797.0572690476</v>
      </c>
      <c r="AN7" s="1080">
        <f>AD7+AH7+AL7</f>
        <v>157990</v>
      </c>
      <c r="AO7" s="2987">
        <f>+AI7+AK7</f>
        <v>491390.32678816188</v>
      </c>
      <c r="AP7" s="1099">
        <f>+AJ7+AL7</f>
        <v>521417</v>
      </c>
      <c r="AQ7" s="6714">
        <f>+AQ33*$E$35/1000</f>
        <v>60806.454916789888</v>
      </c>
      <c r="AR7" s="6713">
        <v>62540</v>
      </c>
      <c r="AS7" s="2987">
        <f>+AO7+AQ7</f>
        <v>552196.78170495178</v>
      </c>
      <c r="AT7" s="1099">
        <f>+AP7+AR7</f>
        <v>583957</v>
      </c>
      <c r="AU7" s="6917">
        <f>+AU33*$E$35/1000</f>
        <v>54335.224442939194</v>
      </c>
      <c r="AV7" s="6918">
        <v>51931</v>
      </c>
      <c r="AW7" s="5078">
        <f>+AS7+AU7</f>
        <v>606532.00614789093</v>
      </c>
      <c r="AX7" s="1099">
        <f>+AT7+AV7</f>
        <v>635888</v>
      </c>
      <c r="AY7" s="1491">
        <f>+AY33*$E$35/1000</f>
        <v>60806.454916789888</v>
      </c>
      <c r="AZ7" s="5127">
        <v>56061</v>
      </c>
      <c r="BA7" s="1079">
        <f>AQ7+AU7+AY7</f>
        <v>175948.13427651898</v>
      </c>
      <c r="BB7" s="1080">
        <f>AR7+AV7+AZ7</f>
        <v>170532</v>
      </c>
      <c r="BC7" s="1082">
        <f>AM7+BA7</f>
        <v>353745.19154556654</v>
      </c>
      <c r="BD7" s="1082">
        <f>AN7+BB7</f>
        <v>328522</v>
      </c>
      <c r="BE7" s="2987">
        <f>+AW7+AY7</f>
        <v>667338.46106468083</v>
      </c>
      <c r="BF7" s="1099">
        <f>+AX7+AZ7</f>
        <v>691949</v>
      </c>
      <c r="BG7" s="1137"/>
      <c r="BH7" s="1137"/>
      <c r="BI7" s="25"/>
      <c r="BJ7" s="25"/>
      <c r="BK7" s="4234"/>
    </row>
    <row r="8" spans="1:63" ht="15.75" x14ac:dyDescent="0.25">
      <c r="A8" s="139"/>
      <c r="B8" s="139"/>
      <c r="C8" s="8271" t="s">
        <v>496</v>
      </c>
      <c r="D8" s="3145" t="s">
        <v>50</v>
      </c>
      <c r="E8" s="7631">
        <f>+E7*E9/100</f>
        <v>11851.534359622021</v>
      </c>
      <c r="F8" s="7632">
        <v>21630</v>
      </c>
      <c r="G8" s="1491">
        <f>+G7*G9/100</f>
        <v>11976.398684105094</v>
      </c>
      <c r="H8" s="5632">
        <v>14492</v>
      </c>
      <c r="I8" s="3147">
        <f>+E8+G8</f>
        <v>23827.933043727113</v>
      </c>
      <c r="J8" s="1099">
        <f>+F8+H8</f>
        <v>36122</v>
      </c>
      <c r="K8" s="1491">
        <f>+K7*K9/100</f>
        <v>11606.614085599333</v>
      </c>
      <c r="L8" s="5733">
        <v>14309</v>
      </c>
      <c r="M8" s="1079">
        <f>E8+G8+K8</f>
        <v>35434.547129326442</v>
      </c>
      <c r="N8" s="1080">
        <f>F8+H8+L8</f>
        <v>50431</v>
      </c>
      <c r="O8" s="1491">
        <f>+O7*O9/100</f>
        <v>11745.283310039005</v>
      </c>
      <c r="P8" s="5866">
        <v>18251</v>
      </c>
      <c r="Q8" s="2987">
        <f>+M8+O8</f>
        <v>47179.830439365447</v>
      </c>
      <c r="R8" s="1099">
        <f>+N8+P8</f>
        <v>68682</v>
      </c>
      <c r="S8" s="1491">
        <f>+S7*S9/100</f>
        <v>11745.283310039005</v>
      </c>
      <c r="T8" s="5948">
        <v>15345</v>
      </c>
      <c r="U8" s="4366">
        <f>+Q8+S8</f>
        <v>58925.113749404452</v>
      </c>
      <c r="V8" s="1099">
        <f>+R8+T8</f>
        <v>84027</v>
      </c>
      <c r="W8" s="1491">
        <f>+W7*W9/100</f>
        <v>6163.8470263428053</v>
      </c>
      <c r="X8" s="6060">
        <v>15590</v>
      </c>
      <c r="Y8" s="1079">
        <f>O8+S8+W8</f>
        <v>29654.413646420817</v>
      </c>
      <c r="Z8" s="1080">
        <f>P8+T8+X8</f>
        <v>49186</v>
      </c>
      <c r="AA8" s="1082">
        <f>+U8+W8</f>
        <v>65088.960775747255</v>
      </c>
      <c r="AB8" s="1083">
        <f>+V8+X8</f>
        <v>99617</v>
      </c>
      <c r="AC8" s="1491">
        <f>+AC7*AC9/100</f>
        <v>11976.398684105094</v>
      </c>
      <c r="AD8" s="6182">
        <v>14399</v>
      </c>
      <c r="AE8" s="2987">
        <f>+AA8+AC8</f>
        <v>77065.359459852349</v>
      </c>
      <c r="AF8" s="1099">
        <f>+AB8+AD8</f>
        <v>114016</v>
      </c>
      <c r="AG8" s="1491">
        <f>+AG7*AG9/100</f>
        <v>11606.614085599333</v>
      </c>
      <c r="AH8" s="6370">
        <v>13904</v>
      </c>
      <c r="AI8" s="4653">
        <f>+AE8+AG8</f>
        <v>88671.973545451678</v>
      </c>
      <c r="AJ8" s="1099">
        <f>+AF8+AH8</f>
        <v>127920</v>
      </c>
      <c r="AK8" s="6627">
        <f>+AK7*AK9/100</f>
        <v>11976.398684105094</v>
      </c>
      <c r="AL8" s="6628">
        <v>13680</v>
      </c>
      <c r="AM8" s="1079">
        <f>AC8+AG8+AK8</f>
        <v>35559.411453809516</v>
      </c>
      <c r="AN8" s="1080">
        <f>AD8+AH8+AL8</f>
        <v>41983</v>
      </c>
      <c r="AO8" s="2987">
        <f>+AI8+AK8</f>
        <v>100648.37222955677</v>
      </c>
      <c r="AP8" s="1099">
        <f>+AJ8+AL8</f>
        <v>141600</v>
      </c>
      <c r="AQ8" s="6714">
        <f>+AQ7*AQ9/100</f>
        <v>12161.290983357976</v>
      </c>
      <c r="AR8" s="6713">
        <v>16886</v>
      </c>
      <c r="AS8" s="2987">
        <f>+AO8+AQ8</f>
        <v>112809.66321291475</v>
      </c>
      <c r="AT8" s="1099">
        <f>+AP8+AR8</f>
        <v>158486</v>
      </c>
      <c r="AU8" s="6917">
        <f>+AU7*AU9/100</f>
        <v>10867.044888587838</v>
      </c>
      <c r="AV8" s="6918">
        <v>13762</v>
      </c>
      <c r="AW8" s="5078">
        <f>+AS8+AU8</f>
        <v>123676.70810150259</v>
      </c>
      <c r="AX8" s="1099">
        <f>+AT8+AV8</f>
        <v>172248</v>
      </c>
      <c r="AY8" s="1491">
        <f>+AY7*AY9/100</f>
        <v>12161.290983357976</v>
      </c>
      <c r="AZ8" s="5127">
        <v>15445</v>
      </c>
      <c r="BA8" s="1079">
        <f>AQ8+AU8+AY8</f>
        <v>35189.626855303788</v>
      </c>
      <c r="BB8" s="1080">
        <f>AR8+AV8+AZ8</f>
        <v>46093</v>
      </c>
      <c r="BC8" s="1082">
        <f>AM8+BA8</f>
        <v>70749.038309113297</v>
      </c>
      <c r="BD8" s="1082">
        <f>AN8+BB8</f>
        <v>88076</v>
      </c>
      <c r="BE8" s="2987">
        <f>+AW8+AY8</f>
        <v>135837.99908486055</v>
      </c>
      <c r="BF8" s="1099">
        <f>+AX8+AZ8</f>
        <v>187693</v>
      </c>
      <c r="BG8" s="1137"/>
      <c r="BH8" s="1137"/>
      <c r="BI8" s="25"/>
      <c r="BJ8" s="25"/>
      <c r="BK8" s="4234"/>
    </row>
    <row r="9" spans="1:63" ht="15.75" x14ac:dyDescent="0.25">
      <c r="A9" s="139"/>
      <c r="B9" s="139"/>
      <c r="C9" s="8271"/>
      <c r="D9" s="3145" t="s">
        <v>49</v>
      </c>
      <c r="E9" s="7630">
        <v>25</v>
      </c>
      <c r="F9" s="1078">
        <f>+F8/F7*100</f>
        <v>34.500358880293483</v>
      </c>
      <c r="G9" s="5631">
        <v>20</v>
      </c>
      <c r="H9" s="1078">
        <f>+H8/H7*100</f>
        <v>25</v>
      </c>
      <c r="I9" s="3144">
        <f>+I8/I7*100</f>
        <v>22.209290862788173</v>
      </c>
      <c r="J9" s="3025">
        <f>+J8/J7*100</f>
        <v>29.936268781648064</v>
      </c>
      <c r="K9" s="5732">
        <v>20</v>
      </c>
      <c r="L9" s="1078">
        <f>+L8/L7*100</f>
        <v>23.999530374693904</v>
      </c>
      <c r="M9" s="2988">
        <f>+M8/M7*100</f>
        <v>21.433758558171473</v>
      </c>
      <c r="N9" s="3019">
        <f>+N8/N7*100</f>
        <v>27.97293174695621</v>
      </c>
      <c r="O9" s="5865">
        <v>20</v>
      </c>
      <c r="P9" s="1078">
        <f>+P8/P7*100</f>
        <v>27.600756143667297</v>
      </c>
      <c r="Q9" s="2990">
        <f>+Q8/Q7*100</f>
        <v>21.057947812525587</v>
      </c>
      <c r="R9" s="3025">
        <f>+R8/R7*100</f>
        <v>27.873057099955357</v>
      </c>
      <c r="S9" s="5947">
        <v>20</v>
      </c>
      <c r="T9" s="1078">
        <f>+T8/T7*100</f>
        <v>25.999661131819725</v>
      </c>
      <c r="U9" s="4367">
        <f>+U8/U7*100</f>
        <v>20.838233565914006</v>
      </c>
      <c r="V9" s="3025">
        <f>+V8/V7*100</f>
        <v>27.511049995088893</v>
      </c>
      <c r="W9" s="6059">
        <v>20</v>
      </c>
      <c r="X9" s="1078">
        <f>+X8/X7*100</f>
        <v>26.880700725899615</v>
      </c>
      <c r="Y9" s="2988">
        <f>+Y8/Y7*100</f>
        <v>20</v>
      </c>
      <c r="Z9" s="3019">
        <f>+Z8/Z7*100</f>
        <v>26.856755959856287</v>
      </c>
      <c r="AA9" s="2989">
        <f>+AA8/AA7*100</f>
        <v>20.755853872616331</v>
      </c>
      <c r="AB9" s="3012">
        <f>+AB8/AB7*100</f>
        <v>27.410456570370389</v>
      </c>
      <c r="AC9" s="6181">
        <v>20</v>
      </c>
      <c r="AD9" s="1078">
        <f>+AD8/AD7*100</f>
        <v>30.059915241852984</v>
      </c>
      <c r="AE9" s="2990">
        <f>+AE8/AE7*100</f>
        <v>20.63466234771953</v>
      </c>
      <c r="AF9" s="3025">
        <f>+AF8/AF7*100</f>
        <v>27.718997977283337</v>
      </c>
      <c r="AG9" s="6369">
        <v>20</v>
      </c>
      <c r="AH9" s="1078">
        <f>+AH8/AH7*100</f>
        <v>25.629493087557602</v>
      </c>
      <c r="AI9" s="4654">
        <f>+AI8/AI7*100</f>
        <v>20.549307322392991</v>
      </c>
      <c r="AJ9" s="3025">
        <f>+AJ8/AJ7*100</f>
        <v>27.475525046286553</v>
      </c>
      <c r="AK9" s="6626">
        <v>20</v>
      </c>
      <c r="AL9" s="1078">
        <f>+AL8/AL7*100</f>
        <v>24.499006071025629</v>
      </c>
      <c r="AM9" s="2988">
        <f>+AM8/AM7*100</f>
        <v>20</v>
      </c>
      <c r="AN9" s="3019">
        <f>+AN8/AN7*100</f>
        <v>26.573200835495918</v>
      </c>
      <c r="AO9" s="2990">
        <f>+AO8/AO7*100</f>
        <v>20.482367426200117</v>
      </c>
      <c r="AP9" s="3025">
        <f>+AP8/AP7*100</f>
        <v>27.156767040583642</v>
      </c>
      <c r="AQ9" s="6712">
        <v>20</v>
      </c>
      <c r="AR9" s="1078">
        <f>+AR8/AR7*100</f>
        <v>27.000319795330991</v>
      </c>
      <c r="AS9" s="2990">
        <f>+AS8/AS7*100</f>
        <v>20.429250395955929</v>
      </c>
      <c r="AT9" s="3025">
        <f>+AT8/AT7*100</f>
        <v>27.140012021433087</v>
      </c>
      <c r="AU9" s="6916">
        <v>20</v>
      </c>
      <c r="AV9" s="1078">
        <f>+AV8/AV7*100</f>
        <v>26.500548805145289</v>
      </c>
      <c r="AW9" s="5077">
        <f>+AW8/AW7*100</f>
        <v>20.390796668254708</v>
      </c>
      <c r="AX9" s="3025">
        <f>+AX8/AX7*100</f>
        <v>27.087789044611633</v>
      </c>
      <c r="AY9" s="5126">
        <v>20</v>
      </c>
      <c r="AZ9" s="1078">
        <f>+AZ8/AZ7*100</f>
        <v>27.550346943507964</v>
      </c>
      <c r="BA9" s="2988">
        <f t="shared" ref="BA9:BF9" si="0">+BA8/BA7*100</f>
        <v>19.999999999999996</v>
      </c>
      <c r="BB9" s="3019">
        <f t="shared" si="0"/>
        <v>27.02894471418854</v>
      </c>
      <c r="BC9" s="2989">
        <f t="shared" si="0"/>
        <v>19.999999999999996</v>
      </c>
      <c r="BD9" s="3012">
        <f t="shared" si="0"/>
        <v>26.809772252695407</v>
      </c>
      <c r="BE9" s="2990">
        <f t="shared" si="0"/>
        <v>20.355188110714128</v>
      </c>
      <c r="BF9" s="3025">
        <f t="shared" si="0"/>
        <v>27.125265012305821</v>
      </c>
      <c r="BG9" s="1137"/>
      <c r="BH9" s="1137"/>
      <c r="BI9" s="25"/>
      <c r="BJ9" s="25"/>
      <c r="BK9" s="4234"/>
    </row>
    <row r="10" spans="1:63" ht="15.75" x14ac:dyDescent="0.25">
      <c r="A10" s="139"/>
      <c r="B10" s="139"/>
      <c r="C10" s="3146" t="s">
        <v>497</v>
      </c>
      <c r="D10" s="3145" t="s">
        <v>50</v>
      </c>
      <c r="E10" s="7631">
        <f>+E7-E8</f>
        <v>35554.603078866057</v>
      </c>
      <c r="F10" s="7632">
        <f>+F7-F8</f>
        <v>41065</v>
      </c>
      <c r="G10" s="1491">
        <f>+G7-G8</f>
        <v>47905.594736420375</v>
      </c>
      <c r="H10" s="5632">
        <f>+H7-H8</f>
        <v>43476</v>
      </c>
      <c r="I10" s="3147">
        <f>+E10+G10</f>
        <v>83460.197815286432</v>
      </c>
      <c r="J10" s="1099">
        <f>+F10+H10</f>
        <v>84541</v>
      </c>
      <c r="K10" s="1491">
        <f>+K7-K8</f>
        <v>46426.45634239733</v>
      </c>
      <c r="L10" s="5733">
        <f>+L7-L8</f>
        <v>45313</v>
      </c>
      <c r="M10" s="1079">
        <f>E10+G10+K10</f>
        <v>129886.65415768376</v>
      </c>
      <c r="N10" s="1080">
        <f>F10+H10+L10</f>
        <v>129854</v>
      </c>
      <c r="O10" s="1491">
        <f>+O7-O8</f>
        <v>46981.133240156028</v>
      </c>
      <c r="P10" s="5866">
        <f>+P7-P8</f>
        <v>47874</v>
      </c>
      <c r="Q10" s="2987">
        <f>+M10+O10</f>
        <v>176867.7873978398</v>
      </c>
      <c r="R10" s="1099">
        <f>+N10+P10</f>
        <v>177728</v>
      </c>
      <c r="S10" s="1491">
        <f>+S7-S8</f>
        <v>46981.133240156028</v>
      </c>
      <c r="T10" s="5948">
        <f>+T7-T8</f>
        <v>43675</v>
      </c>
      <c r="U10" s="4366">
        <f>+Q10+S10</f>
        <v>223848.92063799582</v>
      </c>
      <c r="V10" s="1099">
        <f>+R10+T10</f>
        <v>221403</v>
      </c>
      <c r="W10" s="1491">
        <f>+W7-W8</f>
        <v>24655.388105371221</v>
      </c>
      <c r="X10" s="6060">
        <f>+X7-X8</f>
        <v>42407</v>
      </c>
      <c r="Y10" s="1079">
        <f>O10+S10+W10</f>
        <v>118617.65458568328</v>
      </c>
      <c r="Z10" s="1080">
        <f>P10+T10+X10</f>
        <v>133956</v>
      </c>
      <c r="AA10" s="1082">
        <f>+U10+W10</f>
        <v>248504.30874336703</v>
      </c>
      <c r="AB10" s="1083">
        <f>+V10+X10</f>
        <v>263810</v>
      </c>
      <c r="AC10" s="1491">
        <f>+AC7-AC8</f>
        <v>47905.594736420375</v>
      </c>
      <c r="AD10" s="6182">
        <f>+AD7-AD8</f>
        <v>33502</v>
      </c>
      <c r="AE10" s="2987">
        <f>+AA10+AC10</f>
        <v>296409.9034797874</v>
      </c>
      <c r="AF10" s="1099">
        <f>+AB10+AD10</f>
        <v>297312</v>
      </c>
      <c r="AG10" s="1491">
        <f>+AG7-AG8</f>
        <v>46426.45634239733</v>
      </c>
      <c r="AH10" s="6370">
        <f>+AH7-AH8</f>
        <v>40346</v>
      </c>
      <c r="AI10" s="4653">
        <f>+AE10+AG10</f>
        <v>342836.35982218472</v>
      </c>
      <c r="AJ10" s="1099">
        <f>+AF10+AH10</f>
        <v>337658</v>
      </c>
      <c r="AK10" s="6627">
        <f>+AK7-AK8</f>
        <v>47905.594736420375</v>
      </c>
      <c r="AL10" s="6628">
        <f>+AL7-AL8</f>
        <v>42159</v>
      </c>
      <c r="AM10" s="1079">
        <f>AC10+AG10+AK10</f>
        <v>142237.64581523807</v>
      </c>
      <c r="AN10" s="1080">
        <f>AD10+AH10+AL10</f>
        <v>116007</v>
      </c>
      <c r="AO10" s="2987">
        <f>+AI10+AK10</f>
        <v>390741.9545586051</v>
      </c>
      <c r="AP10" s="1099">
        <f>+AJ10+AL10</f>
        <v>379817</v>
      </c>
      <c r="AQ10" s="6714">
        <f>+AQ7-AQ8</f>
        <v>48645.163933431912</v>
      </c>
      <c r="AR10" s="6713">
        <f>+AR7-AR8</f>
        <v>45654</v>
      </c>
      <c r="AS10" s="2987">
        <f>+AO10+AQ10</f>
        <v>439387.118492037</v>
      </c>
      <c r="AT10" s="1099">
        <f>+AP10+AR10</f>
        <v>425471</v>
      </c>
      <c r="AU10" s="6917">
        <f>+AU7-AU8</f>
        <v>43468.179554351358</v>
      </c>
      <c r="AV10" s="6918">
        <f>+AV7-AV8</f>
        <v>38169</v>
      </c>
      <c r="AW10" s="5078">
        <f>+AS10+AU10</f>
        <v>482855.29804638837</v>
      </c>
      <c r="AX10" s="1099">
        <f>+AT10+AV10</f>
        <v>463640</v>
      </c>
      <c r="AY10" s="1491">
        <f>+AY7-AY8</f>
        <v>48645.163933431912</v>
      </c>
      <c r="AZ10" s="5127">
        <f>+AZ7-AZ8</f>
        <v>40616</v>
      </c>
      <c r="BA10" s="1079">
        <f>AQ10+AU10+AY10</f>
        <v>140758.50742121518</v>
      </c>
      <c r="BB10" s="1080">
        <f>AR10+AV10+AZ10</f>
        <v>124439</v>
      </c>
      <c r="BC10" s="1082">
        <f t="shared" ref="BC10:BC11" si="1">AM10+BA10</f>
        <v>282996.15323645325</v>
      </c>
      <c r="BD10" s="1082">
        <f t="shared" ref="BD10:BD11" si="2">AN10+BB10</f>
        <v>240446</v>
      </c>
      <c r="BE10" s="2987">
        <f>+AW10+AY10</f>
        <v>531500.46197982028</v>
      </c>
      <c r="BF10" s="1099">
        <f>+AX10+AZ10</f>
        <v>504256</v>
      </c>
      <c r="BG10" s="1137"/>
      <c r="BH10" s="1137"/>
      <c r="BI10" s="25"/>
      <c r="BJ10" s="25"/>
      <c r="BK10" s="4234"/>
    </row>
    <row r="11" spans="1:63" ht="15.75" x14ac:dyDescent="0.25">
      <c r="A11" s="139"/>
      <c r="B11" s="139"/>
      <c r="C11" s="3146" t="s">
        <v>498</v>
      </c>
      <c r="D11" s="3145" t="s">
        <v>50</v>
      </c>
      <c r="E11" s="7631">
        <f>+E10*E12/100</f>
        <v>19910.577724164992</v>
      </c>
      <c r="F11" s="7632">
        <v>22586</v>
      </c>
      <c r="G11" s="1491">
        <f>+G10*G12/100</f>
        <v>26827.133052395409</v>
      </c>
      <c r="H11" s="5632">
        <v>23912</v>
      </c>
      <c r="I11" s="3147">
        <f>+E11+G11</f>
        <v>46737.710776560401</v>
      </c>
      <c r="J11" s="1099">
        <f>+F11+H11</f>
        <v>46498</v>
      </c>
      <c r="K11" s="1491">
        <f>+K10*K12/100</f>
        <v>25998.815551742508</v>
      </c>
      <c r="L11" s="5733">
        <v>24922</v>
      </c>
      <c r="M11" s="1079">
        <f>E11+G11+K11</f>
        <v>72736.526328302905</v>
      </c>
      <c r="N11" s="1080">
        <f>F11+H11+L11</f>
        <v>71420</v>
      </c>
      <c r="O11" s="1491">
        <f>+O10*O12/100</f>
        <v>26309.434614487374</v>
      </c>
      <c r="P11" s="5866">
        <v>26331</v>
      </c>
      <c r="Q11" s="2987">
        <f>+M11+O11</f>
        <v>99045.960942790276</v>
      </c>
      <c r="R11" s="1099">
        <f>+N11+P11</f>
        <v>97751</v>
      </c>
      <c r="S11" s="1491">
        <f>+S10*S12/100</f>
        <v>26309.434614487374</v>
      </c>
      <c r="T11" s="5948">
        <v>24021</v>
      </c>
      <c r="U11" s="4366">
        <f>+Q11+S11</f>
        <v>125355.39555727765</v>
      </c>
      <c r="V11" s="1099">
        <f>+R11+T11</f>
        <v>121772</v>
      </c>
      <c r="W11" s="1491">
        <f>+W10*W12/100</f>
        <v>13807.017339007885</v>
      </c>
      <c r="X11" s="6060">
        <v>23324</v>
      </c>
      <c r="Y11" s="1079">
        <f>O11+S11+W11</f>
        <v>66425.886567982641</v>
      </c>
      <c r="Z11" s="1080">
        <f>P11+T11+X11</f>
        <v>73676</v>
      </c>
      <c r="AA11" s="1082">
        <f>+U11+W11</f>
        <v>139162.41289628553</v>
      </c>
      <c r="AB11" s="1083">
        <f>+V11+X11</f>
        <v>145096</v>
      </c>
      <c r="AC11" s="1491">
        <f>+AC10*AC12/100</f>
        <v>26827.133052395409</v>
      </c>
      <c r="AD11" s="6182">
        <v>18426</v>
      </c>
      <c r="AE11" s="2987">
        <f>+AA11+AC11</f>
        <v>165989.54594868096</v>
      </c>
      <c r="AF11" s="1099">
        <f>+AB11+AD11</f>
        <v>163522</v>
      </c>
      <c r="AG11" s="1491">
        <f>+AG10*AG12/100</f>
        <v>25998.815551742508</v>
      </c>
      <c r="AH11" s="6370">
        <v>22190</v>
      </c>
      <c r="AI11" s="4653">
        <f>+AE11+AG11</f>
        <v>191988.36150042346</v>
      </c>
      <c r="AJ11" s="1099">
        <f>+AF11+AH11</f>
        <v>185712</v>
      </c>
      <c r="AK11" s="6627">
        <f>+AK10*AK12/100</f>
        <v>26827.133052395409</v>
      </c>
      <c r="AL11" s="6628">
        <v>23187</v>
      </c>
      <c r="AM11" s="1079">
        <f>AC11+AG11+AK11</f>
        <v>79653.081656533323</v>
      </c>
      <c r="AN11" s="1080">
        <f>AD11+AH11+AL11</f>
        <v>63803</v>
      </c>
      <c r="AO11" s="2987">
        <f>+AI11+AK11</f>
        <v>218815.49455281888</v>
      </c>
      <c r="AP11" s="1099">
        <f>+AJ11+AL11</f>
        <v>208899</v>
      </c>
      <c r="AQ11" s="6714">
        <f>+AQ10*AQ12/100</f>
        <v>27241.291802721869</v>
      </c>
      <c r="AR11" s="6713">
        <v>25110</v>
      </c>
      <c r="AS11" s="2987">
        <f>+AO11+AQ11</f>
        <v>246056.78635554074</v>
      </c>
      <c r="AT11" s="1099">
        <f>+AP11+AR11</f>
        <v>234009</v>
      </c>
      <c r="AU11" s="6917">
        <f>+AU10*AU12/100</f>
        <v>24342.180550436758</v>
      </c>
      <c r="AV11" s="6918">
        <v>20993</v>
      </c>
      <c r="AW11" s="5078">
        <f>+AS11+AU11</f>
        <v>270398.96690597752</v>
      </c>
      <c r="AX11" s="1099">
        <f>+AT11+AV11</f>
        <v>255002</v>
      </c>
      <c r="AY11" s="1491">
        <f>+AY10*AY12/100</f>
        <v>27241.291802721869</v>
      </c>
      <c r="AZ11" s="5127">
        <v>22745</v>
      </c>
      <c r="BA11" s="1079">
        <f>AQ11+AU11+AY11</f>
        <v>78824.76415588049</v>
      </c>
      <c r="BB11" s="1080">
        <f>AR11+AV11+AZ11</f>
        <v>68848</v>
      </c>
      <c r="BC11" s="1082">
        <f t="shared" si="1"/>
        <v>158477.84581241381</v>
      </c>
      <c r="BD11" s="1082">
        <f t="shared" si="2"/>
        <v>132651</v>
      </c>
      <c r="BE11" s="2987">
        <f>+AW11+AY11</f>
        <v>297640.25870869937</v>
      </c>
      <c r="BF11" s="1099">
        <f>+AX11+AZ11</f>
        <v>277747</v>
      </c>
      <c r="BG11" s="1137"/>
      <c r="BH11" s="1137"/>
      <c r="BI11" s="25"/>
      <c r="BJ11" s="25"/>
      <c r="BK11" s="4234"/>
    </row>
    <row r="12" spans="1:63" ht="15.75" x14ac:dyDescent="0.25">
      <c r="A12" s="139"/>
      <c r="B12" s="139"/>
      <c r="C12" s="3146" t="s">
        <v>499</v>
      </c>
      <c r="D12" s="3145" t="s">
        <v>49</v>
      </c>
      <c r="E12" s="7630">
        <v>56</v>
      </c>
      <c r="F12" s="1065">
        <f>+F11/F10*100</f>
        <v>55.000608790941186</v>
      </c>
      <c r="G12" s="5631">
        <v>56</v>
      </c>
      <c r="H12" s="1065">
        <f>+H11/H10*100</f>
        <v>55.000460023921249</v>
      </c>
      <c r="I12" s="3144">
        <f>+I11/I10*100</f>
        <v>55.999999999999993</v>
      </c>
      <c r="J12" s="3025">
        <f>+J11/J10*100</f>
        <v>55.000532286109696</v>
      </c>
      <c r="K12" s="5732">
        <v>56</v>
      </c>
      <c r="L12" s="1065">
        <f>+L11/L10*100</f>
        <v>54.999668969169988</v>
      </c>
      <c r="M12" s="2988">
        <f>+M11/M10*100</f>
        <v>55.999999999999993</v>
      </c>
      <c r="N12" s="1081">
        <f>+N11/N10*100</f>
        <v>55.000231028693769</v>
      </c>
      <c r="O12" s="5865">
        <v>56</v>
      </c>
      <c r="P12" s="1065">
        <f>+P11/P10*100</f>
        <v>55.000626644942976</v>
      </c>
      <c r="Q12" s="2990">
        <f>+Q11/Q10*100</f>
        <v>55.999999999999993</v>
      </c>
      <c r="R12" s="1100">
        <f>+R11/R10*100</f>
        <v>55.000337594526471</v>
      </c>
      <c r="S12" s="5947">
        <v>56</v>
      </c>
      <c r="T12" s="1065">
        <f>+T11/T10*100</f>
        <v>54.999427590154546</v>
      </c>
      <c r="U12" s="4367">
        <f>+U11/U10*100</f>
        <v>55.999999999999993</v>
      </c>
      <c r="V12" s="1100">
        <f>+V11/V10*100</f>
        <v>55.000158082772145</v>
      </c>
      <c r="W12" s="6059">
        <v>56</v>
      </c>
      <c r="X12" s="1065">
        <f>+X11/X10*100</f>
        <v>55.000353715188531</v>
      </c>
      <c r="Y12" s="2988">
        <f>+Y11/Y10*100</f>
        <v>56.000000000000007</v>
      </c>
      <c r="Z12" s="1081">
        <f>+Z11/Z10*100</f>
        <v>55.000149302756128</v>
      </c>
      <c r="AA12" s="2989">
        <f>+AA11/AA10*100</f>
        <v>55.999999999999993</v>
      </c>
      <c r="AB12" s="3012">
        <f>+AB11/AB10*100</f>
        <v>55.00018953034381</v>
      </c>
      <c r="AC12" s="6181">
        <v>56</v>
      </c>
      <c r="AD12" s="1065">
        <f>+AD11/AD10*100</f>
        <v>54.999701510357589</v>
      </c>
      <c r="AE12" s="2990">
        <f>+AE11/AE10*100</f>
        <v>56.000000000000007</v>
      </c>
      <c r="AF12" s="1100">
        <f>+AF11/AF10*100</f>
        <v>55.000134538800992</v>
      </c>
      <c r="AG12" s="6369">
        <v>56</v>
      </c>
      <c r="AH12" s="1065">
        <f>+AH11/AH10*100</f>
        <v>54.999256431864374</v>
      </c>
      <c r="AI12" s="4654">
        <f>+AI11/AI10*100</f>
        <v>56.000000000000007</v>
      </c>
      <c r="AJ12" s="1100">
        <f>+AJ11/AJ10*100</f>
        <v>55.000029615765065</v>
      </c>
      <c r="AK12" s="6626">
        <v>56</v>
      </c>
      <c r="AL12" s="1065">
        <f>+AL11/AL10*100</f>
        <v>54.998932612253611</v>
      </c>
      <c r="AM12" s="2988">
        <f>+AM11/AM10*100</f>
        <v>56.000000000000007</v>
      </c>
      <c r="AN12" s="1081">
        <f>+AN11/AN10*100</f>
        <v>54.999267285594833</v>
      </c>
      <c r="AO12" s="2990">
        <f>+AO11/AO10*100</f>
        <v>56.000000000000007</v>
      </c>
      <c r="AP12" s="1100">
        <f>+AP11/AP10*100</f>
        <v>54.99990785035952</v>
      </c>
      <c r="AQ12" s="6712">
        <v>56</v>
      </c>
      <c r="AR12" s="1065">
        <f>+AR11/AR10*100</f>
        <v>55.000657116572484</v>
      </c>
      <c r="AS12" s="2990">
        <f>+AS11/AS10*100</f>
        <v>56.000000000000007</v>
      </c>
      <c r="AT12" s="1100">
        <f>+AT11/AT10*100</f>
        <v>54.999988248317742</v>
      </c>
      <c r="AU12" s="6916">
        <v>56</v>
      </c>
      <c r="AV12" s="1065">
        <f>+AV11/AV10*100</f>
        <v>55.000130996358301</v>
      </c>
      <c r="AW12" s="5077">
        <f>+AW11/AW10*100</f>
        <v>56.000000000000007</v>
      </c>
      <c r="AX12" s="1100">
        <f>+AX11/AX10*100</f>
        <v>55.000000000000007</v>
      </c>
      <c r="AY12" s="5126">
        <v>56</v>
      </c>
      <c r="AZ12" s="1065">
        <f>+AZ11/AZ10*100</f>
        <v>56.000098483356311</v>
      </c>
      <c r="BA12" s="2988">
        <f t="shared" ref="BA12:BF12" si="3">+BA11/BA10*100</f>
        <v>55.999999999999993</v>
      </c>
      <c r="BB12" s="1081">
        <f t="shared" si="3"/>
        <v>55.326706257684485</v>
      </c>
      <c r="BC12" s="2989">
        <f t="shared" si="3"/>
        <v>55.999999999999993</v>
      </c>
      <c r="BD12" s="3012">
        <f t="shared" si="3"/>
        <v>55.168728113588919</v>
      </c>
      <c r="BE12" s="2990">
        <f t="shared" si="3"/>
        <v>56.000000000000007</v>
      </c>
      <c r="BF12" s="1100">
        <f t="shared" si="3"/>
        <v>55.080554321614414</v>
      </c>
      <c r="BG12" s="1137"/>
      <c r="BH12" s="1137"/>
      <c r="BI12" s="25"/>
      <c r="BJ12" s="25"/>
      <c r="BK12" s="4234"/>
    </row>
    <row r="13" spans="1:63" ht="15.75" x14ac:dyDescent="0.25">
      <c r="A13" s="139"/>
      <c r="B13" s="139"/>
      <c r="C13" s="3146" t="s">
        <v>1287</v>
      </c>
      <c r="D13" s="3145" t="s">
        <v>50</v>
      </c>
      <c r="E13" s="7631">
        <f>+E11*E14/100</f>
        <v>6180.5722413167668</v>
      </c>
      <c r="F13" s="1065">
        <v>6908</v>
      </c>
      <c r="G13" s="1491">
        <f>+G11*G14/100</f>
        <v>9389.4965683383944</v>
      </c>
      <c r="H13" s="1065">
        <v>7468</v>
      </c>
      <c r="I13" s="3147">
        <f>+E13+G13</f>
        <v>15570.06880965516</v>
      </c>
      <c r="J13" s="1100">
        <f>+F13+H13</f>
        <v>14376</v>
      </c>
      <c r="K13" s="1491">
        <f>+K11*K14/100</f>
        <v>9099.5854431098778</v>
      </c>
      <c r="L13" s="1065">
        <v>8277</v>
      </c>
      <c r="M13" s="1079">
        <f>E13+G13+K13</f>
        <v>24669.654252765038</v>
      </c>
      <c r="N13" s="1080">
        <f>F13+H13+L13</f>
        <v>22653</v>
      </c>
      <c r="O13" s="1491">
        <f>+O11*O14/100</f>
        <v>9208.3021150705808</v>
      </c>
      <c r="P13" s="1065">
        <v>7984</v>
      </c>
      <c r="Q13" s="2987">
        <f>+M13+O13</f>
        <v>33877.956367835621</v>
      </c>
      <c r="R13" s="1100">
        <f>+N13+P13</f>
        <v>30637</v>
      </c>
      <c r="S13" s="1491">
        <f>+S11*S14/100</f>
        <v>9208.3021150705808</v>
      </c>
      <c r="T13" s="1065">
        <v>7512</v>
      </c>
      <c r="U13" s="4366">
        <f>+Q13+S13</f>
        <v>43086.258482906203</v>
      </c>
      <c r="V13" s="1100">
        <f>+R13+T13</f>
        <v>38149</v>
      </c>
      <c r="W13" s="1491">
        <f>+W11*W14/100</f>
        <v>4832.4560686527602</v>
      </c>
      <c r="X13" s="1065">
        <v>7087</v>
      </c>
      <c r="Y13" s="1079">
        <f>O13+S13+W13</f>
        <v>23249.06029879392</v>
      </c>
      <c r="Z13" s="1080">
        <f>P13+T13+X13</f>
        <v>22583</v>
      </c>
      <c r="AA13" s="1082">
        <f>+U13+W13</f>
        <v>47918.714551558965</v>
      </c>
      <c r="AB13" s="1083">
        <f>+V13+X13</f>
        <v>45236</v>
      </c>
      <c r="AC13" s="1491">
        <f>+AC11*AC14/100</f>
        <v>9389.4965683383944</v>
      </c>
      <c r="AD13" s="1065">
        <v>4824</v>
      </c>
      <c r="AE13" s="2987">
        <f>+AA13+AC13</f>
        <v>57308.211119897358</v>
      </c>
      <c r="AF13" s="1100">
        <f>+AB13+AD13</f>
        <v>50060</v>
      </c>
      <c r="AG13" s="1491">
        <f>+AG11*AG14/100</f>
        <v>9099.5854431098778</v>
      </c>
      <c r="AH13" s="1065">
        <v>7270</v>
      </c>
      <c r="AI13" s="4653">
        <f>+AE13+AG13</f>
        <v>66407.796563007229</v>
      </c>
      <c r="AJ13" s="1100">
        <f>+AF13+AH13</f>
        <v>57330</v>
      </c>
      <c r="AK13" s="6627">
        <f>+AK11*AK14/100</f>
        <v>9389.4965683383944</v>
      </c>
      <c r="AL13" s="1065">
        <v>7476</v>
      </c>
      <c r="AM13" s="1079">
        <f>AC13+AG13+AK13</f>
        <v>27878.578579786663</v>
      </c>
      <c r="AN13" s="1080">
        <f>AD13+AH13+AL13</f>
        <v>19570</v>
      </c>
      <c r="AO13" s="2987">
        <f>+AI13+AK13</f>
        <v>75797.293131345621</v>
      </c>
      <c r="AP13" s="1100">
        <f>+AJ13+AL13</f>
        <v>64806</v>
      </c>
      <c r="AQ13" s="6714">
        <f>+AQ11*AQ14/100</f>
        <v>9534.4521309526535</v>
      </c>
      <c r="AR13" s="1065">
        <v>7480</v>
      </c>
      <c r="AS13" s="2987">
        <f>+AO13+AQ13</f>
        <v>85331.745262298267</v>
      </c>
      <c r="AT13" s="1100">
        <f>+AP13+AR13</f>
        <v>72286</v>
      </c>
      <c r="AU13" s="6917">
        <f>+AU11*AU14/100</f>
        <v>8519.7631926528647</v>
      </c>
      <c r="AV13" s="1065">
        <v>6005</v>
      </c>
      <c r="AW13" s="5078">
        <f>+AS13+AU13</f>
        <v>93851.508454951138</v>
      </c>
      <c r="AX13" s="1100">
        <f>+AT13+AV13</f>
        <v>78291</v>
      </c>
      <c r="AY13" s="1491">
        <f>+AY11*AY14/100</f>
        <v>9534.4521309526535</v>
      </c>
      <c r="AZ13" s="1065">
        <v>6683</v>
      </c>
      <c r="BA13" s="1079">
        <f>AQ13+AU13+AY13</f>
        <v>27588.66745455817</v>
      </c>
      <c r="BB13" s="1080">
        <f>AR13+AV13+AZ13</f>
        <v>20168</v>
      </c>
      <c r="BC13" s="1082">
        <f>AM13+BA13</f>
        <v>55467.246034344833</v>
      </c>
      <c r="BD13" s="1082">
        <f>AN13+BB13</f>
        <v>39738</v>
      </c>
      <c r="BE13" s="2987">
        <f>+AW13+AY13</f>
        <v>103385.96058590378</v>
      </c>
      <c r="BF13" s="1100">
        <f>+AX13+AZ13</f>
        <v>84974</v>
      </c>
      <c r="BG13" s="1137"/>
      <c r="BH13" s="1137"/>
      <c r="BI13" s="25"/>
      <c r="BJ13" s="25"/>
      <c r="BK13" s="4234"/>
    </row>
    <row r="14" spans="1:63" ht="15.75" x14ac:dyDescent="0.25">
      <c r="A14" s="139"/>
      <c r="B14" s="139"/>
      <c r="C14" s="3146" t="s">
        <v>587</v>
      </c>
      <c r="D14" s="3145" t="s">
        <v>49</v>
      </c>
      <c r="E14" s="7630">
        <v>31.04165196480238</v>
      </c>
      <c r="F14" s="1065">
        <f>+F13/F11*100</f>
        <v>30.585318338793943</v>
      </c>
      <c r="G14" s="5631">
        <v>35</v>
      </c>
      <c r="H14" s="1065">
        <f>+H13/H11*100</f>
        <v>31.231180996988961</v>
      </c>
      <c r="I14" s="3144">
        <f>+I13/I11*100</f>
        <v>33.313717233801192</v>
      </c>
      <c r="J14" s="3025">
        <f>+J13/J11*100</f>
        <v>30.917458815432923</v>
      </c>
      <c r="K14" s="5732">
        <v>35</v>
      </c>
      <c r="L14" s="1065">
        <f>+L13/L11*100</f>
        <v>33.211620255196209</v>
      </c>
      <c r="M14" s="2988">
        <f>+M13/M11*100</f>
        <v>33.916459168556273</v>
      </c>
      <c r="N14" s="3019">
        <f>+N13/N11*100</f>
        <v>31.718006160739286</v>
      </c>
      <c r="O14" s="5865">
        <v>35</v>
      </c>
      <c r="P14" s="1065">
        <f>+P13/P11*100</f>
        <v>30.321674072386163</v>
      </c>
      <c r="Q14" s="2990">
        <f>+Q13/Q11*100</f>
        <v>34.204278544385872</v>
      </c>
      <c r="R14" s="3025">
        <f>+R13/R11*100</f>
        <v>31.341878855459278</v>
      </c>
      <c r="S14" s="5947">
        <v>35</v>
      </c>
      <c r="T14" s="1065">
        <f>+T13/T11*100</f>
        <v>31.27263644311228</v>
      </c>
      <c r="U14" s="4367">
        <f>+U13/U11*100</f>
        <v>34.371283574482554</v>
      </c>
      <c r="V14" s="3025">
        <f>+V13/V11*100</f>
        <v>31.328219952041518</v>
      </c>
      <c r="W14" s="6059">
        <v>35</v>
      </c>
      <c r="X14" s="1065">
        <f>+X13/X11*100</f>
        <v>30.385011147316071</v>
      </c>
      <c r="Y14" s="2988">
        <f>+Y13/Y11*100</f>
        <v>34.999999999999993</v>
      </c>
      <c r="Z14" s="3019">
        <f>+Z13/Z11*100</f>
        <v>30.651772626092622</v>
      </c>
      <c r="AA14" s="2989">
        <f>+AA13/AA11*100</f>
        <v>34.43366175841723</v>
      </c>
      <c r="AB14" s="3012">
        <f>+AB13/AB11*100</f>
        <v>31.176600319788278</v>
      </c>
      <c r="AC14" s="6181">
        <v>35</v>
      </c>
      <c r="AD14" s="1065">
        <f>+AD13/AD11*100</f>
        <v>26.180397264734612</v>
      </c>
      <c r="AE14" s="2990">
        <f>+AE13/AE11*100</f>
        <v>34.52519301282706</v>
      </c>
      <c r="AF14" s="3025">
        <f>+AF13/AF11*100</f>
        <v>30.61361773950906</v>
      </c>
      <c r="AG14" s="6369">
        <v>35</v>
      </c>
      <c r="AH14" s="1065">
        <f>+AH13/AH11*100</f>
        <v>32.76250563316809</v>
      </c>
      <c r="AI14" s="4654">
        <f>+AI13/AI11*100</f>
        <v>34.589490760803621</v>
      </c>
      <c r="AJ14" s="3025">
        <f>+AJ13/AJ11*100</f>
        <v>30.87037994313776</v>
      </c>
      <c r="AK14" s="6626">
        <v>35</v>
      </c>
      <c r="AL14" s="1065">
        <f>+AL13/AL11*100</f>
        <v>32.242204683658947</v>
      </c>
      <c r="AM14" s="2988">
        <f>+AM13/AM11*100</f>
        <v>35</v>
      </c>
      <c r="AN14" s="3019">
        <f>+AN13/AN11*100</f>
        <v>30.672538908828738</v>
      </c>
      <c r="AO14" s="2990">
        <f>+AO13/AO11*100</f>
        <v>34.63981985656379</v>
      </c>
      <c r="AP14" s="3025">
        <f>+AP13/AP11*100</f>
        <v>31.022647308029239</v>
      </c>
      <c r="AQ14" s="6712">
        <v>35</v>
      </c>
      <c r="AR14" s="1065">
        <f>+AR13/AR11*100</f>
        <v>29.788928713659896</v>
      </c>
      <c r="AS14" s="2990">
        <f>+AS13/AS11*100</f>
        <v>34.679695905236208</v>
      </c>
      <c r="AT14" s="3025">
        <f>+AT13/AT11*100</f>
        <v>30.890264904341286</v>
      </c>
      <c r="AU14" s="6916">
        <v>35</v>
      </c>
      <c r="AV14" s="1065">
        <f>+AV13/AV11*100</f>
        <v>28.604773019577955</v>
      </c>
      <c r="AW14" s="5077">
        <f>+AW13/AW11*100</f>
        <v>34.708530705143176</v>
      </c>
      <c r="AX14" s="3025">
        <f>+AX13/AX11*100</f>
        <v>30.70211214029694</v>
      </c>
      <c r="AY14" s="7076">
        <v>35</v>
      </c>
      <c r="AZ14" s="1065">
        <f>+AZ13/AZ11*100</f>
        <v>29.38228182018026</v>
      </c>
      <c r="BA14" s="2988">
        <f t="shared" ref="BA14:BF14" si="4">+BA13/BA11*100</f>
        <v>35</v>
      </c>
      <c r="BB14" s="3019">
        <f t="shared" si="4"/>
        <v>29.293516151522191</v>
      </c>
      <c r="BC14" s="2989">
        <f t="shared" si="4"/>
        <v>35</v>
      </c>
      <c r="BD14" s="3012">
        <f t="shared" si="4"/>
        <v>29.956803944184362</v>
      </c>
      <c r="BE14" s="2990">
        <f t="shared" si="4"/>
        <v>34.735207204307557</v>
      </c>
      <c r="BF14" s="3025">
        <f t="shared" si="4"/>
        <v>30.594029818503891</v>
      </c>
      <c r="BG14" s="1137"/>
      <c r="BH14" s="1137"/>
      <c r="BI14" s="25"/>
      <c r="BJ14" s="25"/>
      <c r="BK14" s="4234"/>
    </row>
    <row r="15" spans="1:63" ht="15.75" x14ac:dyDescent="0.25">
      <c r="A15" s="139"/>
      <c r="B15" s="139"/>
      <c r="C15" s="2423" t="s">
        <v>1871</v>
      </c>
      <c r="D15" s="3145"/>
      <c r="E15" s="8252">
        <v>300</v>
      </c>
      <c r="F15" s="1065"/>
      <c r="G15" s="8266">
        <v>310</v>
      </c>
      <c r="H15" s="1065"/>
      <c r="I15" s="8268">
        <f>+((E15*E11)+(G11*G15))/(E11+G11)</f>
        <v>305.73993304478438</v>
      </c>
      <c r="J15" s="1100">
        <f>+((F15*F10)+(H10*H15))/(F10+H10)</f>
        <v>0</v>
      </c>
      <c r="K15" s="8266">
        <v>290</v>
      </c>
      <c r="L15" s="1065"/>
      <c r="M15" s="8258">
        <f t="shared" ref="M15:M19" si="5">+((E15*E7)+(G7*G15)+(K7*K15))/M7</f>
        <v>300.11183822632154</v>
      </c>
      <c r="N15" s="1081">
        <f>+((F15*F10)+(H15*H10)+(L10*L15))/N10</f>
        <v>0</v>
      </c>
      <c r="O15" s="8266">
        <v>280</v>
      </c>
      <c r="P15" s="1065"/>
      <c r="Q15" s="8268">
        <f>+((M15*M11)+(O11*O15))/(M11+O11)</f>
        <v>294.76955987639286</v>
      </c>
      <c r="R15" s="1100">
        <f>+((N15*N10)+(P10*P15))/(N10+P10)</f>
        <v>0</v>
      </c>
      <c r="S15" s="8266">
        <v>280</v>
      </c>
      <c r="T15" s="1065"/>
      <c r="U15" s="8268">
        <f>+((Q15*Q11)+(S11*S15))/(Q11+S11)</f>
        <v>291.66974300672194</v>
      </c>
      <c r="V15" s="1100">
        <f>+((R15*R10)+(T10*T15))/(R10+T10)</f>
        <v>0</v>
      </c>
      <c r="W15" s="8266">
        <v>290</v>
      </c>
      <c r="X15" s="1065"/>
      <c r="Y15" s="8258">
        <f>+((O15*O7)+(S7*S15)+(W7*W15))/Y7</f>
        <v>282.07855973813423</v>
      </c>
      <c r="Z15" s="1081">
        <f>+((P15*P10)+(T10*T15)+(X10*X15))/Z10</f>
        <v>0</v>
      </c>
      <c r="AA15" s="8263">
        <f>+((U15*U11)+(W11*W15))/(U11+W11)</f>
        <v>291.50407923181547</v>
      </c>
      <c r="AB15" s="1083">
        <f>(N15*N$11+Z15*Z$11)/AB$11</f>
        <v>0</v>
      </c>
      <c r="AC15" s="8269">
        <v>300</v>
      </c>
      <c r="AD15" s="1065"/>
      <c r="AE15" s="8268">
        <f>+((AA15*AA11)+(AC11*AC15))/(AA11+AC11)</f>
        <v>292.87718496295082</v>
      </c>
      <c r="AF15" s="1100">
        <f>+((AB15*AB10)+(AD10*AD15))/(AB10+AD10)</f>
        <v>0</v>
      </c>
      <c r="AG15" s="8266">
        <v>300</v>
      </c>
      <c r="AH15" s="1065"/>
      <c r="AI15" s="8255">
        <f>+((AE15*AE11)+(AG11*AG15))/(AE11+AG11)</f>
        <v>293.84174736095338</v>
      </c>
      <c r="AJ15" s="1100">
        <f>+((AF15*AF10)+(AH10*AH15))/(AF10+AH10)</f>
        <v>0</v>
      </c>
      <c r="AK15" s="8266">
        <v>310</v>
      </c>
      <c r="AL15" s="1065"/>
      <c r="AM15" s="8258">
        <f>+((AC15*AC7)+(AG7*AG15)+(AK7*AK15))/AM7</f>
        <v>303.36799688028077</v>
      </c>
      <c r="AN15" s="1081"/>
      <c r="AO15" s="8268">
        <f>+((AI15*AI11)+(AK11*AK15))/(AI11+AK11)</f>
        <v>295.82277523252981</v>
      </c>
      <c r="AP15" s="1100">
        <f>+((AJ15*AJ10)+(AL10*AL15))/(AJ10+AL10)</f>
        <v>0</v>
      </c>
      <c r="AQ15" s="8266">
        <v>310</v>
      </c>
      <c r="AR15" s="1065"/>
      <c r="AS15" s="8268">
        <f>+((AO15*AO11)+(AQ11*AQ15))/(AO11+AQ11)</f>
        <v>297.39235566379409</v>
      </c>
      <c r="AT15" s="1100">
        <f>+((AP15*AP10)+(AR10*AR15))/(AP10+AR10)</f>
        <v>0</v>
      </c>
      <c r="AU15" s="8266">
        <v>310</v>
      </c>
      <c r="AV15" s="1065"/>
      <c r="AW15" s="8268">
        <f>+((AS15*AS11)+(AU11*AU15))/(AS11+AU11)</f>
        <v>298.52733616412388</v>
      </c>
      <c r="AX15" s="1100"/>
      <c r="AY15" s="8252">
        <v>310</v>
      </c>
      <c r="AZ15" s="1065"/>
      <c r="BA15" s="8258">
        <f>+((AQ15*AQ7)+(AU7*AU15)+(AY7*AY15))/BA7</f>
        <v>310</v>
      </c>
      <c r="BB15" s="1081"/>
      <c r="BC15" s="8263">
        <f>+((AM15*AM11)+(BA11*BA15))/(AM11+BA11)</f>
        <v>306.66666666666669</v>
      </c>
      <c r="BD15" s="1083"/>
      <c r="BE15" s="8255">
        <f>+((AW15*AW11)+(AY11*AY15))/(AW11+AY11)</f>
        <v>299.57736274541884</v>
      </c>
      <c r="BF15" s="1100"/>
      <c r="BG15" s="1137"/>
      <c r="BH15" s="1137"/>
      <c r="BI15" s="25"/>
      <c r="BJ15" s="25"/>
      <c r="BK15" s="4234"/>
    </row>
    <row r="16" spans="1:63" ht="15.75" x14ac:dyDescent="0.25">
      <c r="A16" s="139"/>
      <c r="B16" s="139"/>
      <c r="C16" s="3004" t="s">
        <v>664</v>
      </c>
      <c r="D16" s="8277"/>
      <c r="E16" s="8253"/>
      <c r="F16" s="1065">
        <v>308.44</v>
      </c>
      <c r="G16" s="8266"/>
      <c r="H16" s="1065">
        <v>330.24</v>
      </c>
      <c r="I16" s="8268"/>
      <c r="J16" s="1100">
        <f>+((F16*F11)+(H11*H16))/(F11+H11)</f>
        <v>319.6508391758785</v>
      </c>
      <c r="K16" s="8266"/>
      <c r="L16" s="1065">
        <v>328.05</v>
      </c>
      <c r="M16" s="8258">
        <f t="shared" si="5"/>
        <v>0</v>
      </c>
      <c r="N16" s="1081">
        <f>+((F16*F11)+(H11*H16)+(L11*L16))/N11</f>
        <v>322.58172528703443</v>
      </c>
      <c r="O16" s="8266"/>
      <c r="P16" s="1065">
        <v>295.16000000000003</v>
      </c>
      <c r="Q16" s="8268"/>
      <c r="R16" s="1100">
        <f>+((N16*N11)+(P11*P16))/(N11+P11)</f>
        <v>315.19518756841364</v>
      </c>
      <c r="S16" s="8266"/>
      <c r="T16" s="1065">
        <v>298.91000000000003</v>
      </c>
      <c r="U16" s="8268"/>
      <c r="V16" s="1100">
        <f>+((R16*R11)+(T11*T16))/(R11+T11)</f>
        <v>311.9827373287784</v>
      </c>
      <c r="W16" s="8266"/>
      <c r="X16" s="1065">
        <v>297.58</v>
      </c>
      <c r="Y16" s="8258">
        <f t="shared" ref="Y16:Y19" si="6">+((Q16*Q8)+(S8*S16)+(W8*W16))/Y8</f>
        <v>0</v>
      </c>
      <c r="Z16" s="1081">
        <f>+((P16*P11)+(T11*T16)+(X11*X16))/Z11</f>
        <v>297.14874572452362</v>
      </c>
      <c r="AA16" s="8263"/>
      <c r="AB16" s="1083">
        <f>(N16*N$11+Z16*Z$11)/AB$11</f>
        <v>309.66751536913495</v>
      </c>
      <c r="AC16" s="8269"/>
      <c r="AD16" s="1065">
        <v>291.42</v>
      </c>
      <c r="AE16" s="8268"/>
      <c r="AF16" s="1100">
        <f>+((AB16*AB11)+(AD11*AD16))/(AB11+AD11)</f>
        <v>307.6113472804883</v>
      </c>
      <c r="AG16" s="8266"/>
      <c r="AH16" s="1065">
        <v>307.45</v>
      </c>
      <c r="AI16" s="8255"/>
      <c r="AJ16" s="1100">
        <f>+((AF16*AF11)+(AH11*AH16))/(AF11+AH11)</f>
        <v>307.59206852545884</v>
      </c>
      <c r="AK16" s="8266"/>
      <c r="AL16" s="1065">
        <v>324.35000000000002</v>
      </c>
      <c r="AM16" s="8258">
        <f t="shared" ref="AM16:AM19" si="7">+((AE16*AE8)+(AG8*AG16)+(AK8*AK16))/AM8</f>
        <v>0</v>
      </c>
      <c r="AN16" s="1081">
        <f>+((AD16*AD11)+(AH11*AH16)+(AL11*AL16))/AN11</f>
        <v>308.96233515665409</v>
      </c>
      <c r="AO16" s="8268"/>
      <c r="AP16" s="1100">
        <f>+((AJ16*AJ11)+(AL11*AL16))/(AJ11+AL11)</f>
        <v>309.45213562535014</v>
      </c>
      <c r="AQ16" s="8266"/>
      <c r="AR16" s="1065">
        <v>316.58</v>
      </c>
      <c r="AS16" s="8268"/>
      <c r="AT16" s="1100">
        <f>+((AP16*AP11)+(AR11*AR16))/(AP11+AR11)</f>
        <v>310.21698088535067</v>
      </c>
      <c r="AU16" s="8266"/>
      <c r="AV16" s="1065">
        <v>315.64</v>
      </c>
      <c r="AW16" s="8268"/>
      <c r="AX16" s="1100">
        <f>+((AT16*AT11)+(AV11*AV16))/(AT11+AV11)</f>
        <v>310.66343009074444</v>
      </c>
      <c r="AY16" s="8253"/>
      <c r="AZ16" s="1065">
        <v>305.41000000000003</v>
      </c>
      <c r="BA16" s="8258">
        <f t="shared" ref="BA16:BA19" si="8">+((AS16*AS8)+(AU8*AU16)+(AY8*AY16))/BA8</f>
        <v>0</v>
      </c>
      <c r="BB16" s="1081">
        <f>+((AR16*AR11)+(AV11*AV16)+(AZ11*AZ16))/BB11</f>
        <v>312.60319500929586</v>
      </c>
      <c r="BC16" s="8263"/>
      <c r="BD16" s="1083">
        <f>(AN16*AN$11+BB16*BB$11)/BD$11</f>
        <v>310.85199990953708</v>
      </c>
      <c r="BE16" s="8255"/>
      <c r="BF16" s="1100">
        <f>+((AX16*AX11)+(AZ11*AZ16))/(AX11+AZ11)</f>
        <v>310.23322106089358</v>
      </c>
      <c r="BG16" s="1137"/>
      <c r="BH16" s="1137"/>
      <c r="BI16" s="25"/>
      <c r="BJ16" s="25"/>
      <c r="BK16" s="4234"/>
    </row>
    <row r="17" spans="1:63" ht="15.75" x14ac:dyDescent="0.25">
      <c r="A17" s="139"/>
      <c r="B17" s="139"/>
      <c r="C17" s="3004" t="s">
        <v>665</v>
      </c>
      <c r="D17" s="8277"/>
      <c r="E17" s="8253"/>
      <c r="F17" s="1065">
        <v>303.7</v>
      </c>
      <c r="G17" s="8266"/>
      <c r="H17" s="1065">
        <v>321.66000000000003</v>
      </c>
      <c r="I17" s="8268"/>
      <c r="J17" s="1100">
        <f>+((F17*F11)+(H11*H17))/(F11+H11)</f>
        <v>312.93608585315502</v>
      </c>
      <c r="K17" s="8266"/>
      <c r="L17" s="1065">
        <v>319.14999999999998</v>
      </c>
      <c r="M17" s="8258">
        <f t="shared" si="5"/>
        <v>0</v>
      </c>
      <c r="N17" s="1081">
        <f>+((F17*F11)+(H11*H17)+(L11*L17))/N11</f>
        <v>315.10443041164945</v>
      </c>
      <c r="O17" s="8266"/>
      <c r="P17" s="1065">
        <v>294.91000000000003</v>
      </c>
      <c r="Q17" s="8268"/>
      <c r="R17" s="1100">
        <f>+((N17*N11)+(P11*P17))/(N11+P11)</f>
        <v>309.66469529723486</v>
      </c>
      <c r="S17" s="8266"/>
      <c r="T17" s="1065">
        <v>291.83</v>
      </c>
      <c r="U17" s="8268"/>
      <c r="V17" s="1100">
        <f>+((R17*R11)+(T11*T17))/(R11+T11)</f>
        <v>306.14658591466019</v>
      </c>
      <c r="W17" s="8266"/>
      <c r="X17" s="1065">
        <v>289.39</v>
      </c>
      <c r="Y17" s="8258">
        <f t="shared" si="6"/>
        <v>0</v>
      </c>
      <c r="Z17" s="1081">
        <f>+((P17*P11)+(T11*T17)+(X11*X17))/Z11</f>
        <v>292.15831478364731</v>
      </c>
      <c r="AA17" s="8263"/>
      <c r="AB17" s="1083">
        <f t="shared" ref="AB17:AB19" si="9">(N17*N$11+Z17*Z$11)/AB$11</f>
        <v>303.45298574736728</v>
      </c>
      <c r="AC17" s="8269"/>
      <c r="AD17" s="1065">
        <v>279.58</v>
      </c>
      <c r="AE17" s="8268"/>
      <c r="AF17" s="1100">
        <f>+((AB17*AB11)+(AD11*AD17))/(AB11+AD11)</f>
        <v>300.76292792407139</v>
      </c>
      <c r="AG17" s="8266"/>
      <c r="AH17" s="1065">
        <v>306.35000000000002</v>
      </c>
      <c r="AI17" s="8255"/>
      <c r="AJ17" s="1100">
        <f>+((AF17*AF11)+(AH11*AH17))/(AF11+AH11)</f>
        <v>301.43050529852673</v>
      </c>
      <c r="AK17" s="8266"/>
      <c r="AL17" s="1065">
        <v>320.16000000000003</v>
      </c>
      <c r="AM17" s="8258">
        <f t="shared" si="7"/>
        <v>0</v>
      </c>
      <c r="AN17" s="1081">
        <f>+((AD17*AD11)+(AH11*AH17)+(AL11*AL17))/AN11</f>
        <v>303.63772079682781</v>
      </c>
      <c r="AO17" s="8268"/>
      <c r="AP17" s="1100">
        <f>+((AJ17*AJ11)+(AL11*AL17))/(AJ11+AL11)</f>
        <v>303.50940847012191</v>
      </c>
      <c r="AQ17" s="8266"/>
      <c r="AR17" s="1065">
        <v>307</v>
      </c>
      <c r="AS17" s="8268"/>
      <c r="AT17" s="1100">
        <f>+((AP17*AP11)+(AR11*AR17))/(AP11+AR11)</f>
        <v>303.88396138610045</v>
      </c>
      <c r="AU17" s="8266"/>
      <c r="AV17" s="1065">
        <v>308.3</v>
      </c>
      <c r="AW17" s="8268"/>
      <c r="AX17" s="1100">
        <f>+((AT17*AT11)+(AV11*AV17))/(AT11+AV11)</f>
        <v>304.24751107834447</v>
      </c>
      <c r="AY17" s="8253"/>
      <c r="AZ17" s="1065">
        <v>300.5</v>
      </c>
      <c r="BA17" s="8258">
        <f t="shared" si="8"/>
        <v>0</v>
      </c>
      <c r="BB17" s="1081">
        <f>+((AR17*AR11)+(AV11*AV17)+(AZ11*AZ17))/BB11</f>
        <v>305.24901812688819</v>
      </c>
      <c r="BC17" s="8263"/>
      <c r="BD17" s="1083">
        <f>(AN17*AN$11+BB17*BB$11)/BD$11</f>
        <v>304.47400999615536</v>
      </c>
      <c r="BE17" s="8255"/>
      <c r="BF17" s="1100">
        <f>+((AX17*AX11)+(AZ11*AZ17))/(AX11+AZ11)</f>
        <v>303.94062337306968</v>
      </c>
      <c r="BG17" s="1137"/>
      <c r="BH17" s="1137"/>
      <c r="BI17" s="25"/>
      <c r="BJ17" s="25"/>
      <c r="BK17" s="4234"/>
    </row>
    <row r="18" spans="1:63" ht="15.75" x14ac:dyDescent="0.25">
      <c r="A18" s="139"/>
      <c r="B18" s="139"/>
      <c r="C18" s="3004" t="s">
        <v>666</v>
      </c>
      <c r="D18" s="8277"/>
      <c r="E18" s="8253"/>
      <c r="F18" s="1065">
        <v>301.63</v>
      </c>
      <c r="G18" s="8266"/>
      <c r="H18" s="1065">
        <v>323.5</v>
      </c>
      <c r="I18" s="8268"/>
      <c r="J18" s="1100">
        <f>+((F18*F11)+(H11*H18))/(F11+H11)</f>
        <v>312.87683728332399</v>
      </c>
      <c r="K18" s="8266"/>
      <c r="L18" s="1065">
        <v>319.66000000000003</v>
      </c>
      <c r="M18" s="8258">
        <f t="shared" si="5"/>
        <v>0</v>
      </c>
      <c r="N18" s="1081">
        <f>+((F18*F11)+(H11*H18)+(L11*L18))/N11</f>
        <v>315.24382105852703</v>
      </c>
      <c r="O18" s="8266"/>
      <c r="P18" s="1065">
        <v>296.47000000000003</v>
      </c>
      <c r="Q18" s="8268"/>
      <c r="R18" s="1100">
        <f>+((N18*N11)+(P11*P18))/(N11+P11)</f>
        <v>310.18675276979263</v>
      </c>
      <c r="S18" s="8266"/>
      <c r="T18" s="1065">
        <v>293</v>
      </c>
      <c r="U18" s="8268"/>
      <c r="V18" s="1100">
        <f>+((R18*R11)+(T11*T18))/(R11+T11)</f>
        <v>306.79645788851292</v>
      </c>
      <c r="W18" s="8266"/>
      <c r="X18" s="1065">
        <v>290.43</v>
      </c>
      <c r="Y18" s="8258">
        <f t="shared" si="6"/>
        <v>0</v>
      </c>
      <c r="Z18" s="1081">
        <f>+((P18*P11)+(T11*T18)+(X11*X18))/Z11</f>
        <v>293.42654175036648</v>
      </c>
      <c r="AA18" s="8263"/>
      <c r="AB18" s="1083">
        <f t="shared" si="9"/>
        <v>304.16557031206929</v>
      </c>
      <c r="AC18" s="8269"/>
      <c r="AD18" s="1065">
        <v>279.79000000000002</v>
      </c>
      <c r="AE18" s="8268"/>
      <c r="AF18" s="1100">
        <f>+((AB18*AB11)+(AD11*AD18))/(AB11+AD11)</f>
        <v>301.41888021183695</v>
      </c>
      <c r="AG18" s="8266"/>
      <c r="AH18" s="1065">
        <v>304.83</v>
      </c>
      <c r="AI18" s="8255"/>
      <c r="AJ18" s="1100">
        <f>+((AF18*AF11)+(AH11*AH18))/(AF11+AH11)</f>
        <v>301.82646156414233</v>
      </c>
      <c r="AK18" s="8266"/>
      <c r="AL18" s="1065">
        <v>320.16000000000003</v>
      </c>
      <c r="AM18" s="8258">
        <f t="shared" si="7"/>
        <v>0</v>
      </c>
      <c r="AN18" s="1081">
        <f>+((AD18*AD11)+(AH11*AH18)+(AL11*AL18))/AN11</f>
        <v>303.16972806921302</v>
      </c>
      <c r="AO18" s="8268"/>
      <c r="AP18" s="1100">
        <f>+((AJ18*AJ11)+(AL11*AL18))/(AJ11+AL11)</f>
        <v>303.86141508575912</v>
      </c>
      <c r="AQ18" s="8266"/>
      <c r="AR18" s="1065">
        <v>308.25</v>
      </c>
      <c r="AS18" s="8268"/>
      <c r="AT18" s="1100">
        <f>+((AP18*AP11)+(AR11*AR18))/(AP11+AR11)</f>
        <v>304.33232589344857</v>
      </c>
      <c r="AU18" s="8266"/>
      <c r="AV18" s="1065">
        <v>304.89999999999998</v>
      </c>
      <c r="AW18" s="8268"/>
      <c r="AX18" s="1100">
        <f>+((AT18*AT11)+(AV11*AV18))/(AT11+AV11)</f>
        <v>304.37905957600333</v>
      </c>
      <c r="AY18" s="8253"/>
      <c r="AZ18" s="1065">
        <v>292.83</v>
      </c>
      <c r="BA18" s="8258">
        <f t="shared" si="8"/>
        <v>0</v>
      </c>
      <c r="BB18" s="1081">
        <f>+((AR18*AR11)+(AV11*AV18)+(AZ11*AZ18))/BB11</f>
        <v>302.1342893039739</v>
      </c>
      <c r="BC18" s="8263"/>
      <c r="BD18" s="1083">
        <f>(AN18*AN$11+BB18*BB$11)/BD$11</f>
        <v>302.6323187160292</v>
      </c>
      <c r="BE18" s="8255"/>
      <c r="BF18" s="1100">
        <f>+((AX18*AX11)+(AZ11*AZ18))/(AX11+AZ11)</f>
        <v>303.43329468905154</v>
      </c>
      <c r="BG18" s="1137"/>
      <c r="BH18" s="1137"/>
      <c r="BI18" s="25"/>
      <c r="BJ18" s="25"/>
      <c r="BK18" s="4234"/>
    </row>
    <row r="19" spans="1:63" ht="16.5" thickBot="1" x14ac:dyDescent="0.3">
      <c r="A19" s="139"/>
      <c r="B19" s="139"/>
      <c r="C19" s="3465" t="s">
        <v>667</v>
      </c>
      <c r="D19" s="8278"/>
      <c r="E19" s="8254"/>
      <c r="F19" s="3466"/>
      <c r="G19" s="8267"/>
      <c r="H19" s="3466">
        <v>260.48</v>
      </c>
      <c r="I19" s="8272"/>
      <c r="J19" s="3467">
        <f>+((F19*F11)+(H11*H19))/(F11+H11)</f>
        <v>133.9541003914147</v>
      </c>
      <c r="K19" s="8267"/>
      <c r="L19" s="3466">
        <v>251</v>
      </c>
      <c r="M19" s="8258">
        <f t="shared" si="5"/>
        <v>0</v>
      </c>
      <c r="N19" s="1081">
        <f>+((F19*F11)+(H11*H19)+(L11*L19))/N11</f>
        <v>174.79725231027726</v>
      </c>
      <c r="O19" s="8267"/>
      <c r="P19" s="3466">
        <v>240.48</v>
      </c>
      <c r="Q19" s="8268"/>
      <c r="R19" s="1100">
        <f>+((N19*N11)+(P11*P19))/(N11+P11)</f>
        <v>192.49008849014334</v>
      </c>
      <c r="S19" s="8267"/>
      <c r="T19" s="3466">
        <v>233.87</v>
      </c>
      <c r="U19" s="8268"/>
      <c r="V19" s="1100">
        <f>+((R19*R11)+(T11*T19))/(R11+T11)</f>
        <v>200.65277658246561</v>
      </c>
      <c r="W19" s="8267"/>
      <c r="X19" s="3466">
        <v>232.9</v>
      </c>
      <c r="Y19" s="8258">
        <f t="shared" si="6"/>
        <v>0</v>
      </c>
      <c r="Z19" s="1081">
        <f>+((P19*P11)+(T11*T19)+(X11*X19))/Z11</f>
        <v>235.92526399370215</v>
      </c>
      <c r="AA19" s="8263"/>
      <c r="AB19" s="1083">
        <f t="shared" si="9"/>
        <v>205.83647729778906</v>
      </c>
      <c r="AC19" s="8270"/>
      <c r="AD19" s="3466">
        <v>232.82</v>
      </c>
      <c r="AE19" s="8268"/>
      <c r="AF19" s="1100">
        <f>+((AB19*AB11)+(AD11*AD19))/(AB11+AD11)</f>
        <v>208.87703691246438</v>
      </c>
      <c r="AG19" s="8267"/>
      <c r="AH19" s="3466">
        <v>256</v>
      </c>
      <c r="AI19" s="8255"/>
      <c r="AJ19" s="1100">
        <f>+((AF19*AF11)+(AH11*AH19))/(AF11+AH11)</f>
        <v>214.50757533169639</v>
      </c>
      <c r="AK19" s="8267"/>
      <c r="AL19" s="3466">
        <v>264.83</v>
      </c>
      <c r="AM19" s="8258">
        <f t="shared" si="7"/>
        <v>0</v>
      </c>
      <c r="AN19" s="1081">
        <f>+((AD19*AD11)+(AH11*AH19)+(AL11*AL19))/AN11</f>
        <v>252.51468630001725</v>
      </c>
      <c r="AO19" s="8268"/>
      <c r="AP19" s="1100">
        <f>+((AJ19*AJ11)+(AL11*AL19))/(AJ11+AL11)</f>
        <v>220.09317440485594</v>
      </c>
      <c r="AQ19" s="8267"/>
      <c r="AR19" s="3466">
        <v>260.8</v>
      </c>
      <c r="AS19" s="8268"/>
      <c r="AT19" s="1100">
        <f>+((AP19*AP11)+(AR11*AR19))/(AP11+AR11)</f>
        <v>224.46116192112268</v>
      </c>
      <c r="AU19" s="8267"/>
      <c r="AV19" s="3466">
        <v>262.5</v>
      </c>
      <c r="AW19" s="8268"/>
      <c r="AX19" s="1100">
        <f>+((AT19*AT11)+(AV11*AV19))/(AT11+AV11)</f>
        <v>227.59270335134627</v>
      </c>
      <c r="AY19" s="8254"/>
      <c r="AZ19" s="3466">
        <v>261.66000000000003</v>
      </c>
      <c r="BA19" s="8258">
        <f t="shared" si="8"/>
        <v>0</v>
      </c>
      <c r="BB19" s="1081">
        <f>+((AR19*AR11)+(AV11*AV19)+(AZ11*AZ19))/BB11</f>
        <v>261.6024750174297</v>
      </c>
      <c r="BC19" s="8263"/>
      <c r="BD19" s="1083">
        <f>(AN19*AN$11+BB19*BB$11)/BD$11</f>
        <v>257.23139463705519</v>
      </c>
      <c r="BE19" s="8255"/>
      <c r="BF19" s="1100">
        <f>+((AX19*AX11)+(AZ11*AZ19))/(AX11+AZ11)</f>
        <v>230.38251084620177</v>
      </c>
      <c r="BG19" s="1137"/>
      <c r="BH19" s="1137"/>
      <c r="BI19" s="25"/>
      <c r="BJ19" s="25"/>
      <c r="BK19" s="4234"/>
    </row>
    <row r="20" spans="1:63" ht="15.75" x14ac:dyDescent="0.25">
      <c r="A20" s="139"/>
      <c r="B20" s="139"/>
      <c r="C20" s="3460" t="s">
        <v>501</v>
      </c>
      <c r="D20" s="3461"/>
      <c r="E20" s="3462"/>
      <c r="F20" s="3461"/>
      <c r="G20" s="3462"/>
      <c r="H20" s="3461"/>
      <c r="I20" s="3463"/>
      <c r="J20" s="3464"/>
      <c r="K20" s="3462"/>
      <c r="L20" s="3461"/>
      <c r="M20" s="3020"/>
      <c r="N20" s="3021"/>
      <c r="O20" s="3462"/>
      <c r="P20" s="3461"/>
      <c r="Q20" s="3026"/>
      <c r="R20" s="3027"/>
      <c r="S20" s="3462"/>
      <c r="T20" s="3461"/>
      <c r="U20" s="3026"/>
      <c r="V20" s="3027"/>
      <c r="W20" s="3462"/>
      <c r="X20" s="3461"/>
      <c r="Y20" s="3020"/>
      <c r="Z20" s="3021"/>
      <c r="AA20" s="3013"/>
      <c r="AB20" s="3014"/>
      <c r="AC20" s="3462"/>
      <c r="AD20" s="3461"/>
      <c r="AE20" s="3026"/>
      <c r="AF20" s="3027"/>
      <c r="AG20" s="3462"/>
      <c r="AH20" s="3461"/>
      <c r="AI20" s="3026"/>
      <c r="AJ20" s="3027"/>
      <c r="AK20" s="3462"/>
      <c r="AL20" s="3461"/>
      <c r="AM20" s="3020"/>
      <c r="AN20" s="3021"/>
      <c r="AO20" s="3026"/>
      <c r="AP20" s="3027"/>
      <c r="AQ20" s="3462"/>
      <c r="AR20" s="3461"/>
      <c r="AS20" s="3026"/>
      <c r="AT20" s="3027"/>
      <c r="AU20" s="3462"/>
      <c r="AV20" s="3461"/>
      <c r="AW20" s="3026"/>
      <c r="AX20" s="3027"/>
      <c r="AY20" s="3462"/>
      <c r="AZ20" s="3461"/>
      <c r="BA20" s="3020"/>
      <c r="BB20" s="3021"/>
      <c r="BC20" s="3013"/>
      <c r="BD20" s="3014"/>
      <c r="BE20" s="3026"/>
      <c r="BF20" s="3027"/>
      <c r="BG20" s="1137"/>
      <c r="BH20" s="1137"/>
      <c r="BI20" s="25"/>
      <c r="BJ20" s="25"/>
      <c r="BK20" s="4234"/>
    </row>
    <row r="21" spans="1:63" ht="15.75" x14ac:dyDescent="0.25">
      <c r="A21" s="139"/>
      <c r="B21" s="139"/>
      <c r="C21" s="3146" t="s">
        <v>502</v>
      </c>
      <c r="D21" s="3145" t="s">
        <v>50</v>
      </c>
      <c r="E21" s="7631">
        <f>+E33*$E$36/1000</f>
        <v>13138.804959846302</v>
      </c>
      <c r="F21" s="7632">
        <v>18070</v>
      </c>
      <c r="G21" s="1491">
        <f>+G33*$E$36/1000</f>
        <v>16596.539491958581</v>
      </c>
      <c r="H21" s="5632">
        <v>14184</v>
      </c>
      <c r="I21" s="3147">
        <f>+E21+G21</f>
        <v>29735.344451804885</v>
      </c>
      <c r="J21" s="1099">
        <f>+F21+H21</f>
        <v>32254</v>
      </c>
      <c r="K21" s="1491">
        <f>+K33*$E$36/1000</f>
        <v>16084.102919455028</v>
      </c>
      <c r="L21" s="5733">
        <v>15520</v>
      </c>
      <c r="M21" s="1079">
        <f>E21+G21+K21</f>
        <v>45819.447371259914</v>
      </c>
      <c r="N21" s="1080">
        <f>F21+H21+L21</f>
        <v>47774</v>
      </c>
      <c r="O21" s="1491">
        <f>+O33*$E$36/1000</f>
        <v>16276.26663414388</v>
      </c>
      <c r="P21" s="5866">
        <v>16160</v>
      </c>
      <c r="Q21" s="2987">
        <f>+M21+O21</f>
        <v>62095.714005403795</v>
      </c>
      <c r="R21" s="1099">
        <f>+N21+P21</f>
        <v>63934</v>
      </c>
      <c r="S21" s="1491">
        <f>+S33*$E$36/1000</f>
        <v>16276.26663414388</v>
      </c>
      <c r="T21" s="5948">
        <v>15934</v>
      </c>
      <c r="U21" s="4366">
        <f>+Q21+S21</f>
        <v>78371.980639547677</v>
      </c>
      <c r="V21" s="1099">
        <f>+R21+T21</f>
        <v>79868</v>
      </c>
      <c r="W21" s="1491">
        <f>+W33*$E$36/1000</f>
        <v>8541.6771179185125</v>
      </c>
      <c r="X21" s="6060">
        <v>17396</v>
      </c>
      <c r="Y21" s="1079">
        <f>O21+S21+W21</f>
        <v>41094.210386206272</v>
      </c>
      <c r="Z21" s="1080">
        <f>P21+T21+X21</f>
        <v>49490</v>
      </c>
      <c r="AA21" s="1082">
        <f>+U21+W21</f>
        <v>86913.657757466193</v>
      </c>
      <c r="AB21" s="1084">
        <f>+V21+X21</f>
        <v>97264</v>
      </c>
      <c r="AC21" s="1491">
        <f>+AC33*$E$36/1000</f>
        <v>16596.539491958581</v>
      </c>
      <c r="AD21" s="6182">
        <v>11392</v>
      </c>
      <c r="AE21" s="2987">
        <f>+AA21+AC21</f>
        <v>103510.19724942477</v>
      </c>
      <c r="AF21" s="1099">
        <f>+AB21+AD21</f>
        <v>108656</v>
      </c>
      <c r="AG21" s="1491">
        <f>+AG33*$E$36/1000</f>
        <v>16084.102919455028</v>
      </c>
      <c r="AH21" s="6370">
        <v>10726</v>
      </c>
      <c r="AI21" s="4653">
        <f>+AE21+AG21</f>
        <v>119594.3001688798</v>
      </c>
      <c r="AJ21" s="1099">
        <f>+AF21+AH21</f>
        <v>119382</v>
      </c>
      <c r="AK21" s="6627">
        <f>+AK33*$E$36/1000</f>
        <v>16596.539491958581</v>
      </c>
      <c r="AL21" s="6628">
        <v>0</v>
      </c>
      <c r="AM21" s="1079">
        <f>AC21+AG21+AK21</f>
        <v>49277.181903372191</v>
      </c>
      <c r="AN21" s="1080">
        <f>AD21+AH21+AL21</f>
        <v>22118</v>
      </c>
      <c r="AO21" s="2987">
        <f>+AI21+AK21</f>
        <v>136190.83966083836</v>
      </c>
      <c r="AP21" s="1099">
        <f>+AJ21+AL21</f>
        <v>119382</v>
      </c>
      <c r="AQ21" s="6714">
        <f>+AQ33*$E$36/1000</f>
        <v>16852.757778210369</v>
      </c>
      <c r="AR21" s="6713">
        <v>9304</v>
      </c>
      <c r="AS21" s="2987">
        <f>+AO21+AQ21</f>
        <v>153043.59743904872</v>
      </c>
      <c r="AT21" s="1099">
        <f>+AP21+AR21</f>
        <v>128686</v>
      </c>
      <c r="AU21" s="6917">
        <f>+AU33*$E$36/1000</f>
        <v>15059.229774447955</v>
      </c>
      <c r="AV21" s="6918">
        <v>13642</v>
      </c>
      <c r="AW21" s="5078">
        <f>+AS21+AU21</f>
        <v>168102.82721349667</v>
      </c>
      <c r="AX21" s="1099">
        <f>+AT21+AV21</f>
        <v>142328</v>
      </c>
      <c r="AY21" s="1491">
        <f>+AY33*$E$36/1000</f>
        <v>16852.757778210369</v>
      </c>
      <c r="AZ21" s="5127">
        <v>14879</v>
      </c>
      <c r="BA21" s="1079">
        <f>AQ21+AU21+AY21</f>
        <v>48764.745330868696</v>
      </c>
      <c r="BB21" s="1080">
        <f>AR21+AV21+AZ21</f>
        <v>37825</v>
      </c>
      <c r="BC21" s="1082">
        <f t="shared" ref="BC21:BC22" si="10">AM21+BA21</f>
        <v>98041.927234240895</v>
      </c>
      <c r="BD21" s="1082">
        <f t="shared" ref="BD21:BD22" si="11">AN21+BB21</f>
        <v>59943</v>
      </c>
      <c r="BE21" s="2987">
        <f>+AW21+AY21</f>
        <v>184955.58499170703</v>
      </c>
      <c r="BF21" s="1099">
        <f>+AX21+AZ21</f>
        <v>157207</v>
      </c>
      <c r="BG21" s="1137"/>
      <c r="BH21" s="1137"/>
      <c r="BI21" s="25"/>
      <c r="BJ21" s="25"/>
      <c r="BK21" s="4234"/>
    </row>
    <row r="22" spans="1:63" ht="15.75" x14ac:dyDescent="0.25">
      <c r="A22" s="139"/>
      <c r="B22" s="139"/>
      <c r="C22" s="8271" t="s">
        <v>496</v>
      </c>
      <c r="D22" s="3145" t="s">
        <v>50</v>
      </c>
      <c r="E22" s="7631">
        <f>+E21*E23/100</f>
        <v>3810.2534383554275</v>
      </c>
      <c r="F22" s="7632">
        <v>7951</v>
      </c>
      <c r="G22" s="1491">
        <f>+G21*G23/100</f>
        <v>3319.3078983917162</v>
      </c>
      <c r="H22" s="5632">
        <v>3120</v>
      </c>
      <c r="I22" s="3147">
        <f>+E22+G22</f>
        <v>7129.5613367471433</v>
      </c>
      <c r="J22" s="1099">
        <f>+F22+H22</f>
        <v>11071</v>
      </c>
      <c r="K22" s="1491">
        <f>+K21*K23/100</f>
        <v>3216.8205838910058</v>
      </c>
      <c r="L22" s="5733">
        <v>4718</v>
      </c>
      <c r="M22" s="1079">
        <f>E22+G22+K22</f>
        <v>10346.381920638149</v>
      </c>
      <c r="N22" s="1080">
        <f>F22+H22+L22</f>
        <v>15789</v>
      </c>
      <c r="O22" s="1491">
        <f>+O21*O23/100</f>
        <v>3255.2533268287762</v>
      </c>
      <c r="P22" s="5866">
        <v>4945</v>
      </c>
      <c r="Q22" s="2987">
        <f>+M22+O22</f>
        <v>13601.635247466926</v>
      </c>
      <c r="R22" s="1099">
        <f>+N22+P22</f>
        <v>20734</v>
      </c>
      <c r="S22" s="1491">
        <f>+S21*S23/100</f>
        <v>3255.2533268287762</v>
      </c>
      <c r="T22" s="5948">
        <v>5736</v>
      </c>
      <c r="U22" s="4366">
        <f>+Q22+S22</f>
        <v>16856.888574295703</v>
      </c>
      <c r="V22" s="1099">
        <f>+R22+T22</f>
        <v>26470</v>
      </c>
      <c r="W22" s="1491">
        <f>+W21*W23/100</f>
        <v>1708.3354235837025</v>
      </c>
      <c r="X22" s="6060">
        <v>7623</v>
      </c>
      <c r="Y22" s="1079">
        <f>O22+S22+W22</f>
        <v>8218.8420772412555</v>
      </c>
      <c r="Z22" s="1080">
        <f>P22+T22+X22</f>
        <v>18304</v>
      </c>
      <c r="AA22" s="1082">
        <f>+U22+W22</f>
        <v>18565.223997879406</v>
      </c>
      <c r="AB22" s="1084">
        <f>+V22+X22</f>
        <v>34093</v>
      </c>
      <c r="AC22" s="1491">
        <f>+AC21*AC23/100</f>
        <v>3319.3078983917162</v>
      </c>
      <c r="AD22" s="6182">
        <v>3494</v>
      </c>
      <c r="AE22" s="2987">
        <f>+AA22+AC22</f>
        <v>21884.531896271121</v>
      </c>
      <c r="AF22" s="1099">
        <f>+AB22+AD22</f>
        <v>37587</v>
      </c>
      <c r="AG22" s="1491">
        <f>+AG21*AG23/100</f>
        <v>3216.8205838910058</v>
      </c>
      <c r="AH22" s="6370">
        <v>1815</v>
      </c>
      <c r="AI22" s="4653">
        <f>+AE22+AG22</f>
        <v>25101.352480162128</v>
      </c>
      <c r="AJ22" s="1099">
        <f>+AF22+AH22</f>
        <v>39402</v>
      </c>
      <c r="AK22" s="6627">
        <f>+AK21*AK23/100</f>
        <v>3319.3078983917162</v>
      </c>
      <c r="AL22" s="6628">
        <v>0</v>
      </c>
      <c r="AM22" s="1079">
        <f>AC22+AG22+AK22</f>
        <v>9855.4363806744386</v>
      </c>
      <c r="AN22" s="1080">
        <f>AD22+AH22+AL22</f>
        <v>5309</v>
      </c>
      <c r="AO22" s="2987">
        <f>+AI22+AK22</f>
        <v>28420.660378553843</v>
      </c>
      <c r="AP22" s="1099">
        <f>+AJ22+AL22</f>
        <v>39402</v>
      </c>
      <c r="AQ22" s="6714">
        <f>+AQ21*AQ23/100</f>
        <v>3370.5515556420737</v>
      </c>
      <c r="AR22" s="6713">
        <v>3442</v>
      </c>
      <c r="AS22" s="2987">
        <f>+AO22+AQ22</f>
        <v>31791.211934195915</v>
      </c>
      <c r="AT22" s="1099">
        <f>+AP22+AR22</f>
        <v>42844</v>
      </c>
      <c r="AU22" s="6917">
        <f>+AU21*AU23/100</f>
        <v>3011.8459548895912</v>
      </c>
      <c r="AV22" s="6918">
        <v>5047</v>
      </c>
      <c r="AW22" s="5078">
        <f>+AS22+AU22</f>
        <v>34803.057889085503</v>
      </c>
      <c r="AX22" s="1099">
        <f>+AT22+AV22</f>
        <v>47891</v>
      </c>
      <c r="AY22" s="1491">
        <f>+AY21*AY23/100</f>
        <v>3370.5515556420737</v>
      </c>
      <c r="AZ22" s="5127">
        <v>5187</v>
      </c>
      <c r="BA22" s="1079">
        <f>AQ22+AU22+AY22</f>
        <v>9752.9490661737382</v>
      </c>
      <c r="BB22" s="1080">
        <f>AR22+AV22+AZ22</f>
        <v>13676</v>
      </c>
      <c r="BC22" s="1082">
        <f t="shared" si="10"/>
        <v>19608.385446848177</v>
      </c>
      <c r="BD22" s="1082">
        <f t="shared" si="11"/>
        <v>18985</v>
      </c>
      <c r="BE22" s="2987">
        <f>+AW22+AY22</f>
        <v>38173.609444727575</v>
      </c>
      <c r="BF22" s="1099">
        <f>+AX22+AZ22</f>
        <v>53078</v>
      </c>
      <c r="BG22" s="1137"/>
      <c r="BH22" s="1137"/>
      <c r="BI22" s="25"/>
      <c r="BJ22" s="25"/>
      <c r="BK22" s="4234"/>
    </row>
    <row r="23" spans="1:63" ht="15.75" x14ac:dyDescent="0.25">
      <c r="A23" s="139"/>
      <c r="B23" s="139"/>
      <c r="C23" s="8271"/>
      <c r="D23" s="3145" t="s">
        <v>49</v>
      </c>
      <c r="E23" s="7630">
        <v>29</v>
      </c>
      <c r="F23" s="1078">
        <f>+F22/F21*100</f>
        <v>44.001106806862197</v>
      </c>
      <c r="G23" s="5631">
        <v>20</v>
      </c>
      <c r="H23" s="1078">
        <f>+H22/H21*100</f>
        <v>21.996615905245349</v>
      </c>
      <c r="I23" s="3144">
        <f>+I22/I21*100</f>
        <v>23.976723553018704</v>
      </c>
      <c r="J23" s="3025">
        <f>+J22/J21*100</f>
        <v>34.324424877534568</v>
      </c>
      <c r="K23" s="5732">
        <v>20</v>
      </c>
      <c r="L23" s="1078">
        <f>+L22/L21*100</f>
        <v>30.399484536082472</v>
      </c>
      <c r="M23" s="2988">
        <f>+M22/M21*100</f>
        <v>22.580765404708654</v>
      </c>
      <c r="N23" s="3019">
        <f>+N22/N21*100</f>
        <v>33.049357391049526</v>
      </c>
      <c r="O23" s="5865">
        <v>20</v>
      </c>
      <c r="P23" s="1078">
        <f>+P22/P21*100</f>
        <v>30.600247524752476</v>
      </c>
      <c r="Q23" s="2990">
        <f>+Q22/Q21*100</f>
        <v>21.904306062546059</v>
      </c>
      <c r="R23" s="3025">
        <f>+R22/R21*100</f>
        <v>32.430318766227671</v>
      </c>
      <c r="S23" s="5947">
        <v>20</v>
      </c>
      <c r="T23" s="1078">
        <f>+T22/T21*100</f>
        <v>35.998493786870846</v>
      </c>
      <c r="U23" s="4367">
        <f>+U22/U21*100</f>
        <v>21.508820418645211</v>
      </c>
      <c r="V23" s="3025">
        <f>+V22/V21*100</f>
        <v>33.142184604597588</v>
      </c>
      <c r="W23" s="6059">
        <v>20</v>
      </c>
      <c r="X23" s="1078">
        <f>+X22/X21*100</f>
        <v>43.820418487008503</v>
      </c>
      <c r="Y23" s="2988">
        <f>+Y22/Y21*100</f>
        <v>20.000000000000004</v>
      </c>
      <c r="Z23" s="3019">
        <f>+Z22/Z21*100</f>
        <v>36.985249545362699</v>
      </c>
      <c r="AA23" s="1082">
        <f>+AA22/AA21*100</f>
        <v>21.360536970709401</v>
      </c>
      <c r="AB23" s="3012">
        <f>+AB22/AB21*100</f>
        <v>35.052023359105114</v>
      </c>
      <c r="AC23" s="6181">
        <v>20</v>
      </c>
      <c r="AD23" s="1078">
        <f>+AD22/AD21*100</f>
        <v>30.670646067415731</v>
      </c>
      <c r="AE23" s="2990">
        <f>+AE22/AE21*100</f>
        <v>21.142392225895151</v>
      </c>
      <c r="AF23" s="3025">
        <f>+AF22/AF21*100</f>
        <v>34.592659402149906</v>
      </c>
      <c r="AG23" s="6369">
        <v>20</v>
      </c>
      <c r="AH23" s="1078">
        <f>+AH22/AH21*100</f>
        <v>16.921499160917396</v>
      </c>
      <c r="AI23" s="4654">
        <f>+AI22/AI21*100</f>
        <v>20.988753180307391</v>
      </c>
      <c r="AJ23" s="3025">
        <f>+AJ22/AJ21*100</f>
        <v>33.004975624465999</v>
      </c>
      <c r="AK23" s="6626">
        <v>20</v>
      </c>
      <c r="AL23" s="1078" t="e">
        <f>+AL22/AL21*100</f>
        <v>#DIV/0!</v>
      </c>
      <c r="AM23" s="2988">
        <f>+AM22/AM21*100</f>
        <v>20</v>
      </c>
      <c r="AN23" s="3019">
        <f>+AN22/AN21*100</f>
        <v>24.003074419025229</v>
      </c>
      <c r="AO23" s="2990">
        <f>+AO22/AO21*100</f>
        <v>20.868261367160216</v>
      </c>
      <c r="AP23" s="3025">
        <f>+AP22/AP21*100</f>
        <v>33.004975624465999</v>
      </c>
      <c r="AQ23" s="6712">
        <v>20</v>
      </c>
      <c r="AR23" s="1078">
        <f>+AR22/AR21*100</f>
        <v>36.994840928632847</v>
      </c>
      <c r="AS23" s="2990">
        <f>+AS22/AS21*100</f>
        <v>20.772650712720676</v>
      </c>
      <c r="AT23" s="3025">
        <f>+AT22/AT21*100</f>
        <v>33.29344295416751</v>
      </c>
      <c r="AU23" s="6916">
        <v>20</v>
      </c>
      <c r="AV23" s="1078">
        <f>+AV22/AV21*100</f>
        <v>36.996041636123735</v>
      </c>
      <c r="AW23" s="5077">
        <f>+AW22/AW21*100</f>
        <v>20.703434002858479</v>
      </c>
      <c r="AX23" s="3025">
        <f>+AX22/AX21*100</f>
        <v>33.648333427013661</v>
      </c>
      <c r="AY23" s="5126">
        <v>20</v>
      </c>
      <c r="AZ23" s="1078">
        <f>+AZ22/AZ21*100</f>
        <v>34.861213791249412</v>
      </c>
      <c r="BA23" s="2988">
        <f t="shared" ref="BA23:BF23" si="12">+BA22/BA21*100</f>
        <v>20</v>
      </c>
      <c r="BB23" s="3019">
        <f t="shared" si="12"/>
        <v>36.155981493721086</v>
      </c>
      <c r="BC23" s="1082">
        <f t="shared" si="12"/>
        <v>20</v>
      </c>
      <c r="BD23" s="3012">
        <f t="shared" si="12"/>
        <v>31.671754833758737</v>
      </c>
      <c r="BE23" s="2990">
        <f t="shared" si="12"/>
        <v>20.639338599285438</v>
      </c>
      <c r="BF23" s="3025">
        <f t="shared" si="12"/>
        <v>33.763127596099416</v>
      </c>
      <c r="BG23" s="1137"/>
      <c r="BH23" s="1137"/>
      <c r="BI23" s="25"/>
      <c r="BJ23" s="25"/>
      <c r="BK23" s="4234"/>
    </row>
    <row r="24" spans="1:63" ht="15.75" x14ac:dyDescent="0.25">
      <c r="A24" s="139"/>
      <c r="B24" s="139"/>
      <c r="C24" s="3146" t="s">
        <v>503</v>
      </c>
      <c r="D24" s="3145" t="s">
        <v>50</v>
      </c>
      <c r="E24" s="7631">
        <f>+E21-E22</f>
        <v>9328.5515214908737</v>
      </c>
      <c r="F24" s="7632">
        <f>+F21-F22</f>
        <v>10119</v>
      </c>
      <c r="G24" s="1491">
        <f>+G21-G22</f>
        <v>13277.231593566865</v>
      </c>
      <c r="H24" s="5632">
        <f>+H21-H22</f>
        <v>11064</v>
      </c>
      <c r="I24" s="3147">
        <f>+E24+G24</f>
        <v>22605.78311505774</v>
      </c>
      <c r="J24" s="1099">
        <f>+F24+H24</f>
        <v>21183</v>
      </c>
      <c r="K24" s="1491">
        <f>+K21-K22</f>
        <v>12867.282335564023</v>
      </c>
      <c r="L24" s="5733">
        <f>+L21-L22</f>
        <v>10802</v>
      </c>
      <c r="M24" s="1079">
        <f>E24+G24+K24</f>
        <v>35473.065450621762</v>
      </c>
      <c r="N24" s="1080">
        <f>F24+H24+L24</f>
        <v>31985</v>
      </c>
      <c r="O24" s="1491">
        <f>+O21-O22</f>
        <v>13021.013307315105</v>
      </c>
      <c r="P24" s="5866">
        <f>+P21-P22</f>
        <v>11215</v>
      </c>
      <c r="Q24" s="2987">
        <f>+M24+O24</f>
        <v>48494.078757936863</v>
      </c>
      <c r="R24" s="1099">
        <f>+N24+P24</f>
        <v>43200</v>
      </c>
      <c r="S24" s="1491">
        <f>+S21-S22</f>
        <v>13021.013307315105</v>
      </c>
      <c r="T24" s="5948">
        <f>+T21-T22</f>
        <v>10198</v>
      </c>
      <c r="U24" s="4366">
        <f>+Q24+S24</f>
        <v>61515.092065251971</v>
      </c>
      <c r="V24" s="1099">
        <f>+R24+T24</f>
        <v>53398</v>
      </c>
      <c r="W24" s="1491">
        <f>+W21-W22</f>
        <v>6833.3416943348102</v>
      </c>
      <c r="X24" s="6060">
        <f>+X21-X22</f>
        <v>9773</v>
      </c>
      <c r="Y24" s="1079">
        <f>O24+S24+W24</f>
        <v>32875.368308965022</v>
      </c>
      <c r="Z24" s="1080">
        <f>P24+T24+X24</f>
        <v>31186</v>
      </c>
      <c r="AA24" s="1082">
        <f>+U24+W24</f>
        <v>68348.433759586784</v>
      </c>
      <c r="AB24" s="1084">
        <f>+V24+X24</f>
        <v>63171</v>
      </c>
      <c r="AC24" s="1491">
        <f>+AC21-AC22</f>
        <v>13277.231593566865</v>
      </c>
      <c r="AD24" s="6182">
        <f>+AD21-AD22</f>
        <v>7898</v>
      </c>
      <c r="AE24" s="2987">
        <f>+AA24+AC24</f>
        <v>81625.665353153643</v>
      </c>
      <c r="AF24" s="1099">
        <f>+AB24+AD24</f>
        <v>71069</v>
      </c>
      <c r="AG24" s="1491">
        <f>+AG21-AG22</f>
        <v>12867.282335564023</v>
      </c>
      <c r="AH24" s="6370">
        <f>+AH21-AH22</f>
        <v>8911</v>
      </c>
      <c r="AI24" s="4653">
        <f>+AE24+AG24</f>
        <v>94492.947688717672</v>
      </c>
      <c r="AJ24" s="1099">
        <f>+AF24+AH24</f>
        <v>79980</v>
      </c>
      <c r="AK24" s="6627">
        <f>+AK21-AK22</f>
        <v>13277.231593566865</v>
      </c>
      <c r="AL24" s="6628">
        <f>+AL21-AL22</f>
        <v>0</v>
      </c>
      <c r="AM24" s="1079">
        <f>AC24+AG24+AK24</f>
        <v>39421.745522697754</v>
      </c>
      <c r="AN24" s="1080">
        <f>AD24+AH24+AL24</f>
        <v>16809</v>
      </c>
      <c r="AO24" s="2987">
        <f>+AI24+AK24</f>
        <v>107770.17928228453</v>
      </c>
      <c r="AP24" s="1099">
        <f>+AJ24+AL24</f>
        <v>79980</v>
      </c>
      <c r="AQ24" s="6714">
        <f>+AQ21-AQ22</f>
        <v>13482.206222568295</v>
      </c>
      <c r="AR24" s="6713">
        <f>+AR21-AR22</f>
        <v>5862</v>
      </c>
      <c r="AS24" s="2987">
        <f>+AO24+AQ24</f>
        <v>121252.38550485282</v>
      </c>
      <c r="AT24" s="1099">
        <f>+AP24+AR24</f>
        <v>85842</v>
      </c>
      <c r="AU24" s="6917">
        <f>+AU21-AU22</f>
        <v>12047.383819558363</v>
      </c>
      <c r="AV24" s="6918">
        <f>+AV21-AV22</f>
        <v>8595</v>
      </c>
      <c r="AW24" s="5078">
        <f>+AS24+AU24</f>
        <v>133299.76932441117</v>
      </c>
      <c r="AX24" s="1099">
        <f>+AT24+AV24</f>
        <v>94437</v>
      </c>
      <c r="AY24" s="1491">
        <f>+AY21-AY22</f>
        <v>13482.206222568295</v>
      </c>
      <c r="AZ24" s="5127">
        <f>+AZ21-AZ22</f>
        <v>9692</v>
      </c>
      <c r="BA24" s="1079">
        <f>AQ24+AU24+AY24</f>
        <v>39011.796264694953</v>
      </c>
      <c r="BB24" s="1080">
        <f>AR24+AV24+AZ24</f>
        <v>24149</v>
      </c>
      <c r="BC24" s="1082">
        <f t="shared" ref="BC24:BC25" si="13">AM24+BA24</f>
        <v>78433.541787392707</v>
      </c>
      <c r="BD24" s="1082">
        <f t="shared" ref="BD24:BD25" si="14">AN24+BB24</f>
        <v>40958</v>
      </c>
      <c r="BE24" s="2987">
        <f>+AW24+AY24</f>
        <v>146781.97554697946</v>
      </c>
      <c r="BF24" s="1099">
        <f>+AX24+AZ24</f>
        <v>104129</v>
      </c>
      <c r="BG24" s="1137"/>
      <c r="BH24" s="1137"/>
      <c r="BI24" s="25"/>
      <c r="BJ24" s="25"/>
      <c r="BK24" s="4234"/>
    </row>
    <row r="25" spans="1:63" ht="15.75" x14ac:dyDescent="0.25">
      <c r="A25" s="139"/>
      <c r="B25" s="139"/>
      <c r="C25" s="3146" t="s">
        <v>535</v>
      </c>
      <c r="D25" s="3145" t="s">
        <v>50</v>
      </c>
      <c r="E25" s="7631">
        <f>+E24*E26/100</f>
        <v>4850.846791175255</v>
      </c>
      <c r="F25" s="7632">
        <v>5262</v>
      </c>
      <c r="G25" s="1491">
        <f>+G24*G26/100</f>
        <v>6904.160428654769</v>
      </c>
      <c r="H25" s="5632">
        <v>5753</v>
      </c>
      <c r="I25" s="3147">
        <f>+E25+G25</f>
        <v>11755.007219830024</v>
      </c>
      <c r="J25" s="1099">
        <f>+F25+H25</f>
        <v>11015</v>
      </c>
      <c r="K25" s="1491">
        <f>+K24*K26/100</f>
        <v>6690.9868144932925</v>
      </c>
      <c r="L25" s="5733">
        <v>5617</v>
      </c>
      <c r="M25" s="1079">
        <f>E25+G25+K25</f>
        <v>18445.994034323317</v>
      </c>
      <c r="N25" s="1080">
        <f>F25+H25+L25</f>
        <v>16632</v>
      </c>
      <c r="O25" s="1491">
        <f>+O24*O26/100</f>
        <v>6770.9269198038546</v>
      </c>
      <c r="P25" s="5866">
        <v>5832</v>
      </c>
      <c r="Q25" s="2987">
        <f>+M25+O25</f>
        <v>25216.92095412717</v>
      </c>
      <c r="R25" s="1099">
        <f>+N25+P25</f>
        <v>22464</v>
      </c>
      <c r="S25" s="1491">
        <f>+S24*S26/100</f>
        <v>6770.9269198038546</v>
      </c>
      <c r="T25" s="5948">
        <v>5303</v>
      </c>
      <c r="U25" s="4366">
        <f>+Q25+S25</f>
        <v>31987.847873931023</v>
      </c>
      <c r="V25" s="1099">
        <f>+R25+T25</f>
        <v>27767</v>
      </c>
      <c r="W25" s="1491">
        <f>+W24*W26/100</f>
        <v>3553.3376810541017</v>
      </c>
      <c r="X25" s="6060">
        <v>5082</v>
      </c>
      <c r="Y25" s="1079">
        <f>O25+S25+W25</f>
        <v>17095.191520661811</v>
      </c>
      <c r="Z25" s="1080">
        <f>P25+T25+X25</f>
        <v>16217</v>
      </c>
      <c r="AA25" s="1082">
        <f>+U25+W25</f>
        <v>35541.185554985124</v>
      </c>
      <c r="AB25" s="1084">
        <f>+V25+X25</f>
        <v>32849</v>
      </c>
      <c r="AC25" s="1491">
        <f>+AC24*AC26/100</f>
        <v>6904.160428654769</v>
      </c>
      <c r="AD25" s="6182">
        <v>4107</v>
      </c>
      <c r="AE25" s="2987">
        <f>+AA25+AC25</f>
        <v>42445.345983639891</v>
      </c>
      <c r="AF25" s="1099">
        <f>+AB25+AD25</f>
        <v>36956</v>
      </c>
      <c r="AG25" s="1491">
        <f>+AG24*AG26/100</f>
        <v>6690.9868144932925</v>
      </c>
      <c r="AH25" s="6370">
        <v>4634</v>
      </c>
      <c r="AI25" s="4653">
        <f>+AE25+AG25</f>
        <v>49136.332798133182</v>
      </c>
      <c r="AJ25" s="1099">
        <f>+AF25+AH25</f>
        <v>41590</v>
      </c>
      <c r="AK25" s="6627">
        <f>+AK24*AK26/100</f>
        <v>6904.160428654769</v>
      </c>
      <c r="AL25" s="6628">
        <v>0</v>
      </c>
      <c r="AM25" s="1079">
        <f>AC25+AG25+AK25</f>
        <v>20499.307671802831</v>
      </c>
      <c r="AN25" s="1080">
        <f>AD25+AH25+AL25</f>
        <v>8741</v>
      </c>
      <c r="AO25" s="2987">
        <f>+AI25+AK25</f>
        <v>56040.493226787949</v>
      </c>
      <c r="AP25" s="1099">
        <f>+AJ25+AL25</f>
        <v>41590</v>
      </c>
      <c r="AQ25" s="6714">
        <f>+AQ24*AQ26/100</f>
        <v>7010.7472357355127</v>
      </c>
      <c r="AR25" s="6713">
        <v>3048</v>
      </c>
      <c r="AS25" s="2987">
        <f>+AO25+AQ25</f>
        <v>63051.240462523463</v>
      </c>
      <c r="AT25" s="1099">
        <f>+AP25+AR25</f>
        <v>44638</v>
      </c>
      <c r="AU25" s="6917">
        <f>+AU24*AU26/100</f>
        <v>6264.6395861703486</v>
      </c>
      <c r="AV25" s="6918">
        <v>4469</v>
      </c>
      <c r="AW25" s="5078">
        <f>+AS25+AU25</f>
        <v>69315.880048693813</v>
      </c>
      <c r="AX25" s="1099">
        <f>+AT25+AV25</f>
        <v>49107</v>
      </c>
      <c r="AY25" s="1491">
        <f>+AY24*AY26/100</f>
        <v>7010.7472357355127</v>
      </c>
      <c r="AZ25" s="5127">
        <v>5040</v>
      </c>
      <c r="BA25" s="1079">
        <f>AQ25+AU25+AY25</f>
        <v>20286.134057641371</v>
      </c>
      <c r="BB25" s="1080">
        <f>AR25+AV25+AZ25</f>
        <v>12557</v>
      </c>
      <c r="BC25" s="1082">
        <f t="shared" si="13"/>
        <v>40785.441729444203</v>
      </c>
      <c r="BD25" s="1082">
        <f t="shared" si="14"/>
        <v>21298</v>
      </c>
      <c r="BE25" s="2987">
        <f>+AW25+AY25</f>
        <v>76326.627284429327</v>
      </c>
      <c r="BF25" s="1099">
        <f>+AX25+AZ25</f>
        <v>54147</v>
      </c>
      <c r="BG25" s="1137"/>
      <c r="BH25" s="1137"/>
      <c r="BI25" s="25"/>
      <c r="BJ25" s="25"/>
      <c r="BK25" s="4234"/>
    </row>
    <row r="26" spans="1:63" ht="15.75" x14ac:dyDescent="0.25">
      <c r="A26" s="139"/>
      <c r="B26" s="139"/>
      <c r="C26" s="3146" t="s">
        <v>504</v>
      </c>
      <c r="D26" s="3145" t="s">
        <v>49</v>
      </c>
      <c r="E26" s="7630">
        <v>52</v>
      </c>
      <c r="F26" s="1078">
        <f>+F25/F24*100</f>
        <v>52.001185887933588</v>
      </c>
      <c r="G26" s="5631">
        <v>52</v>
      </c>
      <c r="H26" s="1065">
        <f>+H25/H24*100</f>
        <v>51.997469269703544</v>
      </c>
      <c r="I26" s="3144">
        <f>+I25/I24*100</f>
        <v>51.999999999999993</v>
      </c>
      <c r="J26" s="3025">
        <f>+J25/J24*100</f>
        <v>51.999244677335597</v>
      </c>
      <c r="K26" s="5732">
        <v>52</v>
      </c>
      <c r="L26" s="1065">
        <f>+L25/L24*100</f>
        <v>51.999629698204039</v>
      </c>
      <c r="M26" s="2988">
        <f>+M25/M24*100</f>
        <v>52</v>
      </c>
      <c r="N26" s="3019">
        <f>+N25/N24*100</f>
        <v>51.999374706893853</v>
      </c>
      <c r="O26" s="5865">
        <v>52</v>
      </c>
      <c r="P26" s="1065">
        <f>+P25/P24*100</f>
        <v>52.001783325902807</v>
      </c>
      <c r="Q26" s="2990">
        <f>+Q25/Q24*100</f>
        <v>52</v>
      </c>
      <c r="R26" s="3025">
        <f>+R25/R24*100</f>
        <v>52</v>
      </c>
      <c r="S26" s="5947">
        <v>52</v>
      </c>
      <c r="T26" s="1065">
        <f>+T25/T24*100</f>
        <v>52.000392233771329</v>
      </c>
      <c r="U26" s="4367">
        <f>+U25/U24*100</f>
        <v>52</v>
      </c>
      <c r="V26" s="3025">
        <f>+V25/V24*100</f>
        <v>52.000074909172632</v>
      </c>
      <c r="W26" s="6059">
        <v>52</v>
      </c>
      <c r="X26" s="1065">
        <f>+X25/X24*100</f>
        <v>52.000409290903505</v>
      </c>
      <c r="Y26" s="2988">
        <f>+Y25/Y24*100</f>
        <v>52</v>
      </c>
      <c r="Z26" s="3019">
        <f>+Z25/Z24*100</f>
        <v>52.00089783877381</v>
      </c>
      <c r="AA26" s="1082">
        <f>+AA25/AA24*100</f>
        <v>51.999999999999993</v>
      </c>
      <c r="AB26" s="3012">
        <f>+AB25/AB24*100</f>
        <v>52.000126640388785</v>
      </c>
      <c r="AC26" s="6181">
        <v>52</v>
      </c>
      <c r="AD26" s="1065">
        <f>+AD25/AD24*100</f>
        <v>52.000506457330978</v>
      </c>
      <c r="AE26" s="2990">
        <f>+AE25/AE24*100</f>
        <v>51.999999999999993</v>
      </c>
      <c r="AF26" s="3025">
        <f>+AF25/AF24*100</f>
        <v>52.000168849990857</v>
      </c>
      <c r="AG26" s="6369">
        <v>52</v>
      </c>
      <c r="AH26" s="1065">
        <f>+AH25/AH24*100</f>
        <v>52.003142183817751</v>
      </c>
      <c r="AI26" s="4654">
        <f>+AI25/AI24*100</f>
        <v>51.999999999999993</v>
      </c>
      <c r="AJ26" s="3025">
        <f>+AJ25/AJ24*100</f>
        <v>52.000500125031259</v>
      </c>
      <c r="AK26" s="6626">
        <v>52</v>
      </c>
      <c r="AL26" s="1065" t="e">
        <f>+AL25/AL24*100</f>
        <v>#DIV/0!</v>
      </c>
      <c r="AM26" s="2988">
        <f>+AM25/AM24*100</f>
        <v>52</v>
      </c>
      <c r="AN26" s="3019">
        <f>+AN25/AN24*100</f>
        <v>52.001903742042956</v>
      </c>
      <c r="AO26" s="2990">
        <f>+AO25/AO24*100</f>
        <v>51.999999999999993</v>
      </c>
      <c r="AP26" s="3025">
        <f>+AP25/AP24*100</f>
        <v>52.000500125031259</v>
      </c>
      <c r="AQ26" s="6712">
        <v>52</v>
      </c>
      <c r="AR26" s="1065">
        <f>+AR25/AR24*100</f>
        <v>51.995905834186281</v>
      </c>
      <c r="AS26" s="2990">
        <f>+AS25/AS24*100</f>
        <v>52</v>
      </c>
      <c r="AT26" s="3025">
        <f>+AT25/AT24*100</f>
        <v>52.000186388947135</v>
      </c>
      <c r="AU26" s="6916">
        <v>52</v>
      </c>
      <c r="AV26" s="1065">
        <f>+AV25/AV24*100</f>
        <v>51.995346131471784</v>
      </c>
      <c r="AW26" s="5077">
        <f>+AW25/AW24*100</f>
        <v>52</v>
      </c>
      <c r="AX26" s="3025">
        <f>+AX25/AX24*100</f>
        <v>51.999745862320914</v>
      </c>
      <c r="AY26" s="5126">
        <v>52</v>
      </c>
      <c r="AZ26" s="1078">
        <f>+AZ25/AZ24*100</f>
        <v>52.001650846058602</v>
      </c>
      <c r="BA26" s="2988">
        <f t="shared" ref="BA26:BF26" si="15">+BA25/BA24*100</f>
        <v>51.999999999999993</v>
      </c>
      <c r="BB26" s="3019">
        <f t="shared" si="15"/>
        <v>51.998012340055489</v>
      </c>
      <c r="BC26" s="1082">
        <f t="shared" si="15"/>
        <v>51.999999999999993</v>
      </c>
      <c r="BD26" s="3012">
        <f t="shared" si="15"/>
        <v>51.999609355925578</v>
      </c>
      <c r="BE26" s="2990">
        <f t="shared" si="15"/>
        <v>52</v>
      </c>
      <c r="BF26" s="3025">
        <f t="shared" si="15"/>
        <v>51.999923172219077</v>
      </c>
      <c r="BG26" s="1137"/>
      <c r="BH26" s="1137"/>
      <c r="BI26" s="25"/>
      <c r="BJ26" s="25"/>
      <c r="BK26" s="4234"/>
    </row>
    <row r="27" spans="1:63" ht="15.75" x14ac:dyDescent="0.25">
      <c r="A27" s="139"/>
      <c r="B27" s="139"/>
      <c r="C27" s="3146" t="s">
        <v>586</v>
      </c>
      <c r="D27" s="3145" t="s">
        <v>50</v>
      </c>
      <c r="E27" s="7631">
        <f>+E25*E28/100</f>
        <v>339.55927538226786</v>
      </c>
      <c r="F27" s="1065">
        <v>250</v>
      </c>
      <c r="G27" s="1491">
        <f>+G25*G28/100</f>
        <v>483.29123000583388</v>
      </c>
      <c r="H27" s="1065">
        <v>310</v>
      </c>
      <c r="I27" s="3147">
        <f>+E27+G27</f>
        <v>822.85050538810174</v>
      </c>
      <c r="J27" s="1100">
        <f>+F27+H27</f>
        <v>560</v>
      </c>
      <c r="K27" s="1491">
        <f>+K25*K28/100</f>
        <v>468.36907701453049</v>
      </c>
      <c r="L27" s="1065">
        <v>300</v>
      </c>
      <c r="M27" s="1079">
        <f>E27+G27+K27</f>
        <v>1291.2195824026321</v>
      </c>
      <c r="N27" s="1081">
        <f>+J27+L27</f>
        <v>860</v>
      </c>
      <c r="O27" s="1491">
        <f>+O25*O28/100</f>
        <v>473.96488438626983</v>
      </c>
      <c r="P27" s="1065">
        <v>310</v>
      </c>
      <c r="Q27" s="2987">
        <f>+M27+O27</f>
        <v>1765.184466788902</v>
      </c>
      <c r="R27" s="1100">
        <f>+N27+P27</f>
        <v>1170</v>
      </c>
      <c r="S27" s="1491">
        <f>+S25*S28/100</f>
        <v>473.96488438626983</v>
      </c>
      <c r="T27" s="1065">
        <v>310</v>
      </c>
      <c r="U27" s="4366">
        <f>+Q27+S27</f>
        <v>2239.1493511751719</v>
      </c>
      <c r="V27" s="1100">
        <f>+R27+T27</f>
        <v>1480</v>
      </c>
      <c r="W27" s="1491">
        <f>+W25*W28/100</f>
        <v>248.73363767378711</v>
      </c>
      <c r="X27" s="1065">
        <v>300</v>
      </c>
      <c r="Y27" s="1079">
        <f>O27+S27+W27</f>
        <v>1196.6634064463267</v>
      </c>
      <c r="Z27" s="1080">
        <f>P27+T27+X27</f>
        <v>920</v>
      </c>
      <c r="AA27" s="1082">
        <f>+U27+W27</f>
        <v>2487.882988848959</v>
      </c>
      <c r="AB27" s="1083">
        <f>+V27+X27</f>
        <v>1780</v>
      </c>
      <c r="AC27" s="1491">
        <f>+AC25*AC28/100</f>
        <v>483.29123000583388</v>
      </c>
      <c r="AD27" s="1065">
        <v>310</v>
      </c>
      <c r="AE27" s="2987">
        <f>+AA27+AC27</f>
        <v>2971.1742188547928</v>
      </c>
      <c r="AF27" s="1100">
        <f>+AB27+AD27</f>
        <v>2090</v>
      </c>
      <c r="AG27" s="1491">
        <f>+AG25*AG28/100</f>
        <v>468.36907701453049</v>
      </c>
      <c r="AH27" s="1065">
        <v>300</v>
      </c>
      <c r="AI27" s="4653">
        <f>+AE27+AG27</f>
        <v>3439.5432958693232</v>
      </c>
      <c r="AJ27" s="1100">
        <f>+AF27+AH27</f>
        <v>2390</v>
      </c>
      <c r="AK27" s="6627">
        <f>+AK25*AK28/100</f>
        <v>483.29123000583388</v>
      </c>
      <c r="AL27" s="1065">
        <v>0</v>
      </c>
      <c r="AM27" s="1079">
        <f>AC27+AG27+AK27</f>
        <v>1434.9515370261984</v>
      </c>
      <c r="AN27" s="1080">
        <f>AD27+AH27+AL27</f>
        <v>610</v>
      </c>
      <c r="AO27" s="2987">
        <f>+AI27+AK27</f>
        <v>3922.8345258751569</v>
      </c>
      <c r="AP27" s="1100">
        <f>+AJ27+AL27</f>
        <v>2390</v>
      </c>
      <c r="AQ27" s="6714">
        <f>+AQ25*AQ28/100</f>
        <v>490.75230650148586</v>
      </c>
      <c r="AR27" s="1065">
        <v>70</v>
      </c>
      <c r="AS27" s="2987">
        <f>+AO27+AQ27</f>
        <v>4413.5868323766426</v>
      </c>
      <c r="AT27" s="1100">
        <f>+AP27+AR27</f>
        <v>2460</v>
      </c>
      <c r="AU27" s="6917">
        <f>+AU25*AU28/100</f>
        <v>438.52477103192439</v>
      </c>
      <c r="AV27" s="1065">
        <v>250</v>
      </c>
      <c r="AW27" s="5078">
        <f>+AS27+AU27</f>
        <v>4852.1116034085671</v>
      </c>
      <c r="AX27" s="1100">
        <f>+AT27+AV27</f>
        <v>2710</v>
      </c>
      <c r="AY27" s="1491">
        <f>+AY25*AY28/100</f>
        <v>490.75230650148586</v>
      </c>
      <c r="AZ27" s="1065">
        <v>270</v>
      </c>
      <c r="BA27" s="1079">
        <f>AQ27+AU27+AY27</f>
        <v>1420.0293840348961</v>
      </c>
      <c r="BB27" s="1080">
        <f>AR27+AV27+AZ27</f>
        <v>590</v>
      </c>
      <c r="BC27" s="1082">
        <f>AM27+BA27</f>
        <v>2854.9809210610947</v>
      </c>
      <c r="BD27" s="1082">
        <f>AN27+BB27</f>
        <v>1200</v>
      </c>
      <c r="BE27" s="2987">
        <f>+AW27+AY27</f>
        <v>5342.8639099100528</v>
      </c>
      <c r="BF27" s="1100">
        <f>+AX27+AZ27</f>
        <v>2980</v>
      </c>
      <c r="BG27" s="1137"/>
      <c r="BH27" s="1137"/>
      <c r="BI27" s="25"/>
      <c r="BJ27" s="25"/>
      <c r="BK27" s="4234"/>
    </row>
    <row r="28" spans="1:63" ht="15.75" x14ac:dyDescent="0.25">
      <c r="A28" s="139"/>
      <c r="B28" s="139"/>
      <c r="C28" s="3146" t="s">
        <v>587</v>
      </c>
      <c r="D28" s="3145" t="s">
        <v>49</v>
      </c>
      <c r="E28" s="7630">
        <v>7</v>
      </c>
      <c r="F28" s="1078">
        <f>+F27/F25*100</f>
        <v>4.7510452299505896</v>
      </c>
      <c r="G28" s="5631">
        <v>7</v>
      </c>
      <c r="H28" s="1078">
        <f>+H27/H25*100</f>
        <v>5.3884929601946814</v>
      </c>
      <c r="I28" s="3144">
        <f>+I27/I25*100</f>
        <v>7.0000000000000009</v>
      </c>
      <c r="J28" s="3025">
        <f>+J27/J25*100</f>
        <v>5.0839763958238766</v>
      </c>
      <c r="K28" s="5732">
        <v>7</v>
      </c>
      <c r="L28" s="1078">
        <f>+L27/L25*100</f>
        <v>5.3409293217019762</v>
      </c>
      <c r="M28" s="2988">
        <f>+M27/M25*100</f>
        <v>6.9999999999999991</v>
      </c>
      <c r="N28" s="3019">
        <f>+N27/N25*100</f>
        <v>5.1707551707551707</v>
      </c>
      <c r="O28" s="5865">
        <v>7</v>
      </c>
      <c r="P28" s="1078">
        <f>+P27/P25*100</f>
        <v>5.315500685871057</v>
      </c>
      <c r="Q28" s="2990">
        <f>+Q27/Q25*100</f>
        <v>7.0000000000000009</v>
      </c>
      <c r="R28" s="3025">
        <f>+R27/R25*100</f>
        <v>5.2083333333333339</v>
      </c>
      <c r="S28" s="5947">
        <v>7</v>
      </c>
      <c r="T28" s="1078">
        <f>+T27/T25*100</f>
        <v>5.8457476899868004</v>
      </c>
      <c r="U28" s="4367">
        <f>+U27/U25*100</f>
        <v>7.0000000000000009</v>
      </c>
      <c r="V28" s="3025">
        <f>+V27/V25*100</f>
        <v>5.3300680664097673</v>
      </c>
      <c r="W28" s="6059">
        <v>7</v>
      </c>
      <c r="X28" s="1078">
        <f>+X27/X25*100</f>
        <v>5.9031877213695401</v>
      </c>
      <c r="Y28" s="2988">
        <f>+Y27/Y25*100</f>
        <v>6.9999999999999991</v>
      </c>
      <c r="Z28" s="3019">
        <f>+Z27/Z25*100</f>
        <v>5.6730591354751185</v>
      </c>
      <c r="AA28" s="2989">
        <f>+AA27/AA25*100</f>
        <v>7.0000000000000009</v>
      </c>
      <c r="AB28" s="3012">
        <f>+AB27/AB25*100</f>
        <v>5.4187342080428627</v>
      </c>
      <c r="AC28" s="6181">
        <v>7</v>
      </c>
      <c r="AD28" s="1078">
        <f>+AD27/AD25*100</f>
        <v>7.5480886291697109</v>
      </c>
      <c r="AE28" s="2990">
        <f>+AE27/AE25*100</f>
        <v>7.0000000000000009</v>
      </c>
      <c r="AF28" s="3025">
        <f>+AF27/AF25*100</f>
        <v>5.6553739582205864</v>
      </c>
      <c r="AG28" s="6369">
        <v>7</v>
      </c>
      <c r="AH28" s="1078">
        <f>+AH27/AH25*100</f>
        <v>6.473888649115235</v>
      </c>
      <c r="AI28" s="4654">
        <f>+AI27/AI25*100</f>
        <v>7.0000000000000009</v>
      </c>
      <c r="AJ28" s="3025">
        <f>+AJ27/AJ25*100</f>
        <v>5.7465736955999036</v>
      </c>
      <c r="AK28" s="6626">
        <v>7</v>
      </c>
      <c r="AL28" s="1078" t="e">
        <f>+AL27/AL25*100</f>
        <v>#DIV/0!</v>
      </c>
      <c r="AM28" s="2988">
        <f>+AM27/AM25*100</f>
        <v>7.0000000000000009</v>
      </c>
      <c r="AN28" s="3019">
        <f>+AN27/AN25*100</f>
        <v>6.9786065667543768</v>
      </c>
      <c r="AO28" s="2990">
        <f>+AO27/AO25*100</f>
        <v>7.0000000000000009</v>
      </c>
      <c r="AP28" s="3025">
        <f>+AP27/AP25*100</f>
        <v>5.7465736955999036</v>
      </c>
      <c r="AQ28" s="6712">
        <v>7</v>
      </c>
      <c r="AR28" s="1078">
        <f>+AR27/AR25*100</f>
        <v>2.2965879265091864</v>
      </c>
      <c r="AS28" s="2990">
        <f>+AS27/AS25*100</f>
        <v>7.0000000000000009</v>
      </c>
      <c r="AT28" s="3025">
        <f>+AT27/AT25*100</f>
        <v>5.5109995967561272</v>
      </c>
      <c r="AU28" s="6916">
        <v>7</v>
      </c>
      <c r="AV28" s="1078">
        <f>+AV27/AV25*100</f>
        <v>5.5940926381740885</v>
      </c>
      <c r="AW28" s="5077">
        <f>+AW27/AW25*100</f>
        <v>7.0000000000000009</v>
      </c>
      <c r="AX28" s="3025">
        <f>+AX27/AX25*100</f>
        <v>5.5185615085425699</v>
      </c>
      <c r="AY28" s="5126">
        <v>7</v>
      </c>
      <c r="AZ28" s="1078">
        <f>+AZ27/AZ25*100</f>
        <v>5.3571428571428568</v>
      </c>
      <c r="BA28" s="2988">
        <f t="shared" ref="BA28:BF28" si="16">+BA27/BA25*100</f>
        <v>7.0000000000000009</v>
      </c>
      <c r="BB28" s="3019">
        <f t="shared" si="16"/>
        <v>4.6985745002787285</v>
      </c>
      <c r="BC28" s="2989">
        <f t="shared" si="16"/>
        <v>7.0000000000000009</v>
      </c>
      <c r="BD28" s="3012">
        <f t="shared" si="16"/>
        <v>5.6343318621466807</v>
      </c>
      <c r="BE28" s="2990">
        <f t="shared" si="16"/>
        <v>6.9999999999999991</v>
      </c>
      <c r="BF28" s="3025">
        <f t="shared" si="16"/>
        <v>5.5035366686981737</v>
      </c>
      <c r="BG28" s="1137"/>
      <c r="BH28" s="1137"/>
      <c r="BI28" s="25"/>
      <c r="BJ28" s="25"/>
      <c r="BK28" s="4234"/>
    </row>
    <row r="29" spans="1:63" ht="15.75" x14ac:dyDescent="0.25">
      <c r="A29" s="139"/>
      <c r="B29" s="139"/>
      <c r="C29" s="2423" t="s">
        <v>592</v>
      </c>
      <c r="D29" s="3145"/>
      <c r="E29" s="8252">
        <v>100</v>
      </c>
      <c r="F29" s="1078"/>
      <c r="G29" s="8266">
        <v>100</v>
      </c>
      <c r="H29" s="1078"/>
      <c r="I29" s="8256">
        <f>+((E29*E25)+(G29*G25))/(I25)</f>
        <v>100.00000000000001</v>
      </c>
      <c r="J29" s="3025"/>
      <c r="K29" s="8266">
        <v>90</v>
      </c>
      <c r="L29" s="1078"/>
      <c r="M29" s="8259">
        <f>+((E29*E25)+(G25*G29)+(K25*K29))/M25</f>
        <v>96.37266129326342</v>
      </c>
      <c r="N29" s="3019"/>
      <c r="O29" s="8266">
        <v>90</v>
      </c>
      <c r="P29" s="1078"/>
      <c r="Q29" s="8256">
        <f>+((M29*M25)+(O29*O25))/(Q25)</f>
        <v>94.661555326764073</v>
      </c>
      <c r="R29" s="3025"/>
      <c r="S29" s="8266">
        <v>90</v>
      </c>
      <c r="T29" s="1078"/>
      <c r="U29" s="8256">
        <f>+((Q29*Q25)+(S29*S25))/(U25)</f>
        <v>93.674835289375608</v>
      </c>
      <c r="V29" s="3025"/>
      <c r="W29" s="8266">
        <v>90</v>
      </c>
      <c r="X29" s="1078"/>
      <c r="Y29" s="8259">
        <f>+((O29*O25)+(S25*S29)+(W25*W29))/Y25</f>
        <v>90</v>
      </c>
      <c r="Z29" s="3019"/>
      <c r="AA29" s="8264">
        <f>+((U29*U25)+(W29*W25))/(AA25)</f>
        <v>93.307432500146646</v>
      </c>
      <c r="AB29" s="3012"/>
      <c r="AC29" s="8269">
        <v>100</v>
      </c>
      <c r="AD29" s="1078"/>
      <c r="AE29" s="8256">
        <f>+((AA29*AA25)+(AC29*AC25))/(AE25)</f>
        <v>94.396045600777256</v>
      </c>
      <c r="AF29" s="3025"/>
      <c r="AG29" s="8269">
        <v>100</v>
      </c>
      <c r="AH29" s="1078"/>
      <c r="AI29" s="8256">
        <f>+((AE29*AE25)+(AG29*AG25))/(AI25)</f>
        <v>95.15914660687524</v>
      </c>
      <c r="AJ29" s="3025"/>
      <c r="AK29" s="8269">
        <v>110</v>
      </c>
      <c r="AL29" s="1078"/>
      <c r="AM29" s="8259">
        <f>+((AC29*AC25)+(AG25*AG29)+(AK25*AK29))/AM25</f>
        <v>103.36799688028076</v>
      </c>
      <c r="AN29" s="3019"/>
      <c r="AO29" s="8256">
        <f>+((AI29*AI25)+(AK29*AK25))/(AO25)</f>
        <v>96.987532240628013</v>
      </c>
      <c r="AP29" s="3025"/>
      <c r="AQ29" s="8269">
        <v>110</v>
      </c>
      <c r="AR29" s="1078"/>
      <c r="AS29" s="8256">
        <f>+((AO29*AO25)+(AQ29*AQ25))/(AS25)</f>
        <v>98.434405001653843</v>
      </c>
      <c r="AT29" s="3025"/>
      <c r="AU29" s="8269">
        <v>110</v>
      </c>
      <c r="AV29" s="1078"/>
      <c r="AW29" s="8256">
        <f>+((AS29*AS25)+(AU29*AU25))/(AW25)</f>
        <v>99.479681844613268</v>
      </c>
      <c r="AX29" s="3025"/>
      <c r="AY29" s="8252">
        <v>110</v>
      </c>
      <c r="AZ29" s="1078"/>
      <c r="BA29" s="8259">
        <f>+((AQ29*AQ25)+(AU25*AU29)+(AY25*AY29))/BA25</f>
        <v>110.00000000000003</v>
      </c>
      <c r="BB29" s="3019"/>
      <c r="BC29" s="8264">
        <f>+((AM29*AM25)+(BA29*BA25))/(BC25)</f>
        <v>106.66666666666667</v>
      </c>
      <c r="BD29" s="3012"/>
      <c r="BE29" s="8256">
        <f>+((AW29*AW25)+(AY29*AY25))/(BE25)</f>
        <v>100.44599326241099</v>
      </c>
      <c r="BF29" s="3025"/>
      <c r="BG29" s="1137"/>
      <c r="BH29" s="1137"/>
      <c r="BI29" s="25"/>
      <c r="BJ29" s="25"/>
      <c r="BK29" s="4234"/>
    </row>
    <row r="30" spans="1:63" ht="15.75" x14ac:dyDescent="0.25">
      <c r="A30" s="139"/>
      <c r="B30" s="139"/>
      <c r="C30" s="3005" t="s">
        <v>668</v>
      </c>
      <c r="D30" s="3145"/>
      <c r="E30" s="8253"/>
      <c r="F30" s="4492">
        <v>131.97999999999999</v>
      </c>
      <c r="G30" s="8266"/>
      <c r="H30" s="4492">
        <v>126.1</v>
      </c>
      <c r="I30" s="8256"/>
      <c r="J30" s="1101">
        <f>+((F30*F25)+(H25*H30))/(F25+H25)</f>
        <v>128.90894779845664</v>
      </c>
      <c r="K30" s="8266"/>
      <c r="L30" s="4492">
        <v>86.33</v>
      </c>
      <c r="M30" s="8259">
        <f t="shared" ref="M30:M31" si="17">+((E30*E24)+(G24*G30)+(K24*K30))/M24</f>
        <v>0</v>
      </c>
      <c r="N30" s="1087">
        <f>+((F30*F25)+(H25*H30)+(L25*L30))/N25</f>
        <v>114.52908068783069</v>
      </c>
      <c r="O30" s="8266"/>
      <c r="P30" s="4492">
        <v>123.22</v>
      </c>
      <c r="Q30" s="8256"/>
      <c r="R30" s="1101">
        <f>+((N30*N25)+(P25*P30))/(N25+P25)</f>
        <v>116.7853770477208</v>
      </c>
      <c r="S30" s="8266"/>
      <c r="T30" s="4492">
        <v>107.33</v>
      </c>
      <c r="U30" s="8256"/>
      <c r="V30" s="1101">
        <f>+((R30*R25)+(T25*T30))/(R25+T25)</f>
        <v>114.97956927287788</v>
      </c>
      <c r="W30" s="8266"/>
      <c r="X30" s="4492">
        <v>107.75</v>
      </c>
      <c r="Y30" s="8259">
        <f t="shared" ref="Y30:Y31" si="18">+((Q30*Q24)+(S24*S30)+(W24*W30))/Y24</f>
        <v>0</v>
      </c>
      <c r="Z30" s="1087">
        <f>+((P30*P25)+(T25*T30)+(X25*X30))/Z25</f>
        <v>113.17602084232595</v>
      </c>
      <c r="AA30" s="8264"/>
      <c r="AB30" s="1088">
        <f>(N30*N$25+Z30*Z$25)/AB$25</f>
        <v>113.86109775031204</v>
      </c>
      <c r="AC30" s="8269"/>
      <c r="AD30" s="4492">
        <v>81.84</v>
      </c>
      <c r="AE30" s="8256"/>
      <c r="AF30" s="1101">
        <f>+((AB30*AB25)+(AD25*AD30))/(AB25+AD25)</f>
        <v>110.30252408269294</v>
      </c>
      <c r="AG30" s="8269"/>
      <c r="AH30" s="4492">
        <v>61.37</v>
      </c>
      <c r="AI30" s="8256"/>
      <c r="AJ30" s="1101">
        <f>+((AF30*AF25)+(AH25*AH30))/(AF25+AH25)</f>
        <v>104.8504125991825</v>
      </c>
      <c r="AK30" s="8269"/>
      <c r="AL30" s="4492">
        <v>0</v>
      </c>
      <c r="AM30" s="8259">
        <f t="shared" ref="AM30:AM31" si="19">+((AE30*AE24)+(AG24*AG30)+(AK24*AK30))/AM24</f>
        <v>0</v>
      </c>
      <c r="AN30" s="1087">
        <f>+((AD30*AD25)+(AH25*AH30)+(AL25*AL30))/AN25</f>
        <v>70.98792586660565</v>
      </c>
      <c r="AO30" s="8256"/>
      <c r="AP30" s="1101">
        <f>+((AJ30*AJ25)+(AL25*AL30))/(AJ25+AL25)</f>
        <v>104.8504125991825</v>
      </c>
      <c r="AQ30" s="8269"/>
      <c r="AR30" s="4492">
        <v>108.43</v>
      </c>
      <c r="AS30" s="8256"/>
      <c r="AT30" s="1101">
        <f>+((AP30*AP25)+(AR25*AR30))/(AP25+AR25)</f>
        <v>105.09483623818271</v>
      </c>
      <c r="AU30" s="8269"/>
      <c r="AV30" s="4492">
        <v>125.27</v>
      </c>
      <c r="AW30" s="8256"/>
      <c r="AX30" s="1101">
        <f>+((AT30*AT25)+(AV25*AV30))/(AT25+AV25)</f>
        <v>106.9308841916631</v>
      </c>
      <c r="AY30" s="8253"/>
      <c r="AZ30" s="4492">
        <v>123.41</v>
      </c>
      <c r="BA30" s="8259">
        <f t="shared" ref="BA30:BA31" si="20">+((AS30*AS24)+(AU24*AU30)+(AY24*AY30))/BA24</f>
        <v>0</v>
      </c>
      <c r="BB30" s="1087">
        <f>+((AR30*AR25)+(AV25*AV30)+(AZ25*AZ30))/BB25</f>
        <v>120.43582623238034</v>
      </c>
      <c r="BC30" s="8264"/>
      <c r="BD30" s="1088">
        <f>(AN30*AN$25+BB30*BB$25)/BD$25</f>
        <v>100.1417095501925</v>
      </c>
      <c r="BE30" s="8256"/>
      <c r="BF30" s="1101">
        <f>+((AX30*AX25)+(AZ25*AZ30))/(AX25+AZ25)</f>
        <v>108.4647594511238</v>
      </c>
      <c r="BG30" s="1137"/>
      <c r="BH30" s="1137"/>
      <c r="BI30" s="25"/>
      <c r="BJ30" s="25"/>
      <c r="BK30" s="4234"/>
    </row>
    <row r="31" spans="1:63" ht="16.5" thickBot="1" x14ac:dyDescent="0.3">
      <c r="A31" s="139"/>
      <c r="B31" s="139"/>
      <c r="C31" s="3006" t="s">
        <v>667</v>
      </c>
      <c r="D31" s="3007"/>
      <c r="E31" s="8254"/>
      <c r="F31" s="4493"/>
      <c r="G31" s="8267"/>
      <c r="H31" s="4493">
        <v>90.64</v>
      </c>
      <c r="I31" s="8257"/>
      <c r="J31" s="1102">
        <f>+((F31*F25)+(H25*H31))/(F25+H25)</f>
        <v>47.340165229232866</v>
      </c>
      <c r="K31" s="8267"/>
      <c r="L31" s="4493">
        <v>128.47</v>
      </c>
      <c r="M31" s="8260">
        <f t="shared" si="17"/>
        <v>0</v>
      </c>
      <c r="N31" s="1089">
        <f>+((F31*F25)+(H25*H31)+(L25*L31))/N25</f>
        <v>74.739532828282819</v>
      </c>
      <c r="O31" s="8267"/>
      <c r="P31" s="4493">
        <v>88.87</v>
      </c>
      <c r="Q31" s="8257"/>
      <c r="R31" s="1102">
        <f>+((N31*N25)+(P25*P31))/(N25+P25)</f>
        <v>78.408019497863251</v>
      </c>
      <c r="S31" s="8267"/>
      <c r="T31" s="4493">
        <v>78.7</v>
      </c>
      <c r="U31" s="8257"/>
      <c r="V31" s="1102">
        <f>+((R31*R25)+(T25*T31))/(R25+T25)</f>
        <v>78.463782547628483</v>
      </c>
      <c r="W31" s="8267"/>
      <c r="X31" s="4493">
        <v>83.33</v>
      </c>
      <c r="Y31" s="8260">
        <f t="shared" si="18"/>
        <v>0</v>
      </c>
      <c r="Z31" s="1089">
        <f>+((P31*P25)+(T25*T31)+(X25*X31))/Z25</f>
        <v>83.808287599432688</v>
      </c>
      <c r="AA31" s="8265"/>
      <c r="AB31" s="1090">
        <f>(N31*N$25+Z31*Z$25)/AB$25</f>
        <v>79.216624859204245</v>
      </c>
      <c r="AC31" s="8270"/>
      <c r="AD31" s="4493">
        <v>64.09</v>
      </c>
      <c r="AE31" s="8257"/>
      <c r="AF31" s="1102">
        <f>+((AB31*AB25)+(AD25*AD31))/(AB25+AD25)</f>
        <v>77.53557040805282</v>
      </c>
      <c r="AG31" s="8270"/>
      <c r="AH31" s="4493">
        <v>48.33</v>
      </c>
      <c r="AI31" s="8257"/>
      <c r="AJ31" s="1102">
        <f>+((AF31*AF25)+(AH25*AH31))/(AF25+AH25)</f>
        <v>74.281456119259445</v>
      </c>
      <c r="AK31" s="8270"/>
      <c r="AL31" s="4493">
        <v>0</v>
      </c>
      <c r="AM31" s="8260">
        <f t="shared" si="19"/>
        <v>0</v>
      </c>
      <c r="AN31" s="1089">
        <f>+((AD31*AD25)+(AH25*AH31)+(AL25*AL31))/AN25</f>
        <v>55.734910193341719</v>
      </c>
      <c r="AO31" s="8257"/>
      <c r="AP31" s="1102">
        <f>+((AJ31*AJ25)+(AL25*AL31))/(AJ25+AL25)</f>
        <v>74.281456119259445</v>
      </c>
      <c r="AQ31" s="8270"/>
      <c r="AR31" s="4493">
        <v>82.77</v>
      </c>
      <c r="AS31" s="8257"/>
      <c r="AT31" s="1102">
        <f>+((AP31*AP25)+(AR25*AR31))/(AP25+AR25)</f>
        <v>74.861076213091991</v>
      </c>
      <c r="AU31" s="8270"/>
      <c r="AV31" s="4493">
        <v>108.92</v>
      </c>
      <c r="AW31" s="8257"/>
      <c r="AX31" s="1102">
        <f>+((AT31*AT25)+(AV25*AV31))/(AT25+AV25)</f>
        <v>77.960620685441995</v>
      </c>
      <c r="AY31" s="8254"/>
      <c r="AZ31" s="4493">
        <v>100.33</v>
      </c>
      <c r="BA31" s="8260">
        <f t="shared" si="20"/>
        <v>0</v>
      </c>
      <c r="BB31" s="1089">
        <f>+((AR31*AR25)+(AV25*AV31)+(AZ25*AZ31))/BB25</f>
        <v>99.124762283985021</v>
      </c>
      <c r="BC31" s="8265"/>
      <c r="BD31" s="1090">
        <f>(AN31*AN$25+BB31*BB$25)/BD$25</f>
        <v>81.316954174100843</v>
      </c>
      <c r="BE31" s="8257"/>
      <c r="BF31" s="1102">
        <f>+((AX31*AX25)+(AZ25*AZ31))/(AX25+AZ25)</f>
        <v>80.042761371821157</v>
      </c>
      <c r="BG31" s="1137"/>
      <c r="BH31" s="1137"/>
      <c r="BI31" s="25"/>
      <c r="BJ31" s="25"/>
      <c r="BK31" s="4234"/>
    </row>
    <row r="32" spans="1:63" ht="15.75" thickBot="1" x14ac:dyDescent="0.3">
      <c r="A32" s="139"/>
      <c r="B32" s="139"/>
      <c r="C32" s="568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137"/>
      <c r="BH32" s="1137"/>
      <c r="BI32" s="25"/>
      <c r="BJ32" s="25"/>
      <c r="BK32" s="4234"/>
    </row>
    <row r="33" spans="1:63" ht="16.5" thickBot="1" x14ac:dyDescent="0.3">
      <c r="A33" s="139"/>
      <c r="B33" s="139"/>
      <c r="C33" s="493" t="s">
        <v>267</v>
      </c>
      <c r="D33" s="1256" t="s">
        <v>50</v>
      </c>
      <c r="E33" s="494">
        <f>+SMS!E5</f>
        <v>193691.14877589454</v>
      </c>
      <c r="F33" s="495">
        <f>+SMS!F5</f>
        <v>223226</v>
      </c>
      <c r="G33" s="494">
        <f>+SMS!G5</f>
        <v>244664.77809253999</v>
      </c>
      <c r="H33" s="495">
        <f>+SMS!H5</f>
        <v>236638</v>
      </c>
      <c r="I33" s="494">
        <f>+SMS!I5</f>
        <v>438355.92686843453</v>
      </c>
      <c r="J33" s="495">
        <f>+SMS!J5</f>
        <v>459864</v>
      </c>
      <c r="K33" s="494">
        <f>+SMS!K5</f>
        <v>237110.48158640199</v>
      </c>
      <c r="L33" s="495">
        <f>+SMS!L5</f>
        <v>243453</v>
      </c>
      <c r="M33" s="1424">
        <f>+SMS!M5</f>
        <v>675466.40845483658</v>
      </c>
      <c r="N33" s="1425">
        <f>+SMS!N5</f>
        <v>703317</v>
      </c>
      <c r="O33" s="494">
        <f>+SMS!O5</f>
        <v>239943.34277620399</v>
      </c>
      <c r="P33" s="495">
        <f>+SMS!P5</f>
        <v>253662</v>
      </c>
      <c r="Q33" s="494">
        <f>+SMS!Q5</f>
        <v>915409.75123104057</v>
      </c>
      <c r="R33" s="495">
        <f>+SMS!R5</f>
        <v>956979</v>
      </c>
      <c r="S33" s="494">
        <f>+SMS!S5</f>
        <v>239943.34277620399</v>
      </c>
      <c r="T33" s="495">
        <f>+SMS!T5</f>
        <v>237622</v>
      </c>
      <c r="U33" s="494">
        <f>+SMS!U5</f>
        <v>1155353.0940072446</v>
      </c>
      <c r="V33" s="495">
        <f>+SMS!V5</f>
        <v>1194601</v>
      </c>
      <c r="W33" s="494">
        <f>+SMS!W5</f>
        <v>125920.679886686</v>
      </c>
      <c r="X33" s="495">
        <f>+SMS!X5</f>
        <v>226847</v>
      </c>
      <c r="Y33" s="1424">
        <f>+SMS!Y5</f>
        <v>605807.36543909402</v>
      </c>
      <c r="Z33" s="1425">
        <f>+SMS!Z5</f>
        <v>718131</v>
      </c>
      <c r="AA33" s="495">
        <f>+SMS!AA5</f>
        <v>1281273.7738939305</v>
      </c>
      <c r="AB33" s="495">
        <f>+SMS!AB5</f>
        <v>1421448</v>
      </c>
      <c r="AC33" s="494">
        <f>+SMS!AC5</f>
        <v>244664.77809253999</v>
      </c>
      <c r="AD33" s="495">
        <f>+SMS!AD5</f>
        <v>179201</v>
      </c>
      <c r="AE33" s="494">
        <f>+SMS!AE5</f>
        <v>1525938.5519864704</v>
      </c>
      <c r="AF33" s="495">
        <f>+SMS!AF5</f>
        <v>1600649</v>
      </c>
      <c r="AG33" s="494">
        <f>+SMS!AG5</f>
        <v>237110.48158640199</v>
      </c>
      <c r="AH33" s="495">
        <f>+SMS!AH5</f>
        <v>229502</v>
      </c>
      <c r="AI33" s="494">
        <f>+SMS!AI5</f>
        <v>1763049.0335728724</v>
      </c>
      <c r="AJ33" s="495">
        <f>+SMS!AJ5</f>
        <v>1830151</v>
      </c>
      <c r="AK33" s="494">
        <f>+SMS!AK5</f>
        <v>244664.77809253999</v>
      </c>
      <c r="AL33" s="495">
        <f>+SMS!AL5</f>
        <v>234365</v>
      </c>
      <c r="AM33" s="1424">
        <f>+SMS!AM5</f>
        <v>726440.03777148202</v>
      </c>
      <c r="AN33" s="1425">
        <f>+SMS!AN5</f>
        <v>643068</v>
      </c>
      <c r="AO33" s="494">
        <f>+SMS!AO5</f>
        <v>2007713.8116654125</v>
      </c>
      <c r="AP33" s="495">
        <f>+SMS!AP5</f>
        <v>2064516</v>
      </c>
      <c r="AQ33" s="494">
        <f>+SMS!AQ5</f>
        <v>248441.92634560907</v>
      </c>
      <c r="AR33" s="495">
        <f>+SMS!AR5</f>
        <v>228047</v>
      </c>
      <c r="AS33" s="494">
        <f>+SMS!AS5</f>
        <v>2256155.7380110216</v>
      </c>
      <c r="AT33" s="495">
        <f>+SMS!AT5</f>
        <v>2292563</v>
      </c>
      <c r="AU33" s="494">
        <f>+SMS!AU5</f>
        <v>222001.88857412653</v>
      </c>
      <c r="AV33" s="495">
        <f>+SMS!AV5</f>
        <v>185016</v>
      </c>
      <c r="AW33" s="494">
        <f>+SMS!AW5</f>
        <v>2478157.6265851483</v>
      </c>
      <c r="AX33" s="495">
        <f>+SMS!AX5</f>
        <v>2477579</v>
      </c>
      <c r="AY33" s="494">
        <f>+SMS!AY5</f>
        <v>248441.92634560907</v>
      </c>
      <c r="AZ33" s="495">
        <f>+SMS!AZ5</f>
        <v>241240</v>
      </c>
      <c r="BA33" s="1424">
        <f>+SMS!BA5</f>
        <v>718885.74126534467</v>
      </c>
      <c r="BB33" s="1425">
        <f>+SMS!BB5</f>
        <v>654303</v>
      </c>
      <c r="BC33" s="495">
        <f>+SMS!BC5</f>
        <v>1445325.7790368267</v>
      </c>
      <c r="BD33" s="495">
        <f>+SMS!BD5</f>
        <v>1297371</v>
      </c>
      <c r="BE33" s="1655">
        <f>+SMS!BE5</f>
        <v>2726599.5529307574</v>
      </c>
      <c r="BF33" s="1655">
        <f>+SMS!BF5</f>
        <v>2718819</v>
      </c>
      <c r="BG33" s="1137"/>
      <c r="BH33" s="1137"/>
      <c r="BI33" s="25"/>
      <c r="BJ33" s="25"/>
      <c r="BK33" s="4234"/>
    </row>
    <row r="34" spans="1:63" ht="16.5" customHeight="1" thickBot="1" x14ac:dyDescent="0.3">
      <c r="C34" s="1263" t="s">
        <v>511</v>
      </c>
      <c r="D34" s="1264"/>
      <c r="E34" s="90"/>
      <c r="F34" s="90"/>
      <c r="G34" s="29"/>
      <c r="H34" s="29"/>
      <c r="I34" s="29"/>
      <c r="M34" s="29"/>
      <c r="N34" s="29"/>
      <c r="O34" s="4233"/>
      <c r="P34" s="4233"/>
      <c r="Q34" s="29"/>
      <c r="R34" s="29"/>
      <c r="S34" s="4487"/>
      <c r="T34" s="4487"/>
      <c r="U34" s="29"/>
      <c r="V34" s="29"/>
      <c r="W34" s="4487"/>
      <c r="X34" s="4487"/>
      <c r="Y34" s="29"/>
      <c r="Z34" s="29"/>
      <c r="AA34" s="29"/>
      <c r="AB34" s="29"/>
      <c r="BG34" s="25"/>
      <c r="BH34" s="25"/>
      <c r="BI34" s="25"/>
      <c r="BJ34" s="25"/>
      <c r="BK34" s="4234"/>
    </row>
    <row r="35" spans="1:63" ht="15.75" customHeight="1" x14ac:dyDescent="0.25">
      <c r="C35" s="1127" t="s">
        <v>506</v>
      </c>
      <c r="D35" s="1396" t="s">
        <v>507</v>
      </c>
      <c r="E35" s="1260">
        <v>244.75118113599578</v>
      </c>
      <c r="F35" s="90"/>
      <c r="G35" s="29"/>
      <c r="H35" s="29"/>
      <c r="I35" s="29"/>
      <c r="M35" s="29"/>
      <c r="N35" s="29"/>
      <c r="O35" s="4233"/>
      <c r="P35" s="4233"/>
      <c r="Q35" s="29"/>
      <c r="R35" s="29"/>
      <c r="S35" s="4487"/>
      <c r="T35" s="4487"/>
      <c r="U35" s="29"/>
      <c r="V35" s="29"/>
      <c r="W35" s="4487"/>
      <c r="X35" s="4487"/>
      <c r="Y35" s="29"/>
      <c r="Z35" s="29"/>
      <c r="AA35" s="29"/>
      <c r="AB35" s="29"/>
      <c r="BG35" s="25"/>
      <c r="BH35" s="25"/>
      <c r="BI35" s="25"/>
      <c r="BJ35" s="25"/>
      <c r="BK35" s="4234"/>
    </row>
    <row r="36" spans="1:63" ht="15.75" customHeight="1" x14ac:dyDescent="0.25">
      <c r="C36" s="1265" t="s">
        <v>508</v>
      </c>
      <c r="D36" s="1397" t="s">
        <v>507</v>
      </c>
      <c r="E36" s="1260">
        <v>67.833791285156892</v>
      </c>
      <c r="F36" s="90"/>
      <c r="G36" s="29"/>
      <c r="H36" s="29"/>
      <c r="I36" s="29"/>
      <c r="M36" s="29"/>
      <c r="N36" s="29"/>
      <c r="O36" s="4233"/>
      <c r="P36" s="4233"/>
      <c r="Q36" s="29"/>
      <c r="R36" s="29"/>
      <c r="S36" s="4487"/>
      <c r="T36" s="4487"/>
      <c r="U36" s="29"/>
      <c r="V36" s="29"/>
      <c r="W36" s="4487"/>
      <c r="X36" s="4487"/>
      <c r="Y36" s="29"/>
      <c r="Z36" s="29"/>
      <c r="AA36" s="29"/>
      <c r="AB36" s="29"/>
      <c r="BG36" s="25"/>
      <c r="BH36" s="25"/>
      <c r="BI36" s="25"/>
      <c r="BJ36" s="25"/>
      <c r="BK36" s="4234"/>
    </row>
    <row r="37" spans="1:63" ht="15.75" customHeight="1" x14ac:dyDescent="0.25">
      <c r="C37" s="1266" t="s">
        <v>500</v>
      </c>
      <c r="D37" s="1225" t="s">
        <v>510</v>
      </c>
      <c r="E37" s="324">
        <v>300</v>
      </c>
      <c r="F37" s="90"/>
      <c r="G37" s="29"/>
      <c r="H37" s="29"/>
      <c r="I37" s="29"/>
      <c r="M37" s="29"/>
      <c r="N37" s="29"/>
      <c r="O37" s="4233"/>
      <c r="P37" s="4233"/>
      <c r="Q37" s="29"/>
      <c r="R37" s="29"/>
      <c r="S37" s="4487"/>
      <c r="T37" s="4487"/>
      <c r="U37" s="29"/>
      <c r="V37" s="29"/>
      <c r="W37" s="4487"/>
      <c r="X37" s="4487"/>
      <c r="Y37" s="29"/>
      <c r="Z37" s="29"/>
      <c r="AA37" s="29"/>
      <c r="AB37" s="29"/>
      <c r="BG37" s="25"/>
      <c r="BH37" s="25"/>
      <c r="BI37" s="25"/>
      <c r="BJ37" s="25"/>
      <c r="BK37" s="4234"/>
    </row>
    <row r="38" spans="1:63" ht="16.5" customHeight="1" thickBot="1" x14ac:dyDescent="0.3">
      <c r="C38" s="1124" t="s">
        <v>505</v>
      </c>
      <c r="D38" s="1398" t="s">
        <v>510</v>
      </c>
      <c r="E38" s="324">
        <v>100</v>
      </c>
      <c r="F38" s="90"/>
      <c r="G38" s="29"/>
      <c r="H38" s="29"/>
      <c r="I38" s="29"/>
      <c r="M38" s="29"/>
      <c r="N38" s="29"/>
      <c r="O38" s="4233"/>
      <c r="P38" s="4233"/>
      <c r="Q38" s="29"/>
      <c r="R38" s="29"/>
      <c r="S38" s="4487"/>
      <c r="T38" s="4487"/>
      <c r="U38" s="29"/>
      <c r="V38" s="29"/>
      <c r="W38" s="4487"/>
      <c r="X38" s="4487"/>
      <c r="Y38" s="29"/>
      <c r="Z38" s="29"/>
      <c r="AA38" s="29"/>
      <c r="AB38" s="29"/>
      <c r="BG38" s="25"/>
      <c r="BH38" s="25"/>
      <c r="BI38" s="25"/>
      <c r="BJ38" s="25"/>
      <c r="BK38" s="4234"/>
    </row>
    <row r="39" spans="1:63" ht="11.25" customHeight="1" x14ac:dyDescent="0.25">
      <c r="C39" s="4"/>
      <c r="D39" s="4"/>
      <c r="G39" s="4"/>
      <c r="H39" s="4"/>
      <c r="I39" s="4"/>
      <c r="M39" s="4"/>
      <c r="N39" s="4"/>
      <c r="O39" s="4233"/>
      <c r="P39" s="4233"/>
      <c r="Q39" s="4"/>
      <c r="R39" s="4"/>
      <c r="S39" s="4487"/>
      <c r="T39" s="4487"/>
      <c r="U39" s="4"/>
      <c r="V39" s="4"/>
      <c r="W39" s="4487"/>
      <c r="X39" s="4487"/>
      <c r="Y39" s="4"/>
      <c r="Z39" s="4"/>
      <c r="AA39" s="4"/>
      <c r="AB39" s="4"/>
      <c r="BG39" s="25"/>
      <c r="BH39" s="25"/>
      <c r="BI39" s="25"/>
      <c r="BJ39" s="25"/>
      <c r="BK39" s="4234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233"/>
      <c r="P40" s="4233"/>
      <c r="Q40" s="4"/>
      <c r="R40" s="4"/>
      <c r="S40" s="4487"/>
      <c r="T40" s="4487"/>
      <c r="U40" s="4"/>
      <c r="V40" s="4"/>
      <c r="W40" s="4487"/>
      <c r="X40" s="4487"/>
      <c r="Y40" s="4"/>
      <c r="Z40" s="4"/>
      <c r="AA40" s="4"/>
      <c r="AB40" s="4"/>
      <c r="BI40" s="4234"/>
      <c r="BJ40" s="4234"/>
    </row>
    <row r="41" spans="1:63" ht="15" customHeight="1" x14ac:dyDescent="0.25">
      <c r="C41" s="2632"/>
      <c r="D41" s="2632"/>
      <c r="G41" s="4"/>
      <c r="H41" s="4"/>
      <c r="I41" s="4"/>
      <c r="M41" s="4"/>
      <c r="N41" s="4"/>
      <c r="P41" s="4"/>
      <c r="Q41" s="4"/>
      <c r="R41" s="4"/>
      <c r="S41" s="4487"/>
      <c r="T41" s="4"/>
      <c r="U41" s="4"/>
      <c r="V41" s="4"/>
      <c r="W41" s="4487"/>
      <c r="X41" s="4"/>
      <c r="Y41" s="4"/>
      <c r="Z41" s="4"/>
      <c r="AA41" s="4"/>
      <c r="AB41" s="4"/>
      <c r="BI41" s="4234"/>
      <c r="BJ41" s="4234"/>
    </row>
    <row r="42" spans="1:63" ht="15" customHeight="1" x14ac:dyDescent="0.25">
      <c r="C42" s="4"/>
      <c r="D42" s="4"/>
      <c r="E42" s="4"/>
      <c r="F42" s="24"/>
      <c r="G42" s="4"/>
      <c r="H42" s="24"/>
      <c r="I42" s="4"/>
      <c r="J42" s="4"/>
      <c r="K42" s="4"/>
      <c r="L42" s="24">
        <f>+L7-RMHP!K60</f>
        <v>0</v>
      </c>
      <c r="M42" s="4"/>
      <c r="N42" s="4"/>
      <c r="P42" s="24">
        <f>+P7-RMHP!O60</f>
        <v>0</v>
      </c>
      <c r="Q42" s="4"/>
      <c r="R42" s="4"/>
      <c r="S42" s="4487"/>
      <c r="T42" s="24">
        <f>+T7-RMHP!S60</f>
        <v>0</v>
      </c>
      <c r="U42" s="4"/>
      <c r="V42" s="4"/>
      <c r="W42" s="4487"/>
      <c r="X42" s="24">
        <f>+X7-RMHP!W60</f>
        <v>0</v>
      </c>
      <c r="Y42" s="4"/>
      <c r="Z42" s="24">
        <f>+Z7-RMHP!Y60</f>
        <v>0</v>
      </c>
      <c r="AB42" s="24">
        <f>+AB7-RMHP!AA60</f>
        <v>0</v>
      </c>
      <c r="AD42" s="24">
        <f>+AD7-RMHP!AC60</f>
        <v>0</v>
      </c>
      <c r="AH42" s="24">
        <f>+AH7-RMHP!AG60</f>
        <v>0</v>
      </c>
      <c r="AL42" s="24">
        <f>+AL7-RMHP!AK60</f>
        <v>0</v>
      </c>
      <c r="AN42" s="24">
        <f>+AN7-RMHP!AM60</f>
        <v>0</v>
      </c>
      <c r="AP42" s="24">
        <f>+AP7-RMHP!AO60</f>
        <v>0</v>
      </c>
      <c r="AR42" s="24">
        <f>+AR7-RMHP!AQ60</f>
        <v>0</v>
      </c>
      <c r="AS42" s="24"/>
      <c r="AT42" s="24">
        <f>+AT7-RMHP!AS60</f>
        <v>0</v>
      </c>
      <c r="AV42" s="24">
        <f>+AV7-RMHP!AU60</f>
        <v>0</v>
      </c>
      <c r="AX42" s="24">
        <f>+AX7-RMHP!AW60</f>
        <v>0</v>
      </c>
      <c r="BI42" s="4234"/>
      <c r="BJ42" s="4234"/>
    </row>
    <row r="43" spans="1:63" ht="15" customHeight="1" x14ac:dyDescent="0.25">
      <c r="C43" s="4"/>
      <c r="D43" s="4"/>
      <c r="E43" s="4"/>
      <c r="F43" s="24"/>
      <c r="G43" s="4"/>
      <c r="H43" s="24"/>
      <c r="I43" s="4"/>
      <c r="J43" s="4"/>
      <c r="K43" s="4"/>
      <c r="L43" s="24">
        <f>+L21-RMHP!K61</f>
        <v>0</v>
      </c>
      <c r="M43" s="4"/>
      <c r="N43" s="4"/>
      <c r="P43" s="24">
        <f>+P21-RMHP!O61</f>
        <v>0</v>
      </c>
      <c r="Q43" s="4"/>
      <c r="R43" s="4"/>
      <c r="S43" s="4487"/>
      <c r="T43" s="24">
        <f>+T21-RMHP!S61</f>
        <v>0</v>
      </c>
      <c r="U43" s="4"/>
      <c r="V43" s="4"/>
      <c r="W43" s="4487"/>
      <c r="X43" s="24">
        <f>+X21-RMHP!W61</f>
        <v>0</v>
      </c>
      <c r="Y43" s="4"/>
      <c r="Z43" s="24">
        <f>+Z21-RMHP!Y61</f>
        <v>0</v>
      </c>
      <c r="AB43" s="24">
        <f>+AB21-RMHP!AA61</f>
        <v>0</v>
      </c>
      <c r="AD43" s="24">
        <f>+AD21-RMHP!AC61</f>
        <v>0</v>
      </c>
      <c r="AH43" s="24">
        <f>+AH21-RMHP!AG61</f>
        <v>0</v>
      </c>
      <c r="AL43" s="24">
        <f>+AL21-RMHP!AK61</f>
        <v>0</v>
      </c>
      <c r="AN43" s="24">
        <f>+AN21-RMHP!AM61</f>
        <v>0</v>
      </c>
      <c r="AP43" s="24">
        <f>+AP21-RMHP!AO61</f>
        <v>0</v>
      </c>
      <c r="AR43" s="24">
        <f>+AR21-RMHP!AQ61</f>
        <v>0</v>
      </c>
      <c r="AS43" s="24"/>
      <c r="AT43" s="24">
        <f>+AT21-RMHP!AS61</f>
        <v>0</v>
      </c>
      <c r="AV43" s="24">
        <f>+AV21-RMHP!AU61</f>
        <v>0</v>
      </c>
      <c r="AX43" s="24">
        <f>+AX21-RMHP!AW61</f>
        <v>0</v>
      </c>
      <c r="BI43" s="4234"/>
      <c r="BJ43" s="4234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234"/>
      <c r="BJ44" s="4234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234"/>
      <c r="BJ45" s="4234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234"/>
      <c r="BJ46" s="4234"/>
    </row>
    <row r="47" spans="1:63" ht="15" customHeight="1" x14ac:dyDescent="0.25">
      <c r="C47" s="4"/>
      <c r="D47" s="4"/>
      <c r="G47" s="4"/>
      <c r="H47" s="4"/>
      <c r="I47" s="4"/>
      <c r="J47" s="4"/>
      <c r="K47" s="334"/>
      <c r="L47" s="143"/>
      <c r="M47" s="4"/>
      <c r="N47" s="4"/>
      <c r="P47" s="4"/>
      <c r="Q47" s="4"/>
      <c r="R47" s="4"/>
      <c r="T47" s="4"/>
      <c r="U47" s="4"/>
      <c r="V47" s="4"/>
      <c r="Y47" s="4"/>
      <c r="Z47" s="4"/>
      <c r="BI47" s="4234"/>
      <c r="BJ47" s="4234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234"/>
      <c r="BJ48" s="4234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234"/>
      <c r="BJ49" s="4234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234"/>
      <c r="BJ50" s="4234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234"/>
      <c r="BJ51" s="4234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234"/>
      <c r="BJ52" s="4234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234"/>
      <c r="BJ53" s="4234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234"/>
      <c r="BJ54" s="4234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234"/>
      <c r="BJ55" s="4234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234"/>
      <c r="BJ56" s="4234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234"/>
      <c r="BJ57" s="4234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234"/>
      <c r="BJ58" s="4234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234"/>
      <c r="BJ59" s="4234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234"/>
      <c r="BJ60" s="4234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234"/>
      <c r="BJ61" s="4234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234"/>
      <c r="BJ62" s="4234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234"/>
      <c r="BJ63" s="4234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234"/>
      <c r="BJ64" s="4234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234"/>
      <c r="BJ65" s="4234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P42"/>
  <sheetViews>
    <sheetView topLeftCell="A28" zoomScale="85" zoomScaleNormal="85" workbookViewId="0">
      <pane xSplit="3" topLeftCell="D1" activePane="topRight" state="frozen"/>
      <selection pane="topRight" activeCell="BS41" sqref="BS41"/>
    </sheetView>
  </sheetViews>
  <sheetFormatPr defaultColWidth="8.85546875" defaultRowHeight="15" x14ac:dyDescent="0.25"/>
  <cols>
    <col min="1" max="1" width="9.140625"/>
    <col min="2" max="2" width="54" customWidth="1"/>
    <col min="3" max="3" width="16.42578125" bestFit="1" customWidth="1"/>
    <col min="4" max="4" width="10.28515625" customWidth="1"/>
    <col min="5" max="5" width="10" customWidth="1"/>
    <col min="6" max="6" width="7.7109375" hidden="1" customWidth="1"/>
    <col min="7" max="7" width="11" hidden="1" customWidth="1"/>
    <col min="8" max="9" width="7.7109375" hidden="1" customWidth="1"/>
    <col min="10" max="11" width="7.85546875" hidden="1" customWidth="1"/>
    <col min="12" max="13" width="9" hidden="1" customWidth="1"/>
    <col min="14" max="15" width="7.7109375" hidden="1" customWidth="1"/>
    <col min="16" max="17" width="9" hidden="1" customWidth="1"/>
    <col min="18" max="18" width="11.5703125" style="4233" hidden="1" customWidth="1"/>
    <col min="19" max="19" width="7.7109375" style="4233" hidden="1" customWidth="1"/>
    <col min="20" max="21" width="9" style="4233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564" hidden="1" customWidth="1"/>
    <col min="40" max="41" width="8.85546875" hidden="1" customWidth="1"/>
    <col min="42" max="42" width="8.5703125" hidden="1" customWidth="1"/>
    <col min="43" max="46" width="8.85546875" hidden="1" customWidth="1"/>
    <col min="47" max="47" width="7.85546875" hidden="1" customWidth="1"/>
    <col min="48" max="49" width="8.85546875" hidden="1" customWidth="1"/>
    <col min="50" max="50" width="12.5703125" hidden="1" customWidth="1"/>
    <col min="51" max="51" width="13.140625" hidden="1" customWidth="1"/>
    <col min="52" max="55" width="8.85546875" style="2866" hidden="1" customWidth="1"/>
    <col min="56" max="57" width="8.85546875" hidden="1" customWidth="1"/>
    <col min="58" max="58" width="9.7109375" hidden="1" customWidth="1"/>
    <col min="59" max="59" width="9.42578125" hidden="1" customWidth="1"/>
    <col min="60" max="67" width="0" hidden="1" customWidth="1"/>
  </cols>
  <sheetData>
    <row r="1" spans="1:62" ht="18.75" x14ac:dyDescent="0.3">
      <c r="A1" s="2175"/>
      <c r="B1" s="2176" t="s">
        <v>99</v>
      </c>
      <c r="C1" s="2177"/>
      <c r="D1" s="2177"/>
      <c r="E1" s="2177"/>
      <c r="F1" s="2177"/>
      <c r="G1" s="2177"/>
      <c r="H1" s="2177"/>
      <c r="I1" s="2177"/>
      <c r="J1" s="2178"/>
      <c r="K1" s="2179"/>
      <c r="L1" s="2179"/>
      <c r="M1" s="2179"/>
      <c r="N1" s="2178"/>
      <c r="O1" s="2178"/>
      <c r="P1" s="2179"/>
      <c r="Q1" s="2179"/>
      <c r="R1" s="2178"/>
      <c r="S1" s="2178"/>
      <c r="T1" s="2179"/>
      <c r="U1" s="2179"/>
      <c r="V1" s="2179"/>
      <c r="W1" s="2179"/>
      <c r="X1" s="2179"/>
      <c r="Y1" s="2179"/>
      <c r="Z1" s="2179"/>
      <c r="AA1" s="2179"/>
    </row>
    <row r="2" spans="1:62" ht="19.5" thickBot="1" x14ac:dyDescent="0.35">
      <c r="A2" s="2179"/>
      <c r="B2" s="2181"/>
      <c r="C2" s="2181"/>
      <c r="D2" s="2182">
        <v>30</v>
      </c>
      <c r="E2" s="2182">
        <v>30</v>
      </c>
      <c r="F2" s="2182">
        <v>31</v>
      </c>
      <c r="G2" s="2182">
        <v>31</v>
      </c>
      <c r="H2" s="2182">
        <f>+D2+F2</f>
        <v>61</v>
      </c>
      <c r="I2" s="2182">
        <f>+E2+G2</f>
        <v>61</v>
      </c>
      <c r="J2" s="251">
        <v>30</v>
      </c>
      <c r="K2" s="2182">
        <v>30</v>
      </c>
      <c r="L2" s="2182">
        <f>+H2+J2</f>
        <v>91</v>
      </c>
      <c r="M2" s="2182">
        <f>+I2+K2</f>
        <v>91</v>
      </c>
      <c r="N2" s="251">
        <v>31</v>
      </c>
      <c r="O2" s="251">
        <v>31</v>
      </c>
      <c r="P2" s="2182">
        <f>+L2+N2</f>
        <v>122</v>
      </c>
      <c r="Q2" s="2182">
        <f>+M2+O2</f>
        <v>122</v>
      </c>
      <c r="R2" s="251">
        <v>31</v>
      </c>
      <c r="S2" s="251">
        <v>31</v>
      </c>
      <c r="T2" s="2182">
        <f>+P2+R2</f>
        <v>153</v>
      </c>
      <c r="U2" s="2182">
        <f>+Q2+S2</f>
        <v>153</v>
      </c>
      <c r="V2" s="2182">
        <v>30</v>
      </c>
      <c r="W2" s="2182">
        <v>30</v>
      </c>
      <c r="X2" s="2182">
        <f>+N2+R2+V2</f>
        <v>92</v>
      </c>
      <c r="Y2" s="2182">
        <f>+O2+S2+W2</f>
        <v>92</v>
      </c>
      <c r="Z2" s="2182">
        <f>+T2+V2</f>
        <v>183</v>
      </c>
      <c r="AA2" s="2182">
        <f>+U2+W2</f>
        <v>183</v>
      </c>
      <c r="AB2" s="2182">
        <v>31</v>
      </c>
      <c r="AC2" s="2182">
        <v>31</v>
      </c>
      <c r="AD2" s="2182">
        <f>+Z2+AB2</f>
        <v>214</v>
      </c>
      <c r="AE2" s="2182">
        <f>+AA2+AC2</f>
        <v>214</v>
      </c>
      <c r="AF2" s="2182">
        <v>30</v>
      </c>
      <c r="AG2" s="2182">
        <v>30</v>
      </c>
      <c r="AH2" s="2182">
        <f>+AD2+AF2</f>
        <v>244</v>
      </c>
      <c r="AI2" s="2182">
        <f>+AE2+AG2</f>
        <v>244</v>
      </c>
      <c r="AJ2" s="2182">
        <v>31</v>
      </c>
      <c r="AK2" s="2182">
        <v>31</v>
      </c>
      <c r="AL2" s="2182">
        <f>+AB2+AF2+AJ2</f>
        <v>92</v>
      </c>
      <c r="AM2" s="2182">
        <f>+AC2+AG2+AK2</f>
        <v>92</v>
      </c>
      <c r="AN2" s="2182">
        <f>+AH2+AJ2</f>
        <v>275</v>
      </c>
      <c r="AO2" s="2182">
        <f>+AI2+AK2</f>
        <v>275</v>
      </c>
      <c r="AP2" s="2182">
        <v>31</v>
      </c>
      <c r="AQ2" s="2182">
        <v>31</v>
      </c>
      <c r="AR2" s="2182">
        <f>+AN2+AP2</f>
        <v>306</v>
      </c>
      <c r="AS2" s="2182">
        <f>+AO2+AQ2</f>
        <v>306</v>
      </c>
      <c r="AT2" s="2182">
        <v>28</v>
      </c>
      <c r="AU2" s="2182">
        <v>28</v>
      </c>
      <c r="AV2" s="2182">
        <f>+AR2+AT2</f>
        <v>334</v>
      </c>
      <c r="AW2" s="2182">
        <f>+AS2+AU2</f>
        <v>334</v>
      </c>
      <c r="AX2" s="2182">
        <v>31</v>
      </c>
      <c r="AY2" s="2182">
        <v>31</v>
      </c>
      <c r="AZ2" s="2182">
        <f>+AP2+AT2+AX2</f>
        <v>90</v>
      </c>
      <c r="BA2" s="2182">
        <f>+AQ2+AU2+AY2</f>
        <v>90</v>
      </c>
      <c r="BB2" s="2182">
        <f>+AL2+AZ2</f>
        <v>182</v>
      </c>
      <c r="BC2" s="2182">
        <f>+AM2+BA2</f>
        <v>182</v>
      </c>
      <c r="BD2" s="2182">
        <f>+AV2+AX2</f>
        <v>365</v>
      </c>
      <c r="BE2" s="2182">
        <f>+AW2+AY2</f>
        <v>365</v>
      </c>
    </row>
    <row r="3" spans="1:62" ht="18.75" x14ac:dyDescent="0.3">
      <c r="A3" s="2179"/>
      <c r="B3" s="8292" t="s">
        <v>171</v>
      </c>
      <c r="C3" s="8294" t="s">
        <v>172</v>
      </c>
      <c r="D3" s="8288" t="s">
        <v>2319</v>
      </c>
      <c r="E3" s="8289"/>
      <c r="F3" s="8288" t="s">
        <v>1956</v>
      </c>
      <c r="G3" s="8289"/>
      <c r="H3" s="8290" t="s">
        <v>14</v>
      </c>
      <c r="I3" s="8291"/>
      <c r="J3" s="8288" t="s">
        <v>1986</v>
      </c>
      <c r="K3" s="8289"/>
      <c r="L3" s="8283" t="s">
        <v>607</v>
      </c>
      <c r="M3" s="8023"/>
      <c r="N3" s="8022" t="s">
        <v>2008</v>
      </c>
      <c r="O3" s="8022"/>
      <c r="P3" s="8020" t="s">
        <v>17</v>
      </c>
      <c r="Q3" s="8020"/>
      <c r="R3" s="8022" t="s">
        <v>2011</v>
      </c>
      <c r="S3" s="8022"/>
      <c r="T3" s="8020" t="s">
        <v>18</v>
      </c>
      <c r="U3" s="8020"/>
      <c r="V3" s="8022" t="s">
        <v>2042</v>
      </c>
      <c r="W3" s="8022"/>
      <c r="X3" s="8023" t="s">
        <v>629</v>
      </c>
      <c r="Y3" s="8023"/>
      <c r="Z3" s="8021" t="s">
        <v>626</v>
      </c>
      <c r="AA3" s="8021"/>
      <c r="AB3" s="8022" t="s">
        <v>2067</v>
      </c>
      <c r="AC3" s="8022"/>
      <c r="AD3" s="8020" t="s">
        <v>24</v>
      </c>
      <c r="AE3" s="8020"/>
      <c r="AF3" s="8022" t="s">
        <v>2170</v>
      </c>
      <c r="AG3" s="8022"/>
      <c r="AH3" s="8020" t="s">
        <v>27</v>
      </c>
      <c r="AI3" s="8020"/>
      <c r="AJ3" s="8022" t="s">
        <v>2194</v>
      </c>
      <c r="AK3" s="8022"/>
      <c r="AL3" s="8023" t="s">
        <v>631</v>
      </c>
      <c r="AM3" s="8023"/>
      <c r="AN3" s="8020" t="s">
        <v>1575</v>
      </c>
      <c r="AO3" s="8020"/>
      <c r="AP3" s="8022" t="s">
        <v>2206</v>
      </c>
      <c r="AQ3" s="8022"/>
      <c r="AR3" s="8020" t="s">
        <v>28</v>
      </c>
      <c r="AS3" s="8020"/>
      <c r="AT3" s="8022" t="s">
        <v>2243</v>
      </c>
      <c r="AU3" s="8022"/>
      <c r="AV3" s="8020" t="s">
        <v>30</v>
      </c>
      <c r="AW3" s="8020"/>
      <c r="AX3" s="8022" t="s">
        <v>2261</v>
      </c>
      <c r="AY3" s="8022"/>
      <c r="AZ3" s="8023" t="s">
        <v>632</v>
      </c>
      <c r="BA3" s="8023"/>
      <c r="BB3" s="8021" t="s">
        <v>638</v>
      </c>
      <c r="BC3" s="8021"/>
      <c r="BD3" s="8020" t="s">
        <v>1984</v>
      </c>
      <c r="BE3" s="8020"/>
    </row>
    <row r="4" spans="1:62" ht="18.75" x14ac:dyDescent="0.3">
      <c r="A4" s="2179"/>
      <c r="B4" s="8293"/>
      <c r="C4" s="8025"/>
      <c r="D4" s="1979" t="s">
        <v>173</v>
      </c>
      <c r="E4" s="2183" t="s">
        <v>174</v>
      </c>
      <c r="F4" s="1979" t="s">
        <v>173</v>
      </c>
      <c r="G4" s="2183" t="s">
        <v>174</v>
      </c>
      <c r="H4" s="793" t="s">
        <v>173</v>
      </c>
      <c r="I4" s="2184" t="s">
        <v>174</v>
      </c>
      <c r="J4" s="1255" t="s">
        <v>173</v>
      </c>
      <c r="K4" s="2183" t="s">
        <v>174</v>
      </c>
      <c r="L4" s="794" t="s">
        <v>173</v>
      </c>
      <c r="M4" s="2114" t="s">
        <v>174</v>
      </c>
      <c r="N4" s="2115" t="s">
        <v>173</v>
      </c>
      <c r="O4" s="2115" t="s">
        <v>174</v>
      </c>
      <c r="P4" s="2112" t="s">
        <v>173</v>
      </c>
      <c r="Q4" s="2112" t="s">
        <v>174</v>
      </c>
      <c r="R4" s="4363" t="s">
        <v>173</v>
      </c>
      <c r="S4" s="4363" t="s">
        <v>174</v>
      </c>
      <c r="T4" s="4364" t="s">
        <v>173</v>
      </c>
      <c r="U4" s="4364" t="s">
        <v>174</v>
      </c>
      <c r="V4" s="2115" t="s">
        <v>173</v>
      </c>
      <c r="W4" s="2115" t="s">
        <v>174</v>
      </c>
      <c r="X4" s="2114" t="s">
        <v>173</v>
      </c>
      <c r="Y4" s="2114" t="s">
        <v>174</v>
      </c>
      <c r="Z4" s="2185" t="s">
        <v>173</v>
      </c>
      <c r="AA4" s="2185" t="s">
        <v>174</v>
      </c>
      <c r="AB4" s="4612" t="s">
        <v>173</v>
      </c>
      <c r="AC4" s="4612" t="s">
        <v>174</v>
      </c>
      <c r="AD4" s="2460" t="s">
        <v>173</v>
      </c>
      <c r="AE4" s="2460" t="s">
        <v>174</v>
      </c>
      <c r="AF4" s="2497" t="s">
        <v>173</v>
      </c>
      <c r="AG4" s="2497" t="s">
        <v>174</v>
      </c>
      <c r="AH4" s="2495" t="s">
        <v>173</v>
      </c>
      <c r="AI4" s="2495" t="s">
        <v>174</v>
      </c>
      <c r="AJ4" s="2565" t="s">
        <v>173</v>
      </c>
      <c r="AK4" s="2565" t="s">
        <v>174</v>
      </c>
      <c r="AL4" s="2563" t="s">
        <v>173</v>
      </c>
      <c r="AM4" s="2563" t="s">
        <v>174</v>
      </c>
      <c r="AN4" s="2561" t="s">
        <v>173</v>
      </c>
      <c r="AO4" s="2561" t="s">
        <v>174</v>
      </c>
      <c r="AP4" s="2611" t="s">
        <v>173</v>
      </c>
      <c r="AQ4" s="2611" t="s">
        <v>174</v>
      </c>
      <c r="AR4" s="2610" t="s">
        <v>173</v>
      </c>
      <c r="AS4" s="2610" t="s">
        <v>174</v>
      </c>
      <c r="AT4" s="2649" t="s">
        <v>173</v>
      </c>
      <c r="AU4" s="2649" t="s">
        <v>174</v>
      </c>
      <c r="AV4" s="2648" t="s">
        <v>173</v>
      </c>
      <c r="AW4" s="2648" t="s">
        <v>174</v>
      </c>
      <c r="AX4" s="2867" t="s">
        <v>173</v>
      </c>
      <c r="AY4" s="2867" t="s">
        <v>174</v>
      </c>
      <c r="AZ4" s="2865" t="s">
        <v>173</v>
      </c>
      <c r="BA4" s="2865" t="s">
        <v>174</v>
      </c>
      <c r="BB4" s="2871" t="s">
        <v>173</v>
      </c>
      <c r="BC4" s="2871" t="s">
        <v>174</v>
      </c>
      <c r="BD4" s="2863" t="s">
        <v>173</v>
      </c>
      <c r="BE4" s="2863" t="s">
        <v>174</v>
      </c>
    </row>
    <row r="5" spans="1:62" ht="18.75" x14ac:dyDescent="0.3">
      <c r="A5" s="2175"/>
      <c r="B5" s="1377" t="s">
        <v>0</v>
      </c>
      <c r="C5" s="1261"/>
      <c r="D5" s="1381"/>
      <c r="E5" s="1378"/>
      <c r="F5" s="1381"/>
      <c r="G5" s="1378"/>
      <c r="H5" s="1375"/>
      <c r="I5" s="1378"/>
      <c r="J5" s="1382"/>
      <c r="K5" s="1378"/>
      <c r="L5" s="1375"/>
      <c r="M5" s="892"/>
      <c r="N5" s="893"/>
      <c r="O5" s="893"/>
      <c r="P5" s="892"/>
      <c r="Q5" s="892"/>
      <c r="R5" s="893"/>
      <c r="S5" s="893"/>
      <c r="T5" s="892"/>
      <c r="U5" s="892"/>
      <c r="V5" s="893"/>
      <c r="W5" s="893"/>
      <c r="X5" s="1375"/>
      <c r="Y5" s="892"/>
      <c r="Z5" s="892"/>
      <c r="AA5" s="892"/>
      <c r="AB5" s="893"/>
      <c r="AC5" s="893"/>
      <c r="AD5" s="892"/>
      <c r="AE5" s="892"/>
      <c r="AF5" s="893"/>
      <c r="AG5" s="893"/>
      <c r="AH5" s="892"/>
      <c r="AI5" s="892"/>
      <c r="AJ5" s="893"/>
      <c r="AK5" s="893"/>
      <c r="AL5" s="1375"/>
      <c r="AM5" s="892"/>
      <c r="AN5" s="892"/>
      <c r="AO5" s="892"/>
      <c r="AP5" s="893"/>
      <c r="AQ5" s="893"/>
      <c r="AR5" s="892"/>
      <c r="AS5" s="892"/>
      <c r="AT5" s="893"/>
      <c r="AU5" s="893"/>
      <c r="AV5" s="892"/>
      <c r="AW5" s="892"/>
      <c r="AX5" s="893"/>
      <c r="AY5" s="893"/>
      <c r="AZ5" s="1375"/>
      <c r="BA5" s="892"/>
      <c r="BB5" s="892"/>
      <c r="BC5" s="892"/>
      <c r="BD5" s="892"/>
      <c r="BE5" s="892"/>
    </row>
    <row r="6" spans="1:62" ht="18.75" x14ac:dyDescent="0.3">
      <c r="A6" s="2175"/>
      <c r="B6" s="8287" t="s">
        <v>397</v>
      </c>
      <c r="C6" s="48" t="s">
        <v>396</v>
      </c>
      <c r="D6" s="692">
        <v>1043.04</v>
      </c>
      <c r="E6" s="1977">
        <v>1216.95</v>
      </c>
      <c r="F6" s="692">
        <v>1220.1600000000001</v>
      </c>
      <c r="G6" s="1977">
        <v>1224.8599999999999</v>
      </c>
      <c r="H6" s="327">
        <f>+D6+F6</f>
        <v>2263.1999999999998</v>
      </c>
      <c r="I6" s="198">
        <f>+E6+G6</f>
        <v>2441.81</v>
      </c>
      <c r="J6" s="692">
        <v>1180.8</v>
      </c>
      <c r="K6" s="1977">
        <v>1211.2800000000004</v>
      </c>
      <c r="L6" s="381">
        <f>+D6+F6+J6</f>
        <v>3444</v>
      </c>
      <c r="M6" s="381">
        <f>+E6+G6+K6</f>
        <v>3653.09</v>
      </c>
      <c r="N6" s="692">
        <v>1220.1600000000001</v>
      </c>
      <c r="O6" s="1977">
        <v>1235.08</v>
      </c>
      <c r="P6" s="2111">
        <f>+L6+N6</f>
        <v>4664.16</v>
      </c>
      <c r="Q6" s="2111">
        <f>+M6+O6</f>
        <v>4888.17</v>
      </c>
      <c r="R6" s="692">
        <v>1220.1600000000001</v>
      </c>
      <c r="S6" s="1977">
        <v>1241.5899999999997</v>
      </c>
      <c r="T6" s="3779">
        <f>+P6+R6</f>
        <v>5884.32</v>
      </c>
      <c r="U6" s="3779">
        <f>+Q6+S6</f>
        <v>6129.76</v>
      </c>
      <c r="V6" s="692">
        <v>787.2</v>
      </c>
      <c r="W6" s="1977">
        <v>1216.18</v>
      </c>
      <c r="X6" s="381">
        <f>N6+R6+V6</f>
        <v>3227.5200000000004</v>
      </c>
      <c r="Y6" s="381">
        <f>O6+S6+W6</f>
        <v>3692.8499999999995</v>
      </c>
      <c r="Z6" s="471">
        <f>L6+X6</f>
        <v>6671.52</v>
      </c>
      <c r="AA6" s="471">
        <f>M6+Y6</f>
        <v>7345.94</v>
      </c>
      <c r="AB6" s="692">
        <v>1220.1600000000001</v>
      </c>
      <c r="AC6" s="1977">
        <v>1237.04</v>
      </c>
      <c r="AD6" s="2459">
        <f>+Z6+AB6</f>
        <v>7891.68</v>
      </c>
      <c r="AE6" s="2459">
        <f>+AA6+AC6</f>
        <v>8582.98</v>
      </c>
      <c r="AF6" s="692">
        <v>1180.8</v>
      </c>
      <c r="AG6" s="1977">
        <v>1207.92</v>
      </c>
      <c r="AH6" s="3779">
        <f>+AD6+AF6</f>
        <v>9072.48</v>
      </c>
      <c r="AI6" s="3779">
        <f>+AE6+AG6</f>
        <v>9790.9</v>
      </c>
      <c r="AJ6" s="692">
        <v>1220.1600000000001</v>
      </c>
      <c r="AK6" s="1977">
        <v>1254.4000000000003</v>
      </c>
      <c r="AL6" s="381">
        <f>AB6+AF6+AJ6</f>
        <v>3621.12</v>
      </c>
      <c r="AM6" s="381">
        <f>AC6+AG6+AK6</f>
        <v>3699.3600000000006</v>
      </c>
      <c r="AN6" s="2562">
        <f>+AH6+AJ6</f>
        <v>10292.64</v>
      </c>
      <c r="AO6" s="2562">
        <f>+AI6+AK6</f>
        <v>11045.3</v>
      </c>
      <c r="AP6" s="692">
        <v>1220.1600000000001</v>
      </c>
      <c r="AQ6" s="1977">
        <v>1227.8</v>
      </c>
      <c r="AR6" s="2609">
        <f>+AN6+AP6</f>
        <v>11512.8</v>
      </c>
      <c r="AS6" s="2609">
        <f>+AO6+AQ6</f>
        <v>12273.099999999999</v>
      </c>
      <c r="AT6" s="692">
        <v>1102.08</v>
      </c>
      <c r="AU6" s="1977">
        <v>1130.57</v>
      </c>
      <c r="AV6" s="3779">
        <f>+AR6+AT6</f>
        <v>12614.88</v>
      </c>
      <c r="AW6" s="3779">
        <f>+AS6+AU6</f>
        <v>13403.669999999998</v>
      </c>
      <c r="AX6" s="692">
        <v>1220.1600000000001</v>
      </c>
      <c r="AY6" s="1977">
        <v>1239.7699999999998</v>
      </c>
      <c r="AZ6" s="381">
        <f>AP6+AT6+AX6</f>
        <v>3542.3999999999996</v>
      </c>
      <c r="BA6" s="381">
        <f>AQ6+AU6+AY6</f>
        <v>3598.1399999999994</v>
      </c>
      <c r="BB6" s="471">
        <f>AL6+AZ6</f>
        <v>7163.5199999999995</v>
      </c>
      <c r="BC6" s="471">
        <f>AM6+BA6</f>
        <v>7297.5</v>
      </c>
      <c r="BD6" s="2862">
        <f>+AV6+AX6</f>
        <v>13835.039999999999</v>
      </c>
      <c r="BE6" s="2862">
        <f>+AW6+AY6</f>
        <v>14643.439999999999</v>
      </c>
      <c r="BF6" s="1137">
        <v>13972.8</v>
      </c>
      <c r="BG6" s="1137">
        <f>BD6-BF6</f>
        <v>-137.76000000000022</v>
      </c>
      <c r="BH6" s="1137"/>
      <c r="BI6" s="25">
        <f>AX6+AT6+AP6+AJ6+AF6+AB6+V6+R6+N6+J6+F6+D6-BD6</f>
        <v>0</v>
      </c>
      <c r="BJ6" s="25">
        <f>AY6+AU6+AQ6+AK6+AG6+AC6+W6+S6+O6+K6+G6+E6-BE6</f>
        <v>0</v>
      </c>
    </row>
    <row r="7" spans="1:62" ht="18.75" x14ac:dyDescent="0.3">
      <c r="A7" s="2175"/>
      <c r="B7" s="8287"/>
      <c r="C7" s="48" t="s">
        <v>50</v>
      </c>
      <c r="D7" s="692">
        <v>1490.0571428571429</v>
      </c>
      <c r="E7" s="1977">
        <v>1738.5</v>
      </c>
      <c r="F7" s="692">
        <v>1743.0857142857144</v>
      </c>
      <c r="G7" s="1977">
        <v>1749.8</v>
      </c>
      <c r="H7" s="327">
        <f t="shared" ref="H7:H15" si="0">+D7+F7</f>
        <v>3233.1428571428573</v>
      </c>
      <c r="I7" s="198">
        <f t="shared" ref="I7:I15" si="1">+E7+G7</f>
        <v>3488.3</v>
      </c>
      <c r="J7" s="692">
        <v>1686.8571428571429</v>
      </c>
      <c r="K7" s="1977">
        <v>1730.4000000000005</v>
      </c>
      <c r="L7" s="381">
        <f t="shared" ref="L7:L15" si="2">+D7+F7+J7</f>
        <v>4920</v>
      </c>
      <c r="M7" s="381">
        <f t="shared" ref="M7:M15" si="3">+E7+G7+K7</f>
        <v>5218.7000000000007</v>
      </c>
      <c r="N7" s="692">
        <v>1743.0857142857144</v>
      </c>
      <c r="O7" s="1977">
        <v>1764.3999999999999</v>
      </c>
      <c r="P7" s="2111">
        <f t="shared" ref="P7:Q15" si="4">+L7+N7</f>
        <v>6663.0857142857149</v>
      </c>
      <c r="Q7" s="2111">
        <f t="shared" si="4"/>
        <v>6983.1</v>
      </c>
      <c r="R7" s="692">
        <v>1743.0857142857144</v>
      </c>
      <c r="S7" s="1977">
        <v>1773.6999999999998</v>
      </c>
      <c r="T7" s="3779">
        <f t="shared" ref="T7:T15" si="5">+P7+R7</f>
        <v>8406.1714285714297</v>
      </c>
      <c r="U7" s="3779">
        <f t="shared" ref="U7:U15" si="6">+Q7+S7</f>
        <v>8756.7999999999993</v>
      </c>
      <c r="V7" s="692">
        <v>1124.5714285714287</v>
      </c>
      <c r="W7" s="1977">
        <v>1737.4</v>
      </c>
      <c r="X7" s="381">
        <f t="shared" ref="X7:X15" si="7">N7+R7+V7</f>
        <v>4610.7428571428572</v>
      </c>
      <c r="Y7" s="381">
        <f t="shared" ref="Y7:Y15" si="8">O7+S7+W7</f>
        <v>5275.5</v>
      </c>
      <c r="Z7" s="471">
        <f t="shared" ref="Z7:Z15" si="9">L7+X7</f>
        <v>9530.7428571428572</v>
      </c>
      <c r="AA7" s="471">
        <f t="shared" ref="AA7:AA15" si="10">M7+Y7</f>
        <v>10494.2</v>
      </c>
      <c r="AB7" s="692">
        <v>1743.0857142857144</v>
      </c>
      <c r="AC7" s="1977">
        <v>1767.2</v>
      </c>
      <c r="AD7" s="2459">
        <f t="shared" ref="AD7:AD15" si="11">+Z7+AB7</f>
        <v>11273.828571428572</v>
      </c>
      <c r="AE7" s="2459">
        <f t="shared" ref="AE7:AE15" si="12">+AA7+AC7</f>
        <v>12261.400000000001</v>
      </c>
      <c r="AF7" s="692">
        <v>1686.8571428571429</v>
      </c>
      <c r="AG7" s="1977">
        <v>1725.6</v>
      </c>
      <c r="AH7" s="3779">
        <f t="shared" ref="AH7:AH15" si="13">+AD7+AF7</f>
        <v>12960.685714285715</v>
      </c>
      <c r="AI7" s="3779">
        <f t="shared" ref="AI7:AI15" si="14">+AE7+AG7</f>
        <v>13987.000000000002</v>
      </c>
      <c r="AJ7" s="692">
        <v>1743.0857142857144</v>
      </c>
      <c r="AK7" s="1977">
        <v>1792.0000000000002</v>
      </c>
      <c r="AL7" s="381">
        <f t="shared" ref="AL7:AL15" si="15">AB7+AF7+AJ7</f>
        <v>5173.028571428571</v>
      </c>
      <c r="AM7" s="381">
        <f t="shared" ref="AM7:AM15" si="16">AC7+AG7+AK7</f>
        <v>5284.8</v>
      </c>
      <c r="AN7" s="2562">
        <f t="shared" ref="AN7:AN15" si="17">+AH7+AJ7</f>
        <v>14703.77142857143</v>
      </c>
      <c r="AO7" s="2562">
        <f t="shared" ref="AO7:AO15" si="18">+AI7+AK7</f>
        <v>15779.000000000002</v>
      </c>
      <c r="AP7" s="692">
        <v>1743.0857142857144</v>
      </c>
      <c r="AQ7" s="1977">
        <v>1754</v>
      </c>
      <c r="AR7" s="2609">
        <f t="shared" ref="AR7:AR15" si="19">+AN7+AP7</f>
        <v>16446.857142857145</v>
      </c>
      <c r="AS7" s="2609">
        <f t="shared" ref="AS7:AS15" si="20">+AO7+AQ7</f>
        <v>17533</v>
      </c>
      <c r="AT7" s="692">
        <v>1574.4</v>
      </c>
      <c r="AU7" s="1977">
        <v>1615.1</v>
      </c>
      <c r="AV7" s="3779">
        <f t="shared" ref="AV7:AV15" si="21">+AR7+AT7</f>
        <v>18021.257142857146</v>
      </c>
      <c r="AW7" s="3779">
        <f t="shared" ref="AW7:AW15" si="22">+AS7+AU7</f>
        <v>19148.099999999999</v>
      </c>
      <c r="AX7" s="692">
        <v>1743.0857142857144</v>
      </c>
      <c r="AY7" s="1977">
        <v>1771.0999999999997</v>
      </c>
      <c r="AZ7" s="381">
        <f t="shared" ref="AZ7:AZ13" si="23">AP7+AT7+AX7</f>
        <v>5060.5714285714294</v>
      </c>
      <c r="BA7" s="381">
        <f t="shared" ref="BA7:BA13" si="24">AQ7+AU7+AY7</f>
        <v>5140.2</v>
      </c>
      <c r="BB7" s="471">
        <f t="shared" ref="BB7:BB15" si="25">AL7+AZ7</f>
        <v>10233.6</v>
      </c>
      <c r="BC7" s="471">
        <f t="shared" ref="BC7:BC15" si="26">AM7+BA7</f>
        <v>10425</v>
      </c>
      <c r="BD7" s="3779">
        <f t="shared" ref="BD7:BD15" si="27">+AV7+AX7</f>
        <v>19764.342857142859</v>
      </c>
      <c r="BE7" s="3779">
        <f t="shared" ref="BE7:BE15" si="28">+AW7+AY7</f>
        <v>20919.199999999997</v>
      </c>
      <c r="BF7" s="1137">
        <v>19961.142857142859</v>
      </c>
      <c r="BG7" s="1137">
        <f t="shared" ref="BG7:BG15" si="29">BD7-BF7</f>
        <v>-196.79999999999927</v>
      </c>
      <c r="BH7" s="25"/>
      <c r="BI7" s="25">
        <f t="shared" ref="BI7:BI39" si="30">AX7+AT7+AP7+AJ7+AF7+AB7+V7+R7+N7+J7+F7+D7-BD7</f>
        <v>0</v>
      </c>
      <c r="BJ7" s="25">
        <f t="shared" ref="BJ7:BJ39" si="31">AY7+AU7+AQ7+AK7+AG7+AC7+W7+S7+O7+K7+G7+E7-BE7</f>
        <v>0</v>
      </c>
    </row>
    <row r="8" spans="1:62" ht="18.75" x14ac:dyDescent="0.3">
      <c r="A8" s="2175"/>
      <c r="B8" s="8287" t="s">
        <v>398</v>
      </c>
      <c r="C8" s="48" t="s">
        <v>396</v>
      </c>
      <c r="D8" s="692">
        <v>25225.199999999997</v>
      </c>
      <c r="E8" s="1977">
        <v>29448.790000000005</v>
      </c>
      <c r="F8" s="692">
        <v>29685.599999999999</v>
      </c>
      <c r="G8" s="1977">
        <v>29677.759999999995</v>
      </c>
      <c r="H8" s="327">
        <f t="shared" si="0"/>
        <v>54910.799999999996</v>
      </c>
      <c r="I8" s="198">
        <f t="shared" si="1"/>
        <v>59126.55</v>
      </c>
      <c r="J8" s="692">
        <v>28728</v>
      </c>
      <c r="K8" s="1977">
        <v>29278.96999999999</v>
      </c>
      <c r="L8" s="381">
        <f t="shared" si="2"/>
        <v>83638.799999999988</v>
      </c>
      <c r="M8" s="381">
        <f t="shared" si="3"/>
        <v>88405.51999999999</v>
      </c>
      <c r="N8" s="692">
        <v>29685.599999999999</v>
      </c>
      <c r="O8" s="1977">
        <v>30255.820000000007</v>
      </c>
      <c r="P8" s="2111">
        <f t="shared" si="4"/>
        <v>113324.4</v>
      </c>
      <c r="Q8" s="2111">
        <f t="shared" si="4"/>
        <v>118661.34</v>
      </c>
      <c r="R8" s="692">
        <v>29685.599999999999</v>
      </c>
      <c r="S8" s="1977">
        <v>30027.060000000005</v>
      </c>
      <c r="T8" s="3779">
        <f t="shared" si="5"/>
        <v>143010</v>
      </c>
      <c r="U8" s="3779">
        <f t="shared" si="6"/>
        <v>148688.4</v>
      </c>
      <c r="V8" s="692">
        <v>19152</v>
      </c>
      <c r="W8" s="1977">
        <v>29254.190000000002</v>
      </c>
      <c r="X8" s="381">
        <f t="shared" si="7"/>
        <v>78523.199999999997</v>
      </c>
      <c r="Y8" s="381">
        <f t="shared" si="8"/>
        <v>89537.07</v>
      </c>
      <c r="Z8" s="471">
        <f t="shared" si="9"/>
        <v>162162</v>
      </c>
      <c r="AA8" s="471">
        <f t="shared" si="10"/>
        <v>177942.59</v>
      </c>
      <c r="AB8" s="692">
        <v>29685.599999999999</v>
      </c>
      <c r="AC8" s="1977">
        <v>29668.170000000006</v>
      </c>
      <c r="AD8" s="2459">
        <f t="shared" si="11"/>
        <v>191847.6</v>
      </c>
      <c r="AE8" s="2459">
        <f t="shared" si="12"/>
        <v>207610.76</v>
      </c>
      <c r="AF8" s="692">
        <v>28728</v>
      </c>
      <c r="AG8" s="1977">
        <v>29314.040000000005</v>
      </c>
      <c r="AH8" s="3779">
        <f t="shared" si="13"/>
        <v>220575.6</v>
      </c>
      <c r="AI8" s="3779">
        <f t="shared" si="14"/>
        <v>236924.80000000002</v>
      </c>
      <c r="AJ8" s="692">
        <v>29685.599999999999</v>
      </c>
      <c r="AK8" s="1977">
        <v>30443.559999999998</v>
      </c>
      <c r="AL8" s="381">
        <f t="shared" si="15"/>
        <v>88099.199999999997</v>
      </c>
      <c r="AM8" s="381">
        <f t="shared" si="16"/>
        <v>89425.77</v>
      </c>
      <c r="AN8" s="2562">
        <f t="shared" si="17"/>
        <v>250261.2</v>
      </c>
      <c r="AO8" s="2562">
        <f t="shared" si="18"/>
        <v>267368.36</v>
      </c>
      <c r="AP8" s="692">
        <v>29685.599999999999</v>
      </c>
      <c r="AQ8" s="1977">
        <v>29716.82</v>
      </c>
      <c r="AR8" s="2609">
        <f t="shared" si="19"/>
        <v>279946.8</v>
      </c>
      <c r="AS8" s="2609">
        <f t="shared" si="20"/>
        <v>297085.18</v>
      </c>
      <c r="AT8" s="692">
        <v>26812.799999999999</v>
      </c>
      <c r="AU8" s="1977">
        <v>27579.299999999996</v>
      </c>
      <c r="AV8" s="3779">
        <f t="shared" si="21"/>
        <v>306759.59999999998</v>
      </c>
      <c r="AW8" s="3779">
        <f t="shared" si="22"/>
        <v>324664.48</v>
      </c>
      <c r="AX8" s="692">
        <v>29685.599999999999</v>
      </c>
      <c r="AY8" s="1977">
        <v>30212.279999999995</v>
      </c>
      <c r="AZ8" s="381">
        <f>AP8+AT8+AX10</f>
        <v>57108.479999999996</v>
      </c>
      <c r="BA8" s="381">
        <f t="shared" si="24"/>
        <v>87508.4</v>
      </c>
      <c r="BB8" s="471">
        <f t="shared" si="25"/>
        <v>145207.67999999999</v>
      </c>
      <c r="BC8" s="471">
        <f t="shared" si="26"/>
        <v>176934.16999999998</v>
      </c>
      <c r="BD8" s="3779">
        <f t="shared" si="27"/>
        <v>336445.19999999995</v>
      </c>
      <c r="BE8" s="3779">
        <f t="shared" si="28"/>
        <v>354876.75999999995</v>
      </c>
      <c r="BF8" s="1137">
        <v>339948</v>
      </c>
      <c r="BG8" s="1137">
        <f t="shared" si="29"/>
        <v>-3502.8000000000466</v>
      </c>
      <c r="BH8" s="25"/>
      <c r="BI8" s="25">
        <f t="shared" si="30"/>
        <v>0</v>
      </c>
      <c r="BJ8" s="25">
        <f t="shared" si="31"/>
        <v>0</v>
      </c>
    </row>
    <row r="9" spans="1:62" ht="18.75" x14ac:dyDescent="0.3">
      <c r="A9" s="2175"/>
      <c r="B9" s="8287"/>
      <c r="C9" s="48" t="s">
        <v>50</v>
      </c>
      <c r="D9" s="692">
        <v>36036</v>
      </c>
      <c r="E9" s="1977">
        <v>42069.700000000004</v>
      </c>
      <c r="F9" s="692">
        <v>42408</v>
      </c>
      <c r="G9" s="1977">
        <v>42396.799999999996</v>
      </c>
      <c r="H9" s="327">
        <f t="shared" si="0"/>
        <v>78444</v>
      </c>
      <c r="I9" s="198">
        <f t="shared" si="1"/>
        <v>84466.5</v>
      </c>
      <c r="J9" s="692">
        <v>41040</v>
      </c>
      <c r="K9" s="1977">
        <v>41827.099999999984</v>
      </c>
      <c r="L9" s="381">
        <f t="shared" si="2"/>
        <v>119484</v>
      </c>
      <c r="M9" s="381">
        <f t="shared" si="3"/>
        <v>126293.59999999998</v>
      </c>
      <c r="N9" s="692">
        <v>42408</v>
      </c>
      <c r="O9" s="1977">
        <v>43222.600000000013</v>
      </c>
      <c r="P9" s="2111">
        <f t="shared" si="4"/>
        <v>161892</v>
      </c>
      <c r="Q9" s="2111">
        <f t="shared" si="4"/>
        <v>169516.19999999998</v>
      </c>
      <c r="R9" s="692">
        <v>42408</v>
      </c>
      <c r="S9" s="1977">
        <v>42895.8</v>
      </c>
      <c r="T9" s="3779">
        <f t="shared" si="5"/>
        <v>204300</v>
      </c>
      <c r="U9" s="3779">
        <f t="shared" si="6"/>
        <v>212412</v>
      </c>
      <c r="V9" s="692">
        <v>27360</v>
      </c>
      <c r="W9" s="1977">
        <v>41791.700000000004</v>
      </c>
      <c r="X9" s="381">
        <f t="shared" si="7"/>
        <v>112176</v>
      </c>
      <c r="Y9" s="381">
        <f t="shared" si="8"/>
        <v>127910.10000000003</v>
      </c>
      <c r="Z9" s="471">
        <f t="shared" si="9"/>
        <v>231660</v>
      </c>
      <c r="AA9" s="471">
        <f t="shared" si="10"/>
        <v>254203.7</v>
      </c>
      <c r="AB9" s="692">
        <v>42408</v>
      </c>
      <c r="AC9" s="1977">
        <v>42383.100000000006</v>
      </c>
      <c r="AD9" s="2459">
        <f t="shared" si="11"/>
        <v>274068</v>
      </c>
      <c r="AE9" s="2459">
        <f t="shared" si="12"/>
        <v>296586.80000000005</v>
      </c>
      <c r="AF9" s="692">
        <v>41040</v>
      </c>
      <c r="AG9" s="1977">
        <v>41877.200000000004</v>
      </c>
      <c r="AH9" s="3779">
        <f t="shared" si="13"/>
        <v>315108</v>
      </c>
      <c r="AI9" s="3779">
        <f t="shared" si="14"/>
        <v>338464.00000000006</v>
      </c>
      <c r="AJ9" s="692">
        <v>42408</v>
      </c>
      <c r="AK9" s="1977">
        <v>43490.799999999996</v>
      </c>
      <c r="AL9" s="381">
        <f t="shared" si="15"/>
        <v>125856</v>
      </c>
      <c r="AM9" s="381">
        <f t="shared" si="16"/>
        <v>127751.1</v>
      </c>
      <c r="AN9" s="2562">
        <f t="shared" si="17"/>
        <v>357516</v>
      </c>
      <c r="AO9" s="2562">
        <f t="shared" si="18"/>
        <v>381954.80000000005</v>
      </c>
      <c r="AP9" s="692">
        <v>42408</v>
      </c>
      <c r="AQ9" s="1977">
        <v>42452.6</v>
      </c>
      <c r="AR9" s="2609">
        <f t="shared" si="19"/>
        <v>399924</v>
      </c>
      <c r="AS9" s="2609">
        <f t="shared" si="20"/>
        <v>424407.4</v>
      </c>
      <c r="AT9" s="692">
        <v>38304</v>
      </c>
      <c r="AU9" s="1977">
        <v>39398.999999999993</v>
      </c>
      <c r="AV9" s="3779">
        <f t="shared" si="21"/>
        <v>438228</v>
      </c>
      <c r="AW9" s="3779">
        <f t="shared" si="22"/>
        <v>463806.4</v>
      </c>
      <c r="AX9" s="692">
        <v>42408</v>
      </c>
      <c r="AY9" s="1977">
        <v>43160.399999999994</v>
      </c>
      <c r="AZ9" s="381">
        <f>AP9+AT9+AX11</f>
        <v>81474.600000000006</v>
      </c>
      <c r="BA9" s="381">
        <f t="shared" si="24"/>
        <v>125011.99999999999</v>
      </c>
      <c r="BB9" s="471">
        <f t="shared" si="25"/>
        <v>207330.6</v>
      </c>
      <c r="BC9" s="471">
        <f t="shared" si="26"/>
        <v>252763.09999999998</v>
      </c>
      <c r="BD9" s="3779">
        <f t="shared" si="27"/>
        <v>480636</v>
      </c>
      <c r="BE9" s="3779">
        <f t="shared" si="28"/>
        <v>506966.80000000005</v>
      </c>
      <c r="BF9" s="1137">
        <v>485640</v>
      </c>
      <c r="BG9" s="1137">
        <f t="shared" si="29"/>
        <v>-5004</v>
      </c>
      <c r="BH9" s="25"/>
      <c r="BI9" s="25">
        <f t="shared" si="30"/>
        <v>0</v>
      </c>
      <c r="BJ9" s="25">
        <f t="shared" si="31"/>
        <v>0</v>
      </c>
    </row>
    <row r="10" spans="1:62" ht="18.75" x14ac:dyDescent="0.3">
      <c r="A10" s="2175"/>
      <c r="B10" s="8287" t="s">
        <v>399</v>
      </c>
      <c r="C10" s="48" t="s">
        <v>396</v>
      </c>
      <c r="D10" s="692">
        <v>521.52</v>
      </c>
      <c r="E10" s="1977">
        <v>337.75999999999993</v>
      </c>
      <c r="F10" s="692">
        <v>610.08000000000004</v>
      </c>
      <c r="G10" s="1977">
        <v>344.23999999999995</v>
      </c>
      <c r="H10" s="327">
        <f t="shared" si="0"/>
        <v>1131.5999999999999</v>
      </c>
      <c r="I10" s="198">
        <f t="shared" si="1"/>
        <v>681.99999999999989</v>
      </c>
      <c r="J10" s="692">
        <v>590.4</v>
      </c>
      <c r="K10" s="1977">
        <v>336.63999999999993</v>
      </c>
      <c r="L10" s="381">
        <f t="shared" si="2"/>
        <v>1722</v>
      </c>
      <c r="M10" s="381">
        <f t="shared" si="3"/>
        <v>1018.6399999999999</v>
      </c>
      <c r="N10" s="692">
        <v>610.08000000000004</v>
      </c>
      <c r="O10" s="1977">
        <v>344.23999999999995</v>
      </c>
      <c r="P10" s="2111">
        <f t="shared" si="4"/>
        <v>2332.08</v>
      </c>
      <c r="Q10" s="2111">
        <f t="shared" si="4"/>
        <v>1362.8799999999999</v>
      </c>
      <c r="R10" s="692">
        <v>610.08000000000004</v>
      </c>
      <c r="S10" s="1977">
        <v>341.68</v>
      </c>
      <c r="T10" s="3779">
        <f t="shared" si="5"/>
        <v>2942.16</v>
      </c>
      <c r="U10" s="3779">
        <f t="shared" si="6"/>
        <v>1704.56</v>
      </c>
      <c r="V10" s="692">
        <v>393.6</v>
      </c>
      <c r="W10" s="1977">
        <v>337.19999999999993</v>
      </c>
      <c r="X10" s="381">
        <f t="shared" si="7"/>
        <v>1613.7600000000002</v>
      </c>
      <c r="Y10" s="381">
        <f t="shared" si="8"/>
        <v>1023.1199999999999</v>
      </c>
      <c r="Z10" s="471">
        <f t="shared" si="9"/>
        <v>3335.76</v>
      </c>
      <c r="AA10" s="471">
        <f t="shared" si="10"/>
        <v>2041.7599999999998</v>
      </c>
      <c r="AB10" s="692">
        <v>610.08000000000004</v>
      </c>
      <c r="AC10" s="1977">
        <v>344</v>
      </c>
      <c r="AD10" s="2459">
        <f t="shared" si="11"/>
        <v>3945.84</v>
      </c>
      <c r="AE10" s="2459">
        <f t="shared" si="12"/>
        <v>2385.7599999999998</v>
      </c>
      <c r="AF10" s="692">
        <v>590.4</v>
      </c>
      <c r="AG10" s="1977">
        <v>333.19999999999987</v>
      </c>
      <c r="AH10" s="3779">
        <f t="shared" si="13"/>
        <v>4536.24</v>
      </c>
      <c r="AI10" s="3779">
        <f t="shared" si="14"/>
        <v>2718.9599999999996</v>
      </c>
      <c r="AJ10" s="692">
        <v>610.08000000000004</v>
      </c>
      <c r="AK10" s="1977">
        <v>345.44000000000005</v>
      </c>
      <c r="AL10" s="381">
        <f t="shared" si="15"/>
        <v>1810.56</v>
      </c>
      <c r="AM10" s="381">
        <f t="shared" si="16"/>
        <v>1022.6399999999999</v>
      </c>
      <c r="AN10" s="2562">
        <f t="shared" si="17"/>
        <v>5146.32</v>
      </c>
      <c r="AO10" s="2562">
        <f t="shared" si="18"/>
        <v>3064.3999999999996</v>
      </c>
      <c r="AP10" s="692">
        <v>610.08000000000004</v>
      </c>
      <c r="AQ10" s="1977">
        <v>348.23999999999995</v>
      </c>
      <c r="AR10" s="2609">
        <f t="shared" si="19"/>
        <v>5756.4</v>
      </c>
      <c r="AS10" s="2609">
        <f t="shared" si="20"/>
        <v>3412.6399999999994</v>
      </c>
      <c r="AT10" s="692">
        <v>551.04</v>
      </c>
      <c r="AU10" s="1977">
        <v>313.92</v>
      </c>
      <c r="AV10" s="3779">
        <f t="shared" si="21"/>
        <v>6307.44</v>
      </c>
      <c r="AW10" s="3779">
        <f t="shared" si="22"/>
        <v>3726.5599999999995</v>
      </c>
      <c r="AX10" s="692">
        <v>610.08000000000004</v>
      </c>
      <c r="AY10" s="1977">
        <v>345.83999999999992</v>
      </c>
      <c r="AZ10" s="381">
        <f>AP10+AT10+AX14</f>
        <v>2219.0879999999997</v>
      </c>
      <c r="BA10" s="381">
        <f t="shared" si="24"/>
        <v>1007.9999999999999</v>
      </c>
      <c r="BB10" s="471">
        <f t="shared" si="25"/>
        <v>4029.6479999999997</v>
      </c>
      <c r="BC10" s="471">
        <f t="shared" si="26"/>
        <v>2030.6399999999999</v>
      </c>
      <c r="BD10" s="3779">
        <f t="shared" si="27"/>
        <v>6917.5199999999995</v>
      </c>
      <c r="BE10" s="3779">
        <f t="shared" si="28"/>
        <v>4072.3999999999996</v>
      </c>
      <c r="BF10" s="1137">
        <v>6986.4</v>
      </c>
      <c r="BG10" s="1137">
        <f t="shared" si="29"/>
        <v>-68.880000000000109</v>
      </c>
      <c r="BH10" s="25"/>
      <c r="BI10" s="25">
        <f t="shared" si="30"/>
        <v>0</v>
      </c>
      <c r="BJ10" s="25">
        <f t="shared" si="31"/>
        <v>0</v>
      </c>
    </row>
    <row r="11" spans="1:62" ht="18.75" x14ac:dyDescent="0.3">
      <c r="A11" s="2175"/>
      <c r="B11" s="8287"/>
      <c r="C11" s="48" t="s">
        <v>50</v>
      </c>
      <c r="D11" s="692">
        <v>651.89999999999986</v>
      </c>
      <c r="E11" s="1977">
        <v>422.19999999999993</v>
      </c>
      <c r="F11" s="692">
        <v>762.6</v>
      </c>
      <c r="G11" s="1977">
        <v>430.29999999999995</v>
      </c>
      <c r="H11" s="327">
        <f t="shared" si="0"/>
        <v>1414.5</v>
      </c>
      <c r="I11" s="198">
        <f t="shared" si="1"/>
        <v>852.49999999999989</v>
      </c>
      <c r="J11" s="692">
        <v>737.99999999999989</v>
      </c>
      <c r="K11" s="1977">
        <v>420.79999999999995</v>
      </c>
      <c r="L11" s="381">
        <f t="shared" si="2"/>
        <v>2152.5</v>
      </c>
      <c r="M11" s="381">
        <f t="shared" si="3"/>
        <v>1273.2999999999997</v>
      </c>
      <c r="N11" s="692">
        <v>762.6</v>
      </c>
      <c r="O11" s="1977">
        <v>430.29999999999995</v>
      </c>
      <c r="P11" s="2111">
        <f t="shared" si="4"/>
        <v>2915.1</v>
      </c>
      <c r="Q11" s="2111">
        <f t="shared" si="4"/>
        <v>1703.5999999999997</v>
      </c>
      <c r="R11" s="692">
        <v>762.6</v>
      </c>
      <c r="S11" s="1977">
        <v>427.09999999999997</v>
      </c>
      <c r="T11" s="3779">
        <f t="shared" si="5"/>
        <v>3677.7</v>
      </c>
      <c r="U11" s="3779">
        <f t="shared" si="6"/>
        <v>2130.6999999999998</v>
      </c>
      <c r="V11" s="692">
        <v>491.99999999999994</v>
      </c>
      <c r="W11" s="1977">
        <v>421.49999999999994</v>
      </c>
      <c r="X11" s="381">
        <f t="shared" si="7"/>
        <v>2017.2</v>
      </c>
      <c r="Y11" s="381">
        <f t="shared" si="8"/>
        <v>1278.8999999999999</v>
      </c>
      <c r="Z11" s="471">
        <f t="shared" si="9"/>
        <v>4169.7</v>
      </c>
      <c r="AA11" s="471">
        <f t="shared" si="10"/>
        <v>2552.1999999999998</v>
      </c>
      <c r="AB11" s="692">
        <v>762.6</v>
      </c>
      <c r="AC11" s="1977">
        <v>430</v>
      </c>
      <c r="AD11" s="2459">
        <f t="shared" si="11"/>
        <v>4932.3</v>
      </c>
      <c r="AE11" s="2459">
        <f t="shared" si="12"/>
        <v>2982.2</v>
      </c>
      <c r="AF11" s="692">
        <v>737.99999999999989</v>
      </c>
      <c r="AG11" s="1977">
        <v>416.49999999999989</v>
      </c>
      <c r="AH11" s="3779">
        <f t="shared" si="13"/>
        <v>5670.3</v>
      </c>
      <c r="AI11" s="3779">
        <f t="shared" si="14"/>
        <v>3398.7</v>
      </c>
      <c r="AJ11" s="692">
        <v>762.6</v>
      </c>
      <c r="AK11" s="1977">
        <v>431.80000000000007</v>
      </c>
      <c r="AL11" s="381">
        <f t="shared" si="15"/>
        <v>2263.1999999999998</v>
      </c>
      <c r="AM11" s="381">
        <f t="shared" si="16"/>
        <v>1278.3</v>
      </c>
      <c r="AN11" s="2562">
        <f t="shared" si="17"/>
        <v>6432.9000000000005</v>
      </c>
      <c r="AO11" s="2562">
        <f t="shared" si="18"/>
        <v>3830.5</v>
      </c>
      <c r="AP11" s="692">
        <v>762.6</v>
      </c>
      <c r="AQ11" s="1977">
        <v>435.29999999999995</v>
      </c>
      <c r="AR11" s="2609">
        <f t="shared" si="19"/>
        <v>7195.5000000000009</v>
      </c>
      <c r="AS11" s="2609">
        <f t="shared" si="20"/>
        <v>4265.8</v>
      </c>
      <c r="AT11" s="692">
        <v>688.8</v>
      </c>
      <c r="AU11" s="1977">
        <v>392.4</v>
      </c>
      <c r="AV11" s="3779">
        <f t="shared" si="21"/>
        <v>7884.3000000000011</v>
      </c>
      <c r="AW11" s="3779">
        <f t="shared" si="22"/>
        <v>4658.2</v>
      </c>
      <c r="AX11" s="692">
        <v>762.6</v>
      </c>
      <c r="AY11" s="1977">
        <v>432.29999999999995</v>
      </c>
      <c r="AZ11" s="381">
        <f>AP11+AT11+AX15</f>
        <v>3340.6285714285714</v>
      </c>
      <c r="BA11" s="381">
        <f t="shared" si="24"/>
        <v>1260</v>
      </c>
      <c r="BB11" s="471">
        <f t="shared" si="25"/>
        <v>5603.8285714285712</v>
      </c>
      <c r="BC11" s="471">
        <f t="shared" si="26"/>
        <v>2538.3000000000002</v>
      </c>
      <c r="BD11" s="3779">
        <f t="shared" si="27"/>
        <v>8646.9000000000015</v>
      </c>
      <c r="BE11" s="3779">
        <f t="shared" si="28"/>
        <v>5090.5</v>
      </c>
      <c r="BF11" s="1137">
        <v>8733</v>
      </c>
      <c r="BG11" s="1137">
        <f t="shared" si="29"/>
        <v>-86.099999999998545</v>
      </c>
      <c r="BH11" s="25"/>
      <c r="BI11" s="25">
        <f t="shared" si="30"/>
        <v>0</v>
      </c>
      <c r="BJ11" s="25">
        <f t="shared" si="31"/>
        <v>0</v>
      </c>
    </row>
    <row r="12" spans="1:62" ht="18.75" x14ac:dyDescent="0.3">
      <c r="A12" s="2175"/>
      <c r="B12" s="8287" t="s">
        <v>400</v>
      </c>
      <c r="C12" s="48" t="s">
        <v>396</v>
      </c>
      <c r="D12" s="692">
        <v>20463</v>
      </c>
      <c r="E12" s="1977">
        <v>26865.759999999995</v>
      </c>
      <c r="F12" s="692">
        <v>24031.200000000001</v>
      </c>
      <c r="G12" s="1977">
        <v>28108.080000000002</v>
      </c>
      <c r="H12" s="327">
        <f t="shared" si="0"/>
        <v>44494.2</v>
      </c>
      <c r="I12" s="198">
        <f t="shared" si="1"/>
        <v>54973.84</v>
      </c>
      <c r="J12" s="692">
        <v>23256</v>
      </c>
      <c r="K12" s="1977">
        <v>27245.280000000002</v>
      </c>
      <c r="L12" s="381">
        <f t="shared" si="2"/>
        <v>67750.2</v>
      </c>
      <c r="M12" s="381">
        <f t="shared" si="3"/>
        <v>82219.12</v>
      </c>
      <c r="N12" s="692">
        <v>24031.200000000001</v>
      </c>
      <c r="O12" s="1977">
        <v>28681.360000000008</v>
      </c>
      <c r="P12" s="2111">
        <f t="shared" si="4"/>
        <v>91781.4</v>
      </c>
      <c r="Q12" s="2111">
        <f t="shared" si="4"/>
        <v>110900.48000000001</v>
      </c>
      <c r="R12" s="692">
        <v>24031.200000000001</v>
      </c>
      <c r="S12" s="1977">
        <v>28437.119999999995</v>
      </c>
      <c r="T12" s="3779">
        <f t="shared" si="5"/>
        <v>115812.59999999999</v>
      </c>
      <c r="U12" s="3779">
        <f t="shared" si="6"/>
        <v>139337.60000000001</v>
      </c>
      <c r="V12" s="692">
        <v>15276</v>
      </c>
      <c r="W12" s="1977">
        <v>27652.880000000001</v>
      </c>
      <c r="X12" s="381">
        <f t="shared" si="7"/>
        <v>63338.400000000001</v>
      </c>
      <c r="Y12" s="381">
        <f t="shared" si="8"/>
        <v>84771.36</v>
      </c>
      <c r="Z12" s="471">
        <f t="shared" si="9"/>
        <v>131088.6</v>
      </c>
      <c r="AA12" s="471">
        <f t="shared" si="10"/>
        <v>166990.47999999998</v>
      </c>
      <c r="AB12" s="692">
        <v>24031.200000000001</v>
      </c>
      <c r="AC12" s="1977">
        <v>27482.400000000009</v>
      </c>
      <c r="AD12" s="2459">
        <f t="shared" si="11"/>
        <v>155119.80000000002</v>
      </c>
      <c r="AE12" s="2459">
        <f t="shared" si="12"/>
        <v>194472.88</v>
      </c>
      <c r="AF12" s="692">
        <v>23256</v>
      </c>
      <c r="AG12" s="1977">
        <v>27081.839999999993</v>
      </c>
      <c r="AH12" s="3779">
        <f t="shared" si="13"/>
        <v>178375.80000000002</v>
      </c>
      <c r="AI12" s="3779">
        <f t="shared" si="14"/>
        <v>221554.72</v>
      </c>
      <c r="AJ12" s="692">
        <v>24031.200000000001</v>
      </c>
      <c r="AK12" s="1977">
        <v>28873.992000000002</v>
      </c>
      <c r="AL12" s="381">
        <f t="shared" si="15"/>
        <v>71318.399999999994</v>
      </c>
      <c r="AM12" s="381">
        <f t="shared" si="16"/>
        <v>83438.232000000004</v>
      </c>
      <c r="AN12" s="2562">
        <f t="shared" si="17"/>
        <v>202407.00000000003</v>
      </c>
      <c r="AO12" s="2562">
        <f t="shared" si="18"/>
        <v>250428.712</v>
      </c>
      <c r="AP12" s="692">
        <v>24031.200000000001</v>
      </c>
      <c r="AQ12" s="1977">
        <v>27605.759999999995</v>
      </c>
      <c r="AR12" s="2609">
        <f t="shared" si="19"/>
        <v>226438.20000000004</v>
      </c>
      <c r="AS12" s="2609">
        <f t="shared" si="20"/>
        <v>278034.47200000001</v>
      </c>
      <c r="AT12" s="692">
        <v>21705.599999999999</v>
      </c>
      <c r="AU12" s="1977">
        <v>25277.919999999998</v>
      </c>
      <c r="AV12" s="3779">
        <f t="shared" si="21"/>
        <v>248143.80000000005</v>
      </c>
      <c r="AW12" s="3779">
        <f t="shared" si="22"/>
        <v>303312.39199999999</v>
      </c>
      <c r="AX12" s="692">
        <v>24031.200000000001</v>
      </c>
      <c r="AY12" s="1977">
        <v>27788.799999999999</v>
      </c>
      <c r="AZ12" s="381">
        <f t="shared" si="23"/>
        <v>69768</v>
      </c>
      <c r="BA12" s="381">
        <f t="shared" si="24"/>
        <v>80672.479999999996</v>
      </c>
      <c r="BB12" s="471">
        <f t="shared" si="25"/>
        <v>141086.39999999999</v>
      </c>
      <c r="BC12" s="471">
        <f t="shared" si="26"/>
        <v>164110.712</v>
      </c>
      <c r="BD12" s="3779">
        <f t="shared" si="27"/>
        <v>272175.00000000006</v>
      </c>
      <c r="BE12" s="3779">
        <f t="shared" si="28"/>
        <v>331101.19199999998</v>
      </c>
      <c r="BF12" s="1137">
        <v>274968</v>
      </c>
      <c r="BG12" s="1137">
        <f t="shared" si="29"/>
        <v>-2792.9999999999418</v>
      </c>
      <c r="BH12" s="25"/>
      <c r="BI12" s="25">
        <f t="shared" si="30"/>
        <v>0</v>
      </c>
      <c r="BJ12" s="25">
        <f t="shared" si="31"/>
        <v>0</v>
      </c>
    </row>
    <row r="13" spans="1:62" ht="19.5" thickBot="1" x14ac:dyDescent="0.35">
      <c r="A13" s="2175"/>
      <c r="B13" s="8287"/>
      <c r="C13" s="48" t="s">
        <v>50</v>
      </c>
      <c r="D13" s="692">
        <v>25578.75</v>
      </c>
      <c r="E13" s="1977">
        <v>33582.199999999997</v>
      </c>
      <c r="F13" s="692">
        <v>30039</v>
      </c>
      <c r="G13" s="1977">
        <v>35135.1</v>
      </c>
      <c r="H13" s="327">
        <f t="shared" si="0"/>
        <v>55617.75</v>
      </c>
      <c r="I13" s="198">
        <f t="shared" si="1"/>
        <v>68717.299999999988</v>
      </c>
      <c r="J13" s="692">
        <v>29070</v>
      </c>
      <c r="K13" s="1977">
        <v>34056.600000000006</v>
      </c>
      <c r="L13" s="381">
        <f t="shared" si="2"/>
        <v>84687.75</v>
      </c>
      <c r="M13" s="381">
        <f t="shared" si="3"/>
        <v>102773.9</v>
      </c>
      <c r="N13" s="692">
        <v>30039</v>
      </c>
      <c r="O13" s="1977">
        <v>35851.700000000012</v>
      </c>
      <c r="P13" s="2111">
        <f t="shared" si="4"/>
        <v>114726.75</v>
      </c>
      <c r="Q13" s="2111">
        <f t="shared" si="4"/>
        <v>138625.60000000001</v>
      </c>
      <c r="R13" s="692">
        <v>30039</v>
      </c>
      <c r="S13" s="1977">
        <v>35546.399999999994</v>
      </c>
      <c r="T13" s="3779">
        <f t="shared" si="5"/>
        <v>144765.75</v>
      </c>
      <c r="U13" s="3779">
        <f t="shared" si="6"/>
        <v>174172</v>
      </c>
      <c r="V13" s="692">
        <v>19095</v>
      </c>
      <c r="W13" s="1977">
        <v>34566.1</v>
      </c>
      <c r="X13" s="381">
        <f t="shared" si="7"/>
        <v>79173</v>
      </c>
      <c r="Y13" s="381">
        <f t="shared" si="8"/>
        <v>105964.20000000001</v>
      </c>
      <c r="Z13" s="471">
        <f t="shared" si="9"/>
        <v>163860.75</v>
      </c>
      <c r="AA13" s="471">
        <f t="shared" si="10"/>
        <v>208738.1</v>
      </c>
      <c r="AB13" s="692">
        <v>30039</v>
      </c>
      <c r="AC13" s="1977">
        <v>34353.000000000007</v>
      </c>
      <c r="AD13" s="2459">
        <f t="shared" si="11"/>
        <v>193899.75</v>
      </c>
      <c r="AE13" s="2459">
        <f t="shared" si="12"/>
        <v>243091.1</v>
      </c>
      <c r="AF13" s="692">
        <v>29070</v>
      </c>
      <c r="AG13" s="1977">
        <v>33852.299999999988</v>
      </c>
      <c r="AH13" s="3779">
        <f t="shared" si="13"/>
        <v>222969.75</v>
      </c>
      <c r="AI13" s="3779">
        <f t="shared" si="14"/>
        <v>276943.40000000002</v>
      </c>
      <c r="AJ13" s="692">
        <v>30039</v>
      </c>
      <c r="AK13" s="1977">
        <v>36092.490000000005</v>
      </c>
      <c r="AL13" s="381">
        <f t="shared" si="15"/>
        <v>89148</v>
      </c>
      <c r="AM13" s="381">
        <f t="shared" si="16"/>
        <v>104297.79</v>
      </c>
      <c r="AN13" s="2562">
        <f t="shared" si="17"/>
        <v>253008.75</v>
      </c>
      <c r="AO13" s="2562">
        <f t="shared" si="18"/>
        <v>313035.89</v>
      </c>
      <c r="AP13" s="692">
        <v>30039</v>
      </c>
      <c r="AQ13" s="1977">
        <v>34507.199999999997</v>
      </c>
      <c r="AR13" s="2609">
        <f t="shared" si="19"/>
        <v>283047.75</v>
      </c>
      <c r="AS13" s="2609">
        <f t="shared" si="20"/>
        <v>347543.09</v>
      </c>
      <c r="AT13" s="692">
        <v>27132</v>
      </c>
      <c r="AU13" s="1977">
        <v>31597.399999999998</v>
      </c>
      <c r="AV13" s="3779">
        <f t="shared" si="21"/>
        <v>310179.75</v>
      </c>
      <c r="AW13" s="3779">
        <f t="shared" si="22"/>
        <v>379140.49000000005</v>
      </c>
      <c r="AX13" s="692">
        <v>30039</v>
      </c>
      <c r="AY13" s="1977">
        <v>34736</v>
      </c>
      <c r="AZ13" s="381">
        <f t="shared" si="23"/>
        <v>87210</v>
      </c>
      <c r="BA13" s="381">
        <f t="shared" si="24"/>
        <v>100840.59999999999</v>
      </c>
      <c r="BB13" s="471">
        <f t="shared" si="25"/>
        <v>176358</v>
      </c>
      <c r="BC13" s="471">
        <f t="shared" si="26"/>
        <v>205138.38999999998</v>
      </c>
      <c r="BD13" s="3779">
        <f t="shared" si="27"/>
        <v>340218.75</v>
      </c>
      <c r="BE13" s="3779">
        <f t="shared" si="28"/>
        <v>413876.49000000005</v>
      </c>
      <c r="BF13" s="1137">
        <v>343710</v>
      </c>
      <c r="BG13" s="1137">
        <f t="shared" si="29"/>
        <v>-3491.25</v>
      </c>
      <c r="BH13" s="25"/>
      <c r="BI13" s="25">
        <f t="shared" si="30"/>
        <v>0</v>
      </c>
      <c r="BJ13" s="25">
        <f t="shared" si="31"/>
        <v>0</v>
      </c>
    </row>
    <row r="14" spans="1:62" ht="18.75" x14ac:dyDescent="0.3">
      <c r="A14" s="2175"/>
      <c r="B14" s="8287" t="s">
        <v>401</v>
      </c>
      <c r="C14" s="48" t="s">
        <v>396</v>
      </c>
      <c r="D14" s="692">
        <v>854.14800000000002</v>
      </c>
      <c r="E14" s="1977">
        <v>929.76800000000026</v>
      </c>
      <c r="F14" s="692">
        <v>1057.9680000000001</v>
      </c>
      <c r="G14" s="1977">
        <v>871.5559999999997</v>
      </c>
      <c r="H14" s="327">
        <f t="shared" si="0"/>
        <v>1912.116</v>
      </c>
      <c r="I14" s="198">
        <f t="shared" si="1"/>
        <v>1801.3240000000001</v>
      </c>
      <c r="J14" s="692">
        <v>1023.84</v>
      </c>
      <c r="K14" s="1977">
        <v>928.14399999999978</v>
      </c>
      <c r="L14" s="381">
        <f t="shared" si="2"/>
        <v>2935.9560000000001</v>
      </c>
      <c r="M14" s="381">
        <f t="shared" si="3"/>
        <v>2729.4679999999998</v>
      </c>
      <c r="N14" s="692">
        <v>1057.9680000000001</v>
      </c>
      <c r="O14" s="1977">
        <v>937.72</v>
      </c>
      <c r="P14" s="3779">
        <f t="shared" si="4"/>
        <v>3993.924</v>
      </c>
      <c r="Q14" s="2111">
        <f t="shared" si="4"/>
        <v>3667.1880000000001</v>
      </c>
      <c r="R14" s="692">
        <v>1057.9680000000001</v>
      </c>
      <c r="S14" s="1977">
        <v>912.4079999999999</v>
      </c>
      <c r="T14" s="3779">
        <f t="shared" si="5"/>
        <v>5051.8919999999998</v>
      </c>
      <c r="U14" s="3779">
        <f t="shared" si="6"/>
        <v>4579.5959999999995</v>
      </c>
      <c r="V14" s="692">
        <v>682.56</v>
      </c>
      <c r="W14" s="1977">
        <v>927.47200000000043</v>
      </c>
      <c r="X14" s="381">
        <f t="shared" si="7"/>
        <v>2798.4960000000001</v>
      </c>
      <c r="Y14" s="381">
        <f t="shared" si="8"/>
        <v>2777.6000000000004</v>
      </c>
      <c r="Z14" s="471">
        <f t="shared" si="9"/>
        <v>5734.4520000000002</v>
      </c>
      <c r="AA14" s="471">
        <f t="shared" si="10"/>
        <v>5507.0680000000002</v>
      </c>
      <c r="AB14" s="692">
        <v>1057.9680000000001</v>
      </c>
      <c r="AC14" s="1977">
        <v>928.64800000000014</v>
      </c>
      <c r="AD14" s="2459">
        <f t="shared" si="11"/>
        <v>6792.42</v>
      </c>
      <c r="AE14" s="2459">
        <f t="shared" si="12"/>
        <v>6435.7160000000003</v>
      </c>
      <c r="AF14" s="692">
        <v>1023.84</v>
      </c>
      <c r="AG14" s="1977">
        <v>906.92</v>
      </c>
      <c r="AH14" s="3779">
        <f t="shared" si="13"/>
        <v>7816.26</v>
      </c>
      <c r="AI14" s="3779">
        <f t="shared" si="14"/>
        <v>7342.6360000000004</v>
      </c>
      <c r="AJ14" s="692">
        <v>1057.9680000000001</v>
      </c>
      <c r="AK14" s="1977">
        <v>957.2639999999999</v>
      </c>
      <c r="AL14" s="381">
        <f t="shared" si="15"/>
        <v>3139.7759999999998</v>
      </c>
      <c r="AM14" s="381">
        <f t="shared" si="16"/>
        <v>2792.8320000000003</v>
      </c>
      <c r="AN14" s="2562">
        <f t="shared" si="17"/>
        <v>8874.228000000001</v>
      </c>
      <c r="AO14" s="2562">
        <f t="shared" si="18"/>
        <v>8299.9</v>
      </c>
      <c r="AP14" s="692">
        <v>1057.9680000000001</v>
      </c>
      <c r="AQ14" s="1977">
        <v>899.47199999999987</v>
      </c>
      <c r="AR14" s="2609">
        <f t="shared" si="19"/>
        <v>9932.1960000000017</v>
      </c>
      <c r="AS14" s="2609">
        <f t="shared" si="20"/>
        <v>9199.3719999999994</v>
      </c>
      <c r="AT14" s="692">
        <v>955.58399999999995</v>
      </c>
      <c r="AU14" s="1977">
        <v>866.32</v>
      </c>
      <c r="AV14" s="3779">
        <f t="shared" si="21"/>
        <v>10887.780000000002</v>
      </c>
      <c r="AW14" s="3779">
        <f t="shared" si="22"/>
        <v>10065.691999999999</v>
      </c>
      <c r="AX14" s="692">
        <v>1057.9680000000001</v>
      </c>
      <c r="AY14" s="1977">
        <v>927.24800000000005</v>
      </c>
      <c r="AZ14" s="381">
        <f t="shared" ref="AZ14:AZ15" si="32">AP14+AT14+AX14</f>
        <v>3071.5200000000004</v>
      </c>
      <c r="BA14" s="381">
        <f t="shared" ref="BA14:BA15" si="33">AQ14+AU14+AY14</f>
        <v>2693.04</v>
      </c>
      <c r="BB14" s="471">
        <f t="shared" si="25"/>
        <v>6211.2960000000003</v>
      </c>
      <c r="BC14" s="471">
        <f t="shared" si="26"/>
        <v>5485.8720000000003</v>
      </c>
      <c r="BD14" s="3779">
        <f t="shared" si="27"/>
        <v>11945.748000000003</v>
      </c>
      <c r="BE14" s="3779">
        <f t="shared" si="28"/>
        <v>10992.939999999999</v>
      </c>
      <c r="BF14" s="7077">
        <f>SUM('[1]OXY PL'!E21:P21)</f>
        <v>12115.440000000002</v>
      </c>
      <c r="BG14" s="1137">
        <f t="shared" si="29"/>
        <v>-169.6919999999991</v>
      </c>
      <c r="BH14" s="25"/>
      <c r="BI14" s="25">
        <f t="shared" si="30"/>
        <v>0</v>
      </c>
      <c r="BJ14" s="25">
        <f t="shared" si="31"/>
        <v>0</v>
      </c>
    </row>
    <row r="15" spans="1:62" ht="19.5" thickBot="1" x14ac:dyDescent="0.35">
      <c r="A15" s="2175"/>
      <c r="B15" s="8287"/>
      <c r="C15" s="48" t="s">
        <v>50</v>
      </c>
      <c r="D15" s="692">
        <v>1525.2642857142855</v>
      </c>
      <c r="E15" s="1977">
        <v>1660.3000000000004</v>
      </c>
      <c r="F15" s="692">
        <v>1889.2285714285713</v>
      </c>
      <c r="G15" s="1977">
        <v>1556.3499999999995</v>
      </c>
      <c r="H15" s="327">
        <f t="shared" si="0"/>
        <v>3414.4928571428568</v>
      </c>
      <c r="I15" s="198">
        <f t="shared" si="1"/>
        <v>3216.6499999999996</v>
      </c>
      <c r="J15" s="692">
        <v>1828.2857142857142</v>
      </c>
      <c r="K15" s="1977">
        <v>1657.3999999999996</v>
      </c>
      <c r="L15" s="381">
        <f t="shared" si="2"/>
        <v>5242.778571428571</v>
      </c>
      <c r="M15" s="381">
        <f t="shared" si="3"/>
        <v>4874.0499999999993</v>
      </c>
      <c r="N15" s="692">
        <v>1889.2285714285713</v>
      </c>
      <c r="O15" s="1977">
        <v>1674.5</v>
      </c>
      <c r="P15" s="3779">
        <f t="shared" si="4"/>
        <v>7132.0071428571428</v>
      </c>
      <c r="Q15" s="2111">
        <f t="shared" si="4"/>
        <v>6548.5499999999993</v>
      </c>
      <c r="R15" s="692">
        <v>1889.2285714285713</v>
      </c>
      <c r="S15" s="1977">
        <v>1629.2999999999997</v>
      </c>
      <c r="T15" s="3779">
        <f t="shared" si="5"/>
        <v>9021.2357142857145</v>
      </c>
      <c r="U15" s="3779">
        <f t="shared" si="6"/>
        <v>8177.8499999999985</v>
      </c>
      <c r="V15" s="692">
        <v>1218.8571428571427</v>
      </c>
      <c r="W15" s="1977">
        <v>1656.2000000000007</v>
      </c>
      <c r="X15" s="381">
        <f t="shared" si="7"/>
        <v>4997.3142857142848</v>
      </c>
      <c r="Y15" s="381">
        <f t="shared" si="8"/>
        <v>4960</v>
      </c>
      <c r="Z15" s="471">
        <f t="shared" si="9"/>
        <v>10240.092857142856</v>
      </c>
      <c r="AA15" s="471">
        <f t="shared" si="10"/>
        <v>9834.0499999999993</v>
      </c>
      <c r="AB15" s="692">
        <v>1889.2285714285713</v>
      </c>
      <c r="AC15" s="1977">
        <v>1658.3000000000002</v>
      </c>
      <c r="AD15" s="2459">
        <f t="shared" si="11"/>
        <v>12129.321428571428</v>
      </c>
      <c r="AE15" s="2459">
        <f t="shared" si="12"/>
        <v>11492.349999999999</v>
      </c>
      <c r="AF15" s="692">
        <v>1828.2857142857142</v>
      </c>
      <c r="AG15" s="1977">
        <v>1619.5</v>
      </c>
      <c r="AH15" s="3779">
        <f t="shared" si="13"/>
        <v>13957.607142857141</v>
      </c>
      <c r="AI15" s="3779">
        <f t="shared" si="14"/>
        <v>13111.849999999999</v>
      </c>
      <c r="AJ15" s="692">
        <v>1889.2285714285713</v>
      </c>
      <c r="AK15" s="1977">
        <v>1709.3999999999999</v>
      </c>
      <c r="AL15" s="381">
        <f t="shared" si="15"/>
        <v>5606.7428571428572</v>
      </c>
      <c r="AM15" s="381">
        <f t="shared" si="16"/>
        <v>4987.2</v>
      </c>
      <c r="AN15" s="2562">
        <f t="shared" si="17"/>
        <v>15846.835714285713</v>
      </c>
      <c r="AO15" s="2562">
        <f t="shared" si="18"/>
        <v>14821.249999999998</v>
      </c>
      <c r="AP15" s="692">
        <v>1889.2285714285713</v>
      </c>
      <c r="AQ15" s="1977">
        <v>1606.1999999999998</v>
      </c>
      <c r="AR15" s="2609">
        <f t="shared" si="19"/>
        <v>17736.064285714285</v>
      </c>
      <c r="AS15" s="2609">
        <f t="shared" si="20"/>
        <v>16427.449999999997</v>
      </c>
      <c r="AT15" s="692">
        <v>1706.3999999999996</v>
      </c>
      <c r="AU15" s="1977">
        <v>1547</v>
      </c>
      <c r="AV15" s="3779">
        <f t="shared" si="21"/>
        <v>19442.464285714283</v>
      </c>
      <c r="AW15" s="3779">
        <f t="shared" si="22"/>
        <v>17974.449999999997</v>
      </c>
      <c r="AX15" s="692">
        <v>1889.2285714285713</v>
      </c>
      <c r="AY15" s="1977">
        <v>1655.8</v>
      </c>
      <c r="AZ15" s="381">
        <f t="shared" si="32"/>
        <v>5484.8571428571422</v>
      </c>
      <c r="BA15" s="381">
        <f t="shared" si="33"/>
        <v>4809</v>
      </c>
      <c r="BB15" s="471">
        <f t="shared" si="25"/>
        <v>11091.599999999999</v>
      </c>
      <c r="BC15" s="471">
        <f t="shared" si="26"/>
        <v>9796.2000000000007</v>
      </c>
      <c r="BD15" s="3779">
        <f t="shared" si="27"/>
        <v>21331.692857142854</v>
      </c>
      <c r="BE15" s="3779">
        <f t="shared" si="28"/>
        <v>19630.249999999996</v>
      </c>
      <c r="BF15" s="7078">
        <f>SUM('[1]OXY PL'!E22:P22)</f>
        <v>21634.714285714286</v>
      </c>
      <c r="BG15" s="1137">
        <f t="shared" si="29"/>
        <v>-303.0214285714319</v>
      </c>
      <c r="BH15" s="25"/>
      <c r="BI15" s="25">
        <f t="shared" si="30"/>
        <v>0</v>
      </c>
      <c r="BJ15" s="25">
        <f t="shared" si="31"/>
        <v>0</v>
      </c>
    </row>
    <row r="16" spans="1:62" ht="18.75" x14ac:dyDescent="0.3">
      <c r="A16" s="2186"/>
      <c r="B16" s="1379" t="s">
        <v>333</v>
      </c>
      <c r="C16" s="1262"/>
      <c r="D16" s="1382"/>
      <c r="E16" s="1380"/>
      <c r="F16" s="1382"/>
      <c r="G16" s="1380"/>
      <c r="H16" s="1376"/>
      <c r="I16" s="1380"/>
      <c r="J16" s="1382"/>
      <c r="K16" s="1380"/>
      <c r="L16" s="1376"/>
      <c r="M16" s="1380"/>
      <c r="N16" s="1382"/>
      <c r="O16" s="1380"/>
      <c r="P16" s="893"/>
      <c r="Q16" s="893"/>
      <c r="R16" s="1382"/>
      <c r="S16" s="1380"/>
      <c r="T16" s="893"/>
      <c r="U16" s="893"/>
      <c r="V16" s="1382"/>
      <c r="W16" s="1380"/>
      <c r="X16" s="1376"/>
      <c r="Y16" s="1380"/>
      <c r="Z16" s="893"/>
      <c r="AA16" s="893"/>
      <c r="AB16" s="1382"/>
      <c r="AC16" s="1380"/>
      <c r="AD16" s="893"/>
      <c r="AE16" s="893"/>
      <c r="AF16" s="1382"/>
      <c r="AG16" s="1380"/>
      <c r="AH16" s="893"/>
      <c r="AI16" s="893"/>
      <c r="AJ16" s="1382"/>
      <c r="AK16" s="1380"/>
      <c r="AL16" s="1376"/>
      <c r="AM16" s="1380"/>
      <c r="AN16" s="893"/>
      <c r="AO16" s="893"/>
      <c r="AP16" s="1382"/>
      <c r="AQ16" s="1380"/>
      <c r="AR16" s="893"/>
      <c r="AS16" s="893"/>
      <c r="AT16" s="1382"/>
      <c r="AU16" s="1380"/>
      <c r="AV16" s="893"/>
      <c r="AW16" s="893"/>
      <c r="AX16" s="1382"/>
      <c r="AY16" s="1380"/>
      <c r="AZ16" s="1376"/>
      <c r="BA16" s="1380"/>
      <c r="BB16" s="893"/>
      <c r="BC16" s="893"/>
      <c r="BD16" s="893"/>
      <c r="BE16" s="893"/>
      <c r="BF16" s="1137"/>
      <c r="BG16" s="1137"/>
      <c r="BH16" s="25"/>
      <c r="BI16" s="25">
        <f t="shared" si="30"/>
        <v>0</v>
      </c>
      <c r="BJ16" s="25">
        <f t="shared" si="31"/>
        <v>0</v>
      </c>
    </row>
    <row r="17" spans="1:62" ht="18.75" x14ac:dyDescent="0.3">
      <c r="A17" s="2186"/>
      <c r="B17" s="1379" t="s">
        <v>100</v>
      </c>
      <c r="C17" s="1262"/>
      <c r="D17" s="1382"/>
      <c r="E17" s="1380"/>
      <c r="F17" s="1382"/>
      <c r="G17" s="1380"/>
      <c r="H17" s="1376"/>
      <c r="I17" s="1380"/>
      <c r="J17" s="1382"/>
      <c r="K17" s="1380"/>
      <c r="L17" s="1376"/>
      <c r="M17" s="1380"/>
      <c r="N17" s="1382"/>
      <c r="O17" s="1380"/>
      <c r="P17" s="893"/>
      <c r="Q17" s="893"/>
      <c r="R17" s="1382"/>
      <c r="S17" s="1380"/>
      <c r="T17" s="893"/>
      <c r="U17" s="893"/>
      <c r="V17" s="1382"/>
      <c r="W17" s="1380"/>
      <c r="X17" s="1376"/>
      <c r="Y17" s="1380"/>
      <c r="Z17" s="893"/>
      <c r="AA17" s="893"/>
      <c r="AB17" s="1382"/>
      <c r="AC17" s="1380"/>
      <c r="AD17" s="893"/>
      <c r="AE17" s="893"/>
      <c r="AF17" s="1382"/>
      <c r="AG17" s="1380"/>
      <c r="AH17" s="893"/>
      <c r="AI17" s="893"/>
      <c r="AJ17" s="1382"/>
      <c r="AK17" s="1380"/>
      <c r="AL17" s="1376"/>
      <c r="AM17" s="1380"/>
      <c r="AN17" s="893"/>
      <c r="AO17" s="893"/>
      <c r="AP17" s="1382"/>
      <c r="AQ17" s="1380"/>
      <c r="AR17" s="893"/>
      <c r="AS17" s="893"/>
      <c r="AT17" s="1382"/>
      <c r="AU17" s="1380"/>
      <c r="AV17" s="893"/>
      <c r="AW17" s="893"/>
      <c r="AX17" s="1382"/>
      <c r="AY17" s="1380"/>
      <c r="AZ17" s="1376"/>
      <c r="BA17" s="1380"/>
      <c r="BB17" s="893"/>
      <c r="BC17" s="893"/>
      <c r="BD17" s="893"/>
      <c r="BE17" s="893"/>
      <c r="BF17" s="1137"/>
      <c r="BG17" s="1137"/>
      <c r="BH17" s="25"/>
      <c r="BI17" s="25">
        <f t="shared" si="30"/>
        <v>0</v>
      </c>
      <c r="BJ17" s="25">
        <f t="shared" si="31"/>
        <v>0</v>
      </c>
    </row>
    <row r="18" spans="1:62" ht="18.75" x14ac:dyDescent="0.3">
      <c r="A18" s="2175"/>
      <c r="B18" s="2187" t="s">
        <v>776</v>
      </c>
      <c r="C18" s="48" t="s">
        <v>533</v>
      </c>
      <c r="D18" s="1978">
        <v>1.5</v>
      </c>
      <c r="E18" s="7659">
        <f>767.27/(24*E$2)</f>
        <v>1.0656527777777778</v>
      </c>
      <c r="F18" s="1978">
        <f>1800/1000</f>
        <v>1.8</v>
      </c>
      <c r="G18" s="5633">
        <f>989.59/(24*G$2)</f>
        <v>1.3300940860215054</v>
      </c>
      <c r="H18" s="1980">
        <f t="shared" ref="H18:I22" si="34">+((D18*D$2)+(F18*F$2))/H$2</f>
        <v>1.6524590163934427</v>
      </c>
      <c r="I18" s="3149">
        <f t="shared" si="34"/>
        <v>1.2000409836065573</v>
      </c>
      <c r="J18" s="1978">
        <f>1800/1000</f>
        <v>1.8</v>
      </c>
      <c r="K18" s="5767">
        <f>980.63/(24*K$2)</f>
        <v>1.3619861111111111</v>
      </c>
      <c r="L18" s="2188">
        <f t="shared" ref="L18:M22" si="35">+((D18*D$2)+(F18*F$2)+(J18*J$2))/L$2</f>
        <v>1.7010989010989013</v>
      </c>
      <c r="M18" s="2188">
        <f t="shared" si="35"/>
        <v>1.2534294871794871</v>
      </c>
      <c r="N18" s="1978">
        <f>1800/1000</f>
        <v>1.8</v>
      </c>
      <c r="O18" s="5867">
        <f>1023.19/(24*O$2)</f>
        <v>1.375255376344086</v>
      </c>
      <c r="P18" s="326">
        <f t="shared" ref="P18:Q22" si="36">+((L18*L$2)+(N18*N$2))/P$2</f>
        <v>1.7262295081967216</v>
      </c>
      <c r="Q18" s="326">
        <f t="shared" si="36"/>
        <v>1.2843852459016394</v>
      </c>
      <c r="R18" s="1978">
        <f>1800/1000</f>
        <v>1.8</v>
      </c>
      <c r="S18" s="5967">
        <f>986.02/(24*S$2)</f>
        <v>1.3252956989247311</v>
      </c>
      <c r="T18" s="4369">
        <f t="shared" ref="T18:T22" si="37">+((P18*P$2)+(R18*R$2))/T$2</f>
        <v>1.7411764705882355</v>
      </c>
      <c r="U18" s="4369">
        <f t="shared" ref="U18:U22" si="38">+((Q18*Q$2)+(S18*S$2))/U$2</f>
        <v>1.2926742919389977</v>
      </c>
      <c r="V18" s="1978">
        <f>1100/1000</f>
        <v>1.1000000000000001</v>
      </c>
      <c r="W18" s="6061">
        <f>869.47/(24*W$2)</f>
        <v>1.2075972222222222</v>
      </c>
      <c r="X18" s="2188">
        <f t="shared" ref="X18:Y20" si="39">(N18*N$2+R18*R$2+V18*V$2)/X$2</f>
        <v>1.5717391304347827</v>
      </c>
      <c r="Y18" s="2188">
        <f t="shared" si="39"/>
        <v>1.30375</v>
      </c>
      <c r="Z18" s="472">
        <f t="shared" ref="Z18:AA22" si="40">+((T18*T$2)+(V18*V$2))/Z$2</f>
        <v>1.6360655737704919</v>
      </c>
      <c r="AA18" s="472">
        <f t="shared" si="40"/>
        <v>1.2787272313296902</v>
      </c>
      <c r="AB18" s="1978">
        <v>1.8</v>
      </c>
      <c r="AC18" s="6183">
        <f>805.98/(24*AC$2)</f>
        <v>1.0833064516129032</v>
      </c>
      <c r="AD18" s="2463">
        <f t="shared" ref="AD18:AD22" si="41">+((Z18*Z$2)+(AB18*AB$2))/AD$2</f>
        <v>1.6598130841121497</v>
      </c>
      <c r="AE18" s="2463">
        <f t="shared" ref="AE18:AE22" si="42">+((AA18*AA$2)+(AC18*AC$2))/AE$2</f>
        <v>1.2504186137071651</v>
      </c>
      <c r="AF18" s="1978">
        <v>1.8</v>
      </c>
      <c r="AG18" s="6356">
        <f>872.27/(24*AG$2)</f>
        <v>1.211486111111111</v>
      </c>
      <c r="AH18" s="4655">
        <f t="shared" ref="AH18:AH22" si="43">+((AD18*AD$2)+(AF18*AF$2))/AH$2</f>
        <v>1.6770491803278691</v>
      </c>
      <c r="AI18" s="4655">
        <f t="shared" ref="AI18:AI22" si="44">+((AE18*AE$2)+(AG18*AG$2))/AI$2</f>
        <v>1.2456318306010929</v>
      </c>
      <c r="AJ18" s="1978">
        <v>1.8</v>
      </c>
      <c r="AK18" s="6629">
        <f>860.23/(24*AK$2)</f>
        <v>1.1562231182795699</v>
      </c>
      <c r="AL18" s="2188">
        <f t="shared" ref="AL18:AL22" si="45">(AB18*AB$2+AF18*AF$2+AJ18*AJ$2)/AL$2</f>
        <v>1.8000000000000003</v>
      </c>
      <c r="AM18" s="2188">
        <f t="shared" ref="AM18:AM22" si="46">(AC18*AC$2+AG18*AG$2+AK18*AK$2)/AM$2</f>
        <v>1.1496739130434783</v>
      </c>
      <c r="AN18" s="2567">
        <f t="shared" ref="AN18:AN22" si="47">+((AH18*AH$2)+(AJ18*AJ$2))/AN$2</f>
        <v>1.6909090909090911</v>
      </c>
      <c r="AO18" s="2567">
        <f t="shared" ref="AO18:AO22" si="48">+((AI18*AI$2)+(AK18*AK$2))/AO$2</f>
        <v>1.2355530303030302</v>
      </c>
      <c r="AP18" s="1978">
        <f>1800/1000</f>
        <v>1.8</v>
      </c>
      <c r="AQ18" s="6745">
        <f>790.51/(24*AQ$2)</f>
        <v>1.062513440860215</v>
      </c>
      <c r="AR18" s="2612">
        <f t="shared" ref="AR18:AR22" si="49">+((AN18*AN$2)+(AP18*AP$2))/AR$2</f>
        <v>1.7019607843137257</v>
      </c>
      <c r="AS18" s="2612">
        <f t="shared" ref="AS18:AS22" si="50">+((AO18*AO$2)+(AQ18*AQ$2))/AS$2</f>
        <v>1.2180228758169931</v>
      </c>
      <c r="AT18" s="1978">
        <f>1800/1000</f>
        <v>1.8</v>
      </c>
      <c r="AU18" s="6922">
        <f>646.31/(24*AU$2)</f>
        <v>0.96177083333333324</v>
      </c>
      <c r="AV18" s="5079">
        <f t="shared" ref="AV18:AV22" si="51">+((AR18*AR$2)+(AT18*AT$2))/AV$2</f>
        <v>1.710179640718563</v>
      </c>
      <c r="AW18" s="5079">
        <f t="shared" ref="AW18:AW22" si="52">+((AS18*AS$2)+(AU18*AU$2))/AW$2</f>
        <v>1.1965406686626743</v>
      </c>
      <c r="AX18" s="1978">
        <v>1.8</v>
      </c>
      <c r="AY18" s="5128">
        <f>849.87/(24*AY$2)</f>
        <v>1.1422983870967742</v>
      </c>
      <c r="AZ18" s="2188">
        <f t="shared" ref="AZ18:AZ22" si="53">(AP18*AP$2+AT18*AT$2+AX18*AX$2)/AZ$2</f>
        <v>1.8</v>
      </c>
      <c r="BA18" s="2188">
        <f t="shared" ref="BA18:BA22" si="54">(AQ18*AQ$2+AU18*AU$2+AY18*AY$2)/BA$2</f>
        <v>1.0586527777777779</v>
      </c>
      <c r="BB18" s="2870">
        <f t="shared" ref="BB18:BC22" si="55">+((AL18*AL$2)+(AZ18*AZ$2))/BB$2</f>
        <v>1.8</v>
      </c>
      <c r="BC18" s="2870">
        <f t="shared" si="55"/>
        <v>1.1046634615384618</v>
      </c>
      <c r="BD18" s="2869">
        <f t="shared" ref="BD18:BD22" si="56">+((AV18*AV$2)+(AX18*AX$2))/BD$2</f>
        <v>1.7178082191780821</v>
      </c>
      <c r="BE18" s="2869">
        <f t="shared" ref="BE18:BE22" si="57">+((AW18*AW$2)+(AY18*AY$2))/BE$2</f>
        <v>1.1919337899543376</v>
      </c>
      <c r="BF18" s="1137"/>
      <c r="BG18" s="1137"/>
      <c r="BH18" s="25"/>
      <c r="BI18" s="25">
        <f t="shared" si="30"/>
        <v>18.88219178082192</v>
      </c>
      <c r="BJ18" s="25">
        <f t="shared" si="31"/>
        <v>13.091545824741003</v>
      </c>
    </row>
    <row r="19" spans="1:62" ht="18.75" x14ac:dyDescent="0.3">
      <c r="A19" s="2175"/>
      <c r="B19" s="2187" t="s">
        <v>15</v>
      </c>
      <c r="C19" s="48" t="s">
        <v>533</v>
      </c>
      <c r="D19" s="1978">
        <v>24</v>
      </c>
      <c r="E19" s="7659">
        <f>13057.31/(24*E$2)</f>
        <v>18.135152777777776</v>
      </c>
      <c r="F19" s="1978">
        <v>21.5</v>
      </c>
      <c r="G19" s="5633">
        <f>14695.87/(24*G$2)</f>
        <v>19.752513440860216</v>
      </c>
      <c r="H19" s="1980">
        <f t="shared" si="34"/>
        <v>22.729508196721312</v>
      </c>
      <c r="I19" s="3149">
        <f t="shared" si="34"/>
        <v>18.957090163934428</v>
      </c>
      <c r="J19" s="1978">
        <v>21.5</v>
      </c>
      <c r="K19" s="5767">
        <f>14896.84/(24*K$2)</f>
        <v>20.690055555555556</v>
      </c>
      <c r="L19" s="2188">
        <f t="shared" si="35"/>
        <v>22.324175824175825</v>
      </c>
      <c r="M19" s="2188">
        <f t="shared" si="35"/>
        <v>19.528397435897439</v>
      </c>
      <c r="N19" s="1978">
        <f>21500/1000</f>
        <v>21.5</v>
      </c>
      <c r="O19" s="5867">
        <f>16309.58/(24*O$2)</f>
        <v>21.921478494623656</v>
      </c>
      <c r="P19" s="326">
        <f t="shared" si="36"/>
        <v>22.114754098360656</v>
      </c>
      <c r="Q19" s="326">
        <f t="shared" si="36"/>
        <v>20.13647540983607</v>
      </c>
      <c r="R19" s="1978">
        <f>21500/1000</f>
        <v>21.5</v>
      </c>
      <c r="S19" s="5967">
        <f>15230.74/(24*S$2)</f>
        <v>20.471424731182797</v>
      </c>
      <c r="T19" s="4369">
        <f t="shared" si="37"/>
        <v>21.990196078431371</v>
      </c>
      <c r="U19" s="4369">
        <f t="shared" si="38"/>
        <v>20.20434095860567</v>
      </c>
      <c r="V19" s="1978">
        <f>14166.6666666667/1000</f>
        <v>14.1666666666667</v>
      </c>
      <c r="W19" s="6061">
        <f>14173.74/(24*W$2)</f>
        <v>19.685749999999999</v>
      </c>
      <c r="X19" s="2188">
        <f t="shared" si="39"/>
        <v>19.108695652173925</v>
      </c>
      <c r="Y19" s="2188">
        <f t="shared" si="39"/>
        <v>20.703831521739129</v>
      </c>
      <c r="Z19" s="472">
        <f t="shared" si="40"/>
        <v>20.707650273224047</v>
      </c>
      <c r="AA19" s="472">
        <f t="shared" si="40"/>
        <v>20.119326047358836</v>
      </c>
      <c r="AB19" s="1978">
        <v>21.5</v>
      </c>
      <c r="AC19" s="6183">
        <f>10676.82/(24*AC$2)</f>
        <v>14.350564516129031</v>
      </c>
      <c r="AD19" s="2463">
        <f t="shared" si="41"/>
        <v>20.822429906542055</v>
      </c>
      <c r="AE19" s="2463">
        <f t="shared" si="42"/>
        <v>19.283664330218073</v>
      </c>
      <c r="AF19" s="1978">
        <v>21.5</v>
      </c>
      <c r="AG19" s="6356">
        <f>13834.31/(24*AG$2)</f>
        <v>19.214319444444445</v>
      </c>
      <c r="AH19" s="4655">
        <f t="shared" si="43"/>
        <v>20.905737704918032</v>
      </c>
      <c r="AI19" s="4655">
        <f t="shared" si="44"/>
        <v>19.275138319672134</v>
      </c>
      <c r="AJ19" s="1978">
        <v>21.5</v>
      </c>
      <c r="AK19" s="6629">
        <f>14802.83/(24*AK$2)</f>
        <v>19.896276881720429</v>
      </c>
      <c r="AL19" s="2188">
        <f t="shared" si="45"/>
        <v>21.5</v>
      </c>
      <c r="AM19" s="2188">
        <f t="shared" si="46"/>
        <v>17.805235507246376</v>
      </c>
      <c r="AN19" s="2567">
        <f t="shared" si="47"/>
        <v>20.972727272727273</v>
      </c>
      <c r="AO19" s="2567">
        <f t="shared" si="48"/>
        <v>19.345157575757579</v>
      </c>
      <c r="AP19" s="1978">
        <v>21.5</v>
      </c>
      <c r="AQ19" s="6745">
        <f>12897.29/(24*AQ$2)</f>
        <v>17.335067204301076</v>
      </c>
      <c r="AR19" s="2612">
        <f t="shared" si="49"/>
        <v>21.026143790849673</v>
      </c>
      <c r="AS19" s="2612">
        <f t="shared" si="50"/>
        <v>19.141520969498913</v>
      </c>
      <c r="AT19" s="1978">
        <v>21.5</v>
      </c>
      <c r="AU19" s="6922">
        <f>5956.3/(24*AU$2)</f>
        <v>8.8635416666666664</v>
      </c>
      <c r="AV19" s="2727">
        <f t="shared" si="51"/>
        <v>21.065868263473053</v>
      </c>
      <c r="AW19" s="2727">
        <f t="shared" si="52"/>
        <v>18.27989396207585</v>
      </c>
      <c r="AX19" s="1978">
        <v>21.5</v>
      </c>
      <c r="AY19" s="1494">
        <f>14452.69/(24*AY$2)</f>
        <v>19.425658602150538</v>
      </c>
      <c r="AZ19" s="2190">
        <f t="shared" si="53"/>
        <v>21.5</v>
      </c>
      <c r="BA19" s="2190">
        <f t="shared" si="54"/>
        <v>15.419574074074076</v>
      </c>
      <c r="BB19" s="5217">
        <f t="shared" si="55"/>
        <v>21.5</v>
      </c>
      <c r="BC19" s="5217">
        <f t="shared" si="55"/>
        <v>16.625512820512821</v>
      </c>
      <c r="BD19" s="2727">
        <f t="shared" si="56"/>
        <v>21.102739726027398</v>
      </c>
      <c r="BE19" s="2727">
        <f t="shared" si="57"/>
        <v>18.377205479452055</v>
      </c>
      <c r="BF19" s="1137"/>
      <c r="BG19" s="1137"/>
      <c r="BH19" s="25"/>
      <c r="BI19" s="25">
        <f t="shared" si="30"/>
        <v>232.06392694063928</v>
      </c>
      <c r="BJ19" s="25">
        <f t="shared" si="31"/>
        <v>201.36459783596015</v>
      </c>
    </row>
    <row r="20" spans="1:62" ht="18.75" x14ac:dyDescent="0.3">
      <c r="A20" s="2175"/>
      <c r="B20" s="2187" t="s">
        <v>57</v>
      </c>
      <c r="C20" s="48" t="s">
        <v>533</v>
      </c>
      <c r="D20" s="1978">
        <v>13.719789704959197</v>
      </c>
      <c r="E20" s="7659">
        <f>11071.2/(24*E$2)</f>
        <v>15.376666666666667</v>
      </c>
      <c r="F20" s="1978">
        <v>16.771375917633801</v>
      </c>
      <c r="G20" s="5633">
        <f>11693.43/(24*G$2)</f>
        <v>15.716975806451613</v>
      </c>
      <c r="H20" s="1980">
        <f t="shared" si="34"/>
        <v>15.270595813039735</v>
      </c>
      <c r="I20" s="3149">
        <f t="shared" si="34"/>
        <v>15.549610655737705</v>
      </c>
      <c r="J20" s="1978">
        <v>16.795325779036801</v>
      </c>
      <c r="K20" s="5767">
        <f>12008.29/(24*K$2)</f>
        <v>16.678180555555556</v>
      </c>
      <c r="L20" s="2188">
        <f t="shared" si="35"/>
        <v>15.773254043588217</v>
      </c>
      <c r="M20" s="2188">
        <f t="shared" si="35"/>
        <v>15.921666666666667</v>
      </c>
      <c r="N20" s="1978">
        <f>16447.7291419172/1000</f>
        <v>16.4477291419172</v>
      </c>
      <c r="O20" s="5867">
        <f>12814.2/(24*O$2)</f>
        <v>17.223387096774193</v>
      </c>
      <c r="P20" s="326">
        <f t="shared" si="36"/>
        <v>15.944637060376728</v>
      </c>
      <c r="Q20" s="326">
        <f t="shared" si="36"/>
        <v>16.25243169398907</v>
      </c>
      <c r="R20" s="1978">
        <f>16447.7291419172/1000</f>
        <v>16.4477291419172</v>
      </c>
      <c r="S20" s="5967">
        <f>13174/(24*S$2)</f>
        <v>17.706989247311828</v>
      </c>
      <c r="T20" s="4369">
        <f t="shared" si="37"/>
        <v>16.046570750100614</v>
      </c>
      <c r="U20" s="4369">
        <f t="shared" si="38"/>
        <v>16.54714596949891</v>
      </c>
      <c r="V20" s="1978">
        <f>12000/1000</f>
        <v>12</v>
      </c>
      <c r="W20" s="6061">
        <f>12699.12/(24*W$2)</f>
        <v>17.637666666666668</v>
      </c>
      <c r="X20" s="2188">
        <f t="shared" si="39"/>
        <v>14.997382682596374</v>
      </c>
      <c r="Y20" s="2188">
        <f t="shared" si="39"/>
        <v>17.521431159420292</v>
      </c>
      <c r="Z20" s="472">
        <f t="shared" si="40"/>
        <v>15.383198495985759</v>
      </c>
      <c r="AA20" s="472">
        <f t="shared" si="40"/>
        <v>16.725919854280509</v>
      </c>
      <c r="AB20" s="1978">
        <f>16771.3759176338/1000</f>
        <v>16.771375917633797</v>
      </c>
      <c r="AC20" s="6183">
        <f>10480.89/(24*AC$2)</f>
        <v>14.087217741935483</v>
      </c>
      <c r="AD20" s="2463">
        <f t="shared" si="41"/>
        <v>15.58428961781328</v>
      </c>
      <c r="AE20" s="2463">
        <f t="shared" si="42"/>
        <v>16.343677959501559</v>
      </c>
      <c r="AF20" s="1978">
        <f>16795.3257790368/1000</f>
        <v>16.795325779036801</v>
      </c>
      <c r="AG20" s="6356">
        <f>12761.77/(24*AG$2)</f>
        <v>17.724680555555555</v>
      </c>
      <c r="AH20" s="4655">
        <f t="shared" si="43"/>
        <v>15.733187506488303</v>
      </c>
      <c r="AI20" s="4655">
        <f t="shared" si="44"/>
        <v>16.513473360655738</v>
      </c>
      <c r="AJ20" s="1978">
        <v>16.771375917633801</v>
      </c>
      <c r="AK20" s="6629">
        <f>12808.67/(24*AK$2)</f>
        <v>17.215954301075268</v>
      </c>
      <c r="AL20" s="2188">
        <f t="shared" si="45"/>
        <v>16.779185655047819</v>
      </c>
      <c r="AM20" s="2188">
        <f t="shared" si="46"/>
        <v>16.327595108695654</v>
      </c>
      <c r="AN20" s="2567">
        <f t="shared" si="47"/>
        <v>15.850219654653793</v>
      </c>
      <c r="AO20" s="2567">
        <f t="shared" si="48"/>
        <v>16.592662121212122</v>
      </c>
      <c r="AP20" s="1978">
        <v>17.030293338207073</v>
      </c>
      <c r="AQ20" s="6745">
        <f>12352.27/(24*AQ$2)</f>
        <v>16.602513440860214</v>
      </c>
      <c r="AR20" s="2612">
        <f t="shared" si="49"/>
        <v>15.969769602987624</v>
      </c>
      <c r="AS20" s="2612">
        <f t="shared" si="50"/>
        <v>16.593660130718956</v>
      </c>
      <c r="AT20" s="1978">
        <v>16.848357615000673</v>
      </c>
      <c r="AU20" s="6922">
        <f>9804.27/(24*AU$2)</f>
        <v>14.5896875</v>
      </c>
      <c r="AV20" s="5079">
        <f t="shared" si="51"/>
        <v>16.043423687827044</v>
      </c>
      <c r="AW20" s="5079">
        <f t="shared" si="52"/>
        <v>16.425662425149703</v>
      </c>
      <c r="AX20" s="1978">
        <v>17.030293338207073</v>
      </c>
      <c r="AY20" s="5128">
        <f>12428.43/(24*AY$2)</f>
        <v>16.704879032258066</v>
      </c>
      <c r="AZ20" s="2188">
        <f t="shared" si="53"/>
        <v>16.973691113209526</v>
      </c>
      <c r="BA20" s="2188">
        <f t="shared" si="54"/>
        <v>16.011560185185186</v>
      </c>
      <c r="BB20" s="2870">
        <f t="shared" si="55"/>
        <v>16.875369672820092</v>
      </c>
      <c r="BC20" s="2870">
        <f t="shared" si="55"/>
        <v>16.171314102564104</v>
      </c>
      <c r="BD20" s="2869">
        <f t="shared" si="56"/>
        <v>16.127240014297676</v>
      </c>
      <c r="BE20" s="2869">
        <f t="shared" si="57"/>
        <v>16.449376712328771</v>
      </c>
      <c r="BF20" s="1137"/>
      <c r="BG20" s="1137"/>
      <c r="BH20" s="25"/>
      <c r="BI20" s="25">
        <f t="shared" si="30"/>
        <v>177.30173157688571</v>
      </c>
      <c r="BJ20" s="25">
        <f t="shared" si="31"/>
        <v>180.81542189878235</v>
      </c>
    </row>
    <row r="21" spans="1:62" ht="18.75" x14ac:dyDescent="0.3">
      <c r="A21" s="2175"/>
      <c r="B21" s="2187" t="s">
        <v>710</v>
      </c>
      <c r="C21" s="48" t="s">
        <v>533</v>
      </c>
      <c r="D21" s="1978">
        <v>0.18054362837413102</v>
      </c>
      <c r="E21" s="7659">
        <f>0/(24*E$2)</f>
        <v>0</v>
      </c>
      <c r="F21" s="1978">
        <v>1.4686240823662</v>
      </c>
      <c r="G21" s="5633">
        <f>0/(24*G$2)</f>
        <v>0</v>
      </c>
      <c r="H21" s="1980">
        <f t="shared" si="34"/>
        <v>0.83514189187829724</v>
      </c>
      <c r="I21" s="3149">
        <f t="shared" si="34"/>
        <v>0</v>
      </c>
      <c r="J21" s="1978">
        <v>1.44467422096317</v>
      </c>
      <c r="K21" s="5767">
        <f>0/(24*K$2)</f>
        <v>0</v>
      </c>
      <c r="L21" s="2188">
        <f t="shared" si="35"/>
        <v>1.0360866157524311</v>
      </c>
      <c r="M21" s="2188">
        <f t="shared" si="35"/>
        <v>0</v>
      </c>
      <c r="N21" s="1978">
        <f>1792.27085808279/1000</f>
        <v>1.79227085808279</v>
      </c>
      <c r="O21" s="5867">
        <f>0/(24*O$2)</f>
        <v>0</v>
      </c>
      <c r="P21" s="326">
        <f t="shared" si="36"/>
        <v>1.2282317920822765</v>
      </c>
      <c r="Q21" s="326">
        <f t="shared" si="36"/>
        <v>0</v>
      </c>
      <c r="R21" s="1978">
        <f>1792.27085808279/1000</f>
        <v>1.79227085808279</v>
      </c>
      <c r="S21" s="5967">
        <f>0/(24*S$2)</f>
        <v>0</v>
      </c>
      <c r="T21" s="4369">
        <f t="shared" si="37"/>
        <v>1.3425142172196354</v>
      </c>
      <c r="U21" s="4369">
        <f t="shared" si="38"/>
        <v>0</v>
      </c>
      <c r="V21" s="1978">
        <f>426.666666666631/1000</f>
        <v>0.426666666666631</v>
      </c>
      <c r="W21" s="6061">
        <f>0/(24*W$2)</f>
        <v>0</v>
      </c>
      <c r="X21" s="2188">
        <f t="shared" ref="X21:X22" si="58">(N21*N$2+R21*R$2+V21*V$2)/X$2</f>
        <v>1.3469651434905643</v>
      </c>
      <c r="Y21" s="2188">
        <f t="shared" ref="Y21:Y22" si="59">(O21*O$2+S21*S$2+W21*W$2)/Y$2</f>
        <v>0</v>
      </c>
      <c r="Z21" s="472">
        <f t="shared" si="40"/>
        <v>1.1923752745060281</v>
      </c>
      <c r="AA21" s="472">
        <f t="shared" si="40"/>
        <v>0</v>
      </c>
      <c r="AB21" s="1978">
        <v>1.4686240823662</v>
      </c>
      <c r="AC21" s="6183">
        <f>0/(24*AC$2)</f>
        <v>0</v>
      </c>
      <c r="AD21" s="2463">
        <f t="shared" si="41"/>
        <v>1.2323926251773614</v>
      </c>
      <c r="AE21" s="2463">
        <f t="shared" si="42"/>
        <v>0</v>
      </c>
      <c r="AF21" s="1978">
        <v>1.44467422096317</v>
      </c>
      <c r="AG21" s="6356">
        <f>0/(24*AG$2)</f>
        <v>0</v>
      </c>
      <c r="AH21" s="4655">
        <f t="shared" si="43"/>
        <v>1.2584928213805344</v>
      </c>
      <c r="AI21" s="4655">
        <f t="shared" si="44"/>
        <v>0</v>
      </c>
      <c r="AJ21" s="1978">
        <f>1468.6240823662/1000</f>
        <v>1.4686240823661998</v>
      </c>
      <c r="AK21" s="6629">
        <f>0/(24*AK$2)</f>
        <v>0</v>
      </c>
      <c r="AL21" s="2188">
        <f t="shared" si="45"/>
        <v>1.4608143449521684</v>
      </c>
      <c r="AM21" s="2188">
        <f t="shared" si="46"/>
        <v>0</v>
      </c>
      <c r="AN21" s="2567">
        <f t="shared" si="47"/>
        <v>1.2821803453461913</v>
      </c>
      <c r="AO21" s="2567">
        <f t="shared" si="48"/>
        <v>0</v>
      </c>
      <c r="AP21" s="1978">
        <f>1209.71/1000</f>
        <v>1.2097100000000001</v>
      </c>
      <c r="AQ21" s="6718">
        <f>0/(24*AQ$2)</f>
        <v>0</v>
      </c>
      <c r="AR21" s="2612">
        <f t="shared" si="49"/>
        <v>1.2748385783339955</v>
      </c>
      <c r="AS21" s="2612">
        <f t="shared" si="50"/>
        <v>0</v>
      </c>
      <c r="AT21" s="1978">
        <f>1392/1000</f>
        <v>1.3919999999999999</v>
      </c>
      <c r="AU21" s="6922">
        <f>0/(24*AU$2)</f>
        <v>0</v>
      </c>
      <c r="AV21" s="5079">
        <f t="shared" si="51"/>
        <v>1.2846604939227622</v>
      </c>
      <c r="AW21" s="5079">
        <f t="shared" si="52"/>
        <v>0</v>
      </c>
      <c r="AX21" s="1978">
        <v>1.2097066617929269</v>
      </c>
      <c r="AY21" s="5128">
        <f>0/(24*AY$2)</f>
        <v>0</v>
      </c>
      <c r="AZ21" s="2188">
        <f t="shared" si="53"/>
        <v>1.2664212946175639</v>
      </c>
      <c r="BA21" s="2188">
        <f t="shared" si="54"/>
        <v>0</v>
      </c>
      <c r="BB21" s="2870">
        <f t="shared" si="55"/>
        <v>1.3646859134680236</v>
      </c>
      <c r="BC21" s="2870">
        <f t="shared" si="55"/>
        <v>0</v>
      </c>
      <c r="BD21" s="2869">
        <f t="shared" si="56"/>
        <v>1.2782945520158444</v>
      </c>
      <c r="BE21" s="2869">
        <f t="shared" si="57"/>
        <v>0</v>
      </c>
      <c r="BF21" s="1137"/>
      <c r="BG21" s="1137"/>
      <c r="BH21" s="25"/>
      <c r="BI21" s="25">
        <f t="shared" si="30"/>
        <v>14.020094810008366</v>
      </c>
      <c r="BJ21" s="25">
        <f t="shared" si="31"/>
        <v>0</v>
      </c>
    </row>
    <row r="22" spans="1:62" ht="18.75" x14ac:dyDescent="0.3">
      <c r="A22" s="2175"/>
      <c r="B22" s="2187" t="s">
        <v>101</v>
      </c>
      <c r="C22" s="48" t="s">
        <v>533</v>
      </c>
      <c r="D22" s="1978"/>
      <c r="E22" s="7659">
        <f>0/(24*E$2)</f>
        <v>0</v>
      </c>
      <c r="F22" s="1978">
        <v>0</v>
      </c>
      <c r="G22" s="5633">
        <f>0/(24*G$2)</f>
        <v>0</v>
      </c>
      <c r="H22" s="327">
        <f t="shared" si="34"/>
        <v>0</v>
      </c>
      <c r="I22" s="198">
        <f t="shared" si="34"/>
        <v>0</v>
      </c>
      <c r="J22" s="1978">
        <v>0</v>
      </c>
      <c r="K22" s="5767">
        <f>0/(24*K$2)</f>
        <v>0</v>
      </c>
      <c r="L22" s="2188">
        <f t="shared" si="35"/>
        <v>0</v>
      </c>
      <c r="M22" s="2188">
        <f t="shared" si="35"/>
        <v>0</v>
      </c>
      <c r="N22" s="1978">
        <v>0</v>
      </c>
      <c r="O22" s="5867">
        <f>0/(24*O$2)</f>
        <v>0</v>
      </c>
      <c r="P22" s="326">
        <f t="shared" si="36"/>
        <v>0</v>
      </c>
      <c r="Q22" s="326">
        <f t="shared" si="36"/>
        <v>0</v>
      </c>
      <c r="R22" s="1978">
        <v>0</v>
      </c>
      <c r="S22" s="5967">
        <f>0/(24*S$2)</f>
        <v>0</v>
      </c>
      <c r="T22" s="4369">
        <f t="shared" si="37"/>
        <v>0</v>
      </c>
      <c r="U22" s="4369">
        <f t="shared" si="38"/>
        <v>0</v>
      </c>
      <c r="V22" s="1978">
        <v>0</v>
      </c>
      <c r="W22" s="6061">
        <f>0/(24*W$2)</f>
        <v>0</v>
      </c>
      <c r="X22" s="2188">
        <f t="shared" si="58"/>
        <v>0</v>
      </c>
      <c r="Y22" s="2188">
        <f t="shared" si="59"/>
        <v>0</v>
      </c>
      <c r="Z22" s="472">
        <f t="shared" si="40"/>
        <v>0</v>
      </c>
      <c r="AA22" s="472">
        <f t="shared" si="40"/>
        <v>0</v>
      </c>
      <c r="AB22" s="1978">
        <v>0</v>
      </c>
      <c r="AC22" s="6183">
        <f>0/(24*AC$2)</f>
        <v>0</v>
      </c>
      <c r="AD22" s="2463">
        <f t="shared" si="41"/>
        <v>0</v>
      </c>
      <c r="AE22" s="2463">
        <f t="shared" si="42"/>
        <v>0</v>
      </c>
      <c r="AF22" s="1978">
        <v>0</v>
      </c>
      <c r="AG22" s="6356">
        <f>0/(24*AG$2)</f>
        <v>0</v>
      </c>
      <c r="AH22" s="4655">
        <f t="shared" si="43"/>
        <v>0</v>
      </c>
      <c r="AI22" s="4655">
        <f t="shared" si="44"/>
        <v>0</v>
      </c>
      <c r="AJ22" s="1978">
        <v>0</v>
      </c>
      <c r="AK22" s="6629">
        <f>0/(24*AK$2)</f>
        <v>0</v>
      </c>
      <c r="AL22" s="2188">
        <f t="shared" si="45"/>
        <v>0</v>
      </c>
      <c r="AM22" s="2188">
        <f t="shared" si="46"/>
        <v>0</v>
      </c>
      <c r="AN22" s="2567">
        <f t="shared" si="47"/>
        <v>0</v>
      </c>
      <c r="AO22" s="2567">
        <f t="shared" si="48"/>
        <v>0</v>
      </c>
      <c r="AP22" s="1978">
        <v>0</v>
      </c>
      <c r="AQ22" s="6718">
        <f>0/(24*AQ$2)</f>
        <v>0</v>
      </c>
      <c r="AR22" s="2612">
        <f t="shared" si="49"/>
        <v>0</v>
      </c>
      <c r="AS22" s="2612">
        <f t="shared" si="50"/>
        <v>0</v>
      </c>
      <c r="AT22" s="1978">
        <v>0</v>
      </c>
      <c r="AU22" s="6922">
        <f>0/(24*AU$2)</f>
        <v>0</v>
      </c>
      <c r="AV22" s="5079">
        <f t="shared" si="51"/>
        <v>0</v>
      </c>
      <c r="AW22" s="5079">
        <f t="shared" si="52"/>
        <v>0</v>
      </c>
      <c r="AX22" s="1978">
        <v>0</v>
      </c>
      <c r="AY22" s="5128">
        <v>0</v>
      </c>
      <c r="AZ22" s="2188">
        <f t="shared" si="53"/>
        <v>0</v>
      </c>
      <c r="BA22" s="2188">
        <f t="shared" si="54"/>
        <v>0</v>
      </c>
      <c r="BB22" s="2870">
        <f t="shared" si="55"/>
        <v>0</v>
      </c>
      <c r="BC22" s="2870">
        <f t="shared" si="55"/>
        <v>0</v>
      </c>
      <c r="BD22" s="2869">
        <f t="shared" si="56"/>
        <v>0</v>
      </c>
      <c r="BE22" s="2869">
        <f t="shared" si="57"/>
        <v>0</v>
      </c>
      <c r="BF22" s="1137"/>
      <c r="BG22" s="1137"/>
      <c r="BH22" s="25"/>
      <c r="BI22" s="25">
        <f t="shared" si="30"/>
        <v>0</v>
      </c>
      <c r="BJ22" s="25">
        <f t="shared" si="31"/>
        <v>0</v>
      </c>
    </row>
    <row r="23" spans="1:62" ht="18.75" x14ac:dyDescent="0.3">
      <c r="A23" s="2175"/>
      <c r="B23" s="2187" t="s">
        <v>101</v>
      </c>
      <c r="C23" s="48" t="s">
        <v>50</v>
      </c>
      <c r="D23" s="692"/>
      <c r="E23" s="1977">
        <v>0</v>
      </c>
      <c r="F23" s="692">
        <v>0</v>
      </c>
      <c r="G23" s="1977">
        <v>0</v>
      </c>
      <c r="H23" s="327">
        <f>+D23+F23</f>
        <v>0</v>
      </c>
      <c r="I23" s="198">
        <f>+E23+G23</f>
        <v>0</v>
      </c>
      <c r="J23" s="692">
        <v>0</v>
      </c>
      <c r="K23" s="1977">
        <v>0</v>
      </c>
      <c r="L23" s="381">
        <f>+D23+F23+J23</f>
        <v>0</v>
      </c>
      <c r="M23" s="381">
        <f>+E23+G23+K23</f>
        <v>0</v>
      </c>
      <c r="N23" s="692">
        <v>0</v>
      </c>
      <c r="O23" s="1977">
        <v>0</v>
      </c>
      <c r="P23" s="2111">
        <f>+L23+N23</f>
        <v>0</v>
      </c>
      <c r="Q23" s="2111">
        <f>+M23+O23</f>
        <v>0</v>
      </c>
      <c r="R23" s="692">
        <v>0</v>
      </c>
      <c r="S23" s="1977">
        <v>0</v>
      </c>
      <c r="T23" s="3779">
        <f>+P23+R23</f>
        <v>0</v>
      </c>
      <c r="U23" s="3779">
        <f>+Q23+S23</f>
        <v>0</v>
      </c>
      <c r="V23" s="692">
        <v>0</v>
      </c>
      <c r="W23" s="1977">
        <v>0</v>
      </c>
      <c r="X23" s="381">
        <f>N23+R23+V23</f>
        <v>0</v>
      </c>
      <c r="Y23" s="381">
        <f>O23+S23+W23</f>
        <v>0</v>
      </c>
      <c r="Z23" s="471">
        <f>+T23+V23</f>
        <v>0</v>
      </c>
      <c r="AA23" s="471">
        <f>+U23+W23</f>
        <v>0</v>
      </c>
      <c r="AB23" s="692">
        <v>0</v>
      </c>
      <c r="AC23" s="1977">
        <v>0</v>
      </c>
      <c r="AD23" s="2459">
        <f>+Z23+AB23</f>
        <v>0</v>
      </c>
      <c r="AE23" s="2459">
        <f>+AA23+AC23</f>
        <v>0</v>
      </c>
      <c r="AF23" s="692">
        <v>0</v>
      </c>
      <c r="AG23" s="1977">
        <v>0</v>
      </c>
      <c r="AH23" s="3779">
        <f>+AD23+AF23</f>
        <v>0</v>
      </c>
      <c r="AI23" s="3779">
        <f>+AE23+AG23</f>
        <v>0</v>
      </c>
      <c r="AJ23" s="692">
        <v>0</v>
      </c>
      <c r="AK23" s="1977">
        <v>0</v>
      </c>
      <c r="AL23" s="381">
        <f>AB23+AF23+AJ23</f>
        <v>0</v>
      </c>
      <c r="AM23" s="381">
        <f>AC23+AG23+AK23</f>
        <v>0</v>
      </c>
      <c r="AN23" s="2562">
        <f>+AH23+AJ23</f>
        <v>0</v>
      </c>
      <c r="AO23" s="2562">
        <f>+AI23+AK23</f>
        <v>0</v>
      </c>
      <c r="AP23" s="692">
        <v>0</v>
      </c>
      <c r="AQ23" s="1977">
        <v>0</v>
      </c>
      <c r="AR23" s="2609">
        <f>+AN23+AP23</f>
        <v>0</v>
      </c>
      <c r="AS23" s="2609">
        <f>+AO23+AQ23</f>
        <v>0</v>
      </c>
      <c r="AT23" s="692">
        <v>0</v>
      </c>
      <c r="AU23" s="1977">
        <v>0</v>
      </c>
      <c r="AV23" s="3779">
        <f>+AR23+AT23</f>
        <v>0</v>
      </c>
      <c r="AW23" s="3779">
        <f>+AS23+AU23</f>
        <v>0</v>
      </c>
      <c r="AX23" s="692">
        <v>0</v>
      </c>
      <c r="AY23" s="1977">
        <v>0</v>
      </c>
      <c r="AZ23" s="381">
        <f>AP23+AT23+AX23</f>
        <v>0</v>
      </c>
      <c r="BA23" s="381">
        <f>AQ23+AU23+AY23</f>
        <v>0</v>
      </c>
      <c r="BB23" s="471">
        <f>+AL23+AZ23</f>
        <v>0</v>
      </c>
      <c r="BC23" s="471">
        <f>+AM23+BA23</f>
        <v>0</v>
      </c>
      <c r="BD23" s="2862">
        <f>+AV23+AX23</f>
        <v>0</v>
      </c>
      <c r="BE23" s="2862">
        <f>+AW23+AY23</f>
        <v>0</v>
      </c>
      <c r="BF23" s="1137"/>
      <c r="BG23" s="1137"/>
      <c r="BH23" s="25"/>
      <c r="BI23" s="25">
        <f t="shared" si="30"/>
        <v>0</v>
      </c>
      <c r="BJ23" s="25">
        <f t="shared" si="31"/>
        <v>0</v>
      </c>
    </row>
    <row r="24" spans="1:62" ht="18.75" x14ac:dyDescent="0.3">
      <c r="A24" s="2186"/>
      <c r="B24" s="2189" t="s">
        <v>21</v>
      </c>
      <c r="C24" s="791" t="s">
        <v>533</v>
      </c>
      <c r="D24" s="1978">
        <f t="shared" ref="D24:AA24" si="60">SUM(D18:D22)</f>
        <v>39.400333333333329</v>
      </c>
      <c r="E24" s="3148">
        <f t="shared" si="60"/>
        <v>34.57747222222222</v>
      </c>
      <c r="F24" s="1978">
        <f t="shared" ref="F24:G24" si="61">SUM(F18:F22)</f>
        <v>41.54</v>
      </c>
      <c r="G24" s="5633">
        <f t="shared" si="61"/>
        <v>36.799583333333338</v>
      </c>
      <c r="H24" s="1980">
        <f t="shared" si="60"/>
        <v>40.487704918032783</v>
      </c>
      <c r="I24" s="3149">
        <f t="shared" si="60"/>
        <v>35.706741803278689</v>
      </c>
      <c r="J24" s="1978">
        <f t="shared" ref="J24:K24" si="62">SUM(J18:J22)</f>
        <v>41.539999999999971</v>
      </c>
      <c r="K24" s="5767">
        <f t="shared" si="62"/>
        <v>38.730222222222224</v>
      </c>
      <c r="L24" s="2190">
        <f t="shared" si="60"/>
        <v>40.834615384615375</v>
      </c>
      <c r="M24" s="1981">
        <f t="shared" si="60"/>
        <v>36.703493589743594</v>
      </c>
      <c r="N24" s="1978">
        <f t="shared" ref="N24:O24" si="63">SUM(N18:N22)</f>
        <v>41.539999999999992</v>
      </c>
      <c r="O24" s="5867">
        <f t="shared" si="63"/>
        <v>40.520120967741931</v>
      </c>
      <c r="P24" s="326">
        <f t="shared" si="60"/>
        <v>41.013852459016384</v>
      </c>
      <c r="Q24" s="326">
        <f t="shared" si="60"/>
        <v>37.673292349726779</v>
      </c>
      <c r="R24" s="1978">
        <f t="shared" ref="R24:S24" si="64">SUM(R18:R22)</f>
        <v>41.539999999999992</v>
      </c>
      <c r="S24" s="5967">
        <f t="shared" si="64"/>
        <v>39.503709677419351</v>
      </c>
      <c r="T24" s="4369">
        <f t="shared" ref="T24:W24" si="65">SUM(T18:T22)</f>
        <v>41.120457516339862</v>
      </c>
      <c r="U24" s="4369">
        <f t="shared" si="65"/>
        <v>38.044161220043577</v>
      </c>
      <c r="V24" s="1978">
        <f t="shared" si="65"/>
        <v>27.693333333333332</v>
      </c>
      <c r="W24" s="6061">
        <f t="shared" si="65"/>
        <v>38.531013888888893</v>
      </c>
      <c r="X24" s="2188">
        <f>SUM(X18:X22)</f>
        <v>37.024782608695645</v>
      </c>
      <c r="Y24" s="2188">
        <f>SUM(Y18:Y22)</f>
        <v>39.529012681159422</v>
      </c>
      <c r="Z24" s="2200">
        <f t="shared" si="60"/>
        <v>38.919289617486321</v>
      </c>
      <c r="AA24" s="2200">
        <f t="shared" si="60"/>
        <v>38.123973132969034</v>
      </c>
      <c r="AB24" s="1978">
        <f>SUM(AB18:AB23)</f>
        <v>41.54</v>
      </c>
      <c r="AC24" s="6183">
        <f t="shared" ref="AC24" si="66">SUM(AC18:AC22)</f>
        <v>29.521088709677418</v>
      </c>
      <c r="AD24" s="2463">
        <f t="shared" ref="AD24:AE24" si="67">SUM(AD18:AD22)</f>
        <v>39.298925233644844</v>
      </c>
      <c r="AE24" s="2463">
        <f t="shared" si="67"/>
        <v>36.877760903426797</v>
      </c>
      <c r="AF24" s="1978">
        <f>SUM(AF18:AF23)</f>
        <v>41.539999999999971</v>
      </c>
      <c r="AG24" s="6356">
        <f t="shared" ref="AG24" si="68">SUM(AG18:AG22)</f>
        <v>38.150486111111107</v>
      </c>
      <c r="AH24" s="4655">
        <f t="shared" ref="AH24:AI24" si="69">SUM(AH18:AH22)</f>
        <v>39.574467213114737</v>
      </c>
      <c r="AI24" s="4655">
        <f t="shared" si="69"/>
        <v>37.03424351092896</v>
      </c>
      <c r="AJ24" s="1978">
        <f>SUM(AJ18:AJ23)</f>
        <v>41.54</v>
      </c>
      <c r="AK24" s="6629">
        <f t="shared" ref="AK24" si="70">SUM(AK18:AK22)</f>
        <v>38.268454301075266</v>
      </c>
      <c r="AL24" s="2188">
        <f>SUM(AL18:AL22)</f>
        <v>41.539999999999992</v>
      </c>
      <c r="AM24" s="2188">
        <f>SUM(AM18:AM22)</f>
        <v>35.282504528985513</v>
      </c>
      <c r="AN24" s="2567">
        <f t="shared" ref="AN24:AO24" si="71">SUM(AN18:AN22)</f>
        <v>39.796036363636347</v>
      </c>
      <c r="AO24" s="2567">
        <f t="shared" si="71"/>
        <v>37.173372727272735</v>
      </c>
      <c r="AP24" s="6923">
        <f>SUM(AP18:AP23)</f>
        <v>41.540003338207072</v>
      </c>
      <c r="AQ24" s="6718">
        <f t="shared" ref="AQ24" si="72">SUM(AQ18:AQ22)</f>
        <v>35.000094086021505</v>
      </c>
      <c r="AR24" s="2612">
        <f t="shared" ref="AR24:AS24" si="73">SUM(AR18:AR22)</f>
        <v>39.972712756485024</v>
      </c>
      <c r="AS24" s="2612">
        <f t="shared" si="73"/>
        <v>36.953203976034857</v>
      </c>
      <c r="AT24" s="1978">
        <f>SUM(AT18:AT23)</f>
        <v>41.54035761500068</v>
      </c>
      <c r="AU24" s="1494">
        <f t="shared" ref="AU24" si="74">SUM(AU18:AU22)</f>
        <v>24.414999999999999</v>
      </c>
      <c r="AV24" s="5079">
        <f t="shared" ref="AV24:AW24" si="75">SUM(AV18:AV22)</f>
        <v>40.104132085941423</v>
      </c>
      <c r="AW24" s="5079">
        <f t="shared" si="75"/>
        <v>35.902097055888227</v>
      </c>
      <c r="AX24" s="1978">
        <f>SUM(AX18:AX23)</f>
        <v>41.54</v>
      </c>
      <c r="AY24" s="1494">
        <f t="shared" ref="AY24" si="76">SUM(AY18:AY22)</f>
        <v>37.272836021505377</v>
      </c>
      <c r="AZ24" s="2188">
        <f>SUM(AZ18:AZ22)</f>
        <v>41.540112407827088</v>
      </c>
      <c r="BA24" s="2188">
        <f>SUM(BA18:BA22)</f>
        <v>32.48978703703704</v>
      </c>
      <c r="BB24" s="2200">
        <f t="shared" ref="BB24:BC24" si="77">SUM(BB18:BB22)</f>
        <v>41.540055586288119</v>
      </c>
      <c r="BC24" s="2200">
        <f t="shared" si="77"/>
        <v>33.901490384615386</v>
      </c>
      <c r="BD24" s="2869">
        <f t="shared" ref="BD24:BE24" si="78">SUM(BD18:BD22)</f>
        <v>40.226082511519003</v>
      </c>
      <c r="BE24" s="2869">
        <f t="shared" si="78"/>
        <v>36.018515981735163</v>
      </c>
      <c r="BF24" s="1137">
        <v>1000</v>
      </c>
      <c r="BG24" s="1137"/>
      <c r="BH24" s="25"/>
      <c r="BI24" s="25">
        <f t="shared" si="30"/>
        <v>442.26794510835526</v>
      </c>
      <c r="BJ24" s="25">
        <f t="shared" si="31"/>
        <v>395.27156555948346</v>
      </c>
    </row>
    <row r="25" spans="1:62" ht="18.75" x14ac:dyDescent="0.3">
      <c r="A25" s="2186"/>
      <c r="B25" s="1379" t="s">
        <v>102</v>
      </c>
      <c r="C25" s="1262"/>
      <c r="D25" s="2191"/>
      <c r="E25" s="2192"/>
      <c r="F25" s="2191"/>
      <c r="G25" s="2192"/>
      <c r="H25" s="3456"/>
      <c r="I25" s="3457"/>
      <c r="J25" s="2191"/>
      <c r="K25" s="2192"/>
      <c r="L25" s="2193"/>
      <c r="M25" s="2192"/>
      <c r="N25" s="2191"/>
      <c r="O25" s="2192"/>
      <c r="P25" s="2194"/>
      <c r="Q25" s="2194"/>
      <c r="R25" s="2191"/>
      <c r="S25" s="2192"/>
      <c r="T25" s="2194"/>
      <c r="U25" s="2194"/>
      <c r="V25" s="2191"/>
      <c r="W25" s="2192"/>
      <c r="X25" s="2193"/>
      <c r="Y25" s="2192"/>
      <c r="Z25" s="2194"/>
      <c r="AA25" s="2194"/>
      <c r="AB25" s="2191"/>
      <c r="AC25" s="2192"/>
      <c r="AD25" s="2194"/>
      <c r="AE25" s="2194"/>
      <c r="AF25" s="2191"/>
      <c r="AG25" s="2192"/>
      <c r="AH25" s="2194"/>
      <c r="AI25" s="2194"/>
      <c r="AJ25" s="2191"/>
      <c r="AK25" s="2192"/>
      <c r="AL25" s="2193"/>
      <c r="AM25" s="2192"/>
      <c r="AN25" s="2194"/>
      <c r="AO25" s="2194"/>
      <c r="AP25" s="2191"/>
      <c r="AQ25" s="2192"/>
      <c r="AR25" s="2194"/>
      <c r="AS25" s="2194"/>
      <c r="AT25" s="2191"/>
      <c r="AU25" s="2192"/>
      <c r="AV25" s="2194"/>
      <c r="AW25" s="2194"/>
      <c r="AX25" s="2191"/>
      <c r="AY25" s="2192"/>
      <c r="AZ25" s="2193"/>
      <c r="BA25" s="2192"/>
      <c r="BB25" s="2194"/>
      <c r="BC25" s="2194"/>
      <c r="BD25" s="2194"/>
      <c r="BE25" s="2194"/>
      <c r="BF25" s="1137"/>
      <c r="BG25" s="1137"/>
      <c r="BH25" s="25"/>
      <c r="BI25" s="25">
        <f t="shared" si="30"/>
        <v>0</v>
      </c>
      <c r="BJ25" s="25">
        <f t="shared" si="31"/>
        <v>0</v>
      </c>
    </row>
    <row r="26" spans="1:62" ht="18.75" x14ac:dyDescent="0.3">
      <c r="A26" s="2175"/>
      <c r="B26" s="2187" t="s">
        <v>15</v>
      </c>
      <c r="C26" s="48" t="s">
        <v>533</v>
      </c>
      <c r="D26" s="1421">
        <v>15.5</v>
      </c>
      <c r="E26" s="7659">
        <f>4100/(24*E$2)</f>
        <v>5.6944444444444446</v>
      </c>
      <c r="F26" s="1421">
        <v>17</v>
      </c>
      <c r="G26" s="5633">
        <f>4100/(24*G$2)</f>
        <v>5.510752688172043</v>
      </c>
      <c r="H26" s="1980">
        <f t="shared" ref="H26:I28" si="79">+((D26*D$2)+(F26*F$2))/H$2</f>
        <v>16.262295081967213</v>
      </c>
      <c r="I26" s="3149">
        <f t="shared" si="79"/>
        <v>5.6010928961748636</v>
      </c>
      <c r="J26" s="1421">
        <v>17</v>
      </c>
      <c r="K26" s="5767">
        <f>4100/(24*K$2)</f>
        <v>5.6944444444444446</v>
      </c>
      <c r="L26" s="2188">
        <f t="shared" ref="L26:M31" si="80">+((D26*D$2)+(F26*F$2)+(J26*J$2))/L$2</f>
        <v>16.505494505494507</v>
      </c>
      <c r="M26" s="2188">
        <f>+((E26*E$2)+(G26*G$2)+(K26*K$2))/M$2</f>
        <v>5.6318681318681323</v>
      </c>
      <c r="N26" s="1421">
        <v>17</v>
      </c>
      <c r="O26" s="5867">
        <f>4100/(24*O$2)</f>
        <v>5.510752688172043</v>
      </c>
      <c r="P26" s="326">
        <f>+((L26*L$2)+(N26*N$2))/P$2</f>
        <v>16.631147540983608</v>
      </c>
      <c r="Q26" s="326">
        <f>+((M26*M$2)+(O26*O$2))/Q$2</f>
        <v>5.6010928961748636</v>
      </c>
      <c r="R26" s="1421">
        <v>17</v>
      </c>
      <c r="S26" s="5967">
        <f>4100/(24*S$2)</f>
        <v>5.510752688172043</v>
      </c>
      <c r="T26" s="4369">
        <f>+((P26*P$2)+(R26*R$2))/T$2</f>
        <v>16.705882352941178</v>
      </c>
      <c r="U26" s="4369">
        <f>+((Q26*Q$2)+(S26*S$2))/U$2</f>
        <v>5.582788671023966</v>
      </c>
      <c r="V26" s="1421">
        <f>10333.3333333333/1000</f>
        <v>10.3333333333333</v>
      </c>
      <c r="W26" s="6061">
        <f>4100/(24*W$2)</f>
        <v>5.6944444444444446</v>
      </c>
      <c r="X26" s="2188">
        <f>(N26*N$2+R26*R$2+V26*V$2)/X$2</f>
        <v>14.826086956521729</v>
      </c>
      <c r="Y26" s="2188">
        <f>(O26*O$2+S26*S$2+W26*W$2)/Y$2</f>
        <v>5.5706521739130439</v>
      </c>
      <c r="Z26" s="472">
        <f>(L26*L$2+X26*X$2)/Z$2</f>
        <v>15.661202185792344</v>
      </c>
      <c r="AA26" s="472">
        <f>(M26*M$2+Y26*Y$2)/AA$2</f>
        <v>5.6010928961748636</v>
      </c>
      <c r="AB26" s="1421">
        <v>17</v>
      </c>
      <c r="AC26" s="6183">
        <f>4100/(24*AC$2)</f>
        <v>5.510752688172043</v>
      </c>
      <c r="AD26" s="2463">
        <f>+((Z26*Z$2)+(AB26*AB$2))/AD$2</f>
        <v>15.855140186915884</v>
      </c>
      <c r="AE26" s="2463">
        <f>+((AA26*AA$2)+(AC26*AC$2))/AE$2</f>
        <v>5.5880062305295946</v>
      </c>
      <c r="AF26" s="1421">
        <v>17</v>
      </c>
      <c r="AG26" s="6356">
        <f>4100/(24*AG$2)</f>
        <v>5.6944444444444446</v>
      </c>
      <c r="AH26" s="4655">
        <f>+((AD26*AD$2)+(AF26*AF$2))/AH$2</f>
        <v>15.995901639344259</v>
      </c>
      <c r="AI26" s="4655">
        <f>+((AE26*AE$2)+(AG26*AG$2))/AI$2</f>
        <v>5.6010928961748627</v>
      </c>
      <c r="AJ26" s="1421">
        <v>17</v>
      </c>
      <c r="AK26" s="6629">
        <f>4100/(24*AK$2)</f>
        <v>5.510752688172043</v>
      </c>
      <c r="AL26" s="2188">
        <f>(AB26*AB$2+AF26*AF$2+AJ26*AJ$2)/AL$2</f>
        <v>17</v>
      </c>
      <c r="AM26" s="2188">
        <f>(AC26*AC$2+AG26*AG$2+AK26*AK$2)/AM$2</f>
        <v>5.5706521739130439</v>
      </c>
      <c r="AN26" s="2567">
        <f>+((AH26*AH$2)+(AJ26*AJ$2))/AN$2</f>
        <v>16.109090909090906</v>
      </c>
      <c r="AO26" s="2567">
        <f>+((AI26*AI$2)+(AK26*AK$2))/AO$2</f>
        <v>5.5909090909090899</v>
      </c>
      <c r="AP26" s="1421">
        <v>17</v>
      </c>
      <c r="AQ26" s="6745">
        <f>4100/(24*AQ$2)</f>
        <v>5.510752688172043</v>
      </c>
      <c r="AR26" s="2612">
        <f>+((AN26*AN$2)+(AP26*AP$2))/AR$2</f>
        <v>16.199346405228756</v>
      </c>
      <c r="AS26" s="2612">
        <f>+((AO26*AO$2)+(AQ26*AQ$2))/AS$2</f>
        <v>5.5827886710239643</v>
      </c>
      <c r="AT26" s="1421">
        <v>17</v>
      </c>
      <c r="AU26" s="6922">
        <f>4100/(24*AU$2)</f>
        <v>6.1011904761904763</v>
      </c>
      <c r="AV26" s="5079">
        <f>+((AR26*AR$2)+(AT26*AT$2))/AV$2</f>
        <v>16.266467065868262</v>
      </c>
      <c r="AW26" s="5079">
        <f>+((AS26*AS$2)+(AU26*AU$2))/AW$2</f>
        <v>5.6262475049900189</v>
      </c>
      <c r="AX26" s="1421">
        <v>17</v>
      </c>
      <c r="AY26" s="5128">
        <f>4100/(24*AY$2)</f>
        <v>5.510752688172043</v>
      </c>
      <c r="AZ26" s="2188">
        <f>(AP26*AP$2+AT26*AT$2+AX26*AX$2)/AZ$2</f>
        <v>17</v>
      </c>
      <c r="BA26" s="2188">
        <f>(AQ26*AQ$2+AU26*AU$2+AY26*AY$2)/BA$2</f>
        <v>5.6944444444444446</v>
      </c>
      <c r="BB26" s="2870">
        <f t="shared" ref="BB26:BC29" si="81">(AL26*AL$2+AZ26*AZ$2)/BB$2</f>
        <v>17</v>
      </c>
      <c r="BC26" s="2870">
        <f t="shared" si="81"/>
        <v>5.6318681318681323</v>
      </c>
      <c r="BD26" s="2869">
        <f>+((AV26*AV$2)+(AX26*AX$2))/BD$2</f>
        <v>16.328767123287673</v>
      </c>
      <c r="BE26" s="2869">
        <f>+((AW26*AW$2)+(AY26*AY$2))/BE$2</f>
        <v>5.616438356164382</v>
      </c>
      <c r="BF26" s="1137"/>
      <c r="BG26" s="1137"/>
      <c r="BH26" s="25"/>
      <c r="BI26" s="25">
        <f t="shared" si="30"/>
        <v>179.50456621004565</v>
      </c>
      <c r="BJ26" s="25">
        <f t="shared" si="31"/>
        <v>61.837798715008162</v>
      </c>
    </row>
    <row r="27" spans="1:62" ht="18.75" x14ac:dyDescent="0.3">
      <c r="A27" s="2175"/>
      <c r="B27" s="2187" t="s">
        <v>57</v>
      </c>
      <c r="C27" s="48" t="s">
        <v>533</v>
      </c>
      <c r="D27" s="1421">
        <v>10.5</v>
      </c>
      <c r="E27" s="7659">
        <f>7084.32/(24*E$2)</f>
        <v>9.8393333333333324</v>
      </c>
      <c r="F27" s="1421">
        <f>11500/1000</f>
        <v>11.5</v>
      </c>
      <c r="G27" s="5633">
        <f>6733.2/(24*G$2)</f>
        <v>9.0499999999999989</v>
      </c>
      <c r="H27" s="1980">
        <f t="shared" si="79"/>
        <v>11.008196721311476</v>
      </c>
      <c r="I27" s="3149">
        <f t="shared" si="79"/>
        <v>9.4381967213114741</v>
      </c>
      <c r="J27" s="1421">
        <f>11500/1000</f>
        <v>11.5</v>
      </c>
      <c r="K27" s="5767">
        <f>6778.16/(24*K$2)</f>
        <v>9.4141111111111115</v>
      </c>
      <c r="L27" s="2188">
        <f t="shared" si="80"/>
        <v>11.17032967032967</v>
      </c>
      <c r="M27" s="2188">
        <f>+((E27*E$2)+(G27*G$2)+(K27*K$2))/M$2</f>
        <v>9.4302564102564084</v>
      </c>
      <c r="N27" s="1421">
        <f>11500/1000</f>
        <v>11.5</v>
      </c>
      <c r="O27" s="5867">
        <f>7110.32/(24*O$2)</f>
        <v>9.5568817204301073</v>
      </c>
      <c r="P27" s="326">
        <f>+((L27*L$2)+(N27*N$2))/P$2</f>
        <v>11.254098360655737</v>
      </c>
      <c r="Q27" s="326">
        <f>+((M27*M$2)+(O27*O$2))/Q$2</f>
        <v>9.4624316939890694</v>
      </c>
      <c r="R27" s="1421">
        <f>11500/1000</f>
        <v>11.5</v>
      </c>
      <c r="S27" s="5967">
        <f>7037.44/(24*S$2)</f>
        <v>9.4589247311827958</v>
      </c>
      <c r="T27" s="4369">
        <f>+((P27*P$2)+(R27*R$2))/T$2</f>
        <v>11.303921568627452</v>
      </c>
      <c r="U27" s="4369">
        <f>+((Q27*Q$2)+(S27*S$2))/U$2</f>
        <v>9.461721132897603</v>
      </c>
      <c r="V27" s="1421">
        <f>7833.33333333333/1000</f>
        <v>7.8333333333333304</v>
      </c>
      <c r="W27" s="6061">
        <f>6829.28/(24*W$2)</f>
        <v>9.4851111111111113</v>
      </c>
      <c r="X27" s="2188">
        <f t="shared" ref="X27:X30" si="82">(N27*N$2+R27*R$2+V27*V$2)/X$2</f>
        <v>10.304347826086955</v>
      </c>
      <c r="Y27" s="2188">
        <f t="shared" ref="Y27:Y28" si="83">(O27*O$2+S27*S$2+W27*W$2)/Y$2</f>
        <v>9.5004710144927529</v>
      </c>
      <c r="Z27" s="472">
        <f t="shared" ref="Z27:Z28" si="84">(L27*L$2+X27*X$2)/Z$2</f>
        <v>10.734972677595628</v>
      </c>
      <c r="AA27" s="472">
        <f t="shared" ref="AA27:AA28" si="85">(M27*M$2+Y27*Y$2)/AA$2</f>
        <v>9.4655555555555537</v>
      </c>
      <c r="AB27" s="1421">
        <v>11.5</v>
      </c>
      <c r="AC27" s="6183">
        <f>5776.48/(24*AC$2)</f>
        <v>7.764086021505376</v>
      </c>
      <c r="AD27" s="2463">
        <f>+((Z27*Z$2)+(AB27*AB$2))/AD$2</f>
        <v>10.845794392523365</v>
      </c>
      <c r="AE27" s="2463">
        <f>+((AA27*AA$2)+(AC27*AC$2))/AE$2</f>
        <v>9.2190809968847329</v>
      </c>
      <c r="AF27" s="1421">
        <v>11.5</v>
      </c>
      <c r="AG27" s="6356">
        <f>6728.32/(24*AG$2)</f>
        <v>9.3448888888888888</v>
      </c>
      <c r="AH27" s="4655">
        <f>+((AD27*AD$2)+(AF27*AF$2))/AH$2</f>
        <v>10.926229508196721</v>
      </c>
      <c r="AI27" s="4655">
        <f>+((AE27*AE$2)+(AG27*AG$2))/AI$2</f>
        <v>9.2345491803278676</v>
      </c>
      <c r="AJ27" s="1421">
        <v>11.5</v>
      </c>
      <c r="AK27" s="6629">
        <f>7038.64/(24*AK$2)</f>
        <v>9.4605376344086025</v>
      </c>
      <c r="AL27" s="2188">
        <f t="shared" ref="AL27:AL31" si="86">(AB27*AB$2+AF27*AF$2+AJ27*AJ$2)/AL$2</f>
        <v>11.5</v>
      </c>
      <c r="AM27" s="2188">
        <f t="shared" ref="AM27:AM28" si="87">(AC27*AC$2+AG27*AG$2+AK27*AK$2)/AM$2</f>
        <v>8.8511956521739119</v>
      </c>
      <c r="AN27" s="2567">
        <f>+((AH27*AH$2)+(AJ27*AJ$2))/AN$2</f>
        <v>10.99090909090909</v>
      </c>
      <c r="AO27" s="2567">
        <f>+((AI27*AI$2)+(AK27*AK$2))/AO$2</f>
        <v>9.2600242424242403</v>
      </c>
      <c r="AP27" s="1421">
        <v>11.5</v>
      </c>
      <c r="AQ27" s="6745">
        <f>6952.24/(24*AQ$2)</f>
        <v>9.344408602150537</v>
      </c>
      <c r="AR27" s="2612">
        <f>+((AN27*AN$2)+(AP27*AP$2))/AR$2</f>
        <v>11.042483660130719</v>
      </c>
      <c r="AS27" s="2612">
        <f>+((AO27*AO$2)+(AQ27*AQ$2))/AS$2</f>
        <v>9.2685729847494542</v>
      </c>
      <c r="AT27" s="1421">
        <v>11.5</v>
      </c>
      <c r="AU27" s="6922">
        <f>6020/(24*AU$2)</f>
        <v>8.9583333333333339</v>
      </c>
      <c r="AV27" s="5079">
        <f>+((AR27*AR$2)+(AT27*AT$2))/AV$2</f>
        <v>11.080838323353293</v>
      </c>
      <c r="AW27" s="5079">
        <f>+((AS27*AS$2)+(AU27*AU$2))/AW$2</f>
        <v>9.2425648702594803</v>
      </c>
      <c r="AX27" s="1421">
        <v>11.5</v>
      </c>
      <c r="AY27" s="5128">
        <f>6954.08/(24*AY$2)</f>
        <v>9.3468817204301082</v>
      </c>
      <c r="AZ27" s="2188">
        <f t="shared" ref="AZ27:AZ31" si="88">(AP27*AP$2+AT27*AT$2+AX27*AX$2)/AZ$2</f>
        <v>11.5</v>
      </c>
      <c r="BA27" s="2188">
        <f t="shared" ref="BA27:BA28" si="89">(AQ27*AQ$2+AU27*AU$2+AY27*AY$2)/BA$2</f>
        <v>9.2251481481481488</v>
      </c>
      <c r="BB27" s="2870">
        <f t="shared" si="81"/>
        <v>11.5</v>
      </c>
      <c r="BC27" s="2870">
        <f t="shared" si="81"/>
        <v>9.0361172161172156</v>
      </c>
      <c r="BD27" s="2869">
        <f>+((AV27*AV$2)+(AX27*AX$2))/BD$2</f>
        <v>11.116438356164382</v>
      </c>
      <c r="BE27" s="2869">
        <f>+((AW27*AW$2)+(AY27*AY$2))/BE$2</f>
        <v>9.2514246575342458</v>
      </c>
      <c r="BF27" s="1137"/>
      <c r="BG27" s="1137"/>
      <c r="BH27" s="25"/>
      <c r="BI27" s="25">
        <f t="shared" si="30"/>
        <v>122.21689497716893</v>
      </c>
      <c r="BJ27" s="25">
        <f t="shared" si="31"/>
        <v>101.77207355035105</v>
      </c>
    </row>
    <row r="28" spans="1:62" ht="18.75" x14ac:dyDescent="0.3">
      <c r="A28" s="2175"/>
      <c r="B28" s="2187" t="s">
        <v>774</v>
      </c>
      <c r="C28" s="48" t="s">
        <v>533</v>
      </c>
      <c r="D28" s="1421">
        <v>1.5</v>
      </c>
      <c r="E28" s="7659">
        <f>864/(24*E$2)</f>
        <v>1.2</v>
      </c>
      <c r="F28" s="1421">
        <f>2000/1000</f>
        <v>2</v>
      </c>
      <c r="G28" s="5633">
        <f>892.8/(24*G$2)</f>
        <v>1.2</v>
      </c>
      <c r="H28" s="1980">
        <f t="shared" si="79"/>
        <v>1.7540983606557377</v>
      </c>
      <c r="I28" s="3149">
        <f t="shared" si="79"/>
        <v>1.1999999999999997</v>
      </c>
      <c r="J28" s="1421">
        <f>2000/1000</f>
        <v>2</v>
      </c>
      <c r="K28" s="5767">
        <f>864/(24*K$2)</f>
        <v>1.2</v>
      </c>
      <c r="L28" s="2188">
        <f t="shared" si="80"/>
        <v>1.8351648351648351</v>
      </c>
      <c r="M28" s="2188">
        <f>+((E28*E$2)+(G28*G$2)+(K28*K$2))/M$2</f>
        <v>1.2</v>
      </c>
      <c r="N28" s="1421">
        <v>2</v>
      </c>
      <c r="O28" s="5867">
        <f>892.8/(24*O$2)</f>
        <v>1.2</v>
      </c>
      <c r="P28" s="326">
        <f>+((L28*L$2)+(N28*N$2))/P$2</f>
        <v>1.8770491803278688</v>
      </c>
      <c r="Q28" s="326">
        <f>+((M28*M$2)+((O28*O$2)))/Q$2</f>
        <v>1.2</v>
      </c>
      <c r="R28" s="1421">
        <v>2</v>
      </c>
      <c r="S28" s="5967">
        <f>892.8/(24*S$2)</f>
        <v>1.2</v>
      </c>
      <c r="T28" s="4369">
        <f>+((P28*P$2)+(R28*R$2))/T$2</f>
        <v>1.9019607843137254</v>
      </c>
      <c r="U28" s="4369">
        <f>+((Q28*Q$2)+((S28*S$2)))/U$2</f>
        <v>1.2</v>
      </c>
      <c r="V28" s="1421">
        <v>2</v>
      </c>
      <c r="W28" s="6061">
        <f>864/(24*W$2)</f>
        <v>1.2</v>
      </c>
      <c r="X28" s="2188">
        <f t="shared" si="82"/>
        <v>2</v>
      </c>
      <c r="Y28" s="2188">
        <f t="shared" si="83"/>
        <v>1.2</v>
      </c>
      <c r="Z28" s="472">
        <f t="shared" si="84"/>
        <v>1.9180327868852458</v>
      </c>
      <c r="AA28" s="472">
        <f t="shared" si="85"/>
        <v>1.2</v>
      </c>
      <c r="AB28" s="1421">
        <v>2</v>
      </c>
      <c r="AC28" s="6183">
        <f>892.8/(24*AC$2)</f>
        <v>1.2</v>
      </c>
      <c r="AD28" s="2463">
        <f>+((Z28*Z$2)+(AB28*AB$2))/AD$2</f>
        <v>1.9299065420560748</v>
      </c>
      <c r="AE28" s="2463">
        <f>+((AA28*AA$2)+((AC28*AC$2)))/AE$2</f>
        <v>1.2</v>
      </c>
      <c r="AF28" s="1421">
        <v>2</v>
      </c>
      <c r="AG28" s="6356">
        <f>864/(24*AG$2)</f>
        <v>1.2</v>
      </c>
      <c r="AH28" s="4655">
        <f>+((AD28*AD$2)+(AF28*AF$2))/AH$2</f>
        <v>1.9385245901639345</v>
      </c>
      <c r="AI28" s="4655">
        <f>+((AE28*AE$2)+((AG28*AG$2)))/AI$2</f>
        <v>1.2</v>
      </c>
      <c r="AJ28" s="1421">
        <v>2</v>
      </c>
      <c r="AK28" s="6629">
        <f>892.8/(24*AK$2)</f>
        <v>1.2</v>
      </c>
      <c r="AL28" s="2188">
        <f>(AB28*AB$2+AF28*AF$2+AJ28*AJ$2)/AL$2</f>
        <v>2</v>
      </c>
      <c r="AM28" s="2188">
        <f t="shared" si="87"/>
        <v>1.1999999999999997</v>
      </c>
      <c r="AN28" s="2567">
        <f>+((AH28*AH$2)+(AJ28*AJ$2))/AN$2</f>
        <v>1.9454545454545455</v>
      </c>
      <c r="AO28" s="2567">
        <f>+((AI28*AI$2)+((AK28*AK$2)))/AO$2</f>
        <v>1.2</v>
      </c>
      <c r="AP28" s="1421">
        <v>2</v>
      </c>
      <c r="AQ28" s="6745">
        <f>892.8/(24*AQ$2)</f>
        <v>1.2</v>
      </c>
      <c r="AR28" s="2612">
        <f>+((AN28*AN$2)+(AP28*AP$2))/AR$2</f>
        <v>1.9509803921568627</v>
      </c>
      <c r="AS28" s="2612">
        <f>+((AO28*AO$2)+((AQ28*AQ$2)))/AS$2</f>
        <v>1.2</v>
      </c>
      <c r="AT28" s="1421">
        <v>2</v>
      </c>
      <c r="AU28" s="6922">
        <f>806.4/(24*AU$2)</f>
        <v>1.2</v>
      </c>
      <c r="AV28" s="5079">
        <f>+((AR28*AR$2)+(AT28*AT$2))/AV$2</f>
        <v>1.9550898203592815</v>
      </c>
      <c r="AW28" s="5079">
        <f>+((AS28*AS$2)+((AU28*AU$2)))/AW$2</f>
        <v>1.2</v>
      </c>
      <c r="AX28" s="1421">
        <v>2</v>
      </c>
      <c r="AY28" s="5128">
        <f>892.8/(24*AY$2)</f>
        <v>1.2</v>
      </c>
      <c r="AZ28" s="2188">
        <f t="shared" si="88"/>
        <v>2</v>
      </c>
      <c r="BA28" s="2188">
        <f t="shared" si="89"/>
        <v>1.2</v>
      </c>
      <c r="BB28" s="2870">
        <f t="shared" si="81"/>
        <v>2</v>
      </c>
      <c r="BC28" s="2870">
        <f t="shared" si="81"/>
        <v>1.2</v>
      </c>
      <c r="BD28" s="2869">
        <f>+((AV28*AV$2)+(AX28*AX$2))/BD$2</f>
        <v>1.9589041095890412</v>
      </c>
      <c r="BE28" s="2869">
        <f>+((AW28*AW$2)+((AY28*AY$2)))/BE$2</f>
        <v>1.2</v>
      </c>
      <c r="BF28" s="1137"/>
      <c r="BG28" s="1137"/>
      <c r="BH28" s="25"/>
      <c r="BI28" s="25">
        <f t="shared" si="30"/>
        <v>21.541095890410958</v>
      </c>
      <c r="BJ28" s="25">
        <f t="shared" si="31"/>
        <v>13.199999999999998</v>
      </c>
    </row>
    <row r="29" spans="1:62" ht="18.75" x14ac:dyDescent="0.3">
      <c r="A29" s="2175"/>
      <c r="B29" s="2187" t="s">
        <v>775</v>
      </c>
      <c r="C29" s="48" t="s">
        <v>533</v>
      </c>
      <c r="D29" s="1421">
        <v>1.5</v>
      </c>
      <c r="E29" s="8281">
        <f>14917.12/(24*E$2)</f>
        <v>20.718222222222224</v>
      </c>
      <c r="F29" s="1421">
        <v>2.5</v>
      </c>
      <c r="G29" s="8281">
        <f>15635.04/(24*G$2)</f>
        <v>21.01483870967742</v>
      </c>
      <c r="H29" s="1980">
        <f>+((D29*D$2)+(F29*F$2))/H$2</f>
        <v>2.0081967213114753</v>
      </c>
      <c r="I29" s="8295">
        <f>+((E29*E$2)+(G29*G$2))/I$2</f>
        <v>20.868961748633879</v>
      </c>
      <c r="J29" s="1421">
        <v>2</v>
      </c>
      <c r="K29" s="8281">
        <f>14622.48/(24*K$2)</f>
        <v>20.309000000000001</v>
      </c>
      <c r="L29" s="2188">
        <f t="shared" si="80"/>
        <v>2.0054945054945055</v>
      </c>
      <c r="M29" s="8285">
        <f>+((E29*E$2)+(G29*G$2)+(K29*K$2))/M$2</f>
        <v>20.684358974358975</v>
      </c>
      <c r="N29" s="1421">
        <v>2.5</v>
      </c>
      <c r="O29" s="8281">
        <f>14954.88/(24*O$2)</f>
        <v>20.10064516129032</v>
      </c>
      <c r="P29" s="326">
        <f>+((L29*L$2)+(N29*N$2))/P$2</f>
        <v>2.1311475409836067</v>
      </c>
      <c r="Q29" s="8282">
        <f>+((M29*M$2)+(O29*O$2))/Q$2</f>
        <v>20.536038251366119</v>
      </c>
      <c r="R29" s="1421">
        <v>2.5</v>
      </c>
      <c r="S29" s="8281">
        <f>15504.48/(24*S$2)</f>
        <v>20.839354838709678</v>
      </c>
      <c r="T29" s="4369">
        <f>+((P29*P$2)+(R29*R$2))/T$2</f>
        <v>2.2058823529411766</v>
      </c>
      <c r="U29" s="8282">
        <f>+((Q29*Q$2)+(S29*S$2))/U$2</f>
        <v>20.597494553376904</v>
      </c>
      <c r="V29" s="1421">
        <v>1.5</v>
      </c>
      <c r="W29" s="8281">
        <f>15348.96/(24*W$2)</f>
        <v>21.317999999999998</v>
      </c>
      <c r="X29" s="2188">
        <f t="shared" si="82"/>
        <v>2.1739130434782608</v>
      </c>
      <c r="Y29" s="8285">
        <f>(O29*O$2+S29*S$2+W29*W$2)/Y$2</f>
        <v>20.746521739130433</v>
      </c>
      <c r="Z29" s="472">
        <f>(L29*L$2+X29*X$2)/Z$2</f>
        <v>2.0901639344262297</v>
      </c>
      <c r="AA29" s="8284">
        <f>(M29*M$2+Y29*Y$2)/AA$2</f>
        <v>20.715610200364299</v>
      </c>
      <c r="AB29" s="1421">
        <v>2.5</v>
      </c>
      <c r="AC29" s="8281">
        <f>16424.4/(24*AC$2)</f>
        <v>22.075806451612905</v>
      </c>
      <c r="AD29" s="2463">
        <f>+((Z29*Z$2)+(AB29*AB$2))/AD$2</f>
        <v>2.1495327102803743</v>
      </c>
      <c r="AE29" s="8282">
        <f>+((AA29*AA$2)+(AC29*AC$2))/AE$2</f>
        <v>20.912647975077885</v>
      </c>
      <c r="AF29" s="1421">
        <v>2.5</v>
      </c>
      <c r="AG29" s="8281">
        <f>15122.16/(24*AG$2)</f>
        <v>21.003</v>
      </c>
      <c r="AH29" s="4655">
        <f>+((AD29*AD$2)+(AF29*AF$2))/AH$2</f>
        <v>2.1926229508196724</v>
      </c>
      <c r="AI29" s="8282">
        <f>+((AE29*AE$2)+(AG29*AG$2))/AI$2</f>
        <v>20.923756830601096</v>
      </c>
      <c r="AJ29" s="1421">
        <v>2.5</v>
      </c>
      <c r="AK29" s="8281">
        <f>15828.64/(24*AK$2)</f>
        <v>21.275053763440859</v>
      </c>
      <c r="AL29" s="2188">
        <f t="shared" si="86"/>
        <v>2.5</v>
      </c>
      <c r="AM29" s="8285">
        <f>(AC29*AC$2+AG29*AG$2+AK29*AK$2)/AM$2</f>
        <v>21.456159420289854</v>
      </c>
      <c r="AN29" s="2567">
        <f>+((AH29*AH$2)+(AJ29*AJ$2))/AN$2</f>
        <v>2.2272727272727275</v>
      </c>
      <c r="AO29" s="8282">
        <f>+((AI29*AI$2)+(AK29*AK$2))/AO$2</f>
        <v>20.963357575757577</v>
      </c>
      <c r="AP29" s="1421">
        <v>2.5</v>
      </c>
      <c r="AQ29" s="8281">
        <f>15246.8/(24*AQ$2)</f>
        <v>20.493010752688171</v>
      </c>
      <c r="AR29" s="2612">
        <f>+((AN29*AN$2)+(AP29*AP$2))/AR$2</f>
        <v>2.2549019607843142</v>
      </c>
      <c r="AS29" s="8282">
        <f>+((AO29*AO$2)+(AQ29*AQ$2))/AS$2</f>
        <v>20.915708061002178</v>
      </c>
      <c r="AT29" s="1421">
        <v>2.5</v>
      </c>
      <c r="AU29" s="8281">
        <f>14365.68/(24*AU$2)</f>
        <v>21.377500000000001</v>
      </c>
      <c r="AV29" s="5079">
        <f>+((AR29*AR$2)+(AT29*AT$2))/AV$2</f>
        <v>2.2754491017964074</v>
      </c>
      <c r="AW29" s="8282">
        <f>+((AS29*AS$2)+(AU29*AU$2))/AW$2</f>
        <v>20.954421157684628</v>
      </c>
      <c r="AX29" s="1421">
        <v>2.5</v>
      </c>
      <c r="AY29" s="8281">
        <f>15964.64/(24*AY$2)</f>
        <v>21.457849462365591</v>
      </c>
      <c r="AZ29" s="2188">
        <f t="shared" si="88"/>
        <v>2.5</v>
      </c>
      <c r="BA29" s="8285">
        <f>(AQ29*AQ$2+AU29*AU$2+AY29*AY$2)/BA$2</f>
        <v>21.10051851851852</v>
      </c>
      <c r="BB29" s="2870">
        <f t="shared" si="81"/>
        <v>2.5</v>
      </c>
      <c r="BC29" s="8284">
        <f t="shared" si="81"/>
        <v>21.280293040293039</v>
      </c>
      <c r="BD29" s="2869">
        <f>+((AV29*AV$2)+(AX29*AX$2))/BD$2</f>
        <v>2.294520547945206</v>
      </c>
      <c r="BE29" s="8282">
        <f>+((AW29*AW$2)+(AY29*AY$2))/BE$2</f>
        <v>20.99717808219178</v>
      </c>
      <c r="BF29" s="1137"/>
      <c r="BG29" s="1137"/>
      <c r="BH29" s="25"/>
      <c r="BI29" s="25">
        <f t="shared" si="30"/>
        <v>25.205479452054796</v>
      </c>
      <c r="BJ29" s="25">
        <f t="shared" si="31"/>
        <v>230.98510327981535</v>
      </c>
    </row>
    <row r="30" spans="1:62" ht="18.75" x14ac:dyDescent="0.3">
      <c r="A30" s="2175"/>
      <c r="B30" s="2187" t="s">
        <v>669</v>
      </c>
      <c r="C30" s="48" t="s">
        <v>533</v>
      </c>
      <c r="D30" s="1421">
        <v>0.14516666666666789</v>
      </c>
      <c r="E30" s="8281"/>
      <c r="F30" s="1421">
        <v>0.12</v>
      </c>
      <c r="G30" s="8281"/>
      <c r="H30" s="1980">
        <f>+((D30*D$2)+(F30*F$2))/H$2</f>
        <v>0.13237704918032847</v>
      </c>
      <c r="I30" s="8295"/>
      <c r="J30" s="1421">
        <v>0.62</v>
      </c>
      <c r="K30" s="8281"/>
      <c r="L30" s="2188">
        <f t="shared" si="80"/>
        <v>0.29313186813186859</v>
      </c>
      <c r="M30" s="8286"/>
      <c r="N30" s="1421">
        <v>0.12</v>
      </c>
      <c r="O30" s="8281"/>
      <c r="P30" s="326">
        <f>+((L30*L$2)+(N30*N$2))/P$2</f>
        <v>0.24913934426229542</v>
      </c>
      <c r="Q30" s="8282"/>
      <c r="R30" s="1421">
        <v>0.12</v>
      </c>
      <c r="S30" s="8281"/>
      <c r="T30" s="4369">
        <f>+((P30*P$2)+(R30*R$2))/T$2</f>
        <v>0.22297385620915061</v>
      </c>
      <c r="U30" s="8282"/>
      <c r="V30" s="1421">
        <v>9.6666666666703302E-2</v>
      </c>
      <c r="W30" s="8281"/>
      <c r="X30" s="2188">
        <f t="shared" si="82"/>
        <v>0.11239130434783802</v>
      </c>
      <c r="Y30" s="8286"/>
      <c r="Z30" s="472">
        <f>(L30*L$2+X30*X$2)/Z$2</f>
        <v>0.20226775956284773</v>
      </c>
      <c r="AA30" s="8284"/>
      <c r="AB30" s="1421">
        <v>0.120000000000007</v>
      </c>
      <c r="AC30" s="8281"/>
      <c r="AD30" s="2463">
        <f>+((Z30*Z$2)+(AB30*AB$2))/AD$2</f>
        <v>0.19035046728972596</v>
      </c>
      <c r="AE30" s="8282"/>
      <c r="AF30" s="1421">
        <v>0.12</v>
      </c>
      <c r="AG30" s="8281"/>
      <c r="AH30" s="4655">
        <f>+((AD30*AD$2)+(AF30*AF$2))/AH$2</f>
        <v>0.18170081967213672</v>
      </c>
      <c r="AI30" s="8282"/>
      <c r="AJ30" s="1421">
        <v>0.12</v>
      </c>
      <c r="AK30" s="8281"/>
      <c r="AL30" s="2188">
        <f t="shared" si="86"/>
        <v>0.12000000000000234</v>
      </c>
      <c r="AM30" s="8286"/>
      <c r="AN30" s="2567">
        <f>+((AH30*AH$2)+(AJ30*AJ$2))/AN$2</f>
        <v>0.17474545454545948</v>
      </c>
      <c r="AO30" s="8282"/>
      <c r="AP30" s="1421">
        <v>0.12000000000000728</v>
      </c>
      <c r="AQ30" s="8281"/>
      <c r="AR30" s="2612">
        <f>+((AN30*AN$2)+(AP30*AP$2))/AR$2</f>
        <v>0.16919934640523393</v>
      </c>
      <c r="AS30" s="8282"/>
      <c r="AT30" s="1421">
        <v>0.12000000000000728</v>
      </c>
      <c r="AU30" s="8281"/>
      <c r="AV30" s="5079">
        <f>+((AR30*AR$2)+(AT30*AT$2))/AV$2</f>
        <v>0.16507485029940655</v>
      </c>
      <c r="AW30" s="8282"/>
      <c r="AX30" s="1421">
        <v>0.12000000000000728</v>
      </c>
      <c r="AY30" s="8281"/>
      <c r="AZ30" s="2188">
        <f t="shared" si="88"/>
        <v>0.1200000000000073</v>
      </c>
      <c r="BA30" s="8286"/>
      <c r="BB30" s="2870">
        <f>(AL30*AL$2+AZ30*AZ$2)/BB$2</f>
        <v>0.12000000000000478</v>
      </c>
      <c r="BC30" s="8284"/>
      <c r="BD30" s="2869">
        <f>+((AV30*AV$2)+(AX30*AX$2))/BD$2</f>
        <v>0.16124657534247128</v>
      </c>
      <c r="BE30" s="8282"/>
      <c r="BF30" s="1137"/>
      <c r="BG30" s="1137"/>
      <c r="BH30" s="25"/>
      <c r="BI30" s="25">
        <f t="shared" si="30"/>
        <v>1.7805867579909287</v>
      </c>
      <c r="BJ30" s="25">
        <f t="shared" si="31"/>
        <v>0</v>
      </c>
    </row>
    <row r="31" spans="1:62" ht="18.75" x14ac:dyDescent="0.3">
      <c r="A31" s="2175"/>
      <c r="B31" s="8287" t="s">
        <v>101</v>
      </c>
      <c r="C31" s="48" t="s">
        <v>533</v>
      </c>
      <c r="D31" s="1421"/>
      <c r="E31" s="7659"/>
      <c r="F31" s="1421">
        <v>0</v>
      </c>
      <c r="G31" s="5633">
        <v>0</v>
      </c>
      <c r="H31" s="327">
        <f>+((D31*D$2)+(F31*F$2))/H$2</f>
        <v>0</v>
      </c>
      <c r="I31" s="198">
        <f>+((E31*E$2)+(G31*G$2))/I$2</f>
        <v>0</v>
      </c>
      <c r="J31" s="1421">
        <v>0</v>
      </c>
      <c r="K31" s="5767">
        <v>0</v>
      </c>
      <c r="L31" s="2188">
        <f t="shared" si="80"/>
        <v>0</v>
      </c>
      <c r="M31" s="2188">
        <f t="shared" si="80"/>
        <v>0</v>
      </c>
      <c r="N31" s="1421">
        <v>0</v>
      </c>
      <c r="O31" s="5867">
        <v>0</v>
      </c>
      <c r="P31" s="326">
        <f>+((L31*L$2)+(N31*N$2))/P$2</f>
        <v>0</v>
      </c>
      <c r="Q31" s="326">
        <f>+((M31*M$2)+(O31*O$2))/Q$2</f>
        <v>0</v>
      </c>
      <c r="R31" s="1421">
        <v>0</v>
      </c>
      <c r="S31" s="5967">
        <v>0</v>
      </c>
      <c r="T31" s="4369">
        <f>+((P31*P$2)+(R31*R$2))/T$2</f>
        <v>0</v>
      </c>
      <c r="U31" s="4369">
        <f>+((Q31*Q$2)+(S31*S$2))/U$2</f>
        <v>0</v>
      </c>
      <c r="V31" s="1421">
        <v>0</v>
      </c>
      <c r="W31" s="6061">
        <v>0</v>
      </c>
      <c r="X31" s="2188">
        <f t="shared" ref="X31" si="90">(N31*N$2+R31*R$2+V31*V$2)/X$2</f>
        <v>0</v>
      </c>
      <c r="Y31" s="2188">
        <f t="shared" ref="Y31" si="91">(O31*O$2+S31*S$2+W31*W$2)/Y$2</f>
        <v>0</v>
      </c>
      <c r="Z31" s="472">
        <f t="shared" ref="Z31" si="92">(L31*L$2+X31*X$2)/Z$2</f>
        <v>0</v>
      </c>
      <c r="AA31" s="472">
        <f t="shared" ref="AA31" si="93">(M31*M$2+Y31*Y$2)/AA$2</f>
        <v>0</v>
      </c>
      <c r="AB31" s="1421">
        <v>0</v>
      </c>
      <c r="AC31" s="6183">
        <v>0</v>
      </c>
      <c r="AD31" s="2463">
        <f>+((Z31*Z$2)+(AB31*AB$2))/AD$2</f>
        <v>0</v>
      </c>
      <c r="AE31" s="2463">
        <f>+((AA31*AA$2)+(AC31*AC$2))/AE$2</f>
        <v>0</v>
      </c>
      <c r="AF31" s="1421">
        <v>0</v>
      </c>
      <c r="AG31" s="6356">
        <v>0</v>
      </c>
      <c r="AH31" s="4655">
        <f>+((AD31*AD$2)+(AF31*AF$2))/AH$2</f>
        <v>0</v>
      </c>
      <c r="AI31" s="4655">
        <f>+((AE31*AE$2)+(AG31*AG$2))/AI$2</f>
        <v>0</v>
      </c>
      <c r="AJ31" s="1421">
        <v>0</v>
      </c>
      <c r="AK31" s="6629">
        <v>0</v>
      </c>
      <c r="AL31" s="2188">
        <f t="shared" si="86"/>
        <v>0</v>
      </c>
      <c r="AM31" s="2188">
        <f t="shared" ref="AM31" si="94">(AC31*AC$2+AG31*AG$2+AK31*AK$2)/AM$2</f>
        <v>0</v>
      </c>
      <c r="AN31" s="2567">
        <f>+((AH31*AH$2)+(AJ31*AJ$2))/AN$2</f>
        <v>0</v>
      </c>
      <c r="AO31" s="2567">
        <f>+((AI31*AI$2)+(AK31*AK$2))/AO$2</f>
        <v>0</v>
      </c>
      <c r="AP31" s="1421">
        <v>0</v>
      </c>
      <c r="AQ31" s="6745">
        <v>0</v>
      </c>
      <c r="AR31" s="2612">
        <f>+((AN31*AN$2)+(AP31*AP$2))/AR$2</f>
        <v>0</v>
      </c>
      <c r="AS31" s="2612">
        <f>+((AO31*AO$2)+(AQ31*AQ$2))/AS$2</f>
        <v>0</v>
      </c>
      <c r="AT31" s="1421">
        <v>0</v>
      </c>
      <c r="AU31" s="6919">
        <v>0</v>
      </c>
      <c r="AV31" s="5079">
        <f>+((AR31*AR$2)+(AT31*AT$2))/AV$2</f>
        <v>0</v>
      </c>
      <c r="AW31" s="5079">
        <f>+((AS31*AS$2)+(AU31*AU$2))/AW$2</f>
        <v>0</v>
      </c>
      <c r="AX31" s="1421">
        <v>0</v>
      </c>
      <c r="AY31" s="5128">
        <v>0</v>
      </c>
      <c r="AZ31" s="2188">
        <f t="shared" si="88"/>
        <v>0</v>
      </c>
      <c r="BA31" s="2188">
        <f t="shared" ref="BA31" si="95">(AQ31*AQ$2+AU31*AU$2+AY31*AY$2)/BA$2</f>
        <v>0</v>
      </c>
      <c r="BB31" s="2870">
        <f>(AL31*AL$2+AZ31*AZ$2)/BB$2</f>
        <v>0</v>
      </c>
      <c r="BC31" s="2870">
        <f>(AM31*AM$2+BA31*BA$2)/BC$2</f>
        <v>0</v>
      </c>
      <c r="BD31" s="2869">
        <f>+((AV31*AV$2)+(AX31*AX$2))/BD$2</f>
        <v>0</v>
      </c>
      <c r="BE31" s="2869">
        <f>+((AW31*AW$2)+(AY31*AY$2))/BE$2</f>
        <v>0</v>
      </c>
      <c r="BF31" s="1137"/>
      <c r="BG31" s="1137"/>
      <c r="BH31" s="25"/>
      <c r="BI31" s="25">
        <f t="shared" si="30"/>
        <v>0</v>
      </c>
      <c r="BJ31" s="25">
        <f t="shared" si="31"/>
        <v>0</v>
      </c>
    </row>
    <row r="32" spans="1:62" ht="15.75" customHeight="1" x14ac:dyDescent="0.3">
      <c r="A32" s="2175"/>
      <c r="B32" s="8287"/>
      <c r="C32" s="48" t="s">
        <v>50</v>
      </c>
      <c r="D32" s="692"/>
      <c r="E32" s="1977"/>
      <c r="F32" s="692">
        <v>0</v>
      </c>
      <c r="G32" s="1977">
        <v>0</v>
      </c>
      <c r="H32" s="327">
        <f>+D32+F32</f>
        <v>0</v>
      </c>
      <c r="I32" s="198">
        <f>+E32+G32</f>
        <v>0</v>
      </c>
      <c r="J32" s="692">
        <v>0</v>
      </c>
      <c r="K32" s="1977">
        <v>0</v>
      </c>
      <c r="L32" s="381">
        <f>+D32+F32+J32</f>
        <v>0</v>
      </c>
      <c r="M32" s="381">
        <f>+E32+G32+K32</f>
        <v>0</v>
      </c>
      <c r="N32" s="692">
        <v>0</v>
      </c>
      <c r="O32" s="1977">
        <v>0</v>
      </c>
      <c r="P32" s="2111">
        <f>+L32+N32</f>
        <v>0</v>
      </c>
      <c r="Q32" s="2111">
        <f>+M32+O32</f>
        <v>0</v>
      </c>
      <c r="R32" s="692">
        <v>0</v>
      </c>
      <c r="S32" s="1977">
        <v>0</v>
      </c>
      <c r="T32" s="3779">
        <f>+P32+R32</f>
        <v>0</v>
      </c>
      <c r="U32" s="3779">
        <f>+Q32+S32</f>
        <v>0</v>
      </c>
      <c r="V32" s="692">
        <v>0</v>
      </c>
      <c r="W32" s="1977">
        <v>0</v>
      </c>
      <c r="X32" s="2188">
        <f>N32+R32+V32</f>
        <v>0</v>
      </c>
      <c r="Y32" s="2188">
        <f>O32+S32+W32</f>
        <v>0</v>
      </c>
      <c r="Z32" s="471">
        <f>+L32+X32</f>
        <v>0</v>
      </c>
      <c r="AA32" s="471">
        <f>+M32+Y32</f>
        <v>0</v>
      </c>
      <c r="AB32" s="692">
        <v>0</v>
      </c>
      <c r="AC32" s="1977">
        <v>0</v>
      </c>
      <c r="AD32" s="2459">
        <f>+Z32+AB32</f>
        <v>0</v>
      </c>
      <c r="AE32" s="2459">
        <f>+AA32+AC32</f>
        <v>0</v>
      </c>
      <c r="AF32" s="692">
        <v>0</v>
      </c>
      <c r="AG32" s="1977">
        <v>0</v>
      </c>
      <c r="AH32" s="3779">
        <f>+AD32+AF32</f>
        <v>0</v>
      </c>
      <c r="AI32" s="3779">
        <f>+AE32+AG32</f>
        <v>0</v>
      </c>
      <c r="AJ32" s="692">
        <v>0</v>
      </c>
      <c r="AK32" s="1977">
        <v>0</v>
      </c>
      <c r="AL32" s="2188">
        <f>AB32+AF32+AJ32</f>
        <v>0</v>
      </c>
      <c r="AM32" s="2188">
        <f>AC32+AG32+AK32</f>
        <v>0</v>
      </c>
      <c r="AN32" s="2562">
        <f>+AH32+AJ32</f>
        <v>0</v>
      </c>
      <c r="AO32" s="2562">
        <f>+AI32+AK32</f>
        <v>0</v>
      </c>
      <c r="AP32" s="692">
        <v>0</v>
      </c>
      <c r="AQ32" s="1977">
        <v>0</v>
      </c>
      <c r="AR32" s="2609">
        <f>+AN32+AP32</f>
        <v>0</v>
      </c>
      <c r="AS32" s="2609">
        <f>+AO32+AQ32</f>
        <v>0</v>
      </c>
      <c r="AT32" s="692">
        <v>0</v>
      </c>
      <c r="AU32" s="1977">
        <v>0</v>
      </c>
      <c r="AV32" s="3779">
        <f>+AR32+AT32</f>
        <v>0</v>
      </c>
      <c r="AW32" s="3779">
        <f>+AS32+AU32</f>
        <v>0</v>
      </c>
      <c r="AX32" s="692">
        <v>0</v>
      </c>
      <c r="AY32" s="1977">
        <v>0</v>
      </c>
      <c r="AZ32" s="2188">
        <f>AP32+AT32+AX32</f>
        <v>0</v>
      </c>
      <c r="BA32" s="2188">
        <f>AQ32+AU32+AY32</f>
        <v>0</v>
      </c>
      <c r="BB32" s="471">
        <f>+AL32+AZ32</f>
        <v>0</v>
      </c>
      <c r="BC32" s="471">
        <f>+AM32+BA32</f>
        <v>0</v>
      </c>
      <c r="BD32" s="2862">
        <f>+AV32+AX32</f>
        <v>0</v>
      </c>
      <c r="BE32" s="2862">
        <f>+AW32+AY32</f>
        <v>0</v>
      </c>
      <c r="BF32" s="1137"/>
      <c r="BG32" s="1137"/>
      <c r="BH32" s="25"/>
      <c r="BI32" s="25">
        <f t="shared" si="30"/>
        <v>0</v>
      </c>
      <c r="BJ32" s="25">
        <f t="shared" si="31"/>
        <v>0</v>
      </c>
    </row>
    <row r="33" spans="1:68" ht="18.75" x14ac:dyDescent="0.3">
      <c r="A33" s="2186"/>
      <c r="B33" s="2189" t="s">
        <v>21</v>
      </c>
      <c r="C33" s="791" t="s">
        <v>533</v>
      </c>
      <c r="D33" s="1421">
        <f>SUM(D26:D32)</f>
        <v>29.145166666666668</v>
      </c>
      <c r="E33" s="7659">
        <f t="shared" ref="E33" si="96">SUM(E26:E31)</f>
        <v>37.451999999999998</v>
      </c>
      <c r="F33" s="1421">
        <f>SUM(F26:F32)</f>
        <v>33.119999999999997</v>
      </c>
      <c r="G33" s="5633">
        <f t="shared" ref="G33" si="97">SUM(G26:G31)</f>
        <v>36.77559139784946</v>
      </c>
      <c r="H33" s="1980">
        <f t="shared" ref="H33:AA33" si="98">SUM(H26:H31)</f>
        <v>31.165163934426229</v>
      </c>
      <c r="I33" s="3149">
        <f t="shared" si="98"/>
        <v>37.108251366120214</v>
      </c>
      <c r="J33" s="1421">
        <f>SUM(J26:J32)</f>
        <v>33.119999999999997</v>
      </c>
      <c r="K33" s="5767">
        <f t="shared" ref="K33" si="99">SUM(K26:K31)</f>
        <v>36.617555555555555</v>
      </c>
      <c r="L33" s="2188">
        <f t="shared" ref="L33:M33" si="100">SUM(L26:L31)</f>
        <v>31.809615384615388</v>
      </c>
      <c r="M33" s="1982">
        <f t="shared" si="100"/>
        <v>36.946483516483511</v>
      </c>
      <c r="N33" s="1421">
        <f>SUM(N26:N32)</f>
        <v>33.119999999999997</v>
      </c>
      <c r="O33" s="5867">
        <f t="shared" ref="O33" si="101">SUM(O26:O31)</f>
        <v>36.368279569892465</v>
      </c>
      <c r="P33" s="326">
        <f t="shared" si="98"/>
        <v>32.142581967213118</v>
      </c>
      <c r="Q33" s="326">
        <f t="shared" si="98"/>
        <v>36.799562841530047</v>
      </c>
      <c r="R33" s="1421">
        <f>SUM(R26:R32)</f>
        <v>33.119999999999997</v>
      </c>
      <c r="S33" s="5967">
        <f t="shared" ref="S33" si="102">SUM(S26:S31)</f>
        <v>37.009032258064515</v>
      </c>
      <c r="T33" s="4369">
        <f t="shared" ref="T33:U33" si="103">SUM(T26:T31)</f>
        <v>32.34062091503268</v>
      </c>
      <c r="U33" s="4369">
        <f t="shared" si="103"/>
        <v>36.842004357298478</v>
      </c>
      <c r="V33" s="1421">
        <f>SUM(V26:V32)</f>
        <v>21.763333333333332</v>
      </c>
      <c r="W33" s="6061">
        <f t="shared" ref="W33" si="104">SUM(W26:W31)</f>
        <v>37.697555555555553</v>
      </c>
      <c r="X33" s="2188">
        <f>SUM(X26:X31)</f>
        <v>29.416739130434784</v>
      </c>
      <c r="Y33" s="1982">
        <f>SUM(Y26:Y31)</f>
        <v>37.017644927536224</v>
      </c>
      <c r="Z33" s="2201">
        <f t="shared" si="98"/>
        <v>30.606639344262295</v>
      </c>
      <c r="AA33" s="2201">
        <f t="shared" si="98"/>
        <v>36.982258652094714</v>
      </c>
      <c r="AB33" s="1421">
        <f>SUM(AB26:AB32)</f>
        <v>33.120000000000005</v>
      </c>
      <c r="AC33" s="6183">
        <f t="shared" ref="AC33" si="105">SUM(AC26:AC31)</f>
        <v>36.550645161290319</v>
      </c>
      <c r="AD33" s="2463">
        <f t="shared" ref="AD33:AE33" si="106">SUM(AD26:AD31)</f>
        <v>30.970724299065424</v>
      </c>
      <c r="AE33" s="2463">
        <f t="shared" si="106"/>
        <v>36.919735202492213</v>
      </c>
      <c r="AF33" s="1421">
        <f>SUM(AF26:AF32)</f>
        <v>33.119999999999997</v>
      </c>
      <c r="AG33" s="6356">
        <f t="shared" ref="AG33" si="107">SUM(AG26:AG31)</f>
        <v>37.242333333333335</v>
      </c>
      <c r="AH33" s="4655">
        <f t="shared" ref="AH33:AI33" si="108">SUM(AH26:AH31)</f>
        <v>31.234979508196723</v>
      </c>
      <c r="AI33" s="4655">
        <f t="shared" si="108"/>
        <v>36.959398907103825</v>
      </c>
      <c r="AJ33" s="1421">
        <f>SUM(AJ26:AJ32)</f>
        <v>33.119999999999997</v>
      </c>
      <c r="AK33" s="6629">
        <f t="shared" ref="AK33" si="109">SUM(AK26:AK31)</f>
        <v>37.446344086021504</v>
      </c>
      <c r="AL33" s="2188">
        <f>SUM(AL26:AL31)</f>
        <v>33.120000000000005</v>
      </c>
      <c r="AM33" s="1982">
        <f>SUM(AM26:AM31)</f>
        <v>37.078007246376814</v>
      </c>
      <c r="AN33" s="2567">
        <f t="shared" ref="AN33:AO33" si="110">SUM(AN26:AN31)</f>
        <v>31.447472727272725</v>
      </c>
      <c r="AO33" s="2567">
        <f t="shared" si="110"/>
        <v>37.014290909090903</v>
      </c>
      <c r="AP33" s="1421">
        <f>SUM(AP26:AP32)</f>
        <v>33.120000000000005</v>
      </c>
      <c r="AQ33" s="6718">
        <f t="shared" ref="AQ33" si="111">SUM(AQ26:AQ31)</f>
        <v>36.548172043010752</v>
      </c>
      <c r="AR33" s="2612">
        <f t="shared" ref="AR33:AS33" si="112">SUM(AR26:AR31)</f>
        <v>31.616911764705879</v>
      </c>
      <c r="AS33" s="2612">
        <f t="shared" si="112"/>
        <v>36.967069716775597</v>
      </c>
      <c r="AT33" s="1421">
        <f>SUM(AT26:AT32)</f>
        <v>33.120000000000005</v>
      </c>
      <c r="AU33" s="6919">
        <f t="shared" ref="AU33" si="113">SUM(AU26:AU31)</f>
        <v>37.637023809523811</v>
      </c>
      <c r="AV33" s="5079">
        <f t="shared" ref="AV33:AY33" si="114">SUM(AV26:AV31)</f>
        <v>31.742919161676646</v>
      </c>
      <c r="AW33" s="5079">
        <f t="shared" si="114"/>
        <v>37.023233532934128</v>
      </c>
      <c r="AX33" s="1421">
        <f>SUM(AX26:AX32)</f>
        <v>33.120000000000005</v>
      </c>
      <c r="AY33" s="5128">
        <f t="shared" si="114"/>
        <v>37.515483870967742</v>
      </c>
      <c r="AZ33" s="2188">
        <f>SUM(AZ26:AZ31)</f>
        <v>33.120000000000005</v>
      </c>
      <c r="BA33" s="1982">
        <f>SUM(BA26:BA31)</f>
        <v>37.220111111111109</v>
      </c>
      <c r="BB33" s="2201">
        <f t="shared" ref="BB33:BC33" si="115">SUM(BB26:BB31)</f>
        <v>33.120000000000005</v>
      </c>
      <c r="BC33" s="2201">
        <f t="shared" si="115"/>
        <v>37.148278388278385</v>
      </c>
      <c r="BD33" s="2869">
        <f t="shared" ref="BD33:BE33" si="116">SUM(BD26:BD31)</f>
        <v>31.859876712328774</v>
      </c>
      <c r="BE33" s="2869">
        <f t="shared" si="116"/>
        <v>37.065041095890408</v>
      </c>
      <c r="BF33" s="1137"/>
      <c r="BG33" s="1137"/>
      <c r="BH33" s="25"/>
      <c r="BI33" s="25">
        <f t="shared" si="30"/>
        <v>350.24862328767125</v>
      </c>
      <c r="BJ33" s="25">
        <f t="shared" si="31"/>
        <v>407.79497554517457</v>
      </c>
      <c r="BP33" s="4487"/>
    </row>
    <row r="34" spans="1:68" ht="18.75" x14ac:dyDescent="0.3">
      <c r="A34" s="2186"/>
      <c r="B34" s="1379" t="s">
        <v>103</v>
      </c>
      <c r="C34" s="1262"/>
      <c r="D34" s="2191"/>
      <c r="E34" s="2192"/>
      <c r="F34" s="2191"/>
      <c r="G34" s="2192"/>
      <c r="H34" s="3456"/>
      <c r="I34" s="3457"/>
      <c r="J34" s="2191"/>
      <c r="K34" s="2192"/>
      <c r="L34" s="2193"/>
      <c r="M34" s="2192"/>
      <c r="N34" s="2191"/>
      <c r="O34" s="2192"/>
      <c r="P34" s="2194"/>
      <c r="Q34" s="2194"/>
      <c r="R34" s="2191"/>
      <c r="S34" s="2192"/>
      <c r="T34" s="2194"/>
      <c r="U34" s="2194"/>
      <c r="V34" s="2191"/>
      <c r="W34" s="2192"/>
      <c r="X34" s="2193"/>
      <c r="Y34" s="2192"/>
      <c r="Z34" s="2194"/>
      <c r="AA34" s="2194"/>
      <c r="AB34" s="2191"/>
      <c r="AC34" s="2192"/>
      <c r="AD34" s="2194"/>
      <c r="AE34" s="2194"/>
      <c r="AF34" s="2191"/>
      <c r="AG34" s="2192"/>
      <c r="AH34" s="2194"/>
      <c r="AI34" s="2194"/>
      <c r="AJ34" s="2191"/>
      <c r="AK34" s="2192"/>
      <c r="AL34" s="2193"/>
      <c r="AM34" s="2192"/>
      <c r="AN34" s="2194"/>
      <c r="AO34" s="2194"/>
      <c r="AP34" s="2191"/>
      <c r="AQ34" s="2192"/>
      <c r="AR34" s="2194"/>
      <c r="AS34" s="2194"/>
      <c r="AT34" s="2191"/>
      <c r="AU34" s="2192"/>
      <c r="AV34" s="2194"/>
      <c r="AW34" s="2194"/>
      <c r="AX34" s="2191"/>
      <c r="AY34" s="2192"/>
      <c r="AZ34" s="2193"/>
      <c r="BA34" s="2192"/>
      <c r="BB34" s="2194"/>
      <c r="BC34" s="2194"/>
      <c r="BD34" s="2194"/>
      <c r="BE34" s="2194"/>
      <c r="BF34" s="1137"/>
      <c r="BG34" s="1137"/>
      <c r="BH34" s="25"/>
      <c r="BI34" s="25">
        <f t="shared" si="30"/>
        <v>0</v>
      </c>
      <c r="BJ34" s="25">
        <f t="shared" si="31"/>
        <v>0</v>
      </c>
    </row>
    <row r="35" spans="1:68" ht="18.75" x14ac:dyDescent="0.3">
      <c r="A35" s="2175"/>
      <c r="B35" s="2187" t="s">
        <v>57</v>
      </c>
      <c r="C35" s="48" t="s">
        <v>533</v>
      </c>
      <c r="D35" s="1421">
        <v>0.7</v>
      </c>
      <c r="E35" s="7659">
        <f>497.112/(24*E$2)</f>
        <v>0.69043333333333334</v>
      </c>
      <c r="F35" s="1421">
        <v>0.6</v>
      </c>
      <c r="G35" s="5633">
        <f>418.04/(24*G$2)</f>
        <v>0.56188172043010753</v>
      </c>
      <c r="H35" s="1980">
        <f t="shared" ref="H35:I37" si="117">+((D35*D$2)+(F35*F$2))/H$2</f>
        <v>0.64918032786885238</v>
      </c>
      <c r="I35" s="3149">
        <f t="shared" si="117"/>
        <v>0.625103825136612</v>
      </c>
      <c r="J35" s="1421">
        <v>0.6</v>
      </c>
      <c r="K35" s="5767">
        <f>278.684/(24*K$2)</f>
        <v>0.38706111111111113</v>
      </c>
      <c r="L35" s="2188">
        <f t="shared" ref="L35:M37" si="118">+((D35*D$2)+(F35*F$2)+(J35*J$2))/L$2</f>
        <v>0.63296703296703294</v>
      </c>
      <c r="M35" s="2188">
        <f t="shared" si="118"/>
        <v>0.54662820512820509</v>
      </c>
      <c r="N35" s="1421">
        <v>0.6</v>
      </c>
      <c r="O35" s="5867">
        <f>546.224/(24*O$2)</f>
        <v>0.73417204301075278</v>
      </c>
      <c r="P35" s="326">
        <f t="shared" ref="P35:Q37" si="119">+((L35*L$2)+(N35*N$2))/P$2</f>
        <v>0.62459016393442612</v>
      </c>
      <c r="Q35" s="326">
        <f t="shared" si="119"/>
        <v>0.59428278688524583</v>
      </c>
      <c r="R35" s="1421">
        <v>0.6</v>
      </c>
      <c r="S35" s="5967">
        <f>530.432/(24*S$2)</f>
        <v>0.7129462365591398</v>
      </c>
      <c r="T35" s="4369">
        <f t="shared" ref="T35:T37" si="120">+((P35*P$2)+(R35*R$2))/T$2</f>
        <v>0.61960784313725481</v>
      </c>
      <c r="U35" s="4369">
        <f t="shared" ref="U35:U37" si="121">+((Q35*Q$2)+(S35*S$2))/U$2</f>
        <v>0.61832570806100218</v>
      </c>
      <c r="V35" s="1421">
        <v>0.3</v>
      </c>
      <c r="W35" s="6061">
        <f>492.8392/(24*W$2)</f>
        <v>0.68449888888888888</v>
      </c>
      <c r="X35" s="2188">
        <f t="shared" ref="X35:Y37" si="122">(N35*N$2+R35*R$2+V35*V$2)/X$2</f>
        <v>0.50217391304347825</v>
      </c>
      <c r="Y35" s="2188">
        <f t="shared" si="122"/>
        <v>0.71082210144927538</v>
      </c>
      <c r="Z35" s="472">
        <f t="shared" ref="Z35:Z37" si="123">(L35*L$2+X35*X$2)/Z$2</f>
        <v>0.5672131147540983</v>
      </c>
      <c r="AA35" s="472">
        <f t="shared" ref="AA35:AA37" si="124">(M35*M$2+Y35*Y$2)/AA$2</f>
        <v>0.62917377049180334</v>
      </c>
      <c r="AB35" s="1421">
        <v>0.6</v>
      </c>
      <c r="AC35" s="6183">
        <f>441.616/(24*AC$2)</f>
        <v>0.59356989247311831</v>
      </c>
      <c r="AD35" s="2463">
        <f t="shared" ref="AD35:AD37" si="125">+((Z35*Z$2)+(AB35*AB$2))/AD$2</f>
        <v>0.57196261682242977</v>
      </c>
      <c r="AE35" s="2463">
        <f t="shared" ref="AE35:AE37" si="126">+((AA35*AA$2)+(AC35*AC$2))/AE$2</f>
        <v>0.62401619937694708</v>
      </c>
      <c r="AF35" s="1421">
        <v>0.6</v>
      </c>
      <c r="AG35" s="6356">
        <f>464.688/(24*AG$2)</f>
        <v>0.64539999999999997</v>
      </c>
      <c r="AH35" s="4655">
        <f t="shared" ref="AH35:AH37" si="127">+((AD35*AD$2)+(AF35*AF$2))/AH$2</f>
        <v>0.57540983606557372</v>
      </c>
      <c r="AI35" s="4655">
        <f t="shared" ref="AI35:AI37" si="128">+((AE35*AE$2)+(AG35*AG$2))/AI$2</f>
        <v>0.62664535519125686</v>
      </c>
      <c r="AJ35" s="1421">
        <v>0.6</v>
      </c>
      <c r="AK35" s="6629">
        <f>478.296/(24*AK$2)</f>
        <v>0.64287096774193553</v>
      </c>
      <c r="AL35" s="2188">
        <f t="shared" ref="AL35:AL37" si="129">(AB35*AB$2+AF35*AF$2+AJ35*AJ$2)/AL$2</f>
        <v>0.59999999999999987</v>
      </c>
      <c r="AM35" s="2188">
        <f t="shared" ref="AM35:AM37" si="130">(AC35*AC$2+AG35*AG$2+AK35*AK$2)/AM$2</f>
        <v>0.62708333333333333</v>
      </c>
      <c r="AN35" s="2567">
        <f t="shared" ref="AN35:AN37" si="131">+((AH35*AH$2)+(AJ35*AJ$2))/AN$2</f>
        <v>0.57818181818181813</v>
      </c>
      <c r="AO35" s="2567">
        <f t="shared" ref="AO35:AO37" si="132">+((AI35*AI$2)+(AK35*AK$2))/AO$2</f>
        <v>0.62847442424242428</v>
      </c>
      <c r="AP35" s="1421">
        <v>0.6</v>
      </c>
      <c r="AQ35" s="6745">
        <f>470.68/(24*AQ$2)</f>
        <v>0.63263440860215059</v>
      </c>
      <c r="AR35" s="2612">
        <f t="shared" ref="AR35:AR37" si="133">+((AN35*AN$2)+(AP35*AP$2))/AR$2</f>
        <v>0.58039215686274503</v>
      </c>
      <c r="AS35" s="2612">
        <f t="shared" ref="AS35:AS37" si="134">+((AO35*AO$2)+(AQ35*AQ$2))/AS$2</f>
        <v>0.62889586056644886</v>
      </c>
      <c r="AT35" s="1421">
        <v>0.6</v>
      </c>
      <c r="AU35" s="6922">
        <f>416.53/(24*AU$2)</f>
        <v>0.61983630952380953</v>
      </c>
      <c r="AV35" s="5079">
        <f t="shared" ref="AV35:AV37" si="135">+((AR35*AR$2)+(AT35*AT$2))/AV$2</f>
        <v>0.58203592814371263</v>
      </c>
      <c r="AW35" s="5079">
        <f t="shared" ref="AW35:AW37" si="136">+((AS35*AS$2)+(AU35*AU$2))/AW$2</f>
        <v>0.62813637724550897</v>
      </c>
      <c r="AX35" s="1421">
        <v>0.6</v>
      </c>
      <c r="AY35" s="5128">
        <f>507.98/(24*AY$2)</f>
        <v>0.68276881720430105</v>
      </c>
      <c r="AZ35" s="2188">
        <f t="shared" ref="AZ35:AZ37" si="137">(AP35*AP$2+AT35*AT$2+AX35*AX$2)/AZ$2</f>
        <v>0.6</v>
      </c>
      <c r="BA35" s="2188">
        <f t="shared" ref="BA35:BA37" si="138">(AQ35*AQ$2+AU35*AU$2+AY35*AY$2)/BA$2</f>
        <v>0.64592129629629624</v>
      </c>
      <c r="BB35" s="2870">
        <f t="shared" ref="BB35:BC37" si="139">(AL35*AL$2+AZ35*AZ$2)/BB$2</f>
        <v>0.6</v>
      </c>
      <c r="BC35" s="2870">
        <f t="shared" si="139"/>
        <v>0.63639880952380945</v>
      </c>
      <c r="BD35" s="2869">
        <f t="shared" ref="BD35:BD37" si="140">+((AV35*AV$2)+(AX35*AX$2))/BD$2</f>
        <v>0.58356164383561648</v>
      </c>
      <c r="BE35" s="2869">
        <f t="shared" ref="BE35:BE37" si="141">+((AW35*AW$2)+(AY35*AY$2))/BE$2</f>
        <v>0.63277639269406394</v>
      </c>
      <c r="BF35" s="1137"/>
      <c r="BG35" s="1137"/>
      <c r="BH35" s="25"/>
      <c r="BI35" s="25">
        <f t="shared" si="30"/>
        <v>6.4164383561643827</v>
      </c>
      <c r="BJ35" s="25">
        <f t="shared" si="31"/>
        <v>6.9552973361845858</v>
      </c>
    </row>
    <row r="36" spans="1:68" ht="18.75" x14ac:dyDescent="0.3">
      <c r="A36" s="2175"/>
      <c r="B36" s="2187" t="s">
        <v>534</v>
      </c>
      <c r="C36" s="48" t="s">
        <v>533</v>
      </c>
      <c r="D36" s="1421">
        <v>0.18298333333333369</v>
      </c>
      <c r="E36" s="7659">
        <f>0/(24*E$2)</f>
        <v>0</v>
      </c>
      <c r="F36" s="1421">
        <v>0.238666666666668</v>
      </c>
      <c r="G36" s="5633">
        <f>0/(24*G$2)</f>
        <v>0</v>
      </c>
      <c r="H36" s="1980">
        <f t="shared" si="117"/>
        <v>0.21128142076502821</v>
      </c>
      <c r="I36" s="3149">
        <f t="shared" si="117"/>
        <v>0</v>
      </c>
      <c r="J36" s="1421">
        <v>0.238666666666668</v>
      </c>
      <c r="K36" s="5767">
        <f>0/(24*K$2)</f>
        <v>0</v>
      </c>
      <c r="L36" s="2188">
        <f t="shared" si="118"/>
        <v>0.22030952380952482</v>
      </c>
      <c r="M36" s="2188">
        <f t="shared" si="118"/>
        <v>0</v>
      </c>
      <c r="N36" s="1421">
        <f>238.666666666668/1000</f>
        <v>0.238666666666668</v>
      </c>
      <c r="O36" s="5867">
        <f>0/(24*O$2)</f>
        <v>0</v>
      </c>
      <c r="P36" s="326">
        <f t="shared" si="119"/>
        <v>0.22497404371584809</v>
      </c>
      <c r="Q36" s="326">
        <f t="shared" si="119"/>
        <v>0</v>
      </c>
      <c r="R36" s="1421">
        <f>238.666666666668/1000</f>
        <v>0.238666666666668</v>
      </c>
      <c r="S36" s="5967">
        <f>0/(24*S$2)</f>
        <v>0</v>
      </c>
      <c r="T36" s="4369">
        <f t="shared" si="120"/>
        <v>0.22774836601307302</v>
      </c>
      <c r="U36" s="4369">
        <f t="shared" si="121"/>
        <v>0</v>
      </c>
      <c r="V36" s="1421">
        <v>0.34466666666666701</v>
      </c>
      <c r="W36" s="6061">
        <f>0/(24*W$2)</f>
        <v>0</v>
      </c>
      <c r="X36" s="2188">
        <f t="shared" si="122"/>
        <v>0.27323188405797205</v>
      </c>
      <c r="Y36" s="2188">
        <f t="shared" si="122"/>
        <v>0</v>
      </c>
      <c r="Z36" s="472">
        <f t="shared" si="123"/>
        <v>0.24691530054644911</v>
      </c>
      <c r="AA36" s="472">
        <f t="shared" si="124"/>
        <v>0</v>
      </c>
      <c r="AB36" s="1421">
        <v>0.238666666666668</v>
      </c>
      <c r="AC36" s="6183">
        <f>0/(24*AC$2)</f>
        <v>0</v>
      </c>
      <c r="AD36" s="2463">
        <f t="shared" si="125"/>
        <v>0.24572040498442474</v>
      </c>
      <c r="AE36" s="2463">
        <f t="shared" si="126"/>
        <v>0</v>
      </c>
      <c r="AF36" s="1421">
        <v>0.238666666666668</v>
      </c>
      <c r="AG36" s="6356">
        <f>0/(24*AG$2)</f>
        <v>0</v>
      </c>
      <c r="AH36" s="4655">
        <f t="shared" si="127"/>
        <v>0.24485314207650383</v>
      </c>
      <c r="AI36" s="4655">
        <f t="shared" si="128"/>
        <v>0</v>
      </c>
      <c r="AJ36" s="1421">
        <v>0.238666666666668</v>
      </c>
      <c r="AK36" s="6629">
        <f>0/(24*AK$2)</f>
        <v>0</v>
      </c>
      <c r="AL36" s="2188">
        <f t="shared" si="129"/>
        <v>0.23866666666666803</v>
      </c>
      <c r="AM36" s="2188">
        <f t="shared" si="130"/>
        <v>0</v>
      </c>
      <c r="AN36" s="2567">
        <f t="shared" si="131"/>
        <v>0.24415575757575869</v>
      </c>
      <c r="AO36" s="2567">
        <f t="shared" si="132"/>
        <v>0</v>
      </c>
      <c r="AP36" s="1421">
        <v>0.23866666666666753</v>
      </c>
      <c r="AQ36" s="6745">
        <f>0/(24*AQ$2)</f>
        <v>0</v>
      </c>
      <c r="AR36" s="2612">
        <f t="shared" si="133"/>
        <v>0.2435996732026155</v>
      </c>
      <c r="AS36" s="2612">
        <f t="shared" si="134"/>
        <v>0</v>
      </c>
      <c r="AT36" s="1421">
        <v>0.23866666666666753</v>
      </c>
      <c r="AU36" s="6922">
        <f>0/(24*AU$2)</f>
        <v>0</v>
      </c>
      <c r="AV36" s="5079">
        <f t="shared" si="135"/>
        <v>0.24318612774451207</v>
      </c>
      <c r="AW36" s="5079">
        <f t="shared" si="136"/>
        <v>0</v>
      </c>
      <c r="AX36" s="1421">
        <v>0.23866666666666753</v>
      </c>
      <c r="AY36" s="5128">
        <f>0/(24*AY$2)</f>
        <v>0</v>
      </c>
      <c r="AZ36" s="2188">
        <f t="shared" si="137"/>
        <v>0.2386666666666675</v>
      </c>
      <c r="BA36" s="2188">
        <f t="shared" si="138"/>
        <v>0</v>
      </c>
      <c r="BB36" s="2870">
        <f t="shared" si="139"/>
        <v>0.23866666666666778</v>
      </c>
      <c r="BC36" s="2870">
        <f t="shared" si="139"/>
        <v>0</v>
      </c>
      <c r="BD36" s="2869">
        <f t="shared" si="140"/>
        <v>0.24280228310502391</v>
      </c>
      <c r="BE36" s="2869">
        <f t="shared" si="141"/>
        <v>0</v>
      </c>
      <c r="BF36" s="1137"/>
      <c r="BG36" s="1137"/>
      <c r="BH36" s="25"/>
      <c r="BI36" s="25">
        <f t="shared" si="30"/>
        <v>2.6715143835616546</v>
      </c>
      <c r="BJ36" s="25">
        <f t="shared" si="31"/>
        <v>0</v>
      </c>
    </row>
    <row r="37" spans="1:68" ht="18.75" x14ac:dyDescent="0.3">
      <c r="A37" s="2175"/>
      <c r="B37" s="8287" t="s">
        <v>101</v>
      </c>
      <c r="C37" s="48" t="s">
        <v>533</v>
      </c>
      <c r="D37" s="1421">
        <v>0.3033333333333329</v>
      </c>
      <c r="E37" s="7659">
        <f>330.876/(24*E$2)</f>
        <v>0.45954999999999996</v>
      </c>
      <c r="F37" s="1421">
        <v>0.58333333333333204</v>
      </c>
      <c r="G37" s="5633">
        <f>392.7952/(24*G$2)</f>
        <v>0.52795053763440858</v>
      </c>
      <c r="H37" s="1980">
        <f t="shared" si="117"/>
        <v>0.44562841530054559</v>
      </c>
      <c r="I37" s="3149">
        <f t="shared" si="117"/>
        <v>0.49431092896174861</v>
      </c>
      <c r="J37" s="1421">
        <v>0.58333333333333204</v>
      </c>
      <c r="K37" s="5767">
        <f>518/(24*K$2)</f>
        <v>0.71944444444444444</v>
      </c>
      <c r="L37" s="2188">
        <f t="shared" si="118"/>
        <v>0.49102564102563995</v>
      </c>
      <c r="M37" s="2188">
        <f t="shared" si="118"/>
        <v>0.56853076923076928</v>
      </c>
      <c r="N37" s="1421">
        <v>0.58333333333333204</v>
      </c>
      <c r="O37" s="5867">
        <f>221.7376/(24*O$2)</f>
        <v>0.29803440860215052</v>
      </c>
      <c r="P37" s="326">
        <f t="shared" si="119"/>
        <v>0.51448087431693879</v>
      </c>
      <c r="Q37" s="326">
        <f t="shared" si="119"/>
        <v>0.49979808743169402</v>
      </c>
      <c r="R37" s="1421">
        <v>0.58333333333333204</v>
      </c>
      <c r="S37" s="5967">
        <f>228.0208/(24*S$2)</f>
        <v>0.3064795698924731</v>
      </c>
      <c r="T37" s="4369">
        <f t="shared" si="120"/>
        <v>0.52843137254901851</v>
      </c>
      <c r="U37" s="4369">
        <f t="shared" si="121"/>
        <v>0.46062897603485842</v>
      </c>
      <c r="V37" s="1421">
        <v>0.30333333333333301</v>
      </c>
      <c r="W37" s="6061">
        <f>228.7488/(24*W$2)</f>
        <v>0.31770666666666664</v>
      </c>
      <c r="X37" s="2188">
        <f t="shared" si="122"/>
        <v>0.49202898550724544</v>
      </c>
      <c r="Y37" s="2188">
        <f t="shared" si="122"/>
        <v>0.30729492753623189</v>
      </c>
      <c r="Z37" s="472">
        <f t="shared" si="123"/>
        <v>0.49153005464480776</v>
      </c>
      <c r="AA37" s="472">
        <f t="shared" si="124"/>
        <v>0.43719908925318762</v>
      </c>
      <c r="AB37" s="1421">
        <f>583.333333333332/1000</f>
        <v>0.58333333333333204</v>
      </c>
      <c r="AC37" s="6183">
        <f>286.6472/(24*AC$2)</f>
        <v>0.38527849462365593</v>
      </c>
      <c r="AD37" s="2463">
        <f t="shared" si="125"/>
        <v>0.50482866043613595</v>
      </c>
      <c r="AE37" s="2463">
        <f t="shared" si="126"/>
        <v>0.42967788161993775</v>
      </c>
      <c r="AF37" s="1421">
        <v>0.58333333333333204</v>
      </c>
      <c r="AG37" s="6356">
        <f>331.5928/(24*AG$2)</f>
        <v>0.4605455555555556</v>
      </c>
      <c r="AH37" s="4655">
        <f t="shared" si="127"/>
        <v>0.51448087431693867</v>
      </c>
      <c r="AI37" s="4655">
        <f t="shared" si="128"/>
        <v>0.43347308743169405</v>
      </c>
      <c r="AJ37" s="1421">
        <f>583.333333333332/1000</f>
        <v>0.58333333333333204</v>
      </c>
      <c r="AK37" s="6629">
        <f>411.1016/(24*AK$2)</f>
        <v>0.55255591397849468</v>
      </c>
      <c r="AL37" s="2188">
        <f t="shared" si="129"/>
        <v>0.58333333333333204</v>
      </c>
      <c r="AM37" s="2188">
        <f t="shared" si="130"/>
        <v>0.46618731884057973</v>
      </c>
      <c r="AN37" s="2567">
        <f t="shared" si="131"/>
        <v>0.52224242424242306</v>
      </c>
      <c r="AO37" s="2567">
        <f t="shared" si="132"/>
        <v>0.44689696969696974</v>
      </c>
      <c r="AP37" s="1421">
        <v>0.58333333333333248</v>
      </c>
      <c r="AQ37" s="6745">
        <f>307.05/(24*AQ$2)</f>
        <v>0.41270161290322582</v>
      </c>
      <c r="AR37" s="2612">
        <f t="shared" si="133"/>
        <v>0.52843137254901851</v>
      </c>
      <c r="AS37" s="2612">
        <f t="shared" si="134"/>
        <v>0.44343273420479301</v>
      </c>
      <c r="AT37" s="1421">
        <v>0.58333333333333248</v>
      </c>
      <c r="AU37" s="6922">
        <f>379.05/(24*AU$2)</f>
        <v>0.56406250000000002</v>
      </c>
      <c r="AV37" s="5079">
        <f t="shared" si="135"/>
        <v>0.53303393213572747</v>
      </c>
      <c r="AW37" s="5079">
        <f t="shared" si="136"/>
        <v>0.45354540918163666</v>
      </c>
      <c r="AX37" s="1421">
        <v>0.58333333333333248</v>
      </c>
      <c r="AY37" s="5128">
        <f>287.96/(24*AY$2)</f>
        <v>0.38704301075268815</v>
      </c>
      <c r="AZ37" s="2188">
        <f t="shared" si="137"/>
        <v>0.58333333333333248</v>
      </c>
      <c r="BA37" s="2188">
        <f t="shared" si="138"/>
        <v>0.45095370370370369</v>
      </c>
      <c r="BB37" s="2870">
        <f t="shared" si="139"/>
        <v>0.58333333333333226</v>
      </c>
      <c r="BC37" s="2870">
        <f t="shared" si="139"/>
        <v>0.45865421245421245</v>
      </c>
      <c r="BD37" s="2869">
        <f t="shared" si="140"/>
        <v>0.53730593607305832</v>
      </c>
      <c r="BE37" s="2869">
        <f t="shared" si="141"/>
        <v>0.44789726027397259</v>
      </c>
      <c r="BF37" s="1137"/>
      <c r="BG37" s="1137"/>
      <c r="BH37" s="25"/>
      <c r="BI37" s="25">
        <f t="shared" si="30"/>
        <v>5.9026940639269299</v>
      </c>
      <c r="BJ37" s="25">
        <f t="shared" si="31"/>
        <v>4.9434554547797909</v>
      </c>
    </row>
    <row r="38" spans="1:68" ht="18.75" x14ac:dyDescent="0.3">
      <c r="A38" s="2175"/>
      <c r="B38" s="8287"/>
      <c r="C38" s="48" t="s">
        <v>50</v>
      </c>
      <c r="D38" s="692"/>
      <c r="E38" s="1977"/>
      <c r="F38" s="692">
        <v>775</v>
      </c>
      <c r="G38" s="1977">
        <v>701.42</v>
      </c>
      <c r="H38" s="327">
        <f>+D38+F38</f>
        <v>775</v>
      </c>
      <c r="I38" s="198">
        <f>+E38+G38</f>
        <v>701.42</v>
      </c>
      <c r="J38" s="692">
        <v>750</v>
      </c>
      <c r="K38" s="1977">
        <v>925</v>
      </c>
      <c r="L38" s="381">
        <f>+D38+F38+J38</f>
        <v>1525</v>
      </c>
      <c r="M38" s="381">
        <f>+E38+G38+K38</f>
        <v>1626.42</v>
      </c>
      <c r="N38" s="692">
        <v>775</v>
      </c>
      <c r="O38" s="1977">
        <v>395.96</v>
      </c>
      <c r="P38" s="2111">
        <f>+L38+N38</f>
        <v>2300</v>
      </c>
      <c r="Q38" s="2111">
        <f>+M38+O38</f>
        <v>2022.38</v>
      </c>
      <c r="R38" s="692">
        <v>775</v>
      </c>
      <c r="S38" s="1977">
        <v>407.18</v>
      </c>
      <c r="T38" s="3779">
        <f>+P38+R38</f>
        <v>3075</v>
      </c>
      <c r="U38" s="3779">
        <f>+Q38+S38</f>
        <v>2429.56</v>
      </c>
      <c r="V38" s="692">
        <v>390</v>
      </c>
      <c r="W38" s="1977">
        <v>408.48000000000008</v>
      </c>
      <c r="X38" s="381">
        <f>N38+R38+V38</f>
        <v>1940</v>
      </c>
      <c r="Y38" s="381">
        <f>O38+S38+W38</f>
        <v>1211.6200000000001</v>
      </c>
      <c r="Z38" s="471">
        <f>L38+X38</f>
        <v>3465</v>
      </c>
      <c r="AA38" s="471">
        <f>M38+Y38</f>
        <v>2838.04</v>
      </c>
      <c r="AB38" s="692">
        <v>775</v>
      </c>
      <c r="AC38" s="1977">
        <v>511.87</v>
      </c>
      <c r="AD38" s="2459">
        <f>+Z38+AB38</f>
        <v>4240</v>
      </c>
      <c r="AE38" s="2459">
        <f>+AA38+AC38</f>
        <v>3349.91</v>
      </c>
      <c r="AF38" s="692">
        <v>750</v>
      </c>
      <c r="AG38" s="1977">
        <v>592.13</v>
      </c>
      <c r="AH38" s="3779">
        <f>+AD38+AF38</f>
        <v>4990</v>
      </c>
      <c r="AI38" s="3779">
        <f>+AE38+AG38</f>
        <v>3942.04</v>
      </c>
      <c r="AJ38" s="692">
        <v>775</v>
      </c>
      <c r="AK38" s="1977">
        <v>734.11</v>
      </c>
      <c r="AL38" s="381">
        <f>AB38+AF38+AJ38</f>
        <v>2300</v>
      </c>
      <c r="AM38" s="381">
        <f>AC38+AG38+AK38</f>
        <v>1838.1100000000001</v>
      </c>
      <c r="AN38" s="2562">
        <f>+AH38+AJ38</f>
        <v>5765</v>
      </c>
      <c r="AO38" s="2562">
        <f>+AI38+AK38</f>
        <v>4676.1499999999996</v>
      </c>
      <c r="AP38" s="692">
        <v>775</v>
      </c>
      <c r="AQ38" s="1977">
        <v>548.29999999999995</v>
      </c>
      <c r="AR38" s="2609">
        <f>+AN38+AP38</f>
        <v>6540</v>
      </c>
      <c r="AS38" s="2609">
        <f>+AO38+AQ38</f>
        <v>5224.45</v>
      </c>
      <c r="AT38" s="692">
        <v>775</v>
      </c>
      <c r="AU38" s="1977">
        <v>676.88</v>
      </c>
      <c r="AV38" s="3779">
        <f>+AR38+AT38</f>
        <v>7315</v>
      </c>
      <c r="AW38" s="3779">
        <f>+AS38+AU38</f>
        <v>5901.33</v>
      </c>
      <c r="AX38" s="692">
        <v>775</v>
      </c>
      <c r="AY38" s="1977"/>
      <c r="AZ38" s="381">
        <f>AP38+AT38+AX38</f>
        <v>2325</v>
      </c>
      <c r="BA38" s="381">
        <f>AQ38+AU38+AY38</f>
        <v>1225.1799999999998</v>
      </c>
      <c r="BB38" s="471">
        <f>AL38+AZ38</f>
        <v>4625</v>
      </c>
      <c r="BC38" s="471">
        <f>AM38+BA38</f>
        <v>3063.29</v>
      </c>
      <c r="BD38" s="2862">
        <f>+AV38+AX38</f>
        <v>8090</v>
      </c>
      <c r="BE38" s="2862">
        <f>+AW38+AY38</f>
        <v>5901.33</v>
      </c>
      <c r="BF38" s="1137"/>
      <c r="BG38" s="1137"/>
      <c r="BH38" s="25"/>
      <c r="BI38" s="25">
        <f t="shared" si="30"/>
        <v>0</v>
      </c>
      <c r="BJ38" s="25">
        <f t="shared" si="31"/>
        <v>0</v>
      </c>
    </row>
    <row r="39" spans="1:68" ht="19.5" thickBot="1" x14ac:dyDescent="0.35">
      <c r="A39" s="2186"/>
      <c r="B39" s="2195" t="s">
        <v>21</v>
      </c>
      <c r="C39" s="2196" t="s">
        <v>533</v>
      </c>
      <c r="D39" s="3455">
        <f>SUM(D35:D37)</f>
        <v>1.1863166666666665</v>
      </c>
      <c r="E39" s="3454">
        <f t="shared" ref="E39" si="142">SUM(E35:E37)</f>
        <v>1.1499833333333334</v>
      </c>
      <c r="F39" s="3455">
        <f>SUM(F35:F37)</f>
        <v>1.4220000000000002</v>
      </c>
      <c r="G39" s="3454">
        <f t="shared" ref="G39" si="143">SUM(G35:G37)</f>
        <v>1.0898322580645161</v>
      </c>
      <c r="H39" s="3458">
        <f t="shared" ref="H39:AE39" si="144">SUM(H35:H37)</f>
        <v>1.3060901639344262</v>
      </c>
      <c r="I39" s="3459">
        <f t="shared" si="144"/>
        <v>1.1194147540983606</v>
      </c>
      <c r="J39" s="3455">
        <f>SUM(J35:J37)</f>
        <v>1.4220000000000002</v>
      </c>
      <c r="K39" s="3454">
        <f t="shared" ref="K39" si="145">SUM(K35:K37)</f>
        <v>1.1065055555555556</v>
      </c>
      <c r="L39" s="2198">
        <f>SUM(L35:L37)</f>
        <v>1.3443021978021976</v>
      </c>
      <c r="M39" s="2199">
        <f>SUM(M35:M37)</f>
        <v>1.1151589743589745</v>
      </c>
      <c r="N39" s="3455">
        <f>SUM(N35:N37)</f>
        <v>1.4220000000000002</v>
      </c>
      <c r="O39" s="3454">
        <f t="shared" ref="O39" si="146">SUM(O35:O37)</f>
        <v>1.0322064516129033</v>
      </c>
      <c r="P39" s="326">
        <f t="shared" si="144"/>
        <v>1.364045081967213</v>
      </c>
      <c r="Q39" s="326">
        <f t="shared" si="144"/>
        <v>1.0940808743169399</v>
      </c>
      <c r="R39" s="3455">
        <f>SUM(R35:R37)</f>
        <v>1.4220000000000002</v>
      </c>
      <c r="S39" s="3454">
        <f t="shared" ref="S39" si="147">SUM(S35:S37)</f>
        <v>1.0194258064516128</v>
      </c>
      <c r="T39" s="4369">
        <f t="shared" ref="T39:U39" si="148">SUM(T35:T37)</f>
        <v>1.3757875816993463</v>
      </c>
      <c r="U39" s="4369">
        <f t="shared" si="148"/>
        <v>1.0789546840958606</v>
      </c>
      <c r="V39" s="3455">
        <f>SUM(V35:V37)</f>
        <v>0.94799999999999995</v>
      </c>
      <c r="W39" s="3454">
        <f t="shared" ref="W39" si="149">SUM(W35:W37)</f>
        <v>1.0022055555555556</v>
      </c>
      <c r="X39" s="2198">
        <f>SUM(X35:X37)</f>
        <v>1.2674347826086958</v>
      </c>
      <c r="Y39" s="2199">
        <f>SUM(Y35:Y37)</f>
        <v>1.0181170289855073</v>
      </c>
      <c r="Z39" s="2202">
        <f t="shared" si="144"/>
        <v>1.3056584699453553</v>
      </c>
      <c r="AA39" s="6197">
        <f t="shared" si="144"/>
        <v>1.0663728597449911</v>
      </c>
      <c r="AB39" s="3455">
        <f>SUM(AB35:AB37)</f>
        <v>1.4220000000000002</v>
      </c>
      <c r="AC39" s="3454">
        <f t="shared" ref="AC39" si="150">SUM(AC35:AC37)</f>
        <v>0.97884838709677424</v>
      </c>
      <c r="AD39" s="2463">
        <f t="shared" si="144"/>
        <v>1.3225116822429905</v>
      </c>
      <c r="AE39" s="2463">
        <f t="shared" si="144"/>
        <v>1.0536940809968849</v>
      </c>
      <c r="AF39" s="3455">
        <f>SUM(AF35:AF37)</f>
        <v>1.4220000000000002</v>
      </c>
      <c r="AG39" s="3454">
        <f t="shared" ref="AG39" si="151">SUM(AG35:AG37)</f>
        <v>1.1059455555555555</v>
      </c>
      <c r="AH39" s="4655">
        <f t="shared" ref="AH39:AI39" si="152">SUM(AH35:AH37)</f>
        <v>1.3347438524590163</v>
      </c>
      <c r="AI39" s="4655">
        <f t="shared" si="152"/>
        <v>1.0601184426229509</v>
      </c>
      <c r="AJ39" s="3455">
        <f>SUM(AJ35:AJ37)</f>
        <v>1.4220000000000002</v>
      </c>
      <c r="AK39" s="3454">
        <f t="shared" ref="AK39" si="153">SUM(AK35:AK37)</f>
        <v>1.1954268817204303</v>
      </c>
      <c r="AL39" s="2198">
        <f>SUM(AL35:AL37)</f>
        <v>1.4219999999999999</v>
      </c>
      <c r="AM39" s="2199">
        <f>SUM(AM35:AM37)</f>
        <v>1.0932706521739131</v>
      </c>
      <c r="AN39" s="2567">
        <f t="shared" ref="AN39:AS39" si="154">SUM(AN35:AN37)</f>
        <v>1.3445799999999999</v>
      </c>
      <c r="AO39" s="2567">
        <f t="shared" si="154"/>
        <v>1.0753713939393941</v>
      </c>
      <c r="AP39" s="3455">
        <f>SUM(AP35:AP37)</f>
        <v>1.4220000000000002</v>
      </c>
      <c r="AQ39" s="3454">
        <f t="shared" ref="AQ39" si="155">SUM(AQ35:AQ37)</f>
        <v>1.0453360215053764</v>
      </c>
      <c r="AR39" s="2612">
        <f t="shared" si="154"/>
        <v>1.352423202614379</v>
      </c>
      <c r="AS39" s="2612">
        <f t="shared" si="154"/>
        <v>1.0723285947712418</v>
      </c>
      <c r="AT39" s="3455">
        <f>SUM(AT35:AT37)</f>
        <v>1.4220000000000002</v>
      </c>
      <c r="AU39" s="3454">
        <f t="shared" ref="AU39" si="156">SUM(AU35:AU37)</f>
        <v>1.1838988095238094</v>
      </c>
      <c r="AV39" s="5079">
        <f t="shared" ref="AV39:AW39" si="157">SUM(AV35:AV37)</f>
        <v>1.3582559880239522</v>
      </c>
      <c r="AW39" s="5079">
        <f t="shared" si="157"/>
        <v>1.0816817864271457</v>
      </c>
      <c r="AX39" s="2197">
        <f t="shared" ref="AX39:AY39" si="158">SUM(AX35:AX37)</f>
        <v>1.4220000000000002</v>
      </c>
      <c r="AY39" s="3454">
        <f t="shared" si="158"/>
        <v>1.0698118279569893</v>
      </c>
      <c r="AZ39" s="2198">
        <f>SUM(AZ35:AZ37)</f>
        <v>1.4219999999999999</v>
      </c>
      <c r="BA39" s="2199">
        <f>SUM(BA35:BA37)</f>
        <v>1.0968749999999998</v>
      </c>
      <c r="BB39" s="2202">
        <f t="shared" ref="BB39:BC39" si="159">SUM(BB35:BB37)</f>
        <v>1.4220000000000002</v>
      </c>
      <c r="BC39" s="2202">
        <f t="shared" si="159"/>
        <v>1.0950530219780219</v>
      </c>
      <c r="BD39" s="2869">
        <f t="shared" ref="BD39:BE39" si="160">SUM(BD35:BD37)</f>
        <v>1.3636698630136987</v>
      </c>
      <c r="BE39" s="2869">
        <f t="shared" si="160"/>
        <v>1.0806736529680365</v>
      </c>
      <c r="BF39" s="1137"/>
      <c r="BG39" s="1137"/>
      <c r="BH39" s="25"/>
      <c r="BI39" s="25">
        <f t="shared" si="30"/>
        <v>14.99064680365297</v>
      </c>
      <c r="BJ39" s="25">
        <f t="shared" si="31"/>
        <v>11.898752790964377</v>
      </c>
      <c r="BP39" s="4487"/>
    </row>
    <row r="40" spans="1:68" x14ac:dyDescent="0.25"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V40" s="25"/>
      <c r="AW40" s="25"/>
    </row>
    <row r="42" spans="1:68" x14ac:dyDescent="0.25">
      <c r="S42" s="502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L38" sqref="BL38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hidden="1" customWidth="1"/>
    <col min="8" max="10" width="11.85546875" hidden="1" customWidth="1"/>
    <col min="11" max="11" width="11.140625" hidden="1" customWidth="1"/>
    <col min="12" max="12" width="9.7109375" hidden="1" customWidth="1"/>
    <col min="13" max="13" width="11.140625" hidden="1" customWidth="1"/>
    <col min="14" max="14" width="9.7109375" hidden="1" customWidth="1"/>
    <col min="15" max="15" width="11.140625" hidden="1" customWidth="1"/>
    <col min="16" max="16" width="9.7109375" hidden="1" customWidth="1"/>
    <col min="17" max="17" width="11.140625" hidden="1" customWidth="1"/>
    <col min="18" max="18" width="9.7109375" hidden="1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564" hidden="1" customWidth="1"/>
    <col min="40" max="40" width="9.7109375" style="2564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2866" hidden="1" customWidth="1"/>
    <col min="54" max="54" width="9.7109375" style="2866" hidden="1" customWidth="1"/>
    <col min="55" max="55" width="11.140625" style="2866" hidden="1" customWidth="1"/>
    <col min="56" max="56" width="9.7109375" style="2866" hidden="1" customWidth="1"/>
    <col min="57" max="57" width="11.140625" hidden="1" customWidth="1"/>
    <col min="58" max="58" width="9.7109375" hidden="1" customWidth="1"/>
    <col min="59" max="59" width="9.140625" hidden="1" customWidth="1"/>
    <col min="60" max="61" width="0" hidden="1" customWidth="1"/>
  </cols>
  <sheetData>
    <row r="1" spans="3:62" ht="23.25" x14ac:dyDescent="0.35">
      <c r="C1" s="8302" t="s">
        <v>958</v>
      </c>
      <c r="D1" s="8302"/>
      <c r="E1" s="8302"/>
      <c r="F1" s="8302"/>
      <c r="G1" s="8302"/>
      <c r="H1" s="8302"/>
      <c r="I1" s="8302"/>
      <c r="J1" s="8302"/>
      <c r="K1" s="8302"/>
      <c r="L1" s="8302"/>
      <c r="M1" s="8302"/>
      <c r="N1" s="8302"/>
      <c r="O1" s="8302"/>
      <c r="P1" s="8302"/>
      <c r="Q1" s="8302"/>
      <c r="R1" s="8302"/>
      <c r="S1" s="8302"/>
      <c r="T1" s="8302"/>
    </row>
    <row r="2" spans="3:62" ht="24" thickBot="1" x14ac:dyDescent="0.4"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</row>
    <row r="3" spans="3:62" ht="15.75" thickBot="1" x14ac:dyDescent="0.3">
      <c r="C3" s="1036"/>
      <c r="D3" s="1037"/>
      <c r="E3" s="8296" t="s">
        <v>2349</v>
      </c>
      <c r="F3" s="8297"/>
      <c r="G3" s="8296" t="s">
        <v>1956</v>
      </c>
      <c r="H3" s="8297"/>
      <c r="I3" s="8298" t="s">
        <v>627</v>
      </c>
      <c r="J3" s="8299"/>
      <c r="K3" s="8303" t="s">
        <v>1986</v>
      </c>
      <c r="L3" s="8303"/>
      <c r="M3" s="8304" t="s">
        <v>607</v>
      </c>
      <c r="N3" s="8305"/>
      <c r="O3" s="8296" t="s">
        <v>2008</v>
      </c>
      <c r="P3" s="8297"/>
      <c r="Q3" s="8298" t="s">
        <v>620</v>
      </c>
      <c r="R3" s="8299"/>
      <c r="S3" s="8296" t="s">
        <v>2011</v>
      </c>
      <c r="T3" s="8297"/>
      <c r="U3" s="8298" t="s">
        <v>798</v>
      </c>
      <c r="V3" s="8299"/>
      <c r="W3" s="8303" t="s">
        <v>2042</v>
      </c>
      <c r="X3" s="8303"/>
      <c r="Y3" s="8304" t="s">
        <v>629</v>
      </c>
      <c r="Z3" s="8305"/>
      <c r="AA3" s="8313" t="s">
        <v>626</v>
      </c>
      <c r="AB3" s="8314"/>
      <c r="AC3" s="8296" t="s">
        <v>2067</v>
      </c>
      <c r="AD3" s="8297"/>
      <c r="AE3" s="8298" t="s">
        <v>1055</v>
      </c>
      <c r="AF3" s="8299"/>
      <c r="AG3" s="8296" t="s">
        <v>2170</v>
      </c>
      <c r="AH3" s="8297"/>
      <c r="AI3" s="8298" t="s">
        <v>1561</v>
      </c>
      <c r="AJ3" s="8299"/>
      <c r="AK3" s="8296" t="s">
        <v>2194</v>
      </c>
      <c r="AL3" s="8297"/>
      <c r="AM3" s="8300" t="s">
        <v>631</v>
      </c>
      <c r="AN3" s="8301"/>
      <c r="AO3" s="8298" t="s">
        <v>876</v>
      </c>
      <c r="AP3" s="8299"/>
      <c r="AQ3" s="8296" t="s">
        <v>2206</v>
      </c>
      <c r="AR3" s="8297"/>
      <c r="AS3" s="8298" t="s">
        <v>1593</v>
      </c>
      <c r="AT3" s="8299"/>
      <c r="AU3" s="8296" t="s">
        <v>2243</v>
      </c>
      <c r="AV3" s="8297"/>
      <c r="AW3" s="8298" t="s">
        <v>1599</v>
      </c>
      <c r="AX3" s="8299"/>
      <c r="AY3" s="8296" t="s">
        <v>2261</v>
      </c>
      <c r="AZ3" s="8297"/>
      <c r="BA3" s="8300" t="s">
        <v>632</v>
      </c>
      <c r="BB3" s="8301"/>
      <c r="BC3" s="8306" t="s">
        <v>638</v>
      </c>
      <c r="BD3" s="8307"/>
      <c r="BE3" s="8298" t="s">
        <v>1984</v>
      </c>
      <c r="BF3" s="8299"/>
    </row>
    <row r="4" spans="3:62" ht="15.75" thickBot="1" x14ac:dyDescent="0.3">
      <c r="C4" s="537" t="s">
        <v>941</v>
      </c>
      <c r="D4" s="533"/>
      <c r="E4" s="1408" t="s">
        <v>944</v>
      </c>
      <c r="F4" s="537" t="s">
        <v>945</v>
      </c>
      <c r="G4" s="1408" t="s">
        <v>944</v>
      </c>
      <c r="H4" s="537" t="s">
        <v>945</v>
      </c>
      <c r="I4" s="1409" t="s">
        <v>944</v>
      </c>
      <c r="J4" s="1365" t="s">
        <v>945</v>
      </c>
      <c r="K4" s="1407" t="s">
        <v>944</v>
      </c>
      <c r="L4" s="1408" t="s">
        <v>945</v>
      </c>
      <c r="M4" s="4553" t="s">
        <v>944</v>
      </c>
      <c r="N4" s="4554" t="s">
        <v>945</v>
      </c>
      <c r="O4" s="1408" t="s">
        <v>944</v>
      </c>
      <c r="P4" s="537" t="s">
        <v>945</v>
      </c>
      <c r="Q4" s="1409" t="s">
        <v>944</v>
      </c>
      <c r="R4" s="1365" t="s">
        <v>945</v>
      </c>
      <c r="S4" s="1623" t="s">
        <v>944</v>
      </c>
      <c r="T4" s="537" t="s">
        <v>945</v>
      </c>
      <c r="U4" s="1622" t="s">
        <v>944</v>
      </c>
      <c r="V4" s="1365" t="s">
        <v>945</v>
      </c>
      <c r="W4" s="2107" t="s">
        <v>944</v>
      </c>
      <c r="X4" s="537" t="s">
        <v>945</v>
      </c>
      <c r="Y4" s="4553" t="s">
        <v>944</v>
      </c>
      <c r="Z4" s="4554" t="s">
        <v>945</v>
      </c>
      <c r="AA4" s="4543" t="s">
        <v>944</v>
      </c>
      <c r="AB4" s="4544" t="s">
        <v>945</v>
      </c>
      <c r="AC4" s="2107" t="s">
        <v>944</v>
      </c>
      <c r="AD4" s="537" t="s">
        <v>945</v>
      </c>
      <c r="AE4" s="1622" t="s">
        <v>944</v>
      </c>
      <c r="AF4" s="1365" t="s">
        <v>945</v>
      </c>
      <c r="AG4" s="2107" t="s">
        <v>944</v>
      </c>
      <c r="AH4" s="537" t="s">
        <v>945</v>
      </c>
      <c r="AI4" s="1622" t="s">
        <v>944</v>
      </c>
      <c r="AJ4" s="1365" t="s">
        <v>945</v>
      </c>
      <c r="AK4" s="2107" t="s">
        <v>944</v>
      </c>
      <c r="AL4" s="537" t="s">
        <v>945</v>
      </c>
      <c r="AM4" s="1023" t="s">
        <v>944</v>
      </c>
      <c r="AN4" s="1024" t="s">
        <v>945</v>
      </c>
      <c r="AO4" s="1622" t="s">
        <v>944</v>
      </c>
      <c r="AP4" s="1365" t="s">
        <v>945</v>
      </c>
      <c r="AQ4" s="2107" t="s">
        <v>944</v>
      </c>
      <c r="AR4" s="537" t="s">
        <v>945</v>
      </c>
      <c r="AS4" s="1622" t="s">
        <v>944</v>
      </c>
      <c r="AT4" s="1365" t="s">
        <v>945</v>
      </c>
      <c r="AU4" s="2107" t="s">
        <v>944</v>
      </c>
      <c r="AV4" s="537" t="s">
        <v>945</v>
      </c>
      <c r="AW4" s="1622" t="s">
        <v>944</v>
      </c>
      <c r="AX4" s="1365" t="s">
        <v>945</v>
      </c>
      <c r="AY4" s="2107" t="s">
        <v>944</v>
      </c>
      <c r="AZ4" s="537" t="s">
        <v>945</v>
      </c>
      <c r="BA4" s="1023" t="s">
        <v>944</v>
      </c>
      <c r="BB4" s="1024" t="s">
        <v>945</v>
      </c>
      <c r="BC4" s="1516" t="s">
        <v>944</v>
      </c>
      <c r="BD4" s="1517" t="s">
        <v>945</v>
      </c>
      <c r="BE4" s="1622" t="s">
        <v>944</v>
      </c>
      <c r="BF4" s="1365" t="s">
        <v>945</v>
      </c>
    </row>
    <row r="5" spans="3:62" hidden="1" x14ac:dyDescent="0.25">
      <c r="C5" s="8310" t="s">
        <v>16</v>
      </c>
      <c r="D5" s="1983" t="s">
        <v>1245</v>
      </c>
      <c r="E5" s="528"/>
      <c r="F5" s="532"/>
      <c r="G5" s="528"/>
      <c r="H5" s="532"/>
      <c r="I5" s="1366">
        <f>+E5+G5</f>
        <v>0</v>
      </c>
      <c r="J5" s="1367">
        <f>+H5+F5</f>
        <v>0</v>
      </c>
      <c r="K5" s="1244"/>
      <c r="L5" s="528"/>
      <c r="M5" s="4555">
        <f t="shared" ref="M5:N8" si="0">+E5+G5+K5</f>
        <v>0</v>
      </c>
      <c r="N5" s="4562">
        <f t="shared" si="0"/>
        <v>0</v>
      </c>
      <c r="O5" s="1244"/>
      <c r="P5" s="528"/>
      <c r="Q5" s="1366">
        <f>+M5+O5</f>
        <v>0</v>
      </c>
      <c r="R5" s="1367">
        <f>+P5+N5</f>
        <v>0</v>
      </c>
      <c r="S5" s="528">
        <v>0</v>
      </c>
      <c r="T5" s="532">
        <v>0</v>
      </c>
      <c r="U5" s="1366">
        <f>+Q5+S5</f>
        <v>0</v>
      </c>
      <c r="V5" s="1367">
        <f>+T5+R5</f>
        <v>0</v>
      </c>
      <c r="W5" s="528"/>
      <c r="X5" s="532"/>
      <c r="Y5" s="4555">
        <f t="shared" ref="Y5:Z8" si="1">+O5+S5+W5</f>
        <v>0</v>
      </c>
      <c r="Z5" s="4555">
        <f t="shared" si="1"/>
        <v>0</v>
      </c>
      <c r="AA5" s="4545">
        <f t="shared" ref="AA5:AB8" si="2">+M5+Y5</f>
        <v>0</v>
      </c>
      <c r="AB5" s="4546">
        <f t="shared" si="2"/>
        <v>0</v>
      </c>
      <c r="AC5" s="528"/>
      <c r="AD5" s="532"/>
      <c r="AE5" s="1366">
        <f>+AA5+AC5</f>
        <v>0</v>
      </c>
      <c r="AF5" s="1367">
        <f>+AD5+AB5</f>
        <v>0</v>
      </c>
      <c r="AG5" s="528">
        <v>0</v>
      </c>
      <c r="AH5" s="532">
        <v>0</v>
      </c>
      <c r="AI5" s="1366">
        <f>+AE5+AG5</f>
        <v>0</v>
      </c>
      <c r="AJ5" s="1367">
        <f>+AH5+AF5</f>
        <v>0</v>
      </c>
      <c r="AK5" s="528">
        <v>0</v>
      </c>
      <c r="AL5" s="532">
        <v>0</v>
      </c>
      <c r="AM5" s="1025">
        <f t="shared" ref="AM5:AM8" si="3">+AC5+AG5+AK5</f>
        <v>0</v>
      </c>
      <c r="AN5" s="1025">
        <f t="shared" ref="AN5:AN8" si="4">+AD5+AH5+AL5</f>
        <v>0</v>
      </c>
      <c r="AO5" s="1366">
        <f>+AI5+AK5</f>
        <v>0</v>
      </c>
      <c r="AP5" s="1367">
        <f>+AL5+AJ5</f>
        <v>0</v>
      </c>
      <c r="AQ5" s="528">
        <v>0</v>
      </c>
      <c r="AR5" s="532">
        <v>0</v>
      </c>
      <c r="AS5" s="1366">
        <f>+AO5+AQ5</f>
        <v>0</v>
      </c>
      <c r="AT5" s="1367">
        <f>+AR5+AP5</f>
        <v>0</v>
      </c>
      <c r="AU5" s="528">
        <v>0</v>
      </c>
      <c r="AV5" s="532">
        <v>0</v>
      </c>
      <c r="AW5" s="1366">
        <f>+AS5+AU5</f>
        <v>0</v>
      </c>
      <c r="AX5" s="1367">
        <f>+AV5+AT5</f>
        <v>0</v>
      </c>
      <c r="AY5" s="528">
        <v>0</v>
      </c>
      <c r="AZ5" s="532">
        <v>0</v>
      </c>
      <c r="BA5" s="1025">
        <f t="shared" ref="BA5:BA8" si="5">+AQ5+AU5+AY5</f>
        <v>0</v>
      </c>
      <c r="BB5" s="1025">
        <f t="shared" ref="BB5:BB8" si="6">+AR5+AV5+AZ5</f>
        <v>0</v>
      </c>
      <c r="BC5" s="1518">
        <f>+AM5+BA5</f>
        <v>0</v>
      </c>
      <c r="BD5" s="1518">
        <f>+AN5+BB5</f>
        <v>0</v>
      </c>
      <c r="BE5" s="1366">
        <f>+AW5+AY5</f>
        <v>0</v>
      </c>
      <c r="BF5" s="1367">
        <f>+AZ5+AX5</f>
        <v>0</v>
      </c>
      <c r="BG5" s="25"/>
      <c r="BH5" s="25"/>
      <c r="BI5" s="25"/>
      <c r="BJ5" s="25"/>
    </row>
    <row r="6" spans="3:62" hidden="1" x14ac:dyDescent="0.25">
      <c r="C6" s="8311"/>
      <c r="D6" s="1983" t="s">
        <v>1146</v>
      </c>
      <c r="E6" s="535"/>
      <c r="F6" s="532"/>
      <c r="G6" s="528"/>
      <c r="H6" s="532"/>
      <c r="I6" s="1366">
        <f>+E6+G6</f>
        <v>0</v>
      </c>
      <c r="J6" s="1367">
        <f>+H6+F6</f>
        <v>0</v>
      </c>
      <c r="K6" s="1244"/>
      <c r="L6" s="528"/>
      <c r="M6" s="4555">
        <f t="shared" si="0"/>
        <v>0</v>
      </c>
      <c r="N6" s="4562">
        <f t="shared" si="0"/>
        <v>0</v>
      </c>
      <c r="O6" s="1245"/>
      <c r="P6" s="528"/>
      <c r="Q6" s="1366">
        <f t="shared" ref="Q6:Q8" si="7">+M6+O6</f>
        <v>0</v>
      </c>
      <c r="R6" s="1367">
        <f t="shared" ref="R6:R8" si="8">+P6+N6</f>
        <v>0</v>
      </c>
      <c r="S6" s="535">
        <v>0</v>
      </c>
      <c r="T6" s="532">
        <v>0</v>
      </c>
      <c r="U6" s="1366">
        <f t="shared" ref="U6:U8" si="9">+Q6+S6</f>
        <v>0</v>
      </c>
      <c r="V6" s="1367">
        <f t="shared" ref="V6:V8" si="10">+T6+R6</f>
        <v>0</v>
      </c>
      <c r="W6" s="535"/>
      <c r="X6" s="532"/>
      <c r="Y6" s="4555">
        <f t="shared" si="1"/>
        <v>0</v>
      </c>
      <c r="Z6" s="4555">
        <f t="shared" si="1"/>
        <v>0</v>
      </c>
      <c r="AA6" s="4545">
        <f t="shared" si="2"/>
        <v>0</v>
      </c>
      <c r="AB6" s="4546">
        <f t="shared" si="2"/>
        <v>0</v>
      </c>
      <c r="AC6" s="535"/>
      <c r="AD6" s="532"/>
      <c r="AE6" s="1366">
        <f t="shared" ref="AE6:AE8" si="11">+AA6+AC6</f>
        <v>0</v>
      </c>
      <c r="AF6" s="1367">
        <f t="shared" ref="AF6:AF8" si="12">+AD6+AB6</f>
        <v>0</v>
      </c>
      <c r="AG6" s="535">
        <v>0</v>
      </c>
      <c r="AH6" s="532">
        <v>0</v>
      </c>
      <c r="AI6" s="1366">
        <f t="shared" ref="AI6:AI8" si="13">+AE6+AG6</f>
        <v>0</v>
      </c>
      <c r="AJ6" s="1367">
        <f t="shared" ref="AJ6:AJ8" si="14">+AH6+AF6</f>
        <v>0</v>
      </c>
      <c r="AK6" s="535">
        <v>0</v>
      </c>
      <c r="AL6" s="532">
        <v>0</v>
      </c>
      <c r="AM6" s="1025">
        <f t="shared" si="3"/>
        <v>0</v>
      </c>
      <c r="AN6" s="1025">
        <f t="shared" si="4"/>
        <v>0</v>
      </c>
      <c r="AO6" s="1366">
        <f t="shared" ref="AO6:AO8" si="15">+AI6+AK6</f>
        <v>0</v>
      </c>
      <c r="AP6" s="1367">
        <f t="shared" ref="AP6:AP8" si="16">+AL6+AJ6</f>
        <v>0</v>
      </c>
      <c r="AQ6" s="535">
        <v>0</v>
      </c>
      <c r="AR6" s="532">
        <v>0</v>
      </c>
      <c r="AS6" s="1366">
        <f t="shared" ref="AS6:AS8" si="17">+AO6+AQ6</f>
        <v>0</v>
      </c>
      <c r="AT6" s="1367">
        <f t="shared" ref="AT6:AT8" si="18">+AR6+AP6</f>
        <v>0</v>
      </c>
      <c r="AU6" s="535">
        <v>0</v>
      </c>
      <c r="AV6" s="532">
        <v>0</v>
      </c>
      <c r="AW6" s="1366">
        <f t="shared" ref="AW6:AW8" si="19">+AS6+AU6</f>
        <v>0</v>
      </c>
      <c r="AX6" s="1367">
        <f t="shared" ref="AX6:AX8" si="20">+AV6+AT6</f>
        <v>0</v>
      </c>
      <c r="AY6" s="535">
        <v>0</v>
      </c>
      <c r="AZ6" s="532">
        <v>0</v>
      </c>
      <c r="BA6" s="1025">
        <f t="shared" si="5"/>
        <v>0</v>
      </c>
      <c r="BB6" s="1025">
        <f t="shared" si="6"/>
        <v>0</v>
      </c>
      <c r="BC6" s="1518">
        <f t="shared" ref="BC6:BC8" si="21">+AM6+BA6</f>
        <v>0</v>
      </c>
      <c r="BD6" s="1518">
        <f t="shared" ref="BD6:BD8" si="22">+AN6+BB6</f>
        <v>0</v>
      </c>
      <c r="BE6" s="1366">
        <f t="shared" ref="BE6:BE8" si="23">+AW6+AY6</f>
        <v>0</v>
      </c>
      <c r="BF6" s="1367">
        <f t="shared" ref="BF6:BF8" si="24">+AZ6+AX6</f>
        <v>0</v>
      </c>
      <c r="BG6" s="25"/>
      <c r="BH6" s="25"/>
      <c r="BI6" s="25"/>
      <c r="BJ6" s="25"/>
    </row>
    <row r="7" spans="3:62" s="4487" customFormat="1" hidden="1" x14ac:dyDescent="0.25">
      <c r="C7" s="8311"/>
      <c r="D7" s="5813" t="s">
        <v>2005</v>
      </c>
      <c r="E7" s="5814"/>
      <c r="F7" s="5815"/>
      <c r="G7" s="5816"/>
      <c r="H7" s="5815"/>
      <c r="I7" s="1366">
        <f>+E7+G7</f>
        <v>0</v>
      </c>
      <c r="J7" s="1367">
        <f>+H7+F7</f>
        <v>0</v>
      </c>
      <c r="K7" s="1245"/>
      <c r="L7" s="528"/>
      <c r="M7" s="4555">
        <f t="shared" ref="M7" si="25">+E7+G7+K7</f>
        <v>0</v>
      </c>
      <c r="N7" s="4562">
        <f t="shared" ref="N7" si="26">+F7+H7+L7</f>
        <v>0</v>
      </c>
      <c r="O7" s="1245"/>
      <c r="P7" s="528"/>
      <c r="Q7" s="1366">
        <f t="shared" ref="Q7" si="27">+M7+O7</f>
        <v>0</v>
      </c>
      <c r="R7" s="1367">
        <f t="shared" ref="R7" si="28">+P7+N7</f>
        <v>0</v>
      </c>
      <c r="S7" s="535">
        <v>0</v>
      </c>
      <c r="T7" s="532">
        <v>0</v>
      </c>
      <c r="U7" s="1366">
        <f t="shared" ref="U7" si="29">+Q7+S7</f>
        <v>0</v>
      </c>
      <c r="V7" s="1367">
        <f t="shared" ref="V7" si="30">+T7+R7</f>
        <v>0</v>
      </c>
      <c r="W7" s="535"/>
      <c r="X7" s="532"/>
      <c r="Y7" s="4555">
        <f t="shared" ref="Y7" si="31">+O7+S7+W7</f>
        <v>0</v>
      </c>
      <c r="Z7" s="4555">
        <f t="shared" ref="Z7" si="32">+P7+T7+X7</f>
        <v>0</v>
      </c>
      <c r="AA7" s="4545">
        <f t="shared" ref="AA7" si="33">+M7+Y7</f>
        <v>0</v>
      </c>
      <c r="AB7" s="4546">
        <f t="shared" ref="AB7" si="34">+N7+Z7</f>
        <v>0</v>
      </c>
      <c r="AC7" s="535"/>
      <c r="AD7" s="532"/>
      <c r="AE7" s="1366">
        <f t="shared" ref="AE7" si="35">+AA7+AC7</f>
        <v>0</v>
      </c>
      <c r="AF7" s="1367">
        <f t="shared" ref="AF7" si="36">+AD7+AB7</f>
        <v>0</v>
      </c>
      <c r="AG7" s="535">
        <v>0</v>
      </c>
      <c r="AH7" s="532">
        <v>0</v>
      </c>
      <c r="AI7" s="1366">
        <f t="shared" ref="AI7" si="37">+AE7+AG7</f>
        <v>0</v>
      </c>
      <c r="AJ7" s="1367">
        <f t="shared" ref="AJ7" si="38">+AH7+AF7</f>
        <v>0</v>
      </c>
      <c r="AK7" s="535">
        <v>0</v>
      </c>
      <c r="AL7" s="532">
        <v>0</v>
      </c>
      <c r="AM7" s="1025">
        <f t="shared" ref="AM7" si="39">+AC7+AG7+AK7</f>
        <v>0</v>
      </c>
      <c r="AN7" s="1025">
        <f t="shared" ref="AN7" si="40">+AD7+AH7+AL7</f>
        <v>0</v>
      </c>
      <c r="AO7" s="1366">
        <f t="shared" ref="AO7" si="41">+AI7+AK7</f>
        <v>0</v>
      </c>
      <c r="AP7" s="1367">
        <f t="shared" ref="AP7" si="42">+AL7+AJ7</f>
        <v>0</v>
      </c>
      <c r="AQ7" s="535">
        <v>0</v>
      </c>
      <c r="AR7" s="532">
        <v>0</v>
      </c>
      <c r="AS7" s="1366">
        <f t="shared" ref="AS7" si="43">+AO7+AQ7</f>
        <v>0</v>
      </c>
      <c r="AT7" s="1367">
        <f t="shared" ref="AT7" si="44">+AR7+AP7</f>
        <v>0</v>
      </c>
      <c r="AU7" s="535">
        <v>0</v>
      </c>
      <c r="AV7" s="532">
        <v>0</v>
      </c>
      <c r="AW7" s="1366">
        <f t="shared" ref="AW7" si="45">+AS7+AU7</f>
        <v>0</v>
      </c>
      <c r="AX7" s="1367">
        <f t="shared" ref="AX7" si="46">+AV7+AT7</f>
        <v>0</v>
      </c>
      <c r="AY7" s="535">
        <v>0</v>
      </c>
      <c r="AZ7" s="532">
        <v>0</v>
      </c>
      <c r="BA7" s="1025">
        <f t="shared" ref="BA7" si="47">+AQ7+AU7+AY7</f>
        <v>0</v>
      </c>
      <c r="BB7" s="1025">
        <f t="shared" ref="BB7" si="48">+AR7+AV7+AZ7</f>
        <v>0</v>
      </c>
      <c r="BC7" s="1518">
        <f t="shared" ref="BC7" si="49">+AM7+BA7</f>
        <v>0</v>
      </c>
      <c r="BD7" s="1518">
        <f t="shared" ref="BD7" si="50">+AN7+BB7</f>
        <v>0</v>
      </c>
      <c r="BE7" s="1366">
        <f t="shared" ref="BE7" si="51">+AW7+AY7</f>
        <v>0</v>
      </c>
      <c r="BF7" s="1367">
        <f t="shared" ref="BF7" si="52">+AZ7+AX7</f>
        <v>0</v>
      </c>
      <c r="BG7" s="25"/>
      <c r="BH7" s="25"/>
      <c r="BI7" s="25"/>
      <c r="BJ7" s="25"/>
    </row>
    <row r="8" spans="3:62" ht="15.75" hidden="1" thickBot="1" x14ac:dyDescent="0.3">
      <c r="C8" s="8311"/>
      <c r="D8" s="1984" t="s">
        <v>2005</v>
      </c>
      <c r="E8" s="534"/>
      <c r="F8" s="530"/>
      <c r="G8" s="538"/>
      <c r="H8" s="530"/>
      <c r="I8" s="1366">
        <f>+E8+G8</f>
        <v>0</v>
      </c>
      <c r="J8" s="1367">
        <f>+H8+F8</f>
        <v>0</v>
      </c>
      <c r="K8" s="1246"/>
      <c r="L8" s="538"/>
      <c r="M8" s="4555">
        <f t="shared" si="0"/>
        <v>0</v>
      </c>
      <c r="N8" s="4562">
        <f t="shared" si="0"/>
        <v>0</v>
      </c>
      <c r="O8" s="1246"/>
      <c r="P8" s="538"/>
      <c r="Q8" s="1366">
        <f t="shared" si="7"/>
        <v>0</v>
      </c>
      <c r="R8" s="1367">
        <f t="shared" si="8"/>
        <v>0</v>
      </c>
      <c r="S8" s="538">
        <v>0</v>
      </c>
      <c r="T8" s="530">
        <v>0</v>
      </c>
      <c r="U8" s="1366">
        <f t="shared" si="9"/>
        <v>0</v>
      </c>
      <c r="V8" s="1367">
        <f t="shared" si="10"/>
        <v>0</v>
      </c>
      <c r="W8" s="538"/>
      <c r="X8" s="530"/>
      <c r="Y8" s="4555">
        <f t="shared" si="1"/>
        <v>0</v>
      </c>
      <c r="Z8" s="4555">
        <f t="shared" si="1"/>
        <v>0</v>
      </c>
      <c r="AA8" s="4545">
        <f t="shared" si="2"/>
        <v>0</v>
      </c>
      <c r="AB8" s="4546">
        <f t="shared" si="2"/>
        <v>0</v>
      </c>
      <c r="AC8" s="538"/>
      <c r="AD8" s="530"/>
      <c r="AE8" s="1366">
        <f t="shared" si="11"/>
        <v>0</v>
      </c>
      <c r="AF8" s="1367">
        <f t="shared" si="12"/>
        <v>0</v>
      </c>
      <c r="AG8" s="538">
        <v>0</v>
      </c>
      <c r="AH8" s="530">
        <v>0</v>
      </c>
      <c r="AI8" s="1366">
        <f t="shared" si="13"/>
        <v>0</v>
      </c>
      <c r="AJ8" s="1367">
        <f t="shared" si="14"/>
        <v>0</v>
      </c>
      <c r="AK8" s="538">
        <v>0</v>
      </c>
      <c r="AL8" s="530">
        <v>0</v>
      </c>
      <c r="AM8" s="1025">
        <f t="shared" si="3"/>
        <v>0</v>
      </c>
      <c r="AN8" s="1025">
        <f t="shared" si="4"/>
        <v>0</v>
      </c>
      <c r="AO8" s="1366">
        <f t="shared" si="15"/>
        <v>0</v>
      </c>
      <c r="AP8" s="1367">
        <f t="shared" si="16"/>
        <v>0</v>
      </c>
      <c r="AQ8" s="538">
        <v>0</v>
      </c>
      <c r="AR8" s="530">
        <v>0</v>
      </c>
      <c r="AS8" s="1366">
        <f t="shared" si="17"/>
        <v>0</v>
      </c>
      <c r="AT8" s="1367">
        <f t="shared" si="18"/>
        <v>0</v>
      </c>
      <c r="AU8" s="538">
        <v>0</v>
      </c>
      <c r="AV8" s="530">
        <v>0</v>
      </c>
      <c r="AW8" s="1366">
        <f t="shared" si="19"/>
        <v>0</v>
      </c>
      <c r="AX8" s="1367">
        <f t="shared" si="20"/>
        <v>0</v>
      </c>
      <c r="AY8" s="538">
        <v>0</v>
      </c>
      <c r="AZ8" s="530">
        <v>0</v>
      </c>
      <c r="BA8" s="1025">
        <f t="shared" si="5"/>
        <v>0</v>
      </c>
      <c r="BB8" s="1025">
        <f t="shared" si="6"/>
        <v>0</v>
      </c>
      <c r="BC8" s="1518">
        <f t="shared" si="21"/>
        <v>0</v>
      </c>
      <c r="BD8" s="1518">
        <f t="shared" si="22"/>
        <v>0</v>
      </c>
      <c r="BE8" s="1366">
        <f t="shared" si="23"/>
        <v>0</v>
      </c>
      <c r="BF8" s="1367">
        <f t="shared" si="24"/>
        <v>0</v>
      </c>
      <c r="BG8" s="25"/>
      <c r="BH8" s="25"/>
      <c r="BI8" s="25"/>
      <c r="BJ8" s="25"/>
    </row>
    <row r="9" spans="3:62" ht="15.75" hidden="1" thickBot="1" x14ac:dyDescent="0.3">
      <c r="C9" s="8312"/>
      <c r="D9" s="1735" t="s">
        <v>2</v>
      </c>
      <c r="E9" s="539">
        <f t="shared" ref="E9:N9" si="53">SUM(E5:E8)</f>
        <v>0</v>
      </c>
      <c r="F9" s="529">
        <f t="shared" si="53"/>
        <v>0</v>
      </c>
      <c r="G9" s="539">
        <f t="shared" si="53"/>
        <v>0</v>
      </c>
      <c r="H9" s="529">
        <f t="shared" si="53"/>
        <v>0</v>
      </c>
      <c r="I9" s="1032">
        <f>SUM(I5:I8)</f>
        <v>0</v>
      </c>
      <c r="J9" s="1033">
        <f>SUM(J5:J8)</f>
        <v>0</v>
      </c>
      <c r="K9" s="1247">
        <f t="shared" si="53"/>
        <v>0</v>
      </c>
      <c r="L9" s="539">
        <f t="shared" si="53"/>
        <v>0</v>
      </c>
      <c r="M9" s="4556">
        <f t="shared" si="53"/>
        <v>0</v>
      </c>
      <c r="N9" s="4557">
        <f t="shared" si="53"/>
        <v>0</v>
      </c>
      <c r="O9" s="1247">
        <f t="shared" ref="O9:P9" si="54">SUM(O5:O8)</f>
        <v>0</v>
      </c>
      <c r="P9" s="539">
        <f t="shared" si="54"/>
        <v>0</v>
      </c>
      <c r="Q9" s="1032">
        <f t="shared" ref="Q9:AF9" si="55">SUM(Q5:Q8)</f>
        <v>0</v>
      </c>
      <c r="R9" s="1033">
        <f t="shared" si="55"/>
        <v>0</v>
      </c>
      <c r="S9" s="539">
        <f t="shared" ref="S9:V9" si="56">SUM(S5:S8)</f>
        <v>0</v>
      </c>
      <c r="T9" s="529">
        <f t="shared" si="56"/>
        <v>0</v>
      </c>
      <c r="U9" s="1032">
        <f t="shared" si="56"/>
        <v>0</v>
      </c>
      <c r="V9" s="1033">
        <f t="shared" si="56"/>
        <v>0</v>
      </c>
      <c r="W9" s="539">
        <f t="shared" ref="W9:X9" si="57">SUM(W5:W8)</f>
        <v>0</v>
      </c>
      <c r="X9" s="529">
        <f t="shared" si="57"/>
        <v>0</v>
      </c>
      <c r="Y9" s="4556">
        <f t="shared" si="55"/>
        <v>0</v>
      </c>
      <c r="Z9" s="4557">
        <f t="shared" si="55"/>
        <v>0</v>
      </c>
      <c r="AA9" s="4547">
        <f t="shared" si="55"/>
        <v>0</v>
      </c>
      <c r="AB9" s="4548">
        <f t="shared" si="55"/>
        <v>0</v>
      </c>
      <c r="AC9" s="539"/>
      <c r="AD9" s="529"/>
      <c r="AE9" s="1032">
        <f t="shared" si="55"/>
        <v>0</v>
      </c>
      <c r="AF9" s="1033">
        <f t="shared" si="55"/>
        <v>0</v>
      </c>
      <c r="AG9" s="539">
        <f t="shared" ref="AG9:AJ9" si="58">SUM(AG5:AG8)</f>
        <v>0</v>
      </c>
      <c r="AH9" s="529">
        <f t="shared" si="58"/>
        <v>0</v>
      </c>
      <c r="AI9" s="1032">
        <f t="shared" si="58"/>
        <v>0</v>
      </c>
      <c r="AJ9" s="1033">
        <f t="shared" si="58"/>
        <v>0</v>
      </c>
      <c r="AK9" s="539">
        <f t="shared" ref="AK9:AT9" si="59">SUM(AK5:AK8)</f>
        <v>0</v>
      </c>
      <c r="AL9" s="529">
        <f t="shared" si="59"/>
        <v>0</v>
      </c>
      <c r="AM9" s="1026">
        <f t="shared" si="59"/>
        <v>0</v>
      </c>
      <c r="AN9" s="1027">
        <f t="shared" si="59"/>
        <v>0</v>
      </c>
      <c r="AO9" s="1032">
        <f t="shared" si="59"/>
        <v>0</v>
      </c>
      <c r="AP9" s="1033">
        <f t="shared" si="59"/>
        <v>0</v>
      </c>
      <c r="AQ9" s="539">
        <f t="shared" si="59"/>
        <v>0</v>
      </c>
      <c r="AR9" s="529">
        <f t="shared" si="59"/>
        <v>0</v>
      </c>
      <c r="AS9" s="1032">
        <f t="shared" si="59"/>
        <v>0</v>
      </c>
      <c r="AT9" s="1033">
        <f t="shared" si="59"/>
        <v>0</v>
      </c>
      <c r="AU9" s="539">
        <f t="shared" ref="AU9:AX9" si="60">SUM(AU5:AU8)</f>
        <v>0</v>
      </c>
      <c r="AV9" s="529">
        <f t="shared" si="60"/>
        <v>0</v>
      </c>
      <c r="AW9" s="1032">
        <f t="shared" si="60"/>
        <v>0</v>
      </c>
      <c r="AX9" s="1033">
        <f t="shared" si="60"/>
        <v>0</v>
      </c>
      <c r="AY9" s="539">
        <f t="shared" ref="AY9:BF9" si="61">SUM(AY5:AY8)</f>
        <v>0</v>
      </c>
      <c r="AZ9" s="529">
        <f t="shared" si="61"/>
        <v>0</v>
      </c>
      <c r="BA9" s="1026">
        <f t="shared" si="61"/>
        <v>0</v>
      </c>
      <c r="BB9" s="1027">
        <f t="shared" si="61"/>
        <v>0</v>
      </c>
      <c r="BC9" s="1519">
        <f t="shared" si="61"/>
        <v>0</v>
      </c>
      <c r="BD9" s="1520">
        <f t="shared" si="61"/>
        <v>0</v>
      </c>
      <c r="BE9" s="1032">
        <f t="shared" si="61"/>
        <v>0</v>
      </c>
      <c r="BF9" s="1033">
        <f t="shared" si="61"/>
        <v>0</v>
      </c>
      <c r="BG9" s="25"/>
      <c r="BH9" s="25"/>
      <c r="BI9" s="25"/>
      <c r="BJ9" s="25"/>
    </row>
    <row r="10" spans="3:62" x14ac:dyDescent="0.25">
      <c r="C10" s="8315" t="s">
        <v>942</v>
      </c>
      <c r="D10" s="1983" t="s">
        <v>1145</v>
      </c>
      <c r="E10" s="528"/>
      <c r="F10" s="532">
        <v>0</v>
      </c>
      <c r="G10" s="528"/>
      <c r="H10" s="532"/>
      <c r="I10" s="1366">
        <f>+E10+G10</f>
        <v>0</v>
      </c>
      <c r="J10" s="1367">
        <f>+H10+F10</f>
        <v>0</v>
      </c>
      <c r="K10" s="528"/>
      <c r="L10" s="532"/>
      <c r="M10" s="4555">
        <f t="shared" ref="M10:N15" si="62">+E10+G10+K10</f>
        <v>0</v>
      </c>
      <c r="N10" s="4562">
        <f t="shared" si="62"/>
        <v>0</v>
      </c>
      <c r="O10" s="528"/>
      <c r="P10" s="532"/>
      <c r="Q10" s="1366">
        <f>+M10+O10</f>
        <v>0</v>
      </c>
      <c r="R10" s="1367">
        <f>+P10+N10</f>
        <v>0</v>
      </c>
      <c r="S10" s="528"/>
      <c r="T10" s="532"/>
      <c r="U10" s="1366">
        <f>+Q10+S10</f>
        <v>0</v>
      </c>
      <c r="V10" s="1367">
        <f>+T10+R10</f>
        <v>0</v>
      </c>
      <c r="W10" s="528"/>
      <c r="X10" s="532"/>
      <c r="Y10" s="4555">
        <f t="shared" ref="Y10:Z15" si="63">+O10+S10+W10</f>
        <v>0</v>
      </c>
      <c r="Z10" s="4555">
        <f t="shared" si="63"/>
        <v>0</v>
      </c>
      <c r="AA10" s="4545">
        <f t="shared" ref="AA10:AB15" si="64">+M10+Y10</f>
        <v>0</v>
      </c>
      <c r="AB10" s="4546">
        <f t="shared" si="64"/>
        <v>0</v>
      </c>
      <c r="AC10" s="528"/>
      <c r="AD10" s="532"/>
      <c r="AE10" s="1366">
        <f>+AA10+AC10</f>
        <v>0</v>
      </c>
      <c r="AF10" s="1367">
        <f>+AD10+AB10</f>
        <v>0</v>
      </c>
      <c r="AG10" s="528"/>
      <c r="AH10" s="532"/>
      <c r="AI10" s="1366">
        <f>+AE10+AG10</f>
        <v>0</v>
      </c>
      <c r="AJ10" s="1367">
        <f>+AH10+AF10</f>
        <v>0</v>
      </c>
      <c r="AK10" s="528"/>
      <c r="AL10" s="532"/>
      <c r="AM10" s="1025">
        <f t="shared" ref="AM10:AM15" si="65">+AC10+AG10+AK10</f>
        <v>0</v>
      </c>
      <c r="AN10" s="1025">
        <f t="shared" ref="AN10:AN15" si="66">+AD10+AH10+AL10</f>
        <v>0</v>
      </c>
      <c r="AO10" s="1366">
        <f>+AI10+AK10</f>
        <v>0</v>
      </c>
      <c r="AP10" s="1367">
        <f>+AL10+AJ10</f>
        <v>0</v>
      </c>
      <c r="AQ10" s="528"/>
      <c r="AR10" s="532"/>
      <c r="AS10" s="1366">
        <f>+AO10+AQ10</f>
        <v>0</v>
      </c>
      <c r="AT10" s="1367">
        <f>+AR10+AP10</f>
        <v>0</v>
      </c>
      <c r="AU10" s="528"/>
      <c r="AV10" s="532"/>
      <c r="AW10" s="1366">
        <f>+AS10+AU10</f>
        <v>0</v>
      </c>
      <c r="AX10" s="1367">
        <f>+AV10+AT10</f>
        <v>0</v>
      </c>
      <c r="AY10" s="528"/>
      <c r="AZ10" s="532"/>
      <c r="BA10" s="1025">
        <f t="shared" ref="BA10:BA15" si="67">+AQ10+AU10+AY10</f>
        <v>0</v>
      </c>
      <c r="BB10" s="1025">
        <f t="shared" ref="BB10:BB15" si="68">+AR10+AV10+AZ10</f>
        <v>0</v>
      </c>
      <c r="BC10" s="1518">
        <f t="shared" ref="BC10:BC15" si="69">+AM10+BA10</f>
        <v>0</v>
      </c>
      <c r="BD10" s="1518">
        <f t="shared" ref="BD10:BD15" si="70">+AN10+BB10</f>
        <v>0</v>
      </c>
      <c r="BE10" s="1366">
        <f>+AW10+AY10</f>
        <v>0</v>
      </c>
      <c r="BF10" s="1367">
        <f>+AZ10+AX10</f>
        <v>0</v>
      </c>
      <c r="BG10" s="25">
        <f>+AY11+AU11+AQ11+AK11+AG11+AC11+W11+S11+O11+K11+G11+E11-BE11</f>
        <v>0</v>
      </c>
      <c r="BH10" s="25">
        <f>+AZ11+AV11+AR11+AL11+AH11+AD11+X11+T11+P11+L11+H11+F11-BF11</f>
        <v>0</v>
      </c>
      <c r="BI10" s="25"/>
      <c r="BJ10" s="25"/>
    </row>
    <row r="11" spans="3:62" x14ac:dyDescent="0.25">
      <c r="C11" s="8316"/>
      <c r="D11" s="1983" t="s">
        <v>1830</v>
      </c>
      <c r="E11" s="528">
        <v>5108.4100000000035</v>
      </c>
      <c r="F11" s="532">
        <v>5096.1300000000019</v>
      </c>
      <c r="G11" s="528">
        <v>2936.62</v>
      </c>
      <c r="H11" s="532">
        <v>3329.1699999999996</v>
      </c>
      <c r="I11" s="1366">
        <f t="shared" ref="I11:I15" si="71">+E11+G11</f>
        <v>8045.0300000000034</v>
      </c>
      <c r="J11" s="1367">
        <f t="shared" ref="J11:J15" si="72">+H11+F11</f>
        <v>8425.3000000000011</v>
      </c>
      <c r="K11" s="528">
        <v>1650.3149999999996</v>
      </c>
      <c r="L11" s="532">
        <v>2553.2999999999997</v>
      </c>
      <c r="M11" s="4555">
        <f t="shared" si="62"/>
        <v>9695.345000000003</v>
      </c>
      <c r="N11" s="4562">
        <f t="shared" si="62"/>
        <v>10978.6</v>
      </c>
      <c r="O11" s="528">
        <v>3276.0899999999988</v>
      </c>
      <c r="P11" s="532">
        <v>2770.58</v>
      </c>
      <c r="Q11" s="1366">
        <f t="shared" ref="Q11:Q15" si="73">+M11+O11</f>
        <v>12971.435000000001</v>
      </c>
      <c r="R11" s="1367">
        <f t="shared" ref="R11:R15" si="74">+P11+N11</f>
        <v>13749.18</v>
      </c>
      <c r="S11" s="528"/>
      <c r="T11" s="532">
        <v>1418.6100000000001</v>
      </c>
      <c r="U11" s="1366">
        <f t="shared" ref="U11:U15" si="75">+Q11+S11</f>
        <v>12971.435000000001</v>
      </c>
      <c r="V11" s="1367">
        <f t="shared" ref="V11:V15" si="76">+T11+R11</f>
        <v>15167.79</v>
      </c>
      <c r="W11" s="528">
        <v>2259.7249999999995</v>
      </c>
      <c r="X11" s="532">
        <v>763.62000000000012</v>
      </c>
      <c r="Y11" s="4555">
        <f t="shared" si="63"/>
        <v>5535.8149999999987</v>
      </c>
      <c r="Z11" s="4555">
        <f t="shared" si="63"/>
        <v>4952.8100000000004</v>
      </c>
      <c r="AA11" s="4545">
        <f t="shared" si="64"/>
        <v>15231.160000000002</v>
      </c>
      <c r="AB11" s="4546">
        <f t="shared" si="64"/>
        <v>15931.41</v>
      </c>
      <c r="AC11" s="528"/>
      <c r="AD11" s="532">
        <v>1451.5499999999997</v>
      </c>
      <c r="AE11" s="1366">
        <f t="shared" ref="AE11:AE15" si="77">+AA11+AC11</f>
        <v>15231.160000000002</v>
      </c>
      <c r="AF11" s="1367">
        <f t="shared" ref="AF11:AF15" si="78">+AD11+AB11</f>
        <v>17382.96</v>
      </c>
      <c r="AG11" s="528">
        <v>1229.5600000000004</v>
      </c>
      <c r="AH11" s="532">
        <v>1039.394</v>
      </c>
      <c r="AI11" s="1366">
        <f t="shared" ref="AI11:AI15" si="79">+AE11+AG11</f>
        <v>16460.72</v>
      </c>
      <c r="AJ11" s="1367">
        <f t="shared" ref="AJ11:AJ15" si="80">+AH11+AF11</f>
        <v>18422.353999999999</v>
      </c>
      <c r="AK11" s="528">
        <v>3130.8950000000009</v>
      </c>
      <c r="AL11" s="532">
        <v>3077.92</v>
      </c>
      <c r="AM11" s="1025">
        <f t="shared" si="65"/>
        <v>4360.4550000000017</v>
      </c>
      <c r="AN11" s="1025">
        <f t="shared" si="66"/>
        <v>5568.8639999999996</v>
      </c>
      <c r="AO11" s="1366">
        <f t="shared" ref="AO11:AO15" si="81">+AI11+AK11</f>
        <v>19591.615000000002</v>
      </c>
      <c r="AP11" s="1367">
        <f t="shared" ref="AP11:AP15" si="82">+AL11+AJ11</f>
        <v>21500.273999999998</v>
      </c>
      <c r="AQ11" s="528">
        <v>5002.0700000000024</v>
      </c>
      <c r="AR11" s="532">
        <v>4885.92</v>
      </c>
      <c r="AS11" s="1366">
        <f>+AO11+AQ11</f>
        <v>24593.685000000005</v>
      </c>
      <c r="AT11" s="1367">
        <f t="shared" ref="AT11:AT15" si="83">+AR11+AP11</f>
        <v>26386.193999999996</v>
      </c>
      <c r="AU11" s="528">
        <v>5167.715000000002</v>
      </c>
      <c r="AV11" s="532">
        <v>5067.51</v>
      </c>
      <c r="AW11" s="1366">
        <f t="shared" ref="AW11:AW15" si="84">+AS11+AU11</f>
        <v>29761.400000000009</v>
      </c>
      <c r="AX11" s="1367">
        <f t="shared" ref="AX11:AX15" si="85">+AV11+AT11</f>
        <v>31453.703999999998</v>
      </c>
      <c r="AY11" s="528">
        <v>6194.2521739959393</v>
      </c>
      <c r="AZ11" s="532">
        <v>6735.2</v>
      </c>
      <c r="BA11" s="1025">
        <f>+AQ11+AU11+AY11</f>
        <v>16364.037173995943</v>
      </c>
      <c r="BB11" s="1025">
        <f t="shared" si="68"/>
        <v>16688.63</v>
      </c>
      <c r="BC11" s="1518">
        <f t="shared" si="69"/>
        <v>20724.492173995946</v>
      </c>
      <c r="BD11" s="1518">
        <f t="shared" si="70"/>
        <v>22257.493999999999</v>
      </c>
      <c r="BE11" s="1366">
        <f t="shared" ref="BE11:BE15" si="86">+AW11+AY11</f>
        <v>35955.65217399595</v>
      </c>
      <c r="BF11" s="1367">
        <f t="shared" ref="BF11:BF15" si="87">+AZ11+AX11</f>
        <v>38188.903999999995</v>
      </c>
      <c r="BG11" s="25">
        <f t="shared" ref="BG11:BG17" si="88">+AY12+AU12+AQ12+AK12+AG12+AC12+W12+S12+O12+K12+G12+E12-BE12</f>
        <v>0</v>
      </c>
      <c r="BH11" s="25">
        <f t="shared" ref="BH11:BH17" si="89">+AZ12+AV12+AR12+AL12+AH12+AD12+X12+T12+P12+L12+H12+F12-BF12</f>
        <v>0</v>
      </c>
      <c r="BI11" s="25"/>
      <c r="BJ11" s="25"/>
    </row>
    <row r="12" spans="3:62" x14ac:dyDescent="0.25">
      <c r="C12" s="8316"/>
      <c r="D12" s="1983" t="s">
        <v>1292</v>
      </c>
      <c r="E12" s="528"/>
      <c r="F12" s="532"/>
      <c r="G12" s="528"/>
      <c r="H12" s="532"/>
      <c r="I12" s="1366">
        <f t="shared" si="71"/>
        <v>0</v>
      </c>
      <c r="J12" s="1367">
        <f t="shared" si="72"/>
        <v>0</v>
      </c>
      <c r="K12" s="528"/>
      <c r="L12" s="532"/>
      <c r="M12" s="4555">
        <f t="shared" si="62"/>
        <v>0</v>
      </c>
      <c r="N12" s="4562">
        <f t="shared" si="62"/>
        <v>0</v>
      </c>
      <c r="O12" s="528"/>
      <c r="P12" s="532"/>
      <c r="Q12" s="1366">
        <f t="shared" si="73"/>
        <v>0</v>
      </c>
      <c r="R12" s="1367">
        <f t="shared" si="74"/>
        <v>0</v>
      </c>
      <c r="S12" s="528"/>
      <c r="T12" s="532"/>
      <c r="U12" s="1366">
        <f t="shared" si="75"/>
        <v>0</v>
      </c>
      <c r="V12" s="1367">
        <f t="shared" si="76"/>
        <v>0</v>
      </c>
      <c r="W12" s="528"/>
      <c r="X12" s="532"/>
      <c r="Y12" s="4555">
        <f t="shared" si="63"/>
        <v>0</v>
      </c>
      <c r="Z12" s="4555">
        <f t="shared" si="63"/>
        <v>0</v>
      </c>
      <c r="AA12" s="4545">
        <f t="shared" si="64"/>
        <v>0</v>
      </c>
      <c r="AB12" s="4546">
        <f t="shared" si="64"/>
        <v>0</v>
      </c>
      <c r="AC12" s="528"/>
      <c r="AD12" s="532"/>
      <c r="AE12" s="1366">
        <f t="shared" si="77"/>
        <v>0</v>
      </c>
      <c r="AF12" s="1367">
        <f t="shared" si="78"/>
        <v>0</v>
      </c>
      <c r="AG12" s="528"/>
      <c r="AH12" s="532">
        <v>24.324000000000002</v>
      </c>
      <c r="AI12" s="1366">
        <f t="shared" si="79"/>
        <v>0</v>
      </c>
      <c r="AJ12" s="1367">
        <f t="shared" si="80"/>
        <v>24.324000000000002</v>
      </c>
      <c r="AK12" s="528"/>
      <c r="AL12" s="532">
        <v>38.923000000000002</v>
      </c>
      <c r="AM12" s="1025">
        <f t="shared" si="65"/>
        <v>0</v>
      </c>
      <c r="AN12" s="1025">
        <f t="shared" si="66"/>
        <v>63.247</v>
      </c>
      <c r="AO12" s="1366">
        <f t="shared" si="81"/>
        <v>0</v>
      </c>
      <c r="AP12" s="1367">
        <f t="shared" si="82"/>
        <v>63.247</v>
      </c>
      <c r="AQ12" s="528"/>
      <c r="AR12" s="532"/>
      <c r="AS12" s="1366">
        <f t="shared" ref="AS12:AS15" si="90">+AO12+AQ12</f>
        <v>0</v>
      </c>
      <c r="AT12" s="1367">
        <f t="shared" si="83"/>
        <v>63.247</v>
      </c>
      <c r="AU12" s="528"/>
      <c r="AV12" s="532"/>
      <c r="AW12" s="1366">
        <f t="shared" si="84"/>
        <v>0</v>
      </c>
      <c r="AX12" s="1367">
        <f t="shared" si="85"/>
        <v>63.247</v>
      </c>
      <c r="AY12" s="528"/>
      <c r="AZ12" s="532"/>
      <c r="BA12" s="1025">
        <f t="shared" si="67"/>
        <v>0</v>
      </c>
      <c r="BB12" s="1025">
        <f t="shared" si="68"/>
        <v>0</v>
      </c>
      <c r="BC12" s="1518">
        <f t="shared" si="69"/>
        <v>0</v>
      </c>
      <c r="BD12" s="1518">
        <f t="shared" si="70"/>
        <v>63.247</v>
      </c>
      <c r="BE12" s="1366">
        <f t="shared" si="86"/>
        <v>0</v>
      </c>
      <c r="BF12" s="1367">
        <f t="shared" si="87"/>
        <v>63.247</v>
      </c>
      <c r="BG12" s="25">
        <f t="shared" si="88"/>
        <v>0</v>
      </c>
      <c r="BH12" s="25">
        <f t="shared" si="89"/>
        <v>0</v>
      </c>
      <c r="BI12" s="25"/>
      <c r="BJ12" s="25"/>
    </row>
    <row r="13" spans="3:62" x14ac:dyDescent="0.25">
      <c r="C13" s="8316"/>
      <c r="D13" s="1983" t="s">
        <v>1149</v>
      </c>
      <c r="E13" s="528">
        <v>7979.5450000000001</v>
      </c>
      <c r="F13" s="532">
        <v>6518.2900000000027</v>
      </c>
      <c r="G13" s="532">
        <v>8564.9000000000124</v>
      </c>
      <c r="H13" s="532">
        <v>6163.3799999999992</v>
      </c>
      <c r="I13" s="1366">
        <f t="shared" si="71"/>
        <v>16544.445000000014</v>
      </c>
      <c r="J13" s="1367">
        <f t="shared" si="72"/>
        <v>12681.670000000002</v>
      </c>
      <c r="K13" s="528">
        <v>7993.1250000000064</v>
      </c>
      <c r="L13" s="532">
        <v>4807.3</v>
      </c>
      <c r="M13" s="4555">
        <f t="shared" si="62"/>
        <v>24537.570000000022</v>
      </c>
      <c r="N13" s="4562">
        <f t="shared" si="62"/>
        <v>17488.97</v>
      </c>
      <c r="O13" s="528">
        <v>7960.655000000007</v>
      </c>
      <c r="P13" s="532">
        <v>11289.410000000002</v>
      </c>
      <c r="Q13" s="1366">
        <f t="shared" si="73"/>
        <v>32498.225000000028</v>
      </c>
      <c r="R13" s="1367">
        <f t="shared" si="74"/>
        <v>28778.380000000005</v>
      </c>
      <c r="S13" s="528">
        <v>7257.2500000000045</v>
      </c>
      <c r="T13" s="532">
        <v>9006</v>
      </c>
      <c r="U13" s="1366">
        <f t="shared" si="75"/>
        <v>39755.475000000035</v>
      </c>
      <c r="V13" s="1367">
        <f t="shared" si="76"/>
        <v>37784.380000000005</v>
      </c>
      <c r="W13" s="1649">
        <v>13499.48500000001</v>
      </c>
      <c r="X13" s="532">
        <v>8734.58</v>
      </c>
      <c r="Y13" s="4555">
        <f t="shared" si="63"/>
        <v>28717.390000000021</v>
      </c>
      <c r="Z13" s="4555">
        <f t="shared" si="63"/>
        <v>29029.990000000005</v>
      </c>
      <c r="AA13" s="4545">
        <f t="shared" si="64"/>
        <v>53254.960000000043</v>
      </c>
      <c r="AB13" s="4546">
        <f t="shared" si="64"/>
        <v>46518.960000000006</v>
      </c>
      <c r="AC13" s="528">
        <v>2618.8650000000002</v>
      </c>
      <c r="AD13" s="532">
        <v>5432.3600000000006</v>
      </c>
      <c r="AE13" s="1366">
        <f t="shared" si="77"/>
        <v>55873.825000000041</v>
      </c>
      <c r="AF13" s="1367">
        <f t="shared" si="78"/>
        <v>51951.320000000007</v>
      </c>
      <c r="AG13" s="528">
        <v>9189.830000000009</v>
      </c>
      <c r="AH13" s="532">
        <v>5347</v>
      </c>
      <c r="AI13" s="1366">
        <f t="shared" si="79"/>
        <v>65063.65500000005</v>
      </c>
      <c r="AJ13" s="1367">
        <f t="shared" si="80"/>
        <v>57298.320000000007</v>
      </c>
      <c r="AK13" s="528">
        <v>10765.490000000025</v>
      </c>
      <c r="AL13" s="532">
        <v>16629.539999999997</v>
      </c>
      <c r="AM13" s="1025">
        <f t="shared" si="65"/>
        <v>22574.185000000034</v>
      </c>
      <c r="AN13" s="1025">
        <f t="shared" si="66"/>
        <v>27408.899999999998</v>
      </c>
      <c r="AO13" s="1366">
        <f t="shared" si="81"/>
        <v>75829.145000000077</v>
      </c>
      <c r="AP13" s="1367">
        <f t="shared" si="82"/>
        <v>73927.86</v>
      </c>
      <c r="AQ13" s="528">
        <v>12092.485000000021</v>
      </c>
      <c r="AR13" s="532">
        <v>11554.129999999997</v>
      </c>
      <c r="AS13" s="1366">
        <f t="shared" si="90"/>
        <v>87921.630000000092</v>
      </c>
      <c r="AT13" s="1367">
        <f t="shared" si="83"/>
        <v>85481.989999999991</v>
      </c>
      <c r="AU13" s="528">
        <v>13334.820000000036</v>
      </c>
      <c r="AV13" s="532">
        <v>11769.44</v>
      </c>
      <c r="AW13" s="1366">
        <f t="shared" si="84"/>
        <v>101256.45000000013</v>
      </c>
      <c r="AX13" s="1367">
        <f t="shared" si="85"/>
        <v>97251.43</v>
      </c>
      <c r="AY13" s="528">
        <v>8275.9339487280085</v>
      </c>
      <c r="AZ13" s="532">
        <v>10566.97</v>
      </c>
      <c r="BA13" s="1025">
        <f t="shared" si="67"/>
        <v>33703.238948728067</v>
      </c>
      <c r="BB13" s="1025">
        <f t="shared" si="68"/>
        <v>33890.54</v>
      </c>
      <c r="BC13" s="1518">
        <f t="shared" si="69"/>
        <v>56277.423948728101</v>
      </c>
      <c r="BD13" s="1518">
        <f t="shared" si="70"/>
        <v>61299.44</v>
      </c>
      <c r="BE13" s="1366">
        <f t="shared" si="86"/>
        <v>109532.38394872814</v>
      </c>
      <c r="BF13" s="1367">
        <f t="shared" si="87"/>
        <v>107818.4</v>
      </c>
      <c r="BG13" s="25">
        <f t="shared" si="88"/>
        <v>0</v>
      </c>
      <c r="BH13" s="25">
        <f t="shared" si="89"/>
        <v>0</v>
      </c>
      <c r="BI13" s="25"/>
      <c r="BJ13" s="25"/>
    </row>
    <row r="14" spans="3:62" x14ac:dyDescent="0.25">
      <c r="C14" s="8316"/>
      <c r="D14" s="1983" t="s">
        <v>1148</v>
      </c>
      <c r="E14" s="528">
        <v>10501.075000000015</v>
      </c>
      <c r="F14" s="532">
        <v>8493.3499999999985</v>
      </c>
      <c r="G14" s="528">
        <v>8096.2000000000035</v>
      </c>
      <c r="H14" s="532">
        <v>10114.569999999998</v>
      </c>
      <c r="I14" s="1366">
        <f t="shared" si="71"/>
        <v>18597.27500000002</v>
      </c>
      <c r="J14" s="1367">
        <f t="shared" si="72"/>
        <v>18607.919999999998</v>
      </c>
      <c r="K14" s="528">
        <v>10118.940000000015</v>
      </c>
      <c r="L14" s="532">
        <v>9903.4400000000023</v>
      </c>
      <c r="M14" s="4555">
        <f t="shared" si="62"/>
        <v>28716.215000000033</v>
      </c>
      <c r="N14" s="4562">
        <f t="shared" si="62"/>
        <v>28511.360000000001</v>
      </c>
      <c r="O14" s="528">
        <v>7626.2800000000061</v>
      </c>
      <c r="P14" s="532">
        <v>7580.22</v>
      </c>
      <c r="Q14" s="1366">
        <f t="shared" si="73"/>
        <v>36342.495000000039</v>
      </c>
      <c r="R14" s="1367">
        <f t="shared" si="74"/>
        <v>36091.58</v>
      </c>
      <c r="S14" s="528">
        <v>10797.600000000008</v>
      </c>
      <c r="T14" s="532">
        <v>9293.1999999999971</v>
      </c>
      <c r="U14" s="1366">
        <f t="shared" si="75"/>
        <v>47140.095000000045</v>
      </c>
      <c r="V14" s="1367">
        <f t="shared" si="76"/>
        <v>45384.78</v>
      </c>
      <c r="W14" s="1649">
        <v>4776.67</v>
      </c>
      <c r="X14" s="532">
        <v>3702.84</v>
      </c>
      <c r="Y14" s="4555">
        <f t="shared" si="63"/>
        <v>23200.55000000001</v>
      </c>
      <c r="Z14" s="4555">
        <f t="shared" si="63"/>
        <v>20576.259999999998</v>
      </c>
      <c r="AA14" s="4545">
        <f t="shared" si="64"/>
        <v>51916.765000000043</v>
      </c>
      <c r="AB14" s="4546">
        <f t="shared" si="64"/>
        <v>49087.619999999995</v>
      </c>
      <c r="AC14" s="528">
        <v>2417.0249999999987</v>
      </c>
      <c r="AD14" s="532">
        <v>4872.78</v>
      </c>
      <c r="AE14" s="1366">
        <f t="shared" si="77"/>
        <v>54333.790000000045</v>
      </c>
      <c r="AF14" s="1367">
        <f t="shared" si="78"/>
        <v>53960.399999999994</v>
      </c>
      <c r="AG14" s="528">
        <v>7494.3600000000051</v>
      </c>
      <c r="AH14" s="532">
        <v>7003.2529999999997</v>
      </c>
      <c r="AI14" s="1366">
        <f t="shared" si="79"/>
        <v>61828.150000000052</v>
      </c>
      <c r="AJ14" s="1367">
        <f t="shared" si="80"/>
        <v>60963.652999999991</v>
      </c>
      <c r="AK14" s="528">
        <v>11453.70000000001</v>
      </c>
      <c r="AL14" s="532">
        <v>7532.5499999999993</v>
      </c>
      <c r="AM14" s="1025">
        <f t="shared" si="65"/>
        <v>21365.085000000014</v>
      </c>
      <c r="AN14" s="1025">
        <f t="shared" si="66"/>
        <v>19408.582999999999</v>
      </c>
      <c r="AO14" s="1366">
        <f t="shared" si="81"/>
        <v>73281.850000000064</v>
      </c>
      <c r="AP14" s="1367">
        <f t="shared" si="82"/>
        <v>68496.202999999994</v>
      </c>
      <c r="AQ14" s="528">
        <v>11605.375000000025</v>
      </c>
      <c r="AR14" s="532">
        <v>15680.570000000005</v>
      </c>
      <c r="AS14" s="1366">
        <f t="shared" si="90"/>
        <v>84887.225000000093</v>
      </c>
      <c r="AT14" s="1367">
        <f t="shared" si="83"/>
        <v>84176.773000000001</v>
      </c>
      <c r="AU14" s="528">
        <v>11638.095000000027</v>
      </c>
      <c r="AV14" s="532">
        <v>8051.41</v>
      </c>
      <c r="AW14" s="1366">
        <f t="shared" si="84"/>
        <v>96525.320000000123</v>
      </c>
      <c r="AX14" s="1367">
        <f t="shared" si="85"/>
        <v>92228.183000000005</v>
      </c>
      <c r="AY14" s="528">
        <v>4225.6220374120858</v>
      </c>
      <c r="AZ14" s="532">
        <v>9181.06</v>
      </c>
      <c r="BA14" s="1025">
        <f t="shared" si="67"/>
        <v>27469.092037412138</v>
      </c>
      <c r="BB14" s="1025">
        <f t="shared" si="68"/>
        <v>32913.040000000001</v>
      </c>
      <c r="BC14" s="1518">
        <f t="shared" si="69"/>
        <v>48834.177037412155</v>
      </c>
      <c r="BD14" s="1518">
        <f t="shared" si="70"/>
        <v>52321.623</v>
      </c>
      <c r="BE14" s="1366">
        <f t="shared" si="86"/>
        <v>100750.94203741221</v>
      </c>
      <c r="BF14" s="1367">
        <f t="shared" si="87"/>
        <v>101409.243</v>
      </c>
      <c r="BG14" s="25">
        <f t="shared" si="88"/>
        <v>0</v>
      </c>
      <c r="BH14" s="25">
        <f t="shared" si="89"/>
        <v>0</v>
      </c>
      <c r="BI14" s="25"/>
      <c r="BJ14" s="25"/>
    </row>
    <row r="15" spans="3:62" ht="15.75" thickBot="1" x14ac:dyDescent="0.3">
      <c r="C15" s="8316"/>
      <c r="D15" s="1983" t="s">
        <v>1147</v>
      </c>
      <c r="E15" s="528">
        <v>10614.325000000003</v>
      </c>
      <c r="F15" s="532">
        <v>10462.859999999995</v>
      </c>
      <c r="G15" s="528">
        <v>9685.2300000000105</v>
      </c>
      <c r="H15" s="532">
        <v>9649.5299999999952</v>
      </c>
      <c r="I15" s="1366">
        <f t="shared" si="71"/>
        <v>20299.555000000015</v>
      </c>
      <c r="J15" s="1367">
        <f t="shared" si="72"/>
        <v>20112.389999999992</v>
      </c>
      <c r="K15" s="528">
        <v>12248.71500000002</v>
      </c>
      <c r="L15" s="532">
        <v>11997.7</v>
      </c>
      <c r="M15" s="4555">
        <f t="shared" si="62"/>
        <v>32548.270000000033</v>
      </c>
      <c r="N15" s="4562">
        <f t="shared" si="62"/>
        <v>32110.089999999993</v>
      </c>
      <c r="O15" s="528"/>
      <c r="P15" s="532">
        <v>70.990000000000009</v>
      </c>
      <c r="Q15" s="1366">
        <f t="shared" si="73"/>
        <v>32548.270000000033</v>
      </c>
      <c r="R15" s="1367">
        <f t="shared" si="74"/>
        <v>32181.079999999994</v>
      </c>
      <c r="S15" s="528">
        <v>10931.275000000014</v>
      </c>
      <c r="T15" s="532">
        <v>10838.53</v>
      </c>
      <c r="U15" s="1366">
        <f t="shared" si="75"/>
        <v>43479.545000000049</v>
      </c>
      <c r="V15" s="1367">
        <f t="shared" si="76"/>
        <v>43019.609999999993</v>
      </c>
      <c r="W15" s="1649">
        <v>8653.0450000000092</v>
      </c>
      <c r="X15" s="532">
        <v>8827.9800000000014</v>
      </c>
      <c r="Y15" s="4555">
        <f t="shared" si="63"/>
        <v>19584.320000000022</v>
      </c>
      <c r="Z15" s="4555">
        <f t="shared" si="63"/>
        <v>19737.5</v>
      </c>
      <c r="AA15" s="4545">
        <f t="shared" si="64"/>
        <v>52132.590000000055</v>
      </c>
      <c r="AB15" s="4546">
        <f t="shared" si="64"/>
        <v>51847.59</v>
      </c>
      <c r="AC15" s="528">
        <v>5541.9500000000025</v>
      </c>
      <c r="AD15" s="532">
        <v>5513.7300000000005</v>
      </c>
      <c r="AE15" s="1366">
        <f t="shared" si="77"/>
        <v>57674.540000000059</v>
      </c>
      <c r="AF15" s="1367">
        <f t="shared" si="78"/>
        <v>57361.32</v>
      </c>
      <c r="AG15" s="528">
        <v>7396.3050000000067</v>
      </c>
      <c r="AH15" s="532">
        <v>6780.8000000000011</v>
      </c>
      <c r="AI15" s="1366">
        <f t="shared" si="79"/>
        <v>65070.845000000067</v>
      </c>
      <c r="AJ15" s="1367">
        <f t="shared" si="80"/>
        <v>64142.12</v>
      </c>
      <c r="AK15" s="528">
        <v>5922.3600000000051</v>
      </c>
      <c r="AL15" s="532">
        <v>6591.4400000000005</v>
      </c>
      <c r="AM15" s="1025">
        <f t="shared" si="65"/>
        <v>18860.615000000013</v>
      </c>
      <c r="AN15" s="1025">
        <f t="shared" si="66"/>
        <v>18885.97</v>
      </c>
      <c r="AO15" s="1366">
        <f t="shared" si="81"/>
        <v>70993.205000000075</v>
      </c>
      <c r="AP15" s="1367">
        <f t="shared" si="82"/>
        <v>70733.56</v>
      </c>
      <c r="AQ15" s="528"/>
      <c r="AR15" s="532">
        <v>61.52</v>
      </c>
      <c r="AS15" s="1366">
        <f t="shared" si="90"/>
        <v>70993.205000000075</v>
      </c>
      <c r="AT15" s="1367">
        <f t="shared" si="83"/>
        <v>70795.08</v>
      </c>
      <c r="AU15" s="528">
        <v>12209.965000000022</v>
      </c>
      <c r="AV15" s="532">
        <v>12021.11</v>
      </c>
      <c r="AW15" s="1366">
        <f t="shared" si="84"/>
        <v>83203.1700000001</v>
      </c>
      <c r="AX15" s="1367">
        <f t="shared" si="85"/>
        <v>82816.19</v>
      </c>
      <c r="AY15" s="528">
        <v>5896.0024687895275</v>
      </c>
      <c r="AZ15" s="532">
        <v>5845.46</v>
      </c>
      <c r="BA15" s="1025">
        <f t="shared" si="67"/>
        <v>18105.967468789549</v>
      </c>
      <c r="BB15" s="1025">
        <f t="shared" si="68"/>
        <v>17928.09</v>
      </c>
      <c r="BC15" s="1518">
        <f t="shared" si="69"/>
        <v>36966.582468789566</v>
      </c>
      <c r="BD15" s="1518">
        <f t="shared" si="70"/>
        <v>36814.06</v>
      </c>
      <c r="BE15" s="1366">
        <f t="shared" si="86"/>
        <v>89099.17246878962</v>
      </c>
      <c r="BF15" s="1367">
        <f t="shared" si="87"/>
        <v>88661.650000000009</v>
      </c>
      <c r="BG15" s="25">
        <f t="shared" si="88"/>
        <v>0</v>
      </c>
      <c r="BH15" s="25">
        <f t="shared" si="89"/>
        <v>0</v>
      </c>
      <c r="BI15" s="25"/>
      <c r="BJ15" s="25"/>
    </row>
    <row r="16" spans="3:62" ht="15.75" thickBot="1" x14ac:dyDescent="0.3">
      <c r="C16" s="8317"/>
      <c r="D16" s="1985" t="s">
        <v>2</v>
      </c>
      <c r="E16" s="536">
        <f t="shared" ref="E16:AJ16" si="91">SUM(E10:E15)</f>
        <v>34203.355000000025</v>
      </c>
      <c r="F16" s="527">
        <f t="shared" si="91"/>
        <v>30570.629999999997</v>
      </c>
      <c r="G16" s="536">
        <f t="shared" si="91"/>
        <v>29282.950000000026</v>
      </c>
      <c r="H16" s="527">
        <f t="shared" si="91"/>
        <v>29256.649999999991</v>
      </c>
      <c r="I16" s="1368">
        <f t="shared" si="91"/>
        <v>63486.305000000051</v>
      </c>
      <c r="J16" s="1369">
        <f t="shared" si="91"/>
        <v>59827.279999999992</v>
      </c>
      <c r="K16" s="1248">
        <f t="shared" si="91"/>
        <v>32011.095000000038</v>
      </c>
      <c r="L16" s="1248">
        <f t="shared" si="91"/>
        <v>29261.74</v>
      </c>
      <c r="M16" s="4558">
        <f t="shared" si="91"/>
        <v>95497.400000000081</v>
      </c>
      <c r="N16" s="4563">
        <f t="shared" si="91"/>
        <v>89089.01999999999</v>
      </c>
      <c r="O16" s="1248">
        <f t="shared" ref="O16:P16" si="92">SUM(O10:O15)</f>
        <v>18863.025000000012</v>
      </c>
      <c r="P16" s="1248">
        <f t="shared" si="92"/>
        <v>21711.200000000004</v>
      </c>
      <c r="Q16" s="1368">
        <f t="shared" si="91"/>
        <v>114360.4250000001</v>
      </c>
      <c r="R16" s="1369">
        <f t="shared" si="91"/>
        <v>110800.22</v>
      </c>
      <c r="S16" s="1248">
        <f t="shared" si="91"/>
        <v>28986.125000000029</v>
      </c>
      <c r="T16" s="527">
        <f t="shared" si="91"/>
        <v>30556.339999999997</v>
      </c>
      <c r="U16" s="1368">
        <f t="shared" si="91"/>
        <v>143346.55000000013</v>
      </c>
      <c r="V16" s="1369">
        <f t="shared" si="91"/>
        <v>141356.56</v>
      </c>
      <c r="W16" s="1248">
        <f t="shared" si="91"/>
        <v>29188.925000000021</v>
      </c>
      <c r="X16" s="527">
        <f t="shared" si="91"/>
        <v>22029.020000000004</v>
      </c>
      <c r="Y16" s="4558">
        <f t="shared" si="91"/>
        <v>77038.075000000041</v>
      </c>
      <c r="Z16" s="4559">
        <f t="shared" si="91"/>
        <v>74296.56</v>
      </c>
      <c r="AA16" s="4549">
        <f t="shared" si="91"/>
        <v>172535.47500000015</v>
      </c>
      <c r="AB16" s="4550">
        <f t="shared" si="91"/>
        <v>163385.58000000002</v>
      </c>
      <c r="AC16" s="1248">
        <f t="shared" si="91"/>
        <v>10577.840000000002</v>
      </c>
      <c r="AD16" s="527">
        <f t="shared" si="91"/>
        <v>17270.419999999998</v>
      </c>
      <c r="AE16" s="1368">
        <f t="shared" si="91"/>
        <v>183113.31500000015</v>
      </c>
      <c r="AF16" s="1369">
        <f t="shared" si="91"/>
        <v>180656</v>
      </c>
      <c r="AG16" s="1248">
        <f t="shared" si="91"/>
        <v>25310.055000000022</v>
      </c>
      <c r="AH16" s="527">
        <f t="shared" si="91"/>
        <v>20194.771000000001</v>
      </c>
      <c r="AI16" s="1368">
        <f t="shared" si="91"/>
        <v>208423.37000000017</v>
      </c>
      <c r="AJ16" s="1369">
        <f t="shared" si="91"/>
        <v>200850.77100000001</v>
      </c>
      <c r="AK16" s="1248">
        <f t="shared" ref="AK16:BF16" si="93">SUM(AK10:AK15)</f>
        <v>31272.44500000004</v>
      </c>
      <c r="AL16" s="527">
        <f t="shared" si="93"/>
        <v>33870.373</v>
      </c>
      <c r="AM16" s="1028">
        <f t="shared" si="93"/>
        <v>67160.340000000055</v>
      </c>
      <c r="AN16" s="1029">
        <f t="shared" si="93"/>
        <v>71335.563999999998</v>
      </c>
      <c r="AO16" s="1368">
        <f t="shared" si="93"/>
        <v>239695.81500000024</v>
      </c>
      <c r="AP16" s="1369">
        <f t="shared" si="93"/>
        <v>234721.14399999997</v>
      </c>
      <c r="AQ16" s="1248">
        <f t="shared" si="93"/>
        <v>28699.930000000048</v>
      </c>
      <c r="AR16" s="527">
        <f t="shared" si="93"/>
        <v>32182.140000000003</v>
      </c>
      <c r="AS16" s="1368">
        <f t="shared" si="93"/>
        <v>268395.74500000023</v>
      </c>
      <c r="AT16" s="1369">
        <f t="shared" si="93"/>
        <v>266903.28399999999</v>
      </c>
      <c r="AU16" s="1248">
        <f t="shared" si="93"/>
        <v>42350.595000000088</v>
      </c>
      <c r="AV16" s="527">
        <f t="shared" si="93"/>
        <v>36909.47</v>
      </c>
      <c r="AW16" s="1368">
        <f t="shared" si="93"/>
        <v>310746.34000000037</v>
      </c>
      <c r="AX16" s="1369">
        <f t="shared" si="93"/>
        <v>303812.75400000002</v>
      </c>
      <c r="AY16" s="1248">
        <f t="shared" si="93"/>
        <v>24591.810628925559</v>
      </c>
      <c r="AZ16" s="527">
        <f t="shared" si="93"/>
        <v>32328.689999999995</v>
      </c>
      <c r="BA16" s="1028">
        <f t="shared" si="93"/>
        <v>95642.335628925692</v>
      </c>
      <c r="BB16" s="1029">
        <f t="shared" si="93"/>
        <v>101420.29999999999</v>
      </c>
      <c r="BC16" s="1521">
        <f t="shared" si="93"/>
        <v>162802.67562892576</v>
      </c>
      <c r="BD16" s="1522">
        <f t="shared" si="93"/>
        <v>172755.864</v>
      </c>
      <c r="BE16" s="1368">
        <f t="shared" si="93"/>
        <v>335338.15062892594</v>
      </c>
      <c r="BF16" s="1369">
        <f t="shared" si="93"/>
        <v>336141.44400000002</v>
      </c>
      <c r="BG16" s="25">
        <f t="shared" si="88"/>
        <v>0</v>
      </c>
      <c r="BH16" s="25">
        <f t="shared" si="89"/>
        <v>0</v>
      </c>
      <c r="BI16" s="25"/>
      <c r="BJ16" s="25"/>
    </row>
    <row r="17" spans="3:62" ht="19.5" thickBot="1" x14ac:dyDescent="0.3">
      <c r="C17" s="8308" t="s">
        <v>943</v>
      </c>
      <c r="D17" s="8309"/>
      <c r="E17" s="531">
        <f t="shared" ref="E17:AJ17" si="94">+E9+E16</f>
        <v>34203.355000000025</v>
      </c>
      <c r="F17" s="540">
        <f t="shared" si="94"/>
        <v>30570.629999999997</v>
      </c>
      <c r="G17" s="531">
        <f t="shared" si="94"/>
        <v>29282.950000000026</v>
      </c>
      <c r="H17" s="540">
        <f t="shared" si="94"/>
        <v>29256.649999999991</v>
      </c>
      <c r="I17" s="1034">
        <f t="shared" si="94"/>
        <v>63486.305000000051</v>
      </c>
      <c r="J17" s="1035">
        <f t="shared" si="94"/>
        <v>59827.279999999992</v>
      </c>
      <c r="K17" s="1249">
        <f t="shared" si="94"/>
        <v>32011.095000000038</v>
      </c>
      <c r="L17" s="531">
        <f t="shared" si="94"/>
        <v>29261.74</v>
      </c>
      <c r="M17" s="4560">
        <f t="shared" si="94"/>
        <v>95497.400000000081</v>
      </c>
      <c r="N17" s="4564">
        <f t="shared" si="94"/>
        <v>89089.01999999999</v>
      </c>
      <c r="O17" s="1249">
        <f t="shared" ref="O17:P17" si="95">+O9+O16</f>
        <v>18863.025000000012</v>
      </c>
      <c r="P17" s="531">
        <f t="shared" si="95"/>
        <v>21711.200000000004</v>
      </c>
      <c r="Q17" s="1034">
        <f t="shared" si="94"/>
        <v>114360.4250000001</v>
      </c>
      <c r="R17" s="1035">
        <f t="shared" si="94"/>
        <v>110800.22</v>
      </c>
      <c r="S17" s="531">
        <f t="shared" si="94"/>
        <v>28986.125000000029</v>
      </c>
      <c r="T17" s="540">
        <f t="shared" si="94"/>
        <v>30556.339999999997</v>
      </c>
      <c r="U17" s="1034">
        <f t="shared" si="94"/>
        <v>143346.55000000013</v>
      </c>
      <c r="V17" s="1035">
        <f t="shared" si="94"/>
        <v>141356.56</v>
      </c>
      <c r="W17" s="531">
        <f t="shared" si="94"/>
        <v>29188.925000000021</v>
      </c>
      <c r="X17" s="540">
        <f t="shared" si="94"/>
        <v>22029.020000000004</v>
      </c>
      <c r="Y17" s="4560">
        <f t="shared" si="94"/>
        <v>77038.075000000041</v>
      </c>
      <c r="Z17" s="4561">
        <f t="shared" si="94"/>
        <v>74296.56</v>
      </c>
      <c r="AA17" s="4551">
        <f t="shared" si="94"/>
        <v>172535.47500000015</v>
      </c>
      <c r="AB17" s="4552">
        <f t="shared" si="94"/>
        <v>163385.58000000002</v>
      </c>
      <c r="AC17" s="531">
        <f t="shared" si="94"/>
        <v>10577.840000000002</v>
      </c>
      <c r="AD17" s="540">
        <f t="shared" si="94"/>
        <v>17270.419999999998</v>
      </c>
      <c r="AE17" s="1034">
        <f t="shared" si="94"/>
        <v>183113.31500000015</v>
      </c>
      <c r="AF17" s="1035">
        <f t="shared" si="94"/>
        <v>180656</v>
      </c>
      <c r="AG17" s="531">
        <f t="shared" si="94"/>
        <v>25310.055000000022</v>
      </c>
      <c r="AH17" s="540">
        <f t="shared" si="94"/>
        <v>20194.771000000001</v>
      </c>
      <c r="AI17" s="1034">
        <f t="shared" si="94"/>
        <v>208423.37000000017</v>
      </c>
      <c r="AJ17" s="1035">
        <f t="shared" si="94"/>
        <v>200850.77100000001</v>
      </c>
      <c r="AK17" s="531">
        <f t="shared" ref="AK17:BF17" si="96">+AK9+AK16</f>
        <v>31272.44500000004</v>
      </c>
      <c r="AL17" s="540">
        <f t="shared" si="96"/>
        <v>33870.373</v>
      </c>
      <c r="AM17" s="1030">
        <f t="shared" si="96"/>
        <v>67160.340000000055</v>
      </c>
      <c r="AN17" s="1031">
        <f t="shared" si="96"/>
        <v>71335.563999999998</v>
      </c>
      <c r="AO17" s="1034">
        <f t="shared" si="96"/>
        <v>239695.81500000024</v>
      </c>
      <c r="AP17" s="1035">
        <f t="shared" si="96"/>
        <v>234721.14399999997</v>
      </c>
      <c r="AQ17" s="531">
        <f t="shared" si="96"/>
        <v>28699.930000000048</v>
      </c>
      <c r="AR17" s="540">
        <f t="shared" si="96"/>
        <v>32182.140000000003</v>
      </c>
      <c r="AS17" s="1034">
        <f t="shared" si="96"/>
        <v>268395.74500000023</v>
      </c>
      <c r="AT17" s="1035">
        <f t="shared" si="96"/>
        <v>266903.28399999999</v>
      </c>
      <c r="AU17" s="531">
        <f t="shared" si="96"/>
        <v>42350.595000000088</v>
      </c>
      <c r="AV17" s="540">
        <f t="shared" si="96"/>
        <v>36909.47</v>
      </c>
      <c r="AW17" s="1034">
        <f t="shared" si="96"/>
        <v>310746.34000000037</v>
      </c>
      <c r="AX17" s="1035">
        <f t="shared" si="96"/>
        <v>303812.75400000002</v>
      </c>
      <c r="AY17" s="531">
        <f t="shared" si="96"/>
        <v>24591.810628925559</v>
      </c>
      <c r="AZ17" s="540">
        <f t="shared" si="96"/>
        <v>32328.689999999995</v>
      </c>
      <c r="BA17" s="1030">
        <f t="shared" si="96"/>
        <v>95642.335628925692</v>
      </c>
      <c r="BB17" s="1031">
        <f t="shared" si="96"/>
        <v>101420.29999999999</v>
      </c>
      <c r="BC17" s="1523">
        <f t="shared" si="96"/>
        <v>162802.67562892576</v>
      </c>
      <c r="BD17" s="1524">
        <f t="shared" si="96"/>
        <v>172755.864</v>
      </c>
      <c r="BE17" s="1034">
        <f t="shared" si="96"/>
        <v>335338.15062892594</v>
      </c>
      <c r="BF17" s="1035">
        <f t="shared" si="96"/>
        <v>336141.44400000002</v>
      </c>
      <c r="BG17" s="25">
        <f t="shared" si="88"/>
        <v>0</v>
      </c>
      <c r="BH17" s="25">
        <f t="shared" si="89"/>
        <v>0</v>
      </c>
      <c r="BI17" s="25"/>
      <c r="BJ17" s="25"/>
    </row>
    <row r="19" spans="3:62" x14ac:dyDescent="0.25">
      <c r="Z19" s="25"/>
    </row>
    <row r="20" spans="3:62" x14ac:dyDescent="0.25">
      <c r="Z20" s="25"/>
    </row>
    <row r="21" spans="3:62" ht="23.25" hidden="1" x14ac:dyDescent="0.35">
      <c r="D21" s="8302" t="s">
        <v>1059</v>
      </c>
      <c r="E21" s="8302"/>
      <c r="F21" s="8302"/>
      <c r="G21" s="8302"/>
      <c r="H21" s="8302"/>
      <c r="I21" s="8302"/>
      <c r="J21" s="8302"/>
      <c r="K21" s="8302"/>
      <c r="L21" s="8302"/>
      <c r="M21" s="8302"/>
      <c r="N21" s="8302"/>
      <c r="O21" s="8302"/>
      <c r="P21" s="8302"/>
      <c r="Q21" s="8302"/>
      <c r="R21" s="8302"/>
      <c r="S21" s="8302"/>
      <c r="T21" s="8302"/>
    </row>
    <row r="22" spans="3:62" hidden="1" x14ac:dyDescent="0.25"/>
    <row r="23" spans="3:62" hidden="1" x14ac:dyDescent="0.25">
      <c r="D23" s="173"/>
      <c r="E23" s="173"/>
      <c r="F23" s="253" t="s">
        <v>924</v>
      </c>
      <c r="G23" s="253" t="s">
        <v>946</v>
      </c>
      <c r="H23" s="253" t="s">
        <v>950</v>
      </c>
      <c r="I23" s="253"/>
      <c r="J23" s="253"/>
      <c r="K23" s="253" t="s">
        <v>607</v>
      </c>
      <c r="L23" s="253" t="s">
        <v>959</v>
      </c>
      <c r="M23" s="253" t="s">
        <v>980</v>
      </c>
      <c r="N23" s="253" t="s">
        <v>1029</v>
      </c>
      <c r="O23" s="253" t="s">
        <v>629</v>
      </c>
      <c r="P23" s="253" t="s">
        <v>626</v>
      </c>
      <c r="Q23" s="253"/>
      <c r="R23" s="253"/>
      <c r="S23" s="253" t="s">
        <v>1054</v>
      </c>
      <c r="T23" s="253" t="s">
        <v>1055</v>
      </c>
    </row>
    <row r="24" spans="3:62" hidden="1" x14ac:dyDescent="0.25">
      <c r="D24" s="173" t="s">
        <v>929</v>
      </c>
      <c r="E24" s="173" t="s">
        <v>66</v>
      </c>
      <c r="F24" s="328">
        <v>0</v>
      </c>
      <c r="G24" s="328">
        <v>0</v>
      </c>
      <c r="H24" s="328">
        <v>1279.2</v>
      </c>
      <c r="I24" s="328"/>
      <c r="J24" s="328"/>
      <c r="K24" s="328">
        <f>SUM(F24:H24)</f>
        <v>1279.2</v>
      </c>
      <c r="L24" s="328">
        <v>0</v>
      </c>
      <c r="M24" s="328">
        <v>850.75</v>
      </c>
      <c r="N24" s="328">
        <v>1435</v>
      </c>
      <c r="O24" s="328">
        <f>SUM(L24:N24)</f>
        <v>2285.75</v>
      </c>
      <c r="P24" s="328">
        <f>+O24+K24</f>
        <v>3564.95</v>
      </c>
      <c r="Q24" s="328"/>
      <c r="R24" s="328"/>
      <c r="S24" s="328">
        <v>988.1</v>
      </c>
      <c r="T24" s="328">
        <f>P24+S24</f>
        <v>4553.05</v>
      </c>
    </row>
    <row r="25" spans="3:62" hidden="1" x14ac:dyDescent="0.25">
      <c r="D25" s="173" t="s">
        <v>932</v>
      </c>
      <c r="E25" s="173" t="s">
        <v>66</v>
      </c>
      <c r="F25" s="328">
        <v>516.12</v>
      </c>
      <c r="G25" s="328">
        <v>332.09999999999997</v>
      </c>
      <c r="H25" s="328">
        <v>0</v>
      </c>
      <c r="I25" s="328"/>
      <c r="J25" s="328"/>
      <c r="K25" s="328">
        <f t="shared" ref="K25:K31" si="97">SUM(F25:H25)</f>
        <v>848.22</v>
      </c>
      <c r="L25" s="328">
        <v>0</v>
      </c>
      <c r="M25" s="328">
        <v>0</v>
      </c>
      <c r="N25" s="328">
        <v>529</v>
      </c>
      <c r="O25" s="328">
        <f t="shared" ref="O25:O31" si="98">SUM(L25:N25)</f>
        <v>529</v>
      </c>
      <c r="P25" s="328">
        <f t="shared" ref="P25:P31" si="99">+O25+K25</f>
        <v>1377.22</v>
      </c>
      <c r="Q25" s="328"/>
      <c r="R25" s="328"/>
      <c r="S25" s="328">
        <v>740.05</v>
      </c>
      <c r="T25" s="328">
        <f t="shared" ref="T25:T30" si="100">P25+S25</f>
        <v>2117.27</v>
      </c>
    </row>
    <row r="26" spans="3:62" hidden="1" x14ac:dyDescent="0.25">
      <c r="D26" s="173" t="s">
        <v>931</v>
      </c>
      <c r="E26" s="173" t="s">
        <v>66</v>
      </c>
      <c r="F26" s="328">
        <v>367.24799999999999</v>
      </c>
      <c r="G26" s="328">
        <v>0</v>
      </c>
      <c r="H26" s="328">
        <v>393.6</v>
      </c>
      <c r="I26" s="328"/>
      <c r="J26" s="328"/>
      <c r="K26" s="328">
        <f t="shared" si="97"/>
        <v>760.84799999999996</v>
      </c>
      <c r="L26" s="328">
        <v>1521.1</v>
      </c>
      <c r="M26" s="328">
        <v>742.09999999999991</v>
      </c>
      <c r="N26" s="328">
        <v>845</v>
      </c>
      <c r="O26" s="328">
        <f t="shared" si="98"/>
        <v>3108.2</v>
      </c>
      <c r="P26" s="328">
        <f t="shared" si="99"/>
        <v>3869.0479999999998</v>
      </c>
      <c r="Q26" s="328"/>
      <c r="R26" s="328"/>
      <c r="S26" s="328">
        <v>1566.2</v>
      </c>
      <c r="T26" s="328">
        <f t="shared" si="100"/>
        <v>5435.2479999999996</v>
      </c>
    </row>
    <row r="27" spans="3:62" hidden="1" x14ac:dyDescent="0.25">
      <c r="D27" s="173" t="s">
        <v>933</v>
      </c>
      <c r="E27" s="173" t="s">
        <v>66</v>
      </c>
      <c r="F27" s="328">
        <v>1028.192</v>
      </c>
      <c r="G27" s="328">
        <v>313.64999999999998</v>
      </c>
      <c r="H27" s="328">
        <v>1558</v>
      </c>
      <c r="I27" s="328"/>
      <c r="J27" s="328"/>
      <c r="K27" s="328">
        <f t="shared" si="97"/>
        <v>2899.8420000000001</v>
      </c>
      <c r="L27" s="328">
        <v>1033.1999999999998</v>
      </c>
      <c r="M27" s="328">
        <v>491.99999999999994</v>
      </c>
      <c r="N27" s="328">
        <v>759</v>
      </c>
      <c r="O27" s="328">
        <f t="shared" si="98"/>
        <v>2284.1999999999998</v>
      </c>
      <c r="P27" s="328">
        <f t="shared" si="99"/>
        <v>5184.0419999999995</v>
      </c>
      <c r="Q27" s="328"/>
      <c r="R27" s="328"/>
      <c r="S27" s="328">
        <v>1221.8</v>
      </c>
      <c r="T27" s="328">
        <f t="shared" si="100"/>
        <v>6405.8419999999996</v>
      </c>
    </row>
    <row r="28" spans="3:62" hidden="1" x14ac:dyDescent="0.25">
      <c r="D28" s="173" t="s">
        <v>947</v>
      </c>
      <c r="E28" s="173" t="s">
        <v>66</v>
      </c>
      <c r="F28" s="328">
        <v>0</v>
      </c>
      <c r="G28" s="328">
        <v>143.5</v>
      </c>
      <c r="H28" s="328">
        <v>0</v>
      </c>
      <c r="I28" s="328"/>
      <c r="J28" s="328"/>
      <c r="K28" s="328">
        <f t="shared" si="97"/>
        <v>143.5</v>
      </c>
      <c r="L28" s="328">
        <v>0</v>
      </c>
      <c r="M28" s="328">
        <v>0</v>
      </c>
      <c r="N28" s="328">
        <v>0</v>
      </c>
      <c r="O28" s="328">
        <f t="shared" si="98"/>
        <v>0</v>
      </c>
      <c r="P28" s="328">
        <f t="shared" si="99"/>
        <v>143.5</v>
      </c>
      <c r="Q28" s="328"/>
      <c r="R28" s="328"/>
      <c r="S28" s="328">
        <v>0</v>
      </c>
      <c r="T28" s="328">
        <f t="shared" si="100"/>
        <v>143.5</v>
      </c>
    </row>
    <row r="29" spans="3:62" hidden="1" x14ac:dyDescent="0.25">
      <c r="D29" s="173" t="s">
        <v>934</v>
      </c>
      <c r="E29" s="173" t="s">
        <v>66</v>
      </c>
      <c r="F29" s="328">
        <v>42.84</v>
      </c>
      <c r="G29" s="328">
        <v>0</v>
      </c>
      <c r="H29" s="328">
        <v>0</v>
      </c>
      <c r="I29" s="328"/>
      <c r="J29" s="328"/>
      <c r="K29" s="328">
        <f t="shared" si="97"/>
        <v>42.84</v>
      </c>
      <c r="L29" s="328">
        <v>0</v>
      </c>
      <c r="M29" s="328">
        <v>153.75</v>
      </c>
      <c r="N29" s="328">
        <v>0</v>
      </c>
      <c r="O29" s="328">
        <f t="shared" si="98"/>
        <v>153.75</v>
      </c>
      <c r="P29" s="328">
        <f t="shared" si="99"/>
        <v>196.59</v>
      </c>
      <c r="Q29" s="328"/>
      <c r="R29" s="328"/>
      <c r="S29" s="328">
        <v>0</v>
      </c>
      <c r="T29" s="328">
        <f t="shared" si="100"/>
        <v>196.59</v>
      </c>
    </row>
    <row r="30" spans="3:62" hidden="1" x14ac:dyDescent="0.25">
      <c r="D30" s="173" t="s">
        <v>880</v>
      </c>
      <c r="E30" s="173" t="s">
        <v>66</v>
      </c>
      <c r="F30" s="328">
        <v>2756.5039999999999</v>
      </c>
      <c r="G30" s="328">
        <v>3013.4999999999995</v>
      </c>
      <c r="H30" s="328">
        <v>6814.2</v>
      </c>
      <c r="I30" s="328"/>
      <c r="J30" s="328"/>
      <c r="K30" s="328">
        <f t="shared" si="97"/>
        <v>12584.203999999998</v>
      </c>
      <c r="L30" s="328">
        <v>5334.0999999999995</v>
      </c>
      <c r="M30" s="328">
        <v>6262.75</v>
      </c>
      <c r="N30" s="328">
        <v>9301</v>
      </c>
      <c r="O30" s="328">
        <f t="shared" si="98"/>
        <v>20897.849999999999</v>
      </c>
      <c r="P30" s="328">
        <f t="shared" si="99"/>
        <v>33482.053999999996</v>
      </c>
      <c r="Q30" s="328"/>
      <c r="R30" s="328"/>
      <c r="S30" s="328">
        <v>7052</v>
      </c>
      <c r="T30" s="328">
        <f t="shared" si="100"/>
        <v>40534.053999999996</v>
      </c>
    </row>
    <row r="31" spans="3:62" ht="18.75" hidden="1" x14ac:dyDescent="0.3">
      <c r="D31" s="973" t="s">
        <v>2</v>
      </c>
      <c r="E31" s="973"/>
      <c r="F31" s="974">
        <f>SUM(F24:F30)</f>
        <v>4710.9039999999995</v>
      </c>
      <c r="G31" s="974">
        <f t="shared" ref="G31:S31" si="101">SUM(G24:G30)</f>
        <v>3802.7499999999995</v>
      </c>
      <c r="H31" s="974">
        <f t="shared" si="101"/>
        <v>10045</v>
      </c>
      <c r="I31" s="974"/>
      <c r="J31" s="974"/>
      <c r="K31" s="974">
        <f t="shared" si="97"/>
        <v>18558.653999999999</v>
      </c>
      <c r="L31" s="974">
        <f t="shared" si="101"/>
        <v>7888.4</v>
      </c>
      <c r="M31" s="974">
        <f t="shared" si="101"/>
        <v>8501.35</v>
      </c>
      <c r="N31" s="974">
        <f t="shared" si="101"/>
        <v>12869</v>
      </c>
      <c r="O31" s="974">
        <f t="shared" si="98"/>
        <v>29258.75</v>
      </c>
      <c r="P31" s="974">
        <f t="shared" si="99"/>
        <v>47817.403999999995</v>
      </c>
      <c r="Q31" s="974"/>
      <c r="R31" s="974"/>
      <c r="S31" s="974">
        <f t="shared" si="101"/>
        <v>11568.150000000001</v>
      </c>
      <c r="T31" s="974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C1" workbookViewId="0">
      <selection activeCell="G8" sqref="G8"/>
    </sheetView>
  </sheetViews>
  <sheetFormatPr defaultRowHeight="15" x14ac:dyDescent="0.25"/>
  <cols>
    <col min="1" max="2" width="0" hidden="1" customWidth="1"/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hidden="1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hidden="1" customWidth="1"/>
    <col min="14" max="14" width="2.7109375" hidden="1" customWidth="1"/>
    <col min="15" max="15" width="10.28515625" hidden="1" customWidth="1"/>
    <col min="16" max="16" width="2.7109375" hidden="1" customWidth="1"/>
    <col min="17" max="17" width="10" hidden="1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564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2866" hidden="1" customWidth="1"/>
    <col min="57" max="57" width="9.85546875" style="2866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327" t="s">
        <v>1733</v>
      </c>
      <c r="E2" s="8327"/>
      <c r="F2" s="8327"/>
      <c r="G2" s="8327"/>
      <c r="H2" s="8327"/>
      <c r="I2" s="8327"/>
      <c r="J2" s="8327"/>
      <c r="K2" s="8327"/>
      <c r="L2" s="8327"/>
      <c r="M2" s="8327"/>
      <c r="N2" s="8327"/>
      <c r="O2" s="8327"/>
      <c r="P2" s="8327"/>
      <c r="Q2" s="8327"/>
      <c r="R2" s="8327"/>
      <c r="S2" s="8327"/>
      <c r="T2" s="8327"/>
      <c r="U2" s="8327"/>
      <c r="V2" s="8327"/>
      <c r="W2" s="8327"/>
      <c r="X2" s="8327"/>
      <c r="Y2" s="8327"/>
      <c r="Z2" s="8327"/>
      <c r="AA2" s="8327"/>
      <c r="AB2" s="8327"/>
      <c r="AC2" s="8327"/>
      <c r="AD2" s="8327"/>
      <c r="AE2" s="8327"/>
      <c r="AF2" s="8327"/>
      <c r="AG2" s="8327"/>
      <c r="AH2" s="8327"/>
      <c r="AI2" s="8327"/>
      <c r="AJ2" s="8327"/>
      <c r="AK2" s="8327"/>
    </row>
    <row r="3" spans="4:65" s="31" customFormat="1" ht="18.75" x14ac:dyDescent="0.25">
      <c r="D3" s="1092"/>
      <c r="E3" s="1093"/>
      <c r="F3" s="8318" t="s">
        <v>2349</v>
      </c>
      <c r="G3" s="8319"/>
      <c r="H3" s="8318" t="s">
        <v>1956</v>
      </c>
      <c r="I3" s="8319"/>
      <c r="J3" s="8320" t="s">
        <v>627</v>
      </c>
      <c r="K3" s="8321"/>
      <c r="L3" s="8318" t="s">
        <v>1986</v>
      </c>
      <c r="M3" s="8319"/>
      <c r="N3" s="8322" t="s">
        <v>607</v>
      </c>
      <c r="O3" s="8323"/>
      <c r="P3" s="8318" t="s">
        <v>2008</v>
      </c>
      <c r="Q3" s="8319"/>
      <c r="R3" s="8320" t="s">
        <v>620</v>
      </c>
      <c r="S3" s="8321"/>
      <c r="T3" s="8318" t="s">
        <v>2011</v>
      </c>
      <c r="U3" s="8319"/>
      <c r="V3" s="8320" t="s">
        <v>18</v>
      </c>
      <c r="W3" s="8321"/>
      <c r="X3" s="8318" t="s">
        <v>2042</v>
      </c>
      <c r="Y3" s="8319"/>
      <c r="Z3" s="8322" t="s">
        <v>629</v>
      </c>
      <c r="AA3" s="8323"/>
      <c r="AB3" s="8328" t="s">
        <v>626</v>
      </c>
      <c r="AC3" s="8329"/>
      <c r="AD3" s="8318" t="s">
        <v>2067</v>
      </c>
      <c r="AE3" s="8319"/>
      <c r="AF3" s="8320" t="s">
        <v>24</v>
      </c>
      <c r="AG3" s="8321"/>
      <c r="AH3" s="8318" t="s">
        <v>2170</v>
      </c>
      <c r="AI3" s="8319"/>
      <c r="AJ3" s="8320" t="s">
        <v>27</v>
      </c>
      <c r="AK3" s="8321"/>
      <c r="AL3" s="8318" t="s">
        <v>2194</v>
      </c>
      <c r="AM3" s="8319"/>
      <c r="AN3" s="8322" t="s">
        <v>631</v>
      </c>
      <c r="AO3" s="8323"/>
      <c r="AP3" s="8320" t="s">
        <v>1575</v>
      </c>
      <c r="AQ3" s="8321"/>
      <c r="AR3" s="8318" t="s">
        <v>2206</v>
      </c>
      <c r="AS3" s="8319"/>
      <c r="AT3" s="8320" t="s">
        <v>28</v>
      </c>
      <c r="AU3" s="8321"/>
      <c r="AV3" s="8318" t="s">
        <v>2243</v>
      </c>
      <c r="AW3" s="8319"/>
      <c r="AX3" s="8320" t="s">
        <v>30</v>
      </c>
      <c r="AY3" s="8321"/>
      <c r="AZ3" s="8318" t="s">
        <v>2261</v>
      </c>
      <c r="BA3" s="8319"/>
      <c r="BB3" s="8322" t="s">
        <v>632</v>
      </c>
      <c r="BC3" s="8323"/>
      <c r="BD3" s="8328" t="s">
        <v>638</v>
      </c>
      <c r="BE3" s="8329"/>
      <c r="BF3" s="8320" t="s">
        <v>1984</v>
      </c>
      <c r="BG3" s="8321"/>
    </row>
    <row r="4" spans="4:65" ht="18.75" x14ac:dyDescent="0.3">
      <c r="D4" s="1094" t="s">
        <v>929</v>
      </c>
      <c r="E4" s="8324" t="s">
        <v>66</v>
      </c>
      <c r="F4" s="1038"/>
      <c r="G4" s="1038">
        <f>+'Value added steel '!G12</f>
        <v>207.05</v>
      </c>
      <c r="H4" s="1038"/>
      <c r="I4" s="1038">
        <f>+'Value added steel '!I12</f>
        <v>223.45000000000002</v>
      </c>
      <c r="J4" s="597"/>
      <c r="K4" s="597">
        <f>+G4+I4</f>
        <v>430.5</v>
      </c>
      <c r="L4" s="1038"/>
      <c r="M4" s="1038">
        <f>+'Value added steel '!M12</f>
        <v>699.05000000000007</v>
      </c>
      <c r="N4" s="601"/>
      <c r="O4" s="601">
        <f>+G4+I4+M4</f>
        <v>1129.5500000000002</v>
      </c>
      <c r="P4" s="1038"/>
      <c r="Q4" s="1038">
        <f>+'Value added steel '!Q12</f>
        <v>455.09999999999997</v>
      </c>
      <c r="R4" s="597"/>
      <c r="S4" s="597">
        <f>+O4+Q4</f>
        <v>1584.65</v>
      </c>
      <c r="T4" s="1038"/>
      <c r="U4" s="1038">
        <f>+'Value added steel '!U12</f>
        <v>1242.3</v>
      </c>
      <c r="V4" s="597"/>
      <c r="W4" s="597">
        <f>+S4+U4</f>
        <v>2826.95</v>
      </c>
      <c r="X4" s="1038"/>
      <c r="Y4" s="1038">
        <f>+'Value added steel '!Y12</f>
        <v>742.1</v>
      </c>
      <c r="Z4" s="601"/>
      <c r="AA4" s="601">
        <f>+Q4+U4+Y4</f>
        <v>2439.5</v>
      </c>
      <c r="AB4" s="1091"/>
      <c r="AC4" s="1091">
        <f>+O4+AA4</f>
        <v>3569.05</v>
      </c>
      <c r="AD4" s="1038"/>
      <c r="AE4" s="1038">
        <f>+'Value added steel '!AE12</f>
        <v>0</v>
      </c>
      <c r="AF4" s="597"/>
      <c r="AG4" s="597">
        <f>+AC4+AE4</f>
        <v>3569.05</v>
      </c>
      <c r="AH4" s="1038"/>
      <c r="AI4" s="1038">
        <f>+'Value added steel '!AI12</f>
        <v>1869.6</v>
      </c>
      <c r="AJ4" s="597"/>
      <c r="AK4" s="597">
        <f>+AG4+AI4</f>
        <v>5438.65</v>
      </c>
      <c r="AL4" s="1038"/>
      <c r="AM4" s="1038">
        <f>+'Value added steel '!AM12</f>
        <v>399.75</v>
      </c>
      <c r="AN4" s="601"/>
      <c r="AO4" s="601">
        <f>+AE4+AI4+AM4</f>
        <v>2269.35</v>
      </c>
      <c r="AP4" s="597"/>
      <c r="AQ4" s="597">
        <f>+AK4+AM4</f>
        <v>5838.4</v>
      </c>
      <c r="AR4" s="1038"/>
      <c r="AS4" s="1038">
        <f>+'Value added steel '!AS12</f>
        <v>655.99999999999989</v>
      </c>
      <c r="AT4" s="597"/>
      <c r="AU4" s="597">
        <f>+AQ4+AS4</f>
        <v>6494.4</v>
      </c>
      <c r="AV4" s="1038"/>
      <c r="AW4" s="1038">
        <f>+'Value added steel '!AW12</f>
        <v>979.90000000000009</v>
      </c>
      <c r="AX4" s="597"/>
      <c r="AY4" s="597">
        <f>+AU4+AW4</f>
        <v>7474.2999999999993</v>
      </c>
      <c r="AZ4" s="1038"/>
      <c r="BA4" s="1038">
        <f>+'Value added steel '!BA12</f>
        <v>186.55</v>
      </c>
      <c r="BB4" s="601"/>
      <c r="BC4" s="601">
        <f>+AS4+AW4+BA4</f>
        <v>1822.45</v>
      </c>
      <c r="BD4" s="1091"/>
      <c r="BE4" s="1091">
        <f>+AO4+BC4</f>
        <v>4091.8</v>
      </c>
      <c r="BF4" s="597"/>
      <c r="BG4" s="597">
        <f>+AY4+BA4</f>
        <v>7660.8499999999995</v>
      </c>
      <c r="BH4" s="25"/>
      <c r="BI4" s="25"/>
      <c r="BJ4" s="25"/>
    </row>
    <row r="5" spans="4:65" s="2444" customFormat="1" ht="18.75" x14ac:dyDescent="0.3">
      <c r="D5" s="1094" t="s">
        <v>1544</v>
      </c>
      <c r="E5" s="8325"/>
      <c r="F5" s="1038"/>
      <c r="G5" s="1038">
        <f>+'Value added steel '!G13</f>
        <v>0</v>
      </c>
      <c r="H5" s="1038"/>
      <c r="I5" s="1038">
        <f>+'Value added steel '!I13</f>
        <v>0</v>
      </c>
      <c r="J5" s="597"/>
      <c r="K5" s="597">
        <f t="shared" ref="K5:K15" si="0">+G5+I5</f>
        <v>0</v>
      </c>
      <c r="L5" s="1038"/>
      <c r="M5" s="1038">
        <f>+'Value added steel '!M13</f>
        <v>0</v>
      </c>
      <c r="N5" s="601"/>
      <c r="O5" s="601">
        <f t="shared" ref="O5:O15" si="1">+G5+I5+M5</f>
        <v>0</v>
      </c>
      <c r="P5" s="1038"/>
      <c r="Q5" s="1038">
        <f>+'Value added steel '!Q13</f>
        <v>0</v>
      </c>
      <c r="R5" s="597"/>
      <c r="S5" s="597">
        <f t="shared" ref="S5:S15" si="2">+O5+Q5</f>
        <v>0</v>
      </c>
      <c r="T5" s="1038"/>
      <c r="U5" s="1038">
        <f>+'Value added steel '!U13</f>
        <v>0</v>
      </c>
      <c r="V5" s="597"/>
      <c r="W5" s="597">
        <f t="shared" ref="W5:W14" si="3">+S5+U5</f>
        <v>0</v>
      </c>
      <c r="X5" s="1038"/>
      <c r="Y5" s="1038">
        <f>+'Value added steel '!Y13</f>
        <v>0</v>
      </c>
      <c r="Z5" s="601"/>
      <c r="AA5" s="601">
        <f t="shared" ref="AA5:AA15" si="4">+Q5+U5+Y5</f>
        <v>0</v>
      </c>
      <c r="AB5" s="1091"/>
      <c r="AC5" s="1091">
        <f t="shared" ref="AC5:AC15" si="5">+O5+AA5</f>
        <v>0</v>
      </c>
      <c r="AD5" s="1038"/>
      <c r="AE5" s="1038">
        <f>+'Value added steel '!AE13</f>
        <v>0</v>
      </c>
      <c r="AF5" s="597"/>
      <c r="AG5" s="597">
        <f t="shared" ref="AG5:AG13" si="6">+AC5+AE5</f>
        <v>0</v>
      </c>
      <c r="AH5" s="1038"/>
      <c r="AI5" s="1038">
        <f>+'Value added steel '!AI13</f>
        <v>0</v>
      </c>
      <c r="AJ5" s="597"/>
      <c r="AK5" s="597">
        <f t="shared" ref="AK5:AK15" si="7">+AG5+AI5</f>
        <v>0</v>
      </c>
      <c r="AL5" s="1038"/>
      <c r="AM5" s="1038">
        <f>+'Value added steel '!AM13</f>
        <v>0</v>
      </c>
      <c r="AN5" s="601"/>
      <c r="AO5" s="601">
        <f t="shared" ref="AO5:AO15" si="8">+AE5+AI5+AM5</f>
        <v>0</v>
      </c>
      <c r="AP5" s="597"/>
      <c r="AQ5" s="597">
        <f t="shared" ref="AQ5:AQ14" si="9">+AK5+AM5</f>
        <v>0</v>
      </c>
      <c r="AR5" s="1038"/>
      <c r="AS5" s="1038">
        <f>+'Value added steel '!AS13</f>
        <v>0</v>
      </c>
      <c r="AT5" s="597"/>
      <c r="AU5" s="597">
        <f t="shared" ref="AU5:AU14" si="10">+AQ5+AS5</f>
        <v>0</v>
      </c>
      <c r="AV5" s="1038"/>
      <c r="AW5" s="1038">
        <f>+'Value added steel '!AW13</f>
        <v>0</v>
      </c>
      <c r="AX5" s="597"/>
      <c r="AY5" s="597">
        <f t="shared" ref="AY5:AY15" si="11">+AU5+AW5</f>
        <v>0</v>
      </c>
      <c r="AZ5" s="1038"/>
      <c r="BA5" s="1038">
        <f>+'Value added steel '!BA13</f>
        <v>0</v>
      </c>
      <c r="BB5" s="601"/>
      <c r="BC5" s="601">
        <f t="shared" ref="BC5:BC12" si="12">+AS5+AW5+BA5</f>
        <v>0</v>
      </c>
      <c r="BD5" s="1091"/>
      <c r="BE5" s="1091">
        <f t="shared" ref="BE5:BE12" si="13">+AO5+BC5</f>
        <v>0</v>
      </c>
      <c r="BF5" s="597"/>
      <c r="BG5" s="597">
        <f t="shared" ref="BG5:BG12" si="14">+AY5+BA5</f>
        <v>0</v>
      </c>
      <c r="BH5" s="25"/>
      <c r="BI5" s="25"/>
      <c r="BJ5" s="25"/>
    </row>
    <row r="6" spans="4:65" s="4487" customFormat="1" ht="18.75" x14ac:dyDescent="0.3">
      <c r="D6" s="1094" t="s">
        <v>932</v>
      </c>
      <c r="E6" s="8325"/>
      <c r="F6" s="4913"/>
      <c r="G6" s="1038">
        <f>+'Value added steel '!G14</f>
        <v>0</v>
      </c>
      <c r="H6" s="4913"/>
      <c r="I6" s="1038">
        <f>+'Value added steel '!I14</f>
        <v>565.79999999999995</v>
      </c>
      <c r="J6" s="4914"/>
      <c r="K6" s="597">
        <f t="shared" si="0"/>
        <v>565.79999999999995</v>
      </c>
      <c r="L6" s="4913"/>
      <c r="M6" s="1038">
        <f>+'Value added steel '!M14</f>
        <v>502.24999999999994</v>
      </c>
      <c r="N6" s="4915"/>
      <c r="O6" s="601">
        <f t="shared" si="1"/>
        <v>1068.05</v>
      </c>
      <c r="P6" s="4913"/>
      <c r="Q6" s="1038">
        <f>+'Value added steel '!Q14</f>
        <v>338.25</v>
      </c>
      <c r="R6" s="4914"/>
      <c r="S6" s="597">
        <f t="shared" si="2"/>
        <v>1406.3</v>
      </c>
      <c r="T6" s="4913"/>
      <c r="U6" s="1038">
        <f>+'Value added steel '!U14</f>
        <v>338.25</v>
      </c>
      <c r="V6" s="4914"/>
      <c r="W6" s="597">
        <f t="shared" si="3"/>
        <v>1744.55</v>
      </c>
      <c r="X6" s="4913"/>
      <c r="Y6" s="1038">
        <f>+'Value added steel '!Y14</f>
        <v>319.8</v>
      </c>
      <c r="Z6" s="4915"/>
      <c r="AA6" s="601">
        <f t="shared" si="4"/>
        <v>996.3</v>
      </c>
      <c r="AB6" s="4916"/>
      <c r="AC6" s="1091">
        <f t="shared" si="5"/>
        <v>2064.35</v>
      </c>
      <c r="AD6" s="4913"/>
      <c r="AE6" s="1038">
        <f>+'Value added steel '!AE14</f>
        <v>0</v>
      </c>
      <c r="AF6" s="4914"/>
      <c r="AG6" s="597">
        <f t="shared" si="6"/>
        <v>2064.35</v>
      </c>
      <c r="AH6" s="4913"/>
      <c r="AI6" s="1038">
        <f>+'Value added steel '!AI14</f>
        <v>0</v>
      </c>
      <c r="AJ6" s="4914"/>
      <c r="AK6" s="597">
        <f t="shared" si="7"/>
        <v>2064.35</v>
      </c>
      <c r="AL6" s="4913"/>
      <c r="AM6" s="1038">
        <f>+'Value added steel '!AM14</f>
        <v>709.30000000000007</v>
      </c>
      <c r="AN6" s="4915"/>
      <c r="AO6" s="601">
        <f t="shared" si="8"/>
        <v>709.30000000000007</v>
      </c>
      <c r="AP6" s="4914"/>
      <c r="AQ6" s="597">
        <f t="shared" si="9"/>
        <v>2773.65</v>
      </c>
      <c r="AR6" s="4913"/>
      <c r="AS6" s="1038">
        <f>+'Value added steel '!AS14</f>
        <v>699.05</v>
      </c>
      <c r="AT6" s="4914"/>
      <c r="AU6" s="597">
        <f t="shared" si="10"/>
        <v>3472.7</v>
      </c>
      <c r="AV6" s="4913"/>
      <c r="AW6" s="1038">
        <f>+'Value added steel '!AW14</f>
        <v>0</v>
      </c>
      <c r="AX6" s="4914"/>
      <c r="AY6" s="597">
        <f t="shared" si="11"/>
        <v>3472.7</v>
      </c>
      <c r="AZ6" s="4913"/>
      <c r="BA6" s="1038">
        <f>+'Value added steel '!BA14</f>
        <v>120.95</v>
      </c>
      <c r="BB6" s="4915"/>
      <c r="BC6" s="601">
        <f t="shared" si="12"/>
        <v>820</v>
      </c>
      <c r="BD6" s="4916"/>
      <c r="BE6" s="1091">
        <f t="shared" si="13"/>
        <v>1529.3000000000002</v>
      </c>
      <c r="BF6" s="4914"/>
      <c r="BG6" s="597">
        <f t="shared" si="14"/>
        <v>3593.6499999999996</v>
      </c>
      <c r="BH6" s="25"/>
      <c r="BI6" s="25"/>
      <c r="BJ6" s="25"/>
    </row>
    <row r="7" spans="4:65" s="4487" customFormat="1" ht="18.75" x14ac:dyDescent="0.3">
      <c r="D7" s="1094" t="s">
        <v>931</v>
      </c>
      <c r="E7" s="8325"/>
      <c r="F7" s="4913"/>
      <c r="G7" s="1038">
        <f>+'Value added steel '!G15</f>
        <v>1576.4499999999998</v>
      </c>
      <c r="H7" s="4913"/>
      <c r="I7" s="1038">
        <f>+'Value added steel '!I15</f>
        <v>906.1</v>
      </c>
      <c r="J7" s="4914"/>
      <c r="K7" s="597">
        <f t="shared" si="0"/>
        <v>2482.5499999999997</v>
      </c>
      <c r="L7" s="4913"/>
      <c r="M7" s="1038">
        <f>+'Value added steel '!M15</f>
        <v>1012.7</v>
      </c>
      <c r="N7" s="4915"/>
      <c r="O7" s="601">
        <f t="shared" si="1"/>
        <v>3495.25</v>
      </c>
      <c r="P7" s="4913"/>
      <c r="Q7" s="1038">
        <f>+'Value added steel '!Q15</f>
        <v>1246.3999999999999</v>
      </c>
      <c r="R7" s="4914"/>
      <c r="S7" s="597">
        <f t="shared" si="2"/>
        <v>4741.6499999999996</v>
      </c>
      <c r="T7" s="4913"/>
      <c r="U7" s="1038">
        <f>+'Value added steel '!U15</f>
        <v>1609.25</v>
      </c>
      <c r="V7" s="4914"/>
      <c r="W7" s="597">
        <f t="shared" si="3"/>
        <v>6350.9</v>
      </c>
      <c r="X7" s="4913"/>
      <c r="Y7" s="1038">
        <f>+'Value added steel '!Y15</f>
        <v>1783.5</v>
      </c>
      <c r="Z7" s="4915"/>
      <c r="AA7" s="601">
        <f t="shared" si="4"/>
        <v>4639.1499999999996</v>
      </c>
      <c r="AB7" s="4916"/>
      <c r="AC7" s="1091">
        <f t="shared" si="5"/>
        <v>8134.4</v>
      </c>
      <c r="AD7" s="4913"/>
      <c r="AE7" s="1038">
        <f>+'Value added steel '!AE15</f>
        <v>813.85</v>
      </c>
      <c r="AF7" s="4914"/>
      <c r="AG7" s="597">
        <f t="shared" si="6"/>
        <v>8948.25</v>
      </c>
      <c r="AH7" s="4913"/>
      <c r="AI7" s="1038">
        <f>+'Value added steel '!AI15</f>
        <v>1603.1000000000001</v>
      </c>
      <c r="AJ7" s="4914"/>
      <c r="AK7" s="597">
        <f t="shared" si="7"/>
        <v>10551.35</v>
      </c>
      <c r="AL7" s="4913"/>
      <c r="AM7" s="1038">
        <f>+'Value added steel '!AM15</f>
        <v>1227.9500000000003</v>
      </c>
      <c r="AN7" s="4915"/>
      <c r="AO7" s="601">
        <f t="shared" si="8"/>
        <v>3644.9000000000005</v>
      </c>
      <c r="AP7" s="4914"/>
      <c r="AQ7" s="597">
        <f t="shared" si="9"/>
        <v>11779.300000000001</v>
      </c>
      <c r="AR7" s="4913"/>
      <c r="AS7" s="1038">
        <f>+'Value added steel '!AS15</f>
        <v>2457.9500000000003</v>
      </c>
      <c r="AT7" s="4914"/>
      <c r="AU7" s="597">
        <f t="shared" si="10"/>
        <v>14237.250000000002</v>
      </c>
      <c r="AV7" s="4913"/>
      <c r="AW7" s="1038">
        <f>+'Value added steel '!AW15</f>
        <v>1457.5500000000004</v>
      </c>
      <c r="AX7" s="4914"/>
      <c r="AY7" s="597">
        <f t="shared" si="11"/>
        <v>15694.800000000003</v>
      </c>
      <c r="AZ7" s="4913"/>
      <c r="BA7" s="1038">
        <f>+'Value added steel '!BA15</f>
        <v>1371.4499999999998</v>
      </c>
      <c r="BB7" s="4915"/>
      <c r="BC7" s="601">
        <f t="shared" si="12"/>
        <v>5286.9500000000007</v>
      </c>
      <c r="BD7" s="4916"/>
      <c r="BE7" s="1091">
        <f t="shared" si="13"/>
        <v>8931.8500000000022</v>
      </c>
      <c r="BF7" s="4914"/>
      <c r="BG7" s="597">
        <f t="shared" si="14"/>
        <v>17066.250000000004</v>
      </c>
      <c r="BH7" s="25"/>
      <c r="BI7" s="25"/>
      <c r="BJ7" s="25"/>
    </row>
    <row r="8" spans="4:65" s="4487" customFormat="1" ht="18.75" x14ac:dyDescent="0.3">
      <c r="D8" s="1094" t="s">
        <v>1090</v>
      </c>
      <c r="E8" s="8325"/>
      <c r="F8" s="4913"/>
      <c r="G8" s="1038">
        <f>+'Value added steel '!G16</f>
        <v>123</v>
      </c>
      <c r="H8" s="4913"/>
      <c r="I8" s="1038">
        <f>+'Value added steel '!I16</f>
        <v>243.95000000000002</v>
      </c>
      <c r="J8" s="4914"/>
      <c r="K8" s="597">
        <f t="shared" si="0"/>
        <v>366.95000000000005</v>
      </c>
      <c r="L8" s="4913"/>
      <c r="M8" s="1038">
        <f>+'Value added steel '!M16</f>
        <v>0</v>
      </c>
      <c r="N8" s="4915"/>
      <c r="O8" s="601">
        <f t="shared" si="1"/>
        <v>366.95000000000005</v>
      </c>
      <c r="P8" s="4913"/>
      <c r="Q8" s="1038">
        <f>+'Value added steel '!Q16</f>
        <v>202.95</v>
      </c>
      <c r="R8" s="4914"/>
      <c r="S8" s="597">
        <f t="shared" si="2"/>
        <v>569.90000000000009</v>
      </c>
      <c r="T8" s="4913"/>
      <c r="U8" s="1038">
        <f>+'Value added steel '!U16</f>
        <v>399.74999999999994</v>
      </c>
      <c r="V8" s="4914"/>
      <c r="W8" s="597">
        <f t="shared" si="3"/>
        <v>969.65000000000009</v>
      </c>
      <c r="X8" s="4913"/>
      <c r="Y8" s="1038">
        <f>+'Value added steel '!Y16</f>
        <v>0</v>
      </c>
      <c r="Z8" s="4915"/>
      <c r="AA8" s="601">
        <f t="shared" si="4"/>
        <v>602.69999999999993</v>
      </c>
      <c r="AB8" s="4916"/>
      <c r="AC8" s="1091">
        <f t="shared" si="5"/>
        <v>969.65</v>
      </c>
      <c r="AD8" s="4913"/>
      <c r="AE8" s="1038">
        <f>+'Value added steel '!AE16</f>
        <v>0</v>
      </c>
      <c r="AF8" s="4914"/>
      <c r="AG8" s="597">
        <f t="shared" si="6"/>
        <v>969.65</v>
      </c>
      <c r="AH8" s="4913"/>
      <c r="AI8" s="1038">
        <f>+'Value added steel '!AI16</f>
        <v>0</v>
      </c>
      <c r="AJ8" s="4914"/>
      <c r="AK8" s="597">
        <f t="shared" si="7"/>
        <v>969.65</v>
      </c>
      <c r="AL8" s="4913"/>
      <c r="AM8" s="1038">
        <f>+'Value added steel '!AM16</f>
        <v>340.3</v>
      </c>
      <c r="AN8" s="4915"/>
      <c r="AO8" s="601">
        <f t="shared" si="8"/>
        <v>340.3</v>
      </c>
      <c r="AP8" s="4914"/>
      <c r="AQ8" s="597">
        <f t="shared" si="9"/>
        <v>1309.95</v>
      </c>
      <c r="AR8" s="4913"/>
      <c r="AS8" s="1038">
        <f>+'Value added steel '!AS16</f>
        <v>594.5</v>
      </c>
      <c r="AT8" s="4914"/>
      <c r="AU8" s="597">
        <f t="shared" si="10"/>
        <v>1904.45</v>
      </c>
      <c r="AV8" s="4913"/>
      <c r="AW8" s="1038">
        <f>+'Value added steel '!AW16</f>
        <v>291.10000000000002</v>
      </c>
      <c r="AX8" s="4914"/>
      <c r="AY8" s="597">
        <f t="shared" si="11"/>
        <v>2195.5500000000002</v>
      </c>
      <c r="AZ8" s="4913"/>
      <c r="BA8" s="1038">
        <f>+'Value added steel '!BA16</f>
        <v>0</v>
      </c>
      <c r="BB8" s="4915"/>
      <c r="BC8" s="601">
        <f t="shared" si="12"/>
        <v>885.6</v>
      </c>
      <c r="BD8" s="4916"/>
      <c r="BE8" s="1091">
        <f t="shared" si="13"/>
        <v>1225.9000000000001</v>
      </c>
      <c r="BF8" s="4914"/>
      <c r="BG8" s="597">
        <f t="shared" si="14"/>
        <v>2195.5500000000002</v>
      </c>
      <c r="BH8" s="25"/>
      <c r="BI8" s="25"/>
      <c r="BJ8" s="25"/>
    </row>
    <row r="9" spans="4:65" s="4487" customFormat="1" ht="18.75" x14ac:dyDescent="0.3">
      <c r="D9" s="1094" t="s">
        <v>933</v>
      </c>
      <c r="E9" s="8325"/>
      <c r="F9" s="4913"/>
      <c r="G9" s="1038">
        <f>+'Value added steel '!G17</f>
        <v>1970.0499999999997</v>
      </c>
      <c r="H9" s="4913"/>
      <c r="I9" s="1038">
        <f>+'Value added steel '!I17</f>
        <v>2177.1</v>
      </c>
      <c r="J9" s="4914"/>
      <c r="K9" s="597">
        <f t="shared" si="0"/>
        <v>4147.1499999999996</v>
      </c>
      <c r="L9" s="4913"/>
      <c r="M9" s="1038">
        <f>+'Value added steel '!M17</f>
        <v>1922.8999999999994</v>
      </c>
      <c r="N9" s="4915"/>
      <c r="O9" s="601">
        <f t="shared" si="1"/>
        <v>6070.0499999999993</v>
      </c>
      <c r="P9" s="4913"/>
      <c r="Q9" s="1038">
        <f>+'Value added steel '!Q17</f>
        <v>1215.6499999999999</v>
      </c>
      <c r="R9" s="4914"/>
      <c r="S9" s="597">
        <f t="shared" si="2"/>
        <v>7285.6999999999989</v>
      </c>
      <c r="T9" s="4913"/>
      <c r="U9" s="1038">
        <f>+'Value added steel '!U17</f>
        <v>2285.7500000000005</v>
      </c>
      <c r="V9" s="4914"/>
      <c r="W9" s="597">
        <f t="shared" si="3"/>
        <v>9571.4499999999989</v>
      </c>
      <c r="X9" s="4913"/>
      <c r="Y9" s="1038">
        <f>+'Value added steel '!Y17</f>
        <v>1029.0999999999999</v>
      </c>
      <c r="Z9" s="4915"/>
      <c r="AA9" s="601">
        <f t="shared" si="4"/>
        <v>4530.5</v>
      </c>
      <c r="AB9" s="4916"/>
      <c r="AC9" s="1091">
        <f t="shared" si="5"/>
        <v>10600.55</v>
      </c>
      <c r="AD9" s="4913"/>
      <c r="AE9" s="1038">
        <f>+'Value added steel '!AE17</f>
        <v>861.00000000000023</v>
      </c>
      <c r="AF9" s="4914"/>
      <c r="AG9" s="597">
        <f t="shared" si="6"/>
        <v>11461.55</v>
      </c>
      <c r="AH9" s="4913"/>
      <c r="AI9" s="1038">
        <f>+'Value added steel '!AI17</f>
        <v>2410.8000000000002</v>
      </c>
      <c r="AJ9" s="4914"/>
      <c r="AK9" s="597">
        <f t="shared" si="7"/>
        <v>13872.349999999999</v>
      </c>
      <c r="AL9" s="4913"/>
      <c r="AM9" s="1038">
        <f>+'Value added steel '!AM17</f>
        <v>711.34999999999991</v>
      </c>
      <c r="AN9" s="4915"/>
      <c r="AO9" s="601">
        <f t="shared" si="8"/>
        <v>3983.15</v>
      </c>
      <c r="AP9" s="4914"/>
      <c r="AQ9" s="597">
        <f t="shared" si="9"/>
        <v>14583.699999999999</v>
      </c>
      <c r="AR9" s="4913"/>
      <c r="AS9" s="1038">
        <f>+'Value added steel '!AS17</f>
        <v>2103.3000000000002</v>
      </c>
      <c r="AT9" s="4914"/>
      <c r="AU9" s="597">
        <f t="shared" si="10"/>
        <v>16687</v>
      </c>
      <c r="AV9" s="4913"/>
      <c r="AW9" s="1038">
        <f>+'Value added steel '!AW17</f>
        <v>1033.1999999999998</v>
      </c>
      <c r="AX9" s="4914"/>
      <c r="AY9" s="597">
        <f t="shared" si="11"/>
        <v>17720.2</v>
      </c>
      <c r="AZ9" s="4913"/>
      <c r="BA9" s="1038">
        <f>+'Value added steel '!BA17</f>
        <v>2339.0499999999997</v>
      </c>
      <c r="BB9" s="4915"/>
      <c r="BC9" s="601">
        <f t="shared" si="12"/>
        <v>5475.5499999999993</v>
      </c>
      <c r="BD9" s="4916"/>
      <c r="BE9" s="1091">
        <f t="shared" si="13"/>
        <v>9458.6999999999989</v>
      </c>
      <c r="BF9" s="4914"/>
      <c r="BG9" s="597">
        <f t="shared" si="14"/>
        <v>20059.25</v>
      </c>
      <c r="BH9" s="25"/>
      <c r="BI9" s="25"/>
      <c r="BJ9" s="25"/>
    </row>
    <row r="10" spans="4:65" s="3048" customFormat="1" ht="18.75" x14ac:dyDescent="0.3">
      <c r="D10" s="1094" t="s">
        <v>1094</v>
      </c>
      <c r="E10" s="8325"/>
      <c r="F10" s="3049"/>
      <c r="G10" s="1038">
        <f>+'Value added steel '!G18</f>
        <v>0</v>
      </c>
      <c r="H10" s="3049"/>
      <c r="I10" s="1038">
        <f>+'Value added steel '!I18</f>
        <v>4.0999999999999996</v>
      </c>
      <c r="J10" s="3050"/>
      <c r="K10" s="597">
        <f t="shared" si="0"/>
        <v>4.0999999999999996</v>
      </c>
      <c r="L10" s="3049"/>
      <c r="M10" s="1038">
        <f>+'Value added steel '!M18</f>
        <v>98.4</v>
      </c>
      <c r="N10" s="3051"/>
      <c r="O10" s="601">
        <f t="shared" si="1"/>
        <v>102.5</v>
      </c>
      <c r="P10" s="3049"/>
      <c r="Q10" s="1038">
        <f>+'Value added steel '!Q18</f>
        <v>6.1499999999999995</v>
      </c>
      <c r="R10" s="3050"/>
      <c r="S10" s="597">
        <f t="shared" si="2"/>
        <v>108.65</v>
      </c>
      <c r="T10" s="3049"/>
      <c r="U10" s="1038">
        <f>+'Value added steel '!U18</f>
        <v>6.15</v>
      </c>
      <c r="V10" s="3050"/>
      <c r="W10" s="597">
        <f t="shared" si="3"/>
        <v>114.80000000000001</v>
      </c>
      <c r="X10" s="3049"/>
      <c r="Y10" s="1038">
        <f>+'Value added steel '!Y18</f>
        <v>0</v>
      </c>
      <c r="Z10" s="3051"/>
      <c r="AA10" s="601">
        <f t="shared" si="4"/>
        <v>12.3</v>
      </c>
      <c r="AB10" s="1091"/>
      <c r="AC10" s="1091">
        <f t="shared" si="5"/>
        <v>114.8</v>
      </c>
      <c r="AD10" s="3049"/>
      <c r="AE10" s="1038">
        <f>+'Value added steel '!AE18</f>
        <v>94.3</v>
      </c>
      <c r="AF10" s="3050"/>
      <c r="AG10" s="597">
        <f t="shared" si="6"/>
        <v>209.1</v>
      </c>
      <c r="AH10" s="3049"/>
      <c r="AI10" s="1038">
        <f>+'Value added steel '!AI18</f>
        <v>2.0499999999999998</v>
      </c>
      <c r="AJ10" s="3050"/>
      <c r="AK10" s="597">
        <f t="shared" si="7"/>
        <v>211.15</v>
      </c>
      <c r="AL10" s="3049"/>
      <c r="AM10" s="1038">
        <f>+'Value added steel '!AM18</f>
        <v>92.25</v>
      </c>
      <c r="AN10" s="3051"/>
      <c r="AO10" s="601">
        <f t="shared" si="8"/>
        <v>188.6</v>
      </c>
      <c r="AP10" s="3050"/>
      <c r="AQ10" s="597">
        <f t="shared" si="9"/>
        <v>303.39999999999998</v>
      </c>
      <c r="AR10" s="3049"/>
      <c r="AS10" s="1038">
        <f>+'Value added steel '!AS18</f>
        <v>0</v>
      </c>
      <c r="AT10" s="3050"/>
      <c r="AU10" s="597">
        <f t="shared" si="10"/>
        <v>303.39999999999998</v>
      </c>
      <c r="AV10" s="3049"/>
      <c r="AW10" s="1038">
        <f>+'Value added steel '!AW18</f>
        <v>225.5</v>
      </c>
      <c r="AX10" s="3050"/>
      <c r="AY10" s="597">
        <f t="shared" si="11"/>
        <v>528.9</v>
      </c>
      <c r="AZ10" s="3049"/>
      <c r="BA10" s="1038">
        <f>+'Value added steel '!BA18</f>
        <v>53.3</v>
      </c>
      <c r="BB10" s="3051"/>
      <c r="BC10" s="601">
        <f t="shared" si="12"/>
        <v>278.8</v>
      </c>
      <c r="BD10" s="3052"/>
      <c r="BE10" s="1091">
        <f t="shared" si="13"/>
        <v>467.4</v>
      </c>
      <c r="BF10" s="3050"/>
      <c r="BG10" s="597">
        <f t="shared" si="14"/>
        <v>582.19999999999993</v>
      </c>
      <c r="BH10" s="25"/>
      <c r="BI10" s="25"/>
      <c r="BJ10" s="25"/>
      <c r="BM10" s="25"/>
    </row>
    <row r="11" spans="4:65" ht="18.75" x14ac:dyDescent="0.3">
      <c r="D11" s="1094" t="s">
        <v>934</v>
      </c>
      <c r="E11" s="8325"/>
      <c r="F11" s="1038"/>
      <c r="G11" s="1038">
        <f>+'Value added steel '!G19</f>
        <v>82</v>
      </c>
      <c r="H11" s="1038"/>
      <c r="I11" s="1038">
        <f>+'Value added steel '!I19</f>
        <v>0</v>
      </c>
      <c r="J11" s="597"/>
      <c r="K11" s="597">
        <f t="shared" si="0"/>
        <v>82</v>
      </c>
      <c r="L11" s="1038"/>
      <c r="M11" s="1038">
        <f>+'Value added steel '!M19</f>
        <v>0</v>
      </c>
      <c r="N11" s="601"/>
      <c r="O11" s="601">
        <f t="shared" si="1"/>
        <v>82</v>
      </c>
      <c r="P11" s="1038"/>
      <c r="Q11" s="1038">
        <f>+'Value added steel '!Q19</f>
        <v>0</v>
      </c>
      <c r="R11" s="597"/>
      <c r="S11" s="597">
        <f t="shared" si="2"/>
        <v>82</v>
      </c>
      <c r="T11" s="1038"/>
      <c r="U11" s="1038">
        <f>+'Value added steel '!U19</f>
        <v>0</v>
      </c>
      <c r="V11" s="597"/>
      <c r="W11" s="597">
        <f t="shared" si="3"/>
        <v>82</v>
      </c>
      <c r="X11" s="1038"/>
      <c r="Y11" s="1038">
        <f>+'Value added steel '!Y19</f>
        <v>0</v>
      </c>
      <c r="Z11" s="601"/>
      <c r="AA11" s="601">
        <f t="shared" si="4"/>
        <v>0</v>
      </c>
      <c r="AB11" s="1091"/>
      <c r="AC11" s="1091">
        <f t="shared" si="5"/>
        <v>82</v>
      </c>
      <c r="AD11" s="1038"/>
      <c r="AE11" s="1038">
        <f>+'Value added steel '!AE19</f>
        <v>0</v>
      </c>
      <c r="AF11" s="597"/>
      <c r="AG11" s="597">
        <f t="shared" si="6"/>
        <v>82</v>
      </c>
      <c r="AH11" s="1038"/>
      <c r="AI11" s="1038">
        <f>+'Value added steel '!AI19</f>
        <v>0</v>
      </c>
      <c r="AJ11" s="597"/>
      <c r="AK11" s="597">
        <f t="shared" si="7"/>
        <v>82</v>
      </c>
      <c r="AL11" s="1038"/>
      <c r="AM11" s="1038">
        <f>+'Value added steel '!AM19</f>
        <v>82</v>
      </c>
      <c r="AN11" s="601"/>
      <c r="AO11" s="601">
        <f t="shared" si="8"/>
        <v>82</v>
      </c>
      <c r="AP11" s="597"/>
      <c r="AQ11" s="597">
        <f t="shared" si="9"/>
        <v>164</v>
      </c>
      <c r="AR11" s="1038"/>
      <c r="AS11" s="1038">
        <f>+'Value added steel '!AS19</f>
        <v>0</v>
      </c>
      <c r="AT11" s="597"/>
      <c r="AU11" s="597">
        <f t="shared" si="10"/>
        <v>164</v>
      </c>
      <c r="AV11" s="1038"/>
      <c r="AW11" s="1038">
        <f>+'Value added steel '!AW19</f>
        <v>375.15</v>
      </c>
      <c r="AX11" s="597"/>
      <c r="AY11" s="597">
        <f t="shared" si="11"/>
        <v>539.15</v>
      </c>
      <c r="AZ11" s="1038"/>
      <c r="BA11" s="1038">
        <f>+'Value added steel '!BA19</f>
        <v>0</v>
      </c>
      <c r="BB11" s="601"/>
      <c r="BC11" s="601">
        <f t="shared" si="12"/>
        <v>375.15</v>
      </c>
      <c r="BD11" s="1091"/>
      <c r="BE11" s="1091">
        <f t="shared" si="13"/>
        <v>457.15</v>
      </c>
      <c r="BF11" s="597"/>
      <c r="BG11" s="597">
        <f t="shared" si="14"/>
        <v>539.15</v>
      </c>
      <c r="BH11" s="25"/>
      <c r="BI11" s="25"/>
      <c r="BJ11" s="25"/>
      <c r="BM11" s="25"/>
    </row>
    <row r="12" spans="4:65" ht="18.75" x14ac:dyDescent="0.3">
      <c r="D12" s="1094" t="s">
        <v>1804</v>
      </c>
      <c r="E12" s="8325"/>
      <c r="F12" s="1038"/>
      <c r="G12" s="1038">
        <f>+'Value added steel '!G20</f>
        <v>0</v>
      </c>
      <c r="H12" s="1038"/>
      <c r="I12" s="1038">
        <f>+'Value added steel '!I20</f>
        <v>0</v>
      </c>
      <c r="J12" s="597"/>
      <c r="K12" s="597">
        <f t="shared" si="0"/>
        <v>0</v>
      </c>
      <c r="L12" s="1038"/>
      <c r="M12" s="1038">
        <f>+'Value added steel '!M20</f>
        <v>79.95</v>
      </c>
      <c r="N12" s="601"/>
      <c r="O12" s="601">
        <f t="shared" si="1"/>
        <v>79.95</v>
      </c>
      <c r="P12" s="1038"/>
      <c r="Q12" s="1038">
        <f>+'Value added steel '!Q20</f>
        <v>0</v>
      </c>
      <c r="R12" s="597"/>
      <c r="S12" s="597">
        <f t="shared" si="2"/>
        <v>79.95</v>
      </c>
      <c r="T12" s="1038"/>
      <c r="U12" s="1038">
        <f>+'Value added steel '!U20</f>
        <v>0</v>
      </c>
      <c r="V12" s="597"/>
      <c r="W12" s="597">
        <f t="shared" si="3"/>
        <v>79.95</v>
      </c>
      <c r="X12" s="1038"/>
      <c r="Y12" s="1038">
        <f>+'Value added steel '!Y20</f>
        <v>0</v>
      </c>
      <c r="Z12" s="601"/>
      <c r="AA12" s="601">
        <f t="shared" si="4"/>
        <v>0</v>
      </c>
      <c r="AB12" s="1091"/>
      <c r="AC12" s="1091">
        <f t="shared" si="5"/>
        <v>79.95</v>
      </c>
      <c r="AD12" s="1038"/>
      <c r="AE12" s="1038">
        <f>+'Value added steel '!AE20</f>
        <v>0</v>
      </c>
      <c r="AF12" s="597"/>
      <c r="AG12" s="597">
        <f t="shared" si="6"/>
        <v>79.95</v>
      </c>
      <c r="AH12" s="1038"/>
      <c r="AI12" s="1038">
        <f>+'Value added steel '!AI20</f>
        <v>0</v>
      </c>
      <c r="AJ12" s="597"/>
      <c r="AK12" s="597">
        <f t="shared" si="7"/>
        <v>79.95</v>
      </c>
      <c r="AL12" s="1038"/>
      <c r="AM12" s="1038">
        <f>+'Value added steel '!AM20</f>
        <v>0</v>
      </c>
      <c r="AN12" s="601"/>
      <c r="AO12" s="601">
        <f t="shared" si="8"/>
        <v>0</v>
      </c>
      <c r="AP12" s="597"/>
      <c r="AQ12" s="597">
        <f t="shared" si="9"/>
        <v>79.95</v>
      </c>
      <c r="AR12" s="1038"/>
      <c r="AS12" s="1038">
        <f>+'Value added steel '!AS20</f>
        <v>0</v>
      </c>
      <c r="AT12" s="597"/>
      <c r="AU12" s="597">
        <f t="shared" si="10"/>
        <v>79.95</v>
      </c>
      <c r="AV12" s="1038"/>
      <c r="AW12" s="1038">
        <f>+'Value added steel '!AW20</f>
        <v>0</v>
      </c>
      <c r="AX12" s="597"/>
      <c r="AY12" s="597">
        <f t="shared" si="11"/>
        <v>79.95</v>
      </c>
      <c r="AZ12" s="1038"/>
      <c r="BA12" s="1038">
        <f>+'Value added steel '!BA20</f>
        <v>0</v>
      </c>
      <c r="BB12" s="601"/>
      <c r="BC12" s="601">
        <f t="shared" si="12"/>
        <v>0</v>
      </c>
      <c r="BD12" s="1091"/>
      <c r="BE12" s="1091">
        <f t="shared" si="13"/>
        <v>0</v>
      </c>
      <c r="BF12" s="597"/>
      <c r="BG12" s="597">
        <f t="shared" si="14"/>
        <v>79.95</v>
      </c>
      <c r="BH12" s="25"/>
      <c r="BI12" s="25"/>
      <c r="BJ12" s="25"/>
      <c r="BM12" s="25"/>
    </row>
    <row r="13" spans="4:65" ht="18.75" x14ac:dyDescent="0.3">
      <c r="D13" s="1094" t="s">
        <v>1805</v>
      </c>
      <c r="E13" s="8325"/>
      <c r="F13" s="1038"/>
      <c r="G13" s="1038">
        <f>+'Value added steel '!G21</f>
        <v>0</v>
      </c>
      <c r="H13" s="1038"/>
      <c r="I13" s="1038">
        <f>+'Value added steel '!I21</f>
        <v>578.1</v>
      </c>
      <c r="J13" s="597"/>
      <c r="K13" s="597">
        <f t="shared" si="0"/>
        <v>578.1</v>
      </c>
      <c r="L13" s="1038"/>
      <c r="M13" s="1038">
        <f>+'Value added steel '!M21</f>
        <v>434.6</v>
      </c>
      <c r="N13" s="601"/>
      <c r="O13" s="601">
        <f t="shared" si="1"/>
        <v>1012.7</v>
      </c>
      <c r="P13" s="1038"/>
      <c r="Q13" s="1038">
        <f>+'Value added steel '!Q21</f>
        <v>0</v>
      </c>
      <c r="R13" s="597"/>
      <c r="S13" s="597">
        <f t="shared" si="2"/>
        <v>1012.7</v>
      </c>
      <c r="T13" s="1038"/>
      <c r="U13" s="1038">
        <f>+'Value added steel '!U21</f>
        <v>0</v>
      </c>
      <c r="V13" s="597"/>
      <c r="W13" s="597">
        <f t="shared" si="3"/>
        <v>1012.7</v>
      </c>
      <c r="X13" s="1038"/>
      <c r="Y13" s="1038">
        <f>+'Value added steel '!Y21</f>
        <v>0</v>
      </c>
      <c r="Z13" s="601"/>
      <c r="AA13" s="601">
        <f t="shared" si="4"/>
        <v>0</v>
      </c>
      <c r="AB13" s="1091"/>
      <c r="AC13" s="1091">
        <f t="shared" si="5"/>
        <v>1012.7</v>
      </c>
      <c r="AD13" s="1038"/>
      <c r="AE13" s="1038">
        <f>+'Value added steel '!AE21</f>
        <v>0</v>
      </c>
      <c r="AF13" s="597"/>
      <c r="AG13" s="597">
        <f t="shared" si="6"/>
        <v>1012.7</v>
      </c>
      <c r="AH13" s="1038"/>
      <c r="AI13" s="1038">
        <f>+'Value added steel '!AI21</f>
        <v>0</v>
      </c>
      <c r="AJ13" s="597"/>
      <c r="AK13" s="597">
        <f t="shared" si="7"/>
        <v>1012.7</v>
      </c>
      <c r="AL13" s="1038"/>
      <c r="AM13" s="1038">
        <f>+'Value added steel '!AM21</f>
        <v>0</v>
      </c>
      <c r="AN13" s="601"/>
      <c r="AO13" s="601">
        <f t="shared" si="8"/>
        <v>0</v>
      </c>
      <c r="AP13" s="597"/>
      <c r="AQ13" s="597">
        <f t="shared" si="9"/>
        <v>1012.7</v>
      </c>
      <c r="AR13" s="1038"/>
      <c r="AS13" s="1038">
        <f>+'Value added steel '!AS21</f>
        <v>0</v>
      </c>
      <c r="AT13" s="597"/>
      <c r="AU13" s="597">
        <f t="shared" si="10"/>
        <v>1012.7</v>
      </c>
      <c r="AV13" s="1038"/>
      <c r="AW13" s="1038">
        <f>+'Value added steel '!AW21</f>
        <v>0</v>
      </c>
      <c r="AX13" s="597"/>
      <c r="AY13" s="597">
        <f t="shared" si="11"/>
        <v>1012.7</v>
      </c>
      <c r="AZ13" s="1038"/>
      <c r="BA13" s="1038">
        <f>+'Value added steel '!BA21</f>
        <v>0</v>
      </c>
      <c r="BB13" s="601"/>
      <c r="BC13" s="601">
        <f t="shared" ref="BC13:BC15" si="15">+AS13+AW13+BA13</f>
        <v>0</v>
      </c>
      <c r="BD13" s="1091"/>
      <c r="BE13" s="1091">
        <f t="shared" ref="BE13:BE15" si="16">+AO13+BC13</f>
        <v>0</v>
      </c>
      <c r="BF13" s="597"/>
      <c r="BG13" s="597">
        <f t="shared" ref="BG13:BG15" si="17">+AY13+BA13</f>
        <v>1012.7</v>
      </c>
      <c r="BH13" s="25"/>
      <c r="BI13" s="25"/>
      <c r="BJ13" s="25"/>
      <c r="BM13" s="25"/>
    </row>
    <row r="14" spans="4:65" ht="18.75" x14ac:dyDescent="0.3">
      <c r="D14" s="1094" t="s">
        <v>1768</v>
      </c>
      <c r="E14" s="8325"/>
      <c r="F14" s="1038"/>
      <c r="G14" s="1038">
        <f>+'Value added steel '!G22</f>
        <v>0</v>
      </c>
      <c r="H14" s="1038"/>
      <c r="I14" s="1038">
        <f>+'Value added steel '!I22</f>
        <v>0</v>
      </c>
      <c r="J14" s="597"/>
      <c r="K14" s="597">
        <f t="shared" si="0"/>
        <v>0</v>
      </c>
      <c r="L14" s="1038"/>
      <c r="M14" s="1038">
        <f>+'Value added steel '!M22</f>
        <v>0</v>
      </c>
      <c r="N14" s="601"/>
      <c r="O14" s="601">
        <f t="shared" si="1"/>
        <v>0</v>
      </c>
      <c r="P14" s="1038"/>
      <c r="Q14" s="1038">
        <f>+'Value added steel '!Q22</f>
        <v>0</v>
      </c>
      <c r="R14" s="597"/>
      <c r="S14" s="597">
        <f t="shared" si="2"/>
        <v>0</v>
      </c>
      <c r="T14" s="1038"/>
      <c r="U14" s="1038">
        <f>+'Value added steel '!U22</f>
        <v>0</v>
      </c>
      <c r="V14" s="597"/>
      <c r="W14" s="597">
        <f t="shared" si="3"/>
        <v>0</v>
      </c>
      <c r="X14" s="1038"/>
      <c r="Y14" s="1038">
        <f>+'Value added steel '!Y22</f>
        <v>0</v>
      </c>
      <c r="Z14" s="601"/>
      <c r="AA14" s="601">
        <f t="shared" si="4"/>
        <v>0</v>
      </c>
      <c r="AB14" s="1091"/>
      <c r="AC14" s="1091">
        <f t="shared" si="5"/>
        <v>0</v>
      </c>
      <c r="AD14" s="1038"/>
      <c r="AE14" s="1038">
        <f>+'Value added steel '!AE22</f>
        <v>0</v>
      </c>
      <c r="AF14" s="597"/>
      <c r="AG14" s="597">
        <f t="shared" ref="AG14:AG15" si="18">+AC14+AE14</f>
        <v>0</v>
      </c>
      <c r="AH14" s="1038"/>
      <c r="AI14" s="1038">
        <f>+'Value added steel '!AI22</f>
        <v>0</v>
      </c>
      <c r="AJ14" s="597"/>
      <c r="AK14" s="597">
        <f t="shared" si="7"/>
        <v>0</v>
      </c>
      <c r="AL14" s="1038"/>
      <c r="AM14" s="1038">
        <f>+'Value added steel '!AM22</f>
        <v>0</v>
      </c>
      <c r="AN14" s="601"/>
      <c r="AO14" s="601">
        <f t="shared" si="8"/>
        <v>0</v>
      </c>
      <c r="AP14" s="597"/>
      <c r="AQ14" s="597">
        <f t="shared" si="9"/>
        <v>0</v>
      </c>
      <c r="AR14" s="1038"/>
      <c r="AS14" s="1038">
        <f>+'Value added steel '!AS22</f>
        <v>0</v>
      </c>
      <c r="AT14" s="597"/>
      <c r="AU14" s="597">
        <f t="shared" si="10"/>
        <v>0</v>
      </c>
      <c r="AV14" s="1038"/>
      <c r="AW14" s="1038">
        <f>+'Value added steel '!AW22</f>
        <v>0</v>
      </c>
      <c r="AX14" s="597"/>
      <c r="AY14" s="597">
        <f t="shared" si="11"/>
        <v>0</v>
      </c>
      <c r="AZ14" s="1038"/>
      <c r="BA14" s="1038">
        <f>+'Value added steel '!BA22</f>
        <v>0</v>
      </c>
      <c r="BB14" s="601"/>
      <c r="BC14" s="601">
        <f t="shared" si="15"/>
        <v>0</v>
      </c>
      <c r="BD14" s="1091"/>
      <c r="BE14" s="1091">
        <f t="shared" si="16"/>
        <v>0</v>
      </c>
      <c r="BF14" s="597"/>
      <c r="BG14" s="597">
        <f t="shared" si="17"/>
        <v>0</v>
      </c>
      <c r="BH14" s="25"/>
      <c r="BI14" s="25"/>
      <c r="BJ14" s="25"/>
      <c r="BM14" s="25"/>
    </row>
    <row r="15" spans="4:65" s="2491" customFormat="1" ht="18.75" x14ac:dyDescent="0.3">
      <c r="D15" s="1094" t="s">
        <v>1095</v>
      </c>
      <c r="E15" s="8325"/>
      <c r="F15" s="1038"/>
      <c r="G15" s="1038">
        <f>+'Value added steel '!G24</f>
        <v>17759.149999999994</v>
      </c>
      <c r="H15" s="1038"/>
      <c r="I15" s="1038">
        <f>+'Value added steel '!I24</f>
        <v>3847.85</v>
      </c>
      <c r="J15" s="597"/>
      <c r="K15" s="597">
        <f t="shared" si="0"/>
        <v>21606.999999999993</v>
      </c>
      <c r="L15" s="1038"/>
      <c r="M15" s="1038">
        <f>+'Value added steel '!M24</f>
        <v>6943.3499999999995</v>
      </c>
      <c r="N15" s="601"/>
      <c r="O15" s="601">
        <f t="shared" si="1"/>
        <v>28550.349999999991</v>
      </c>
      <c r="P15" s="1038"/>
      <c r="Q15" s="1038">
        <f>+'Value added steel '!Q24</f>
        <v>6264.8</v>
      </c>
      <c r="R15" s="597"/>
      <c r="S15" s="597">
        <f t="shared" si="2"/>
        <v>34815.149999999994</v>
      </c>
      <c r="T15" s="1038"/>
      <c r="U15" s="1038">
        <f>+'Value added steel '!U24</f>
        <v>4844.1500000000005</v>
      </c>
      <c r="V15" s="597"/>
      <c r="W15" s="597">
        <f t="shared" ref="W15" si="19">+S15+U15</f>
        <v>39659.299999999996</v>
      </c>
      <c r="X15" s="1038"/>
      <c r="Y15" s="1038">
        <f>+'Value added steel '!Y24</f>
        <v>6642</v>
      </c>
      <c r="Z15" s="601"/>
      <c r="AA15" s="601">
        <f t="shared" si="4"/>
        <v>17750.95</v>
      </c>
      <c r="AB15" s="1091"/>
      <c r="AC15" s="1091">
        <f t="shared" si="5"/>
        <v>46301.299999999988</v>
      </c>
      <c r="AD15" s="1038"/>
      <c r="AE15" s="1038">
        <f>+'Value added steel '!AE24</f>
        <v>9739.5499999999993</v>
      </c>
      <c r="AF15" s="597"/>
      <c r="AG15" s="597">
        <f t="shared" si="18"/>
        <v>56040.849999999991</v>
      </c>
      <c r="AH15" s="1038"/>
      <c r="AI15" s="1038">
        <f>+'Value added steel '!AI24</f>
        <v>5760.5</v>
      </c>
      <c r="AJ15" s="597"/>
      <c r="AK15" s="597">
        <f t="shared" si="7"/>
        <v>61801.349999999991</v>
      </c>
      <c r="AL15" s="1038"/>
      <c r="AM15" s="1038">
        <f>+'Value added steel '!AM24</f>
        <v>8384.5</v>
      </c>
      <c r="AN15" s="601"/>
      <c r="AO15" s="601">
        <f t="shared" si="8"/>
        <v>23884.55</v>
      </c>
      <c r="AP15" s="597"/>
      <c r="AQ15" s="597">
        <f t="shared" ref="AQ15" si="20">+AK15+AM15</f>
        <v>70185.849999999991</v>
      </c>
      <c r="AR15" s="1038"/>
      <c r="AS15" s="1038">
        <f>+'Value added steel '!AS24</f>
        <v>11320.100000000002</v>
      </c>
      <c r="AT15" s="597"/>
      <c r="AU15" s="597">
        <f t="shared" ref="AU15" si="21">+AQ15+AS15</f>
        <v>81505.95</v>
      </c>
      <c r="AV15" s="1038"/>
      <c r="AW15" s="1038">
        <f>+'Value added steel '!AW24</f>
        <v>8419.35</v>
      </c>
      <c r="AX15" s="597"/>
      <c r="AY15" s="597">
        <f t="shared" si="11"/>
        <v>89925.3</v>
      </c>
      <c r="AZ15" s="1038"/>
      <c r="BA15" s="1038">
        <f>+'Value added steel '!BA24</f>
        <v>9930.1999999999916</v>
      </c>
      <c r="BB15" s="601"/>
      <c r="BC15" s="601">
        <f t="shared" si="15"/>
        <v>29669.649999999994</v>
      </c>
      <c r="BD15" s="1091"/>
      <c r="BE15" s="1091">
        <f t="shared" si="16"/>
        <v>53554.2</v>
      </c>
      <c r="BF15" s="597"/>
      <c r="BG15" s="597">
        <f t="shared" si="17"/>
        <v>99855.5</v>
      </c>
      <c r="BH15" s="25"/>
      <c r="BI15" s="25"/>
      <c r="BJ15" s="25"/>
      <c r="BM15" s="25"/>
    </row>
    <row r="16" spans="4:65" ht="19.5" thickBot="1" x14ac:dyDescent="0.35">
      <c r="D16" s="1095" t="s">
        <v>2</v>
      </c>
      <c r="E16" s="8326"/>
      <c r="F16" s="1096"/>
      <c r="G16" s="1096">
        <f>SUM(G4:G15)</f>
        <v>21717.699999999993</v>
      </c>
      <c r="H16" s="1096">
        <f t="shared" ref="H16:AK16" si="22">SUM(H4:H15)</f>
        <v>0</v>
      </c>
      <c r="I16" s="1096">
        <f>SUM(I4:I15)</f>
        <v>8546.4500000000007</v>
      </c>
      <c r="J16" s="1096">
        <f t="shared" si="22"/>
        <v>0</v>
      </c>
      <c r="K16" s="1096">
        <f t="shared" si="22"/>
        <v>30264.149999999994</v>
      </c>
      <c r="L16" s="1096">
        <f t="shared" si="22"/>
        <v>0</v>
      </c>
      <c r="M16" s="1096">
        <f>SUM(M4:M15)</f>
        <v>11693.199999999999</v>
      </c>
      <c r="N16" s="1096">
        <f t="shared" si="22"/>
        <v>0</v>
      </c>
      <c r="O16" s="1096">
        <f t="shared" si="22"/>
        <v>41957.349999999991</v>
      </c>
      <c r="P16" s="1096">
        <f t="shared" si="22"/>
        <v>0</v>
      </c>
      <c r="Q16" s="1096">
        <f t="shared" si="22"/>
        <v>9729.2999999999993</v>
      </c>
      <c r="R16" s="1096">
        <f t="shared" si="22"/>
        <v>0</v>
      </c>
      <c r="S16" s="1096">
        <f t="shared" si="22"/>
        <v>51686.649999999994</v>
      </c>
      <c r="T16" s="1096">
        <f t="shared" si="22"/>
        <v>0</v>
      </c>
      <c r="U16" s="1096">
        <f t="shared" si="22"/>
        <v>10725.600000000002</v>
      </c>
      <c r="V16" s="1096">
        <f t="shared" si="22"/>
        <v>0</v>
      </c>
      <c r="W16" s="1096">
        <f t="shared" si="22"/>
        <v>62412.25</v>
      </c>
      <c r="X16" s="1096">
        <f t="shared" si="22"/>
        <v>0</v>
      </c>
      <c r="Y16" s="1096">
        <f t="shared" si="22"/>
        <v>10516.5</v>
      </c>
      <c r="Z16" s="1096">
        <f t="shared" si="22"/>
        <v>0</v>
      </c>
      <c r="AA16" s="1096">
        <f t="shared" si="22"/>
        <v>30971.4</v>
      </c>
      <c r="AB16" s="1096">
        <f t="shared" si="22"/>
        <v>0</v>
      </c>
      <c r="AC16" s="1096">
        <f t="shared" si="22"/>
        <v>72928.749999999985</v>
      </c>
      <c r="AD16" s="1096">
        <f t="shared" si="22"/>
        <v>0</v>
      </c>
      <c r="AE16" s="1096">
        <f t="shared" si="22"/>
        <v>11508.699999999999</v>
      </c>
      <c r="AF16" s="1096">
        <f t="shared" si="22"/>
        <v>0</v>
      </c>
      <c r="AG16" s="1096">
        <f t="shared" si="22"/>
        <v>84437.449999999983</v>
      </c>
      <c r="AH16" s="1096">
        <f t="shared" si="22"/>
        <v>0</v>
      </c>
      <c r="AI16" s="1096">
        <f t="shared" si="22"/>
        <v>11646.05</v>
      </c>
      <c r="AJ16" s="1096">
        <f t="shared" si="22"/>
        <v>0</v>
      </c>
      <c r="AK16" s="1096">
        <f t="shared" si="22"/>
        <v>96083.499999999985</v>
      </c>
      <c r="AL16" s="1096">
        <f t="shared" ref="AL16:BG16" si="23">SUM(AL4:AL15)</f>
        <v>0</v>
      </c>
      <c r="AM16" s="1096">
        <f t="shared" si="23"/>
        <v>11947.400000000001</v>
      </c>
      <c r="AN16" s="1096">
        <f t="shared" si="23"/>
        <v>0</v>
      </c>
      <c r="AO16" s="1096">
        <f t="shared" si="23"/>
        <v>35102.15</v>
      </c>
      <c r="AP16" s="1096">
        <f t="shared" si="23"/>
        <v>0</v>
      </c>
      <c r="AQ16" s="1096">
        <f t="shared" si="23"/>
        <v>108030.9</v>
      </c>
      <c r="AR16" s="1096">
        <f t="shared" si="23"/>
        <v>0</v>
      </c>
      <c r="AS16" s="1096">
        <f t="shared" ref="AS16" si="24">SUM(AS4:AS15)</f>
        <v>17830.900000000001</v>
      </c>
      <c r="AT16" s="1096">
        <f t="shared" si="23"/>
        <v>0</v>
      </c>
      <c r="AU16" s="1096">
        <f t="shared" si="23"/>
        <v>125861.79999999999</v>
      </c>
      <c r="AV16" s="1096">
        <f t="shared" si="23"/>
        <v>0</v>
      </c>
      <c r="AW16" s="1096">
        <f t="shared" si="23"/>
        <v>12781.75</v>
      </c>
      <c r="AX16" s="1096">
        <f t="shared" ref="AX16:AY16" si="25">SUM(AX4:AX15)</f>
        <v>0</v>
      </c>
      <c r="AY16" s="1096">
        <f t="shared" si="25"/>
        <v>138643.54999999999</v>
      </c>
      <c r="AZ16" s="1096">
        <f t="shared" si="23"/>
        <v>0</v>
      </c>
      <c r="BA16" s="1096">
        <f t="shared" ref="BA16" si="26">SUM(BA4:BA15)</f>
        <v>14001.499999999991</v>
      </c>
      <c r="BB16" s="1096">
        <f t="shared" si="23"/>
        <v>0</v>
      </c>
      <c r="BC16" s="1096">
        <f t="shared" si="23"/>
        <v>44614.149999999994</v>
      </c>
      <c r="BD16" s="1096">
        <f t="shared" si="23"/>
        <v>0</v>
      </c>
      <c r="BE16" s="1096">
        <f t="shared" si="23"/>
        <v>79716.3</v>
      </c>
      <c r="BF16" s="1096">
        <f t="shared" si="23"/>
        <v>0</v>
      </c>
      <c r="BG16" s="1096">
        <f t="shared" si="23"/>
        <v>152645.04999999999</v>
      </c>
      <c r="BH16" s="25"/>
      <c r="BI16" s="25"/>
      <c r="BJ16" s="25"/>
      <c r="BM16" s="25"/>
    </row>
    <row r="17" spans="4:65" x14ac:dyDescent="0.25">
      <c r="BM17" s="25"/>
    </row>
    <row r="18" spans="4:65" x14ac:dyDescent="0.25">
      <c r="D18" s="4487"/>
      <c r="E18" s="4487"/>
      <c r="F18" s="4487"/>
      <c r="G18" s="4487"/>
      <c r="H18" s="4487"/>
      <c r="I18" s="4487"/>
      <c r="J18" s="4487"/>
      <c r="K18" s="4487"/>
      <c r="L18" s="4487"/>
      <c r="M18" s="4487"/>
      <c r="N18" s="4487"/>
      <c r="O18" s="4487"/>
      <c r="P18" s="4487"/>
      <c r="Q18" s="4487"/>
      <c r="R18" s="4487"/>
      <c r="S18" s="4487"/>
      <c r="T18" s="4487"/>
      <c r="U18" s="4487"/>
      <c r="V18" s="4487"/>
      <c r="W18" s="4487"/>
      <c r="X18" s="4487"/>
      <c r="Y18" s="4487"/>
      <c r="Z18" s="4487"/>
      <c r="AA18" s="4487"/>
      <c r="AB18" s="4487"/>
      <c r="AC18" s="4487"/>
      <c r="AD18" s="4487"/>
      <c r="AE18" s="4487"/>
      <c r="AF18" s="4487"/>
      <c r="AG18" s="4487"/>
      <c r="AH18" s="4487"/>
      <c r="AI18" s="4487"/>
      <c r="AJ18" s="4487"/>
      <c r="AK18" s="4487"/>
      <c r="BM18" s="25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D1" activePane="topRight" state="frozen"/>
      <selection pane="topRight" activeCell="E5" sqref="E5"/>
    </sheetView>
  </sheetViews>
  <sheetFormatPr defaultColWidth="8.85546875" defaultRowHeight="18.75" x14ac:dyDescent="0.3"/>
  <cols>
    <col min="1" max="2" width="8.85546875" style="511"/>
    <col min="3" max="3" width="53.140625" style="511" customWidth="1"/>
    <col min="4" max="4" width="19.42578125" style="511" customWidth="1"/>
    <col min="5" max="5" width="11.7109375" style="511" customWidth="1"/>
    <col min="6" max="6" width="13.5703125" style="511" customWidth="1"/>
    <col min="7" max="28" width="9.140625" style="511" hidden="1" customWidth="1"/>
    <col min="29" max="58" width="8.85546875" style="511" hidden="1" customWidth="1"/>
    <col min="59" max="59" width="8.85546875" style="511" customWidth="1"/>
    <col min="60" max="16384" width="8.85546875" style="511"/>
  </cols>
  <sheetData>
    <row r="2" spans="3:61" x14ac:dyDescent="0.3">
      <c r="C2" s="2118" t="s">
        <v>635</v>
      </c>
    </row>
    <row r="3" spans="3:61" ht="15.75" customHeight="1" thickBot="1" x14ac:dyDescent="0.35">
      <c r="C3" s="2119"/>
    </row>
    <row r="4" spans="3:61" ht="19.5" thickBot="1" x14ac:dyDescent="0.35">
      <c r="C4" s="8339" t="s">
        <v>565</v>
      </c>
      <c r="D4" s="8341" t="s">
        <v>172</v>
      </c>
      <c r="E4" s="8334" t="s">
        <v>2319</v>
      </c>
      <c r="F4" s="8343"/>
      <c r="G4" s="8334" t="s">
        <v>1956</v>
      </c>
      <c r="H4" s="8334"/>
      <c r="I4" s="8332" t="s">
        <v>14</v>
      </c>
      <c r="J4" s="8333"/>
      <c r="K4" s="8335" t="s">
        <v>1986</v>
      </c>
      <c r="L4" s="8336"/>
      <c r="M4" s="8337" t="s">
        <v>138</v>
      </c>
      <c r="N4" s="8338"/>
      <c r="O4" s="8334" t="s">
        <v>2008</v>
      </c>
      <c r="P4" s="8334"/>
      <c r="Q4" s="8332" t="s">
        <v>17</v>
      </c>
      <c r="R4" s="8333"/>
      <c r="S4" s="8334" t="s">
        <v>2011</v>
      </c>
      <c r="T4" s="8334"/>
      <c r="U4" s="8332" t="s">
        <v>18</v>
      </c>
      <c r="V4" s="8333"/>
      <c r="W4" s="8334" t="s">
        <v>2042</v>
      </c>
      <c r="X4" s="8334"/>
      <c r="Y4" s="8344" t="s">
        <v>139</v>
      </c>
      <c r="Z4" s="8338"/>
      <c r="AA4" s="8345" t="s">
        <v>487</v>
      </c>
      <c r="AB4" s="8346"/>
      <c r="AC4" s="8334" t="s">
        <v>2067</v>
      </c>
      <c r="AD4" s="8334"/>
      <c r="AE4" s="8332" t="s">
        <v>24</v>
      </c>
      <c r="AF4" s="8333"/>
      <c r="AG4" s="8334" t="s">
        <v>2170</v>
      </c>
      <c r="AH4" s="8334"/>
      <c r="AI4" s="8332" t="s">
        <v>27</v>
      </c>
      <c r="AJ4" s="8333"/>
      <c r="AK4" s="8334" t="s">
        <v>2194</v>
      </c>
      <c r="AL4" s="8334"/>
      <c r="AM4" s="8344" t="s">
        <v>1577</v>
      </c>
      <c r="AN4" s="8338"/>
      <c r="AO4" s="8332" t="s">
        <v>1575</v>
      </c>
      <c r="AP4" s="8333"/>
      <c r="AQ4" s="8335" t="s">
        <v>2206</v>
      </c>
      <c r="AR4" s="8336"/>
      <c r="AS4" s="8330" t="s">
        <v>28</v>
      </c>
      <c r="AT4" s="8331"/>
      <c r="AU4" s="8335" t="s">
        <v>2243</v>
      </c>
      <c r="AV4" s="8336"/>
      <c r="AW4" s="8330" t="s">
        <v>30</v>
      </c>
      <c r="AX4" s="8331"/>
      <c r="AY4" s="8335" t="s">
        <v>2261</v>
      </c>
      <c r="AZ4" s="8336"/>
      <c r="BA4" s="8344" t="s">
        <v>1611</v>
      </c>
      <c r="BB4" s="8338"/>
      <c r="BC4" s="8345" t="s">
        <v>525</v>
      </c>
      <c r="BD4" s="8346"/>
      <c r="BE4" s="8330" t="s">
        <v>1984</v>
      </c>
      <c r="BF4" s="8331"/>
    </row>
    <row r="5" spans="3:61" ht="19.5" thickBot="1" x14ac:dyDescent="0.35">
      <c r="C5" s="8340"/>
      <c r="D5" s="8342"/>
      <c r="E5" s="2120" t="s">
        <v>173</v>
      </c>
      <c r="F5" s="2121" t="s">
        <v>174</v>
      </c>
      <c r="G5" s="2120" t="s">
        <v>173</v>
      </c>
      <c r="H5" s="2122" t="s">
        <v>174</v>
      </c>
      <c r="I5" s="2123" t="s">
        <v>173</v>
      </c>
      <c r="J5" s="2124" t="s">
        <v>174</v>
      </c>
      <c r="K5" s="2125" t="s">
        <v>173</v>
      </c>
      <c r="L5" s="2126" t="s">
        <v>174</v>
      </c>
      <c r="M5" s="2127" t="s">
        <v>173</v>
      </c>
      <c r="N5" s="2128" t="s">
        <v>174</v>
      </c>
      <c r="O5" s="2120" t="s">
        <v>173</v>
      </c>
      <c r="P5" s="2122" t="s">
        <v>174</v>
      </c>
      <c r="Q5" s="2123" t="s">
        <v>173</v>
      </c>
      <c r="R5" s="2124" t="s">
        <v>174</v>
      </c>
      <c r="S5" s="2120" t="s">
        <v>173</v>
      </c>
      <c r="T5" s="2122" t="s">
        <v>174</v>
      </c>
      <c r="U5" s="2123" t="s">
        <v>173</v>
      </c>
      <c r="V5" s="2124" t="s">
        <v>174</v>
      </c>
      <c r="W5" s="2120" t="s">
        <v>173</v>
      </c>
      <c r="X5" s="2122" t="s">
        <v>174</v>
      </c>
      <c r="Y5" s="2129" t="s">
        <v>173</v>
      </c>
      <c r="Z5" s="2128" t="s">
        <v>174</v>
      </c>
      <c r="AA5" s="2130" t="s">
        <v>173</v>
      </c>
      <c r="AB5" s="2131" t="s">
        <v>174</v>
      </c>
      <c r="AC5" s="2465" t="s">
        <v>173</v>
      </c>
      <c r="AD5" s="2122" t="s">
        <v>174</v>
      </c>
      <c r="AE5" s="2464" t="s">
        <v>173</v>
      </c>
      <c r="AF5" s="2124" t="s">
        <v>174</v>
      </c>
      <c r="AG5" s="2500" t="s">
        <v>173</v>
      </c>
      <c r="AH5" s="2122" t="s">
        <v>174</v>
      </c>
      <c r="AI5" s="2499" t="s">
        <v>173</v>
      </c>
      <c r="AJ5" s="2124" t="s">
        <v>174</v>
      </c>
      <c r="AK5" s="2582" t="s">
        <v>173</v>
      </c>
      <c r="AL5" s="2122" t="s">
        <v>174</v>
      </c>
      <c r="AM5" s="2584" t="s">
        <v>173</v>
      </c>
      <c r="AN5" s="2128" t="s">
        <v>174</v>
      </c>
      <c r="AO5" s="2583" t="s">
        <v>173</v>
      </c>
      <c r="AP5" s="2124" t="s">
        <v>174</v>
      </c>
      <c r="AQ5" s="2619" t="s">
        <v>173</v>
      </c>
      <c r="AR5" s="2122" t="s">
        <v>174</v>
      </c>
      <c r="AS5" s="2618" t="s">
        <v>173</v>
      </c>
      <c r="AT5" s="2124" t="s">
        <v>174</v>
      </c>
      <c r="AU5" s="2652" t="s">
        <v>173</v>
      </c>
      <c r="AV5" s="2122" t="s">
        <v>174</v>
      </c>
      <c r="AW5" s="2651" t="s">
        <v>173</v>
      </c>
      <c r="AX5" s="2124" t="s">
        <v>174</v>
      </c>
      <c r="AY5" s="2873" t="s">
        <v>173</v>
      </c>
      <c r="AZ5" s="2122" t="s">
        <v>174</v>
      </c>
      <c r="BA5" s="2874" t="s">
        <v>173</v>
      </c>
      <c r="BB5" s="2128" t="s">
        <v>174</v>
      </c>
      <c r="BC5" s="2875" t="s">
        <v>173</v>
      </c>
      <c r="BD5" s="2131" t="s">
        <v>174</v>
      </c>
      <c r="BE5" s="2872" t="s">
        <v>173</v>
      </c>
      <c r="BF5" s="2124" t="s">
        <v>174</v>
      </c>
    </row>
    <row r="6" spans="3:61" ht="19.5" thickBot="1" x14ac:dyDescent="0.35">
      <c r="C6" s="2132" t="s">
        <v>7</v>
      </c>
      <c r="D6" s="2133" t="s">
        <v>50</v>
      </c>
      <c r="E6" s="2134">
        <v>99</v>
      </c>
      <c r="F6" s="2135">
        <v>97.89</v>
      </c>
      <c r="G6" s="2136">
        <v>101</v>
      </c>
      <c r="H6" s="2135">
        <v>92.66</v>
      </c>
      <c r="I6" s="2137">
        <f t="shared" ref="I6:J8" si="0">+E6+G6</f>
        <v>200</v>
      </c>
      <c r="J6" s="2138">
        <f t="shared" si="0"/>
        <v>190.55</v>
      </c>
      <c r="K6" s="2136">
        <v>100</v>
      </c>
      <c r="L6" s="2135">
        <v>92.57</v>
      </c>
      <c r="M6" s="2139">
        <f t="shared" ref="M6:N8" si="1">+I6+K6</f>
        <v>300</v>
      </c>
      <c r="N6" s="2140">
        <f t="shared" si="1"/>
        <v>283.12</v>
      </c>
      <c r="O6" s="2136">
        <v>101</v>
      </c>
      <c r="P6" s="2135">
        <v>132.46</v>
      </c>
      <c r="Q6" s="2137">
        <f t="shared" ref="Q6:R8" si="2">+M6+O6</f>
        <v>401</v>
      </c>
      <c r="R6" s="2138">
        <f t="shared" si="2"/>
        <v>415.58000000000004</v>
      </c>
      <c r="S6" s="2136">
        <v>101</v>
      </c>
      <c r="T6" s="2135">
        <v>151.11000000000001</v>
      </c>
      <c r="U6" s="2137">
        <f t="shared" ref="U6:U8" si="3">+Q6+S6</f>
        <v>502</v>
      </c>
      <c r="V6" s="2138">
        <f t="shared" ref="V6:V8" si="4">+R6+T6</f>
        <v>566.69000000000005</v>
      </c>
      <c r="W6" s="2136">
        <v>99</v>
      </c>
      <c r="X6" s="2135">
        <v>141.69</v>
      </c>
      <c r="Y6" s="2139">
        <f t="shared" ref="Y6:Z8" si="5">+O6+S6+W6</f>
        <v>301</v>
      </c>
      <c r="Z6" s="2140">
        <f t="shared" si="5"/>
        <v>425.26000000000005</v>
      </c>
      <c r="AA6" s="2141">
        <f t="shared" ref="AA6:AB8" si="6">+U6+W6</f>
        <v>601</v>
      </c>
      <c r="AB6" s="2142">
        <f t="shared" si="6"/>
        <v>708.38000000000011</v>
      </c>
      <c r="AC6" s="2136">
        <v>100</v>
      </c>
      <c r="AD6" s="2135">
        <v>131.66999999999999</v>
      </c>
      <c r="AE6" s="2137">
        <f t="shared" ref="AE6:AE8" si="7">+AA6+AC6</f>
        <v>701</v>
      </c>
      <c r="AF6" s="2138">
        <f t="shared" ref="AF6:AF8" si="8">+AB6+AD6</f>
        <v>840.05000000000007</v>
      </c>
      <c r="AG6" s="2136">
        <v>100</v>
      </c>
      <c r="AH6" s="2135">
        <v>158.5</v>
      </c>
      <c r="AI6" s="2137">
        <f t="shared" ref="AI6:AI8" si="9">+AE6+AG6</f>
        <v>801</v>
      </c>
      <c r="AJ6" s="2138">
        <f t="shared" ref="AJ6:AJ8" si="10">+AF6+AH6</f>
        <v>998.55000000000007</v>
      </c>
      <c r="AK6" s="2136">
        <v>100</v>
      </c>
      <c r="AL6" s="2135">
        <v>139.09</v>
      </c>
      <c r="AM6" s="2139">
        <f t="shared" ref="AM6:AM8" si="11">+AC6+AG6+AK6</f>
        <v>300</v>
      </c>
      <c r="AN6" s="2140">
        <f t="shared" ref="AN6:AN8" si="12">+AD6+AH6+AL6</f>
        <v>429.26</v>
      </c>
      <c r="AO6" s="2137">
        <f t="shared" ref="AO6:AO8" si="13">+AI6+AK6</f>
        <v>901</v>
      </c>
      <c r="AP6" s="2138">
        <f t="shared" ref="AP6:AP8" si="14">+AJ6+AL6</f>
        <v>1137.6400000000001</v>
      </c>
      <c r="AQ6" s="2136">
        <v>100</v>
      </c>
      <c r="AR6" s="2135">
        <v>141.66999999999999</v>
      </c>
      <c r="AS6" s="2137">
        <f t="shared" ref="AS6:AS8" si="15">+AO6+AQ6</f>
        <v>1001</v>
      </c>
      <c r="AT6" s="2138">
        <f t="shared" ref="AT6:AT8" si="16">+AP6+AR6</f>
        <v>1279.3100000000002</v>
      </c>
      <c r="AU6" s="2136">
        <v>99</v>
      </c>
      <c r="AV6" s="2135">
        <v>89.76</v>
      </c>
      <c r="AW6" s="2137">
        <f t="shared" ref="AW6:AW8" si="17">+AS6+AU6</f>
        <v>1100</v>
      </c>
      <c r="AX6" s="2138">
        <f t="shared" ref="AX6:AX8" si="18">+AT6+AV6</f>
        <v>1369.0700000000002</v>
      </c>
      <c r="AY6" s="2136">
        <v>100</v>
      </c>
      <c r="AZ6" s="2135">
        <v>171.8</v>
      </c>
      <c r="BA6" s="2139">
        <f t="shared" ref="BA6:BA8" si="19">+AQ6+AU6+AY6</f>
        <v>299</v>
      </c>
      <c r="BB6" s="2140">
        <f t="shared" ref="BB6:BB8" si="20">+AR6+AV6+AZ6</f>
        <v>403.23</v>
      </c>
      <c r="BC6" s="2141">
        <f>AM6+BA6</f>
        <v>599</v>
      </c>
      <c r="BD6" s="2141">
        <f>AN6+BB6</f>
        <v>832.49</v>
      </c>
      <c r="BE6" s="2137">
        <f t="shared" ref="BE6:BE8" si="21">+AW6+AY6</f>
        <v>1200</v>
      </c>
      <c r="BF6" s="2138">
        <f t="shared" ref="BF6:BF8" si="22">+AX6+AZ6</f>
        <v>1540.8700000000001</v>
      </c>
      <c r="BG6" s="553"/>
      <c r="BH6" s="553"/>
      <c r="BI6" s="553"/>
    </row>
    <row r="7" spans="3:61" ht="19.5" thickBot="1" x14ac:dyDescent="0.35">
      <c r="C7" s="2143" t="s">
        <v>566</v>
      </c>
      <c r="D7" s="2144" t="s">
        <v>50</v>
      </c>
      <c r="E7" s="2145">
        <v>150</v>
      </c>
      <c r="F7" s="2146">
        <v>144.55000000000001</v>
      </c>
      <c r="G7" s="2147">
        <v>150</v>
      </c>
      <c r="H7" s="2146">
        <v>124</v>
      </c>
      <c r="I7" s="2148">
        <f t="shared" si="0"/>
        <v>300</v>
      </c>
      <c r="J7" s="2149">
        <f t="shared" si="0"/>
        <v>268.55</v>
      </c>
      <c r="K7" s="2147">
        <v>150</v>
      </c>
      <c r="L7" s="2146">
        <v>134.4</v>
      </c>
      <c r="M7" s="2150">
        <f t="shared" si="1"/>
        <v>450</v>
      </c>
      <c r="N7" s="2151">
        <f t="shared" si="1"/>
        <v>402.95000000000005</v>
      </c>
      <c r="O7" s="2147">
        <v>150</v>
      </c>
      <c r="P7" s="2146">
        <v>111</v>
      </c>
      <c r="Q7" s="2148">
        <f t="shared" si="2"/>
        <v>600</v>
      </c>
      <c r="R7" s="2149">
        <f t="shared" si="2"/>
        <v>513.95000000000005</v>
      </c>
      <c r="S7" s="2147">
        <v>151</v>
      </c>
      <c r="T7" s="2146">
        <v>143.9</v>
      </c>
      <c r="U7" s="2148">
        <f t="shared" si="3"/>
        <v>751</v>
      </c>
      <c r="V7" s="2149">
        <f t="shared" si="4"/>
        <v>657.85</v>
      </c>
      <c r="W7" s="2147">
        <v>150</v>
      </c>
      <c r="X7" s="2146">
        <v>129.5</v>
      </c>
      <c r="Y7" s="2150">
        <f t="shared" si="5"/>
        <v>451</v>
      </c>
      <c r="Z7" s="2151">
        <f t="shared" si="5"/>
        <v>384.4</v>
      </c>
      <c r="AA7" s="2152">
        <f t="shared" si="6"/>
        <v>901</v>
      </c>
      <c r="AB7" s="2153">
        <f t="shared" si="6"/>
        <v>787.35</v>
      </c>
      <c r="AC7" s="2147">
        <v>150</v>
      </c>
      <c r="AD7" s="2146">
        <v>132.4</v>
      </c>
      <c r="AE7" s="2148">
        <f t="shared" si="7"/>
        <v>1051</v>
      </c>
      <c r="AF7" s="2149">
        <f t="shared" si="8"/>
        <v>919.75</v>
      </c>
      <c r="AG7" s="2147">
        <v>150</v>
      </c>
      <c r="AH7" s="2146">
        <v>128.5</v>
      </c>
      <c r="AI7" s="2148">
        <f t="shared" si="9"/>
        <v>1201</v>
      </c>
      <c r="AJ7" s="2149">
        <f t="shared" si="10"/>
        <v>1048.25</v>
      </c>
      <c r="AK7" s="2147">
        <v>150</v>
      </c>
      <c r="AL7" s="2146">
        <v>132.5</v>
      </c>
      <c r="AM7" s="2150">
        <f t="shared" si="11"/>
        <v>450</v>
      </c>
      <c r="AN7" s="2151">
        <f t="shared" si="12"/>
        <v>393.4</v>
      </c>
      <c r="AO7" s="2148">
        <f t="shared" si="13"/>
        <v>1351</v>
      </c>
      <c r="AP7" s="2149">
        <f t="shared" si="14"/>
        <v>1180.75</v>
      </c>
      <c r="AQ7" s="2147">
        <v>150</v>
      </c>
      <c r="AR7" s="2146">
        <v>130.6</v>
      </c>
      <c r="AS7" s="2148">
        <f t="shared" si="15"/>
        <v>1501</v>
      </c>
      <c r="AT7" s="2149">
        <f t="shared" si="16"/>
        <v>1311.35</v>
      </c>
      <c r="AU7" s="2147">
        <v>149</v>
      </c>
      <c r="AV7" s="2146">
        <v>120.85</v>
      </c>
      <c r="AW7" s="2148">
        <f t="shared" si="17"/>
        <v>1650</v>
      </c>
      <c r="AX7" s="2149">
        <f t="shared" si="18"/>
        <v>1432.1999999999998</v>
      </c>
      <c r="AY7" s="2147">
        <v>150</v>
      </c>
      <c r="AZ7" s="2146">
        <v>159.75</v>
      </c>
      <c r="BA7" s="2150">
        <f t="shared" si="19"/>
        <v>449</v>
      </c>
      <c r="BB7" s="2151">
        <f t="shared" si="20"/>
        <v>411.2</v>
      </c>
      <c r="BC7" s="2141">
        <f>AM7+BA7</f>
        <v>899</v>
      </c>
      <c r="BD7" s="2141">
        <f>AN7+BB7</f>
        <v>804.59999999999991</v>
      </c>
      <c r="BE7" s="2148">
        <f t="shared" si="21"/>
        <v>1800</v>
      </c>
      <c r="BF7" s="2149">
        <f t="shared" si="22"/>
        <v>1591.9499999999998</v>
      </c>
      <c r="BG7" s="553"/>
      <c r="BH7" s="553"/>
      <c r="BI7" s="553"/>
    </row>
    <row r="8" spans="3:61" ht="19.5" thickBot="1" x14ac:dyDescent="0.35">
      <c r="C8" s="2154" t="s">
        <v>8</v>
      </c>
      <c r="D8" s="2155" t="s">
        <v>50</v>
      </c>
      <c r="E8" s="2156">
        <v>4</v>
      </c>
      <c r="F8" s="2157">
        <v>4</v>
      </c>
      <c r="G8" s="2158">
        <v>4</v>
      </c>
      <c r="H8" s="2157">
        <v>4</v>
      </c>
      <c r="I8" s="2159">
        <f t="shared" si="0"/>
        <v>8</v>
      </c>
      <c r="J8" s="2160">
        <f t="shared" si="0"/>
        <v>8</v>
      </c>
      <c r="K8" s="2158">
        <v>4</v>
      </c>
      <c r="L8" s="2157">
        <v>5</v>
      </c>
      <c r="M8" s="2161">
        <f t="shared" si="1"/>
        <v>12</v>
      </c>
      <c r="N8" s="2162">
        <f t="shared" si="1"/>
        <v>13</v>
      </c>
      <c r="O8" s="2158">
        <v>5</v>
      </c>
      <c r="P8" s="2157">
        <v>4.7</v>
      </c>
      <c r="Q8" s="2159">
        <f t="shared" si="2"/>
        <v>17</v>
      </c>
      <c r="R8" s="2160">
        <f t="shared" si="2"/>
        <v>17.7</v>
      </c>
      <c r="S8" s="2158">
        <v>5</v>
      </c>
      <c r="T8" s="2157">
        <v>4.75</v>
      </c>
      <c r="U8" s="2159">
        <f t="shared" si="3"/>
        <v>22</v>
      </c>
      <c r="V8" s="2160">
        <f t="shared" si="4"/>
        <v>22.45</v>
      </c>
      <c r="W8" s="2158">
        <v>4</v>
      </c>
      <c r="X8" s="2157">
        <v>4</v>
      </c>
      <c r="Y8" s="2161">
        <f t="shared" si="5"/>
        <v>14</v>
      </c>
      <c r="Z8" s="2162">
        <f t="shared" si="5"/>
        <v>13.45</v>
      </c>
      <c r="AA8" s="2163">
        <f t="shared" si="6"/>
        <v>26</v>
      </c>
      <c r="AB8" s="2164">
        <f t="shared" si="6"/>
        <v>26.45</v>
      </c>
      <c r="AC8" s="2158">
        <v>4</v>
      </c>
      <c r="AD8" s="2157">
        <v>4</v>
      </c>
      <c r="AE8" s="2159">
        <f t="shared" si="7"/>
        <v>30</v>
      </c>
      <c r="AF8" s="2160">
        <f t="shared" si="8"/>
        <v>30.45</v>
      </c>
      <c r="AG8" s="2158">
        <v>4</v>
      </c>
      <c r="AH8" s="2157">
        <v>4</v>
      </c>
      <c r="AI8" s="2159">
        <f t="shared" si="9"/>
        <v>34</v>
      </c>
      <c r="AJ8" s="2160">
        <f t="shared" si="10"/>
        <v>34.450000000000003</v>
      </c>
      <c r="AK8" s="2158">
        <v>4</v>
      </c>
      <c r="AL8" s="2157">
        <v>4</v>
      </c>
      <c r="AM8" s="2161">
        <f t="shared" si="11"/>
        <v>12</v>
      </c>
      <c r="AN8" s="2162">
        <f t="shared" si="12"/>
        <v>12</v>
      </c>
      <c r="AO8" s="2159">
        <f t="shared" si="13"/>
        <v>38</v>
      </c>
      <c r="AP8" s="2160">
        <f t="shared" si="14"/>
        <v>38.450000000000003</v>
      </c>
      <c r="AQ8" s="2158">
        <v>4</v>
      </c>
      <c r="AR8" s="2157">
        <v>4</v>
      </c>
      <c r="AS8" s="2159">
        <f t="shared" si="15"/>
        <v>42</v>
      </c>
      <c r="AT8" s="2160">
        <f t="shared" si="16"/>
        <v>42.45</v>
      </c>
      <c r="AU8" s="2158">
        <v>4</v>
      </c>
      <c r="AV8" s="2157">
        <v>4</v>
      </c>
      <c r="AW8" s="2159">
        <f t="shared" si="17"/>
        <v>46</v>
      </c>
      <c r="AX8" s="2160">
        <f t="shared" si="18"/>
        <v>46.45</v>
      </c>
      <c r="AY8" s="2158">
        <v>4</v>
      </c>
      <c r="AZ8" s="2157">
        <v>4</v>
      </c>
      <c r="BA8" s="2161">
        <f t="shared" si="19"/>
        <v>12</v>
      </c>
      <c r="BB8" s="2162">
        <f t="shared" si="20"/>
        <v>12</v>
      </c>
      <c r="BC8" s="2141">
        <f t="shared" ref="BC8:BD8" si="23">AM8+BA8</f>
        <v>24</v>
      </c>
      <c r="BD8" s="2141">
        <f t="shared" si="23"/>
        <v>24</v>
      </c>
      <c r="BE8" s="2159">
        <f t="shared" si="21"/>
        <v>50</v>
      </c>
      <c r="BF8" s="2160">
        <f t="shared" si="22"/>
        <v>50.45</v>
      </c>
      <c r="BG8" s="553"/>
      <c r="BH8" s="7100"/>
      <c r="BI8" s="553"/>
    </row>
    <row r="13" spans="3:61" x14ac:dyDescent="0.3">
      <c r="K13" s="2165"/>
      <c r="L13" s="2166"/>
    </row>
    <row r="14" spans="3:61" x14ac:dyDescent="0.3">
      <c r="K14" s="2165"/>
      <c r="L14" s="2167"/>
    </row>
    <row r="15" spans="3:61" x14ac:dyDescent="0.3">
      <c r="K15" s="2165"/>
      <c r="L15" s="2166"/>
    </row>
    <row r="17" spans="3:3" x14ac:dyDescent="0.3">
      <c r="C17" s="512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8B4"/>
    <pageSetUpPr fitToPage="1"/>
  </sheetPr>
  <dimension ref="D5:AD77"/>
  <sheetViews>
    <sheetView topLeftCell="A2" zoomScale="70" zoomScaleNormal="70" workbookViewId="0">
      <selection activeCell="G65" sqref="G65"/>
    </sheetView>
  </sheetViews>
  <sheetFormatPr defaultColWidth="9.140625" defaultRowHeight="15.75" x14ac:dyDescent="0.25"/>
  <cols>
    <col min="1" max="3" width="9.140625" style="1591"/>
    <col min="4" max="4" width="30.42578125" style="1591" customWidth="1"/>
    <col min="5" max="5" width="16.140625" style="1591" hidden="1" customWidth="1"/>
    <col min="6" max="6" width="15.42578125" style="1591" customWidth="1"/>
    <col min="7" max="7" width="15.7109375" style="1591" bestFit="1" customWidth="1"/>
    <col min="8" max="8" width="16.42578125" style="1591" bestFit="1" customWidth="1"/>
    <col min="9" max="9" width="2.85546875" style="2768" customWidth="1"/>
    <col min="10" max="10" width="30.85546875" style="1591" customWidth="1"/>
    <col min="11" max="11" width="15.42578125" style="1591" hidden="1" customWidth="1"/>
    <col min="12" max="12" width="17.140625" style="1591" customWidth="1"/>
    <col min="13" max="13" width="15.7109375" style="1591" bestFit="1" customWidth="1"/>
    <col min="14" max="14" width="16.42578125" style="1591" bestFit="1" customWidth="1"/>
    <col min="15" max="15" width="3.140625" style="2768" customWidth="1"/>
    <col min="16" max="16" width="30" style="1591" customWidth="1"/>
    <col min="17" max="17" width="5.7109375" style="1591" hidden="1" customWidth="1"/>
    <col min="18" max="18" width="13.85546875" style="1591" customWidth="1"/>
    <col min="19" max="19" width="14" style="1591" bestFit="1" customWidth="1"/>
    <col min="20" max="20" width="16.42578125" style="1591" customWidth="1"/>
    <col min="21" max="21" width="17.140625" style="1591" bestFit="1" customWidth="1"/>
    <col min="22" max="22" width="3" style="1591" customWidth="1"/>
    <col min="23" max="23" width="32" style="1591" customWidth="1"/>
    <col min="24" max="24" width="17.140625" style="1591" bestFit="1" customWidth="1"/>
    <col min="25" max="25" width="15.42578125" style="1591" customWidth="1"/>
    <col min="26" max="26" width="17.85546875" style="1591" customWidth="1"/>
    <col min="27" max="27" width="14.28515625" style="1591" bestFit="1" customWidth="1"/>
    <col min="28" max="28" width="18.85546875" style="1591" customWidth="1"/>
    <col min="29" max="29" width="18.5703125" style="1591" customWidth="1"/>
    <col min="30" max="30" width="20.140625" style="1591" bestFit="1" customWidth="1"/>
    <col min="31" max="16384" width="9.140625" style="1591"/>
  </cols>
  <sheetData>
    <row r="5" spans="4:30" ht="28.5" x14ac:dyDescent="0.45">
      <c r="D5" s="8350" t="s">
        <v>1414</v>
      </c>
      <c r="E5" s="8350"/>
      <c r="F5" s="8350"/>
      <c r="G5" s="8350"/>
      <c r="H5" s="8350"/>
      <c r="J5" s="8350" t="s">
        <v>1415</v>
      </c>
      <c r="K5" s="8350"/>
      <c r="L5" s="8350"/>
      <c r="M5" s="8350"/>
      <c r="N5" s="8350"/>
      <c r="P5" s="8351" t="s">
        <v>60</v>
      </c>
      <c r="Q5" s="8352"/>
      <c r="R5" s="8352"/>
      <c r="S5" s="8352"/>
      <c r="T5" s="8352"/>
      <c r="U5" s="8353"/>
      <c r="W5" s="8350" t="s">
        <v>1252</v>
      </c>
      <c r="X5" s="8350"/>
      <c r="Y5" s="8350"/>
      <c r="Z5" s="8350"/>
      <c r="AA5" s="8350"/>
      <c r="AB5" s="8350"/>
      <c r="AC5" s="8350"/>
      <c r="AD5" s="8350"/>
    </row>
    <row r="6" spans="4:30" ht="28.5" x14ac:dyDescent="0.25">
      <c r="D6" s="6527"/>
      <c r="E6" s="6527"/>
      <c r="F6" s="6528" t="s">
        <v>1416</v>
      </c>
      <c r="G6" s="6528" t="s">
        <v>1417</v>
      </c>
      <c r="H6" s="6528" t="s">
        <v>1418</v>
      </c>
      <c r="I6" s="2769"/>
      <c r="J6" s="6527"/>
      <c r="K6" s="6527"/>
      <c r="L6" s="6528" t="s">
        <v>1416</v>
      </c>
      <c r="M6" s="6528" t="s">
        <v>1417</v>
      </c>
      <c r="N6" s="6528" t="s">
        <v>1418</v>
      </c>
      <c r="P6" s="6527"/>
      <c r="Q6" s="6527"/>
      <c r="R6" s="6528" t="s">
        <v>1416</v>
      </c>
      <c r="S6" s="6528" t="s">
        <v>1417</v>
      </c>
      <c r="T6" s="6528" t="s">
        <v>1418</v>
      </c>
      <c r="U6" s="6528" t="s">
        <v>1557</v>
      </c>
      <c r="W6" s="6527"/>
      <c r="X6" s="6528" t="s">
        <v>1416</v>
      </c>
      <c r="Y6" s="6528" t="s">
        <v>2185</v>
      </c>
      <c r="Z6" s="6528" t="s">
        <v>209</v>
      </c>
      <c r="AA6" s="6528" t="s">
        <v>2186</v>
      </c>
      <c r="AB6" s="6528" t="s">
        <v>2183</v>
      </c>
      <c r="AC6" s="6528" t="s">
        <v>2184</v>
      </c>
      <c r="AD6" s="6528" t="s">
        <v>2193</v>
      </c>
    </row>
    <row r="7" spans="4:30" ht="32.25" customHeight="1" x14ac:dyDescent="0.45">
      <c r="D7" s="6433" t="s">
        <v>1419</v>
      </c>
      <c r="E7" s="6529"/>
      <c r="F7" s="6456">
        <v>62.592421052631636</v>
      </c>
      <c r="G7" s="6456">
        <v>2.7966315789473684</v>
      </c>
      <c r="H7" s="6456">
        <v>3.3077368421052609</v>
      </c>
      <c r="J7" s="6433" t="s">
        <v>1419</v>
      </c>
      <c r="K7" s="6529"/>
      <c r="L7" s="6456">
        <v>63.913176470588255</v>
      </c>
      <c r="M7" s="6456">
        <v>1.8717647058823521</v>
      </c>
      <c r="N7" s="6456">
        <v>2.5894117647058814</v>
      </c>
      <c r="P7" s="6433" t="s">
        <v>1419</v>
      </c>
      <c r="Q7" s="6529"/>
      <c r="R7" s="6456">
        <v>57.384682274928792</v>
      </c>
      <c r="S7" s="6456">
        <v>4.061069698250412</v>
      </c>
      <c r="T7" s="6456">
        <v>2.9385519762231174</v>
      </c>
      <c r="U7" s="6456">
        <v>2.0851733646466379</v>
      </c>
      <c r="W7" s="6433" t="s">
        <v>1419</v>
      </c>
      <c r="X7" s="8354" t="s">
        <v>1873</v>
      </c>
      <c r="Y7" s="8354"/>
      <c r="Z7" s="8354"/>
      <c r="AA7" s="8354"/>
      <c r="AB7" s="8354"/>
      <c r="AC7" s="8354"/>
      <c r="AD7" s="8354"/>
    </row>
    <row r="8" spans="4:30" ht="28.5" x14ac:dyDescent="0.45">
      <c r="D8" s="6433" t="s">
        <v>1420</v>
      </c>
      <c r="E8" s="6529"/>
      <c r="F8" s="6456">
        <v>62.414772946859848</v>
      </c>
      <c r="G8" s="6456">
        <v>3.0926360708534615</v>
      </c>
      <c r="H8" s="6456">
        <v>3.2114518760195785</v>
      </c>
      <c r="J8" s="6433" t="s">
        <v>1420</v>
      </c>
      <c r="K8" s="6529"/>
      <c r="L8" s="6456">
        <v>62.616530612244915</v>
      </c>
      <c r="M8" s="6456">
        <v>2.7822448979591838</v>
      </c>
      <c r="N8" s="6456">
        <v>3.0315918367346955</v>
      </c>
      <c r="P8" s="6433" t="s">
        <v>1420</v>
      </c>
      <c r="Q8" s="6529"/>
      <c r="R8" s="6456">
        <v>57.666494386436916</v>
      </c>
      <c r="S8" s="6456">
        <v>4.2392835375161679</v>
      </c>
      <c r="T8" s="6456">
        <v>3.0860570231678586</v>
      </c>
      <c r="U8" s="6456">
        <v>1.991930149178982</v>
      </c>
      <c r="W8" s="6433" t="s">
        <v>1420</v>
      </c>
      <c r="X8" s="8354"/>
      <c r="Y8" s="8354"/>
      <c r="Z8" s="8354"/>
      <c r="AA8" s="8354"/>
      <c r="AB8" s="8354"/>
      <c r="AC8" s="8354"/>
      <c r="AD8" s="8354"/>
    </row>
    <row r="9" spans="4:30" ht="28.5" x14ac:dyDescent="0.45">
      <c r="D9" s="6433" t="s">
        <v>1421</v>
      </c>
      <c r="E9" s="6529"/>
      <c r="F9" s="6456">
        <v>62.249008403361287</v>
      </c>
      <c r="G9" s="6456">
        <v>3.7766554621848756</v>
      </c>
      <c r="H9" s="6456">
        <v>2.8714453781512606</v>
      </c>
      <c r="J9" s="6433" t="s">
        <v>1421</v>
      </c>
      <c r="K9" s="6529"/>
      <c r="L9" s="6456">
        <v>62.877727272727292</v>
      </c>
      <c r="M9" s="6456">
        <v>3.2952447552447564</v>
      </c>
      <c r="N9" s="6456">
        <v>2.1003496503496493</v>
      </c>
      <c r="P9" s="6433" t="s">
        <v>1421</v>
      </c>
      <c r="Q9" s="6529"/>
      <c r="R9" s="6456">
        <v>56.516058983090353</v>
      </c>
      <c r="S9" s="6456">
        <v>4.6805393152959391</v>
      </c>
      <c r="T9" s="6456">
        <v>2.9923282891980403</v>
      </c>
      <c r="U9" s="6456">
        <v>1.9580285119928031</v>
      </c>
      <c r="W9" s="6433" t="s">
        <v>1421</v>
      </c>
      <c r="X9" s="8354"/>
      <c r="Y9" s="8354"/>
      <c r="Z9" s="8354"/>
      <c r="AA9" s="8354"/>
      <c r="AB9" s="8354"/>
      <c r="AC9" s="8354"/>
      <c r="AD9" s="8354"/>
    </row>
    <row r="10" spans="4:30" ht="28.5" x14ac:dyDescent="0.45">
      <c r="D10" s="6433" t="s">
        <v>1422</v>
      </c>
      <c r="E10" s="6529"/>
      <c r="F10" s="6456">
        <v>62.630572774869059</v>
      </c>
      <c r="G10" s="6456">
        <v>3.8978219895288015</v>
      </c>
      <c r="H10" s="6456">
        <v>2.2407120418848168</v>
      </c>
      <c r="J10" s="6433" t="s">
        <v>1422</v>
      </c>
      <c r="K10" s="6529"/>
      <c r="L10" s="6456">
        <v>63.026620999999963</v>
      </c>
      <c r="M10" s="6456">
        <v>3.7217741935483826</v>
      </c>
      <c r="N10" s="6456">
        <v>1.7948387096774181</v>
      </c>
      <c r="P10" s="6433" t="s">
        <v>1422</v>
      </c>
      <c r="Q10" s="6529"/>
      <c r="R10" s="6456">
        <v>56.248274943557462</v>
      </c>
      <c r="S10" s="6456">
        <v>4.8152999238446981</v>
      </c>
      <c r="T10" s="6456">
        <v>2.7998356123762473</v>
      </c>
      <c r="U10" s="6456">
        <v>1.9306909509977692</v>
      </c>
      <c r="W10" s="6433" t="s">
        <v>1422</v>
      </c>
      <c r="X10" s="8354"/>
      <c r="Y10" s="8354"/>
      <c r="Z10" s="8354"/>
      <c r="AA10" s="8354"/>
      <c r="AB10" s="8354"/>
      <c r="AC10" s="8354"/>
      <c r="AD10" s="8354"/>
    </row>
    <row r="11" spans="4:30" ht="28.5" x14ac:dyDescent="0.45">
      <c r="D11" s="6433" t="s">
        <v>1423</v>
      </c>
      <c r="E11" s="6529"/>
      <c r="F11" s="6456">
        <v>61.856832946635677</v>
      </c>
      <c r="G11" s="6456">
        <v>4.2113573085846827</v>
      </c>
      <c r="H11" s="6456">
        <v>2.9364037122969839</v>
      </c>
      <c r="J11" s="6433" t="s">
        <v>1423</v>
      </c>
      <c r="K11" s="6529"/>
      <c r="L11" s="6456">
        <v>63.031521739130476</v>
      </c>
      <c r="M11" s="6456">
        <v>3.6093675889328081</v>
      </c>
      <c r="N11" s="6456">
        <v>1.8816403162055333</v>
      </c>
      <c r="P11" s="6433" t="s">
        <v>1423</v>
      </c>
      <c r="Q11" s="6529"/>
      <c r="R11" s="6456">
        <v>54.658268778978936</v>
      </c>
      <c r="S11" s="6456">
        <v>5.7694903097523493</v>
      </c>
      <c r="T11" s="6456">
        <v>2.9344785604493309</v>
      </c>
      <c r="U11" s="6456">
        <v>1.8331881373504406</v>
      </c>
      <c r="W11" s="6433" t="s">
        <v>1423</v>
      </c>
      <c r="X11" s="8354"/>
      <c r="Y11" s="8354"/>
      <c r="Z11" s="8354"/>
      <c r="AA11" s="8354"/>
      <c r="AB11" s="8354"/>
      <c r="AC11" s="8354"/>
      <c r="AD11" s="8354"/>
    </row>
    <row r="12" spans="4:30" ht="28.5" x14ac:dyDescent="0.45">
      <c r="D12" s="6433" t="s">
        <v>1424</v>
      </c>
      <c r="E12" s="6529"/>
      <c r="F12" s="6456">
        <v>62.0164385093167</v>
      </c>
      <c r="G12" s="6456">
        <v>4.8478136645962682</v>
      </c>
      <c r="H12" s="6456">
        <v>2.1067950310558992</v>
      </c>
      <c r="J12" s="6433" t="s">
        <v>1424</v>
      </c>
      <c r="K12" s="6529"/>
      <c r="L12" s="6456">
        <v>62.828988919667516</v>
      </c>
      <c r="M12" s="6456">
        <v>4.1222160664819949</v>
      </c>
      <c r="N12" s="6456">
        <v>1.5608310249307473</v>
      </c>
      <c r="P12" s="6433" t="s">
        <v>1424</v>
      </c>
      <c r="Q12" s="6529"/>
      <c r="R12" s="6456">
        <v>54.557901847922452</v>
      </c>
      <c r="S12" s="6456">
        <v>5.9917244627008408</v>
      </c>
      <c r="T12" s="6456">
        <v>2.300313254544184</v>
      </c>
      <c r="U12" s="6456">
        <v>1.8502380482071401</v>
      </c>
      <c r="W12" s="6433" t="s">
        <v>1424</v>
      </c>
      <c r="X12" s="8354"/>
      <c r="Y12" s="8354"/>
      <c r="Z12" s="8354"/>
      <c r="AA12" s="8354"/>
      <c r="AB12" s="8354"/>
      <c r="AC12" s="8354"/>
      <c r="AD12" s="8354"/>
    </row>
    <row r="13" spans="4:30" ht="9.75" customHeight="1" x14ac:dyDescent="0.45">
      <c r="D13" s="6530"/>
      <c r="E13" s="6531"/>
      <c r="F13" s="6532"/>
      <c r="G13" s="6532"/>
      <c r="H13" s="6532"/>
      <c r="J13" s="6530"/>
      <c r="K13" s="6531"/>
      <c r="L13" s="6532"/>
      <c r="M13" s="6532"/>
      <c r="N13" s="6532"/>
      <c r="P13" s="6530"/>
      <c r="Q13" s="6531"/>
      <c r="R13" s="6532"/>
      <c r="S13" s="6532"/>
      <c r="T13" s="6532"/>
      <c r="U13" s="6532"/>
      <c r="W13" s="6530"/>
      <c r="X13" s="6532"/>
      <c r="Y13" s="6434"/>
      <c r="Z13" s="6434"/>
      <c r="AA13" s="6434"/>
      <c r="AB13" s="6434"/>
      <c r="AC13" s="6434"/>
      <c r="AD13" s="6434"/>
    </row>
    <row r="14" spans="4:30" ht="28.5" x14ac:dyDescent="0.45">
      <c r="D14" s="6435" t="s">
        <v>1425</v>
      </c>
      <c r="E14" s="6533"/>
      <c r="F14" s="6437">
        <v>61.36</v>
      </c>
      <c r="G14" s="6437">
        <v>4.2300000000000004</v>
      </c>
      <c r="H14" s="6437">
        <v>2.64</v>
      </c>
      <c r="J14" s="6435" t="s">
        <v>1425</v>
      </c>
      <c r="K14" s="6533"/>
      <c r="L14" s="6437">
        <v>62.43</v>
      </c>
      <c r="M14" s="6437">
        <v>3.52</v>
      </c>
      <c r="N14" s="6437">
        <v>2.2000000000000002</v>
      </c>
      <c r="P14" s="6435" t="s">
        <v>1425</v>
      </c>
      <c r="Q14" s="6533"/>
      <c r="R14" s="6437" t="s">
        <v>1558</v>
      </c>
      <c r="S14" s="6437" t="s">
        <v>1559</v>
      </c>
      <c r="T14" s="6437" t="s">
        <v>1560</v>
      </c>
      <c r="U14" s="6437">
        <v>1.85</v>
      </c>
      <c r="W14" s="6435"/>
      <c r="X14" s="6436"/>
      <c r="Y14" s="6436"/>
      <c r="Z14" s="6436"/>
      <c r="AA14" s="6436"/>
      <c r="AB14" s="6436"/>
      <c r="AC14" s="6436"/>
      <c r="AD14" s="6436"/>
    </row>
    <row r="15" spans="4:30" ht="28.5" hidden="1" customHeight="1" x14ac:dyDescent="0.45">
      <c r="D15" s="8347" t="s">
        <v>1426</v>
      </c>
      <c r="E15" s="6533" t="s">
        <v>1427</v>
      </c>
      <c r="F15" s="6437">
        <v>62.26452542372882</v>
      </c>
      <c r="G15" s="6437">
        <v>4.0506779661016958</v>
      </c>
      <c r="H15" s="6437">
        <v>2.4597457627118628</v>
      </c>
      <c r="J15" s="6435"/>
      <c r="K15" s="6533" t="s">
        <v>1427</v>
      </c>
      <c r="L15" s="6437">
        <v>63.255868686868716</v>
      </c>
      <c r="M15" s="6437">
        <v>2.9725252525252523</v>
      </c>
      <c r="N15" s="6437">
        <v>1.8761616161616164</v>
      </c>
      <c r="P15" s="6435"/>
      <c r="Q15" s="6533"/>
      <c r="R15" s="6437"/>
      <c r="S15" s="6437"/>
      <c r="T15" s="6437"/>
      <c r="U15" s="6437"/>
      <c r="W15" s="6435"/>
      <c r="X15" s="6437"/>
      <c r="Y15" s="6434"/>
      <c r="Z15" s="6434"/>
      <c r="AA15" s="6434"/>
      <c r="AB15" s="6434"/>
      <c r="AC15" s="6434"/>
      <c r="AD15" s="6434"/>
    </row>
    <row r="16" spans="4:30" ht="28.5" hidden="1" customHeight="1" x14ac:dyDescent="0.45">
      <c r="D16" s="8348"/>
      <c r="E16" s="6533" t="s">
        <v>1428</v>
      </c>
      <c r="F16" s="6437">
        <v>60.557013432835802</v>
      </c>
      <c r="G16" s="6437">
        <v>6.7840298507462693</v>
      </c>
      <c r="H16" s="6437">
        <v>2.5667164179104476</v>
      </c>
      <c r="J16" s="6435"/>
      <c r="K16" s="6533"/>
      <c r="L16" s="6437"/>
      <c r="M16" s="6437"/>
      <c r="N16" s="6437"/>
      <c r="P16" s="6435"/>
      <c r="Q16" s="6533"/>
      <c r="R16" s="6437"/>
      <c r="S16" s="6437"/>
      <c r="T16" s="6437"/>
      <c r="U16" s="6437"/>
      <c r="W16" s="6435"/>
      <c r="X16" s="6437"/>
      <c r="Y16" s="6434"/>
      <c r="Z16" s="6434"/>
      <c r="AA16" s="6434"/>
      <c r="AB16" s="6434"/>
      <c r="AC16" s="6434"/>
      <c r="AD16" s="6434"/>
    </row>
    <row r="17" spans="4:30" ht="28.5" hidden="1" customHeight="1" x14ac:dyDescent="0.45">
      <c r="D17" s="8348"/>
      <c r="E17" s="6533" t="s">
        <v>1429</v>
      </c>
      <c r="F17" s="6437">
        <v>59.483333333333348</v>
      </c>
      <c r="G17" s="6437">
        <v>5.6566666666666663</v>
      </c>
      <c r="H17" s="6437">
        <v>5.4725000000000001</v>
      </c>
      <c r="J17" s="6435"/>
      <c r="K17" s="6533"/>
      <c r="L17" s="6437"/>
      <c r="M17" s="6437"/>
      <c r="N17" s="6437"/>
      <c r="P17" s="6435"/>
      <c r="Q17" s="6533"/>
      <c r="R17" s="6437"/>
      <c r="S17" s="6437"/>
      <c r="T17" s="6437"/>
      <c r="U17" s="6437"/>
      <c r="W17" s="6435"/>
      <c r="X17" s="6437"/>
      <c r="Y17" s="6434"/>
      <c r="Z17" s="6434"/>
      <c r="AA17" s="6434"/>
      <c r="AB17" s="6434"/>
      <c r="AC17" s="6434"/>
      <c r="AD17" s="6434"/>
    </row>
    <row r="18" spans="4:30" ht="28.5" hidden="1" customHeight="1" x14ac:dyDescent="0.45">
      <c r="D18" s="8348"/>
      <c r="E18" s="6533" t="s">
        <v>1430</v>
      </c>
      <c r="F18" s="6437">
        <v>60.085000000000001</v>
      </c>
      <c r="G18" s="6437">
        <v>6.68</v>
      </c>
      <c r="H18" s="6437">
        <v>3.2549999999999999</v>
      </c>
      <c r="J18" s="6435"/>
      <c r="K18" s="6533"/>
      <c r="L18" s="6437"/>
      <c r="M18" s="6437"/>
      <c r="N18" s="6437"/>
      <c r="P18" s="6435"/>
      <c r="Q18" s="6533"/>
      <c r="R18" s="6437"/>
      <c r="S18" s="6437"/>
      <c r="T18" s="6437"/>
      <c r="U18" s="6437"/>
      <c r="W18" s="6435"/>
      <c r="X18" s="6437"/>
      <c r="Y18" s="6434"/>
      <c r="Z18" s="6434"/>
      <c r="AA18" s="6434"/>
      <c r="AB18" s="6434"/>
      <c r="AC18" s="6434"/>
      <c r="AD18" s="6434"/>
    </row>
    <row r="19" spans="4:30" ht="28.5" hidden="1" customHeight="1" x14ac:dyDescent="0.45">
      <c r="D19" s="8348"/>
      <c r="E19" s="6533" t="s">
        <v>1431</v>
      </c>
      <c r="F19" s="6437">
        <v>61.6405009428032</v>
      </c>
      <c r="G19" s="6437">
        <v>4.9323067253299859</v>
      </c>
      <c r="H19" s="6437">
        <v>2.6575109993714601</v>
      </c>
      <c r="J19" s="6435"/>
      <c r="K19" s="6533"/>
      <c r="L19" s="6437"/>
      <c r="M19" s="6437"/>
      <c r="N19" s="6437"/>
      <c r="P19" s="6435"/>
      <c r="Q19" s="6533"/>
      <c r="R19" s="6437"/>
      <c r="S19" s="6437"/>
      <c r="T19" s="6437"/>
      <c r="U19" s="6437"/>
      <c r="W19" s="6435"/>
      <c r="X19" s="6437"/>
      <c r="Y19" s="6434"/>
      <c r="Z19" s="6434"/>
      <c r="AA19" s="6434"/>
      <c r="AB19" s="6434"/>
      <c r="AC19" s="6434"/>
      <c r="AD19" s="6434"/>
    </row>
    <row r="20" spans="4:30" ht="27.75" customHeight="1" x14ac:dyDescent="0.45">
      <c r="D20" s="8349"/>
      <c r="E20" s="6533" t="s">
        <v>1432</v>
      </c>
      <c r="F20" s="6437">
        <v>61.65299988764054</v>
      </c>
      <c r="G20" s="6437">
        <v>4.8020112359550522</v>
      </c>
      <c r="H20" s="6437">
        <v>2.6520674157303348</v>
      </c>
      <c r="J20" s="6435" t="s">
        <v>1426</v>
      </c>
      <c r="K20" s="6533" t="s">
        <v>1432</v>
      </c>
      <c r="L20" s="6437">
        <v>62.937881390593041</v>
      </c>
      <c r="M20" s="6437">
        <v>3.5104498977505156</v>
      </c>
      <c r="N20" s="6437">
        <v>1.8599591002044982</v>
      </c>
      <c r="P20" s="6435" t="s">
        <v>1426</v>
      </c>
      <c r="Q20" s="6533" t="s">
        <v>1432</v>
      </c>
      <c r="R20" s="6437">
        <v>53.472138936884413</v>
      </c>
      <c r="S20" s="6437">
        <v>6.2968578269727109</v>
      </c>
      <c r="T20" s="6437">
        <v>2.6378704610110186</v>
      </c>
      <c r="U20" s="6437">
        <v>1.8678503639381072</v>
      </c>
      <c r="W20" s="6435" t="s">
        <v>1426</v>
      </c>
      <c r="X20" s="6437"/>
      <c r="Y20" s="6436"/>
      <c r="Z20" s="6436"/>
      <c r="AA20" s="6436"/>
      <c r="AB20" s="6436"/>
      <c r="AC20" s="6436"/>
      <c r="AD20" s="6436"/>
    </row>
    <row r="21" spans="4:30" ht="26.25" hidden="1" customHeight="1" x14ac:dyDescent="0.45">
      <c r="D21" s="6435" t="s">
        <v>1433</v>
      </c>
      <c r="E21" s="6533"/>
      <c r="F21" s="6437">
        <v>61.5</v>
      </c>
      <c r="G21" s="6437">
        <v>4.2</v>
      </c>
      <c r="H21" s="6437">
        <v>2.5</v>
      </c>
      <c r="J21" s="6435" t="s">
        <v>1433</v>
      </c>
      <c r="K21" s="6533"/>
      <c r="L21" s="6437">
        <v>62.8</v>
      </c>
      <c r="M21" s="6437">
        <v>3.5</v>
      </c>
      <c r="N21" s="6437">
        <v>1.9</v>
      </c>
      <c r="P21" s="6435" t="s">
        <v>1433</v>
      </c>
      <c r="Q21" s="6533"/>
      <c r="R21" s="6437">
        <v>53.37822824219618</v>
      </c>
      <c r="S21" s="6437">
        <v>5.9162847311280826</v>
      </c>
      <c r="T21" s="6437">
        <v>3.1141975851535659</v>
      </c>
      <c r="U21" s="6437">
        <v>1.8680849713778922</v>
      </c>
      <c r="W21" s="6435" t="s">
        <v>1433</v>
      </c>
      <c r="X21" s="6437"/>
      <c r="Y21" s="6434"/>
      <c r="Z21" s="6434"/>
      <c r="AA21" s="6434"/>
      <c r="AB21" s="6434"/>
      <c r="AC21" s="6434"/>
      <c r="AD21" s="6434"/>
    </row>
    <row r="22" spans="4:30" ht="29.25" customHeight="1" x14ac:dyDescent="0.45">
      <c r="D22" s="6435" t="s">
        <v>1640</v>
      </c>
      <c r="E22" s="6533"/>
      <c r="F22" s="6437">
        <v>61.37</v>
      </c>
      <c r="G22" s="6437">
        <v>4.9800000000000004</v>
      </c>
      <c r="H22" s="6437">
        <v>2.65</v>
      </c>
      <c r="J22" s="6435" t="s">
        <v>1640</v>
      </c>
      <c r="K22" s="6533"/>
      <c r="L22" s="6437">
        <v>62.5</v>
      </c>
      <c r="M22" s="6437">
        <v>3.95</v>
      </c>
      <c r="N22" s="6437">
        <v>2.0299999999999998</v>
      </c>
      <c r="P22" s="6435" t="s">
        <v>1640</v>
      </c>
      <c r="Q22" s="6533"/>
      <c r="R22" s="6437">
        <v>53.37822824219618</v>
      </c>
      <c r="S22" s="6437">
        <v>5.9162847311280826</v>
      </c>
      <c r="T22" s="6437">
        <v>3.1141975851535659</v>
      </c>
      <c r="U22" s="6437">
        <v>1.8680849713778922</v>
      </c>
      <c r="W22" s="6435" t="s">
        <v>1640</v>
      </c>
      <c r="X22" s="6437"/>
      <c r="Y22" s="6436"/>
      <c r="Z22" s="6436"/>
      <c r="AA22" s="6436"/>
      <c r="AB22" s="6436"/>
      <c r="AC22" s="6436"/>
      <c r="AD22" s="6436"/>
    </row>
    <row r="23" spans="4:30" ht="114" hidden="1" customHeight="1" x14ac:dyDescent="0.45">
      <c r="D23" s="6438" t="s">
        <v>1592</v>
      </c>
      <c r="E23" s="6534"/>
      <c r="F23" s="6439">
        <v>60.83</v>
      </c>
      <c r="G23" s="6439">
        <v>4.82</v>
      </c>
      <c r="H23" s="6439">
        <v>3.32</v>
      </c>
      <c r="J23" s="6438" t="s">
        <v>1592</v>
      </c>
      <c r="K23" s="6534"/>
      <c r="L23" s="6439">
        <v>62.45</v>
      </c>
      <c r="M23" s="6439">
        <v>2.85</v>
      </c>
      <c r="N23" s="6439">
        <v>2.29</v>
      </c>
      <c r="P23" s="6438" t="s">
        <v>1592</v>
      </c>
      <c r="Q23" s="6534"/>
      <c r="R23" s="6439">
        <v>53.16</v>
      </c>
      <c r="S23" s="6439">
        <v>6.19</v>
      </c>
      <c r="T23" s="6439">
        <v>3.12</v>
      </c>
      <c r="U23" s="6439">
        <v>1.87</v>
      </c>
      <c r="W23" s="6438" t="s">
        <v>1592</v>
      </c>
      <c r="X23" s="6439"/>
      <c r="Y23" s="6434"/>
      <c r="Z23" s="6434"/>
      <c r="AA23" s="6434"/>
      <c r="AB23" s="6434"/>
      <c r="AC23" s="6434"/>
      <c r="AD23" s="6434"/>
    </row>
    <row r="24" spans="4:30" ht="114" hidden="1" customHeight="1" x14ac:dyDescent="0.45">
      <c r="D24" s="6438" t="s">
        <v>1584</v>
      </c>
      <c r="E24" s="6534"/>
      <c r="F24" s="6439">
        <v>61.312799999999982</v>
      </c>
      <c r="G24" s="6439">
        <v>3.6630000000000003</v>
      </c>
      <c r="H24" s="6439">
        <v>2.8299999999999987</v>
      </c>
      <c r="J24" s="6438" t="s">
        <v>1584</v>
      </c>
      <c r="K24" s="6534"/>
      <c r="L24" s="6439">
        <v>62.771507246376814</v>
      </c>
      <c r="M24" s="6439">
        <v>2.4013043478260871</v>
      </c>
      <c r="N24" s="6439">
        <v>1.6024637681159422</v>
      </c>
      <c r="P24" s="6438" t="s">
        <v>1584</v>
      </c>
      <c r="Q24" s="6534"/>
      <c r="R24" s="6439">
        <v>52.19</v>
      </c>
      <c r="S24" s="6439">
        <v>6.36</v>
      </c>
      <c r="T24" s="6439">
        <v>3.15</v>
      </c>
      <c r="U24" s="6439">
        <v>1.85</v>
      </c>
      <c r="W24" s="6438" t="s">
        <v>1584</v>
      </c>
      <c r="X24" s="6439"/>
      <c r="Y24" s="6434"/>
      <c r="Z24" s="6434"/>
      <c r="AA24" s="6434"/>
      <c r="AB24" s="6434"/>
      <c r="AC24" s="6434"/>
      <c r="AD24" s="6434"/>
    </row>
    <row r="25" spans="4:30" ht="114" hidden="1" customHeight="1" x14ac:dyDescent="0.45">
      <c r="D25" s="6438" t="s">
        <v>1586</v>
      </c>
      <c r="E25" s="6534"/>
      <c r="F25" s="6439">
        <v>61.834753424657535</v>
      </c>
      <c r="G25" s="6439">
        <v>3.0872602739726025</v>
      </c>
      <c r="H25" s="6439">
        <v>2.512876712328767</v>
      </c>
      <c r="J25" s="6438" t="s">
        <v>1586</v>
      </c>
      <c r="K25" s="6534"/>
      <c r="L25" s="6439">
        <v>62.529117647058818</v>
      </c>
      <c r="M25" s="6439">
        <v>2.3072549019607846</v>
      </c>
      <c r="N25" s="6439">
        <v>1.975490196078431</v>
      </c>
      <c r="P25" s="6438" t="s">
        <v>1586</v>
      </c>
      <c r="Q25" s="6534"/>
      <c r="R25" s="6439">
        <v>55.08</v>
      </c>
      <c r="S25" s="6439">
        <v>5.1260000000000003</v>
      </c>
      <c r="T25" s="6439">
        <v>2.67</v>
      </c>
      <c r="U25" s="6439">
        <v>1.87</v>
      </c>
      <c r="W25" s="6438" t="s">
        <v>1586</v>
      </c>
      <c r="X25" s="6439"/>
      <c r="Y25" s="6434"/>
      <c r="Z25" s="6434"/>
      <c r="AA25" s="6434"/>
      <c r="AB25" s="6434"/>
      <c r="AC25" s="6434"/>
      <c r="AD25" s="6434"/>
    </row>
    <row r="26" spans="4:30" ht="114" hidden="1" customHeight="1" x14ac:dyDescent="0.45">
      <c r="D26" s="6438" t="s">
        <v>1585</v>
      </c>
      <c r="E26" s="6534"/>
      <c r="F26" s="6439">
        <v>61.09731868131869</v>
      </c>
      <c r="G26" s="6439">
        <v>4.4797802197802179</v>
      </c>
      <c r="H26" s="6439">
        <v>2.3717582417582417</v>
      </c>
      <c r="I26" s="2768">
        <v>61.09731868131869</v>
      </c>
      <c r="J26" s="6438" t="s">
        <v>1585</v>
      </c>
      <c r="K26" s="6534"/>
      <c r="L26" s="6439">
        <v>62.505999999999993</v>
      </c>
      <c r="M26" s="6439">
        <v>2.7073170731707319</v>
      </c>
      <c r="N26" s="6439">
        <v>1.6843902439024394</v>
      </c>
      <c r="P26" s="6438" t="s">
        <v>1585</v>
      </c>
      <c r="Q26" s="6534"/>
      <c r="R26" s="6439">
        <v>52.78</v>
      </c>
      <c r="S26" s="6439">
        <v>6.24</v>
      </c>
      <c r="T26" s="6439">
        <v>2.65</v>
      </c>
      <c r="U26" s="6439">
        <v>1.86</v>
      </c>
      <c r="W26" s="6438" t="s">
        <v>1585</v>
      </c>
      <c r="X26" s="6439"/>
      <c r="Y26" s="6434"/>
      <c r="Z26" s="6434"/>
      <c r="AA26" s="6434"/>
      <c r="AB26" s="6434"/>
      <c r="AC26" s="6434"/>
      <c r="AD26" s="6434"/>
    </row>
    <row r="27" spans="4:30" ht="114" hidden="1" customHeight="1" x14ac:dyDescent="0.45">
      <c r="D27" s="6438" t="s">
        <v>1587</v>
      </c>
      <c r="E27" s="6534"/>
      <c r="F27" s="6439">
        <v>60.579487804878084</v>
      </c>
      <c r="G27" s="6439">
        <v>5.0039024390243911</v>
      </c>
      <c r="H27" s="6439">
        <v>2.4721951219512199</v>
      </c>
      <c r="J27" s="6438" t="s">
        <v>1587</v>
      </c>
      <c r="K27" s="6534"/>
      <c r="L27" s="6439">
        <v>62.400642857142863</v>
      </c>
      <c r="M27" s="6439">
        <v>3.3657142857142861</v>
      </c>
      <c r="N27" s="6439">
        <v>1.3010714285714289</v>
      </c>
      <c r="P27" s="6438" t="s">
        <v>1587</v>
      </c>
      <c r="Q27" s="6534"/>
      <c r="R27" s="6439">
        <v>52.52</v>
      </c>
      <c r="S27" s="6439">
        <v>6.63</v>
      </c>
      <c r="T27" s="6439">
        <v>2.58</v>
      </c>
      <c r="U27" s="6439">
        <v>1.81</v>
      </c>
      <c r="W27" s="6438" t="s">
        <v>1587</v>
      </c>
      <c r="X27" s="6439"/>
      <c r="Y27" s="6434"/>
      <c r="Z27" s="6434"/>
      <c r="AA27" s="6434"/>
      <c r="AB27" s="6434"/>
      <c r="AC27" s="6434"/>
      <c r="AD27" s="6434"/>
    </row>
    <row r="28" spans="4:30" ht="114" hidden="1" customHeight="1" x14ac:dyDescent="0.45">
      <c r="D28" s="6438" t="s">
        <v>1588</v>
      </c>
      <c r="E28" s="6534"/>
      <c r="F28" s="6439">
        <v>61.352785714285709</v>
      </c>
      <c r="G28" s="6439">
        <v>4.1680000000000019</v>
      </c>
      <c r="H28" s="6439">
        <v>2.0210000000000008</v>
      </c>
      <c r="J28" s="6438" t="s">
        <v>1588</v>
      </c>
      <c r="K28" s="6534"/>
      <c r="L28" s="6439">
        <v>62.178060606060612</v>
      </c>
      <c r="M28" s="6439">
        <v>3.3260606060606062</v>
      </c>
      <c r="N28" s="6439">
        <v>1.4766666666666668</v>
      </c>
      <c r="P28" s="6438" t="s">
        <v>1588</v>
      </c>
      <c r="Q28" s="6534"/>
      <c r="R28" s="6439">
        <v>52.6</v>
      </c>
      <c r="S28" s="6439">
        <v>6.63</v>
      </c>
      <c r="T28" s="6439">
        <v>2.42</v>
      </c>
      <c r="U28" s="6439">
        <v>1.75</v>
      </c>
      <c r="W28" s="6438" t="s">
        <v>1588</v>
      </c>
      <c r="X28" s="6439"/>
      <c r="Y28" s="6434"/>
      <c r="Z28" s="6434"/>
      <c r="AA28" s="6434"/>
      <c r="AB28" s="6434"/>
      <c r="AC28" s="6434"/>
      <c r="AD28" s="6434"/>
    </row>
    <row r="29" spans="4:30" ht="114" hidden="1" customHeight="1" x14ac:dyDescent="0.45">
      <c r="D29" s="6438" t="s">
        <v>1589</v>
      </c>
      <c r="E29" s="6534"/>
      <c r="F29" s="6439">
        <v>60.652396039603971</v>
      </c>
      <c r="G29" s="6439">
        <v>4.925841584158416</v>
      </c>
      <c r="H29" s="6439">
        <v>2.2668316831683168</v>
      </c>
      <c r="J29" s="6438" t="s">
        <v>1589</v>
      </c>
      <c r="K29" s="6534"/>
      <c r="L29" s="6439">
        <v>62.535204545454569</v>
      </c>
      <c r="M29" s="6439">
        <v>2.8165909090909089</v>
      </c>
      <c r="N29" s="6439">
        <v>1.3911363636363632</v>
      </c>
      <c r="P29" s="6438" t="s">
        <v>1589</v>
      </c>
      <c r="Q29" s="6534"/>
      <c r="R29" s="6439">
        <v>53.18</v>
      </c>
      <c r="S29" s="6439">
        <v>6.46</v>
      </c>
      <c r="T29" s="6439">
        <v>2.27</v>
      </c>
      <c r="U29" s="6439">
        <v>1.75</v>
      </c>
      <c r="W29" s="6438" t="s">
        <v>1589</v>
      </c>
      <c r="X29" s="6439"/>
      <c r="Y29" s="6434"/>
      <c r="Z29" s="6434"/>
      <c r="AA29" s="6434"/>
      <c r="AB29" s="6434"/>
      <c r="AC29" s="6434"/>
      <c r="AD29" s="6434"/>
    </row>
    <row r="30" spans="4:30" ht="114" hidden="1" customHeight="1" x14ac:dyDescent="0.45">
      <c r="D30" s="6438" t="s">
        <v>1590</v>
      </c>
      <c r="E30" s="6534"/>
      <c r="F30" s="6439">
        <v>61.29</v>
      </c>
      <c r="G30" s="6439">
        <v>4.04</v>
      </c>
      <c r="H30" s="6439">
        <v>2.21</v>
      </c>
      <c r="J30" s="6438" t="s">
        <v>1590</v>
      </c>
      <c r="K30" s="6534"/>
      <c r="L30" s="6439">
        <v>62.22</v>
      </c>
      <c r="M30" s="6439">
        <v>3.19</v>
      </c>
      <c r="N30" s="6439">
        <v>1.7</v>
      </c>
      <c r="P30" s="6438" t="s">
        <v>1590</v>
      </c>
      <c r="Q30" s="6534"/>
      <c r="R30" s="6439">
        <v>53.3</v>
      </c>
      <c r="S30" s="6439">
        <v>6.38</v>
      </c>
      <c r="T30" s="6439">
        <v>2.41</v>
      </c>
      <c r="U30" s="6439">
        <v>1.74</v>
      </c>
      <c r="W30" s="6438" t="s">
        <v>1590</v>
      </c>
      <c r="X30" s="6439"/>
      <c r="Y30" s="6434"/>
      <c r="Z30" s="6434"/>
      <c r="AA30" s="6434"/>
      <c r="AB30" s="6434"/>
      <c r="AC30" s="6434"/>
      <c r="AD30" s="6434"/>
    </row>
    <row r="31" spans="4:30" ht="114" hidden="1" customHeight="1" x14ac:dyDescent="0.45">
      <c r="D31" s="6438" t="s">
        <v>1591</v>
      </c>
      <c r="E31" s="6534"/>
      <c r="F31" s="6439">
        <v>61.497297029702963</v>
      </c>
      <c r="G31" s="6439">
        <v>4.2097029702970303</v>
      </c>
      <c r="H31" s="6439">
        <v>1.8356435643564362</v>
      </c>
      <c r="J31" s="6438" t="s">
        <v>1591</v>
      </c>
      <c r="K31" s="6534"/>
      <c r="L31" s="6439">
        <v>62.373446808510671</v>
      </c>
      <c r="M31" s="6439">
        <v>3.2148936170212763</v>
      </c>
      <c r="N31" s="6439">
        <v>1.4134042553191488</v>
      </c>
      <c r="P31" s="6438" t="s">
        <v>1591</v>
      </c>
      <c r="Q31" s="6534"/>
      <c r="R31" s="6439">
        <v>53.96</v>
      </c>
      <c r="S31" s="6439">
        <v>6.1</v>
      </c>
      <c r="T31" s="6439">
        <v>2.21</v>
      </c>
      <c r="U31" s="6439">
        <v>1.74</v>
      </c>
      <c r="W31" s="6438" t="s">
        <v>1591</v>
      </c>
      <c r="X31" s="6439"/>
      <c r="Y31" s="6434"/>
      <c r="Z31" s="6434"/>
      <c r="AA31" s="6434"/>
      <c r="AB31" s="6434"/>
      <c r="AC31" s="6434"/>
      <c r="AD31" s="6434"/>
    </row>
    <row r="32" spans="4:30" ht="114" hidden="1" customHeight="1" x14ac:dyDescent="0.45">
      <c r="D32" s="6438" t="s">
        <v>1596</v>
      </c>
      <c r="E32" s="6534"/>
      <c r="F32" s="6439">
        <v>61.49</v>
      </c>
      <c r="G32" s="6439">
        <v>3.8231868131868114</v>
      </c>
      <c r="H32" s="6439">
        <v>2.1123076923076924</v>
      </c>
      <c r="J32" s="6438" t="s">
        <v>1596</v>
      </c>
      <c r="K32" s="6534"/>
      <c r="L32" s="6439">
        <v>62</v>
      </c>
      <c r="M32" s="6439">
        <v>3.22</v>
      </c>
      <c r="N32" s="6439">
        <v>1.89</v>
      </c>
      <c r="P32" s="6438" t="s">
        <v>1596</v>
      </c>
      <c r="Q32" s="6534"/>
      <c r="R32" s="6439">
        <v>53.82</v>
      </c>
      <c r="S32" s="6439">
        <v>6.04</v>
      </c>
      <c r="T32" s="6439">
        <v>2.4</v>
      </c>
      <c r="U32" s="6439">
        <v>1.76</v>
      </c>
      <c r="W32" s="6438" t="s">
        <v>1596</v>
      </c>
      <c r="X32" s="6439"/>
      <c r="Y32" s="6434"/>
      <c r="Z32" s="6434"/>
      <c r="AA32" s="6434"/>
      <c r="AB32" s="6434"/>
      <c r="AC32" s="6434"/>
      <c r="AD32" s="6434"/>
    </row>
    <row r="33" spans="4:30" ht="114" hidden="1" customHeight="1" x14ac:dyDescent="0.45">
      <c r="D33" s="6438" t="s">
        <v>1607</v>
      </c>
      <c r="E33" s="6534"/>
      <c r="F33" s="6439">
        <v>60.483788732394359</v>
      </c>
      <c r="G33" s="6439">
        <v>4.5140845070422539</v>
      </c>
      <c r="H33" s="6439">
        <v>2.9476056338028171</v>
      </c>
      <c r="J33" s="6438" t="s">
        <v>1607</v>
      </c>
      <c r="K33" s="6534"/>
      <c r="L33" s="6439">
        <v>61.784959183673486</v>
      </c>
      <c r="M33" s="6439">
        <v>3.1918367346938772</v>
      </c>
      <c r="N33" s="6439">
        <v>2.2140816326530612</v>
      </c>
      <c r="P33" s="6438" t="s">
        <v>1607</v>
      </c>
      <c r="Q33" s="6534"/>
      <c r="R33" s="6439">
        <v>53.01</v>
      </c>
      <c r="S33" s="6439">
        <v>6.26</v>
      </c>
      <c r="T33" s="6439">
        <v>2.79</v>
      </c>
      <c r="U33" s="6439">
        <v>1.77</v>
      </c>
      <c r="W33" s="6438" t="s">
        <v>1607</v>
      </c>
      <c r="X33" s="6439"/>
      <c r="Y33" s="6434"/>
      <c r="Z33" s="6434"/>
      <c r="AA33" s="6434"/>
      <c r="AB33" s="6434"/>
      <c r="AC33" s="6434"/>
      <c r="AD33" s="6434"/>
    </row>
    <row r="34" spans="4:30" ht="114" hidden="1" customHeight="1" x14ac:dyDescent="0.45">
      <c r="D34" s="6438" t="s">
        <v>1618</v>
      </c>
      <c r="E34" s="6534"/>
      <c r="F34" s="6439">
        <v>60.709963855421684</v>
      </c>
      <c r="G34" s="6439">
        <v>4.3401204819277126</v>
      </c>
      <c r="H34" s="6439">
        <v>2.8090361445783141</v>
      </c>
      <c r="J34" s="6438" t="s">
        <v>1618</v>
      </c>
      <c r="K34" s="6534"/>
      <c r="L34" s="6439">
        <v>62.315816326530602</v>
      </c>
      <c r="M34" s="6439">
        <v>2.6636734693877555</v>
      </c>
      <c r="N34" s="6439">
        <v>1.9604081632653059</v>
      </c>
      <c r="P34" s="6438" t="s">
        <v>1618</v>
      </c>
      <c r="Q34" s="6534"/>
      <c r="R34" s="6439">
        <v>51.75</v>
      </c>
      <c r="S34" s="6439">
        <v>6.94</v>
      </c>
      <c r="T34" s="6439">
        <v>3.05</v>
      </c>
      <c r="U34" s="6439">
        <v>1.75</v>
      </c>
      <c r="W34" s="6438" t="s">
        <v>1618</v>
      </c>
      <c r="X34" s="6439"/>
      <c r="Y34" s="6434"/>
      <c r="Z34" s="6434"/>
      <c r="AA34" s="6434"/>
      <c r="AB34" s="6434"/>
      <c r="AC34" s="6434"/>
      <c r="AD34" s="6434"/>
    </row>
    <row r="35" spans="4:30" ht="28.5" x14ac:dyDescent="0.45">
      <c r="D35" s="6433" t="s">
        <v>1641</v>
      </c>
      <c r="E35" s="6529"/>
      <c r="F35" s="6456">
        <f>+AVERAGE(F23:F34)</f>
        <v>61.094215940188583</v>
      </c>
      <c r="G35" s="6456">
        <f>+AVERAGE(G23:G34)</f>
        <v>4.2562399407824527</v>
      </c>
      <c r="H35" s="6456">
        <f>+AVERAGE(H23:H34)</f>
        <v>2.4757712328543167</v>
      </c>
      <c r="J35" s="6433" t="s">
        <v>1641</v>
      </c>
      <c r="K35" s="6529"/>
      <c r="L35" s="6456">
        <f>+AVERAGE(L23:L34)</f>
        <v>62.338729601734038</v>
      </c>
      <c r="M35" s="6456">
        <f t="shared" ref="M35:N35" si="0">+AVERAGE(M23:M34)</f>
        <v>2.9378871620771925</v>
      </c>
      <c r="N35" s="6456">
        <f t="shared" si="0"/>
        <v>1.7415927265173989</v>
      </c>
      <c r="P35" s="6433" t="s">
        <v>1641</v>
      </c>
      <c r="Q35" s="6529"/>
      <c r="R35" s="6456">
        <f t="shared" ref="R35:U35" si="1">+AVERAGE(R23:R34)</f>
        <v>53.112500000000004</v>
      </c>
      <c r="S35" s="6456">
        <f t="shared" si="1"/>
        <v>6.2796666666666674</v>
      </c>
      <c r="T35" s="6456">
        <f t="shared" si="1"/>
        <v>2.6433333333333331</v>
      </c>
      <c r="U35" s="6456">
        <f t="shared" si="1"/>
        <v>1.7933333333333332</v>
      </c>
      <c r="W35" s="6433" t="s">
        <v>1641</v>
      </c>
      <c r="X35" s="6456">
        <v>63.409864864864851</v>
      </c>
      <c r="Y35" s="6456">
        <v>94.173066666666728</v>
      </c>
      <c r="Z35" s="6456">
        <v>0.70680000000000009</v>
      </c>
      <c r="AA35" s="6535">
        <v>222.89333333333335</v>
      </c>
      <c r="AB35" s="6456">
        <v>2.3660000000000001</v>
      </c>
      <c r="AC35" s="6456">
        <v>3.803066666666667</v>
      </c>
      <c r="AD35" s="6456">
        <v>22.167466666666673</v>
      </c>
    </row>
    <row r="36" spans="4:30" x14ac:dyDescent="0.25">
      <c r="I36" s="1591"/>
      <c r="O36" s="1591"/>
      <c r="W36" s="6434"/>
      <c r="X36" s="6434"/>
      <c r="Y36" s="6434"/>
      <c r="Z36" s="6434"/>
      <c r="AA36" s="6434"/>
      <c r="AB36" s="6434"/>
      <c r="AC36" s="6434"/>
      <c r="AD36" s="6434"/>
    </row>
    <row r="37" spans="4:30" ht="28.5" x14ac:dyDescent="0.45">
      <c r="D37" s="6435" t="s">
        <v>1629</v>
      </c>
      <c r="F37" s="6437">
        <v>61.57</v>
      </c>
      <c r="G37" s="6437">
        <v>4.67</v>
      </c>
      <c r="H37" s="6437">
        <v>2.59</v>
      </c>
      <c r="I37" s="1591"/>
      <c r="J37" s="6435" t="s">
        <v>1629</v>
      </c>
      <c r="L37" s="6437">
        <v>62.47</v>
      </c>
      <c r="M37" s="6437">
        <v>3.84</v>
      </c>
      <c r="N37" s="6437">
        <v>2.13</v>
      </c>
      <c r="O37" s="1591"/>
      <c r="P37" s="6435" t="s">
        <v>1629</v>
      </c>
      <c r="R37" s="6437">
        <f>+[2]SINTER!D103</f>
        <v>55.430739802849317</v>
      </c>
      <c r="S37" s="6437">
        <f>+[2]SINTER!D105</f>
        <v>5.3691091749165931</v>
      </c>
      <c r="T37" s="6437">
        <f>+[2]SINTER!D106</f>
        <v>2.7277716029417967</v>
      </c>
      <c r="U37" s="6437">
        <f>+[2]SINTER!D109</f>
        <v>1.7221171729653546</v>
      </c>
      <c r="W37" s="6435"/>
      <c r="X37" s="6437"/>
      <c r="Y37" s="6437"/>
      <c r="Z37" s="6437"/>
      <c r="AA37" s="6437"/>
      <c r="AB37" s="6437"/>
      <c r="AC37" s="6437"/>
      <c r="AD37" s="6437"/>
    </row>
    <row r="38" spans="4:30" ht="114" hidden="1" customHeight="1" x14ac:dyDescent="0.45">
      <c r="D38" s="6440" t="s">
        <v>1635</v>
      </c>
      <c r="E38" s="6536"/>
      <c r="F38" s="6441">
        <v>61.297225352112704</v>
      </c>
      <c r="G38" s="6441">
        <v>4.1054929577464776</v>
      </c>
      <c r="H38" s="6441">
        <v>2.1745070422535218</v>
      </c>
      <c r="I38" s="1591"/>
      <c r="J38" s="6440" t="s">
        <v>1635</v>
      </c>
      <c r="K38" s="6536"/>
      <c r="L38" s="6441">
        <v>61.974096774193548</v>
      </c>
      <c r="M38" s="6441">
        <v>3.3241935483870959</v>
      </c>
      <c r="N38" s="6441">
        <v>1.9058064516129034</v>
      </c>
      <c r="O38" s="1591"/>
      <c r="P38" s="6440" t="s">
        <v>1635</v>
      </c>
      <c r="Q38" s="6536"/>
      <c r="R38" s="6441">
        <v>53.9</v>
      </c>
      <c r="S38" s="6441">
        <v>6</v>
      </c>
      <c r="T38" s="6441">
        <v>2.5099999999999998</v>
      </c>
      <c r="U38" s="6441">
        <v>1.76</v>
      </c>
      <c r="W38" s="6440" t="s">
        <v>1635</v>
      </c>
      <c r="X38" s="6441"/>
      <c r="Y38" s="6434"/>
      <c r="Z38" s="6434"/>
      <c r="AA38" s="6434"/>
      <c r="AB38" s="6434"/>
      <c r="AC38" s="6434"/>
      <c r="AD38" s="6434"/>
    </row>
    <row r="39" spans="4:30" ht="114" hidden="1" customHeight="1" x14ac:dyDescent="0.45">
      <c r="D39" s="6440" t="s">
        <v>1734</v>
      </c>
      <c r="E39" s="6536"/>
      <c r="F39" s="6441">
        <v>60.624448275862093</v>
      </c>
      <c r="G39" s="6441">
        <v>4.3388505747126436</v>
      </c>
      <c r="H39" s="6441">
        <v>3.0133333333333336</v>
      </c>
      <c r="I39" s="1591"/>
      <c r="J39" s="6440" t="s">
        <v>1734</v>
      </c>
      <c r="K39" s="6536"/>
      <c r="L39" s="6441">
        <v>62.292258620689672</v>
      </c>
      <c r="M39" s="6441">
        <v>2.7684482758620699</v>
      </c>
      <c r="N39" s="6441">
        <v>1.9418965517241378</v>
      </c>
      <c r="O39" s="1591"/>
      <c r="P39" s="6440" t="s">
        <v>1734</v>
      </c>
      <c r="Q39" s="6536"/>
      <c r="R39" s="6441">
        <v>54.71</v>
      </c>
      <c r="S39" s="6441">
        <v>5.6</v>
      </c>
      <c r="T39" s="6441">
        <v>2.5299999999999998</v>
      </c>
      <c r="U39" s="6441">
        <v>1.76</v>
      </c>
      <c r="W39" s="6440" t="s">
        <v>1734</v>
      </c>
      <c r="X39" s="6441"/>
      <c r="Y39" s="6434"/>
      <c r="Z39" s="6434"/>
      <c r="AA39" s="6434"/>
      <c r="AB39" s="6434"/>
      <c r="AC39" s="6434"/>
      <c r="AD39" s="6434"/>
    </row>
    <row r="40" spans="4:30" ht="114" hidden="1" customHeight="1" x14ac:dyDescent="0.45">
      <c r="D40" s="6440" t="s">
        <v>1766</v>
      </c>
      <c r="E40" s="6536"/>
      <c r="F40" s="6441">
        <v>61.508841269841277</v>
      </c>
      <c r="G40" s="6441">
        <v>3.5650793650793644</v>
      </c>
      <c r="H40" s="6441">
        <v>2.4058730158730164</v>
      </c>
      <c r="I40" s="1591"/>
      <c r="J40" s="6440" t="s">
        <v>1766</v>
      </c>
      <c r="K40" s="6536"/>
      <c r="L40" s="6441">
        <v>62.426810810810807</v>
      </c>
      <c r="M40" s="6441">
        <v>2.7586486486486481</v>
      </c>
      <c r="N40" s="6441">
        <v>1.7997297297297299</v>
      </c>
      <c r="O40" s="1591"/>
      <c r="P40" s="6440" t="s">
        <v>1766</v>
      </c>
      <c r="Q40" s="6536"/>
      <c r="R40" s="6441">
        <v>55.77</v>
      </c>
      <c r="S40" s="6441">
        <v>5.04</v>
      </c>
      <c r="T40" s="6441">
        <v>2.65</v>
      </c>
      <c r="U40" s="6441">
        <v>1.79</v>
      </c>
      <c r="W40" s="6440" t="s">
        <v>1766</v>
      </c>
      <c r="X40" s="6441"/>
      <c r="Y40" s="6434"/>
      <c r="Z40" s="6434"/>
      <c r="AA40" s="6434"/>
      <c r="AB40" s="6434"/>
      <c r="AC40" s="6434"/>
      <c r="AD40" s="6434"/>
    </row>
    <row r="41" spans="4:30" ht="114" hidden="1" customHeight="1" x14ac:dyDescent="0.45">
      <c r="D41" s="6440" t="s">
        <v>1779</v>
      </c>
      <c r="E41" s="6536"/>
      <c r="F41" s="6441">
        <v>61.76</v>
      </c>
      <c r="G41" s="6441">
        <v>3.52</v>
      </c>
      <c r="H41" s="6441">
        <v>2.09</v>
      </c>
      <c r="I41" s="1591"/>
      <c r="J41" s="6440" t="s">
        <v>1779</v>
      </c>
      <c r="K41" s="6536"/>
      <c r="L41" s="6441">
        <v>62.4</v>
      </c>
      <c r="M41" s="6441">
        <v>2.99</v>
      </c>
      <c r="N41" s="6441">
        <v>1.62</v>
      </c>
      <c r="O41" s="1591"/>
      <c r="P41" s="6440" t="s">
        <v>1779</v>
      </c>
      <c r="Q41" s="6536"/>
      <c r="R41" s="6441">
        <v>55.7</v>
      </c>
      <c r="S41" s="6441">
        <v>5.23</v>
      </c>
      <c r="T41" s="6441">
        <v>2.71</v>
      </c>
      <c r="U41" s="6441">
        <v>1.79</v>
      </c>
      <c r="W41" s="6440" t="s">
        <v>1779</v>
      </c>
      <c r="X41" s="6441"/>
      <c r="Y41" s="6434"/>
      <c r="Z41" s="6434"/>
      <c r="AA41" s="6434"/>
      <c r="AB41" s="6434"/>
      <c r="AC41" s="6434"/>
      <c r="AD41" s="6434"/>
    </row>
    <row r="42" spans="4:30" ht="114" hidden="1" customHeight="1" x14ac:dyDescent="0.45">
      <c r="D42" s="6440" t="s">
        <v>1788</v>
      </c>
      <c r="E42" s="6536"/>
      <c r="F42" s="6441">
        <v>61.220569444444465</v>
      </c>
      <c r="G42" s="6441">
        <v>4.3161111111111099</v>
      </c>
      <c r="H42" s="6441">
        <v>2.3977777777777782</v>
      </c>
      <c r="I42" s="1591"/>
      <c r="J42" s="6440" t="s">
        <v>1788</v>
      </c>
      <c r="K42" s="6536"/>
      <c r="L42" s="6441">
        <v>62.312097560975616</v>
      </c>
      <c r="M42" s="6441">
        <v>3.2736585365853652</v>
      </c>
      <c r="N42" s="6441">
        <v>1.6480487804878043</v>
      </c>
      <c r="O42" s="1591"/>
      <c r="P42" s="6440" t="s">
        <v>1788</v>
      </c>
      <c r="Q42" s="6536"/>
      <c r="R42" s="6441">
        <v>55.53</v>
      </c>
      <c r="S42" s="6441">
        <v>5.43</v>
      </c>
      <c r="T42" s="6441">
        <v>2.5</v>
      </c>
      <c r="U42" s="6441">
        <v>1.76</v>
      </c>
      <c r="W42" s="6440" t="s">
        <v>1788</v>
      </c>
      <c r="X42" s="6441"/>
      <c r="Y42" s="6434"/>
      <c r="Z42" s="6434"/>
      <c r="AA42" s="6434"/>
      <c r="AB42" s="6434"/>
      <c r="AC42" s="6434"/>
      <c r="AD42" s="6434"/>
    </row>
    <row r="43" spans="4:30" ht="114" hidden="1" customHeight="1" x14ac:dyDescent="0.45">
      <c r="D43" s="6440" t="s">
        <v>1798</v>
      </c>
      <c r="E43" s="6536"/>
      <c r="F43" s="6441">
        <v>60.76</v>
      </c>
      <c r="G43" s="6441">
        <v>4.8</v>
      </c>
      <c r="H43" s="6441">
        <v>2.64</v>
      </c>
      <c r="I43" s="1591"/>
      <c r="J43" s="6440" t="s">
        <v>1798</v>
      </c>
      <c r="K43" s="6536"/>
      <c r="L43" s="6441">
        <v>62.21</v>
      </c>
      <c r="M43" s="6441">
        <v>3.43</v>
      </c>
      <c r="N43" s="6441">
        <v>1.65</v>
      </c>
      <c r="O43" s="1591"/>
      <c r="P43" s="6440" t="s">
        <v>1798</v>
      </c>
      <c r="Q43" s="6536"/>
      <c r="R43" s="6441">
        <v>55.61</v>
      </c>
      <c r="S43" s="6441">
        <v>5.49</v>
      </c>
      <c r="T43" s="6441">
        <v>2.5299999999999998</v>
      </c>
      <c r="U43" s="6441">
        <v>1.76</v>
      </c>
      <c r="W43" s="6440" t="s">
        <v>1798</v>
      </c>
      <c r="X43" s="6441"/>
      <c r="Y43" s="6434"/>
      <c r="Z43" s="6434"/>
      <c r="AA43" s="6434"/>
      <c r="AB43" s="6434"/>
      <c r="AC43" s="6434"/>
      <c r="AD43" s="6434"/>
    </row>
    <row r="44" spans="4:30" ht="114" hidden="1" customHeight="1" x14ac:dyDescent="0.45">
      <c r="D44" s="6440" t="s">
        <v>1809</v>
      </c>
      <c r="E44" s="6536"/>
      <c r="F44" s="6441">
        <v>60.77</v>
      </c>
      <c r="G44" s="6441">
        <v>5.14</v>
      </c>
      <c r="H44" s="6441">
        <v>2.27</v>
      </c>
      <c r="I44" s="1591"/>
      <c r="J44" s="6440" t="s">
        <v>1809</v>
      </c>
      <c r="K44" s="6536"/>
      <c r="L44" s="6441">
        <v>61.98</v>
      </c>
      <c r="M44" s="6441">
        <v>4.04</v>
      </c>
      <c r="N44" s="6441">
        <v>1.47</v>
      </c>
      <c r="O44" s="1591"/>
      <c r="P44" s="6440" t="s">
        <v>1809</v>
      </c>
      <c r="Q44" s="6536"/>
      <c r="R44" s="6441">
        <v>55.38</v>
      </c>
      <c r="S44" s="6441">
        <v>5.92</v>
      </c>
      <c r="T44" s="6441">
        <v>2.21</v>
      </c>
      <c r="U44" s="6441">
        <v>1.71</v>
      </c>
      <c r="W44" s="6440" t="s">
        <v>1809</v>
      </c>
      <c r="X44" s="6441"/>
      <c r="Y44" s="6434"/>
      <c r="Z44" s="6434"/>
      <c r="AA44" s="6434"/>
      <c r="AB44" s="6434"/>
      <c r="AC44" s="6434"/>
      <c r="AD44" s="6434"/>
    </row>
    <row r="45" spans="4:30" ht="114" hidden="1" customHeight="1" x14ac:dyDescent="0.45">
      <c r="D45" s="6440" t="s">
        <v>1810</v>
      </c>
      <c r="E45" s="6536"/>
      <c r="F45" s="6441">
        <v>60.28</v>
      </c>
      <c r="G45" s="6441">
        <v>5.9</v>
      </c>
      <c r="H45" s="6441">
        <v>2.3199999999999998</v>
      </c>
      <c r="I45" s="1591"/>
      <c r="J45" s="6440" t="s">
        <v>1810</v>
      </c>
      <c r="K45" s="6536"/>
      <c r="L45" s="6441">
        <v>63.36</v>
      </c>
      <c r="M45" s="6441">
        <v>1.94</v>
      </c>
      <c r="N45" s="6441">
        <v>1.1599999999999999</v>
      </c>
      <c r="O45" s="1591"/>
      <c r="P45" s="6440" t="s">
        <v>1810</v>
      </c>
      <c r="Q45" s="6536"/>
      <c r="R45" s="6441">
        <v>55.14</v>
      </c>
      <c r="S45" s="6441">
        <v>6.21</v>
      </c>
      <c r="T45" s="6441">
        <v>1.86</v>
      </c>
      <c r="U45" s="6441">
        <v>1.65</v>
      </c>
      <c r="W45" s="6440" t="s">
        <v>1810</v>
      </c>
      <c r="X45" s="6441"/>
      <c r="Y45" s="6434"/>
      <c r="Z45" s="6434"/>
      <c r="AA45" s="6434"/>
      <c r="AB45" s="6434"/>
      <c r="AC45" s="6434"/>
      <c r="AD45" s="6434"/>
    </row>
    <row r="46" spans="4:30" ht="114" hidden="1" customHeight="1" x14ac:dyDescent="0.45">
      <c r="D46" s="6440" t="s">
        <v>1831</v>
      </c>
      <c r="E46" s="6536"/>
      <c r="F46" s="6441">
        <v>60.800194029850751</v>
      </c>
      <c r="G46" s="6441">
        <v>5.4104477611940291</v>
      </c>
      <c r="H46" s="6441">
        <v>2.5916417910447751</v>
      </c>
      <c r="I46" s="1591"/>
      <c r="J46" s="6440" t="s">
        <v>1831</v>
      </c>
      <c r="K46" s="6536"/>
      <c r="L46" s="6441">
        <v>62.609470588235297</v>
      </c>
      <c r="M46" s="6441">
        <v>3.2664705882352947</v>
      </c>
      <c r="N46" s="6441">
        <v>1.8623529411764705</v>
      </c>
      <c r="O46" s="1591"/>
      <c r="P46" s="6440" t="s">
        <v>1831</v>
      </c>
      <c r="Q46" s="6536"/>
      <c r="R46" s="6441">
        <v>55.163473084886107</v>
      </c>
      <c r="S46" s="6441">
        <v>6.0949327122153214</v>
      </c>
      <c r="T46" s="6441">
        <v>2.0597308488612844</v>
      </c>
      <c r="U46" s="6441">
        <v>1.6836904761904761</v>
      </c>
      <c r="W46" s="6440" t="s">
        <v>1831</v>
      </c>
      <c r="X46" s="6441"/>
      <c r="Y46" s="6434"/>
      <c r="Z46" s="6434"/>
      <c r="AA46" s="6434"/>
      <c r="AB46" s="6434"/>
      <c r="AC46" s="6434"/>
      <c r="AD46" s="6434"/>
    </row>
    <row r="47" spans="4:30" ht="114" hidden="1" customHeight="1" x14ac:dyDescent="0.45">
      <c r="D47" s="6440" t="s">
        <v>1848</v>
      </c>
      <c r="E47" s="6536"/>
      <c r="F47" s="6441">
        <v>61.573957142857161</v>
      </c>
      <c r="G47" s="6441">
        <v>4.7048571428571444</v>
      </c>
      <c r="H47" s="6441">
        <v>2.452285714285714</v>
      </c>
      <c r="I47" s="1591"/>
      <c r="J47" s="6440" t="s">
        <v>1848</v>
      </c>
      <c r="K47" s="6536"/>
      <c r="L47" s="6441">
        <v>62.925323529411756</v>
      </c>
      <c r="M47" s="6441">
        <v>3.1526470588235291</v>
      </c>
      <c r="N47" s="6441">
        <v>1.9364705882352942</v>
      </c>
      <c r="O47" s="1591"/>
      <c r="P47" s="6440" t="s">
        <v>1848</v>
      </c>
      <c r="Q47" s="6536"/>
      <c r="R47" s="6441">
        <v>55.2</v>
      </c>
      <c r="S47" s="6441">
        <v>6.21</v>
      </c>
      <c r="T47" s="6441">
        <v>2.08</v>
      </c>
      <c r="U47" s="6441">
        <v>1.67</v>
      </c>
      <c r="W47" s="6440" t="s">
        <v>1848</v>
      </c>
      <c r="X47" s="6441"/>
      <c r="Y47" s="6434"/>
      <c r="Z47" s="6434"/>
      <c r="AA47" s="6434"/>
      <c r="AB47" s="6434"/>
      <c r="AC47" s="6434"/>
      <c r="AD47" s="6434"/>
    </row>
    <row r="48" spans="4:30" ht="114" hidden="1" customHeight="1" x14ac:dyDescent="0.45">
      <c r="D48" s="6440" t="s">
        <v>1852</v>
      </c>
      <c r="E48" s="6536"/>
      <c r="F48" s="6441">
        <v>61.4</v>
      </c>
      <c r="G48" s="6441">
        <v>4.8082857142857129</v>
      </c>
      <c r="H48" s="6441">
        <v>2.6940000000000004</v>
      </c>
      <c r="I48" s="1591"/>
      <c r="J48" s="6440" t="s">
        <v>1852</v>
      </c>
      <c r="K48" s="6536"/>
      <c r="L48" s="6441">
        <v>62.508307692307682</v>
      </c>
      <c r="M48" s="6441">
        <v>3.5346153846153849</v>
      </c>
      <c r="N48" s="6441">
        <v>2.2957692307692303</v>
      </c>
      <c r="O48" s="1591"/>
      <c r="P48" s="6440" t="s">
        <v>1852</v>
      </c>
      <c r="Q48" s="6536"/>
      <c r="R48" s="6441">
        <v>56.4</v>
      </c>
      <c r="S48" s="6441">
        <v>5.55</v>
      </c>
      <c r="T48" s="6441">
        <v>2.15</v>
      </c>
      <c r="U48" s="6441">
        <v>1.68</v>
      </c>
      <c r="W48" s="6440" t="s">
        <v>1852</v>
      </c>
      <c r="X48" s="6441"/>
      <c r="Y48" s="6434"/>
      <c r="Z48" s="6434"/>
      <c r="AA48" s="6434"/>
      <c r="AB48" s="6434"/>
      <c r="AC48" s="6434"/>
      <c r="AD48" s="6434"/>
    </row>
    <row r="49" spans="4:30" ht="114" hidden="1" customHeight="1" x14ac:dyDescent="0.45">
      <c r="D49" s="6440" t="s">
        <v>1864</v>
      </c>
      <c r="E49" s="6536"/>
      <c r="F49" s="6441">
        <v>61.197309278350545</v>
      </c>
      <c r="G49" s="6441">
        <v>4.8077319587628855</v>
      </c>
      <c r="H49" s="6441">
        <v>3.0503092783505159</v>
      </c>
      <c r="I49" s="1591"/>
      <c r="J49" s="6440" t="s">
        <v>1864</v>
      </c>
      <c r="K49" s="6536"/>
      <c r="L49" s="6441">
        <v>62.936629032258054</v>
      </c>
      <c r="M49" s="6441">
        <v>3.0269354838709677</v>
      </c>
      <c r="N49" s="6441">
        <v>2.02</v>
      </c>
      <c r="O49" s="1591"/>
      <c r="P49" s="6440" t="s">
        <v>1864</v>
      </c>
      <c r="Q49" s="6536"/>
      <c r="R49" s="6441">
        <v>55.72</v>
      </c>
      <c r="S49" s="6441">
        <v>5.85</v>
      </c>
      <c r="T49" s="6441">
        <v>2.48</v>
      </c>
      <c r="U49" s="6441">
        <v>1.66</v>
      </c>
      <c r="W49" s="6440" t="s">
        <v>1864</v>
      </c>
      <c r="X49" s="6441"/>
      <c r="Y49" s="6434"/>
      <c r="Z49" s="6434"/>
      <c r="AA49" s="6434"/>
      <c r="AB49" s="6434"/>
      <c r="AC49" s="6434"/>
      <c r="AD49" s="6434"/>
    </row>
    <row r="50" spans="4:30" ht="28.5" x14ac:dyDescent="0.45">
      <c r="D50" s="6433" t="s">
        <v>1948</v>
      </c>
      <c r="E50" s="6529"/>
      <c r="F50" s="6456">
        <f>AVERAGE(F38:F49)</f>
        <v>61.099378732776579</v>
      </c>
      <c r="G50" s="6456">
        <f t="shared" ref="G50:H50" si="2">AVERAGE(G38:G49)</f>
        <v>4.6180713821457813</v>
      </c>
      <c r="H50" s="6456">
        <f t="shared" si="2"/>
        <v>2.5083106627432215</v>
      </c>
      <c r="J50" s="6433" t="s">
        <v>1948</v>
      </c>
      <c r="K50" s="6529"/>
      <c r="L50" s="6456">
        <f>AVERAGE(L38:L49)</f>
        <v>62.49458288407353</v>
      </c>
      <c r="M50" s="6456">
        <f t="shared" ref="M50:N50" si="3">AVERAGE(M38:M49)</f>
        <v>3.1254681270856959</v>
      </c>
      <c r="N50" s="6456">
        <f t="shared" si="3"/>
        <v>1.7758395228112978</v>
      </c>
      <c r="P50" s="6433" t="s">
        <v>1948</v>
      </c>
      <c r="Q50" s="6529"/>
      <c r="R50" s="6456">
        <v>55.364096471484046</v>
      </c>
      <c r="S50" s="6456">
        <v>5.691699348023473</v>
      </c>
      <c r="T50" s="6456">
        <v>2.3946434167015349</v>
      </c>
      <c r="U50" s="6456">
        <v>1.7271057079087773</v>
      </c>
      <c r="W50" s="6433" t="s">
        <v>1948</v>
      </c>
      <c r="X50" s="6456">
        <v>63.88831578947368</v>
      </c>
      <c r="Y50" s="6456">
        <v>96.467894736842069</v>
      </c>
      <c r="Z50" s="6456">
        <v>0.82434210526315799</v>
      </c>
      <c r="AA50" s="6535">
        <v>221.875</v>
      </c>
      <c r="AB50" s="6456">
        <v>1.3349342105263151</v>
      </c>
      <c r="AC50" s="6456">
        <v>4.2319736842105282</v>
      </c>
      <c r="AD50" s="6456">
        <v>20.966249999999992</v>
      </c>
    </row>
    <row r="51" spans="4:30" ht="24" hidden="1" customHeight="1" x14ac:dyDescent="0.45">
      <c r="D51" s="6435" t="s">
        <v>2351</v>
      </c>
      <c r="F51" s="6437"/>
      <c r="G51" s="6437"/>
      <c r="H51" s="6437"/>
      <c r="I51" s="1591"/>
      <c r="J51" s="6435" t="s">
        <v>2351</v>
      </c>
      <c r="L51" s="6437"/>
      <c r="M51" s="6437"/>
      <c r="N51" s="6437"/>
      <c r="O51" s="1591"/>
      <c r="P51" s="6435" t="s">
        <v>2351</v>
      </c>
      <c r="R51" s="6437"/>
      <c r="S51" s="6437"/>
      <c r="T51" s="6437"/>
      <c r="U51" s="6437"/>
      <c r="W51" s="7674"/>
      <c r="X51" s="7674"/>
      <c r="Y51" s="7674"/>
      <c r="Z51" s="7674"/>
      <c r="AA51" s="7674"/>
      <c r="AB51" s="7674"/>
      <c r="AC51" s="7674"/>
      <c r="AD51" s="7674"/>
    </row>
    <row r="52" spans="4:30" ht="28.5" hidden="1" x14ac:dyDescent="0.45">
      <c r="D52" s="6440" t="s">
        <v>1947</v>
      </c>
      <c r="E52" s="6536"/>
      <c r="F52" s="6441">
        <v>61.33</v>
      </c>
      <c r="G52" s="6441">
        <v>4.9000000000000004</v>
      </c>
      <c r="H52" s="6441">
        <v>2.75</v>
      </c>
      <c r="I52" s="1591"/>
      <c r="J52" s="6440" t="s">
        <v>1947</v>
      </c>
      <c r="K52" s="6536"/>
      <c r="L52" s="6441">
        <v>62.97</v>
      </c>
      <c r="M52" s="6441">
        <v>3.26</v>
      </c>
      <c r="N52" s="6441">
        <v>1.76</v>
      </c>
      <c r="O52" s="1591"/>
      <c r="P52" s="6440" t="s">
        <v>1947</v>
      </c>
      <c r="Q52" s="6536"/>
      <c r="R52" s="6441">
        <v>57.06</v>
      </c>
      <c r="S52" s="6441">
        <v>5.18</v>
      </c>
      <c r="T52" s="6441">
        <v>2.21</v>
      </c>
      <c r="U52" s="6441">
        <v>1.67</v>
      </c>
      <c r="W52" s="6440" t="s">
        <v>1947</v>
      </c>
      <c r="X52" s="6441">
        <v>63.366999999999997</v>
      </c>
      <c r="Y52" s="6441">
        <v>98.02000000000001</v>
      </c>
      <c r="Z52" s="6441">
        <v>0.71799999999999997</v>
      </c>
      <c r="AA52" s="6537">
        <v>221.8</v>
      </c>
      <c r="AB52" s="6441">
        <v>1.302</v>
      </c>
      <c r="AC52" s="6441">
        <v>4.266</v>
      </c>
      <c r="AD52" s="6441">
        <v>20.634000000000004</v>
      </c>
    </row>
    <row r="53" spans="4:30" ht="28.5" hidden="1" x14ac:dyDescent="0.45">
      <c r="D53" s="6440" t="s">
        <v>1972</v>
      </c>
      <c r="E53" s="6536"/>
      <c r="F53" s="6441">
        <v>62.17</v>
      </c>
      <c r="G53" s="6441">
        <v>4.08</v>
      </c>
      <c r="H53" s="6441">
        <v>2.25</v>
      </c>
      <c r="I53" s="1591"/>
      <c r="J53" s="6440" t="s">
        <v>1972</v>
      </c>
      <c r="K53" s="6536"/>
      <c r="L53" s="6441">
        <v>63.05</v>
      </c>
      <c r="M53" s="6441">
        <v>3.07</v>
      </c>
      <c r="N53" s="6441">
        <v>1.79</v>
      </c>
      <c r="O53" s="1591"/>
      <c r="P53" s="6440" t="s">
        <v>1972</v>
      </c>
      <c r="Q53" s="6536"/>
      <c r="R53" s="6441">
        <v>56.88</v>
      </c>
      <c r="S53" s="6441">
        <v>5.22</v>
      </c>
      <c r="T53" s="6441">
        <v>2.36</v>
      </c>
      <c r="U53" s="6441">
        <v>1.67</v>
      </c>
      <c r="W53" s="6440" t="s">
        <v>1972</v>
      </c>
      <c r="X53" s="6441">
        <v>63.336250000000007</v>
      </c>
      <c r="Y53" s="6441">
        <v>97.935000000000002</v>
      </c>
      <c r="Z53" s="6441">
        <v>0.67125000000000001</v>
      </c>
      <c r="AA53" s="6537">
        <v>221.6875</v>
      </c>
      <c r="AB53" s="6441">
        <v>1.3712500000000001</v>
      </c>
      <c r="AC53" s="6441">
        <v>4.6375000000000002</v>
      </c>
      <c r="AD53" s="6441">
        <v>20.680000000000003</v>
      </c>
    </row>
    <row r="54" spans="4:30" ht="28.5" hidden="1" x14ac:dyDescent="0.45">
      <c r="D54" s="6440" t="s">
        <v>2007</v>
      </c>
      <c r="E54" s="6536"/>
      <c r="F54" s="6441">
        <v>62.248035714285727</v>
      </c>
      <c r="G54" s="6441">
        <v>4.3788095238095242</v>
      </c>
      <c r="H54" s="6441">
        <v>1.8026190476190478</v>
      </c>
      <c r="I54" s="1591"/>
      <c r="J54" s="6440" t="s">
        <v>2007</v>
      </c>
      <c r="K54" s="6536"/>
      <c r="L54" s="6441">
        <v>63.086674418604645</v>
      </c>
      <c r="M54" s="6441">
        <v>3.4095348837209305</v>
      </c>
      <c r="N54" s="6441">
        <v>1.40139534883721</v>
      </c>
      <c r="O54" s="1591"/>
      <c r="P54" s="6440" t="s">
        <v>2007</v>
      </c>
      <c r="Q54" s="6536"/>
      <c r="R54" s="6441">
        <v>56.59</v>
      </c>
      <c r="S54" s="6441">
        <v>5.53</v>
      </c>
      <c r="T54" s="6441">
        <v>2.1800000000000002</v>
      </c>
      <c r="U54" s="6441">
        <v>1.67</v>
      </c>
      <c r="W54" s="6440" t="s">
        <v>2007</v>
      </c>
      <c r="X54" s="6441">
        <v>63.178235294117648</v>
      </c>
      <c r="Y54" s="6441">
        <v>97.392941176470586</v>
      </c>
      <c r="Z54" s="6441">
        <v>0.79882352941176482</v>
      </c>
      <c r="AA54" s="6537">
        <v>222.23529411764707</v>
      </c>
      <c r="AB54" s="6441">
        <v>1.3947058823529412</v>
      </c>
      <c r="AC54" s="6441">
        <v>4.5182352941176473</v>
      </c>
      <c r="AD54" s="6441">
        <v>19.970588235294112</v>
      </c>
    </row>
    <row r="55" spans="4:30" ht="28.5" hidden="1" x14ac:dyDescent="0.45">
      <c r="D55" s="6440" t="s">
        <v>2019</v>
      </c>
      <c r="E55" s="6536"/>
      <c r="F55" s="6441">
        <v>61.9</v>
      </c>
      <c r="G55" s="6441">
        <v>4.83</v>
      </c>
      <c r="H55" s="6441">
        <v>1.94</v>
      </c>
      <c r="I55" s="1591"/>
      <c r="J55" s="6440" t="s">
        <v>2019</v>
      </c>
      <c r="K55" s="6536"/>
      <c r="L55" s="6441">
        <v>62.5</v>
      </c>
      <c r="M55" s="6441">
        <v>4.16</v>
      </c>
      <c r="N55" s="6441">
        <v>1.59</v>
      </c>
      <c r="O55" s="1591"/>
      <c r="P55" s="6440" t="s">
        <v>2019</v>
      </c>
      <c r="Q55" s="6536"/>
      <c r="R55" s="6441">
        <v>55.77</v>
      </c>
      <c r="S55" s="6441">
        <v>5.97</v>
      </c>
      <c r="T55" s="6441">
        <v>2.06</v>
      </c>
      <c r="U55" s="6441">
        <v>1.68</v>
      </c>
      <c r="W55" s="6440" t="s">
        <v>2019</v>
      </c>
      <c r="X55" s="6441">
        <v>63.954999999999998</v>
      </c>
      <c r="Y55" s="6441">
        <v>92.20750000000001</v>
      </c>
      <c r="Z55" s="6441">
        <v>0.82062499999999994</v>
      </c>
      <c r="AA55" s="6537">
        <v>221.6875</v>
      </c>
      <c r="AB55" s="6441">
        <v>1.5856249999999998</v>
      </c>
      <c r="AC55" s="6441">
        <v>4.5562499999999995</v>
      </c>
      <c r="AD55" s="6441">
        <v>20.580625000000001</v>
      </c>
    </row>
    <row r="56" spans="4:30" ht="28.5" hidden="1" x14ac:dyDescent="0.45">
      <c r="D56" s="6440" t="s">
        <v>2039</v>
      </c>
      <c r="E56" s="6536"/>
      <c r="F56" s="6441">
        <v>62.336177215189885</v>
      </c>
      <c r="G56" s="6441">
        <v>4.4302531645569596</v>
      </c>
      <c r="H56" s="6441">
        <v>1.7729113924050632</v>
      </c>
      <c r="I56" s="1591"/>
      <c r="J56" s="6440" t="s">
        <v>2039</v>
      </c>
      <c r="K56" s="6536"/>
      <c r="L56" s="6441">
        <v>63.167023255813973</v>
      </c>
      <c r="M56" s="6441">
        <v>3.5416279069767445</v>
      </c>
      <c r="N56" s="6441">
        <v>1.35</v>
      </c>
      <c r="O56" s="1591"/>
      <c r="P56" s="6440" t="s">
        <v>2039</v>
      </c>
      <c r="Q56" s="6536"/>
      <c r="R56" s="6441">
        <v>56.09</v>
      </c>
      <c r="S56" s="6441">
        <v>5.79</v>
      </c>
      <c r="T56" s="6441">
        <v>2.0299999999999998</v>
      </c>
      <c r="U56" s="6441">
        <v>1.66</v>
      </c>
      <c r="W56" s="6440" t="s">
        <v>2039</v>
      </c>
      <c r="X56" s="6441">
        <v>63.846666666666678</v>
      </c>
      <c r="Y56" s="6441">
        <v>98.188571428571407</v>
      </c>
      <c r="Z56" s="6441">
        <v>0.80666666666666653</v>
      </c>
      <c r="AA56" s="6537">
        <v>222.1904761904762</v>
      </c>
      <c r="AB56" s="6441">
        <v>1.52</v>
      </c>
      <c r="AC56" s="6441">
        <v>4.539523809523808</v>
      </c>
      <c r="AD56" s="6441">
        <v>20.658095238095243</v>
      </c>
    </row>
    <row r="57" spans="4:30" ht="28.5" hidden="1" x14ac:dyDescent="0.45">
      <c r="D57" s="6440" t="s">
        <v>2064</v>
      </c>
      <c r="E57" s="6536"/>
      <c r="F57" s="6441">
        <v>62.11</v>
      </c>
      <c r="G57" s="6441">
        <v>4.82</v>
      </c>
      <c r="H57" s="6441">
        <v>1.83</v>
      </c>
      <c r="I57" s="1591"/>
      <c r="J57" s="6440" t="s">
        <v>2064</v>
      </c>
      <c r="K57" s="6536"/>
      <c r="L57" s="6441">
        <v>62.72</v>
      </c>
      <c r="M57" s="6441">
        <v>4.03</v>
      </c>
      <c r="N57" s="6441">
        <v>1.65</v>
      </c>
      <c r="O57" s="1591"/>
      <c r="P57" s="6440" t="s">
        <v>2064</v>
      </c>
      <c r="Q57" s="6536"/>
      <c r="R57" s="6441">
        <v>55.81</v>
      </c>
      <c r="S57" s="6441">
        <v>6.16</v>
      </c>
      <c r="T57" s="6441">
        <v>2.06</v>
      </c>
      <c r="U57" s="6441">
        <v>1.65</v>
      </c>
      <c r="W57" s="6440" t="s">
        <v>2064</v>
      </c>
      <c r="X57" s="6441">
        <v>63.853076923076927</v>
      </c>
      <c r="Y57" s="6441">
        <v>97.533076923076905</v>
      </c>
      <c r="Z57" s="6441">
        <v>0.88615384615384607</v>
      </c>
      <c r="AA57" s="6537">
        <v>222.69230769230768</v>
      </c>
      <c r="AB57" s="6441">
        <v>1.513076923076923</v>
      </c>
      <c r="AC57" s="6441">
        <v>4.5823076923076931</v>
      </c>
      <c r="AD57" s="6441">
        <v>20.495384615384616</v>
      </c>
    </row>
    <row r="58" spans="4:30" ht="28.5" hidden="1" x14ac:dyDescent="0.45">
      <c r="D58" s="6440" t="s">
        <v>2068</v>
      </c>
      <c r="E58" s="6536"/>
      <c r="F58" s="6441">
        <v>61.59</v>
      </c>
      <c r="G58" s="6441">
        <v>5.0599999999999996</v>
      </c>
      <c r="H58" s="6441">
        <v>2.35</v>
      </c>
      <c r="I58" s="1591"/>
      <c r="J58" s="6440" t="s">
        <v>2068</v>
      </c>
      <c r="K58" s="6536"/>
      <c r="L58" s="6441">
        <v>62.71</v>
      </c>
      <c r="M58" s="6441">
        <v>4</v>
      </c>
      <c r="N58" s="6441">
        <v>1.7</v>
      </c>
      <c r="O58" s="1591"/>
      <c r="P58" s="6440" t="s">
        <v>2068</v>
      </c>
      <c r="Q58" s="6536"/>
      <c r="R58" s="6441">
        <v>55.81</v>
      </c>
      <c r="S58" s="6441">
        <v>6.75</v>
      </c>
      <c r="T58" s="6441">
        <v>2.13</v>
      </c>
      <c r="U58" s="6441">
        <v>1.65</v>
      </c>
      <c r="W58" s="6440" t="s">
        <v>2068</v>
      </c>
      <c r="X58" s="6441">
        <v>63.32866666666667</v>
      </c>
      <c r="Y58" s="6441">
        <v>97.765999999999991</v>
      </c>
      <c r="Z58" s="6441">
        <v>0.79199999999999982</v>
      </c>
      <c r="AA58" s="6537">
        <v>222.46666666666667</v>
      </c>
      <c r="AB58" s="6441">
        <v>1.774</v>
      </c>
      <c r="AC58" s="6441">
        <v>4.352666666666666</v>
      </c>
      <c r="AD58" s="6441">
        <v>20.649333333333335</v>
      </c>
    </row>
    <row r="59" spans="4:30" ht="28.5" hidden="1" x14ac:dyDescent="0.45">
      <c r="D59" s="6440" t="s">
        <v>2181</v>
      </c>
      <c r="E59" s="6536"/>
      <c r="F59" s="6441">
        <v>61.53716129032258</v>
      </c>
      <c r="G59" s="6441">
        <v>4.8370967741935491</v>
      </c>
      <c r="H59" s="6441">
        <v>2.6507258064516135</v>
      </c>
      <c r="I59" s="1591"/>
      <c r="J59" s="6440" t="s">
        <v>2181</v>
      </c>
      <c r="K59" s="6536"/>
      <c r="L59" s="6441">
        <v>63.103594594594576</v>
      </c>
      <c r="M59" s="6441">
        <v>3.1154054054054052</v>
      </c>
      <c r="N59" s="6441">
        <v>1.6935135135135133</v>
      </c>
      <c r="O59" s="1591"/>
      <c r="P59" s="6440" t="s">
        <v>2181</v>
      </c>
      <c r="Q59" s="6536"/>
      <c r="R59" s="6441">
        <v>55.81</v>
      </c>
      <c r="S59" s="6441">
        <v>6.53</v>
      </c>
      <c r="T59" s="6441">
        <v>2.48</v>
      </c>
      <c r="U59" s="6441">
        <v>1.65</v>
      </c>
      <c r="W59" s="6440" t="s">
        <v>2181</v>
      </c>
      <c r="X59" s="6441">
        <v>62.823333333333338</v>
      </c>
      <c r="Y59" s="6441">
        <v>97.611333333333334</v>
      </c>
      <c r="Z59" s="6441">
        <v>0.78933333333333333</v>
      </c>
      <c r="AA59" s="6537">
        <v>221.86666666666667</v>
      </c>
      <c r="AB59" s="6441">
        <v>1.7860000000000003</v>
      </c>
      <c r="AC59" s="6441">
        <v>4.3860000000000001</v>
      </c>
      <c r="AD59" s="6441">
        <v>20.500666666666671</v>
      </c>
    </row>
    <row r="60" spans="4:30" ht="28.5" hidden="1" customHeight="1" x14ac:dyDescent="0.45">
      <c r="D60" s="6440" t="s">
        <v>2202</v>
      </c>
      <c r="E60" s="6536"/>
      <c r="F60" s="6441">
        <v>61.02</v>
      </c>
      <c r="G60" s="6441">
        <v>5.04</v>
      </c>
      <c r="H60" s="6441">
        <v>3.16</v>
      </c>
      <c r="I60" s="1591"/>
      <c r="J60" s="6440" t="s">
        <v>2202</v>
      </c>
      <c r="K60" s="6536"/>
      <c r="L60" s="6441">
        <v>62.52</v>
      </c>
      <c r="M60" s="6441">
        <v>3.47</v>
      </c>
      <c r="N60" s="6441">
        <v>2.35</v>
      </c>
      <c r="O60" s="1591"/>
      <c r="P60" s="6440" t="s">
        <v>2202</v>
      </c>
      <c r="Q60" s="6536"/>
      <c r="R60" s="6441">
        <v>53.71</v>
      </c>
      <c r="S60" s="6441">
        <v>6.78</v>
      </c>
      <c r="T60" s="6441">
        <v>2.86</v>
      </c>
      <c r="U60" s="6441">
        <v>1.64</v>
      </c>
      <c r="W60" s="6440" t="s">
        <v>2202</v>
      </c>
      <c r="X60" s="6441">
        <v>62.42</v>
      </c>
      <c r="Y60" s="6441">
        <v>97.7</v>
      </c>
      <c r="Z60" s="6441">
        <v>0.79</v>
      </c>
      <c r="AA60" s="6636">
        <v>222</v>
      </c>
      <c r="AB60" s="6441">
        <v>1.73</v>
      </c>
      <c r="AC60" s="6441">
        <v>4.25</v>
      </c>
      <c r="AD60" s="6441">
        <v>20.6</v>
      </c>
    </row>
    <row r="61" spans="4:30" ht="28.5" hidden="1" customHeight="1" x14ac:dyDescent="0.45">
      <c r="D61" s="6440" t="s">
        <v>2242</v>
      </c>
      <c r="E61" s="6536"/>
      <c r="F61" s="6441">
        <v>61.440828571428575</v>
      </c>
      <c r="G61" s="6441">
        <v>4.7460000000000004</v>
      </c>
      <c r="H61" s="6441">
        <v>2.8357142857142867</v>
      </c>
      <c r="I61" s="1591"/>
      <c r="J61" s="6440" t="s">
        <v>2242</v>
      </c>
      <c r="K61" s="6536"/>
      <c r="L61" s="6441">
        <v>62.606999999999992</v>
      </c>
      <c r="M61" s="6441">
        <v>3.4915384615384628</v>
      </c>
      <c r="N61" s="6441">
        <v>2.253076923076923</v>
      </c>
      <c r="O61" s="1591"/>
      <c r="P61" s="6440" t="s">
        <v>2242</v>
      </c>
      <c r="Q61" s="6536"/>
      <c r="R61" s="6441">
        <v>54.17</v>
      </c>
      <c r="S61" s="6441">
        <v>6.42</v>
      </c>
      <c r="T61" s="6441">
        <v>2.77</v>
      </c>
      <c r="U61" s="6441">
        <v>1.68</v>
      </c>
      <c r="W61" s="6440" t="s">
        <v>2242</v>
      </c>
      <c r="X61" s="6441">
        <v>62.94</v>
      </c>
      <c r="Y61" s="6441">
        <v>97.16</v>
      </c>
      <c r="Z61" s="6441">
        <v>0.79</v>
      </c>
      <c r="AA61" s="6636">
        <v>222</v>
      </c>
      <c r="AB61" s="6441">
        <v>1.68</v>
      </c>
      <c r="AC61" s="6441">
        <v>4.4400000000000004</v>
      </c>
      <c r="AD61" s="6441">
        <v>20.48</v>
      </c>
    </row>
    <row r="62" spans="4:30" ht="28.5" hidden="1" customHeight="1" x14ac:dyDescent="0.45">
      <c r="D62" s="6440" t="s">
        <v>2257</v>
      </c>
      <c r="E62" s="6536"/>
      <c r="F62" s="6441">
        <v>61.577289855072443</v>
      </c>
      <c r="G62" s="6441">
        <v>4.7105797101449278</v>
      </c>
      <c r="H62" s="6441">
        <v>2.623188405797102</v>
      </c>
      <c r="I62" s="1591"/>
      <c r="J62" s="6440" t="s">
        <v>2257</v>
      </c>
      <c r="K62" s="6536"/>
      <c r="L62" s="6441">
        <v>62.828891304347806</v>
      </c>
      <c r="M62" s="6441">
        <v>3.3573913043478258</v>
      </c>
      <c r="N62" s="6441">
        <v>1.9639130434782603</v>
      </c>
      <c r="O62" s="1591"/>
      <c r="P62" s="6440" t="s">
        <v>2257</v>
      </c>
      <c r="Q62" s="6536"/>
      <c r="R62" s="6441">
        <v>55.25</v>
      </c>
      <c r="S62" s="6441">
        <v>6.1</v>
      </c>
      <c r="T62" s="6441">
        <v>2.5</v>
      </c>
      <c r="U62" s="6441">
        <v>1.65</v>
      </c>
      <c r="W62" s="6440" t="s">
        <v>2257</v>
      </c>
      <c r="X62" s="6441">
        <v>63.323571428571434</v>
      </c>
      <c r="Y62" s="6441">
        <v>97.559999999999988</v>
      </c>
      <c r="Z62" s="6441">
        <v>0.78999999999999992</v>
      </c>
      <c r="AA62" s="6636">
        <v>222.28571428571428</v>
      </c>
      <c r="AB62" s="6441">
        <v>1.5185714285714285</v>
      </c>
      <c r="AC62" s="6441">
        <v>4.4550000000000001</v>
      </c>
      <c r="AD62" s="6441">
        <v>20.580714285714286</v>
      </c>
    </row>
    <row r="63" spans="4:30" ht="28.5" hidden="1" customHeight="1" x14ac:dyDescent="0.45">
      <c r="D63" s="6440" t="s">
        <v>2278</v>
      </c>
      <c r="E63" s="6536"/>
      <c r="F63" s="6441">
        <v>61.330570666666667</v>
      </c>
      <c r="G63" s="6441">
        <v>4.6728000000000005</v>
      </c>
      <c r="H63" s="6441">
        <v>2.9284000000000012</v>
      </c>
      <c r="I63" s="1591"/>
      <c r="J63" s="6440" t="s">
        <v>2278</v>
      </c>
      <c r="K63" s="6536"/>
      <c r="L63" s="6441">
        <v>62.996566037735839</v>
      </c>
      <c r="M63" s="6441">
        <v>2.8333962264150947</v>
      </c>
      <c r="N63" s="6441">
        <v>2.1915094339622647</v>
      </c>
      <c r="O63" s="1591"/>
      <c r="P63" s="6440" t="s">
        <v>2278</v>
      </c>
      <c r="Q63" s="6536"/>
      <c r="R63" s="6441">
        <v>55.76</v>
      </c>
      <c r="S63" s="6441">
        <v>5.77</v>
      </c>
      <c r="T63" s="6441">
        <v>2.71</v>
      </c>
      <c r="U63" s="6441">
        <v>1.64</v>
      </c>
      <c r="W63" s="6440" t="s">
        <v>2278</v>
      </c>
      <c r="X63" s="6441">
        <v>62.881333333333338</v>
      </c>
      <c r="Y63" s="6441">
        <v>97.48066666666665</v>
      </c>
      <c r="Z63" s="6441">
        <v>0.8819999999999999</v>
      </c>
      <c r="AA63" s="6636">
        <v>222.06666666666666</v>
      </c>
      <c r="AB63" s="6441">
        <v>1.7353333333333334</v>
      </c>
      <c r="AC63" s="6441">
        <v>4.280666666666666</v>
      </c>
      <c r="AD63" s="6441">
        <v>20.545333333333335</v>
      </c>
    </row>
    <row r="64" spans="4:30" ht="28.5" x14ac:dyDescent="0.45">
      <c r="D64" s="6433" t="s">
        <v>2365</v>
      </c>
      <c r="E64" s="6538"/>
      <c r="F64" s="7662">
        <f>AVERAGE(F52:F63)</f>
        <v>61.715838609413822</v>
      </c>
      <c r="G64" s="7662">
        <f t="shared" ref="G64" si="4">AVERAGE(G52:G63)</f>
        <v>4.7087949310587467</v>
      </c>
      <c r="H64" s="7662">
        <f>AVERAGE(H52:H63)</f>
        <v>2.4077965781655926</v>
      </c>
      <c r="I64" s="7671"/>
      <c r="J64" s="6433" t="s">
        <v>2365</v>
      </c>
      <c r="K64" s="7672"/>
      <c r="L64" s="7662">
        <f>AVERAGE(L52:L63)</f>
        <v>62.85497913425808</v>
      </c>
      <c r="M64" s="7662">
        <f>AVERAGE(M52:M63)</f>
        <v>3.4782411823670389</v>
      </c>
      <c r="N64" s="7662">
        <f>AVERAGE(N52:N63)</f>
        <v>1.8077840219056807</v>
      </c>
      <c r="O64" s="7673"/>
      <c r="P64" s="6433" t="s">
        <v>2365</v>
      </c>
      <c r="Q64" s="7672"/>
      <c r="R64" s="7662">
        <v>55.72005642302755</v>
      </c>
      <c r="S64" s="7662">
        <v>6.0114655960496437</v>
      </c>
      <c r="T64" s="7662">
        <v>2.3618628089530618</v>
      </c>
      <c r="U64" s="7662">
        <v>1.6594047947477459</v>
      </c>
      <c r="V64" s="7673"/>
      <c r="W64" s="6433" t="s">
        <v>2365</v>
      </c>
      <c r="X64" s="7662">
        <f t="shared" ref="X64:AD64" si="5">AVERAGE(X52:X63)</f>
        <v>63.271094470480499</v>
      </c>
      <c r="Y64" s="7662">
        <f t="shared" si="5"/>
        <v>97.212924127343243</v>
      </c>
      <c r="Z64" s="7662">
        <f t="shared" si="5"/>
        <v>0.79457103129713413</v>
      </c>
      <c r="AA64" s="6535">
        <f t="shared" si="5"/>
        <v>222.08156602384543</v>
      </c>
      <c r="AB64" s="7662">
        <f t="shared" si="5"/>
        <v>1.5758802139445522</v>
      </c>
      <c r="AC64" s="7662">
        <f t="shared" si="5"/>
        <v>4.438679177440207</v>
      </c>
      <c r="AD64" s="7662">
        <f t="shared" si="5"/>
        <v>20.531228392318464</v>
      </c>
    </row>
    <row r="65" spans="4:30" ht="28.5" x14ac:dyDescent="0.45">
      <c r="D65" s="6440" t="s">
        <v>2366</v>
      </c>
      <c r="E65" s="6536"/>
      <c r="F65" s="6441">
        <v>62.055623188405796</v>
      </c>
      <c r="G65" s="6441">
        <v>3.8842028985507246</v>
      </c>
      <c r="H65" s="6441">
        <v>2.6689855072463762</v>
      </c>
      <c r="I65" s="1591"/>
      <c r="J65" s="6440" t="s">
        <v>2366</v>
      </c>
      <c r="K65" s="6536"/>
      <c r="L65" s="6441">
        <v>62.74799999999999</v>
      </c>
      <c r="M65" s="6441">
        <v>3.1624242424242435</v>
      </c>
      <c r="N65" s="6441">
        <v>2.2821212121212122</v>
      </c>
      <c r="O65" s="1591"/>
      <c r="P65" s="6440" t="s">
        <v>2366</v>
      </c>
      <c r="Q65" s="6536"/>
      <c r="R65" s="6441">
        <v>56.6</v>
      </c>
      <c r="S65" s="6441">
        <v>5.29</v>
      </c>
      <c r="T65" s="6441">
        <v>2.5</v>
      </c>
      <c r="U65" s="6441">
        <v>1.7</v>
      </c>
      <c r="W65" s="6440" t="s">
        <v>2366</v>
      </c>
      <c r="X65" s="6441">
        <v>63.29</v>
      </c>
      <c r="Y65" s="6441">
        <v>97.53</v>
      </c>
      <c r="Z65" s="6441">
        <v>0.81</v>
      </c>
      <c r="AA65" s="6537">
        <v>222</v>
      </c>
      <c r="AB65" s="6441">
        <v>1.66</v>
      </c>
      <c r="AC65" s="6441">
        <v>4.5199999999999996</v>
      </c>
      <c r="AD65" s="6441">
        <v>20.45</v>
      </c>
    </row>
    <row r="66" spans="4:30" ht="28.5" hidden="1" x14ac:dyDescent="0.45">
      <c r="D66" s="6440" t="s">
        <v>1972</v>
      </c>
      <c r="E66" s="6536"/>
      <c r="F66" s="6441"/>
      <c r="G66" s="6441"/>
      <c r="H66" s="6441"/>
      <c r="I66" s="1591"/>
      <c r="J66" s="6440" t="s">
        <v>1972</v>
      </c>
      <c r="K66" s="6536"/>
      <c r="L66" s="6441"/>
      <c r="M66" s="6441"/>
      <c r="N66" s="6441"/>
      <c r="O66" s="1591"/>
      <c r="P66" s="6440" t="s">
        <v>1972</v>
      </c>
      <c r="Q66" s="6536"/>
      <c r="R66" s="6441"/>
      <c r="S66" s="6441"/>
      <c r="T66" s="6441"/>
      <c r="U66" s="6441"/>
      <c r="W66" s="6440" t="s">
        <v>1972</v>
      </c>
      <c r="X66" s="6441"/>
      <c r="Y66" s="6441"/>
      <c r="Z66" s="6441"/>
      <c r="AA66" s="6537"/>
      <c r="AB66" s="6441"/>
      <c r="AC66" s="6441"/>
      <c r="AD66" s="6441"/>
    </row>
    <row r="67" spans="4:30" ht="28.5" hidden="1" x14ac:dyDescent="0.45">
      <c r="D67" s="6440" t="s">
        <v>2007</v>
      </c>
      <c r="E67" s="6536"/>
      <c r="F67" s="6441"/>
      <c r="G67" s="6441"/>
      <c r="H67" s="6441"/>
      <c r="I67" s="1591"/>
      <c r="J67" s="6440" t="s">
        <v>2007</v>
      </c>
      <c r="K67" s="6536"/>
      <c r="L67" s="6441"/>
      <c r="M67" s="6441"/>
      <c r="N67" s="6441"/>
      <c r="O67" s="1591"/>
      <c r="P67" s="6440" t="s">
        <v>2007</v>
      </c>
      <c r="Q67" s="6536"/>
      <c r="R67" s="6441"/>
      <c r="S67" s="6441"/>
      <c r="T67" s="6441"/>
      <c r="U67" s="6441"/>
      <c r="W67" s="6440" t="s">
        <v>2007</v>
      </c>
      <c r="X67" s="6441"/>
      <c r="Y67" s="6441"/>
      <c r="Z67" s="6441"/>
      <c r="AA67" s="6537"/>
      <c r="AB67" s="6441"/>
      <c r="AC67" s="6441"/>
      <c r="AD67" s="6441"/>
    </row>
    <row r="68" spans="4:30" ht="28.5" hidden="1" x14ac:dyDescent="0.45">
      <c r="D68" s="6440" t="s">
        <v>2019</v>
      </c>
      <c r="E68" s="6536"/>
      <c r="F68" s="6441"/>
      <c r="G68" s="6441"/>
      <c r="H68" s="6441"/>
      <c r="I68" s="1591"/>
      <c r="J68" s="6440" t="s">
        <v>2019</v>
      </c>
      <c r="K68" s="6536"/>
      <c r="L68" s="6441"/>
      <c r="M68" s="6441"/>
      <c r="N68" s="6441"/>
      <c r="O68" s="1591"/>
      <c r="P68" s="6440" t="s">
        <v>2019</v>
      </c>
      <c r="Q68" s="6536"/>
      <c r="R68" s="6441"/>
      <c r="S68" s="6441"/>
      <c r="T68" s="6441"/>
      <c r="U68" s="6441"/>
      <c r="W68" s="6440" t="s">
        <v>2019</v>
      </c>
      <c r="X68" s="6441"/>
      <c r="Y68" s="6441"/>
      <c r="Z68" s="6441"/>
      <c r="AA68" s="6537"/>
      <c r="AB68" s="6441"/>
      <c r="AC68" s="6441"/>
      <c r="AD68" s="6441"/>
    </row>
    <row r="69" spans="4:30" ht="28.5" hidden="1" x14ac:dyDescent="0.45">
      <c r="D69" s="6440" t="s">
        <v>2039</v>
      </c>
      <c r="E69" s="6536"/>
      <c r="F69" s="6441"/>
      <c r="G69" s="6441"/>
      <c r="H69" s="6441"/>
      <c r="I69" s="1591"/>
      <c r="J69" s="6440" t="s">
        <v>2039</v>
      </c>
      <c r="K69" s="6536"/>
      <c r="L69" s="6441"/>
      <c r="M69" s="6441"/>
      <c r="N69" s="6441"/>
      <c r="O69" s="1591"/>
      <c r="P69" s="6440" t="s">
        <v>2039</v>
      </c>
      <c r="Q69" s="6536"/>
      <c r="R69" s="6441"/>
      <c r="S69" s="6441"/>
      <c r="T69" s="6441"/>
      <c r="U69" s="6441"/>
      <c r="W69" s="6440" t="s">
        <v>2039</v>
      </c>
      <c r="X69" s="6441"/>
      <c r="Y69" s="6441"/>
      <c r="Z69" s="6441"/>
      <c r="AA69" s="6537"/>
      <c r="AB69" s="6441"/>
      <c r="AC69" s="6441"/>
      <c r="AD69" s="6441"/>
    </row>
    <row r="70" spans="4:30" ht="28.5" hidden="1" x14ac:dyDescent="0.45">
      <c r="D70" s="6440" t="s">
        <v>2064</v>
      </c>
      <c r="E70" s="6536"/>
      <c r="F70" s="6441"/>
      <c r="G70" s="6441"/>
      <c r="H70" s="6441"/>
      <c r="I70" s="1591"/>
      <c r="J70" s="6440" t="s">
        <v>2064</v>
      </c>
      <c r="K70" s="6536"/>
      <c r="L70" s="6441"/>
      <c r="M70" s="6441"/>
      <c r="N70" s="6441"/>
      <c r="O70" s="1591"/>
      <c r="P70" s="6440" t="s">
        <v>2064</v>
      </c>
      <c r="Q70" s="6536"/>
      <c r="R70" s="6441"/>
      <c r="S70" s="6441"/>
      <c r="T70" s="6441"/>
      <c r="U70" s="6441"/>
      <c r="W70" s="6440" t="s">
        <v>2064</v>
      </c>
      <c r="X70" s="6441"/>
      <c r="Y70" s="6441"/>
      <c r="Z70" s="6441"/>
      <c r="AA70" s="6537"/>
      <c r="AB70" s="6441"/>
      <c r="AC70" s="6441"/>
      <c r="AD70" s="6441"/>
    </row>
    <row r="71" spans="4:30" ht="28.5" hidden="1" x14ac:dyDescent="0.45">
      <c r="D71" s="6440" t="s">
        <v>2068</v>
      </c>
      <c r="E71" s="6536"/>
      <c r="F71" s="6441"/>
      <c r="G71" s="6441"/>
      <c r="H71" s="6441"/>
      <c r="I71" s="1591"/>
      <c r="J71" s="6440" t="s">
        <v>2068</v>
      </c>
      <c r="K71" s="6536"/>
      <c r="L71" s="6441"/>
      <c r="M71" s="6441"/>
      <c r="N71" s="6441"/>
      <c r="O71" s="1591"/>
      <c r="P71" s="6440" t="s">
        <v>2068</v>
      </c>
      <c r="Q71" s="6536"/>
      <c r="R71" s="6441"/>
      <c r="S71" s="6441"/>
      <c r="T71" s="6441"/>
      <c r="U71" s="6441"/>
      <c r="W71" s="6440" t="s">
        <v>2068</v>
      </c>
      <c r="X71" s="6441"/>
      <c r="Y71" s="6441"/>
      <c r="Z71" s="6441"/>
      <c r="AA71" s="6537"/>
      <c r="AB71" s="6441"/>
      <c r="AC71" s="6441"/>
      <c r="AD71" s="6441"/>
    </row>
    <row r="72" spans="4:30" ht="28.5" hidden="1" x14ac:dyDescent="0.45">
      <c r="D72" s="6440" t="s">
        <v>2181</v>
      </c>
      <c r="E72" s="6536"/>
      <c r="F72" s="6441"/>
      <c r="G72" s="6441"/>
      <c r="H72" s="6441"/>
      <c r="I72" s="1591"/>
      <c r="J72" s="6440" t="s">
        <v>2181</v>
      </c>
      <c r="K72" s="6536"/>
      <c r="L72" s="6441"/>
      <c r="M72" s="6441"/>
      <c r="N72" s="6441"/>
      <c r="O72" s="1591"/>
      <c r="P72" s="6440" t="s">
        <v>2181</v>
      </c>
      <c r="Q72" s="6536"/>
      <c r="R72" s="6441"/>
      <c r="S72" s="6441"/>
      <c r="T72" s="6441"/>
      <c r="U72" s="6441"/>
      <c r="W72" s="6440" t="s">
        <v>2181</v>
      </c>
      <c r="X72" s="6441"/>
      <c r="Y72" s="6441"/>
      <c r="Z72" s="6441"/>
      <c r="AA72" s="6537"/>
      <c r="AB72" s="6441"/>
      <c r="AC72" s="6441"/>
      <c r="AD72" s="6441"/>
    </row>
    <row r="73" spans="4:30" ht="28.5" hidden="1" x14ac:dyDescent="0.45">
      <c r="D73" s="6440" t="s">
        <v>2202</v>
      </c>
      <c r="E73" s="6536"/>
      <c r="F73" s="6441"/>
      <c r="G73" s="6441"/>
      <c r="H73" s="6441"/>
      <c r="I73" s="1591"/>
      <c r="J73" s="6440" t="s">
        <v>2202</v>
      </c>
      <c r="K73" s="6536"/>
      <c r="L73" s="6441"/>
      <c r="M73" s="6441"/>
      <c r="N73" s="6441"/>
      <c r="O73" s="1591"/>
      <c r="P73" s="6440" t="s">
        <v>2202</v>
      </c>
      <c r="Q73" s="6536"/>
      <c r="R73" s="6441"/>
      <c r="S73" s="6441"/>
      <c r="T73" s="6441"/>
      <c r="U73" s="6441"/>
      <c r="W73" s="6440" t="s">
        <v>2202</v>
      </c>
      <c r="X73" s="6441"/>
      <c r="Y73" s="6441"/>
      <c r="Z73" s="6441"/>
      <c r="AA73" s="6636"/>
      <c r="AB73" s="6441"/>
      <c r="AC73" s="6441"/>
      <c r="AD73" s="6441"/>
    </row>
    <row r="74" spans="4:30" ht="28.5" hidden="1" x14ac:dyDescent="0.45">
      <c r="D74" s="6440" t="s">
        <v>2242</v>
      </c>
      <c r="E74" s="6536"/>
      <c r="F74" s="6441"/>
      <c r="G74" s="6441"/>
      <c r="H74" s="6441"/>
      <c r="I74" s="1591"/>
      <c r="J74" s="6440" t="s">
        <v>2242</v>
      </c>
      <c r="K74" s="6536"/>
      <c r="L74" s="6441"/>
      <c r="M74" s="6441"/>
      <c r="N74" s="6441"/>
      <c r="O74" s="1591"/>
      <c r="P74" s="6440" t="s">
        <v>2242</v>
      </c>
      <c r="Q74" s="6536"/>
      <c r="R74" s="6441"/>
      <c r="S74" s="6441"/>
      <c r="T74" s="6441"/>
      <c r="U74" s="6441"/>
      <c r="W74" s="6440" t="s">
        <v>2242</v>
      </c>
      <c r="X74" s="6441"/>
      <c r="Y74" s="6441"/>
      <c r="Z74" s="6441"/>
      <c r="AA74" s="6636"/>
      <c r="AB74" s="6441"/>
      <c r="AC74" s="6441"/>
      <c r="AD74" s="6441"/>
    </row>
    <row r="75" spans="4:30" ht="28.5" hidden="1" x14ac:dyDescent="0.45">
      <c r="D75" s="6440" t="s">
        <v>2257</v>
      </c>
      <c r="E75" s="6536"/>
      <c r="F75" s="6441"/>
      <c r="G75" s="6441"/>
      <c r="H75" s="6441"/>
      <c r="I75" s="1591"/>
      <c r="J75" s="6440" t="s">
        <v>2257</v>
      </c>
      <c r="K75" s="6536"/>
      <c r="L75" s="6441"/>
      <c r="M75" s="6441"/>
      <c r="N75" s="6441"/>
      <c r="O75" s="1591"/>
      <c r="P75" s="6440" t="s">
        <v>2257</v>
      </c>
      <c r="Q75" s="6536"/>
      <c r="R75" s="6441"/>
      <c r="S75" s="6441"/>
      <c r="T75" s="6441"/>
      <c r="U75" s="6441"/>
      <c r="W75" s="6440" t="s">
        <v>2257</v>
      </c>
      <c r="X75" s="6441"/>
      <c r="Y75" s="6441"/>
      <c r="Z75" s="6441"/>
      <c r="AA75" s="6636"/>
      <c r="AB75" s="6441"/>
      <c r="AC75" s="6441"/>
      <c r="AD75" s="6441"/>
    </row>
    <row r="76" spans="4:30" ht="28.5" hidden="1" x14ac:dyDescent="0.45">
      <c r="D76" s="6440" t="s">
        <v>2278</v>
      </c>
      <c r="E76" s="6536"/>
      <c r="F76" s="6441"/>
      <c r="G76" s="6441"/>
      <c r="H76" s="6441"/>
      <c r="I76" s="1591"/>
      <c r="J76" s="6440" t="s">
        <v>2278</v>
      </c>
      <c r="K76" s="6536"/>
      <c r="L76" s="6441"/>
      <c r="M76" s="6441"/>
      <c r="N76" s="6441"/>
      <c r="O76" s="1591"/>
      <c r="P76" s="6440" t="s">
        <v>2278</v>
      </c>
      <c r="Q76" s="6536"/>
      <c r="R76" s="6441"/>
      <c r="S76" s="6441"/>
      <c r="T76" s="6441"/>
      <c r="U76" s="6441"/>
      <c r="W76" s="6440" t="s">
        <v>2278</v>
      </c>
      <c r="X76" s="6441"/>
      <c r="Y76" s="6441"/>
      <c r="Z76" s="6441"/>
      <c r="AA76" s="6636"/>
      <c r="AB76" s="6441"/>
      <c r="AC76" s="6441"/>
      <c r="AD76" s="6441"/>
    </row>
    <row r="77" spans="4:30" ht="28.5" hidden="1" x14ac:dyDescent="0.45">
      <c r="D77" s="6442" t="s">
        <v>1432</v>
      </c>
      <c r="E77" s="6538"/>
      <c r="F77" s="6443">
        <f>AVERAGE(F65:F76)</f>
        <v>62.055623188405796</v>
      </c>
      <c r="G77" s="6443">
        <f t="shared" ref="G77" si="6">AVERAGE(G65:G76)</f>
        <v>3.8842028985507246</v>
      </c>
      <c r="H77" s="6443">
        <f>AVERAGE(H65:H76)</f>
        <v>2.6689855072463762</v>
      </c>
      <c r="I77" s="1591"/>
      <c r="J77" s="6540" t="s">
        <v>1432</v>
      </c>
      <c r="K77" s="6541"/>
      <c r="L77" s="6443">
        <f>AVERAGE(L65:L76)</f>
        <v>62.74799999999999</v>
      </c>
      <c r="M77" s="6443">
        <f>AVERAGE(M65:M76)</f>
        <v>3.1624242424242435</v>
      </c>
      <c r="N77" s="6443">
        <f>AVERAGE(N65:N76)</f>
        <v>2.2821212121212122</v>
      </c>
      <c r="O77" s="6542"/>
      <c r="P77" s="6540" t="s">
        <v>1432</v>
      </c>
      <c r="Q77" s="6541"/>
      <c r="R77" s="6443">
        <v>55.72005642302755</v>
      </c>
      <c r="S77" s="6443">
        <v>6.0114655960496437</v>
      </c>
      <c r="T77" s="6443">
        <v>2.3618628089530618</v>
      </c>
      <c r="U77" s="6443">
        <v>1.6594047947477459</v>
      </c>
      <c r="V77" s="6542"/>
      <c r="W77" s="6540" t="s">
        <v>1432</v>
      </c>
      <c r="X77" s="6443">
        <f t="shared" ref="X77:AD77" si="7">AVERAGE(X65:X76)</f>
        <v>63.29</v>
      </c>
      <c r="Y77" s="6443">
        <f t="shared" si="7"/>
        <v>97.53</v>
      </c>
      <c r="Z77" s="6443">
        <f t="shared" si="7"/>
        <v>0.81</v>
      </c>
      <c r="AA77" s="6539">
        <f t="shared" si="7"/>
        <v>222</v>
      </c>
      <c r="AB77" s="6443">
        <f t="shared" si="7"/>
        <v>1.66</v>
      </c>
      <c r="AC77" s="6443">
        <f t="shared" si="7"/>
        <v>4.5199999999999996</v>
      </c>
      <c r="AD77" s="6443">
        <f t="shared" si="7"/>
        <v>20.45</v>
      </c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7"/>
  <sheetViews>
    <sheetView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BI18" sqref="BI18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9.4257812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hidden="1" customWidth="1"/>
    <col min="10" max="12" width="10.140625" hidden="1" customWidth="1"/>
    <col min="13" max="13" width="11.5703125" hidden="1" customWidth="1"/>
    <col min="14" max="14" width="10.140625" hidden="1" customWidth="1"/>
    <col min="15" max="15" width="9.85546875" hidden="1" customWidth="1"/>
    <col min="16" max="16" width="9.140625" hidden="1" customWidth="1"/>
    <col min="17" max="17" width="9.85546875" hidden="1" customWidth="1"/>
    <col min="18" max="18" width="9.140625" hidden="1" customWidth="1"/>
    <col min="19" max="21" width="9.85546875" hidden="1" customWidth="1"/>
    <col min="22" max="22" width="9.140625" hidden="1" customWidth="1"/>
    <col min="23" max="23" width="11.42578125" hidden="1" customWidth="1"/>
    <col min="24" max="24" width="11.42578125" style="2113" hidden="1" customWidth="1"/>
    <col min="25" max="25" width="9.85546875" style="2113" hidden="1" customWidth="1"/>
    <col min="26" max="26" width="9.140625" style="2113" hidden="1" customWidth="1"/>
    <col min="27" max="27" width="11.42578125" style="2113" hidden="1" customWidth="1"/>
    <col min="28" max="28" width="9.140625" hidden="1" customWidth="1"/>
    <col min="29" max="29" width="11.28515625" style="511" hidden="1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580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2866" hidden="1" customWidth="1"/>
    <col min="55" max="55" width="9.85546875" style="2866" hidden="1" customWidth="1"/>
    <col min="56" max="56" width="9.140625" style="2866" hidden="1" customWidth="1"/>
    <col min="57" max="57" width="11.28515625" style="2866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302" t="s">
        <v>1850</v>
      </c>
      <c r="D1" s="8302"/>
      <c r="E1" s="8302"/>
      <c r="F1" s="8302"/>
      <c r="G1" s="8302"/>
      <c r="H1" s="8302"/>
      <c r="I1" s="8302"/>
      <c r="J1" s="8302"/>
      <c r="K1" s="8302"/>
      <c r="L1" s="8302"/>
      <c r="M1" s="8302"/>
      <c r="N1" s="8302"/>
      <c r="O1" s="8302"/>
    </row>
    <row r="3" spans="3:62" x14ac:dyDescent="0.3">
      <c r="C3" s="522" t="s">
        <v>923</v>
      </c>
      <c r="D3" s="522" t="s">
        <v>812</v>
      </c>
      <c r="E3" s="522" t="s">
        <v>172</v>
      </c>
      <c r="F3" s="8364" t="s">
        <v>2349</v>
      </c>
      <c r="G3" s="8363"/>
      <c r="H3" s="8364" t="s">
        <v>1956</v>
      </c>
      <c r="I3" s="8363"/>
      <c r="J3" s="8357" t="s">
        <v>627</v>
      </c>
      <c r="K3" s="8358"/>
      <c r="L3" s="8364" t="s">
        <v>1986</v>
      </c>
      <c r="M3" s="8363"/>
      <c r="N3" s="8359" t="s">
        <v>607</v>
      </c>
      <c r="O3" s="8360"/>
      <c r="P3" s="8364" t="s">
        <v>2008</v>
      </c>
      <c r="Q3" s="8363"/>
      <c r="R3" s="8359" t="s">
        <v>620</v>
      </c>
      <c r="S3" s="8360"/>
      <c r="T3" s="8355">
        <v>45870</v>
      </c>
      <c r="U3" s="8363"/>
      <c r="V3" s="8359" t="s">
        <v>798</v>
      </c>
      <c r="W3" s="8360"/>
      <c r="X3" s="8355">
        <v>45901</v>
      </c>
      <c r="Y3" s="8356"/>
      <c r="Z3" s="8359" t="s">
        <v>629</v>
      </c>
      <c r="AA3" s="8361"/>
      <c r="AB3" s="8362" t="s">
        <v>487</v>
      </c>
      <c r="AC3" s="8362"/>
      <c r="AD3" s="8355">
        <v>45931</v>
      </c>
      <c r="AE3" s="8356"/>
      <c r="AF3" s="8359" t="s">
        <v>1055</v>
      </c>
      <c r="AG3" s="8360"/>
      <c r="AH3" s="8355">
        <v>45962</v>
      </c>
      <c r="AI3" s="8356"/>
      <c r="AJ3" s="8357" t="s">
        <v>1561</v>
      </c>
      <c r="AK3" s="8358"/>
      <c r="AL3" s="8355">
        <v>45992</v>
      </c>
      <c r="AM3" s="8356"/>
      <c r="AN3" s="8359" t="s">
        <v>631</v>
      </c>
      <c r="AO3" s="8361"/>
      <c r="AP3" s="8357" t="s">
        <v>876</v>
      </c>
      <c r="AQ3" s="8358"/>
      <c r="AR3" s="8355" t="s">
        <v>2206</v>
      </c>
      <c r="AS3" s="8356"/>
      <c r="AT3" s="8357" t="s">
        <v>1593</v>
      </c>
      <c r="AU3" s="8358"/>
      <c r="AV3" s="8355" t="s">
        <v>2243</v>
      </c>
      <c r="AW3" s="8356"/>
      <c r="AX3" s="8357" t="s">
        <v>1599</v>
      </c>
      <c r="AY3" s="8358"/>
      <c r="AZ3" s="8355" t="s">
        <v>2261</v>
      </c>
      <c r="BA3" s="8356"/>
      <c r="BB3" s="8359" t="s">
        <v>632</v>
      </c>
      <c r="BC3" s="8361"/>
      <c r="BD3" s="8362" t="s">
        <v>525</v>
      </c>
      <c r="BE3" s="8362"/>
      <c r="BF3" s="8357" t="s">
        <v>1984</v>
      </c>
      <c r="BG3" s="8358"/>
    </row>
    <row r="4" spans="3:62" x14ac:dyDescent="0.3">
      <c r="C4" s="523" t="s">
        <v>16</v>
      </c>
      <c r="D4" s="1525" t="s">
        <v>1316</v>
      </c>
      <c r="E4" s="5051"/>
      <c r="F4" s="523"/>
      <c r="G4" s="524">
        <f>+SUMIF(WRM!$C$7:$C$127,$D4,WRM!$F$7:$F$127)</f>
        <v>7943.75</v>
      </c>
      <c r="H4" s="524"/>
      <c r="I4" s="524">
        <f>+SUMIF(WRM!$C$7:$C$127,$D4,WRM!$H$7:$H$127)</f>
        <v>1963.9</v>
      </c>
      <c r="J4" s="593"/>
      <c r="K4" s="593">
        <f t="shared" ref="K4:K37" si="0">+G4+I4</f>
        <v>9907.65</v>
      </c>
      <c r="L4" s="524"/>
      <c r="M4" s="524">
        <f>+SUMIF(WRM!$C$7:$C$127,$D4,WRM!$L$7:$L$127)</f>
        <v>301.34999999999997</v>
      </c>
      <c r="N4" s="598"/>
      <c r="O4" s="598">
        <f t="shared" ref="O4:O37" si="1">+G4+I4+M4</f>
        <v>10209</v>
      </c>
      <c r="P4" s="524"/>
      <c r="Q4" s="524">
        <f>+SUMIF(WRM!$C$7:$C$127,$D4,WRM!P$7:$P$127)</f>
        <v>990.15000000000009</v>
      </c>
      <c r="R4" s="598"/>
      <c r="S4" s="598">
        <f>O4+Q4</f>
        <v>11199.15</v>
      </c>
      <c r="T4" s="524"/>
      <c r="U4" s="524">
        <f>+SUMIF(WRM!$C$7:$C$127,$D4,WRM!$T$7:T$127)</f>
        <v>303.39999999999998</v>
      </c>
      <c r="V4" s="598"/>
      <c r="W4" s="598">
        <f>S4+U4</f>
        <v>11502.55</v>
      </c>
      <c r="X4" s="598"/>
      <c r="Y4" s="524">
        <f>+SUMIF(WRM!$C$7:$C$127,$D4,WRM!$X$7:X$127)</f>
        <v>1195.1500000000001</v>
      </c>
      <c r="Z4" s="598"/>
      <c r="AA4" s="2168">
        <f>Q4+U4+Y4</f>
        <v>2488.7000000000003</v>
      </c>
      <c r="AB4" s="2228"/>
      <c r="AC4" s="1091">
        <f>O4+AA4</f>
        <v>12697.7</v>
      </c>
      <c r="AD4" s="598"/>
      <c r="AE4" s="524">
        <f>+SUMIF(WRM!$C$7:$C$127,$D4,WRM!$AD$7:$AD$127)</f>
        <v>442.79999999999995</v>
      </c>
      <c r="AF4" s="598"/>
      <c r="AG4" s="598">
        <f>AC4+AE4</f>
        <v>13140.5</v>
      </c>
      <c r="AH4" s="598"/>
      <c r="AI4" s="524">
        <f>+SUMIF(WRM!$C$7:$C$127,$D4,WRM!$AH$7:$AH$127)</f>
        <v>1070.1000000000001</v>
      </c>
      <c r="AJ4" s="593"/>
      <c r="AK4" s="593">
        <f>AG4+AI4</f>
        <v>14210.6</v>
      </c>
      <c r="AL4" s="598"/>
      <c r="AM4" s="524">
        <f>+SUMIF(WRM!$C$7:$C$127,$D4,WRM!$AL$7:$AL$127)</f>
        <v>918.4</v>
      </c>
      <c r="AN4" s="598"/>
      <c r="AO4" s="2168">
        <f>AE4+AI4+AM4</f>
        <v>2431.3000000000002</v>
      </c>
      <c r="AP4" s="593"/>
      <c r="AQ4" s="593">
        <f>AK4+AM4</f>
        <v>15129</v>
      </c>
      <c r="AR4" s="598"/>
      <c r="AS4" s="524">
        <f>+SUMIF(WRM!$C$7:$C$127,$D4,WRM!$AR$7:$AR$127)</f>
        <v>0</v>
      </c>
      <c r="AT4" s="593"/>
      <c r="AU4" s="593">
        <f>AQ4+AS4</f>
        <v>15129</v>
      </c>
      <c r="AV4" s="598"/>
      <c r="AW4" s="524">
        <f>+SUMIF(WRM!$C$7:$C$127,$D4,WRM!$AV$7:$AV$127)</f>
        <v>1353</v>
      </c>
      <c r="AX4" s="593"/>
      <c r="AY4" s="593">
        <f>AU4+AW4</f>
        <v>16482</v>
      </c>
      <c r="AZ4" s="598"/>
      <c r="BA4" s="524">
        <f>+SUMIF(WRM!$C$7:$C$127,$D4,WRM!$AZ$7:$AZ$127)</f>
        <v>5303.3500000000031</v>
      </c>
      <c r="BB4" s="598"/>
      <c r="BC4" s="2168">
        <f>AS4+AW4+BA4</f>
        <v>6656.3500000000031</v>
      </c>
      <c r="BD4" s="2228"/>
      <c r="BE4" s="1091">
        <f>AO4+BC4</f>
        <v>9087.6500000000033</v>
      </c>
      <c r="BF4" s="593"/>
      <c r="BG4" s="593">
        <f>AY4+BA4</f>
        <v>21785.350000000002</v>
      </c>
      <c r="BH4" s="25"/>
      <c r="BI4" s="25"/>
      <c r="BJ4" s="25"/>
    </row>
    <row r="5" spans="3:62" x14ac:dyDescent="0.3">
      <c r="C5" s="523" t="s">
        <v>16</v>
      </c>
      <c r="D5" s="1525" t="s">
        <v>1790</v>
      </c>
      <c r="E5" s="5052"/>
      <c r="F5" s="523"/>
      <c r="G5" s="524">
        <f>+SUMIF(WRM!$C$7:$C$127,$D5,WRM!$F$7:$F$127)</f>
        <v>0</v>
      </c>
      <c r="H5" s="524"/>
      <c r="I5" s="524">
        <f>+SUMIF(WRM!$C$7:$C$127,$D5,WRM!$H$7:$H$127)</f>
        <v>0</v>
      </c>
      <c r="J5" s="593"/>
      <c r="K5" s="593">
        <f t="shared" si="0"/>
        <v>0</v>
      </c>
      <c r="L5" s="524"/>
      <c r="M5" s="524">
        <f>+SUMIF(WRM!$C$7:$C$127,$D5,WRM!$L$7:$L$127)</f>
        <v>0</v>
      </c>
      <c r="N5" s="598"/>
      <c r="O5" s="598">
        <f t="shared" si="1"/>
        <v>0</v>
      </c>
      <c r="P5" s="524"/>
      <c r="Q5" s="524">
        <f>+SUMIF(WRM!$C$7:$C$127,$D5,WRM!P$7:$P$127)</f>
        <v>0</v>
      </c>
      <c r="R5" s="598"/>
      <c r="S5" s="598">
        <f t="shared" ref="S5:S24" si="2">O5+Q5</f>
        <v>0</v>
      </c>
      <c r="T5" s="524"/>
      <c r="U5" s="524">
        <f>+SUMIF(WRM!$C$7:$C$127,$D5,WRM!$T$7:T$127)</f>
        <v>0</v>
      </c>
      <c r="V5" s="598"/>
      <c r="W5" s="598">
        <f t="shared" ref="W5:W37" si="3">S5+U5</f>
        <v>0</v>
      </c>
      <c r="X5" s="598"/>
      <c r="Y5" s="524">
        <f>+SUMIF(WRM!$C$7:$C$127,$D5,WRM!$X$7:X$127)</f>
        <v>0</v>
      </c>
      <c r="Z5" s="598"/>
      <c r="AA5" s="2168">
        <f t="shared" ref="AA5:AA37" si="4">Q5+U5+Y5</f>
        <v>0</v>
      </c>
      <c r="AB5" s="2228"/>
      <c r="AC5" s="1091">
        <f t="shared" ref="AC5:AC37" si="5">O5+AA5</f>
        <v>0</v>
      </c>
      <c r="AD5" s="598"/>
      <c r="AE5" s="524">
        <f>+SUMIF(WRM!$C$7:$C$127,$D5,WRM!$AD$7:$AD$127)</f>
        <v>0</v>
      </c>
      <c r="AF5" s="598"/>
      <c r="AG5" s="598">
        <f t="shared" ref="AG5:AG37" si="6">AC5+AE5</f>
        <v>0</v>
      </c>
      <c r="AH5" s="598"/>
      <c r="AI5" s="524">
        <f>+SUMIF(WRM!$C$7:$C$127,$D5,WRM!$AH$7:$AH$127)</f>
        <v>0</v>
      </c>
      <c r="AJ5" s="593"/>
      <c r="AK5" s="593">
        <f t="shared" ref="AK5:AK37" si="7">AG5+AI5</f>
        <v>0</v>
      </c>
      <c r="AL5" s="598"/>
      <c r="AM5" s="524">
        <f>+SUMIF(WRM!$C$7:$C$127,$D5,WRM!$AL$7:$AL$127)</f>
        <v>0</v>
      </c>
      <c r="AN5" s="598"/>
      <c r="AO5" s="2168">
        <f t="shared" ref="AO5:AO37" si="8">AE5+AI5+AM5</f>
        <v>0</v>
      </c>
      <c r="AP5" s="593"/>
      <c r="AQ5" s="593">
        <f t="shared" ref="AQ5:AQ37" si="9">AK5+AM5</f>
        <v>0</v>
      </c>
      <c r="AR5" s="598"/>
      <c r="AS5" s="524">
        <f>+SUMIF(WRM!$C$7:$C$127,$D5,WRM!$AR$7:$AR$127)</f>
        <v>0</v>
      </c>
      <c r="AT5" s="593"/>
      <c r="AU5" s="593">
        <f t="shared" ref="AU5:AU37" si="10">AQ5+AS5</f>
        <v>0</v>
      </c>
      <c r="AV5" s="598"/>
      <c r="AW5" s="524">
        <f>+SUMIF(WRM!$C$7:$C$127,$D5,WRM!$AV$7:$AV$127)</f>
        <v>0</v>
      </c>
      <c r="AX5" s="593"/>
      <c r="AY5" s="593">
        <f t="shared" ref="AY5:AY37" si="11">AU5+AW5</f>
        <v>0</v>
      </c>
      <c r="AZ5" s="598"/>
      <c r="BA5" s="524">
        <f>+SUMIF(WRM!$C$7:$C$127,$D5,WRM!$AZ$7:$AZ$127)</f>
        <v>0</v>
      </c>
      <c r="BB5" s="598"/>
      <c r="BC5" s="2168">
        <f t="shared" ref="BC5:BC37" si="12">AS5+AW5+BA5</f>
        <v>0</v>
      </c>
      <c r="BD5" s="2228"/>
      <c r="BE5" s="1091">
        <f t="shared" ref="BE5:BE68" si="13">AO5+BC5</f>
        <v>0</v>
      </c>
      <c r="BF5" s="593"/>
      <c r="BG5" s="593">
        <f t="shared" ref="BG5:BG71" si="14">AY5+BA5</f>
        <v>0</v>
      </c>
      <c r="BH5" s="25"/>
      <c r="BI5" s="25"/>
      <c r="BJ5" s="25"/>
    </row>
    <row r="6" spans="3:62" x14ac:dyDescent="0.3">
      <c r="C6" s="523" t="s">
        <v>16</v>
      </c>
      <c r="D6" s="1525" t="s">
        <v>1274</v>
      </c>
      <c r="E6" s="5052"/>
      <c r="F6" s="523"/>
      <c r="G6" s="524">
        <f>+SUMIF(WRM!$C$7:$C$127,$D6,WRM!$F$7:$F$127)</f>
        <v>0</v>
      </c>
      <c r="H6" s="524"/>
      <c r="I6" s="524">
        <f>+SUMIF(WRM!$C$7:$C$127,$D6,WRM!$H$7:$H$127)</f>
        <v>0</v>
      </c>
      <c r="J6" s="593"/>
      <c r="K6" s="593">
        <f t="shared" si="0"/>
        <v>0</v>
      </c>
      <c r="L6" s="524"/>
      <c r="M6" s="524">
        <f>+SUMIF(WRM!$C$7:$C$127,$D6,WRM!$L$7:$L$127)</f>
        <v>161.95000000000002</v>
      </c>
      <c r="N6" s="598"/>
      <c r="O6" s="598">
        <f t="shared" si="1"/>
        <v>161.95000000000002</v>
      </c>
      <c r="P6" s="524"/>
      <c r="Q6" s="524">
        <f>+SUMIF(WRM!$C$7:$C$127,$D6,WRM!P$7:$P$127)</f>
        <v>676.5</v>
      </c>
      <c r="R6" s="598"/>
      <c r="S6" s="598">
        <f t="shared" si="2"/>
        <v>838.45</v>
      </c>
      <c r="T6" s="524"/>
      <c r="U6" s="524">
        <f>+SUMIF(WRM!$C$7:$C$127,$D6,WRM!$T$7:T$127)</f>
        <v>211.14999999999998</v>
      </c>
      <c r="V6" s="598"/>
      <c r="W6" s="598">
        <f t="shared" si="3"/>
        <v>1049.5999999999999</v>
      </c>
      <c r="X6" s="598"/>
      <c r="Y6" s="524">
        <f>+SUMIF(WRM!$C$7:$C$127,$D6,WRM!$X$7:X$127)</f>
        <v>1326.3500000000001</v>
      </c>
      <c r="Z6" s="598"/>
      <c r="AA6" s="2168">
        <f t="shared" si="4"/>
        <v>2214</v>
      </c>
      <c r="AB6" s="2228"/>
      <c r="AC6" s="1091">
        <f t="shared" si="5"/>
        <v>2375.9499999999998</v>
      </c>
      <c r="AD6" s="598"/>
      <c r="AE6" s="524">
        <f>+SUMIF(WRM!$C$7:$C$127,$D6,WRM!$AD$7:$AD$127)</f>
        <v>0</v>
      </c>
      <c r="AF6" s="598"/>
      <c r="AG6" s="598">
        <f t="shared" si="6"/>
        <v>2375.9499999999998</v>
      </c>
      <c r="AH6" s="598"/>
      <c r="AI6" s="524">
        <f>+SUMIF(WRM!$C$7:$C$127,$D6,WRM!$AH$7:$AH$127)</f>
        <v>0</v>
      </c>
      <c r="AJ6" s="593"/>
      <c r="AK6" s="593">
        <f t="shared" si="7"/>
        <v>2375.9499999999998</v>
      </c>
      <c r="AL6" s="598"/>
      <c r="AM6" s="524">
        <f>+SUMIF(WRM!$C$7:$C$127,$D6,WRM!$AL$7:$AL$127)</f>
        <v>0</v>
      </c>
      <c r="AN6" s="598"/>
      <c r="AO6" s="2168">
        <f t="shared" si="8"/>
        <v>0</v>
      </c>
      <c r="AP6" s="593"/>
      <c r="AQ6" s="593">
        <f t="shared" si="9"/>
        <v>2375.9499999999998</v>
      </c>
      <c r="AR6" s="598"/>
      <c r="AS6" s="524">
        <f>+SUMIF(WRM!$C$7:$C$127,$D6,WRM!$AR$7:$AR$127)</f>
        <v>670.35</v>
      </c>
      <c r="AT6" s="593"/>
      <c r="AU6" s="593">
        <f t="shared" si="10"/>
        <v>3046.2999999999997</v>
      </c>
      <c r="AV6" s="598"/>
      <c r="AW6" s="524">
        <f>+SUMIF(WRM!$C$7:$C$127,$D6,WRM!$AV$7:$AV$127)</f>
        <v>0</v>
      </c>
      <c r="AX6" s="593"/>
      <c r="AY6" s="593">
        <f t="shared" si="11"/>
        <v>3046.2999999999997</v>
      </c>
      <c r="AZ6" s="598"/>
      <c r="BA6" s="524">
        <f>+SUMIF(WRM!$C$7:$C$127,$D6,WRM!$AZ$7:$AZ$127)</f>
        <v>0</v>
      </c>
      <c r="BB6" s="598"/>
      <c r="BC6" s="2168">
        <f t="shared" si="12"/>
        <v>670.35</v>
      </c>
      <c r="BD6" s="2228"/>
      <c r="BE6" s="1091">
        <f t="shared" si="13"/>
        <v>670.35</v>
      </c>
      <c r="BF6" s="593"/>
      <c r="BG6" s="593">
        <f t="shared" si="14"/>
        <v>3046.2999999999997</v>
      </c>
      <c r="BH6" s="25"/>
      <c r="BI6" s="25"/>
      <c r="BJ6" s="25"/>
    </row>
    <row r="7" spans="3:62" x14ac:dyDescent="0.3">
      <c r="C7" s="523" t="s">
        <v>16</v>
      </c>
      <c r="D7" s="1525" t="s">
        <v>908</v>
      </c>
      <c r="E7" s="5052"/>
      <c r="F7" s="523"/>
      <c r="G7" s="524">
        <f>+SUMIF(WRM!$C$7:$C$127,$D7,WRM!$F$7:$F$127)</f>
        <v>0</v>
      </c>
      <c r="H7" s="524"/>
      <c r="I7" s="524">
        <f>+SUMIF(WRM!$C$7:$C$127,$D7,WRM!$H$7:$H$127)</f>
        <v>104.55</v>
      </c>
      <c r="J7" s="593"/>
      <c r="K7" s="593">
        <f t="shared" si="0"/>
        <v>104.55</v>
      </c>
      <c r="L7" s="524"/>
      <c r="M7" s="524">
        <f>+SUMIF(WRM!$C$7:$C$127,$D7,WRM!$L$7:$L$127)</f>
        <v>0</v>
      </c>
      <c r="N7" s="598"/>
      <c r="O7" s="598">
        <f t="shared" si="1"/>
        <v>104.55</v>
      </c>
      <c r="P7" s="524"/>
      <c r="Q7" s="524">
        <f>+SUMIF(WRM!$C$7:$C$127,$D7,WRM!P$7:$P$127)</f>
        <v>0</v>
      </c>
      <c r="R7" s="598"/>
      <c r="S7" s="598">
        <f t="shared" si="2"/>
        <v>104.55</v>
      </c>
      <c r="T7" s="524"/>
      <c r="U7" s="524">
        <f>+SUMIF(WRM!$C$7:$C$127,$D7,WRM!$T$7:T$127)</f>
        <v>0</v>
      </c>
      <c r="V7" s="598"/>
      <c r="W7" s="598">
        <f t="shared" si="3"/>
        <v>104.55</v>
      </c>
      <c r="X7" s="598"/>
      <c r="Y7" s="524">
        <f>+SUMIF(WRM!$C$7:$C$127,$D7,WRM!$X$7:X$127)</f>
        <v>0</v>
      </c>
      <c r="Z7" s="598"/>
      <c r="AA7" s="2168">
        <f t="shared" si="4"/>
        <v>0</v>
      </c>
      <c r="AB7" s="2228"/>
      <c r="AC7" s="1091">
        <f t="shared" si="5"/>
        <v>104.55</v>
      </c>
      <c r="AD7" s="598"/>
      <c r="AE7" s="524">
        <f>+SUMIF(WRM!$C$7:$C$127,$D7,WRM!$AD$7:$AD$127)</f>
        <v>0</v>
      </c>
      <c r="AF7" s="598"/>
      <c r="AG7" s="598">
        <f t="shared" si="6"/>
        <v>104.55</v>
      </c>
      <c r="AH7" s="598"/>
      <c r="AI7" s="524">
        <f>+SUMIF(WRM!$C$7:$C$127,$D7,WRM!$AH$7:$AH$127)</f>
        <v>0</v>
      </c>
      <c r="AJ7" s="593"/>
      <c r="AK7" s="593">
        <f t="shared" si="7"/>
        <v>104.55</v>
      </c>
      <c r="AL7" s="598"/>
      <c r="AM7" s="524">
        <f>+SUMIF(WRM!$C$7:$C$127,$D7,WRM!$AL$7:$AL$127)</f>
        <v>0</v>
      </c>
      <c r="AN7" s="598"/>
      <c r="AO7" s="2168">
        <f t="shared" si="8"/>
        <v>0</v>
      </c>
      <c r="AP7" s="593"/>
      <c r="AQ7" s="593">
        <f t="shared" si="9"/>
        <v>104.55</v>
      </c>
      <c r="AR7" s="598"/>
      <c r="AS7" s="524">
        <f>+SUMIF(WRM!$C$7:$C$127,$D7,WRM!$AR$7:$AR$127)</f>
        <v>0</v>
      </c>
      <c r="AT7" s="593"/>
      <c r="AU7" s="593">
        <f t="shared" si="10"/>
        <v>104.55</v>
      </c>
      <c r="AV7" s="598"/>
      <c r="AW7" s="524">
        <f>+SUMIF(WRM!$C$7:$C$127,$D7,WRM!$AV$7:$AV$127)</f>
        <v>0</v>
      </c>
      <c r="AX7" s="593"/>
      <c r="AY7" s="593">
        <f t="shared" si="11"/>
        <v>104.55</v>
      </c>
      <c r="AZ7" s="598"/>
      <c r="BA7" s="524">
        <f>+SUMIF(WRM!$C$7:$C$127,$D7,WRM!$AZ$7:$AZ$127)</f>
        <v>0</v>
      </c>
      <c r="BB7" s="598"/>
      <c r="BC7" s="2168">
        <f t="shared" si="12"/>
        <v>0</v>
      </c>
      <c r="BD7" s="2228"/>
      <c r="BE7" s="1091">
        <f t="shared" si="13"/>
        <v>0</v>
      </c>
      <c r="BF7" s="593"/>
      <c r="BG7" s="593">
        <f t="shared" si="14"/>
        <v>104.55</v>
      </c>
      <c r="BH7" s="25"/>
      <c r="BI7" s="25"/>
      <c r="BJ7" s="25"/>
    </row>
    <row r="8" spans="3:62" x14ac:dyDescent="0.3">
      <c r="C8" s="523" t="s">
        <v>16</v>
      </c>
      <c r="D8" s="1525" t="s">
        <v>1317</v>
      </c>
      <c r="E8" s="5052"/>
      <c r="F8" s="523"/>
      <c r="G8" s="524">
        <f>+SUMIF(WRM!$C$7:$C$127,$D8,WRM!$F$7:$F$127)</f>
        <v>0</v>
      </c>
      <c r="H8" s="524"/>
      <c r="I8" s="524">
        <f>+SUMIF(WRM!$C$7:$C$127,$D8,WRM!$H$7:$H$127)</f>
        <v>0</v>
      </c>
      <c r="J8" s="593"/>
      <c r="K8" s="593">
        <f t="shared" si="0"/>
        <v>0</v>
      </c>
      <c r="L8" s="524"/>
      <c r="M8" s="524">
        <f>+SUMIF(WRM!$C$7:$C$127,$D8,WRM!$L$7:$L$127)</f>
        <v>0</v>
      </c>
      <c r="N8" s="598"/>
      <c r="O8" s="598">
        <f t="shared" si="1"/>
        <v>0</v>
      </c>
      <c r="P8" s="524"/>
      <c r="Q8" s="524">
        <f>+SUMIF(WRM!$C$7:$C$127,$D8,WRM!P$7:$P$127)</f>
        <v>0</v>
      </c>
      <c r="R8" s="598"/>
      <c r="S8" s="598">
        <f t="shared" si="2"/>
        <v>0</v>
      </c>
      <c r="T8" s="524"/>
      <c r="U8" s="524">
        <f>+SUMIF(WRM!$C$7:$C$127,$D8,WRM!$T$7:T$127)</f>
        <v>0</v>
      </c>
      <c r="V8" s="598"/>
      <c r="W8" s="598">
        <f t="shared" si="3"/>
        <v>0</v>
      </c>
      <c r="X8" s="598"/>
      <c r="Y8" s="524">
        <f>+SUMIF(WRM!$C$7:$C$127,$D8,WRM!$X$7:X$127)</f>
        <v>0</v>
      </c>
      <c r="Z8" s="598"/>
      <c r="AA8" s="2168">
        <f t="shared" si="4"/>
        <v>0</v>
      </c>
      <c r="AB8" s="2228"/>
      <c r="AC8" s="1091">
        <f t="shared" si="5"/>
        <v>0</v>
      </c>
      <c r="AD8" s="598"/>
      <c r="AE8" s="524">
        <f>+SUMIF(WRM!$C$7:$C$127,$D8,WRM!$AD$7:$AD$127)</f>
        <v>0</v>
      </c>
      <c r="AF8" s="598"/>
      <c r="AG8" s="598">
        <f t="shared" si="6"/>
        <v>0</v>
      </c>
      <c r="AH8" s="598"/>
      <c r="AI8" s="524">
        <f>+SUMIF(WRM!$C$7:$C$127,$D8,WRM!$AH$7:$AH$127)</f>
        <v>0</v>
      </c>
      <c r="AJ8" s="593"/>
      <c r="AK8" s="593">
        <f t="shared" si="7"/>
        <v>0</v>
      </c>
      <c r="AL8" s="598"/>
      <c r="AM8" s="524">
        <f>+SUMIF(WRM!$C$7:$C$127,$D8,WRM!$AL$7:$AL$127)</f>
        <v>0</v>
      </c>
      <c r="AN8" s="598"/>
      <c r="AO8" s="2168">
        <f t="shared" si="8"/>
        <v>0</v>
      </c>
      <c r="AP8" s="593"/>
      <c r="AQ8" s="593">
        <f t="shared" si="9"/>
        <v>0</v>
      </c>
      <c r="AR8" s="598"/>
      <c r="AS8" s="524">
        <f>+SUMIF(WRM!$C$7:$C$127,$D8,WRM!$AR$7:$AR$127)</f>
        <v>0</v>
      </c>
      <c r="AT8" s="593"/>
      <c r="AU8" s="593">
        <f t="shared" si="10"/>
        <v>0</v>
      </c>
      <c r="AV8" s="598"/>
      <c r="AW8" s="524">
        <f>+SUMIF(WRM!$C$7:$C$127,$D8,WRM!$AV$7:$AV$127)</f>
        <v>0</v>
      </c>
      <c r="AX8" s="593"/>
      <c r="AY8" s="593">
        <f t="shared" si="11"/>
        <v>0</v>
      </c>
      <c r="AZ8" s="598"/>
      <c r="BA8" s="524">
        <f>+SUMIF(WRM!$C$7:$C$127,$D8,WRM!$AZ$7:$AZ$127)</f>
        <v>0</v>
      </c>
      <c r="BB8" s="598"/>
      <c r="BC8" s="2168">
        <f t="shared" si="12"/>
        <v>0</v>
      </c>
      <c r="BD8" s="2228"/>
      <c r="BE8" s="1091">
        <f t="shared" si="13"/>
        <v>0</v>
      </c>
      <c r="BF8" s="593"/>
      <c r="BG8" s="593">
        <f t="shared" si="14"/>
        <v>0</v>
      </c>
      <c r="BH8" s="25"/>
      <c r="BI8" s="25"/>
      <c r="BJ8" s="25"/>
    </row>
    <row r="9" spans="3:62" x14ac:dyDescent="0.3">
      <c r="C9" s="523" t="s">
        <v>16</v>
      </c>
      <c r="D9" s="1525" t="s">
        <v>836</v>
      </c>
      <c r="E9" s="5052"/>
      <c r="F9" s="523"/>
      <c r="G9" s="524">
        <f>+SUMIF(WRM!$C$7:$C$127,$D9,WRM!$F$7:$F$127)</f>
        <v>8933.9</v>
      </c>
      <c r="H9" s="524"/>
      <c r="I9" s="524">
        <f>+SUMIF(WRM!$C$7:$C$127,$D9,WRM!$H$7:$H$127)</f>
        <v>9491.5</v>
      </c>
      <c r="J9" s="593"/>
      <c r="K9" s="593">
        <f t="shared" si="0"/>
        <v>18425.400000000001</v>
      </c>
      <c r="L9" s="524"/>
      <c r="M9" s="524">
        <f>+SUMIF(WRM!$C$7:$C$127,$D9,WRM!$L$7:$L$127)</f>
        <v>4954.8500000000004</v>
      </c>
      <c r="N9" s="598"/>
      <c r="O9" s="598">
        <f t="shared" si="1"/>
        <v>23380.25</v>
      </c>
      <c r="P9" s="524"/>
      <c r="Q9" s="524">
        <f>+SUMIF(WRM!$C$7:$C$127,$D9,WRM!P$7:$P$127)</f>
        <v>7790.0000000000009</v>
      </c>
      <c r="R9" s="598"/>
      <c r="S9" s="598">
        <f t="shared" si="2"/>
        <v>31170.25</v>
      </c>
      <c r="T9" s="524"/>
      <c r="U9" s="524">
        <f>+SUMIF(WRM!$C$7:$C$127,$D9,WRM!$T$7:T$127)</f>
        <v>6562.05</v>
      </c>
      <c r="V9" s="598"/>
      <c r="W9" s="598">
        <f t="shared" si="3"/>
        <v>37732.300000000003</v>
      </c>
      <c r="X9" s="598"/>
      <c r="Y9" s="524">
        <f>+SUMIF(WRM!$C$7:$C$127,$D9,WRM!$X$7:X$127)</f>
        <v>8247.15</v>
      </c>
      <c r="Z9" s="598"/>
      <c r="AA9" s="2168">
        <f t="shared" si="4"/>
        <v>22599.200000000001</v>
      </c>
      <c r="AB9" s="2228"/>
      <c r="AC9" s="1091">
        <f t="shared" si="5"/>
        <v>45979.45</v>
      </c>
      <c r="AD9" s="598"/>
      <c r="AE9" s="524">
        <f>+SUMIF(WRM!$C$7:$C$127,$D9,WRM!$AD$7:$AD$127)</f>
        <v>5110.6499999999996</v>
      </c>
      <c r="AF9" s="598"/>
      <c r="AG9" s="598">
        <f t="shared" si="6"/>
        <v>51090.1</v>
      </c>
      <c r="AH9" s="598"/>
      <c r="AI9" s="524">
        <f>+SUMIF(WRM!$C$7:$C$127,$D9,WRM!$AH$7:$AH$127)</f>
        <v>9261.9000000000051</v>
      </c>
      <c r="AJ9" s="593"/>
      <c r="AK9" s="593">
        <f t="shared" si="7"/>
        <v>60352</v>
      </c>
      <c r="AL9" s="598"/>
      <c r="AM9" s="524">
        <f>+SUMIF(WRM!$C$7:$C$127,$D9,WRM!$AL$7:$AL$127)</f>
        <v>5922.4500000000007</v>
      </c>
      <c r="AN9" s="598"/>
      <c r="AO9" s="2168">
        <f t="shared" si="8"/>
        <v>20295.000000000007</v>
      </c>
      <c r="AP9" s="593"/>
      <c r="AQ9" s="593">
        <f t="shared" si="9"/>
        <v>66274.45</v>
      </c>
      <c r="AR9" s="598"/>
      <c r="AS9" s="524">
        <f>+SUMIF(WRM!$C$7:$C$127,$D9,WRM!$AR$7:$AR$127)</f>
        <v>5807.65</v>
      </c>
      <c r="AT9" s="593"/>
      <c r="AU9" s="593">
        <f t="shared" si="10"/>
        <v>72082.099999999991</v>
      </c>
      <c r="AV9" s="598"/>
      <c r="AW9" s="524">
        <f>+SUMIF(WRM!$C$7:$C$127,$D9,WRM!$AV$7:$AV$127)</f>
        <v>9950.7000000000098</v>
      </c>
      <c r="AX9" s="593"/>
      <c r="AY9" s="593">
        <f t="shared" si="11"/>
        <v>82032.800000000003</v>
      </c>
      <c r="AZ9" s="598"/>
      <c r="BA9" s="524">
        <f>+SUMIF(WRM!$C$7:$C$127,$D9,WRM!$AZ$7:$AZ$127)</f>
        <v>9653.4499999999989</v>
      </c>
      <c r="BB9" s="598"/>
      <c r="BC9" s="2168">
        <f t="shared" si="12"/>
        <v>25411.80000000001</v>
      </c>
      <c r="BD9" s="2228"/>
      <c r="BE9" s="1091">
        <f t="shared" si="13"/>
        <v>45706.800000000017</v>
      </c>
      <c r="BF9" s="593"/>
      <c r="BG9" s="593">
        <f t="shared" si="14"/>
        <v>91686.25</v>
      </c>
      <c r="BH9" s="25"/>
      <c r="BI9" s="25"/>
      <c r="BJ9" s="25"/>
    </row>
    <row r="10" spans="3:62" x14ac:dyDescent="0.3">
      <c r="C10" s="523" t="s">
        <v>16</v>
      </c>
      <c r="D10" s="1525" t="s">
        <v>1988</v>
      </c>
      <c r="E10" s="5052"/>
      <c r="F10" s="523"/>
      <c r="G10" s="524">
        <f>+SUMIF(WRM!$C$7:$C$127,$D10,WRM!$F$7:$F$127)</f>
        <v>0</v>
      </c>
      <c r="H10" s="524"/>
      <c r="I10" s="524">
        <f>+SUMIF(WRM!$C$7:$C$127,$D10,WRM!$H$7:$H$127)</f>
        <v>0</v>
      </c>
      <c r="J10" s="593"/>
      <c r="K10" s="593">
        <f t="shared" si="0"/>
        <v>0</v>
      </c>
      <c r="L10" s="524"/>
      <c r="M10" s="524">
        <f>+SUMIF(WRM!$C$7:$C$127,$D10,WRM!$L$7:$L$127)</f>
        <v>3761.75</v>
      </c>
      <c r="N10" s="598"/>
      <c r="O10" s="598">
        <f t="shared" si="1"/>
        <v>3761.75</v>
      </c>
      <c r="P10" s="524"/>
      <c r="Q10" s="524">
        <f>+SUMIF(WRM!$C$7:$C$127,$D10,WRM!P$7:$P$127)</f>
        <v>9542.7500000000018</v>
      </c>
      <c r="R10" s="598"/>
      <c r="S10" s="598">
        <f t="shared" si="2"/>
        <v>13304.500000000002</v>
      </c>
      <c r="T10" s="524"/>
      <c r="U10" s="524">
        <f>+SUMIF(WRM!$C$7:$C$127,$D10,WRM!$T$7:T$127)</f>
        <v>0</v>
      </c>
      <c r="V10" s="598"/>
      <c r="W10" s="598">
        <f t="shared" si="3"/>
        <v>13304.500000000002</v>
      </c>
      <c r="X10" s="598"/>
      <c r="Y10" s="524">
        <f>+SUMIF(WRM!$C$7:$C$127,$D10,WRM!$X$7:X$127)</f>
        <v>0</v>
      </c>
      <c r="Z10" s="598"/>
      <c r="AA10" s="2168">
        <f t="shared" si="4"/>
        <v>9542.7500000000018</v>
      </c>
      <c r="AB10" s="2228"/>
      <c r="AC10" s="1091">
        <f t="shared" si="5"/>
        <v>13304.500000000002</v>
      </c>
      <c r="AD10" s="598"/>
      <c r="AE10" s="524">
        <f>+SUMIF(WRM!$C$7:$C$127,$D10,WRM!$AD$7:$AD$127)</f>
        <v>0</v>
      </c>
      <c r="AF10" s="598"/>
      <c r="AG10" s="598">
        <f t="shared" si="6"/>
        <v>13304.500000000002</v>
      </c>
      <c r="AH10" s="598"/>
      <c r="AI10" s="524">
        <f>+SUMIF(WRM!$C$7:$C$127,$D10,WRM!$AH$7:$AH$127)</f>
        <v>0</v>
      </c>
      <c r="AJ10" s="593"/>
      <c r="AK10" s="593">
        <f t="shared" si="7"/>
        <v>13304.500000000002</v>
      </c>
      <c r="AL10" s="598"/>
      <c r="AM10" s="524">
        <f>+SUMIF(WRM!$C$7:$C$127,$D10,WRM!$AL$7:$AL$127)</f>
        <v>0</v>
      </c>
      <c r="AN10" s="598"/>
      <c r="AO10" s="2168">
        <f t="shared" si="8"/>
        <v>0</v>
      </c>
      <c r="AP10" s="593"/>
      <c r="AQ10" s="593">
        <f t="shared" si="9"/>
        <v>13304.500000000002</v>
      </c>
      <c r="AR10" s="598"/>
      <c r="AS10" s="524">
        <f>+SUMIF(WRM!$C$7:$C$127,$D10,WRM!$AR$7:$AR$127)</f>
        <v>0</v>
      </c>
      <c r="AT10" s="593"/>
      <c r="AU10" s="593">
        <f t="shared" si="10"/>
        <v>13304.500000000002</v>
      </c>
      <c r="AV10" s="598"/>
      <c r="AW10" s="524">
        <f>+SUMIF(WRM!$C$7:$C$127,$D10,WRM!$AV$7:$AV$127)</f>
        <v>0</v>
      </c>
      <c r="AX10" s="593"/>
      <c r="AY10" s="593">
        <f t="shared" si="11"/>
        <v>13304.500000000002</v>
      </c>
      <c r="AZ10" s="598"/>
      <c r="BA10" s="524">
        <f>+SUMIF(WRM!$C$7:$C$127,$D10,WRM!$AZ$7:$AZ$127)</f>
        <v>0</v>
      </c>
      <c r="BB10" s="598"/>
      <c r="BC10" s="2168">
        <f t="shared" si="12"/>
        <v>0</v>
      </c>
      <c r="BD10" s="2228"/>
      <c r="BE10" s="1091">
        <f t="shared" si="13"/>
        <v>0</v>
      </c>
      <c r="BF10" s="593"/>
      <c r="BG10" s="593">
        <f t="shared" si="14"/>
        <v>13304.500000000002</v>
      </c>
      <c r="BH10" s="25"/>
      <c r="BI10" s="25"/>
      <c r="BJ10" s="25"/>
    </row>
    <row r="11" spans="3:62" x14ac:dyDescent="0.3">
      <c r="C11" s="523" t="s">
        <v>16</v>
      </c>
      <c r="D11" s="1525" t="s">
        <v>1221</v>
      </c>
      <c r="E11" s="5052"/>
      <c r="F11" s="523"/>
      <c r="G11" s="524">
        <f>+SUMIF(WRM!$C$7:$C$127,$D11,WRM!$F$7:$F$127)</f>
        <v>0</v>
      </c>
      <c r="H11" s="524"/>
      <c r="I11" s="524">
        <f>+SUMIF(WRM!$C$7:$C$127,$D11,WRM!$H$7:$H$127)</f>
        <v>0</v>
      </c>
      <c r="J11" s="593"/>
      <c r="K11" s="593">
        <f t="shared" si="0"/>
        <v>0</v>
      </c>
      <c r="L11" s="524"/>
      <c r="M11" s="524">
        <f>+SUMIF(WRM!$C$7:$C$127,$D11,WRM!$L$7:$L$127)</f>
        <v>5600</v>
      </c>
      <c r="N11" s="598"/>
      <c r="O11" s="598">
        <f t="shared" si="1"/>
        <v>5600</v>
      </c>
      <c r="P11" s="524"/>
      <c r="Q11" s="524">
        <f>+SUMIF(WRM!$C$7:$C$127,$D11,WRM!P$7:$P$127)</f>
        <v>1705.6</v>
      </c>
      <c r="R11" s="598"/>
      <c r="S11" s="598">
        <f t="shared" si="2"/>
        <v>7305.6</v>
      </c>
      <c r="T11" s="524"/>
      <c r="U11" s="524">
        <f>+SUMIF(WRM!$C$7:$C$127,$D11,WRM!$T$7:T$127)</f>
        <v>0</v>
      </c>
      <c r="V11" s="598"/>
      <c r="W11" s="598">
        <f t="shared" si="3"/>
        <v>7305.6</v>
      </c>
      <c r="X11" s="598"/>
      <c r="Y11" s="524">
        <f>+SUMIF(WRM!$C$7:$C$127,$D11,WRM!$X$7:X$127)</f>
        <v>0</v>
      </c>
      <c r="Z11" s="598"/>
      <c r="AA11" s="2168">
        <f t="shared" si="4"/>
        <v>1705.6</v>
      </c>
      <c r="AB11" s="2228"/>
      <c r="AC11" s="1091">
        <f t="shared" si="5"/>
        <v>7305.6</v>
      </c>
      <c r="AD11" s="598"/>
      <c r="AE11" s="524">
        <f>+SUMIF(WRM!$C$7:$C$127,$D11,WRM!$AD$7:$AD$127)</f>
        <v>0</v>
      </c>
      <c r="AF11" s="598"/>
      <c r="AG11" s="598">
        <f t="shared" si="6"/>
        <v>7305.6</v>
      </c>
      <c r="AH11" s="598"/>
      <c r="AI11" s="524">
        <f>+SUMIF(WRM!$C$7:$C$127,$D11,WRM!$AH$7:$AH$127)</f>
        <v>0</v>
      </c>
      <c r="AJ11" s="593"/>
      <c r="AK11" s="593">
        <f t="shared" si="7"/>
        <v>7305.6</v>
      </c>
      <c r="AL11" s="598"/>
      <c r="AM11" s="524">
        <f>+SUMIF(WRM!$C$7:$C$127,$D11,WRM!$AL$7:$AL$127)</f>
        <v>0</v>
      </c>
      <c r="AN11" s="598"/>
      <c r="AO11" s="2168">
        <f t="shared" si="8"/>
        <v>0</v>
      </c>
      <c r="AP11" s="593"/>
      <c r="AQ11" s="593">
        <f t="shared" si="9"/>
        <v>7305.6</v>
      </c>
      <c r="AR11" s="598"/>
      <c r="AS11" s="524">
        <f>+SUMIF(WRM!$C$7:$C$127,$D11,WRM!$AR$7:$AR$127)</f>
        <v>0</v>
      </c>
      <c r="AT11" s="593"/>
      <c r="AU11" s="593">
        <f t="shared" si="10"/>
        <v>7305.6</v>
      </c>
      <c r="AV11" s="598"/>
      <c r="AW11" s="524">
        <f>+SUMIF(WRM!$C$7:$C$127,$D11,WRM!$AV$7:$AV$127)</f>
        <v>0</v>
      </c>
      <c r="AX11" s="593"/>
      <c r="AY11" s="593">
        <f t="shared" si="11"/>
        <v>7305.6</v>
      </c>
      <c r="AZ11" s="598"/>
      <c r="BA11" s="524">
        <f>+SUMIF(WRM!$C$7:$C$127,$D11,WRM!$AZ$7:$AZ$127)</f>
        <v>0</v>
      </c>
      <c r="BB11" s="598"/>
      <c r="BC11" s="2168">
        <f t="shared" si="12"/>
        <v>0</v>
      </c>
      <c r="BD11" s="2228"/>
      <c r="BE11" s="1091">
        <f t="shared" si="13"/>
        <v>0</v>
      </c>
      <c r="BF11" s="593"/>
      <c r="BG11" s="593">
        <f t="shared" si="14"/>
        <v>7305.6</v>
      </c>
      <c r="BH11" s="25"/>
      <c r="BI11" s="25"/>
      <c r="BJ11" s="25"/>
    </row>
    <row r="12" spans="3:62" x14ac:dyDescent="0.3">
      <c r="C12" s="523" t="s">
        <v>16</v>
      </c>
      <c r="D12" s="1525" t="s">
        <v>929</v>
      </c>
      <c r="E12" s="5052"/>
      <c r="F12" s="523"/>
      <c r="G12" s="524">
        <f>+SUMIF(WRM!$C$7:$C$127,$D12,WRM!$F$7:$F$127)</f>
        <v>207.05</v>
      </c>
      <c r="H12" s="524"/>
      <c r="I12" s="524">
        <f>+SUMIF(WRM!$C$7:$C$127,$D12,WRM!$H$7:$H$127)</f>
        <v>223.45000000000002</v>
      </c>
      <c r="J12" s="593"/>
      <c r="K12" s="593">
        <f t="shared" si="0"/>
        <v>430.5</v>
      </c>
      <c r="L12" s="524"/>
      <c r="M12" s="524">
        <f>+SUMIF(WRM!$C$7:$C$127,$D12,WRM!$L$7:$L$127)</f>
        <v>699.05000000000007</v>
      </c>
      <c r="N12" s="598"/>
      <c r="O12" s="598">
        <f t="shared" si="1"/>
        <v>1129.5500000000002</v>
      </c>
      <c r="P12" s="524"/>
      <c r="Q12" s="524">
        <f>+SUMIF(WRM!$C$7:$C$127,$D12,WRM!P$7:$P$127)</f>
        <v>455.09999999999997</v>
      </c>
      <c r="R12" s="598"/>
      <c r="S12" s="598">
        <f t="shared" si="2"/>
        <v>1584.65</v>
      </c>
      <c r="T12" s="524"/>
      <c r="U12" s="524">
        <f>+SUMIF(WRM!$C$7:$C$127,$D12,WRM!$T$7:T$127)</f>
        <v>1242.3</v>
      </c>
      <c r="V12" s="598"/>
      <c r="W12" s="598">
        <f t="shared" si="3"/>
        <v>2826.95</v>
      </c>
      <c r="X12" s="598"/>
      <c r="Y12" s="524">
        <f>+SUMIF(WRM!$C$7:$C$127,$D12,WRM!$X$7:X$127)</f>
        <v>742.1</v>
      </c>
      <c r="Z12" s="598"/>
      <c r="AA12" s="2168">
        <f t="shared" si="4"/>
        <v>2439.5</v>
      </c>
      <c r="AB12" s="2228"/>
      <c r="AC12" s="1091">
        <f t="shared" si="5"/>
        <v>3569.05</v>
      </c>
      <c r="AD12" s="598"/>
      <c r="AE12" s="524">
        <f>+SUMIF(WRM!$C$7:$C$127,$D12,WRM!$AD$7:$AD$127)</f>
        <v>0</v>
      </c>
      <c r="AF12" s="598"/>
      <c r="AG12" s="598">
        <f t="shared" si="6"/>
        <v>3569.05</v>
      </c>
      <c r="AH12" s="598"/>
      <c r="AI12" s="524">
        <f>+SUMIF(WRM!$C$7:$C$127,$D12,WRM!$AH$7:$AH$127)</f>
        <v>1869.6</v>
      </c>
      <c r="AJ12" s="593"/>
      <c r="AK12" s="593">
        <f t="shared" si="7"/>
        <v>5438.65</v>
      </c>
      <c r="AL12" s="598"/>
      <c r="AM12" s="524">
        <f>+SUMIF(WRM!$C$7:$C$127,$D12,WRM!$AL$7:$AL$127)</f>
        <v>399.75</v>
      </c>
      <c r="AN12" s="598"/>
      <c r="AO12" s="2168">
        <f t="shared" si="8"/>
        <v>2269.35</v>
      </c>
      <c r="AP12" s="593"/>
      <c r="AQ12" s="593">
        <f t="shared" si="9"/>
        <v>5838.4</v>
      </c>
      <c r="AR12" s="598"/>
      <c r="AS12" s="524">
        <f>+SUMIF(WRM!$C$7:$C$127,$D12,WRM!$AR$7:$AR$127)</f>
        <v>655.99999999999989</v>
      </c>
      <c r="AT12" s="593"/>
      <c r="AU12" s="593">
        <f t="shared" si="10"/>
        <v>6494.4</v>
      </c>
      <c r="AV12" s="598"/>
      <c r="AW12" s="524">
        <f>+SUMIF(WRM!$C$7:$C$127,$D12,WRM!$AV$7:$AV$127)</f>
        <v>979.90000000000009</v>
      </c>
      <c r="AX12" s="593"/>
      <c r="AY12" s="593">
        <f t="shared" si="11"/>
        <v>7474.2999999999993</v>
      </c>
      <c r="AZ12" s="598"/>
      <c r="BA12" s="524">
        <f>+SUMIF(WRM!$C$7:$C$127,$D12,WRM!$AZ$7:$AZ$127)</f>
        <v>186.55</v>
      </c>
      <c r="BB12" s="598"/>
      <c r="BC12" s="2168">
        <f t="shared" si="12"/>
        <v>1822.45</v>
      </c>
      <c r="BD12" s="2228"/>
      <c r="BE12" s="1091">
        <f t="shared" si="13"/>
        <v>4091.8</v>
      </c>
      <c r="BF12" s="593"/>
      <c r="BG12" s="593">
        <f t="shared" si="14"/>
        <v>7660.8499999999995</v>
      </c>
      <c r="BH12" s="25"/>
      <c r="BI12" s="25"/>
      <c r="BJ12" s="25"/>
    </row>
    <row r="13" spans="3:62" s="2461" customFormat="1" x14ac:dyDescent="0.3">
      <c r="C13" s="523" t="s">
        <v>16</v>
      </c>
      <c r="D13" s="1525" t="s">
        <v>1544</v>
      </c>
      <c r="E13" s="5052"/>
      <c r="F13" s="523"/>
      <c r="G13" s="524">
        <f>+SUMIF(WRM!$C$7:$C$127,$D13,WRM!$F$7:$F$127)</f>
        <v>0</v>
      </c>
      <c r="H13" s="524"/>
      <c r="I13" s="524">
        <f>+SUMIF(WRM!$C$7:$C$127,$D13,WRM!$H$7:$H$127)</f>
        <v>0</v>
      </c>
      <c r="J13" s="593"/>
      <c r="K13" s="593">
        <f t="shared" si="0"/>
        <v>0</v>
      </c>
      <c r="L13" s="524"/>
      <c r="M13" s="524">
        <f>+SUMIF(WRM!$C$7:$C$127,$D13,WRM!$L$7:$L$127)</f>
        <v>0</v>
      </c>
      <c r="N13" s="598"/>
      <c r="O13" s="598">
        <f t="shared" si="1"/>
        <v>0</v>
      </c>
      <c r="P13" s="524"/>
      <c r="Q13" s="524">
        <f>+SUMIF(WRM!$C$7:$C$127,$D13,WRM!P$7:$P$127)</f>
        <v>0</v>
      </c>
      <c r="R13" s="598"/>
      <c r="S13" s="598">
        <f t="shared" si="2"/>
        <v>0</v>
      </c>
      <c r="T13" s="524"/>
      <c r="U13" s="524">
        <f>+SUMIF(WRM!$C$7:$C$127,$D13,WRM!$T$7:T$127)</f>
        <v>0</v>
      </c>
      <c r="V13" s="598"/>
      <c r="W13" s="598">
        <f t="shared" si="3"/>
        <v>0</v>
      </c>
      <c r="X13" s="598"/>
      <c r="Y13" s="524">
        <f>+SUMIF(WRM!$C$7:$C$127,$D13,WRM!$X$7:X$127)</f>
        <v>0</v>
      </c>
      <c r="Z13" s="598"/>
      <c r="AA13" s="2168">
        <f t="shared" si="4"/>
        <v>0</v>
      </c>
      <c r="AB13" s="2228"/>
      <c r="AC13" s="1091">
        <f t="shared" si="5"/>
        <v>0</v>
      </c>
      <c r="AD13" s="598"/>
      <c r="AE13" s="524">
        <f>+SUMIF(WRM!$C$7:$C$127,$D13,WRM!$AD$7:$AD$127)</f>
        <v>0</v>
      </c>
      <c r="AF13" s="598"/>
      <c r="AG13" s="598">
        <f t="shared" si="6"/>
        <v>0</v>
      </c>
      <c r="AH13" s="598"/>
      <c r="AI13" s="524">
        <f>+SUMIF(WRM!$C$7:$C$127,$D13,WRM!$AH$7:$AH$127)</f>
        <v>0</v>
      </c>
      <c r="AJ13" s="593"/>
      <c r="AK13" s="593">
        <f t="shared" si="7"/>
        <v>0</v>
      </c>
      <c r="AL13" s="598"/>
      <c r="AM13" s="524">
        <f>+SUMIF(WRM!$C$7:$C$127,$D13,WRM!$AL$7:$AL$127)</f>
        <v>0</v>
      </c>
      <c r="AN13" s="598"/>
      <c r="AO13" s="2168">
        <f t="shared" si="8"/>
        <v>0</v>
      </c>
      <c r="AP13" s="593"/>
      <c r="AQ13" s="593">
        <f t="shared" si="9"/>
        <v>0</v>
      </c>
      <c r="AR13" s="598"/>
      <c r="AS13" s="524">
        <f>+SUMIF(WRM!$C$7:$C$127,$D13,WRM!$AR$7:$AR$127)</f>
        <v>0</v>
      </c>
      <c r="AT13" s="593"/>
      <c r="AU13" s="593">
        <f t="shared" si="10"/>
        <v>0</v>
      </c>
      <c r="AV13" s="598"/>
      <c r="AW13" s="524">
        <f>+SUMIF(WRM!$C$7:$C$127,$D13,WRM!$AV$7:$AV$127)</f>
        <v>0</v>
      </c>
      <c r="AX13" s="593"/>
      <c r="AY13" s="593">
        <f t="shared" si="11"/>
        <v>0</v>
      </c>
      <c r="AZ13" s="598"/>
      <c r="BA13" s="524">
        <f>+SUMIF(WRM!$C$7:$C$127,$D13,WRM!$AZ$7:$AZ$127)</f>
        <v>0</v>
      </c>
      <c r="BB13" s="598"/>
      <c r="BC13" s="2168">
        <f t="shared" si="12"/>
        <v>0</v>
      </c>
      <c r="BD13" s="2228"/>
      <c r="BE13" s="1091">
        <f t="shared" si="13"/>
        <v>0</v>
      </c>
      <c r="BF13" s="593"/>
      <c r="BG13" s="593">
        <f t="shared" si="14"/>
        <v>0</v>
      </c>
      <c r="BH13" s="25"/>
      <c r="BI13" s="25"/>
      <c r="BJ13" s="25"/>
    </row>
    <row r="14" spans="3:62" s="3058" customFormat="1" x14ac:dyDescent="0.3">
      <c r="C14" s="3053" t="s">
        <v>16</v>
      </c>
      <c r="D14" s="3054" t="s">
        <v>932</v>
      </c>
      <c r="E14" s="5052"/>
      <c r="F14" s="3053"/>
      <c r="G14" s="524">
        <f>+SUMIF(WRM!$C$7:$C$127,$D14,WRM!$F$7:$F$127)</f>
        <v>0</v>
      </c>
      <c r="H14" s="3055"/>
      <c r="I14" s="524">
        <f>+SUMIF(WRM!$C$7:$C$127,$D14,WRM!$H$7:$H$127)</f>
        <v>565.79999999999995</v>
      </c>
      <c r="J14" s="3056"/>
      <c r="K14" s="593">
        <f t="shared" si="0"/>
        <v>565.79999999999995</v>
      </c>
      <c r="L14" s="3055"/>
      <c r="M14" s="524">
        <f>+SUMIF(WRM!$C$7:$C$127,$D14,WRM!$L$7:$L$127)</f>
        <v>502.24999999999994</v>
      </c>
      <c r="N14" s="3057"/>
      <c r="O14" s="598">
        <f t="shared" si="1"/>
        <v>1068.05</v>
      </c>
      <c r="P14" s="3055"/>
      <c r="Q14" s="524">
        <f>+SUMIF(WRM!$C$7:$C$127,$D14,WRM!P$7:$P$127)</f>
        <v>338.25</v>
      </c>
      <c r="R14" s="3057"/>
      <c r="S14" s="598">
        <f t="shared" si="2"/>
        <v>1406.3</v>
      </c>
      <c r="T14" s="3055"/>
      <c r="U14" s="524">
        <f>+SUMIF(WRM!$C$7:$C$127,$D14,WRM!$T$7:T$127)</f>
        <v>338.25</v>
      </c>
      <c r="V14" s="3057"/>
      <c r="W14" s="598">
        <f t="shared" si="3"/>
        <v>1744.55</v>
      </c>
      <c r="X14" s="3057"/>
      <c r="Y14" s="524">
        <f>+SUMIF(WRM!$C$7:$C$127,$D14,WRM!$X$7:X$127)</f>
        <v>319.8</v>
      </c>
      <c r="Z14" s="3057"/>
      <c r="AA14" s="2168">
        <f t="shared" si="4"/>
        <v>996.3</v>
      </c>
      <c r="AB14" s="2228"/>
      <c r="AC14" s="1091">
        <f t="shared" si="5"/>
        <v>2064.35</v>
      </c>
      <c r="AD14" s="3057"/>
      <c r="AE14" s="524">
        <f>+SUMIF(WRM!$C$7:$C$127,$D14,WRM!$AD$7:$AD$127)</f>
        <v>0</v>
      </c>
      <c r="AF14" s="3057"/>
      <c r="AG14" s="598">
        <f t="shared" si="6"/>
        <v>2064.35</v>
      </c>
      <c r="AH14" s="3057"/>
      <c r="AI14" s="524">
        <f>+SUMIF(WRM!$C$7:$C$127,$D14,WRM!$AH$7:$AH$127)</f>
        <v>0</v>
      </c>
      <c r="AJ14" s="3056"/>
      <c r="AK14" s="593">
        <f t="shared" si="7"/>
        <v>2064.35</v>
      </c>
      <c r="AL14" s="3057"/>
      <c r="AM14" s="524">
        <f>+SUMIF(WRM!$C$7:$C$127,$D14,WRM!$AL$7:$AL$127)</f>
        <v>709.30000000000007</v>
      </c>
      <c r="AN14" s="3057"/>
      <c r="AO14" s="2168">
        <f t="shared" si="8"/>
        <v>709.30000000000007</v>
      </c>
      <c r="AP14" s="3056"/>
      <c r="AQ14" s="593">
        <f t="shared" si="9"/>
        <v>2773.65</v>
      </c>
      <c r="AR14" s="3057"/>
      <c r="AS14" s="524">
        <f>+SUMIF(WRM!$C$7:$C$127,$D14,WRM!$AR$7:$AR$127)</f>
        <v>699.05</v>
      </c>
      <c r="AT14" s="3056"/>
      <c r="AU14" s="593">
        <f t="shared" si="10"/>
        <v>3472.7</v>
      </c>
      <c r="AV14" s="3057"/>
      <c r="AW14" s="524">
        <f>+SUMIF(WRM!$C$7:$C$127,$D14,WRM!$AV$7:$AV$127)</f>
        <v>0</v>
      </c>
      <c r="AX14" s="3056"/>
      <c r="AY14" s="593">
        <f t="shared" si="11"/>
        <v>3472.7</v>
      </c>
      <c r="AZ14" s="3057"/>
      <c r="BA14" s="524">
        <f>+SUMIF(WRM!$C$7:$C$127,$D14,WRM!$AZ$7:$AZ$127)</f>
        <v>120.95</v>
      </c>
      <c r="BB14" s="3057"/>
      <c r="BC14" s="2168">
        <f t="shared" si="12"/>
        <v>820</v>
      </c>
      <c r="BD14" s="3059"/>
      <c r="BE14" s="1091">
        <f t="shared" si="13"/>
        <v>1529.3000000000002</v>
      </c>
      <c r="BF14" s="3056"/>
      <c r="BG14" s="593">
        <f t="shared" si="14"/>
        <v>3593.6499999999996</v>
      </c>
      <c r="BH14" s="25"/>
      <c r="BI14" s="25"/>
      <c r="BJ14" s="25"/>
    </row>
    <row r="15" spans="3:62" x14ac:dyDescent="0.3">
      <c r="C15" s="523" t="s">
        <v>16</v>
      </c>
      <c r="D15" s="1525" t="s">
        <v>931</v>
      </c>
      <c r="E15" s="5052"/>
      <c r="F15" s="523"/>
      <c r="G15" s="524">
        <f>+SUMIF(WRM!$C$7:$C$127,$D15,WRM!$F$7:$F$127)</f>
        <v>1576.4499999999998</v>
      </c>
      <c r="H15" s="524"/>
      <c r="I15" s="524">
        <f>+SUMIF(WRM!$C$7:$C$127,$D15,WRM!$H$7:$H$127)</f>
        <v>906.1</v>
      </c>
      <c r="J15" s="593"/>
      <c r="K15" s="593">
        <f t="shared" si="0"/>
        <v>2482.5499999999997</v>
      </c>
      <c r="L15" s="524"/>
      <c r="M15" s="524">
        <f>+SUMIF(WRM!$C$7:$C$127,$D15,WRM!$L$7:$L$127)</f>
        <v>1012.7</v>
      </c>
      <c r="N15" s="598"/>
      <c r="O15" s="598">
        <f t="shared" si="1"/>
        <v>3495.25</v>
      </c>
      <c r="P15" s="524"/>
      <c r="Q15" s="524">
        <f>+SUMIF(WRM!$C$7:$C$127,$D15,WRM!P$7:$P$127)</f>
        <v>1246.3999999999999</v>
      </c>
      <c r="R15" s="598"/>
      <c r="S15" s="598">
        <f t="shared" si="2"/>
        <v>4741.6499999999996</v>
      </c>
      <c r="T15" s="524"/>
      <c r="U15" s="524">
        <f>+SUMIF(WRM!$C$7:$C$127,$D15,WRM!$T$7:T$127)</f>
        <v>1609.25</v>
      </c>
      <c r="V15" s="598"/>
      <c r="W15" s="598">
        <f t="shared" si="3"/>
        <v>6350.9</v>
      </c>
      <c r="X15" s="598"/>
      <c r="Y15" s="524">
        <f>+SUMIF(WRM!$C$7:$C$127,$D15,WRM!$X$7:X$127)</f>
        <v>1783.5</v>
      </c>
      <c r="Z15" s="598"/>
      <c r="AA15" s="2168">
        <f t="shared" si="4"/>
        <v>4639.1499999999996</v>
      </c>
      <c r="AB15" s="2228"/>
      <c r="AC15" s="1091">
        <f t="shared" si="5"/>
        <v>8134.4</v>
      </c>
      <c r="AD15" s="598"/>
      <c r="AE15" s="524">
        <f>+SUMIF(WRM!$C$7:$C$127,$D15,WRM!$AD$7:$AD$127)</f>
        <v>813.85</v>
      </c>
      <c r="AF15" s="598"/>
      <c r="AG15" s="598">
        <f t="shared" si="6"/>
        <v>8948.25</v>
      </c>
      <c r="AH15" s="598"/>
      <c r="AI15" s="524">
        <f>+SUMIF(WRM!$C$7:$C$127,$D15,WRM!$AH$7:$AH$127)</f>
        <v>1603.1000000000001</v>
      </c>
      <c r="AJ15" s="593"/>
      <c r="AK15" s="593">
        <f t="shared" si="7"/>
        <v>10551.35</v>
      </c>
      <c r="AL15" s="598"/>
      <c r="AM15" s="524">
        <f>+SUMIF(WRM!$C$7:$C$127,$D15,WRM!$AL$7:$AL$127)</f>
        <v>1227.9500000000003</v>
      </c>
      <c r="AN15" s="598"/>
      <c r="AO15" s="2168">
        <f t="shared" si="8"/>
        <v>3644.9000000000005</v>
      </c>
      <c r="AP15" s="593"/>
      <c r="AQ15" s="593">
        <f t="shared" si="9"/>
        <v>11779.300000000001</v>
      </c>
      <c r="AR15" s="598"/>
      <c r="AS15" s="524">
        <f>+SUMIF(WRM!$C$7:$C$127,$D15,WRM!$AR$7:$AR$127)</f>
        <v>2457.9500000000003</v>
      </c>
      <c r="AT15" s="593"/>
      <c r="AU15" s="593">
        <f t="shared" si="10"/>
        <v>14237.250000000002</v>
      </c>
      <c r="AV15" s="598"/>
      <c r="AW15" s="524">
        <f>+SUMIF(WRM!$C$7:$C$127,$D15,WRM!$AV$7:$AV$127)</f>
        <v>1457.5500000000004</v>
      </c>
      <c r="AX15" s="593"/>
      <c r="AY15" s="593">
        <f t="shared" si="11"/>
        <v>15694.800000000003</v>
      </c>
      <c r="AZ15" s="598"/>
      <c r="BA15" s="524">
        <f>+SUMIF(WRM!$C$7:$C$127,$D15,WRM!$AZ$7:$AZ$127)</f>
        <v>1371.4499999999998</v>
      </c>
      <c r="BB15" s="598"/>
      <c r="BC15" s="2168">
        <f t="shared" si="12"/>
        <v>5286.9500000000007</v>
      </c>
      <c r="BD15" s="2228"/>
      <c r="BE15" s="1091">
        <f t="shared" si="13"/>
        <v>8931.8500000000022</v>
      </c>
      <c r="BF15" s="593"/>
      <c r="BG15" s="593">
        <f t="shared" si="14"/>
        <v>17066.250000000004</v>
      </c>
      <c r="BH15" s="25"/>
      <c r="BI15" s="25"/>
      <c r="BJ15" s="25"/>
    </row>
    <row r="16" spans="3:62" x14ac:dyDescent="0.3">
      <c r="C16" s="523" t="s">
        <v>16</v>
      </c>
      <c r="D16" s="1525" t="s">
        <v>1090</v>
      </c>
      <c r="E16" s="5052"/>
      <c r="F16" s="523"/>
      <c r="G16" s="524">
        <f>+SUMIF(WRM!$C$7:$C$127,$D16,WRM!$F$7:$F$127)</f>
        <v>123</v>
      </c>
      <c r="H16" s="524"/>
      <c r="I16" s="524">
        <f>+SUMIF(WRM!$C$7:$C$127,$D16,WRM!$H$7:$H$127)</f>
        <v>243.95000000000002</v>
      </c>
      <c r="J16" s="593"/>
      <c r="K16" s="593">
        <f t="shared" si="0"/>
        <v>366.95000000000005</v>
      </c>
      <c r="L16" s="524"/>
      <c r="M16" s="524">
        <f>+SUMIF(WRM!$C$7:$C$127,$D16,WRM!$L$7:$L$127)</f>
        <v>0</v>
      </c>
      <c r="N16" s="598"/>
      <c r="O16" s="598">
        <f t="shared" si="1"/>
        <v>366.95000000000005</v>
      </c>
      <c r="P16" s="524"/>
      <c r="Q16" s="524">
        <f>+SUMIF(WRM!$C$7:$C$127,$D16,WRM!P$7:$P$127)</f>
        <v>202.95</v>
      </c>
      <c r="R16" s="598"/>
      <c r="S16" s="598">
        <f t="shared" si="2"/>
        <v>569.90000000000009</v>
      </c>
      <c r="T16" s="524"/>
      <c r="U16" s="524">
        <f>+SUMIF(WRM!$C$7:$C$127,$D16,WRM!$T$7:T$127)</f>
        <v>399.74999999999994</v>
      </c>
      <c r="V16" s="598"/>
      <c r="W16" s="598">
        <f t="shared" si="3"/>
        <v>969.65000000000009</v>
      </c>
      <c r="X16" s="598"/>
      <c r="Y16" s="524">
        <f>+SUMIF(WRM!$C$7:$C$127,$D16,WRM!$X$7:X$127)</f>
        <v>0</v>
      </c>
      <c r="Z16" s="598"/>
      <c r="AA16" s="2168">
        <f t="shared" si="4"/>
        <v>602.69999999999993</v>
      </c>
      <c r="AB16" s="2228"/>
      <c r="AC16" s="1091">
        <f t="shared" si="5"/>
        <v>969.65</v>
      </c>
      <c r="AD16" s="598"/>
      <c r="AE16" s="524">
        <f>+SUMIF(WRM!$C$7:$C$127,$D16,WRM!$AD$7:$AD$127)</f>
        <v>0</v>
      </c>
      <c r="AF16" s="598"/>
      <c r="AG16" s="598">
        <f t="shared" si="6"/>
        <v>969.65</v>
      </c>
      <c r="AH16" s="598"/>
      <c r="AI16" s="524">
        <f>+SUMIF(WRM!$C$7:$C$127,$D16,WRM!$AH$7:$AH$127)</f>
        <v>0</v>
      </c>
      <c r="AJ16" s="593"/>
      <c r="AK16" s="593">
        <f t="shared" si="7"/>
        <v>969.65</v>
      </c>
      <c r="AL16" s="598"/>
      <c r="AM16" s="524">
        <f>+SUMIF(WRM!$C$7:$C$127,$D16,WRM!$AL$7:$AL$127)</f>
        <v>340.3</v>
      </c>
      <c r="AN16" s="598"/>
      <c r="AO16" s="2168">
        <f t="shared" si="8"/>
        <v>340.3</v>
      </c>
      <c r="AP16" s="593"/>
      <c r="AQ16" s="593">
        <f t="shared" si="9"/>
        <v>1309.95</v>
      </c>
      <c r="AR16" s="598"/>
      <c r="AS16" s="524">
        <f>+SUMIF(WRM!$C$7:$C$127,$D16,WRM!$AR$7:$AR$127)</f>
        <v>594.5</v>
      </c>
      <c r="AT16" s="593"/>
      <c r="AU16" s="593">
        <f t="shared" si="10"/>
        <v>1904.45</v>
      </c>
      <c r="AV16" s="598"/>
      <c r="AW16" s="524">
        <f>+SUMIF(WRM!$C$7:$C$127,$D16,WRM!$AV$7:$AV$127)</f>
        <v>291.10000000000002</v>
      </c>
      <c r="AX16" s="593"/>
      <c r="AY16" s="593">
        <f t="shared" si="11"/>
        <v>2195.5500000000002</v>
      </c>
      <c r="AZ16" s="598"/>
      <c r="BA16" s="524">
        <f>+SUMIF(WRM!$C$7:$C$127,$D16,WRM!$AZ$7:$AZ$127)</f>
        <v>0</v>
      </c>
      <c r="BB16" s="598"/>
      <c r="BC16" s="2168">
        <f t="shared" si="12"/>
        <v>885.6</v>
      </c>
      <c r="BD16" s="2228"/>
      <c r="BE16" s="1091">
        <f t="shared" si="13"/>
        <v>1225.9000000000001</v>
      </c>
      <c r="BF16" s="593"/>
      <c r="BG16" s="593">
        <f t="shared" si="14"/>
        <v>2195.5500000000002</v>
      </c>
      <c r="BH16" s="25"/>
      <c r="BI16" s="25"/>
      <c r="BJ16" s="25"/>
    </row>
    <row r="17" spans="3:62" x14ac:dyDescent="0.3">
      <c r="C17" s="523" t="s">
        <v>16</v>
      </c>
      <c r="D17" s="1525" t="s">
        <v>933</v>
      </c>
      <c r="E17" s="5052"/>
      <c r="F17" s="523"/>
      <c r="G17" s="524">
        <f>+SUMIF(WRM!$C$7:$C$127,$D17,WRM!$F$7:$F$127)</f>
        <v>1970.0499999999997</v>
      </c>
      <c r="H17" s="524"/>
      <c r="I17" s="524">
        <f>+SUMIF(WRM!$C$7:$C$127,$D17,WRM!$H$7:$H$127)</f>
        <v>2177.1</v>
      </c>
      <c r="J17" s="593"/>
      <c r="K17" s="593">
        <f t="shared" si="0"/>
        <v>4147.1499999999996</v>
      </c>
      <c r="L17" s="524"/>
      <c r="M17" s="524">
        <f>+SUMIF(WRM!$C$7:$C$127,$D17,WRM!$L$7:$L$127)</f>
        <v>1922.8999999999994</v>
      </c>
      <c r="N17" s="598"/>
      <c r="O17" s="598">
        <f t="shared" si="1"/>
        <v>6070.0499999999993</v>
      </c>
      <c r="P17" s="524"/>
      <c r="Q17" s="524">
        <f>+SUMIF(WRM!$C$7:$C$127,$D17,WRM!P$7:$P$127)</f>
        <v>1215.6499999999999</v>
      </c>
      <c r="R17" s="598"/>
      <c r="S17" s="598">
        <f t="shared" si="2"/>
        <v>7285.6999999999989</v>
      </c>
      <c r="T17" s="524"/>
      <c r="U17" s="524">
        <f>+SUMIF(WRM!$C$7:$C$127,$D17,WRM!$T$7:T$127)</f>
        <v>2285.7500000000005</v>
      </c>
      <c r="V17" s="598"/>
      <c r="W17" s="598">
        <f t="shared" si="3"/>
        <v>9571.4499999999989</v>
      </c>
      <c r="X17" s="598"/>
      <c r="Y17" s="524">
        <f>+SUMIF(WRM!$C$7:$C$127,$D17,WRM!$X$7:X$127)</f>
        <v>1029.0999999999999</v>
      </c>
      <c r="Z17" s="598"/>
      <c r="AA17" s="2168">
        <f t="shared" si="4"/>
        <v>4530.5</v>
      </c>
      <c r="AB17" s="2228"/>
      <c r="AC17" s="1091">
        <f t="shared" si="5"/>
        <v>10600.55</v>
      </c>
      <c r="AD17" s="598"/>
      <c r="AE17" s="524">
        <f>+SUMIF(WRM!$C$7:$C$127,$D17,WRM!$AD$7:$AD$127)</f>
        <v>861.00000000000023</v>
      </c>
      <c r="AF17" s="598"/>
      <c r="AG17" s="598">
        <f t="shared" si="6"/>
        <v>11461.55</v>
      </c>
      <c r="AH17" s="598"/>
      <c r="AI17" s="524">
        <f>+SUMIF(WRM!$C$7:$C$127,$D17,WRM!$AH$7:$AH$127)</f>
        <v>2410.8000000000002</v>
      </c>
      <c r="AJ17" s="593"/>
      <c r="AK17" s="593">
        <f t="shared" si="7"/>
        <v>13872.349999999999</v>
      </c>
      <c r="AL17" s="598"/>
      <c r="AM17" s="524">
        <f>+SUMIF(WRM!$C$7:$C$127,$D17,WRM!$AL$7:$AL$127)</f>
        <v>711.34999999999991</v>
      </c>
      <c r="AN17" s="598"/>
      <c r="AO17" s="2168">
        <f t="shared" si="8"/>
        <v>3983.15</v>
      </c>
      <c r="AP17" s="593"/>
      <c r="AQ17" s="593">
        <f t="shared" si="9"/>
        <v>14583.699999999999</v>
      </c>
      <c r="AR17" s="598"/>
      <c r="AS17" s="524">
        <f>+SUMIF(WRM!$C$7:$C$127,$D17,WRM!$AR$7:$AR$127)</f>
        <v>2103.3000000000002</v>
      </c>
      <c r="AT17" s="593"/>
      <c r="AU17" s="593">
        <f t="shared" si="10"/>
        <v>16687</v>
      </c>
      <c r="AV17" s="598"/>
      <c r="AW17" s="524">
        <f>+SUMIF(WRM!$C$7:$C$127,$D17,WRM!$AV$7:$AV$127)</f>
        <v>1033.1999999999998</v>
      </c>
      <c r="AX17" s="593"/>
      <c r="AY17" s="593">
        <f t="shared" si="11"/>
        <v>17720.2</v>
      </c>
      <c r="AZ17" s="598"/>
      <c r="BA17" s="524">
        <f>+SUMIF(WRM!$C$7:$C$127,$D17,WRM!$AZ$7:$AZ$127)</f>
        <v>2339.0499999999997</v>
      </c>
      <c r="BB17" s="598"/>
      <c r="BC17" s="2168">
        <f t="shared" si="12"/>
        <v>5475.5499999999993</v>
      </c>
      <c r="BD17" s="2228"/>
      <c r="BE17" s="1091">
        <f t="shared" si="13"/>
        <v>9458.6999999999989</v>
      </c>
      <c r="BF17" s="593"/>
      <c r="BG17" s="593">
        <f t="shared" si="14"/>
        <v>20059.25</v>
      </c>
      <c r="BH17" s="25"/>
      <c r="BI17" s="25"/>
      <c r="BJ17" s="25"/>
    </row>
    <row r="18" spans="3:62" x14ac:dyDescent="0.3">
      <c r="C18" s="523" t="s">
        <v>16</v>
      </c>
      <c r="D18" s="1525" t="s">
        <v>1094</v>
      </c>
      <c r="E18" s="5052"/>
      <c r="F18" s="523"/>
      <c r="G18" s="524">
        <f>+SUMIF(WRM!$C$7:$C$127,$D18,WRM!$F$7:$F$127)</f>
        <v>0</v>
      </c>
      <c r="H18" s="524"/>
      <c r="I18" s="524">
        <f>+SUMIF(WRM!$C$7:$C$127,$D18,WRM!$H$7:$H$127)</f>
        <v>4.0999999999999996</v>
      </c>
      <c r="J18" s="593"/>
      <c r="K18" s="593">
        <f t="shared" si="0"/>
        <v>4.0999999999999996</v>
      </c>
      <c r="L18" s="524"/>
      <c r="M18" s="524">
        <f>+SUMIF(WRM!$C$7:$C$127,$D18,WRM!$L$7:$L$127)</f>
        <v>98.4</v>
      </c>
      <c r="N18" s="598"/>
      <c r="O18" s="598">
        <f t="shared" si="1"/>
        <v>102.5</v>
      </c>
      <c r="P18" s="524"/>
      <c r="Q18" s="524">
        <f>+SUMIF(WRM!$C$7:$C$127,$D18,WRM!P$7:$P$127)</f>
        <v>6.1499999999999995</v>
      </c>
      <c r="R18" s="598"/>
      <c r="S18" s="598">
        <f t="shared" si="2"/>
        <v>108.65</v>
      </c>
      <c r="T18" s="524"/>
      <c r="U18" s="524">
        <f>+SUMIF(WRM!$C$7:$C$127,$D18,WRM!$T$7:T$127)</f>
        <v>6.15</v>
      </c>
      <c r="V18" s="598"/>
      <c r="W18" s="598">
        <f t="shared" si="3"/>
        <v>114.80000000000001</v>
      </c>
      <c r="X18" s="598"/>
      <c r="Y18" s="524">
        <f>+SUMIF(WRM!$C$7:$C$127,$D18,WRM!$X$7:X$127)</f>
        <v>0</v>
      </c>
      <c r="Z18" s="598"/>
      <c r="AA18" s="2168">
        <f t="shared" si="4"/>
        <v>12.3</v>
      </c>
      <c r="AB18" s="2228"/>
      <c r="AC18" s="1091">
        <f t="shared" si="5"/>
        <v>114.8</v>
      </c>
      <c r="AD18" s="598"/>
      <c r="AE18" s="524">
        <f>+SUMIF(WRM!$C$7:$C$127,$D18,WRM!$AD$7:$AD$127)</f>
        <v>94.3</v>
      </c>
      <c r="AF18" s="598"/>
      <c r="AG18" s="598">
        <f t="shared" si="6"/>
        <v>209.1</v>
      </c>
      <c r="AH18" s="598"/>
      <c r="AI18" s="524">
        <f>+SUMIF(WRM!$C$7:$C$127,$D18,WRM!$AH$7:$AH$127)</f>
        <v>2.0499999999999998</v>
      </c>
      <c r="AJ18" s="593"/>
      <c r="AK18" s="593">
        <f t="shared" si="7"/>
        <v>211.15</v>
      </c>
      <c r="AL18" s="598"/>
      <c r="AM18" s="524">
        <f>+SUMIF(WRM!$C$7:$C$127,$D18,WRM!$AL$7:$AL$127)</f>
        <v>92.25</v>
      </c>
      <c r="AN18" s="598"/>
      <c r="AO18" s="2168">
        <f t="shared" si="8"/>
        <v>188.6</v>
      </c>
      <c r="AP18" s="593"/>
      <c r="AQ18" s="593">
        <f t="shared" si="9"/>
        <v>303.39999999999998</v>
      </c>
      <c r="AR18" s="598"/>
      <c r="AS18" s="524">
        <f>+SUMIF(WRM!$C$7:$C$127,$D18,WRM!$AR$7:$AR$127)</f>
        <v>0</v>
      </c>
      <c r="AT18" s="593"/>
      <c r="AU18" s="593">
        <f t="shared" si="10"/>
        <v>303.39999999999998</v>
      </c>
      <c r="AV18" s="598"/>
      <c r="AW18" s="524">
        <f>+SUMIF(WRM!$C$7:$C$127,$D18,WRM!$AV$7:$AV$127)</f>
        <v>225.5</v>
      </c>
      <c r="AX18" s="593"/>
      <c r="AY18" s="593">
        <f t="shared" si="11"/>
        <v>528.9</v>
      </c>
      <c r="AZ18" s="598"/>
      <c r="BA18" s="524">
        <f>+SUMIF(WRM!$C$7:$C$127,$D18,WRM!$AZ$7:$AZ$127)</f>
        <v>53.3</v>
      </c>
      <c r="BB18" s="598"/>
      <c r="BC18" s="2168">
        <f t="shared" si="12"/>
        <v>278.8</v>
      </c>
      <c r="BD18" s="2228"/>
      <c r="BE18" s="1091">
        <f t="shared" si="13"/>
        <v>467.4</v>
      </c>
      <c r="BF18" s="593"/>
      <c r="BG18" s="593">
        <f t="shared" si="14"/>
        <v>582.19999999999993</v>
      </c>
      <c r="BH18" s="25"/>
      <c r="BI18" s="25"/>
      <c r="BJ18" s="25"/>
    </row>
    <row r="19" spans="3:62" s="2491" customFormat="1" x14ac:dyDescent="0.3">
      <c r="C19" s="523" t="s">
        <v>16</v>
      </c>
      <c r="D19" s="1525" t="s">
        <v>934</v>
      </c>
      <c r="E19" s="5052"/>
      <c r="F19" s="523"/>
      <c r="G19" s="524">
        <f>+SUMIF(WRM!$C$7:$C$127,$D19,WRM!$F$7:$F$127)</f>
        <v>82</v>
      </c>
      <c r="H19" s="524"/>
      <c r="I19" s="524">
        <f>+SUMIF(WRM!$C$7:$C$127,$D19,WRM!$H$7:$H$127)</f>
        <v>0</v>
      </c>
      <c r="J19" s="593"/>
      <c r="K19" s="593">
        <f t="shared" si="0"/>
        <v>82</v>
      </c>
      <c r="L19" s="524"/>
      <c r="M19" s="524">
        <f>+SUMIF(WRM!$C$7:$C$127,$D19,WRM!$L$7:$L$127)</f>
        <v>0</v>
      </c>
      <c r="N19" s="598"/>
      <c r="O19" s="598">
        <f t="shared" si="1"/>
        <v>82</v>
      </c>
      <c r="P19" s="524"/>
      <c r="Q19" s="524">
        <f>+SUMIF(WRM!$C$7:$C$127,$D19,WRM!P$7:$P$127)</f>
        <v>0</v>
      </c>
      <c r="R19" s="598"/>
      <c r="S19" s="598">
        <f t="shared" si="2"/>
        <v>82</v>
      </c>
      <c r="T19" s="524"/>
      <c r="U19" s="524">
        <f>+SUMIF(WRM!$C$7:$C$127,$D19,WRM!$T$7:T$127)</f>
        <v>0</v>
      </c>
      <c r="V19" s="598"/>
      <c r="W19" s="598">
        <f t="shared" si="3"/>
        <v>82</v>
      </c>
      <c r="X19" s="598"/>
      <c r="Y19" s="524">
        <f>+SUMIF(WRM!$C$7:$C$127,$D19,WRM!$X$7:X$127)</f>
        <v>0</v>
      </c>
      <c r="Z19" s="598"/>
      <c r="AA19" s="2168">
        <f t="shared" si="4"/>
        <v>0</v>
      </c>
      <c r="AB19" s="2228"/>
      <c r="AC19" s="1091">
        <f t="shared" si="5"/>
        <v>82</v>
      </c>
      <c r="AD19" s="598"/>
      <c r="AE19" s="524">
        <f>+SUMIF(WRM!$C$7:$C$127,$D19,WRM!$AD$7:$AD$127)</f>
        <v>0</v>
      </c>
      <c r="AF19" s="598"/>
      <c r="AG19" s="598">
        <f t="shared" si="6"/>
        <v>82</v>
      </c>
      <c r="AH19" s="598"/>
      <c r="AI19" s="524">
        <f>+SUMIF(WRM!$C$7:$C$127,$D19,WRM!$AH$7:$AH$127)</f>
        <v>0</v>
      </c>
      <c r="AJ19" s="593"/>
      <c r="AK19" s="593">
        <f t="shared" si="7"/>
        <v>82</v>
      </c>
      <c r="AL19" s="598"/>
      <c r="AM19" s="524">
        <f>+SUMIF(WRM!$C$7:$C$127,$D19,WRM!$AL$7:$AL$127)</f>
        <v>82</v>
      </c>
      <c r="AN19" s="598"/>
      <c r="AO19" s="2168">
        <f t="shared" si="8"/>
        <v>82</v>
      </c>
      <c r="AP19" s="593"/>
      <c r="AQ19" s="593">
        <f t="shared" si="9"/>
        <v>164</v>
      </c>
      <c r="AR19" s="598"/>
      <c r="AS19" s="524">
        <f>+SUMIF(WRM!$C$7:$C$127,$D19,WRM!$AR$7:$AR$127)</f>
        <v>0</v>
      </c>
      <c r="AT19" s="593"/>
      <c r="AU19" s="593">
        <f t="shared" si="10"/>
        <v>164</v>
      </c>
      <c r="AV19" s="598"/>
      <c r="AW19" s="524">
        <f>+SUMIF(WRM!$C$7:$C$127,$D19,WRM!$AV$7:$AV$127)</f>
        <v>375.15</v>
      </c>
      <c r="AX19" s="593"/>
      <c r="AY19" s="593">
        <f t="shared" si="11"/>
        <v>539.15</v>
      </c>
      <c r="AZ19" s="598"/>
      <c r="BA19" s="524">
        <f>+SUMIF(WRM!$C$7:$C$127,$D19,WRM!$AZ$7:$AZ$127)</f>
        <v>0</v>
      </c>
      <c r="BB19" s="598"/>
      <c r="BC19" s="2168">
        <f t="shared" si="12"/>
        <v>375.15</v>
      </c>
      <c r="BD19" s="2228"/>
      <c r="BE19" s="1091">
        <f t="shared" si="13"/>
        <v>457.15</v>
      </c>
      <c r="BF19" s="593"/>
      <c r="BG19" s="593">
        <f t="shared" si="14"/>
        <v>539.15</v>
      </c>
      <c r="BH19" s="25"/>
      <c r="BI19" s="25"/>
      <c r="BJ19" s="25"/>
    </row>
    <row r="20" spans="3:62" x14ac:dyDescent="0.3">
      <c r="C20" s="5054" t="s">
        <v>16</v>
      </c>
      <c r="D20" s="5055" t="s">
        <v>1804</v>
      </c>
      <c r="E20" s="5052"/>
      <c r="F20" s="5054"/>
      <c r="G20" s="524">
        <f>+SUMIF(WRM!$C$7:$C$127,$D20,WRM!$F$7:$F$127)</f>
        <v>0</v>
      </c>
      <c r="H20" s="524"/>
      <c r="I20" s="524">
        <f>+SUMIF(WRM!$C$7:$C$127,$D20,WRM!$H$7:$H$127)</f>
        <v>0</v>
      </c>
      <c r="J20" s="593"/>
      <c r="K20" s="593">
        <f t="shared" ref="K20:K21" si="15">+G20+I20</f>
        <v>0</v>
      </c>
      <c r="L20" s="524"/>
      <c r="M20" s="524">
        <f>+SUMIF(WRM!$C$7:$C$127,$D20,WRM!$L$7:$L$127)</f>
        <v>79.95</v>
      </c>
      <c r="N20" s="598"/>
      <c r="O20" s="598">
        <f t="shared" si="1"/>
        <v>79.95</v>
      </c>
      <c r="P20" s="524"/>
      <c r="Q20" s="524">
        <f>+SUMIF(WRM!$C$7:$C$127,$D20,WRM!P$7:$P$127)</f>
        <v>0</v>
      </c>
      <c r="R20" s="598"/>
      <c r="S20" s="598">
        <f t="shared" ref="S20:S21" si="16">O20+Q20</f>
        <v>79.95</v>
      </c>
      <c r="T20" s="524"/>
      <c r="U20" s="524">
        <f>+SUMIF(WRM!$C$7:$C$127,$D20,WRM!$T$7:T$127)</f>
        <v>0</v>
      </c>
      <c r="V20" s="598"/>
      <c r="W20" s="598">
        <f t="shared" ref="W20:W21" si="17">S20+U20</f>
        <v>79.95</v>
      </c>
      <c r="X20" s="598"/>
      <c r="Y20" s="524">
        <f>+SUMIF(WRM!$C$7:$C$127,$D20,WRM!$X$7:X$127)</f>
        <v>0</v>
      </c>
      <c r="Z20" s="598"/>
      <c r="AA20" s="2168">
        <f t="shared" si="4"/>
        <v>0</v>
      </c>
      <c r="AB20" s="2228"/>
      <c r="AC20" s="1091">
        <f t="shared" si="5"/>
        <v>79.95</v>
      </c>
      <c r="AD20" s="598"/>
      <c r="AE20" s="524">
        <f>+SUMIF(WRM!$C$7:$C$127,$D20,WRM!$AD$7:$AD$127)</f>
        <v>0</v>
      </c>
      <c r="AF20" s="598"/>
      <c r="AG20" s="598">
        <f t="shared" si="6"/>
        <v>79.95</v>
      </c>
      <c r="AH20" s="598"/>
      <c r="AI20" s="524">
        <f>+SUMIF(WRM!$C$7:$C$127,$D20,WRM!$AH$7:$AH$127)</f>
        <v>0</v>
      </c>
      <c r="AJ20" s="593"/>
      <c r="AK20" s="593">
        <f t="shared" si="7"/>
        <v>79.95</v>
      </c>
      <c r="AL20" s="598"/>
      <c r="AM20" s="524">
        <f>+SUMIF(WRM!$C$7:$C$127,$D20,WRM!$AL$7:$AL$127)</f>
        <v>0</v>
      </c>
      <c r="AN20" s="598"/>
      <c r="AO20" s="2168">
        <f t="shared" ref="AO20:AO21" si="18">AE20+AI20+AM20</f>
        <v>0</v>
      </c>
      <c r="AP20" s="593"/>
      <c r="AQ20" s="593">
        <f t="shared" si="9"/>
        <v>79.95</v>
      </c>
      <c r="AR20" s="598"/>
      <c r="AS20" s="524">
        <f>+SUMIF(WRM!$C$7:$C$127,$D20,WRM!$AR$7:$AR$127)</f>
        <v>0</v>
      </c>
      <c r="AT20" s="593"/>
      <c r="AU20" s="593">
        <f t="shared" ref="AU20:AU21" si="19">AQ20+AS20</f>
        <v>79.95</v>
      </c>
      <c r="AV20" s="598"/>
      <c r="AW20" s="524">
        <f>+SUMIF(WRM!$C$7:$C$127,$D20,WRM!$AV$7:$AV$127)</f>
        <v>0</v>
      </c>
      <c r="AX20" s="593"/>
      <c r="AY20" s="593">
        <f t="shared" si="11"/>
        <v>79.95</v>
      </c>
      <c r="AZ20" s="598"/>
      <c r="BA20" s="524">
        <f>+SUMIF(WRM!$C$7:$C$127,$D20,WRM!$AZ$7:$AZ$127)</f>
        <v>0</v>
      </c>
      <c r="BB20" s="598"/>
      <c r="BC20" s="2168">
        <f t="shared" si="12"/>
        <v>0</v>
      </c>
      <c r="BD20" s="2228"/>
      <c r="BE20" s="1091">
        <f t="shared" si="13"/>
        <v>0</v>
      </c>
      <c r="BF20" s="593"/>
      <c r="BG20" s="593">
        <f t="shared" si="14"/>
        <v>79.95</v>
      </c>
      <c r="BH20" s="25"/>
      <c r="BI20" s="25"/>
      <c r="BJ20" s="25"/>
    </row>
    <row r="21" spans="3:62" x14ac:dyDescent="0.3">
      <c r="C21" s="5054" t="s">
        <v>16</v>
      </c>
      <c r="D21" s="5055" t="s">
        <v>1805</v>
      </c>
      <c r="E21" s="5052"/>
      <c r="F21" s="5054"/>
      <c r="G21" s="524">
        <f>+SUMIF(WRM!$C$7:$C$127,$D21,WRM!$F$7:$F$127)</f>
        <v>0</v>
      </c>
      <c r="H21" s="524"/>
      <c r="I21" s="524">
        <f>+SUMIF(WRM!$C$7:$C$127,$D21,WRM!$H$7:$H$127)</f>
        <v>578.1</v>
      </c>
      <c r="J21" s="593"/>
      <c r="K21" s="593">
        <f t="shared" si="15"/>
        <v>578.1</v>
      </c>
      <c r="L21" s="524"/>
      <c r="M21" s="524">
        <f>+SUMIF(WRM!$C$7:$C$127,$D21,WRM!$L$7:$L$127)</f>
        <v>434.6</v>
      </c>
      <c r="N21" s="598"/>
      <c r="O21" s="598">
        <f t="shared" si="1"/>
        <v>1012.7</v>
      </c>
      <c r="P21" s="524"/>
      <c r="Q21" s="524">
        <f>+SUMIF(WRM!$C$7:$C$127,$D21,WRM!P$7:$P$127)</f>
        <v>0</v>
      </c>
      <c r="R21" s="598"/>
      <c r="S21" s="598">
        <f t="shared" si="16"/>
        <v>1012.7</v>
      </c>
      <c r="T21" s="524"/>
      <c r="U21" s="524">
        <f>+SUMIF(WRM!$C$7:$C$127,$D21,WRM!$T$7:T$127)</f>
        <v>0</v>
      </c>
      <c r="V21" s="598"/>
      <c r="W21" s="598">
        <f t="shared" si="17"/>
        <v>1012.7</v>
      </c>
      <c r="X21" s="598"/>
      <c r="Y21" s="524">
        <f>+SUMIF(WRM!$C$7:$C$127,$D21,WRM!$X$7:X$127)</f>
        <v>0</v>
      </c>
      <c r="Z21" s="598"/>
      <c r="AA21" s="2168">
        <f t="shared" si="4"/>
        <v>0</v>
      </c>
      <c r="AB21" s="2228"/>
      <c r="AC21" s="1091">
        <f t="shared" si="5"/>
        <v>1012.7</v>
      </c>
      <c r="AD21" s="598"/>
      <c r="AE21" s="524">
        <f>+SUMIF(WRM!$C$7:$C$127,$D21,WRM!$AD$7:$AD$127)</f>
        <v>0</v>
      </c>
      <c r="AF21" s="598"/>
      <c r="AG21" s="598">
        <f t="shared" si="6"/>
        <v>1012.7</v>
      </c>
      <c r="AH21" s="598"/>
      <c r="AI21" s="524">
        <f>+SUMIF(WRM!$C$7:$C$127,$D21,WRM!$AH$7:$AH$127)</f>
        <v>0</v>
      </c>
      <c r="AJ21" s="593"/>
      <c r="AK21" s="593">
        <f t="shared" si="7"/>
        <v>1012.7</v>
      </c>
      <c r="AL21" s="598"/>
      <c r="AM21" s="524">
        <f>+SUMIF(WRM!$C$7:$C$127,$D21,WRM!$AL$7:$AL$127)</f>
        <v>0</v>
      </c>
      <c r="AN21" s="598"/>
      <c r="AO21" s="2168">
        <f t="shared" si="18"/>
        <v>0</v>
      </c>
      <c r="AP21" s="593"/>
      <c r="AQ21" s="593">
        <f t="shared" si="9"/>
        <v>1012.7</v>
      </c>
      <c r="AR21" s="598"/>
      <c r="AS21" s="524">
        <f>+SUMIF(WRM!$C$7:$C$127,$D21,WRM!$AR$7:$AR$127)</f>
        <v>0</v>
      </c>
      <c r="AT21" s="593"/>
      <c r="AU21" s="593">
        <f t="shared" si="19"/>
        <v>1012.7</v>
      </c>
      <c r="AV21" s="598"/>
      <c r="AW21" s="524">
        <f>+SUMIF(WRM!$C$7:$C$127,$D21,WRM!$AV$7:$AV$127)</f>
        <v>0</v>
      </c>
      <c r="AX21" s="593"/>
      <c r="AY21" s="593">
        <f t="shared" si="11"/>
        <v>1012.7</v>
      </c>
      <c r="AZ21" s="598"/>
      <c r="BA21" s="524">
        <f>+SUMIF(WRM!$C$7:$C$127,$D21,WRM!$AZ$7:$AZ$127)</f>
        <v>0</v>
      </c>
      <c r="BB21" s="598"/>
      <c r="BC21" s="2168">
        <f t="shared" si="12"/>
        <v>0</v>
      </c>
      <c r="BD21" s="2228"/>
      <c r="BE21" s="1091">
        <f t="shared" si="13"/>
        <v>0</v>
      </c>
      <c r="BF21" s="593"/>
      <c r="BG21" s="593">
        <f t="shared" si="14"/>
        <v>1012.7</v>
      </c>
      <c r="BH21" s="25"/>
      <c r="BI21" s="25"/>
      <c r="BJ21" s="25"/>
    </row>
    <row r="22" spans="3:62" x14ac:dyDescent="0.3">
      <c r="C22" s="5054" t="s">
        <v>16</v>
      </c>
      <c r="D22" s="5055" t="s">
        <v>1768</v>
      </c>
      <c r="E22" s="5052"/>
      <c r="F22" s="5054"/>
      <c r="G22" s="524">
        <f>+SUMIF(WRM!$C$7:$C$127,$D22,WRM!$F$7:$F$127)</f>
        <v>0</v>
      </c>
      <c r="H22" s="524"/>
      <c r="I22" s="524">
        <f>+SUMIF(WRM!$C$7:$C$127,$D22,WRM!$H$7:$H$127)</f>
        <v>0</v>
      </c>
      <c r="J22" s="593"/>
      <c r="K22" s="593">
        <f t="shared" ref="K22" si="20">+G22+I22</f>
        <v>0</v>
      </c>
      <c r="L22" s="524"/>
      <c r="M22" s="524">
        <f>+SUMIF(WRM!$C$7:$C$127,$D22,WRM!$L$7:$L$127)</f>
        <v>0</v>
      </c>
      <c r="N22" s="598"/>
      <c r="O22" s="598">
        <f t="shared" si="1"/>
        <v>0</v>
      </c>
      <c r="P22" s="524"/>
      <c r="Q22" s="524">
        <f>+SUMIF(WRM!$C$7:$C$127,$D22,WRM!P$7:$P$127)</f>
        <v>0</v>
      </c>
      <c r="R22" s="598"/>
      <c r="S22" s="598">
        <f t="shared" ref="S22" si="21">O22+Q22</f>
        <v>0</v>
      </c>
      <c r="T22" s="524"/>
      <c r="U22" s="524">
        <f>+SUMIF(WRM!$C$7:$C$127,$D22,WRM!$T$7:T$127)</f>
        <v>0</v>
      </c>
      <c r="V22" s="598"/>
      <c r="W22" s="598">
        <f t="shared" ref="W22" si="22">S22+U22</f>
        <v>0</v>
      </c>
      <c r="X22" s="598"/>
      <c r="Y22" s="524">
        <f>+SUMIF(WRM!$C$7:$C$127,$D22,WRM!$X$7:X$127)</f>
        <v>0</v>
      </c>
      <c r="Z22" s="598"/>
      <c r="AA22" s="2168">
        <f t="shared" si="4"/>
        <v>0</v>
      </c>
      <c r="AB22" s="2228"/>
      <c r="AC22" s="1091">
        <f t="shared" si="5"/>
        <v>0</v>
      </c>
      <c r="AD22" s="598"/>
      <c r="AE22" s="524">
        <f>+SUMIF(WRM!$C$7:$C$127,$D22,WRM!$AD$7:$AD$127)</f>
        <v>0</v>
      </c>
      <c r="AF22" s="598"/>
      <c r="AG22" s="598">
        <f t="shared" si="6"/>
        <v>0</v>
      </c>
      <c r="AH22" s="598"/>
      <c r="AI22" s="524">
        <f>+SUMIF(WRM!$C$7:$C$127,$D22,WRM!$AH$7:$AH$127)</f>
        <v>0</v>
      </c>
      <c r="AJ22" s="593"/>
      <c r="AK22" s="593">
        <f t="shared" si="7"/>
        <v>0</v>
      </c>
      <c r="AL22" s="598"/>
      <c r="AM22" s="524">
        <f>+SUMIF(WRM!$C$7:$C$127,$D22,WRM!$AL$7:$AL$127)</f>
        <v>0</v>
      </c>
      <c r="AN22" s="598"/>
      <c r="AO22" s="2168">
        <f t="shared" ref="AO22" si="23">AE22+AI22+AM22</f>
        <v>0</v>
      </c>
      <c r="AP22" s="593"/>
      <c r="AQ22" s="593">
        <f t="shared" si="9"/>
        <v>0</v>
      </c>
      <c r="AR22" s="598"/>
      <c r="AS22" s="524">
        <f>+SUMIF(WRM!$C$7:$C$127,$D22,WRM!$AR$7:$AR$127)</f>
        <v>0</v>
      </c>
      <c r="AT22" s="593"/>
      <c r="AU22" s="593">
        <f t="shared" ref="AU22" si="24">AQ22+AS22</f>
        <v>0</v>
      </c>
      <c r="AV22" s="598"/>
      <c r="AW22" s="524">
        <f>+SUMIF(WRM!$C$7:$C$127,$D22,WRM!$AV$7:$AV$127)</f>
        <v>0</v>
      </c>
      <c r="AX22" s="593"/>
      <c r="AY22" s="593">
        <f t="shared" si="11"/>
        <v>0</v>
      </c>
      <c r="AZ22" s="598"/>
      <c r="BA22" s="524">
        <f>+SUMIF(WRM!$C$7:$C$127,$D22,WRM!$AZ$7:$AZ$127)</f>
        <v>0</v>
      </c>
      <c r="BB22" s="598"/>
      <c r="BC22" s="2168">
        <f t="shared" si="12"/>
        <v>0</v>
      </c>
      <c r="BD22" s="2228"/>
      <c r="BE22" s="1091">
        <f t="shared" si="13"/>
        <v>0</v>
      </c>
      <c r="BF22" s="593"/>
      <c r="BG22" s="593">
        <f t="shared" si="14"/>
        <v>0</v>
      </c>
      <c r="BH22" s="25"/>
      <c r="BI22" s="25"/>
      <c r="BJ22" s="25"/>
    </row>
    <row r="23" spans="3:62" x14ac:dyDescent="0.3">
      <c r="C23" s="5054" t="s">
        <v>16</v>
      </c>
      <c r="D23" s="5055" t="s">
        <v>1527</v>
      </c>
      <c r="E23" s="5052"/>
      <c r="F23" s="5054"/>
      <c r="G23" s="524">
        <f>+SUMIF(WRM!$C$7:$C$127,$D23,WRM!$F$7:$F$127)</f>
        <v>789.25</v>
      </c>
      <c r="H23" s="524"/>
      <c r="I23" s="524">
        <f>+SUMIF(WRM!$C$7:$C$127,$D23,WRM!$H$7:$H$127)</f>
        <v>0</v>
      </c>
      <c r="J23" s="593"/>
      <c r="K23" s="593">
        <f t="shared" ref="K23" si="25">+G23+I23</f>
        <v>789.25</v>
      </c>
      <c r="L23" s="524"/>
      <c r="M23" s="524">
        <f>+SUMIF(WRM!$C$7:$C$127,$D23,WRM!$L$7:$L$127)</f>
        <v>0</v>
      </c>
      <c r="N23" s="598"/>
      <c r="O23" s="598">
        <f t="shared" si="1"/>
        <v>789.25</v>
      </c>
      <c r="P23" s="524"/>
      <c r="Q23" s="524">
        <f>+SUMIF(WRM!$C$7:$C$127,$D23,WRM!P$7:$P$127)</f>
        <v>0</v>
      </c>
      <c r="R23" s="598"/>
      <c r="S23" s="598">
        <f t="shared" ref="S23" si="26">O23+Q23</f>
        <v>789.25</v>
      </c>
      <c r="T23" s="524"/>
      <c r="U23" s="524">
        <f>+SUMIF(WRM!$C$7:$C$127,$D23,WRM!$T$7:T$127)</f>
        <v>0</v>
      </c>
      <c r="V23" s="598"/>
      <c r="W23" s="598">
        <f t="shared" ref="W23" si="27">S23+U23</f>
        <v>789.25</v>
      </c>
      <c r="X23" s="598"/>
      <c r="Y23" s="524">
        <f>+SUMIF(WRM!$C$7:$C$127,$D23,WRM!$X$7:X$127)</f>
        <v>0</v>
      </c>
      <c r="Z23" s="598"/>
      <c r="AA23" s="2168">
        <f t="shared" si="4"/>
        <v>0</v>
      </c>
      <c r="AB23" s="2228"/>
      <c r="AC23" s="1091">
        <f t="shared" si="5"/>
        <v>789.25</v>
      </c>
      <c r="AD23" s="598"/>
      <c r="AE23" s="524">
        <f>+SUMIF(WRM!$C$7:$C$127,$D23,WRM!$AD$7:$AD$127)</f>
        <v>0</v>
      </c>
      <c r="AF23" s="598"/>
      <c r="AG23" s="598">
        <f t="shared" si="6"/>
        <v>789.25</v>
      </c>
      <c r="AH23" s="598"/>
      <c r="AI23" s="524">
        <f>+SUMIF(WRM!$C$7:$C$127,$D23,WRM!$AH$7:$AH$127)</f>
        <v>149.65</v>
      </c>
      <c r="AJ23" s="593"/>
      <c r="AK23" s="593">
        <f t="shared" si="7"/>
        <v>938.9</v>
      </c>
      <c r="AL23" s="598"/>
      <c r="AM23" s="524">
        <f>+SUMIF(WRM!$C$7:$C$127,$D23,WRM!$AL$7:$AL$127)</f>
        <v>0</v>
      </c>
      <c r="AN23" s="598"/>
      <c r="AO23" s="2168">
        <f t="shared" ref="AO23" si="28">AE23+AI23+AM23</f>
        <v>149.65</v>
      </c>
      <c r="AP23" s="593"/>
      <c r="AQ23" s="593">
        <f t="shared" si="9"/>
        <v>938.9</v>
      </c>
      <c r="AR23" s="598"/>
      <c r="AS23" s="524">
        <f>+SUMIF(WRM!$C$7:$C$127,$D23,WRM!$AR$7:$AR$127)</f>
        <v>512.5</v>
      </c>
      <c r="AT23" s="593"/>
      <c r="AU23" s="593">
        <f t="shared" ref="AU23" si="29">AQ23+AS23</f>
        <v>1451.4</v>
      </c>
      <c r="AV23" s="598"/>
      <c r="AW23" s="524">
        <f>+SUMIF(WRM!$C$7:$C$127,$D23,WRM!$AV$7:$AV$127)</f>
        <v>629.35</v>
      </c>
      <c r="AX23" s="593"/>
      <c r="AY23" s="593">
        <f t="shared" si="11"/>
        <v>2080.75</v>
      </c>
      <c r="AZ23" s="598"/>
      <c r="BA23" s="524">
        <f>+SUMIF(WRM!$C$7:$C$127,$D23,WRM!$AZ$7:$AZ$127)</f>
        <v>0</v>
      </c>
      <c r="BB23" s="598"/>
      <c r="BC23" s="2168">
        <f t="shared" si="12"/>
        <v>1141.8499999999999</v>
      </c>
      <c r="BD23" s="2228"/>
      <c r="BE23" s="1091">
        <f t="shared" si="13"/>
        <v>1291.5</v>
      </c>
      <c r="BF23" s="593"/>
      <c r="BG23" s="593">
        <f t="shared" si="14"/>
        <v>2080.75</v>
      </c>
      <c r="BH23" s="25"/>
      <c r="BI23" s="25"/>
      <c r="BJ23" s="25"/>
    </row>
    <row r="24" spans="3:62" x14ac:dyDescent="0.3">
      <c r="C24" s="523" t="s">
        <v>16</v>
      </c>
      <c r="D24" s="1525" t="s">
        <v>1095</v>
      </c>
      <c r="E24" s="5052"/>
      <c r="F24" s="523"/>
      <c r="G24" s="524">
        <f>+SUMIF(WRM!$C$7:$C$127,$D24,WRM!$F$7:$F$127)</f>
        <v>17759.149999999994</v>
      </c>
      <c r="H24" s="524"/>
      <c r="I24" s="524">
        <f>+SUMIF(WRM!$C$7:$C$127,$D24,WRM!$H$7:$H$127)</f>
        <v>3847.85</v>
      </c>
      <c r="J24" s="593"/>
      <c r="K24" s="593">
        <f t="shared" si="0"/>
        <v>21606.999999999993</v>
      </c>
      <c r="L24" s="524"/>
      <c r="M24" s="524">
        <f>+SUMIF(WRM!$C$7:$C$127,$D24,WRM!$L$7:$L$127)</f>
        <v>6943.3499999999995</v>
      </c>
      <c r="N24" s="598"/>
      <c r="O24" s="598">
        <f t="shared" si="1"/>
        <v>28550.349999999991</v>
      </c>
      <c r="P24" s="524"/>
      <c r="Q24" s="524">
        <f>+SUMIF(WRM!$C$7:$C$127,$D24,WRM!P$7:$P$127)</f>
        <v>6264.8</v>
      </c>
      <c r="R24" s="598"/>
      <c r="S24" s="598">
        <f t="shared" si="2"/>
        <v>34815.149999999994</v>
      </c>
      <c r="T24" s="524"/>
      <c r="U24" s="524">
        <f>+SUMIF(WRM!$C$7:$C$127,$D24,WRM!$T$7:T$127)</f>
        <v>4844.1500000000005</v>
      </c>
      <c r="V24" s="598"/>
      <c r="W24" s="598">
        <f t="shared" si="3"/>
        <v>39659.299999999996</v>
      </c>
      <c r="X24" s="598"/>
      <c r="Y24" s="524">
        <f>+SUMIF(WRM!$C$7:$C$127,$D24,WRM!$X$7:X$127)</f>
        <v>6642</v>
      </c>
      <c r="Z24" s="598"/>
      <c r="AA24" s="2168">
        <f t="shared" si="4"/>
        <v>17750.95</v>
      </c>
      <c r="AB24" s="2228"/>
      <c r="AC24" s="1091">
        <f t="shared" si="5"/>
        <v>46301.299999999988</v>
      </c>
      <c r="AD24" s="598"/>
      <c r="AE24" s="524">
        <f>+SUMIF(WRM!$C$7:$C$127,$D24,WRM!$AD$7:$AD$127)</f>
        <v>9739.5499999999993</v>
      </c>
      <c r="AF24" s="598"/>
      <c r="AG24" s="598">
        <f t="shared" si="6"/>
        <v>56040.849999999991</v>
      </c>
      <c r="AH24" s="598"/>
      <c r="AI24" s="524">
        <f>+SUMIF(WRM!$C$7:$C$127,$D24,WRM!$AH$7:$AH$127)</f>
        <v>5760.5</v>
      </c>
      <c r="AJ24" s="593"/>
      <c r="AK24" s="593">
        <f t="shared" si="7"/>
        <v>61801.349999999991</v>
      </c>
      <c r="AL24" s="598"/>
      <c r="AM24" s="524">
        <f>+SUMIF(WRM!$C$7:$C$127,$D24,WRM!$AL$7:$AL$127)</f>
        <v>8384.5</v>
      </c>
      <c r="AN24" s="598"/>
      <c r="AO24" s="2168">
        <f t="shared" si="8"/>
        <v>23884.55</v>
      </c>
      <c r="AP24" s="593"/>
      <c r="AQ24" s="593">
        <f t="shared" si="9"/>
        <v>70185.849999999991</v>
      </c>
      <c r="AR24" s="598"/>
      <c r="AS24" s="524">
        <f>+SUMIF(WRM!$C$7:$C$127,$D24,WRM!$AR$7:$AR$127)</f>
        <v>11320.100000000002</v>
      </c>
      <c r="AT24" s="593"/>
      <c r="AU24" s="593">
        <f t="shared" si="10"/>
        <v>81505.95</v>
      </c>
      <c r="AV24" s="598"/>
      <c r="AW24" s="524">
        <f>+SUMIF(WRM!$C$7:$C$127,$D24,WRM!$AV$7:$AV$127)</f>
        <v>8419.35</v>
      </c>
      <c r="AX24" s="593"/>
      <c r="AY24" s="593">
        <f t="shared" si="11"/>
        <v>89925.3</v>
      </c>
      <c r="AZ24" s="598"/>
      <c r="BA24" s="524">
        <f>+SUMIF(WRM!$C$7:$C$127,$D24,WRM!$AZ$7:$AZ$127)</f>
        <v>9930.1999999999916</v>
      </c>
      <c r="BB24" s="598"/>
      <c r="BC24" s="2168">
        <f t="shared" si="12"/>
        <v>29669.649999999994</v>
      </c>
      <c r="BD24" s="2228"/>
      <c r="BE24" s="1091">
        <f t="shared" si="13"/>
        <v>53554.2</v>
      </c>
      <c r="BF24" s="593"/>
      <c r="BG24" s="593">
        <f t="shared" si="14"/>
        <v>99855.5</v>
      </c>
      <c r="BH24" s="25"/>
      <c r="BI24" s="25"/>
      <c r="BJ24" s="25"/>
    </row>
    <row r="25" spans="3:62" x14ac:dyDescent="0.3">
      <c r="C25" s="523" t="s">
        <v>16</v>
      </c>
      <c r="D25" s="1525" t="s">
        <v>837</v>
      </c>
      <c r="E25" s="5052"/>
      <c r="F25" s="523"/>
      <c r="G25" s="524">
        <f>+SUMIF(WRM!$C$7:$C$127,$D25,WRM!$F$7:$F$127)</f>
        <v>0</v>
      </c>
      <c r="H25" s="524"/>
      <c r="I25" s="524">
        <f>+SUMIF(WRM!$C$7:$C$127,$D25,WRM!$H$7:$H$127)</f>
        <v>485.84999999999997</v>
      </c>
      <c r="J25" s="593"/>
      <c r="K25" s="593">
        <f t="shared" si="0"/>
        <v>485.84999999999997</v>
      </c>
      <c r="L25" s="524"/>
      <c r="M25" s="524">
        <f>+SUMIF(WRM!$C$7:$C$127,$D25,WRM!$L$7:$L$127)</f>
        <v>508.40000000000003</v>
      </c>
      <c r="N25" s="598"/>
      <c r="O25" s="598">
        <f t="shared" si="1"/>
        <v>994.25</v>
      </c>
      <c r="P25" s="524"/>
      <c r="Q25" s="524">
        <f>+SUMIF(WRM!$C$7:$C$127,$D25,WRM!P$7:$P$127)</f>
        <v>0</v>
      </c>
      <c r="R25" s="598"/>
      <c r="S25" s="598">
        <f t="shared" ref="S25:S68" si="30">O25+Q25</f>
        <v>994.25</v>
      </c>
      <c r="T25" s="524"/>
      <c r="U25" s="524">
        <f>+SUMIF(WRM!$C$7:$C$127,$D25,WRM!$T$7:T$127)</f>
        <v>0</v>
      </c>
      <c r="V25" s="598"/>
      <c r="W25" s="598">
        <f t="shared" si="3"/>
        <v>994.25</v>
      </c>
      <c r="X25" s="598"/>
      <c r="Y25" s="524">
        <f>+SUMIF(WRM!$C$7:$C$127,$D25,WRM!$X$7:X$127)</f>
        <v>0</v>
      </c>
      <c r="Z25" s="598"/>
      <c r="AA25" s="2168">
        <f t="shared" si="4"/>
        <v>0</v>
      </c>
      <c r="AB25" s="2228"/>
      <c r="AC25" s="1091">
        <f t="shared" si="5"/>
        <v>994.25</v>
      </c>
      <c r="AD25" s="598"/>
      <c r="AE25" s="524">
        <f>+SUMIF(WRM!$C$7:$C$127,$D25,WRM!$AD$7:$AD$127)</f>
        <v>0</v>
      </c>
      <c r="AF25" s="598"/>
      <c r="AG25" s="598">
        <f t="shared" si="6"/>
        <v>994.25</v>
      </c>
      <c r="AH25" s="598"/>
      <c r="AI25" s="524">
        <f>+SUMIF(WRM!$C$7:$C$127,$D25,WRM!$AH$7:$AH$127)</f>
        <v>166.04999999999998</v>
      </c>
      <c r="AJ25" s="593"/>
      <c r="AK25" s="593">
        <f t="shared" si="7"/>
        <v>1160.3</v>
      </c>
      <c r="AL25" s="598"/>
      <c r="AM25" s="524">
        <f>+SUMIF(WRM!$C$7:$C$127,$D25,WRM!$AL$7:$AL$127)</f>
        <v>0</v>
      </c>
      <c r="AN25" s="598"/>
      <c r="AO25" s="2168">
        <f t="shared" si="8"/>
        <v>166.04999999999998</v>
      </c>
      <c r="AP25" s="593"/>
      <c r="AQ25" s="593">
        <f t="shared" si="9"/>
        <v>1160.3</v>
      </c>
      <c r="AR25" s="598"/>
      <c r="AS25" s="524">
        <f>+SUMIF(WRM!$C$7:$C$127,$D25,WRM!$AR$7:$AR$127)</f>
        <v>0</v>
      </c>
      <c r="AT25" s="593"/>
      <c r="AU25" s="593">
        <f t="shared" si="10"/>
        <v>1160.3</v>
      </c>
      <c r="AV25" s="598"/>
      <c r="AW25" s="524">
        <f>+SUMIF(WRM!$C$7:$C$127,$D25,WRM!$AV$7:$AV$127)</f>
        <v>379.25000000000006</v>
      </c>
      <c r="AX25" s="593"/>
      <c r="AY25" s="593">
        <f t="shared" si="11"/>
        <v>1539.55</v>
      </c>
      <c r="AZ25" s="598"/>
      <c r="BA25" s="524">
        <f>+SUMIF(WRM!$C$7:$C$127,$D25,WRM!$AZ$7:$AZ$127)</f>
        <v>373.1</v>
      </c>
      <c r="BB25" s="598"/>
      <c r="BC25" s="2168">
        <f t="shared" si="12"/>
        <v>752.35000000000014</v>
      </c>
      <c r="BD25" s="2228"/>
      <c r="BE25" s="1091">
        <f t="shared" si="13"/>
        <v>918.40000000000009</v>
      </c>
      <c r="BF25" s="593"/>
      <c r="BG25" s="593">
        <f t="shared" si="14"/>
        <v>1912.65</v>
      </c>
      <c r="BH25" s="25"/>
      <c r="BI25" s="25"/>
      <c r="BJ25" s="25"/>
    </row>
    <row r="26" spans="3:62" x14ac:dyDescent="0.3">
      <c r="C26" s="5054" t="s">
        <v>16</v>
      </c>
      <c r="D26" s="5055" t="s">
        <v>1802</v>
      </c>
      <c r="E26" s="5052"/>
      <c r="F26" s="5054"/>
      <c r="G26" s="524">
        <f>+SUMIF(WRM!$C$7:$C$127,$D26,WRM!$F$7:$F$127)</f>
        <v>0</v>
      </c>
      <c r="H26" s="524"/>
      <c r="I26" s="524">
        <f>+SUMIF(WRM!$C$7:$C$127,$D26,WRM!$H$7:$H$127)</f>
        <v>0</v>
      </c>
      <c r="J26" s="593"/>
      <c r="K26" s="593">
        <f t="shared" ref="K26" si="31">+G26+I26</f>
        <v>0</v>
      </c>
      <c r="L26" s="524"/>
      <c r="M26" s="524">
        <f>+SUMIF(WRM!$C$7:$C$127,$D26,WRM!$L$7:$L$127)</f>
        <v>0</v>
      </c>
      <c r="N26" s="598"/>
      <c r="O26" s="598">
        <f t="shared" si="1"/>
        <v>0</v>
      </c>
      <c r="P26" s="524"/>
      <c r="Q26" s="524">
        <f>+SUMIF(WRM!$C$7:$C$127,$D26,WRM!P$7:$P$127)</f>
        <v>0</v>
      </c>
      <c r="R26" s="598"/>
      <c r="S26" s="598">
        <f t="shared" ref="S26" si="32">O26+Q26</f>
        <v>0</v>
      </c>
      <c r="T26" s="524"/>
      <c r="U26" s="524">
        <f>+SUMIF(WRM!$C$7:$C$127,$D26,WRM!$T$7:T$127)</f>
        <v>0</v>
      </c>
      <c r="V26" s="598"/>
      <c r="W26" s="598">
        <f t="shared" ref="W26" si="33">S26+U26</f>
        <v>0</v>
      </c>
      <c r="X26" s="598"/>
      <c r="Y26" s="524">
        <f>+SUMIF(WRM!$C$7:$C$127,$D26,WRM!$X$7:X$127)</f>
        <v>0</v>
      </c>
      <c r="Z26" s="598"/>
      <c r="AA26" s="2168">
        <f t="shared" si="4"/>
        <v>0</v>
      </c>
      <c r="AB26" s="2228"/>
      <c r="AC26" s="1091">
        <f t="shared" si="5"/>
        <v>0</v>
      </c>
      <c r="AD26" s="598"/>
      <c r="AE26" s="524">
        <f>+SUMIF(WRM!$C$7:$C$127,$D26,WRM!$AD$7:$AD$127)</f>
        <v>0</v>
      </c>
      <c r="AF26" s="598"/>
      <c r="AG26" s="598">
        <f t="shared" ref="AG26" si="34">AC26+AE26</f>
        <v>0</v>
      </c>
      <c r="AH26" s="598"/>
      <c r="AI26" s="524">
        <f>+SUMIF(WRM!$C$7:$C$127,$D26,WRM!$AH$7:$AH$127)</f>
        <v>0</v>
      </c>
      <c r="AJ26" s="593"/>
      <c r="AK26" s="593">
        <f t="shared" ref="AK26" si="35">AG26+AI26</f>
        <v>0</v>
      </c>
      <c r="AL26" s="598"/>
      <c r="AM26" s="524">
        <f>+SUMIF(WRM!$C$7:$C$127,$D26,WRM!$AL$7:$AL$127)</f>
        <v>0</v>
      </c>
      <c r="AN26" s="598"/>
      <c r="AO26" s="2168">
        <f t="shared" ref="AO26" si="36">AE26+AI26+AM26</f>
        <v>0</v>
      </c>
      <c r="AP26" s="593"/>
      <c r="AQ26" s="593">
        <f t="shared" ref="AQ26" si="37">AK26+AM26</f>
        <v>0</v>
      </c>
      <c r="AR26" s="598"/>
      <c r="AS26" s="524">
        <f>+SUMIF(WRM!$C$7:$C$127,$D26,WRM!$AR$7:$AR$127)</f>
        <v>0</v>
      </c>
      <c r="AT26" s="593"/>
      <c r="AU26" s="593">
        <f t="shared" ref="AU26" si="38">AQ26+AS26</f>
        <v>0</v>
      </c>
      <c r="AV26" s="598"/>
      <c r="AW26" s="524">
        <f>+SUMIF(WRM!$C$7:$C$127,$D26,WRM!$AV$7:$AV$127)</f>
        <v>0</v>
      </c>
      <c r="AX26" s="593"/>
      <c r="AY26" s="593">
        <f t="shared" si="11"/>
        <v>0</v>
      </c>
      <c r="AZ26" s="598"/>
      <c r="BA26" s="524">
        <f>+SUMIF(WRM!$C$7:$C$127,$D26,WRM!$AZ$7:$AZ$127)</f>
        <v>0</v>
      </c>
      <c r="BB26" s="598"/>
      <c r="BC26" s="2168">
        <f t="shared" si="12"/>
        <v>0</v>
      </c>
      <c r="BD26" s="2228"/>
      <c r="BE26" s="1091">
        <f t="shared" si="13"/>
        <v>0</v>
      </c>
      <c r="BF26" s="593"/>
      <c r="BG26" s="593">
        <f t="shared" si="14"/>
        <v>0</v>
      </c>
      <c r="BH26" s="25"/>
      <c r="BI26" s="25"/>
      <c r="BJ26" s="25"/>
    </row>
    <row r="27" spans="3:62" x14ac:dyDescent="0.3">
      <c r="C27" s="523" t="s">
        <v>16</v>
      </c>
      <c r="D27" s="1525" t="s">
        <v>928</v>
      </c>
      <c r="E27" s="5052"/>
      <c r="F27" s="523"/>
      <c r="G27" s="524">
        <f>+SUMIF(WRM!$C$7:$C$127,$D27,WRM!$F$7:$F$127)</f>
        <v>0</v>
      </c>
      <c r="H27" s="524"/>
      <c r="I27" s="524">
        <f>+SUMIF(WRM!$C$7:$C$127,$D27,WRM!$H$7:$H$127)</f>
        <v>5530.9</v>
      </c>
      <c r="J27" s="593"/>
      <c r="K27" s="593">
        <f t="shared" si="0"/>
        <v>5530.9</v>
      </c>
      <c r="L27" s="524"/>
      <c r="M27" s="524">
        <f>+SUMIF(WRM!$C$7:$C$127,$D27,WRM!$L$7:$L$127)</f>
        <v>4950.75</v>
      </c>
      <c r="N27" s="598"/>
      <c r="O27" s="598">
        <f t="shared" si="1"/>
        <v>10481.65</v>
      </c>
      <c r="P27" s="524"/>
      <c r="Q27" s="524">
        <f>+SUMIF(WRM!$C$7:$C$127,$D27,WRM!P$7:$P$127)</f>
        <v>9462.7999999999993</v>
      </c>
      <c r="R27" s="598"/>
      <c r="S27" s="598">
        <f t="shared" si="30"/>
        <v>19944.449999999997</v>
      </c>
      <c r="T27" s="524"/>
      <c r="U27" s="524">
        <f>+SUMIF(WRM!$C$7:$C$127,$D27,WRM!$T$7:T$127)</f>
        <v>10547.25</v>
      </c>
      <c r="V27" s="598"/>
      <c r="W27" s="598">
        <f t="shared" si="3"/>
        <v>30491.699999999997</v>
      </c>
      <c r="X27" s="598"/>
      <c r="Y27" s="524">
        <f>+SUMIF(WRM!$C$7:$C$127,$D27,WRM!$X$7:X$127)</f>
        <v>10947</v>
      </c>
      <c r="Z27" s="598"/>
      <c r="AA27" s="2168">
        <f t="shared" si="4"/>
        <v>30957.05</v>
      </c>
      <c r="AB27" s="2228"/>
      <c r="AC27" s="1091">
        <f t="shared" si="5"/>
        <v>41438.699999999997</v>
      </c>
      <c r="AD27" s="598"/>
      <c r="AE27" s="524">
        <f>+SUMIF(WRM!$C$7:$C$127,$D27,WRM!$AD$7:$AD$127)</f>
        <v>7306.2000000000007</v>
      </c>
      <c r="AF27" s="598"/>
      <c r="AG27" s="598">
        <f t="shared" si="6"/>
        <v>48744.899999999994</v>
      </c>
      <c r="AH27" s="598"/>
      <c r="AI27" s="524">
        <f>+SUMIF(WRM!$C$7:$C$127,$D27,WRM!$AH$7:$AH$127)</f>
        <v>7740.8</v>
      </c>
      <c r="AJ27" s="593"/>
      <c r="AK27" s="593">
        <f t="shared" si="7"/>
        <v>56485.7</v>
      </c>
      <c r="AL27" s="598"/>
      <c r="AM27" s="524">
        <f>+SUMIF(WRM!$C$7:$C$127,$D27,WRM!$AL$7:$AL$127)</f>
        <v>8146.7</v>
      </c>
      <c r="AN27" s="598"/>
      <c r="AO27" s="2168">
        <f t="shared" si="8"/>
        <v>23193.7</v>
      </c>
      <c r="AP27" s="593"/>
      <c r="AQ27" s="593">
        <f t="shared" si="9"/>
        <v>64632.399999999994</v>
      </c>
      <c r="AR27" s="598"/>
      <c r="AS27" s="524">
        <f>+SUMIF(WRM!$C$7:$C$127,$D27,WRM!$AR$7:$AR$127)</f>
        <v>7150.4000000000096</v>
      </c>
      <c r="AT27" s="593"/>
      <c r="AU27" s="593">
        <f t="shared" si="10"/>
        <v>71782.8</v>
      </c>
      <c r="AV27" s="598"/>
      <c r="AW27" s="524">
        <f>+SUMIF(WRM!$C$7:$C$127,$D27,WRM!$AV$7:$AV$127)</f>
        <v>8312.7500000000036</v>
      </c>
      <c r="AX27" s="593"/>
      <c r="AY27" s="593">
        <f t="shared" si="11"/>
        <v>80095.55</v>
      </c>
      <c r="AZ27" s="598"/>
      <c r="BA27" s="524">
        <f>+SUMIF(WRM!$C$7:$C$127,$D27,WRM!$AZ$7:$AZ$127)</f>
        <v>0</v>
      </c>
      <c r="BB27" s="598"/>
      <c r="BC27" s="2168">
        <f t="shared" si="12"/>
        <v>15463.150000000012</v>
      </c>
      <c r="BD27" s="2228"/>
      <c r="BE27" s="1091">
        <f t="shared" si="13"/>
        <v>38656.850000000013</v>
      </c>
      <c r="BF27" s="593"/>
      <c r="BG27" s="593">
        <f t="shared" si="14"/>
        <v>80095.55</v>
      </c>
      <c r="BH27" s="25"/>
      <c r="BI27" s="25"/>
      <c r="BJ27" s="25"/>
    </row>
    <row r="28" spans="3:62" s="4487" customFormat="1" x14ac:dyDescent="0.3">
      <c r="C28" s="6114" t="s">
        <v>16</v>
      </c>
      <c r="D28" s="6115" t="s">
        <v>2047</v>
      </c>
      <c r="E28" s="5052"/>
      <c r="F28" s="6114"/>
      <c r="G28" s="524">
        <f>+SUMIF(WRM!$C$7:$C$127,$D28,WRM!$F$7:$F$127)</f>
        <v>0</v>
      </c>
      <c r="H28" s="524"/>
      <c r="I28" s="524">
        <f>+SUMIF(WRM!$C$7:$C$127,$D28,WRM!$H$7:$H$127)</f>
        <v>0</v>
      </c>
      <c r="J28" s="593"/>
      <c r="K28" s="593">
        <f t="shared" ref="K28" si="39">+G28+I28</f>
        <v>0</v>
      </c>
      <c r="L28" s="524"/>
      <c r="M28" s="524">
        <f>+SUMIF(WRM!$C$7:$C$127,$D28,WRM!$L$7:$L$127)</f>
        <v>0</v>
      </c>
      <c r="N28" s="598"/>
      <c r="O28" s="598">
        <f t="shared" ref="O28" si="40">+G28+I28+M28</f>
        <v>0</v>
      </c>
      <c r="P28" s="524"/>
      <c r="Q28" s="524">
        <f>+SUMIF(WRM!$C$7:$C$127,$D28,WRM!P$7:$P$127)</f>
        <v>0</v>
      </c>
      <c r="R28" s="598"/>
      <c r="S28" s="598">
        <f t="shared" ref="S28" si="41">O28+Q28</f>
        <v>0</v>
      </c>
      <c r="T28" s="524"/>
      <c r="U28" s="524">
        <f>+SUMIF(WRM!$C$7:$C$127,$D28,WRM!$T$7:T$127)</f>
        <v>0</v>
      </c>
      <c r="V28" s="598"/>
      <c r="W28" s="598">
        <f t="shared" ref="W28" si="42">S28+U28</f>
        <v>0</v>
      </c>
      <c r="X28" s="598"/>
      <c r="Y28" s="524">
        <f>+SUMIF(WRM!$C$7:$C$127,$D28,WRM!$X$7:X$127)</f>
        <v>94.3</v>
      </c>
      <c r="Z28" s="598"/>
      <c r="AA28" s="2168">
        <f t="shared" si="4"/>
        <v>94.3</v>
      </c>
      <c r="AB28" s="2228"/>
      <c r="AC28" s="1091">
        <f t="shared" si="5"/>
        <v>94.3</v>
      </c>
      <c r="AD28" s="598"/>
      <c r="AE28" s="524">
        <f>+SUMIF(WRM!$C$7:$C$127,$D28,WRM!$AD$7:$AD$127)</f>
        <v>0</v>
      </c>
      <c r="AF28" s="598"/>
      <c r="AG28" s="598">
        <f t="shared" ref="AG28" si="43">AC28+AE28</f>
        <v>94.3</v>
      </c>
      <c r="AH28" s="598"/>
      <c r="AI28" s="524">
        <f>+SUMIF(WRM!$C$7:$C$127,$D28,WRM!$AH$7:$AH$127)</f>
        <v>0</v>
      </c>
      <c r="AJ28" s="593"/>
      <c r="AK28" s="593">
        <f t="shared" ref="AK28" si="44">AG28+AI28</f>
        <v>94.3</v>
      </c>
      <c r="AL28" s="598"/>
      <c r="AM28" s="524">
        <f>+SUMIF(WRM!$C$7:$C$127,$D28,WRM!$AL$7:$AL$127)</f>
        <v>0</v>
      </c>
      <c r="AN28" s="598"/>
      <c r="AO28" s="2168">
        <f t="shared" ref="AO28" si="45">AE28+AI28+AM28</f>
        <v>0</v>
      </c>
      <c r="AP28" s="593"/>
      <c r="AQ28" s="593">
        <f t="shared" ref="AQ28" si="46">AK28+AM28</f>
        <v>94.3</v>
      </c>
      <c r="AR28" s="598"/>
      <c r="AS28" s="524">
        <f>+SUMIF(WRM!$C$7:$C$127,$D28,WRM!$AR$7:$AR$127)</f>
        <v>0</v>
      </c>
      <c r="AT28" s="593"/>
      <c r="AU28" s="593">
        <f t="shared" ref="AU28" si="47">AQ28+AS28</f>
        <v>94.3</v>
      </c>
      <c r="AV28" s="598"/>
      <c r="AW28" s="524">
        <f>+SUMIF(WRM!$C$7:$C$127,$D28,WRM!$AV$7:$AV$127)</f>
        <v>0</v>
      </c>
      <c r="AX28" s="593"/>
      <c r="AY28" s="593">
        <f t="shared" ref="AY28" si="48">AU28+AW28</f>
        <v>94.3</v>
      </c>
      <c r="AZ28" s="598"/>
      <c r="BA28" s="524">
        <f>+SUMIF(WRM!$C$7:$C$127,$D28,WRM!$AZ$7:$AZ$127)</f>
        <v>0</v>
      </c>
      <c r="BB28" s="598"/>
      <c r="BC28" s="2168">
        <f t="shared" ref="BC28" si="49">AS28+AW28+BA28</f>
        <v>0</v>
      </c>
      <c r="BD28" s="2228"/>
      <c r="BE28" s="1091">
        <f t="shared" ref="BE28" si="50">AO28+BC28</f>
        <v>0</v>
      </c>
      <c r="BF28" s="593"/>
      <c r="BG28" s="593">
        <f t="shared" ref="BG28" si="51">AY28+BA28</f>
        <v>94.3</v>
      </c>
      <c r="BH28" s="25"/>
      <c r="BI28" s="25"/>
      <c r="BJ28" s="25"/>
    </row>
    <row r="29" spans="3:62" x14ac:dyDescent="0.3">
      <c r="C29" s="523" t="s">
        <v>16</v>
      </c>
      <c r="D29" s="1525" t="s">
        <v>930</v>
      </c>
      <c r="E29" s="5052"/>
      <c r="F29" s="523"/>
      <c r="G29" s="524">
        <f>+SUMIF(WRM!$C$7:$C$127,$D29,WRM!$F$7:$F$127)</f>
        <v>43.05</v>
      </c>
      <c r="H29" s="524"/>
      <c r="I29" s="524">
        <f>+SUMIF(WRM!$C$7:$C$127,$D29,WRM!$H$7:$H$127)</f>
        <v>2564.5499999999997</v>
      </c>
      <c r="J29" s="593"/>
      <c r="K29" s="593">
        <f t="shared" si="0"/>
        <v>2607.6</v>
      </c>
      <c r="L29" s="524"/>
      <c r="M29" s="524">
        <f>+SUMIF(WRM!$C$7:$C$127,$D29,WRM!$L$7:$L$127)</f>
        <v>1920.8500000000001</v>
      </c>
      <c r="N29" s="598"/>
      <c r="O29" s="598">
        <f t="shared" si="1"/>
        <v>4528.45</v>
      </c>
      <c r="P29" s="524"/>
      <c r="Q29" s="524">
        <f>+SUMIF(WRM!$C$7:$C$127,$D29,WRM!P$7:$P$127)</f>
        <v>2345.1999999999985</v>
      </c>
      <c r="R29" s="598"/>
      <c r="S29" s="598">
        <f t="shared" si="30"/>
        <v>6873.6499999999978</v>
      </c>
      <c r="T29" s="524"/>
      <c r="U29" s="524">
        <f>+SUMIF(WRM!$C$7:$C$127,$D29,WRM!$T$7:T$127)</f>
        <v>1430.9</v>
      </c>
      <c r="V29" s="598"/>
      <c r="W29" s="598">
        <f t="shared" si="3"/>
        <v>8304.5499999999975</v>
      </c>
      <c r="X29" s="598"/>
      <c r="Y29" s="524">
        <f>+SUMIF(WRM!$C$7:$C$127,$D29,WRM!$X$7:X$127)</f>
        <v>1492.4</v>
      </c>
      <c r="Z29" s="598"/>
      <c r="AA29" s="2168">
        <f t="shared" si="4"/>
        <v>5268.4999999999982</v>
      </c>
      <c r="AB29" s="2228"/>
      <c r="AC29" s="1091">
        <f t="shared" si="5"/>
        <v>9796.9499999999971</v>
      </c>
      <c r="AD29" s="598"/>
      <c r="AE29" s="524">
        <f>+SUMIF(WRM!$C$7:$C$127,$D29,WRM!$AD$7:$AD$127)</f>
        <v>535.04999999999995</v>
      </c>
      <c r="AF29" s="598"/>
      <c r="AG29" s="598">
        <f t="shared" si="6"/>
        <v>10331.999999999996</v>
      </c>
      <c r="AH29" s="598"/>
      <c r="AI29" s="524">
        <f>+SUMIF(WRM!$C$7:$C$127,$D29,WRM!$AH$7:$AH$127)</f>
        <v>2060.25</v>
      </c>
      <c r="AJ29" s="593"/>
      <c r="AK29" s="593">
        <f t="shared" si="7"/>
        <v>12392.249999999996</v>
      </c>
      <c r="AL29" s="598"/>
      <c r="AM29" s="524">
        <f>+SUMIF(WRM!$C$7:$C$127,$D29,WRM!$AL$7:$AL$127)</f>
        <v>4034.4</v>
      </c>
      <c r="AN29" s="598"/>
      <c r="AO29" s="2168">
        <f t="shared" si="8"/>
        <v>6629.7000000000007</v>
      </c>
      <c r="AP29" s="593"/>
      <c r="AQ29" s="593">
        <f t="shared" si="9"/>
        <v>16426.649999999998</v>
      </c>
      <c r="AR29" s="598"/>
      <c r="AS29" s="524">
        <f>+SUMIF(WRM!$C$7:$C$127,$D29,WRM!$AR$7:$AR$127)</f>
        <v>994.25</v>
      </c>
      <c r="AT29" s="593"/>
      <c r="AU29" s="593">
        <f t="shared" si="10"/>
        <v>17420.899999999998</v>
      </c>
      <c r="AV29" s="598"/>
      <c r="AW29" s="524">
        <f>+SUMIF(WRM!$C$7:$C$127,$D29,WRM!$AV$7:$AV$127)</f>
        <v>1908.55</v>
      </c>
      <c r="AX29" s="593"/>
      <c r="AY29" s="593">
        <f t="shared" si="11"/>
        <v>19329.449999999997</v>
      </c>
      <c r="AZ29" s="598"/>
      <c r="BA29" s="524">
        <f>+SUMIF(WRM!$C$7:$C$127,$D29,WRM!$AZ$7:$AZ$127)</f>
        <v>1076.2499999999998</v>
      </c>
      <c r="BB29" s="598"/>
      <c r="BC29" s="2168">
        <f t="shared" si="12"/>
        <v>3979.05</v>
      </c>
      <c r="BD29" s="2228"/>
      <c r="BE29" s="1091">
        <f t="shared" si="13"/>
        <v>10608.75</v>
      </c>
      <c r="BF29" s="593"/>
      <c r="BG29" s="593">
        <f t="shared" si="14"/>
        <v>20405.699999999997</v>
      </c>
      <c r="BH29" s="25"/>
      <c r="BI29" s="25"/>
      <c r="BJ29" s="25"/>
    </row>
    <row r="30" spans="3:62" x14ac:dyDescent="0.3">
      <c r="C30" s="523" t="s">
        <v>16</v>
      </c>
      <c r="D30" s="1525" t="s">
        <v>1077</v>
      </c>
      <c r="E30" s="5052"/>
      <c r="F30" s="523"/>
      <c r="G30" s="524">
        <f>+SUMIF(WRM!$C$7:$C$127,$D30,WRM!$F$7:$F$127)</f>
        <v>1861.3999999999999</v>
      </c>
      <c r="H30" s="524"/>
      <c r="I30" s="524">
        <f>+SUMIF(WRM!$C$7:$C$127,$D30,WRM!$H$7:$H$127)</f>
        <v>2402.5999999999995</v>
      </c>
      <c r="J30" s="593"/>
      <c r="K30" s="593">
        <f t="shared" si="0"/>
        <v>4263.9999999999991</v>
      </c>
      <c r="L30" s="524"/>
      <c r="M30" s="524">
        <f>+SUMIF(WRM!$C$7:$C$127,$D30,WRM!$L$7:$L$127)</f>
        <v>0</v>
      </c>
      <c r="N30" s="598"/>
      <c r="O30" s="598">
        <f t="shared" si="1"/>
        <v>4263.9999999999991</v>
      </c>
      <c r="P30" s="524"/>
      <c r="Q30" s="524">
        <f>+SUMIF(WRM!$C$7:$C$127,$D30,WRM!P$7:$P$127)</f>
        <v>0</v>
      </c>
      <c r="R30" s="598"/>
      <c r="S30" s="598">
        <f t="shared" si="30"/>
        <v>4263.9999999999991</v>
      </c>
      <c r="T30" s="524"/>
      <c r="U30" s="524">
        <f>+SUMIF(WRM!$C$7:$C$127,$D30,WRM!$T$7:T$127)</f>
        <v>940.95000000000016</v>
      </c>
      <c r="V30" s="598"/>
      <c r="W30" s="598">
        <f t="shared" si="3"/>
        <v>5204.9499999999989</v>
      </c>
      <c r="X30" s="598"/>
      <c r="Y30" s="524">
        <f>+SUMIF(WRM!$C$7:$C$127,$D30,WRM!$X$7:X$127)</f>
        <v>1281.25</v>
      </c>
      <c r="Z30" s="598"/>
      <c r="AA30" s="2168">
        <f t="shared" si="4"/>
        <v>2222.2000000000003</v>
      </c>
      <c r="AB30" s="2228"/>
      <c r="AC30" s="1091">
        <f t="shared" si="5"/>
        <v>6486.1999999999989</v>
      </c>
      <c r="AD30" s="598"/>
      <c r="AE30" s="524">
        <f>+SUMIF(WRM!$C$7:$C$127,$D30,WRM!$AD$7:$AD$127)</f>
        <v>219.35</v>
      </c>
      <c r="AF30" s="598"/>
      <c r="AG30" s="598">
        <f t="shared" si="6"/>
        <v>6705.5499999999993</v>
      </c>
      <c r="AH30" s="598"/>
      <c r="AI30" s="524">
        <f>+SUMIF(WRM!$C$7:$C$127,$D30,WRM!$AH$7:$AH$127)</f>
        <v>1051.6500000000001</v>
      </c>
      <c r="AJ30" s="593"/>
      <c r="AK30" s="593">
        <f t="shared" si="7"/>
        <v>7757.1999999999989</v>
      </c>
      <c r="AL30" s="598"/>
      <c r="AM30" s="524">
        <f>+SUMIF(WRM!$C$7:$C$127,$D30,WRM!$AL$7:$AL$127)</f>
        <v>1389.9</v>
      </c>
      <c r="AN30" s="598"/>
      <c r="AO30" s="2168">
        <f t="shared" si="8"/>
        <v>2660.9</v>
      </c>
      <c r="AP30" s="593"/>
      <c r="AQ30" s="593">
        <f t="shared" si="9"/>
        <v>9147.0999999999985</v>
      </c>
      <c r="AR30" s="598"/>
      <c r="AS30" s="524">
        <f>+SUMIF(WRM!$C$7:$C$127,$D30,WRM!$AR$7:$AR$127)</f>
        <v>1799.9</v>
      </c>
      <c r="AT30" s="593"/>
      <c r="AU30" s="593">
        <f t="shared" si="10"/>
        <v>10946.999999999998</v>
      </c>
      <c r="AV30" s="598"/>
      <c r="AW30" s="524">
        <f>+SUMIF(WRM!$C$7:$C$127,$D30,WRM!$AV$7:$AV$127)</f>
        <v>1605.15</v>
      </c>
      <c r="AX30" s="593"/>
      <c r="AY30" s="593">
        <f t="shared" si="11"/>
        <v>12552.149999999998</v>
      </c>
      <c r="AZ30" s="598"/>
      <c r="BA30" s="524">
        <f>+SUMIF(WRM!$C$7:$C$127,$D30,WRM!$AZ$7:$AZ$127)</f>
        <v>2865.9</v>
      </c>
      <c r="BB30" s="598"/>
      <c r="BC30" s="2168">
        <f t="shared" si="12"/>
        <v>6270.9500000000007</v>
      </c>
      <c r="BD30" s="2228"/>
      <c r="BE30" s="1091">
        <f t="shared" si="13"/>
        <v>8931.85</v>
      </c>
      <c r="BF30" s="593"/>
      <c r="BG30" s="593">
        <f t="shared" si="14"/>
        <v>15418.049999999997</v>
      </c>
      <c r="BH30" s="25"/>
      <c r="BI30" s="25"/>
      <c r="BJ30" s="25"/>
    </row>
    <row r="31" spans="3:62" s="1612" customFormat="1" x14ac:dyDescent="0.3">
      <c r="C31" s="523" t="s">
        <v>16</v>
      </c>
      <c r="D31" s="1525" t="s">
        <v>994</v>
      </c>
      <c r="E31" s="5052"/>
      <c r="F31" s="523"/>
      <c r="G31" s="524">
        <f>+SUMIF(WRM!$C$7:$C$127,$D31,WRM!$F$7:$F$127)</f>
        <v>0</v>
      </c>
      <c r="H31" s="524"/>
      <c r="I31" s="524">
        <f>+SUMIF(WRM!$C$7:$C$127,$D31,WRM!$H$7:$H$127)</f>
        <v>2585.0500000000002</v>
      </c>
      <c r="J31" s="593"/>
      <c r="K31" s="593">
        <f t="shared" si="0"/>
        <v>2585.0500000000002</v>
      </c>
      <c r="L31" s="524"/>
      <c r="M31" s="524">
        <f>+SUMIF(WRM!$C$7:$C$127,$D31,WRM!$L$7:$L$127)</f>
        <v>1785.55</v>
      </c>
      <c r="N31" s="598"/>
      <c r="O31" s="598">
        <f t="shared" si="1"/>
        <v>4370.6000000000004</v>
      </c>
      <c r="P31" s="524"/>
      <c r="Q31" s="524">
        <f>+SUMIF(WRM!$C$7:$C$127,$D31,WRM!P$7:$P$127)</f>
        <v>820</v>
      </c>
      <c r="R31" s="598"/>
      <c r="S31" s="598">
        <f t="shared" si="30"/>
        <v>5190.6000000000004</v>
      </c>
      <c r="T31" s="524"/>
      <c r="U31" s="524">
        <f>+SUMIF(WRM!$C$7:$C$127,$D31,WRM!$T$7:T$127)</f>
        <v>578.1</v>
      </c>
      <c r="V31" s="598"/>
      <c r="W31" s="598">
        <f t="shared" si="3"/>
        <v>5768.7000000000007</v>
      </c>
      <c r="X31" s="598"/>
      <c r="Y31" s="524">
        <f>+SUMIF(WRM!$C$7:$C$127,$D31,WRM!$X$7:X$127)</f>
        <v>0</v>
      </c>
      <c r="Z31" s="598"/>
      <c r="AA31" s="2168">
        <f t="shared" si="4"/>
        <v>1398.1</v>
      </c>
      <c r="AB31" s="2228"/>
      <c r="AC31" s="1091">
        <f t="shared" si="5"/>
        <v>5768.7000000000007</v>
      </c>
      <c r="AD31" s="598"/>
      <c r="AE31" s="524">
        <f>+SUMIF(WRM!$C$7:$C$127,$D31,WRM!$AD$7:$AD$127)</f>
        <v>1053.6999999999998</v>
      </c>
      <c r="AF31" s="598"/>
      <c r="AG31" s="598">
        <f t="shared" si="6"/>
        <v>6822.4000000000005</v>
      </c>
      <c r="AH31" s="598"/>
      <c r="AI31" s="524">
        <f>+SUMIF(WRM!$C$7:$C$127,$D31,WRM!$AH$7:$AH$127)</f>
        <v>172.2</v>
      </c>
      <c r="AJ31" s="593"/>
      <c r="AK31" s="593">
        <f t="shared" si="7"/>
        <v>6994.6</v>
      </c>
      <c r="AL31" s="598"/>
      <c r="AM31" s="524">
        <f>+SUMIF(WRM!$C$7:$C$127,$D31,WRM!$AL$7:$AL$127)</f>
        <v>2509.2000000000007</v>
      </c>
      <c r="AN31" s="598"/>
      <c r="AO31" s="2168">
        <f t="shared" si="8"/>
        <v>3735.1000000000004</v>
      </c>
      <c r="AP31" s="593"/>
      <c r="AQ31" s="593">
        <f t="shared" si="9"/>
        <v>9503.8000000000011</v>
      </c>
      <c r="AR31" s="598"/>
      <c r="AS31" s="524">
        <f>+SUMIF(WRM!$C$7:$C$127,$D31,WRM!$AR$7:$AR$127)</f>
        <v>774.9</v>
      </c>
      <c r="AT31" s="593"/>
      <c r="AU31" s="593">
        <f t="shared" si="10"/>
        <v>10278.700000000001</v>
      </c>
      <c r="AV31" s="598"/>
      <c r="AW31" s="524">
        <f>+SUMIF(WRM!$C$7:$C$127,$D31,WRM!$AV$7:$AV$127)</f>
        <v>0</v>
      </c>
      <c r="AX31" s="593"/>
      <c r="AY31" s="593">
        <f t="shared" si="11"/>
        <v>10278.700000000001</v>
      </c>
      <c r="AZ31" s="598"/>
      <c r="BA31" s="524">
        <f>+SUMIF(WRM!$C$7:$C$127,$D31,WRM!$AZ$7:$AZ$127)</f>
        <v>3372.25</v>
      </c>
      <c r="BB31" s="598"/>
      <c r="BC31" s="2168">
        <f t="shared" si="12"/>
        <v>4147.1499999999996</v>
      </c>
      <c r="BD31" s="2228"/>
      <c r="BE31" s="1091">
        <f t="shared" si="13"/>
        <v>7882.25</v>
      </c>
      <c r="BF31" s="593"/>
      <c r="BG31" s="593">
        <f t="shared" si="14"/>
        <v>13650.95</v>
      </c>
      <c r="BH31" s="25"/>
      <c r="BI31" s="25"/>
      <c r="BJ31" s="25"/>
    </row>
    <row r="32" spans="3:62" x14ac:dyDescent="0.3">
      <c r="C32" s="523" t="s">
        <v>16</v>
      </c>
      <c r="D32" s="1525" t="s">
        <v>995</v>
      </c>
      <c r="E32" s="5052"/>
      <c r="F32" s="523"/>
      <c r="G32" s="524">
        <f>+SUMIF(WRM!$C$7:$C$127,$D32,WRM!$F$7:$F$127)</f>
        <v>0</v>
      </c>
      <c r="H32" s="524"/>
      <c r="I32" s="524">
        <f>+SUMIF(WRM!$C$7:$C$127,$D32,WRM!$H$7:$H$127)</f>
        <v>2457.9500000000003</v>
      </c>
      <c r="J32" s="593"/>
      <c r="K32" s="593">
        <f t="shared" si="0"/>
        <v>2457.9500000000003</v>
      </c>
      <c r="L32" s="524"/>
      <c r="M32" s="524">
        <f>+SUMIF(WRM!$C$7:$C$127,$D32,WRM!$L$7:$L$127)</f>
        <v>1814.25</v>
      </c>
      <c r="N32" s="598"/>
      <c r="O32" s="598">
        <f t="shared" si="1"/>
        <v>4272.2000000000007</v>
      </c>
      <c r="P32" s="524"/>
      <c r="Q32" s="524">
        <f>+SUMIF(WRM!$C$7:$C$127,$D32,WRM!P$7:$P$127)</f>
        <v>1137.75</v>
      </c>
      <c r="R32" s="598"/>
      <c r="S32" s="598">
        <f t="shared" si="30"/>
        <v>5409.9500000000007</v>
      </c>
      <c r="T32" s="524"/>
      <c r="U32" s="524">
        <f>+SUMIF(WRM!$C$7:$C$127,$D32,WRM!$T$7:T$127)</f>
        <v>2359.5500000000002</v>
      </c>
      <c r="V32" s="598"/>
      <c r="W32" s="598">
        <f t="shared" si="3"/>
        <v>7769.5000000000009</v>
      </c>
      <c r="X32" s="598"/>
      <c r="Y32" s="524">
        <f>+SUMIF(WRM!$C$7:$C$127,$D32,WRM!$X$7:X$127)</f>
        <v>2312.3999999999996</v>
      </c>
      <c r="Z32" s="598"/>
      <c r="AA32" s="2168">
        <f t="shared" si="4"/>
        <v>5809.7</v>
      </c>
      <c r="AB32" s="2228"/>
      <c r="AC32" s="1091">
        <f t="shared" si="5"/>
        <v>10081.900000000001</v>
      </c>
      <c r="AD32" s="598"/>
      <c r="AE32" s="524">
        <f>+SUMIF(WRM!$C$7:$C$127,$D32,WRM!$AD$7:$AD$127)</f>
        <v>1941.3499999999997</v>
      </c>
      <c r="AF32" s="598"/>
      <c r="AG32" s="598">
        <f t="shared" si="6"/>
        <v>12023.250000000002</v>
      </c>
      <c r="AH32" s="598"/>
      <c r="AI32" s="524">
        <f>+SUMIF(WRM!$C$7:$C$127,$D32,WRM!$AH$7:$AH$127)</f>
        <v>672.39999999999986</v>
      </c>
      <c r="AJ32" s="593"/>
      <c r="AK32" s="593">
        <f t="shared" si="7"/>
        <v>12695.650000000001</v>
      </c>
      <c r="AL32" s="598"/>
      <c r="AM32" s="524">
        <f>+SUMIF(WRM!$C$7:$C$127,$D32,WRM!$AL$7:$AL$127)</f>
        <v>4637.1000000000004</v>
      </c>
      <c r="AN32" s="598"/>
      <c r="AO32" s="2168">
        <f t="shared" si="8"/>
        <v>7250.85</v>
      </c>
      <c r="AP32" s="593"/>
      <c r="AQ32" s="593">
        <f t="shared" si="9"/>
        <v>17332.75</v>
      </c>
      <c r="AR32" s="598"/>
      <c r="AS32" s="524">
        <f>+SUMIF(WRM!$C$7:$C$127,$D32,WRM!$AR$7:$AR$127)</f>
        <v>3862.2</v>
      </c>
      <c r="AT32" s="593"/>
      <c r="AU32" s="593">
        <f t="shared" si="10"/>
        <v>21194.95</v>
      </c>
      <c r="AV32" s="598"/>
      <c r="AW32" s="524">
        <f>+SUMIF(WRM!$C$7:$C$127,$D32,WRM!$AV$7:$AV$127)</f>
        <v>0</v>
      </c>
      <c r="AX32" s="593"/>
      <c r="AY32" s="593">
        <f t="shared" si="11"/>
        <v>21194.95</v>
      </c>
      <c r="AZ32" s="598"/>
      <c r="BA32" s="524">
        <f>+SUMIF(WRM!$C$7:$C$127,$D32,WRM!$AZ$7:$AZ$127)</f>
        <v>9263.9499999999989</v>
      </c>
      <c r="BB32" s="598"/>
      <c r="BC32" s="2168">
        <f t="shared" si="12"/>
        <v>13126.149999999998</v>
      </c>
      <c r="BD32" s="2228"/>
      <c r="BE32" s="1091">
        <f t="shared" si="13"/>
        <v>20377</v>
      </c>
      <c r="BF32" s="593"/>
      <c r="BG32" s="593">
        <f t="shared" si="14"/>
        <v>30458.9</v>
      </c>
      <c r="BH32" s="25"/>
      <c r="BI32" s="25"/>
      <c r="BJ32" s="25"/>
    </row>
    <row r="33" spans="3:62" x14ac:dyDescent="0.3">
      <c r="C33" s="523" t="s">
        <v>16</v>
      </c>
      <c r="D33" s="1525" t="s">
        <v>1528</v>
      </c>
      <c r="E33" s="5052"/>
      <c r="F33" s="523"/>
      <c r="G33" s="524">
        <f>+SUMIF(WRM!$C$7:$C$127,$D33,WRM!$F$7:$F$127)</f>
        <v>0</v>
      </c>
      <c r="H33" s="524"/>
      <c r="I33" s="524">
        <f>+SUMIF(WRM!$C$7:$C$127,$D33,WRM!$H$7:$H$127)</f>
        <v>0</v>
      </c>
      <c r="J33" s="593"/>
      <c r="K33" s="593">
        <f t="shared" si="0"/>
        <v>0</v>
      </c>
      <c r="L33" s="524"/>
      <c r="M33" s="524">
        <f>+SUMIF(WRM!$C$7:$C$127,$D33,WRM!$L$7:$L$127)</f>
        <v>0</v>
      </c>
      <c r="N33" s="598"/>
      <c r="O33" s="598">
        <f t="shared" si="1"/>
        <v>0</v>
      </c>
      <c r="P33" s="524"/>
      <c r="Q33" s="524">
        <f>+SUMIF(WRM!$C$7:$C$127,$D33,WRM!P$7:$P$127)</f>
        <v>0</v>
      </c>
      <c r="R33" s="598"/>
      <c r="S33" s="598">
        <f t="shared" si="30"/>
        <v>0</v>
      </c>
      <c r="T33" s="524"/>
      <c r="U33" s="524">
        <f>+SUMIF(WRM!$C$7:$C$127,$D33,WRM!$T$7:T$127)</f>
        <v>0</v>
      </c>
      <c r="V33" s="598"/>
      <c r="W33" s="598">
        <f t="shared" si="3"/>
        <v>0</v>
      </c>
      <c r="X33" s="598"/>
      <c r="Y33" s="524">
        <f>+SUMIF(WRM!$C$7:$C$127,$D33,WRM!$X$7:X$127)</f>
        <v>0</v>
      </c>
      <c r="Z33" s="598"/>
      <c r="AA33" s="2168">
        <f t="shared" si="4"/>
        <v>0</v>
      </c>
      <c r="AB33" s="2228"/>
      <c r="AC33" s="1091">
        <f t="shared" si="5"/>
        <v>0</v>
      </c>
      <c r="AD33" s="598"/>
      <c r="AE33" s="524">
        <f>+SUMIF(WRM!$C$7:$C$127,$D33,WRM!$AD$7:$AD$127)</f>
        <v>0</v>
      </c>
      <c r="AF33" s="598"/>
      <c r="AG33" s="598">
        <f t="shared" si="6"/>
        <v>0</v>
      </c>
      <c r="AH33" s="598"/>
      <c r="AI33" s="524">
        <f>+SUMIF(WRM!$C$7:$C$127,$D33,WRM!$AH$7:$AH$127)</f>
        <v>0</v>
      </c>
      <c r="AJ33" s="593"/>
      <c r="AK33" s="593">
        <f t="shared" si="7"/>
        <v>0</v>
      </c>
      <c r="AL33" s="598"/>
      <c r="AM33" s="524">
        <f>+SUMIF(WRM!$C$7:$C$127,$D33,WRM!$AL$7:$AL$127)</f>
        <v>0</v>
      </c>
      <c r="AN33" s="598"/>
      <c r="AO33" s="2168">
        <f t="shared" si="8"/>
        <v>0</v>
      </c>
      <c r="AP33" s="593"/>
      <c r="AQ33" s="593">
        <f t="shared" si="9"/>
        <v>0</v>
      </c>
      <c r="AR33" s="598"/>
      <c r="AS33" s="524">
        <f>+SUMIF(WRM!$C$7:$C$127,$D33,WRM!$AR$7:$AR$127)</f>
        <v>0</v>
      </c>
      <c r="AT33" s="593"/>
      <c r="AU33" s="593">
        <f t="shared" si="10"/>
        <v>0</v>
      </c>
      <c r="AV33" s="603"/>
      <c r="AW33" s="524">
        <f>+SUMIF(WRM!$C$7:$C$127,$D33,WRM!$AV$7:$AV$127)</f>
        <v>0</v>
      </c>
      <c r="AX33" s="593"/>
      <c r="AY33" s="593">
        <f t="shared" si="11"/>
        <v>0</v>
      </c>
      <c r="AZ33" s="603"/>
      <c r="BA33" s="524">
        <f>+SUMIF(WRM!$C$7:$C$127,$D33,WRM!$AZ$7:$AZ$127)</f>
        <v>0</v>
      </c>
      <c r="BB33" s="603"/>
      <c r="BC33" s="2168">
        <f t="shared" si="12"/>
        <v>0</v>
      </c>
      <c r="BD33" s="2228"/>
      <c r="BE33" s="1091">
        <f t="shared" si="13"/>
        <v>0</v>
      </c>
      <c r="BF33" s="603"/>
      <c r="BG33" s="593">
        <f t="shared" si="14"/>
        <v>0</v>
      </c>
      <c r="BH33" s="25"/>
      <c r="BI33" s="25"/>
      <c r="BJ33" s="25"/>
    </row>
    <row r="34" spans="3:62" x14ac:dyDescent="0.3">
      <c r="C34" s="523" t="s">
        <v>16</v>
      </c>
      <c r="D34" s="1525" t="s">
        <v>1345</v>
      </c>
      <c r="E34" s="5052"/>
      <c r="F34" s="523"/>
      <c r="G34" s="524">
        <f>+SUMIF(WRM!$C$7:$C$127,$D34,WRM!$F$7:$F$127)</f>
        <v>0</v>
      </c>
      <c r="H34" s="524"/>
      <c r="I34" s="524">
        <f>+SUMIF(WRM!$C$7:$C$127,$D34,WRM!$H$7:$H$127)</f>
        <v>0</v>
      </c>
      <c r="J34" s="593"/>
      <c r="K34" s="593">
        <f t="shared" si="0"/>
        <v>0</v>
      </c>
      <c r="L34" s="524"/>
      <c r="M34" s="524">
        <f>+SUMIF(WRM!$C$7:$C$127,$D34,WRM!$L$7:$L$127)</f>
        <v>0</v>
      </c>
      <c r="N34" s="598"/>
      <c r="O34" s="598">
        <f t="shared" si="1"/>
        <v>0</v>
      </c>
      <c r="P34" s="524"/>
      <c r="Q34" s="524">
        <f>+SUMIF(WRM!$C$7:$C$127,$D34,WRM!P$7:$P$127)</f>
        <v>0</v>
      </c>
      <c r="R34" s="598"/>
      <c r="S34" s="598">
        <f t="shared" si="30"/>
        <v>0</v>
      </c>
      <c r="T34" s="524"/>
      <c r="U34" s="524">
        <f>+SUMIF(WRM!$C$7:$C$127,$D34,WRM!$T$7:T$127)</f>
        <v>0</v>
      </c>
      <c r="V34" s="598"/>
      <c r="W34" s="598">
        <f t="shared" si="3"/>
        <v>0</v>
      </c>
      <c r="X34" s="598"/>
      <c r="Y34" s="524">
        <f>+SUMIF(WRM!$C$7:$C$127,$D34,WRM!$X$7:X$127)</f>
        <v>0</v>
      </c>
      <c r="Z34" s="598"/>
      <c r="AA34" s="2168">
        <f t="shared" si="4"/>
        <v>0</v>
      </c>
      <c r="AB34" s="2228"/>
      <c r="AC34" s="1091">
        <f t="shared" si="5"/>
        <v>0</v>
      </c>
      <c r="AD34" s="598"/>
      <c r="AE34" s="524">
        <f>+SUMIF(WRM!$C$7:$C$127,$D34,WRM!$AD$7:$AD$127)</f>
        <v>0</v>
      </c>
      <c r="AF34" s="598"/>
      <c r="AG34" s="598">
        <f t="shared" si="6"/>
        <v>0</v>
      </c>
      <c r="AH34" s="598"/>
      <c r="AI34" s="524">
        <f>+SUMIF(WRM!$C$7:$C$127,$D34,WRM!$AH$7:$AH$127)</f>
        <v>0</v>
      </c>
      <c r="AJ34" s="593"/>
      <c r="AK34" s="593">
        <f t="shared" si="7"/>
        <v>0</v>
      </c>
      <c r="AL34" s="598"/>
      <c r="AM34" s="524">
        <f>+SUMIF(WRM!$C$7:$C$127,$D34,WRM!$AL$7:$AL$127)</f>
        <v>0</v>
      </c>
      <c r="AN34" s="598"/>
      <c r="AO34" s="2168">
        <f t="shared" si="8"/>
        <v>0</v>
      </c>
      <c r="AP34" s="593"/>
      <c r="AQ34" s="593">
        <f t="shared" si="9"/>
        <v>0</v>
      </c>
      <c r="AR34" s="598"/>
      <c r="AS34" s="524">
        <f>+SUMIF(WRM!$C$7:$C$127,$D34,WRM!$AR$7:$AR$127)</f>
        <v>0</v>
      </c>
      <c r="AT34" s="593"/>
      <c r="AU34" s="593">
        <f t="shared" si="10"/>
        <v>0</v>
      </c>
      <c r="AV34" s="598"/>
      <c r="AW34" s="524">
        <f>+SUMIF(WRM!$C$7:$C$127,$D34,WRM!$AV$7:$AV$127)</f>
        <v>0</v>
      </c>
      <c r="AX34" s="593"/>
      <c r="AY34" s="593">
        <f t="shared" si="11"/>
        <v>0</v>
      </c>
      <c r="AZ34" s="598"/>
      <c r="BA34" s="524">
        <f>+SUMIF(WRM!$C$7:$C$127,$D34,WRM!$AZ$7:$AZ$127)</f>
        <v>0</v>
      </c>
      <c r="BB34" s="598"/>
      <c r="BC34" s="2168">
        <f t="shared" si="12"/>
        <v>0</v>
      </c>
      <c r="BD34" s="2228"/>
      <c r="BE34" s="1091">
        <f t="shared" si="13"/>
        <v>0</v>
      </c>
      <c r="BF34" s="598"/>
      <c r="BG34" s="593">
        <f t="shared" si="14"/>
        <v>0</v>
      </c>
      <c r="BH34" s="25"/>
      <c r="BI34" s="25"/>
      <c r="BJ34" s="25"/>
    </row>
    <row r="35" spans="3:62" x14ac:dyDescent="0.3">
      <c r="C35" s="523" t="s">
        <v>16</v>
      </c>
      <c r="D35" s="1525" t="s">
        <v>1395</v>
      </c>
      <c r="E35" s="5052"/>
      <c r="F35" s="523"/>
      <c r="G35" s="524">
        <f>+SUMIF(WRM!$C$7:$C$127,$D35,WRM!$F$7:$F$127)</f>
        <v>0</v>
      </c>
      <c r="H35" s="524"/>
      <c r="I35" s="524">
        <f>+SUMIF(WRM!$C$7:$C$127,$D35,WRM!$H$7:$H$127)</f>
        <v>0</v>
      </c>
      <c r="J35" s="593"/>
      <c r="K35" s="593">
        <f t="shared" si="0"/>
        <v>0</v>
      </c>
      <c r="L35" s="524"/>
      <c r="M35" s="524">
        <f>+SUMIF(WRM!$C$7:$C$127,$D35,WRM!$L$7:$L$127)</f>
        <v>0</v>
      </c>
      <c r="N35" s="598"/>
      <c r="O35" s="598">
        <f t="shared" si="1"/>
        <v>0</v>
      </c>
      <c r="P35" s="524"/>
      <c r="Q35" s="524">
        <f>+SUMIF(WRM!$C$7:$C$127,$D35,WRM!P$7:$P$127)</f>
        <v>0</v>
      </c>
      <c r="R35" s="598"/>
      <c r="S35" s="598">
        <f t="shared" si="30"/>
        <v>0</v>
      </c>
      <c r="T35" s="524"/>
      <c r="U35" s="524">
        <f>+SUMIF(WRM!$C$7:$C$127,$D35,WRM!$T$7:T$127)</f>
        <v>0</v>
      </c>
      <c r="V35" s="598"/>
      <c r="W35" s="598">
        <f t="shared" si="3"/>
        <v>0</v>
      </c>
      <c r="X35" s="598"/>
      <c r="Y35" s="524">
        <f>+SUMIF(WRM!$C$7:$C$127,$D35,WRM!$X$7:X$127)</f>
        <v>0</v>
      </c>
      <c r="Z35" s="598"/>
      <c r="AA35" s="2168">
        <f t="shared" si="4"/>
        <v>0</v>
      </c>
      <c r="AB35" s="2228"/>
      <c r="AC35" s="1091">
        <f t="shared" si="5"/>
        <v>0</v>
      </c>
      <c r="AD35" s="598"/>
      <c r="AE35" s="524">
        <f>+SUMIF(WRM!$C$7:$C$127,$D35,WRM!$AD$7:$AD$127)</f>
        <v>0</v>
      </c>
      <c r="AF35" s="598"/>
      <c r="AG35" s="598">
        <f t="shared" si="6"/>
        <v>0</v>
      </c>
      <c r="AH35" s="598"/>
      <c r="AI35" s="524">
        <f>+SUMIF(WRM!$C$7:$C$127,$D35,WRM!$AH$7:$AH$127)</f>
        <v>0</v>
      </c>
      <c r="AJ35" s="593"/>
      <c r="AK35" s="593">
        <f t="shared" si="7"/>
        <v>0</v>
      </c>
      <c r="AL35" s="598"/>
      <c r="AM35" s="524">
        <f>+SUMIF(WRM!$C$7:$C$127,$D35,WRM!$AL$7:$AL$127)</f>
        <v>0</v>
      </c>
      <c r="AN35" s="598"/>
      <c r="AO35" s="2168">
        <f t="shared" si="8"/>
        <v>0</v>
      </c>
      <c r="AP35" s="593"/>
      <c r="AQ35" s="593">
        <f t="shared" si="9"/>
        <v>0</v>
      </c>
      <c r="AR35" s="598"/>
      <c r="AS35" s="524">
        <f>+SUMIF(WRM!$C$7:$C$127,$D35,WRM!$AR$7:$AR$127)</f>
        <v>0</v>
      </c>
      <c r="AT35" s="593"/>
      <c r="AU35" s="593">
        <f t="shared" si="10"/>
        <v>0</v>
      </c>
      <c r="AV35" s="598"/>
      <c r="AW35" s="524">
        <f>+SUMIF(WRM!$C$7:$C$127,$D35,WRM!$AV$7:$AV$127)</f>
        <v>0</v>
      </c>
      <c r="AX35" s="593"/>
      <c r="AY35" s="593">
        <f t="shared" si="11"/>
        <v>0</v>
      </c>
      <c r="AZ35" s="598"/>
      <c r="BA35" s="524">
        <f>+SUMIF(WRM!$C$7:$C$127,$D35,WRM!$AZ$7:$AZ$127)</f>
        <v>0</v>
      </c>
      <c r="BB35" s="598"/>
      <c r="BC35" s="2168">
        <f t="shared" si="12"/>
        <v>0</v>
      </c>
      <c r="BD35" s="2228"/>
      <c r="BE35" s="1091">
        <f t="shared" si="13"/>
        <v>0</v>
      </c>
      <c r="BF35" s="598"/>
      <c r="BG35" s="593">
        <f t="shared" si="14"/>
        <v>0</v>
      </c>
      <c r="BH35" s="25"/>
      <c r="BI35" s="25"/>
      <c r="BJ35" s="25"/>
    </row>
    <row r="36" spans="3:62" x14ac:dyDescent="0.3">
      <c r="C36" s="523" t="s">
        <v>16</v>
      </c>
      <c r="D36" s="1525" t="s">
        <v>1451</v>
      </c>
      <c r="E36" s="5052"/>
      <c r="F36" s="523"/>
      <c r="G36" s="524">
        <f>+SUMIF(WRM!$C$7:$C$127,$D36,WRM!$F$7:$F$127)</f>
        <v>0</v>
      </c>
      <c r="H36" s="524"/>
      <c r="I36" s="524">
        <f>+SUMIF(WRM!$C$7:$C$127,$D36,WRM!$H$7:$H$127)</f>
        <v>0</v>
      </c>
      <c r="J36" s="593"/>
      <c r="K36" s="593">
        <f t="shared" si="0"/>
        <v>0</v>
      </c>
      <c r="L36" s="524"/>
      <c r="M36" s="524">
        <f>+SUMIF(WRM!$C$7:$C$127,$D36,WRM!$L$7:$L$127)</f>
        <v>0</v>
      </c>
      <c r="N36" s="598"/>
      <c r="O36" s="598">
        <f t="shared" si="1"/>
        <v>0</v>
      </c>
      <c r="P36" s="524"/>
      <c r="Q36" s="524">
        <f>+SUMIF(WRM!$C$7:$C$127,$D36,WRM!P$7:$P$127)</f>
        <v>0</v>
      </c>
      <c r="R36" s="598"/>
      <c r="S36" s="598">
        <f t="shared" si="30"/>
        <v>0</v>
      </c>
      <c r="T36" s="524"/>
      <c r="U36" s="524">
        <f>+SUMIF(WRM!$C$7:$C$127,$D36,WRM!$T$7:T$127)</f>
        <v>0</v>
      </c>
      <c r="V36" s="598"/>
      <c r="W36" s="598">
        <f t="shared" si="3"/>
        <v>0</v>
      </c>
      <c r="X36" s="598"/>
      <c r="Y36" s="524">
        <f>+SUMIF(WRM!$C$7:$C$127,$D36,WRM!$X$7:X$127)</f>
        <v>0</v>
      </c>
      <c r="Z36" s="598"/>
      <c r="AA36" s="2168">
        <f t="shared" si="4"/>
        <v>0</v>
      </c>
      <c r="AB36" s="2228"/>
      <c r="AC36" s="1091">
        <f t="shared" si="5"/>
        <v>0</v>
      </c>
      <c r="AD36" s="598"/>
      <c r="AE36" s="524">
        <f>+SUMIF(WRM!$C$7:$C$127,$D36,WRM!$AD$7:$AD$127)</f>
        <v>0</v>
      </c>
      <c r="AF36" s="598"/>
      <c r="AG36" s="598">
        <f t="shared" si="6"/>
        <v>0</v>
      </c>
      <c r="AH36" s="598"/>
      <c r="AI36" s="524">
        <f>+SUMIF(WRM!$C$7:$C$127,$D36,WRM!$AH$7:$AH$127)</f>
        <v>0</v>
      </c>
      <c r="AJ36" s="593"/>
      <c r="AK36" s="593">
        <f t="shared" si="7"/>
        <v>0</v>
      </c>
      <c r="AL36" s="598"/>
      <c r="AM36" s="524">
        <f>+SUMIF(WRM!$C$7:$C$127,$D36,WRM!$AL$7:$AL$127)</f>
        <v>0</v>
      </c>
      <c r="AN36" s="598"/>
      <c r="AO36" s="2168">
        <f t="shared" si="8"/>
        <v>0</v>
      </c>
      <c r="AP36" s="593"/>
      <c r="AQ36" s="593">
        <f t="shared" si="9"/>
        <v>0</v>
      </c>
      <c r="AR36" s="598"/>
      <c r="AS36" s="524">
        <f>+SUMIF(WRM!$C$7:$C$127,$D36,WRM!$AR$7:$AR$127)</f>
        <v>0</v>
      </c>
      <c r="AT36" s="593"/>
      <c r="AU36" s="593">
        <f t="shared" si="10"/>
        <v>0</v>
      </c>
      <c r="AV36" s="598"/>
      <c r="AW36" s="524">
        <f>+SUMIF(WRM!$C$7:$C$127,$D36,WRM!$AV$7:$AV$127)</f>
        <v>0</v>
      </c>
      <c r="AX36" s="593"/>
      <c r="AY36" s="593">
        <f t="shared" si="11"/>
        <v>0</v>
      </c>
      <c r="AZ36" s="598"/>
      <c r="BA36" s="524">
        <f>+SUMIF(WRM!$C$7:$C$127,$D36,WRM!$AZ$7:$AZ$127)</f>
        <v>0</v>
      </c>
      <c r="BB36" s="598"/>
      <c r="BC36" s="2168">
        <f t="shared" si="12"/>
        <v>0</v>
      </c>
      <c r="BD36" s="2228"/>
      <c r="BE36" s="1091">
        <f t="shared" si="13"/>
        <v>0</v>
      </c>
      <c r="BF36" s="598"/>
      <c r="BG36" s="593">
        <f t="shared" si="14"/>
        <v>0</v>
      </c>
      <c r="BH36" s="25"/>
      <c r="BI36" s="25"/>
      <c r="BJ36" s="25"/>
    </row>
    <row r="37" spans="3:62" x14ac:dyDescent="0.3">
      <c r="C37" s="523" t="s">
        <v>16</v>
      </c>
      <c r="D37" s="1525" t="s">
        <v>1397</v>
      </c>
      <c r="E37" s="5052"/>
      <c r="F37" s="523"/>
      <c r="G37" s="524">
        <f>+SUMIF(WRM!$C$7:$C$127,$D37,WRM!$F$7:$F$127)</f>
        <v>0</v>
      </c>
      <c r="H37" s="524"/>
      <c r="I37" s="524">
        <f>+SUMIF(WRM!$C$7:$C$127,$D37,WRM!$H$7:$H$127)</f>
        <v>200.89999999999998</v>
      </c>
      <c r="J37" s="593"/>
      <c r="K37" s="593">
        <f t="shared" si="0"/>
        <v>200.89999999999998</v>
      </c>
      <c r="L37" s="524"/>
      <c r="M37" s="524">
        <f>+SUMIF(WRM!$C$7:$C$127,$D37,WRM!$L$7:$L$127)</f>
        <v>0</v>
      </c>
      <c r="N37" s="598"/>
      <c r="O37" s="598">
        <f t="shared" si="1"/>
        <v>200.89999999999998</v>
      </c>
      <c r="P37" s="524"/>
      <c r="Q37" s="524">
        <f>+SUMIF(WRM!$C$7:$C$127,$D37,WRM!P$7:$P$127)</f>
        <v>0</v>
      </c>
      <c r="R37" s="598"/>
      <c r="S37" s="598">
        <f t="shared" si="30"/>
        <v>200.89999999999998</v>
      </c>
      <c r="T37" s="524"/>
      <c r="U37" s="524">
        <f>+SUMIF(WRM!$C$7:$C$127,$D37,WRM!$T$7:T$127)</f>
        <v>0</v>
      </c>
      <c r="V37" s="598"/>
      <c r="W37" s="598">
        <f t="shared" si="3"/>
        <v>200.89999999999998</v>
      </c>
      <c r="X37" s="598"/>
      <c r="Y37" s="524">
        <f>+SUMIF(WRM!$C$7:$C$127,$D37,WRM!$X$7:X$127)</f>
        <v>0</v>
      </c>
      <c r="Z37" s="598"/>
      <c r="AA37" s="2168">
        <f t="shared" si="4"/>
        <v>0</v>
      </c>
      <c r="AB37" s="2228"/>
      <c r="AC37" s="1091">
        <f t="shared" si="5"/>
        <v>200.89999999999998</v>
      </c>
      <c r="AD37" s="598"/>
      <c r="AE37" s="524">
        <f>+SUMIF(WRM!$C$7:$C$127,$D37,WRM!$AD$7:$AD$127)</f>
        <v>0</v>
      </c>
      <c r="AF37" s="598"/>
      <c r="AG37" s="598">
        <f t="shared" si="6"/>
        <v>200.89999999999998</v>
      </c>
      <c r="AH37" s="598"/>
      <c r="AI37" s="524">
        <f>+SUMIF(WRM!$C$7:$C$127,$D37,WRM!$AH$7:$AH$127)</f>
        <v>0</v>
      </c>
      <c r="AJ37" s="593"/>
      <c r="AK37" s="593">
        <f t="shared" si="7"/>
        <v>200.89999999999998</v>
      </c>
      <c r="AL37" s="598"/>
      <c r="AM37" s="524">
        <f>+SUMIF(WRM!$C$7:$C$127,$D37,WRM!$AL$7:$AL$127)</f>
        <v>20.5</v>
      </c>
      <c r="AN37" s="598"/>
      <c r="AO37" s="2168">
        <f t="shared" si="8"/>
        <v>20.5</v>
      </c>
      <c r="AP37" s="593"/>
      <c r="AQ37" s="593">
        <f t="shared" si="9"/>
        <v>221.39999999999998</v>
      </c>
      <c r="AR37" s="598"/>
      <c r="AS37" s="524">
        <f>+SUMIF(WRM!$C$7:$C$127,$D37,WRM!$AR$7:$AR$127)</f>
        <v>182.45</v>
      </c>
      <c r="AT37" s="593"/>
      <c r="AU37" s="593">
        <f t="shared" si="10"/>
        <v>403.84999999999997</v>
      </c>
      <c r="AV37" s="598"/>
      <c r="AW37" s="524">
        <f>+SUMIF(WRM!$C$7:$C$127,$D37,WRM!$AV$7:$AV$127)</f>
        <v>20.5</v>
      </c>
      <c r="AX37" s="593"/>
      <c r="AY37" s="593">
        <f t="shared" si="11"/>
        <v>424.34999999999997</v>
      </c>
      <c r="AZ37" s="598"/>
      <c r="BA37" s="524">
        <f>+SUMIF(WRM!$C$7:$C$127,$D37,WRM!$AZ$7:$AZ$127)</f>
        <v>137.35000000000002</v>
      </c>
      <c r="BB37" s="598"/>
      <c r="BC37" s="2168">
        <f t="shared" si="12"/>
        <v>340.3</v>
      </c>
      <c r="BD37" s="2228"/>
      <c r="BE37" s="1091">
        <f t="shared" si="13"/>
        <v>360.8</v>
      </c>
      <c r="BF37" s="598"/>
      <c r="BG37" s="593">
        <f t="shared" si="14"/>
        <v>561.70000000000005</v>
      </c>
      <c r="BH37" s="25"/>
      <c r="BI37" s="25"/>
      <c r="BJ37" s="25"/>
    </row>
    <row r="38" spans="3:62" x14ac:dyDescent="0.3">
      <c r="C38" s="8368" t="s">
        <v>925</v>
      </c>
      <c r="D38" s="8368"/>
      <c r="E38" s="5052"/>
      <c r="F38" s="602"/>
      <c r="G38" s="603">
        <f>SUM(G4:G37)</f>
        <v>41289.049999999996</v>
      </c>
      <c r="H38" s="603"/>
      <c r="I38" s="603">
        <f>SUM(I4:I37)</f>
        <v>36334.199999999997</v>
      </c>
      <c r="J38" s="603"/>
      <c r="K38" s="604">
        <f>SUM(K4:K37)</f>
        <v>77623.249999999985</v>
      </c>
      <c r="L38" s="603"/>
      <c r="M38" s="603">
        <f>SUM(M4:M37)</f>
        <v>37452.9</v>
      </c>
      <c r="N38" s="603"/>
      <c r="O38" s="603">
        <f>SUM(O4:O37)</f>
        <v>115076.14999999998</v>
      </c>
      <c r="P38" s="603"/>
      <c r="Q38" s="603">
        <f>SUM(Q4:Q37)</f>
        <v>44200.05</v>
      </c>
      <c r="R38" s="603"/>
      <c r="S38" s="603">
        <f>SUM(S4:S37)</f>
        <v>159276.19999999998</v>
      </c>
      <c r="T38" s="603"/>
      <c r="U38" s="603">
        <f>SUM(U4:U37)</f>
        <v>33658.950000000004</v>
      </c>
      <c r="V38" s="603"/>
      <c r="W38" s="603">
        <f>SUM(W4:W37)</f>
        <v>192935.15</v>
      </c>
      <c r="X38" s="603"/>
      <c r="Y38" s="603">
        <f>SUM(Y4:Y37)</f>
        <v>37412.5</v>
      </c>
      <c r="Z38" s="603"/>
      <c r="AA38" s="2169">
        <f>SUM(AA4:AA37)</f>
        <v>115271.50000000001</v>
      </c>
      <c r="AB38" s="2228"/>
      <c r="AC38" s="2169">
        <f t="shared" ref="AC38:AC77" si="52">O38+AA38</f>
        <v>230347.65</v>
      </c>
      <c r="AD38" s="603"/>
      <c r="AE38" s="603">
        <f>SUM(AE4:AE37)</f>
        <v>28117.8</v>
      </c>
      <c r="AF38" s="603"/>
      <c r="AG38" s="603">
        <f>SUM(AG4:AG37)</f>
        <v>258465.44999999998</v>
      </c>
      <c r="AH38" s="603"/>
      <c r="AI38" s="603">
        <f>SUM(AI4:AI37)</f>
        <v>33991.050000000003</v>
      </c>
      <c r="AJ38" s="603"/>
      <c r="AK38" s="603">
        <f>SUM(AK4:AK37)</f>
        <v>292456.5</v>
      </c>
      <c r="AL38" s="603"/>
      <c r="AM38" s="603">
        <f>SUM(AM4:AM37)</f>
        <v>39526.050000000003</v>
      </c>
      <c r="AN38" s="603"/>
      <c r="AO38" s="2169">
        <f>SUM(AO4:AO37)</f>
        <v>101634.90000000001</v>
      </c>
      <c r="AP38" s="603"/>
      <c r="AQ38" s="603">
        <f>SUM(AQ4:AQ37)</f>
        <v>331982.54999999993</v>
      </c>
      <c r="AR38" s="603"/>
      <c r="AS38" s="603">
        <f>SUM(AS4:AS37)</f>
        <v>39585.500000000007</v>
      </c>
      <c r="AT38" s="603"/>
      <c r="AU38" s="603">
        <f>SUM(AU4:AU37)</f>
        <v>371568.05</v>
      </c>
      <c r="AV38" s="598"/>
      <c r="AW38" s="603">
        <f>SUM(AW4:AW37)</f>
        <v>36941.000000000022</v>
      </c>
      <c r="AX38" s="603"/>
      <c r="AY38" s="603">
        <f>SUM(AY4:AY37)</f>
        <v>408509.05</v>
      </c>
      <c r="AZ38" s="598"/>
      <c r="BA38" s="603">
        <f>SUM(BA4:BA37)</f>
        <v>46047.099999999991</v>
      </c>
      <c r="BB38" s="598"/>
      <c r="BC38" s="2169">
        <f>SUM(BC4:BC37)</f>
        <v>122573.6</v>
      </c>
      <c r="BD38" s="2228"/>
      <c r="BE38" s="2169">
        <f>AO38+BC38</f>
        <v>224208.5</v>
      </c>
      <c r="BF38" s="598"/>
      <c r="BG38" s="603">
        <f>SUM(BG4:BG37)</f>
        <v>454556.15</v>
      </c>
      <c r="BH38" s="4234"/>
      <c r="BI38" s="25"/>
      <c r="BJ38" s="25"/>
    </row>
    <row r="39" spans="3:62" x14ac:dyDescent="0.3">
      <c r="C39" s="523" t="s">
        <v>91</v>
      </c>
      <c r="D39" s="523" t="s">
        <v>999</v>
      </c>
      <c r="E39" s="5052"/>
      <c r="F39" s="523"/>
      <c r="G39" s="524">
        <f>+SUMIF(BM!$C$7:$C$42,$D39,BM!$F$7:$F$42)</f>
        <v>0</v>
      </c>
      <c r="H39" s="524"/>
      <c r="I39" s="524">
        <f>+SUMIF(BM!$C$7:$C$42,$D39,BM!$H$7:$H$42)</f>
        <v>19895.290000000015</v>
      </c>
      <c r="J39" s="593"/>
      <c r="K39" s="593">
        <f t="shared" ref="K39:K77" si="53">+G39+I39</f>
        <v>19895.290000000015</v>
      </c>
      <c r="L39" s="524"/>
      <c r="M39" s="524">
        <f>+SUMIF(BM!$C$7:$C$42,$D39,BM!$L$7:$L$42)</f>
        <v>13893.16</v>
      </c>
      <c r="N39" s="598"/>
      <c r="O39" s="598">
        <f t="shared" ref="O39:O77" si="54">+G39+I39+M39</f>
        <v>33788.450000000012</v>
      </c>
      <c r="P39" s="524"/>
      <c r="Q39" s="524">
        <f>+SUMIF(BM!$C$7:$C$42,$D39,BM!$P$7:$P$42)</f>
        <v>22964.860000000015</v>
      </c>
      <c r="R39" s="598"/>
      <c r="S39" s="598">
        <f t="shared" si="30"/>
        <v>56753.310000000027</v>
      </c>
      <c r="T39" s="524"/>
      <c r="U39" s="524">
        <f>+SUMIF(BM!$C$7:$C$42,$D39,BM!$T$7:$T$42)</f>
        <v>5623.75</v>
      </c>
      <c r="V39" s="598"/>
      <c r="W39" s="598">
        <f t="shared" ref="W39:W44" si="55">S39+U39</f>
        <v>62377.060000000027</v>
      </c>
      <c r="X39" s="598"/>
      <c r="Y39" s="524">
        <f>+SUMIF(BM!$C$7:$C$42,$D39,BM!$X$7:$X$42)</f>
        <v>7496.6249999999991</v>
      </c>
      <c r="Z39" s="598"/>
      <c r="AA39" s="2168">
        <f>Q39+U39+Y39</f>
        <v>36085.235000000015</v>
      </c>
      <c r="AB39" s="2228"/>
      <c r="AC39" s="1091">
        <f t="shared" si="52"/>
        <v>69873.685000000027</v>
      </c>
      <c r="AD39" s="598"/>
      <c r="AE39" s="524">
        <f>+SUMIF(BM!$C$7:$C$42,$D39,BM!$AD$7:$AD$42)</f>
        <v>1136.0549999999998</v>
      </c>
      <c r="AF39" s="598"/>
      <c r="AG39" s="598">
        <f t="shared" ref="AG39:AG44" si="56">AC39+AE39</f>
        <v>71009.74000000002</v>
      </c>
      <c r="AH39" s="598"/>
      <c r="AI39" s="524">
        <f>+SUMIF(BM!$C$7:$C$42,$D39,BM!$AH$7:$AH$42)</f>
        <v>0</v>
      </c>
      <c r="AJ39" s="598"/>
      <c r="AK39" s="593">
        <f t="shared" ref="AK39:AK44" si="57">AG39+AI39</f>
        <v>71009.74000000002</v>
      </c>
      <c r="AL39" s="598"/>
      <c r="AM39" s="524">
        <f>+SUMIF(BM!$C$7:$C$42,$D39,BM!$AL$7:$AL$42)</f>
        <v>2696.335</v>
      </c>
      <c r="AN39" s="598"/>
      <c r="AO39" s="2168">
        <f>AE39+AI39+AM39</f>
        <v>3832.39</v>
      </c>
      <c r="AP39" s="598"/>
      <c r="AQ39" s="593">
        <f t="shared" ref="AQ39:AQ44" si="58">AK39+AM39</f>
        <v>73706.075000000026</v>
      </c>
      <c r="AR39" s="598"/>
      <c r="AS39" s="524">
        <f>+SUMIF(BM!$C$7:$C$42,$D39,BM!$AR$7:$AR$42)</f>
        <v>6561.7749999999996</v>
      </c>
      <c r="AT39" s="598"/>
      <c r="AU39" s="593">
        <f t="shared" ref="AU39:AU44" si="59">AQ39+AS39</f>
        <v>80267.85000000002</v>
      </c>
      <c r="AV39" s="598"/>
      <c r="AW39" s="524">
        <f>+SUMIF(BM!$C$7:$C$42,$D39,BM!$AV$7:$AV$42)</f>
        <v>8664.6650000000009</v>
      </c>
      <c r="AX39" s="598"/>
      <c r="AY39" s="593">
        <f t="shared" ref="AY39:AY44" si="60">AU39+AW39</f>
        <v>88932.515000000014</v>
      </c>
      <c r="AZ39" s="598"/>
      <c r="BA39" s="524">
        <f>+SUMIF(BM!$C$7:$C$42,$D39,BM!$AZ$7:$AZ$42)</f>
        <v>9169.8310753426213</v>
      </c>
      <c r="BB39" s="598"/>
      <c r="BC39" s="2168">
        <f>AS39+AW39+BA39</f>
        <v>24396.271075342622</v>
      </c>
      <c r="BD39" s="2228"/>
      <c r="BE39" s="1091">
        <f t="shared" si="13"/>
        <v>28228.661075342621</v>
      </c>
      <c r="BF39" s="598"/>
      <c r="BG39" s="593">
        <f t="shared" si="14"/>
        <v>98102.346075342633</v>
      </c>
      <c r="BH39" s="25"/>
      <c r="BI39" s="25"/>
      <c r="BJ39" s="25"/>
    </row>
    <row r="40" spans="3:62" x14ac:dyDescent="0.3">
      <c r="C40" s="523" t="s">
        <v>91</v>
      </c>
      <c r="D40" s="523" t="s">
        <v>1000</v>
      </c>
      <c r="E40" s="5052"/>
      <c r="F40" s="523"/>
      <c r="G40" s="524">
        <f>+SUMIF(BM!$C$7:$C$42,$D40,BM!$F$7:$F$42)</f>
        <v>37275.245000000046</v>
      </c>
      <c r="H40" s="524"/>
      <c r="I40" s="524">
        <f>+SUMIF(BM!$C$7:$C$42,$D40,BM!$H$7:$H$42)</f>
        <v>26257.105000000018</v>
      </c>
      <c r="J40" s="593"/>
      <c r="K40" s="593">
        <f t="shared" si="53"/>
        <v>63532.350000000064</v>
      </c>
      <c r="L40" s="524"/>
      <c r="M40" s="524">
        <f>+SUMIF(BM!$C$7:$C$42,$D40,BM!$L$7:$L$42)</f>
        <v>24809.215000000015</v>
      </c>
      <c r="N40" s="598"/>
      <c r="O40" s="598">
        <f t="shared" si="54"/>
        <v>88341.565000000075</v>
      </c>
      <c r="P40" s="524"/>
      <c r="Q40" s="524">
        <f>+SUMIF(BM!$C$7:$C$42,$D40,BM!$P$7:$P$42)</f>
        <v>46228.605000000076</v>
      </c>
      <c r="R40" s="598"/>
      <c r="S40" s="598">
        <f t="shared" si="30"/>
        <v>134570.17000000016</v>
      </c>
      <c r="T40" s="524"/>
      <c r="U40" s="524">
        <f>+SUMIF(BM!$C$7:$C$42,$D40,BM!$T$7:$T$42)</f>
        <v>36993.745000000017</v>
      </c>
      <c r="V40" s="598"/>
      <c r="W40" s="598">
        <f t="shared" si="55"/>
        <v>171563.91500000018</v>
      </c>
      <c r="X40" s="598"/>
      <c r="Y40" s="524">
        <f>+SUMIF(BM!$C$7:$C$42,$D40,BM!$X$7:$X$42)</f>
        <v>36854.330000000053</v>
      </c>
      <c r="Z40" s="598"/>
      <c r="AA40" s="2168">
        <f t="shared" ref="AA40:AA44" si="61">Q40+U40+Y40</f>
        <v>120076.68000000014</v>
      </c>
      <c r="AB40" s="2228"/>
      <c r="AC40" s="1091">
        <f t="shared" si="52"/>
        <v>208418.24500000023</v>
      </c>
      <c r="AD40" s="598"/>
      <c r="AE40" s="524">
        <f>+SUMIF(BM!$C$7:$C$42,$D40,BM!$AD$7:$AD$42)</f>
        <v>39236.38000000007</v>
      </c>
      <c r="AF40" s="598"/>
      <c r="AG40" s="598">
        <f t="shared" si="56"/>
        <v>247654.62500000029</v>
      </c>
      <c r="AH40" s="598"/>
      <c r="AI40" s="524">
        <f>+SUMIF(BM!$C$7:$C$42,$D40,BM!$AH$7:$AH$42)</f>
        <v>40296.170000000035</v>
      </c>
      <c r="AJ40" s="598"/>
      <c r="AK40" s="593">
        <f t="shared" si="57"/>
        <v>287950.79500000033</v>
      </c>
      <c r="AL40" s="598"/>
      <c r="AM40" s="524">
        <f>+SUMIF(BM!$C$7:$C$42,$D40,BM!$AL$7:$AL$42)</f>
        <v>42591.195000000109</v>
      </c>
      <c r="AN40" s="598"/>
      <c r="AO40" s="2168">
        <f t="shared" ref="AO40:AO44" si="62">AE40+AI40+AM40</f>
        <v>122123.74500000021</v>
      </c>
      <c r="AP40" s="598"/>
      <c r="AQ40" s="593">
        <f t="shared" si="58"/>
        <v>330541.99000000046</v>
      </c>
      <c r="AR40" s="598"/>
      <c r="AS40" s="524">
        <f>+SUMIF(BM!$C$7:$C$42,$D40,BM!$AR$7:$AR$42)</f>
        <v>48889.360000000073</v>
      </c>
      <c r="AT40" s="598"/>
      <c r="AU40" s="593">
        <f t="shared" si="59"/>
        <v>379431.35000000056</v>
      </c>
      <c r="AV40" s="603"/>
      <c r="AW40" s="524">
        <f>+SUMIF(BM!$C$7:$C$42,$D40,BM!$AV$7:$AV$42)</f>
        <v>23043.060000000005</v>
      </c>
      <c r="AX40" s="598"/>
      <c r="AY40" s="593">
        <f t="shared" si="60"/>
        <v>402474.41000000056</v>
      </c>
      <c r="AZ40" s="603"/>
      <c r="BA40" s="524">
        <f>+SUMIF(BM!$C$7:$C$42,$D40,BM!$AZ$7:$AZ$42)</f>
        <v>47438.358295731814</v>
      </c>
      <c r="BB40" s="603"/>
      <c r="BC40" s="2168">
        <f t="shared" ref="BC40:BC44" si="63">AS40+AW40+BA40</f>
        <v>119370.77829573189</v>
      </c>
      <c r="BD40" s="2228"/>
      <c r="BE40" s="1091">
        <f t="shared" si="13"/>
        <v>241494.5232957321</v>
      </c>
      <c r="BF40" s="603"/>
      <c r="BG40" s="593">
        <f t="shared" si="14"/>
        <v>449912.76829573239</v>
      </c>
      <c r="BH40" s="25"/>
      <c r="BI40" s="25"/>
      <c r="BJ40" s="25"/>
    </row>
    <row r="41" spans="3:62" x14ac:dyDescent="0.3">
      <c r="C41" s="523" t="s">
        <v>91</v>
      </c>
      <c r="D41" s="523" t="s">
        <v>1100</v>
      </c>
      <c r="E41" s="5052"/>
      <c r="F41" s="523"/>
      <c r="G41" s="524">
        <f>+SUMIF(BM!$C$7:$C$42,$D41,BM!$F$7:$F$42)</f>
        <v>34201.175000000025</v>
      </c>
      <c r="H41" s="524"/>
      <c r="I41" s="524">
        <f>+SUMIF(BM!$C$7:$C$42,$D41,BM!$H$7:$H$42)</f>
        <v>29282.950000000026</v>
      </c>
      <c r="J41" s="593"/>
      <c r="K41" s="593">
        <f t="shared" si="53"/>
        <v>63484.125000000051</v>
      </c>
      <c r="L41" s="524"/>
      <c r="M41" s="524">
        <f>+SUMIF(BM!$C$7:$C$42,$D41,BM!$L$7:$L$42)</f>
        <v>32011.095000000038</v>
      </c>
      <c r="N41" s="598"/>
      <c r="O41" s="598">
        <f t="shared" si="54"/>
        <v>95495.220000000088</v>
      </c>
      <c r="P41" s="524"/>
      <c r="Q41" s="524">
        <f>+SUMIF(BM!$C$7:$C$42,$D41,BM!$P$7:$P$42)</f>
        <v>18863.025000000012</v>
      </c>
      <c r="R41" s="598"/>
      <c r="S41" s="598">
        <f t="shared" si="30"/>
        <v>114358.2450000001</v>
      </c>
      <c r="T41" s="524"/>
      <c r="U41" s="524">
        <f>+SUMIF(BM!$C$7:$C$42,$D41,BM!$T$7:$T$42)</f>
        <v>28986.125000000029</v>
      </c>
      <c r="V41" s="598"/>
      <c r="W41" s="598">
        <f t="shared" si="55"/>
        <v>143344.37000000011</v>
      </c>
      <c r="X41" s="598"/>
      <c r="Y41" s="524">
        <f>+SUMIF(BM!$C$7:$C$42,$D41,BM!$X$7:$X$42)</f>
        <v>29188.925000000021</v>
      </c>
      <c r="Z41" s="598"/>
      <c r="AA41" s="2168">
        <f t="shared" si="61"/>
        <v>77038.075000000055</v>
      </c>
      <c r="AB41" s="2228"/>
      <c r="AC41" s="1091">
        <f t="shared" si="52"/>
        <v>172533.29500000016</v>
      </c>
      <c r="AD41" s="598"/>
      <c r="AE41" s="524">
        <f>+SUMIF(BM!$C$7:$C$42,$D41,BM!$AD$7:$AD$42)</f>
        <v>10577.840000000002</v>
      </c>
      <c r="AF41" s="598"/>
      <c r="AG41" s="598">
        <f t="shared" si="56"/>
        <v>183111.13500000015</v>
      </c>
      <c r="AH41" s="598"/>
      <c r="AI41" s="524">
        <f>+SUMIF(BM!$C$7:$C$42,$D41,BM!$AH$7:$AH$42)</f>
        <v>25310.055000000022</v>
      </c>
      <c r="AJ41" s="598"/>
      <c r="AK41" s="593">
        <f t="shared" si="57"/>
        <v>208421.19000000018</v>
      </c>
      <c r="AL41" s="598"/>
      <c r="AM41" s="524">
        <f>+SUMIF(BM!$C$7:$C$42,$D41,BM!$AL$7:$AL$42)</f>
        <v>31272.44500000004</v>
      </c>
      <c r="AN41" s="598"/>
      <c r="AO41" s="2168">
        <f t="shared" si="62"/>
        <v>67160.340000000069</v>
      </c>
      <c r="AP41" s="598"/>
      <c r="AQ41" s="593">
        <f t="shared" si="58"/>
        <v>239693.63500000021</v>
      </c>
      <c r="AR41" s="598"/>
      <c r="AS41" s="524">
        <f>+SUMIF(BM!$C$7:$C$42,$D41,BM!$AR$7:$AR$42)</f>
        <v>28699.930000000048</v>
      </c>
      <c r="AT41" s="598"/>
      <c r="AU41" s="593">
        <f t="shared" si="59"/>
        <v>268393.56500000024</v>
      </c>
      <c r="AV41" s="598"/>
      <c r="AW41" s="524">
        <f>+SUMIF(BM!$C$7:$C$42,$D41,BM!$AV$7:$AV$42)</f>
        <v>42350.595000000088</v>
      </c>
      <c r="AX41" s="598"/>
      <c r="AY41" s="593">
        <f t="shared" si="60"/>
        <v>310744.16000000032</v>
      </c>
      <c r="AZ41" s="598"/>
      <c r="BA41" s="524">
        <f>+SUMIF(BM!$C$7:$C$42,$D41,BM!$AZ$7:$AZ$42)</f>
        <v>24591.810628925559</v>
      </c>
      <c r="BB41" s="598"/>
      <c r="BC41" s="2168">
        <f t="shared" si="63"/>
        <v>95642.335628925706</v>
      </c>
      <c r="BD41" s="2228"/>
      <c r="BE41" s="1091">
        <f t="shared" si="13"/>
        <v>162802.67562892579</v>
      </c>
      <c r="BF41" s="598"/>
      <c r="BG41" s="593">
        <f t="shared" si="14"/>
        <v>335335.97062892589</v>
      </c>
      <c r="BH41" s="25"/>
      <c r="BI41" s="25"/>
      <c r="BJ41" s="25"/>
    </row>
    <row r="42" spans="3:62" s="2461" customFormat="1" x14ac:dyDescent="0.3">
      <c r="C42" s="523" t="s">
        <v>91</v>
      </c>
      <c r="D42" s="523" t="s">
        <v>1080</v>
      </c>
      <c r="E42" s="5052"/>
      <c r="F42" s="523"/>
      <c r="G42" s="524">
        <f>+SUMIF(BM!$C$7:$C$42,$D42,BM!$F$7:$F$42)</f>
        <v>0</v>
      </c>
      <c r="H42" s="524"/>
      <c r="I42" s="524">
        <f>+SUMIF(BM!$C$7:$C$42,$D42,BM!$H$7:$H$42)</f>
        <v>137.01500000000001</v>
      </c>
      <c r="J42" s="593"/>
      <c r="K42" s="593">
        <f t="shared" si="53"/>
        <v>137.01500000000001</v>
      </c>
      <c r="L42" s="524"/>
      <c r="M42" s="524">
        <f>+SUMIF(BM!$C$7:$C$42,$D42,BM!$L$7:$L$42)</f>
        <v>1015.7500000000002</v>
      </c>
      <c r="N42" s="598"/>
      <c r="O42" s="598">
        <f t="shared" si="54"/>
        <v>1152.7650000000003</v>
      </c>
      <c r="P42" s="524"/>
      <c r="Q42" s="524">
        <f>+SUMIF(BM!$C$7:$C$42,$D42,BM!$P$7:$P$42)</f>
        <v>0</v>
      </c>
      <c r="R42" s="598"/>
      <c r="S42" s="598">
        <f t="shared" si="30"/>
        <v>1152.7650000000003</v>
      </c>
      <c r="T42" s="524"/>
      <c r="U42" s="524">
        <f>+SUMIF(BM!$C$7:$C$42,$D42,BM!$T$7:$T$42)</f>
        <v>0</v>
      </c>
      <c r="V42" s="598"/>
      <c r="W42" s="598">
        <f t="shared" si="55"/>
        <v>1152.7650000000003</v>
      </c>
      <c r="X42" s="598"/>
      <c r="Y42" s="524">
        <f>+SUMIF(BM!$C$7:$C$42,$D42,BM!$X$7:$X$42)</f>
        <v>0</v>
      </c>
      <c r="Z42" s="598"/>
      <c r="AA42" s="2168">
        <f t="shared" si="61"/>
        <v>0</v>
      </c>
      <c r="AB42" s="2228"/>
      <c r="AC42" s="1091">
        <f t="shared" si="52"/>
        <v>1152.7650000000003</v>
      </c>
      <c r="AD42" s="598"/>
      <c r="AE42" s="524">
        <f>+SUMIF(BM!$C$7:$C$42,$D42,BM!$AD$7:$AD$42)</f>
        <v>0</v>
      </c>
      <c r="AF42" s="598"/>
      <c r="AG42" s="598">
        <f t="shared" si="56"/>
        <v>1152.7650000000003</v>
      </c>
      <c r="AH42" s="598"/>
      <c r="AI42" s="524">
        <f>+SUMIF(BM!$C$7:$C$42,$D42,BM!$AH$7:$AH$42)</f>
        <v>0</v>
      </c>
      <c r="AJ42" s="598"/>
      <c r="AK42" s="593">
        <f t="shared" si="57"/>
        <v>1152.7650000000003</v>
      </c>
      <c r="AL42" s="598"/>
      <c r="AM42" s="524">
        <f>+SUMIF(BM!$C$7:$C$42,$D42,BM!$AL$7:$AL$42)</f>
        <v>0</v>
      </c>
      <c r="AN42" s="598"/>
      <c r="AO42" s="2168">
        <f t="shared" si="62"/>
        <v>0</v>
      </c>
      <c r="AP42" s="598"/>
      <c r="AQ42" s="593">
        <f t="shared" si="58"/>
        <v>1152.7650000000003</v>
      </c>
      <c r="AR42" s="598"/>
      <c r="AS42" s="524">
        <f>+SUMIF(BM!$C$7:$C$42,$D42,BM!$AR$7:$AR$42)</f>
        <v>0</v>
      </c>
      <c r="AT42" s="598"/>
      <c r="AU42" s="593">
        <f t="shared" si="59"/>
        <v>1152.7650000000003</v>
      </c>
      <c r="AV42" s="598"/>
      <c r="AW42" s="524">
        <f>+SUMIF(BM!$C$7:$C$42,$D42,BM!$AV$7:$AV$42)</f>
        <v>0</v>
      </c>
      <c r="AX42" s="598"/>
      <c r="AY42" s="593">
        <f t="shared" si="60"/>
        <v>1152.7650000000003</v>
      </c>
      <c r="AZ42" s="598"/>
      <c r="BA42" s="524">
        <f>+SUMIF(BM!$C$7:$C$42,$D42,BM!$AZ$7:$AZ$42)</f>
        <v>0</v>
      </c>
      <c r="BB42" s="598"/>
      <c r="BC42" s="2168">
        <f t="shared" si="63"/>
        <v>0</v>
      </c>
      <c r="BD42" s="2228"/>
      <c r="BE42" s="1091">
        <f t="shared" si="13"/>
        <v>0</v>
      </c>
      <c r="BF42" s="598"/>
      <c r="BG42" s="593">
        <f t="shared" si="14"/>
        <v>1152.7650000000003</v>
      </c>
      <c r="BH42" s="25"/>
      <c r="BI42" s="25"/>
      <c r="BJ42" s="25"/>
    </row>
    <row r="43" spans="3:62" s="2416" customFormat="1" x14ac:dyDescent="0.3">
      <c r="C43" s="523" t="s">
        <v>91</v>
      </c>
      <c r="D43" s="523" t="s">
        <v>1001</v>
      </c>
      <c r="E43" s="5052"/>
      <c r="F43" s="523"/>
      <c r="G43" s="524">
        <f>+SUMIF(BM!$C$7:$C$42,$D43,BM!$F$7:$F$42)</f>
        <v>3184.62</v>
      </c>
      <c r="H43" s="524"/>
      <c r="I43" s="524">
        <f>+SUMIF(BM!$C$7:$C$42,$D43,BM!$H$7:$H$42)</f>
        <v>603.27499999999998</v>
      </c>
      <c r="J43" s="593"/>
      <c r="K43" s="593">
        <f t="shared" si="53"/>
        <v>3787.895</v>
      </c>
      <c r="L43" s="524"/>
      <c r="M43" s="524">
        <f>+SUMIF(BM!$C$7:$C$42,$D43,BM!$L$7:$L$42)</f>
        <v>1914.7949999999998</v>
      </c>
      <c r="N43" s="598"/>
      <c r="O43" s="598">
        <f t="shared" si="54"/>
        <v>5702.69</v>
      </c>
      <c r="P43" s="524"/>
      <c r="Q43" s="524">
        <f>+SUMIF(BM!$C$7:$C$42,$D43,BM!$P$7:$P$42)</f>
        <v>0</v>
      </c>
      <c r="R43" s="598"/>
      <c r="S43" s="598">
        <f t="shared" si="30"/>
        <v>5702.69</v>
      </c>
      <c r="T43" s="524"/>
      <c r="U43" s="524">
        <f>+SUMIF(BM!$C$7:$C$42,$D43,BM!$T$7:$T$42)</f>
        <v>4250.0749999999998</v>
      </c>
      <c r="V43" s="598"/>
      <c r="W43" s="598">
        <f t="shared" si="55"/>
        <v>9952.7649999999994</v>
      </c>
      <c r="X43" s="598"/>
      <c r="Y43" s="524">
        <f>+SUMIF(BM!$C$7:$C$42,$D43,BM!$X$7:$X$42)</f>
        <v>2779.1549999999997</v>
      </c>
      <c r="Z43" s="598"/>
      <c r="AA43" s="2168">
        <f t="shared" si="61"/>
        <v>7029.23</v>
      </c>
      <c r="AB43" s="2228"/>
      <c r="AC43" s="1091">
        <f t="shared" si="52"/>
        <v>12731.919999999998</v>
      </c>
      <c r="AD43" s="598"/>
      <c r="AE43" s="524">
        <f>+SUMIF(BM!$C$7:$C$42,$D43,BM!$AD$7:$AD$42)</f>
        <v>0</v>
      </c>
      <c r="AF43" s="598"/>
      <c r="AG43" s="598">
        <f t="shared" si="56"/>
        <v>12731.919999999998</v>
      </c>
      <c r="AH43" s="598"/>
      <c r="AI43" s="524">
        <f>+SUMIF(BM!$C$7:$C$42,$D43,BM!$AH$7:$AH$42)</f>
        <v>4114.5399999999991</v>
      </c>
      <c r="AJ43" s="598"/>
      <c r="AK43" s="593">
        <f t="shared" si="57"/>
        <v>16846.46</v>
      </c>
      <c r="AL43" s="598"/>
      <c r="AM43" s="524">
        <f>+SUMIF(BM!$C$7:$C$42,$D43,BM!$AL$7:$AL$42)</f>
        <v>5056.7899999999991</v>
      </c>
      <c r="AN43" s="598"/>
      <c r="AO43" s="2168">
        <f t="shared" si="62"/>
        <v>9171.3299999999981</v>
      </c>
      <c r="AP43" s="598"/>
      <c r="AQ43" s="593">
        <f t="shared" si="58"/>
        <v>21903.25</v>
      </c>
      <c r="AR43" s="598"/>
      <c r="AS43" s="524">
        <f>+SUMIF(BM!$C$7:$C$42,$D43,BM!$AR$7:$AR$42)</f>
        <v>1653.5350000000001</v>
      </c>
      <c r="AT43" s="598"/>
      <c r="AU43" s="593">
        <f t="shared" si="59"/>
        <v>23556.785</v>
      </c>
      <c r="AV43" s="598"/>
      <c r="AW43" s="524">
        <f>+SUMIF(BM!$C$7:$C$42,$D43,BM!$AV$7:$AV$42)</f>
        <v>0</v>
      </c>
      <c r="AX43" s="598"/>
      <c r="AY43" s="593">
        <f t="shared" si="60"/>
        <v>23556.785</v>
      </c>
      <c r="AZ43" s="598"/>
      <c r="BA43" s="524">
        <f>+SUMIF(BM!$C$7:$C$42,$D43,BM!$AZ$7:$AZ$42)</f>
        <v>0</v>
      </c>
      <c r="BB43" s="598"/>
      <c r="BC43" s="2168">
        <f t="shared" si="63"/>
        <v>1653.5350000000001</v>
      </c>
      <c r="BD43" s="2228"/>
      <c r="BE43" s="1091">
        <f t="shared" si="13"/>
        <v>10824.864999999998</v>
      </c>
      <c r="BF43" s="598"/>
      <c r="BG43" s="593">
        <f t="shared" si="14"/>
        <v>23556.785</v>
      </c>
      <c r="BH43" s="25"/>
      <c r="BI43" s="25"/>
      <c r="BJ43" s="25"/>
    </row>
    <row r="44" spans="3:62" x14ac:dyDescent="0.3">
      <c r="C44" s="523" t="s">
        <v>91</v>
      </c>
      <c r="D44" s="523" t="s">
        <v>969</v>
      </c>
      <c r="E44" s="5052"/>
      <c r="F44" s="523"/>
      <c r="G44" s="524">
        <f>+SUMIF(BM!$C$7:$C$42,$D44,BM!$F$7:$F$42)</f>
        <v>0</v>
      </c>
      <c r="H44" s="524"/>
      <c r="I44" s="524">
        <f>+SUMIF(BM!$C$7:$C$42,$D44,BM!$H$7:$H$42)</f>
        <v>0</v>
      </c>
      <c r="J44" s="593"/>
      <c r="K44" s="593">
        <f t="shared" si="53"/>
        <v>0</v>
      </c>
      <c r="L44" s="524"/>
      <c r="M44" s="524">
        <f>+SUMIF(BM!$C$7:$C$42,$D44,BM!$L$7:$L$42)</f>
        <v>0</v>
      </c>
      <c r="N44" s="598"/>
      <c r="O44" s="598">
        <f t="shared" si="54"/>
        <v>0</v>
      </c>
      <c r="P44" s="524"/>
      <c r="Q44" s="524">
        <f>+SUMIF(BM!$C$7:$C$42,$D44,BM!$P$7:$P$42)</f>
        <v>0</v>
      </c>
      <c r="R44" s="598"/>
      <c r="S44" s="598">
        <f t="shared" si="30"/>
        <v>0</v>
      </c>
      <c r="T44" s="524"/>
      <c r="U44" s="524">
        <f>+SUMIF(BM!$C$7:$C$42,$D44,BM!$T$7:$T$42)</f>
        <v>0</v>
      </c>
      <c r="V44" s="598"/>
      <c r="W44" s="598">
        <f t="shared" si="55"/>
        <v>0</v>
      </c>
      <c r="X44" s="598"/>
      <c r="Y44" s="524">
        <f>+SUMIF(BM!$C$7:$C$42,$D44,BM!$X$7:$X$42)</f>
        <v>0</v>
      </c>
      <c r="Z44" s="598"/>
      <c r="AA44" s="2168">
        <f t="shared" si="61"/>
        <v>0</v>
      </c>
      <c r="AB44" s="2228"/>
      <c r="AC44" s="1091">
        <f t="shared" si="52"/>
        <v>0</v>
      </c>
      <c r="AD44" s="598"/>
      <c r="AE44" s="524">
        <f>+SUMIF(BM!$C$7:$C$42,$D44,BM!$AD$7:$AD$42)</f>
        <v>0</v>
      </c>
      <c r="AF44" s="598"/>
      <c r="AG44" s="598">
        <f t="shared" si="56"/>
        <v>0</v>
      </c>
      <c r="AH44" s="598"/>
      <c r="AI44" s="524">
        <f>+SUMIF(BM!$C$7:$C$42,$D44,BM!$AH$7:$AH$42)</f>
        <v>0</v>
      </c>
      <c r="AJ44" s="598"/>
      <c r="AK44" s="593">
        <f t="shared" si="57"/>
        <v>0</v>
      </c>
      <c r="AL44" s="598"/>
      <c r="AM44" s="524">
        <f>+SUMIF(BM!$C$7:$C$42,$D44,BM!$AL$7:$AL$42)</f>
        <v>0</v>
      </c>
      <c r="AN44" s="598"/>
      <c r="AO44" s="2168">
        <f t="shared" si="62"/>
        <v>0</v>
      </c>
      <c r="AP44" s="598"/>
      <c r="AQ44" s="593">
        <f t="shared" si="58"/>
        <v>0</v>
      </c>
      <c r="AR44" s="598"/>
      <c r="AS44" s="524">
        <f>+SUMIF(BM!$C$7:$C$42,$D44,BM!$AR$7:$AR$42)</f>
        <v>0</v>
      </c>
      <c r="AT44" s="598"/>
      <c r="AU44" s="593">
        <f t="shared" si="59"/>
        <v>0</v>
      </c>
      <c r="AV44" s="603"/>
      <c r="AW44" s="524">
        <f>+SUMIF(BM!$C$7:$C$42,$D44,BM!$AV$7:$AV$42)</f>
        <v>0</v>
      </c>
      <c r="AX44" s="598"/>
      <c r="AY44" s="593">
        <f t="shared" si="60"/>
        <v>0</v>
      </c>
      <c r="AZ44" s="603"/>
      <c r="BA44" s="524">
        <f>+SUMIF(BM!$C$7:$C$42,$D44,BM!$AZ$7:$AZ$42)</f>
        <v>0</v>
      </c>
      <c r="BB44" s="603"/>
      <c r="BC44" s="2168">
        <f t="shared" si="63"/>
        <v>0</v>
      </c>
      <c r="BD44" s="2228"/>
      <c r="BE44" s="1091">
        <f t="shared" si="13"/>
        <v>0</v>
      </c>
      <c r="BF44" s="603"/>
      <c r="BG44" s="593">
        <f t="shared" si="14"/>
        <v>0</v>
      </c>
      <c r="BH44" s="25"/>
      <c r="BI44" s="25"/>
      <c r="BJ44" s="25"/>
    </row>
    <row r="45" spans="3:62" x14ac:dyDescent="0.3">
      <c r="C45" s="8368" t="s">
        <v>926</v>
      </c>
      <c r="D45" s="8368"/>
      <c r="E45" s="5052"/>
      <c r="F45" s="602"/>
      <c r="G45" s="603">
        <f>SUM(G39:G44)</f>
        <v>74661.040000000066</v>
      </c>
      <c r="H45" s="603"/>
      <c r="I45" s="603">
        <f>SUM(I39:I44)</f>
        <v>76175.635000000053</v>
      </c>
      <c r="J45" s="603"/>
      <c r="K45" s="604">
        <f>SUM(K39:K44)</f>
        <v>150836.67500000013</v>
      </c>
      <c r="L45" s="603"/>
      <c r="M45" s="603">
        <f>SUM(M39:M44)</f>
        <v>73644.015000000058</v>
      </c>
      <c r="N45" s="603"/>
      <c r="O45" s="603">
        <f>SUM(O39:O44)</f>
        <v>224480.69000000018</v>
      </c>
      <c r="P45" s="603"/>
      <c r="Q45" s="603">
        <f>SUM(Q39:Q44)</f>
        <v>88056.490000000093</v>
      </c>
      <c r="R45" s="603"/>
      <c r="S45" s="603">
        <f>SUM(S39:S44)</f>
        <v>312537.18000000028</v>
      </c>
      <c r="T45" s="603"/>
      <c r="U45" s="603">
        <f>SUM(U39:U44)</f>
        <v>75853.695000000051</v>
      </c>
      <c r="V45" s="603"/>
      <c r="W45" s="603">
        <f>SUM(W39:W44)</f>
        <v>388390.87500000035</v>
      </c>
      <c r="X45" s="603"/>
      <c r="Y45" s="603">
        <f>SUM(Y39:Y44)</f>
        <v>76319.035000000076</v>
      </c>
      <c r="Z45" s="603"/>
      <c r="AA45" s="2169">
        <f>SUM(AA39:AA44)</f>
        <v>240229.22000000023</v>
      </c>
      <c r="AB45" s="2228"/>
      <c r="AC45" s="2169">
        <f t="shared" si="52"/>
        <v>464709.91000000038</v>
      </c>
      <c r="AD45" s="603"/>
      <c r="AE45" s="603">
        <f>SUM(AE39:AE44)</f>
        <v>50950.275000000074</v>
      </c>
      <c r="AF45" s="603"/>
      <c r="AG45" s="603">
        <f>SUM(AG39:AG44)</f>
        <v>515660.18500000046</v>
      </c>
      <c r="AH45" s="603"/>
      <c r="AI45" s="603">
        <f>SUM(AI39:AI44)</f>
        <v>69720.765000000058</v>
      </c>
      <c r="AJ45" s="603"/>
      <c r="AK45" s="603">
        <f>SUM(AK39:AK44)</f>
        <v>585380.95000000054</v>
      </c>
      <c r="AL45" s="603"/>
      <c r="AM45" s="603">
        <f>SUM(AM39:AM44)</f>
        <v>81616.765000000145</v>
      </c>
      <c r="AN45" s="603"/>
      <c r="AO45" s="2169">
        <f>SUM(AO39:AO44)</f>
        <v>202287.80500000025</v>
      </c>
      <c r="AP45" s="603"/>
      <c r="AQ45" s="603">
        <f>SUM(AQ39:AQ44)</f>
        <v>666997.71500000067</v>
      </c>
      <c r="AR45" s="603"/>
      <c r="AS45" s="603">
        <f>SUM(AS39:AS44)</f>
        <v>85804.600000000122</v>
      </c>
      <c r="AT45" s="603"/>
      <c r="AU45" s="603">
        <f>SUM(AU39:AU44)</f>
        <v>752802.31500000088</v>
      </c>
      <c r="AV45" s="598"/>
      <c r="AW45" s="603">
        <f>SUM(AW39:AW44)</f>
        <v>74058.320000000094</v>
      </c>
      <c r="AX45" s="603"/>
      <c r="AY45" s="603">
        <f>SUM(AY39:AY44)</f>
        <v>826860.63500000094</v>
      </c>
      <c r="AZ45" s="598"/>
      <c r="BA45" s="603">
        <f>SUM(BA39:BA44)</f>
        <v>81200</v>
      </c>
      <c r="BB45" s="598"/>
      <c r="BC45" s="2169">
        <f>SUM(BC39:BC44)</f>
        <v>241062.92000000022</v>
      </c>
      <c r="BD45" s="2228"/>
      <c r="BE45" s="2169">
        <f>AO45+BC45</f>
        <v>443350.72500000044</v>
      </c>
      <c r="BF45" s="598"/>
      <c r="BG45" s="603">
        <f>SUM(BG39:BG44)</f>
        <v>908060.63500000094</v>
      </c>
      <c r="BH45" s="25"/>
      <c r="BI45" s="25"/>
      <c r="BJ45" s="25"/>
    </row>
    <row r="46" spans="3:62" x14ac:dyDescent="0.3">
      <c r="C46" s="523" t="s">
        <v>109</v>
      </c>
      <c r="D46" s="523" t="s">
        <v>905</v>
      </c>
      <c r="E46" s="5052"/>
      <c r="F46" s="523"/>
      <c r="G46" s="524">
        <f>SUMIF(USM!$C$8:$C$103,$D46,USM!$G$8:$G$103)</f>
        <v>13092.567999999999</v>
      </c>
      <c r="H46" s="524"/>
      <c r="I46" s="524">
        <f>SUMIF(USM!$C$8:$C$103,$D46,USM!$I$8:$I$103)</f>
        <v>12437.809000000001</v>
      </c>
      <c r="J46" s="593"/>
      <c r="K46" s="593">
        <f t="shared" si="53"/>
        <v>25530.377</v>
      </c>
      <c r="L46" s="524"/>
      <c r="M46" s="524">
        <f>SUMIF(USM!$C$8:$C$103,$D46,USM!$M$8:$M$103)</f>
        <v>15766.755000000001</v>
      </c>
      <c r="N46" s="598"/>
      <c r="O46" s="598">
        <f t="shared" si="54"/>
        <v>41297.131999999998</v>
      </c>
      <c r="P46" s="524"/>
      <c r="Q46" s="524">
        <f>SUMIF(USM!$C$8:$C$103,$D46,USM!$Q$8:$Q$103)</f>
        <v>11945.610999999999</v>
      </c>
      <c r="R46" s="598"/>
      <c r="S46" s="598">
        <f t="shared" si="30"/>
        <v>53242.742999999995</v>
      </c>
      <c r="T46" s="524"/>
      <c r="U46" s="524">
        <f>SUMIF(USM!$C$8:$C$103,$D46,USM!$U$8:$U$103)</f>
        <v>5801.0050000000001</v>
      </c>
      <c r="V46" s="598"/>
      <c r="W46" s="598">
        <f t="shared" ref="W46:W50" si="64">S46+U46</f>
        <v>59043.747999999992</v>
      </c>
      <c r="X46" s="598"/>
      <c r="Y46" s="524">
        <f>SUMIF(USM!$C$8:$C$103,$D46,USM!$Y$8:$Y$103)</f>
        <v>11476.604000000001</v>
      </c>
      <c r="Z46" s="598"/>
      <c r="AA46" s="2168">
        <f>Q46+U46+Y46</f>
        <v>29223.22</v>
      </c>
      <c r="AB46" s="2228"/>
      <c r="AC46" s="1091">
        <f t="shared" si="52"/>
        <v>70520.351999999999</v>
      </c>
      <c r="AD46" s="598"/>
      <c r="AE46" s="524">
        <f>SUMIF(USM!$C$8:$C$103,$D46,USM!$AE$8:$AE$103)</f>
        <v>5961.8090000000002</v>
      </c>
      <c r="AF46" s="598"/>
      <c r="AG46" s="598">
        <f t="shared" ref="AG46:AG50" si="65">AC46+AE46</f>
        <v>76482.160999999993</v>
      </c>
      <c r="AH46" s="598"/>
      <c r="AI46" s="524">
        <f>SUMIF(USM!$C$8:$C$103,$D46,USM!$AI$8:$AI$103)</f>
        <v>6030.4699999999993</v>
      </c>
      <c r="AJ46" s="598"/>
      <c r="AK46" s="593">
        <f t="shared" ref="AK46:AK50" si="66">AG46+AI46</f>
        <v>82512.630999999994</v>
      </c>
      <c r="AL46" s="598"/>
      <c r="AM46" s="524">
        <f>SUMIF(USM!$C$8:$C$103,$D46,USM!$AM$8:$AM$103)</f>
        <v>9293.3559999999979</v>
      </c>
      <c r="AN46" s="598"/>
      <c r="AO46" s="2168">
        <f>AE46+AI46+AM46</f>
        <v>21285.634999999995</v>
      </c>
      <c r="AP46" s="598"/>
      <c r="AQ46" s="593">
        <f t="shared" ref="AQ46:AQ50" si="67">AK46+AM46</f>
        <v>91805.986999999994</v>
      </c>
      <c r="AR46" s="598"/>
      <c r="AS46" s="524">
        <f>SUMIF(USM!$C$8:$C$103,$D46,USM!$AS$8:$AS$103)</f>
        <v>13085.248000000001</v>
      </c>
      <c r="AT46" s="598"/>
      <c r="AU46" s="593">
        <f t="shared" ref="AU46:AU50" si="68">AQ46+AS46</f>
        <v>104891.235</v>
      </c>
      <c r="AV46" s="598"/>
      <c r="AW46" s="524">
        <f>SUMIF(USM!$C$8:$C$103,$D46,USM!$AW$8:$AW$103)</f>
        <v>6516.0370000000003</v>
      </c>
      <c r="AX46" s="598"/>
      <c r="AY46" s="593">
        <f t="shared" ref="AY46:AY50" si="69">AU46+AW46</f>
        <v>111407.272</v>
      </c>
      <c r="AZ46" s="598"/>
      <c r="BA46" s="524">
        <f>SUMIF(USM!$C$8:$C$103,$D46,USM!$BA$8:$BA$103)</f>
        <v>10155.597999999998</v>
      </c>
      <c r="BB46" s="598"/>
      <c r="BC46" s="2168">
        <f>AS46+AW46+BA46</f>
        <v>29756.883000000002</v>
      </c>
      <c r="BD46" s="2228"/>
      <c r="BE46" s="1091">
        <f t="shared" si="13"/>
        <v>51042.517999999996</v>
      </c>
      <c r="BF46" s="598"/>
      <c r="BG46" s="593">
        <f t="shared" si="14"/>
        <v>121562.87</v>
      </c>
      <c r="BH46" s="25"/>
      <c r="BI46" s="25"/>
      <c r="BJ46" s="25"/>
    </row>
    <row r="47" spans="3:62" s="4233" customFormat="1" x14ac:dyDescent="0.3">
      <c r="C47" s="5054" t="s">
        <v>109</v>
      </c>
      <c r="D47" s="5054" t="s">
        <v>1299</v>
      </c>
      <c r="E47" s="5052"/>
      <c r="F47" s="5054"/>
      <c r="G47" s="524">
        <f>SUMIF(USM!$C$8:$C$103,$D47,USM!$G$8:$G$103)</f>
        <v>2426.3939999999998</v>
      </c>
      <c r="H47" s="524"/>
      <c r="I47" s="524">
        <f>SUMIF(USM!$C$8:$C$103,$D47,USM!$I$8:$I$103)</f>
        <v>3069.2429999999995</v>
      </c>
      <c r="J47" s="593"/>
      <c r="K47" s="593">
        <f t="shared" ref="K47" si="70">+G47+I47</f>
        <v>5495.6369999999988</v>
      </c>
      <c r="L47" s="524"/>
      <c r="M47" s="524">
        <f>SUMIF(USM!$C$8:$C$103,$D47,USM!$M$8:$M$103)</f>
        <v>2518.1869999999999</v>
      </c>
      <c r="N47" s="598"/>
      <c r="O47" s="598">
        <f t="shared" ref="O47" si="71">+G47+I47+M47</f>
        <v>8013.8239999999987</v>
      </c>
      <c r="P47" s="524"/>
      <c r="Q47" s="524">
        <f>SUMIF(USM!$C$8:$C$103,$D47,USM!$Q$8:$Q$103)</f>
        <v>2855.9759999999992</v>
      </c>
      <c r="R47" s="598"/>
      <c r="S47" s="598">
        <f t="shared" ref="S47" si="72">O47+Q47</f>
        <v>10869.799999999997</v>
      </c>
      <c r="T47" s="524"/>
      <c r="U47" s="524">
        <f>SUMIF(USM!$C$8:$C$103,$D47,USM!$U$8:$U$103)</f>
        <v>1438.2529999999997</v>
      </c>
      <c r="V47" s="598"/>
      <c r="W47" s="598">
        <f t="shared" ref="W47" si="73">S47+U47</f>
        <v>12308.052999999996</v>
      </c>
      <c r="X47" s="598"/>
      <c r="Y47" s="524">
        <f>SUMIF(USM!$C$8:$C$103,$D47,USM!$Y$8:$Y$103)</f>
        <v>57.984000000000009</v>
      </c>
      <c r="Z47" s="598"/>
      <c r="AA47" s="2168">
        <f>Q47+U47+Y47</f>
        <v>4352.2129999999997</v>
      </c>
      <c r="AB47" s="2228"/>
      <c r="AC47" s="1091">
        <f t="shared" ref="AC47" si="74">O47+AA47</f>
        <v>12366.036999999998</v>
      </c>
      <c r="AD47" s="598"/>
      <c r="AE47" s="524">
        <f>SUMIF(USM!$C$8:$C$103,$D47,USM!$AE$8:$AE$103)</f>
        <v>215.73599999999999</v>
      </c>
      <c r="AF47" s="598"/>
      <c r="AG47" s="598">
        <f t="shared" ref="AG47" si="75">AC47+AE47</f>
        <v>12581.772999999999</v>
      </c>
      <c r="AH47" s="598"/>
      <c r="AI47" s="524">
        <f>SUMIF(USM!$C$8:$C$103,$D47,USM!$AI$8:$AI$103)</f>
        <v>2549.181</v>
      </c>
      <c r="AJ47" s="598"/>
      <c r="AK47" s="593">
        <f t="shared" ref="AK47" si="76">AG47+AI47</f>
        <v>15130.954</v>
      </c>
      <c r="AL47" s="598"/>
      <c r="AM47" s="524">
        <f>SUMIF(USM!$C$8:$C$103,$D47,USM!$AM$8:$AM$103)</f>
        <v>0</v>
      </c>
      <c r="AN47" s="598"/>
      <c r="AO47" s="2168">
        <f>AE47+AI47+AM47</f>
        <v>2764.9169999999999</v>
      </c>
      <c r="AP47" s="598"/>
      <c r="AQ47" s="593">
        <f t="shared" ref="AQ47" si="77">AK47+AM47</f>
        <v>15130.954</v>
      </c>
      <c r="AR47" s="598"/>
      <c r="AS47" s="524">
        <f>SUMIF(USM!$C$8:$C$103,$D47,USM!$AS$8:$AS$103)</f>
        <v>3795.9500000000007</v>
      </c>
      <c r="AT47" s="598"/>
      <c r="AU47" s="593">
        <f t="shared" ref="AU47" si="78">AQ47+AS47</f>
        <v>18926.904000000002</v>
      </c>
      <c r="AV47" s="3057"/>
      <c r="AW47" s="524">
        <f>SUMIF(USM!$C$8:$C$103,$D47,USM!$AW$8:$AW$103)</f>
        <v>0</v>
      </c>
      <c r="AX47" s="598"/>
      <c r="AY47" s="593">
        <f t="shared" si="69"/>
        <v>18926.904000000002</v>
      </c>
      <c r="AZ47" s="3057"/>
      <c r="BA47" s="524">
        <f>SUMIF(USM!$C$8:$C$103,$D47,USM!$BA$8:$BA$103)</f>
        <v>1738.6020000000001</v>
      </c>
      <c r="BB47" s="3057"/>
      <c r="BC47" s="2168">
        <f>AS47+AW47+BA47</f>
        <v>5534.5520000000006</v>
      </c>
      <c r="BD47" s="3059"/>
      <c r="BE47" s="1091">
        <f t="shared" si="13"/>
        <v>8299.469000000001</v>
      </c>
      <c r="BF47" s="3057"/>
      <c r="BG47" s="593">
        <f t="shared" si="14"/>
        <v>20665.506000000001</v>
      </c>
      <c r="BH47" s="25"/>
      <c r="BI47" s="25"/>
      <c r="BJ47" s="25"/>
    </row>
    <row r="48" spans="3:62" x14ac:dyDescent="0.3">
      <c r="C48" s="523" t="s">
        <v>109</v>
      </c>
      <c r="D48" s="523" t="s">
        <v>1546</v>
      </c>
      <c r="E48" s="5052"/>
      <c r="F48" s="523"/>
      <c r="G48" s="524">
        <f>SUMIF(USM!$C$8:$C$103,$D48,USM!$G$8:$G$103)</f>
        <v>0</v>
      </c>
      <c r="H48" s="524"/>
      <c r="I48" s="524">
        <f>SUMIF(USM!$C$8:$C$103,$D48,USM!$I$8:$I$103)</f>
        <v>0</v>
      </c>
      <c r="J48" s="593"/>
      <c r="K48" s="593">
        <f t="shared" si="53"/>
        <v>0</v>
      </c>
      <c r="L48" s="524"/>
      <c r="M48" s="524">
        <f>SUMIF(USM!$C$8:$C$103,$D48,USM!$M$8:$M$103)</f>
        <v>0</v>
      </c>
      <c r="N48" s="598"/>
      <c r="O48" s="598">
        <f t="shared" si="54"/>
        <v>0</v>
      </c>
      <c r="P48" s="524"/>
      <c r="Q48" s="524">
        <f>SUMIF(USM!$C$8:$C$103,$D48,USM!$Q$8:$Q$103)</f>
        <v>300.69599999999997</v>
      </c>
      <c r="R48" s="598"/>
      <c r="S48" s="598">
        <f t="shared" si="30"/>
        <v>300.69599999999997</v>
      </c>
      <c r="T48" s="524"/>
      <c r="U48" s="524">
        <f>SUMIF(USM!$C$8:$C$103,$D48,USM!$U$8:$U$103)</f>
        <v>792.84600000000012</v>
      </c>
      <c r="V48" s="598"/>
      <c r="W48" s="598">
        <f t="shared" si="64"/>
        <v>1093.5420000000001</v>
      </c>
      <c r="X48" s="598"/>
      <c r="Y48" s="524">
        <f>SUMIF(USM!$C$8:$C$103,$D48,USM!$Y$8:$Y$103)</f>
        <v>0</v>
      </c>
      <c r="Z48" s="598"/>
      <c r="AA48" s="2168">
        <f>Q48+U48+Y48</f>
        <v>1093.5420000000001</v>
      </c>
      <c r="AB48" s="2228"/>
      <c r="AC48" s="1091">
        <f t="shared" si="52"/>
        <v>1093.5420000000001</v>
      </c>
      <c r="AD48" s="598"/>
      <c r="AE48" s="524">
        <f>SUMIF(USM!$C$8:$C$103,$D48,USM!$AE$8:$AE$103)</f>
        <v>0</v>
      </c>
      <c r="AF48" s="598"/>
      <c r="AG48" s="598">
        <f t="shared" si="65"/>
        <v>1093.5420000000001</v>
      </c>
      <c r="AH48" s="598"/>
      <c r="AI48" s="524">
        <f>SUMIF(USM!$C$8:$C$103,$D48,USM!$AI$8:$AI$103)</f>
        <v>330.005</v>
      </c>
      <c r="AJ48" s="598"/>
      <c r="AK48" s="593">
        <f t="shared" si="66"/>
        <v>1423.547</v>
      </c>
      <c r="AL48" s="598"/>
      <c r="AM48" s="524">
        <f>SUMIF(USM!$C$8:$C$103,$D48,USM!$AM$8:$AM$103)</f>
        <v>804.02599999999995</v>
      </c>
      <c r="AN48" s="598"/>
      <c r="AO48" s="2168">
        <f t="shared" ref="AO48:AO50" si="79">AE48+AI48+AM48</f>
        <v>1134.0309999999999</v>
      </c>
      <c r="AP48" s="598"/>
      <c r="AQ48" s="593">
        <f t="shared" si="67"/>
        <v>2227.5729999999999</v>
      </c>
      <c r="AR48" s="598"/>
      <c r="AS48" s="524">
        <f>SUMIF(USM!$C$8:$C$103,$D48,USM!$AS$8:$AS$103)</f>
        <v>659.03700000000003</v>
      </c>
      <c r="AT48" s="598"/>
      <c r="AU48" s="593">
        <f t="shared" si="68"/>
        <v>2886.6099999999997</v>
      </c>
      <c r="AV48" s="598"/>
      <c r="AW48" s="524">
        <f>SUMIF(USM!$C$8:$C$103,$D48,USM!$AW$8:$AW$103)</f>
        <v>0</v>
      </c>
      <c r="AX48" s="598"/>
      <c r="AY48" s="593">
        <f t="shared" si="69"/>
        <v>2886.6099999999997</v>
      </c>
      <c r="AZ48" s="598"/>
      <c r="BA48" s="524">
        <f>SUMIF(USM!$C$8:$C$103,$D48,USM!$BA$8:$BA$103)</f>
        <v>0</v>
      </c>
      <c r="BB48" s="598"/>
      <c r="BC48" s="2168">
        <f t="shared" ref="BC48:BC50" si="80">AS48+AW48+BA48</f>
        <v>659.03700000000003</v>
      </c>
      <c r="BD48" s="2228"/>
      <c r="BE48" s="1091">
        <f t="shared" si="13"/>
        <v>1793.068</v>
      </c>
      <c r="BF48" s="598"/>
      <c r="BG48" s="593">
        <f t="shared" si="14"/>
        <v>2886.6099999999997</v>
      </c>
      <c r="BH48" s="25"/>
      <c r="BI48" s="25"/>
      <c r="BJ48" s="25"/>
    </row>
    <row r="49" spans="3:62" s="4487" customFormat="1" x14ac:dyDescent="0.3">
      <c r="C49" s="5753" t="s">
        <v>109</v>
      </c>
      <c r="D49" s="5753" t="s">
        <v>1991</v>
      </c>
      <c r="E49" s="5052"/>
      <c r="F49" s="5753"/>
      <c r="G49" s="524">
        <f>SUMIF(USM!$C$8:$C$103,$D49,USM!$G$8:$G$103)</f>
        <v>0</v>
      </c>
      <c r="H49" s="524"/>
      <c r="I49" s="524">
        <f>SUMIF(USM!$C$8:$C$103,$D49,USM!$I$8:$I$103)</f>
        <v>0</v>
      </c>
      <c r="J49" s="593"/>
      <c r="K49" s="593">
        <f t="shared" ref="K49" si="81">+G49+I49</f>
        <v>0</v>
      </c>
      <c r="L49" s="524"/>
      <c r="M49" s="524">
        <f>SUMIF(USM!$C$8:$C$103,$D49,USM!$M$8:$M$103)</f>
        <v>229.86200000000002</v>
      </c>
      <c r="N49" s="598"/>
      <c r="O49" s="598">
        <f t="shared" ref="O49" si="82">+G49+I49+M49</f>
        <v>229.86200000000002</v>
      </c>
      <c r="P49" s="524"/>
      <c r="Q49" s="524">
        <f>SUMIF(USM!$C$8:$C$103,$D49,USM!$Q$8:$Q$103)</f>
        <v>0</v>
      </c>
      <c r="R49" s="598"/>
      <c r="S49" s="598">
        <f t="shared" ref="S49" si="83">O49+Q49</f>
        <v>229.86200000000002</v>
      </c>
      <c r="T49" s="524"/>
      <c r="U49" s="524">
        <f>SUMIF(USM!$C$8:$C$103,$D49,USM!$U$8:$U$103)</f>
        <v>0</v>
      </c>
      <c r="V49" s="598"/>
      <c r="W49" s="598">
        <f t="shared" ref="W49" si="84">S49+U49</f>
        <v>229.86200000000002</v>
      </c>
      <c r="X49" s="598"/>
      <c r="Y49" s="524">
        <f>SUMIF(USM!$C$8:$C$103,$D49,USM!$Y$8:$Y$103)</f>
        <v>0</v>
      </c>
      <c r="Z49" s="598"/>
      <c r="AA49" s="2168">
        <f>Q49+U49+Y49</f>
        <v>0</v>
      </c>
      <c r="AB49" s="2228"/>
      <c r="AC49" s="1091">
        <f t="shared" ref="AC49" si="85">O49+AA49</f>
        <v>229.86200000000002</v>
      </c>
      <c r="AD49" s="598"/>
      <c r="AE49" s="524">
        <f>SUMIF(USM!$C$8:$C$103,$D49,USM!$AE$8:$AE$103)</f>
        <v>0</v>
      </c>
      <c r="AF49" s="598"/>
      <c r="AG49" s="598">
        <f t="shared" ref="AG49" si="86">AC49+AE49</f>
        <v>229.86200000000002</v>
      </c>
      <c r="AH49" s="598"/>
      <c r="AI49" s="524">
        <f>SUMIF(USM!$C$8:$C$103,$D49,USM!$AI$8:$AI$103)</f>
        <v>0</v>
      </c>
      <c r="AJ49" s="598"/>
      <c r="AK49" s="593">
        <f t="shared" ref="AK49" si="87">AG49+AI49</f>
        <v>229.86200000000002</v>
      </c>
      <c r="AL49" s="598"/>
      <c r="AM49" s="524">
        <f>SUMIF(USM!$C$8:$C$103,$D49,USM!$AM$8:$AM$103)</f>
        <v>0</v>
      </c>
      <c r="AN49" s="598"/>
      <c r="AO49" s="2168">
        <f t="shared" ref="AO49" si="88">AE49+AI49+AM49</f>
        <v>0</v>
      </c>
      <c r="AP49" s="598"/>
      <c r="AQ49" s="593">
        <f t="shared" ref="AQ49" si="89">AK49+AM49</f>
        <v>229.86200000000002</v>
      </c>
      <c r="AR49" s="598"/>
      <c r="AS49" s="524">
        <f>SUMIF(USM!$C$8:$C$103,$D49,USM!$AS$8:$AS$103)</f>
        <v>0</v>
      </c>
      <c r="AT49" s="598"/>
      <c r="AU49" s="593">
        <f t="shared" ref="AU49" si="90">AQ49+AS49</f>
        <v>229.86200000000002</v>
      </c>
      <c r="AV49" s="598"/>
      <c r="AW49" s="524">
        <f>SUMIF(USM!$C$8:$C$103,$D49,USM!$AW$8:$AW$103)</f>
        <v>0</v>
      </c>
      <c r="AX49" s="598"/>
      <c r="AY49" s="593">
        <f t="shared" ref="AY49" si="91">AU49+AW49</f>
        <v>229.86200000000002</v>
      </c>
      <c r="AZ49" s="598"/>
      <c r="BA49" s="524">
        <f>SUMIF(USM!$C$8:$C$103,$D49,USM!$BA$8:$BA$103)</f>
        <v>0</v>
      </c>
      <c r="BB49" s="598"/>
      <c r="BC49" s="2168">
        <f t="shared" ref="BC49" si="92">AS49+AW49+BA49</f>
        <v>0</v>
      </c>
      <c r="BD49" s="2228"/>
      <c r="BE49" s="1091">
        <f t="shared" ref="BE49" si="93">AO49+BC49</f>
        <v>0</v>
      </c>
      <c r="BF49" s="598"/>
      <c r="BG49" s="593">
        <f t="shared" ref="BG49" si="94">AY49+BA49</f>
        <v>229.86200000000002</v>
      </c>
      <c r="BH49" s="25"/>
      <c r="BI49" s="25"/>
      <c r="BJ49" s="25"/>
    </row>
    <row r="50" spans="3:62" x14ac:dyDescent="0.3">
      <c r="C50" s="523" t="s">
        <v>109</v>
      </c>
      <c r="D50" s="523" t="s">
        <v>1531</v>
      </c>
      <c r="E50" s="5052"/>
      <c r="F50" s="523"/>
      <c r="G50" s="524">
        <f>SUMIF(USM!$C$8:$C$103,$D50,USM!$G$8:$G$103)</f>
        <v>0</v>
      </c>
      <c r="H50" s="524"/>
      <c r="I50" s="524">
        <f>SUMIF(USM!$C$8:$C$103,$D50,USM!$I$8:$I$103)</f>
        <v>332.20299999999997</v>
      </c>
      <c r="J50" s="593"/>
      <c r="K50" s="593">
        <f t="shared" si="53"/>
        <v>332.20299999999997</v>
      </c>
      <c r="L50" s="524"/>
      <c r="M50" s="524">
        <f>SUMIF(USM!$C$8:$C$103,$D50,USM!$M$8:$M$103)</f>
        <v>700.48399999999992</v>
      </c>
      <c r="N50" s="598"/>
      <c r="O50" s="598">
        <f t="shared" si="54"/>
        <v>1032.6869999999999</v>
      </c>
      <c r="P50" s="524"/>
      <c r="Q50" s="524">
        <f>SUMIF(USM!$C$8:$C$103,$D50,USM!$Q$8:$Q$103)</f>
        <v>934.69800000000009</v>
      </c>
      <c r="R50" s="598"/>
      <c r="S50" s="598">
        <f t="shared" si="30"/>
        <v>1967.385</v>
      </c>
      <c r="T50" s="524"/>
      <c r="U50" s="524">
        <f>SUMIF(USM!$C$8:$C$103,$D50,USM!$U$8:$U$103)</f>
        <v>84.19</v>
      </c>
      <c r="V50" s="598"/>
      <c r="W50" s="598">
        <f t="shared" si="64"/>
        <v>2051.5749999999998</v>
      </c>
      <c r="X50" s="598"/>
      <c r="Y50" s="524">
        <f>SUMIF(USM!$C$8:$C$103,$D50,USM!$Y$8:$Y$103)</f>
        <v>471.18099999999998</v>
      </c>
      <c r="Z50" s="598"/>
      <c r="AA50" s="2168">
        <f>Q50+U50+Y50</f>
        <v>1490.0690000000002</v>
      </c>
      <c r="AB50" s="2228"/>
      <c r="AC50" s="1091">
        <f t="shared" si="52"/>
        <v>2522.7560000000003</v>
      </c>
      <c r="AD50" s="598"/>
      <c r="AE50" s="524">
        <f>SUMIF(USM!$C$8:$C$103,$D50,USM!$AE$8:$AE$103)</f>
        <v>0</v>
      </c>
      <c r="AF50" s="598"/>
      <c r="AG50" s="598">
        <f t="shared" si="65"/>
        <v>2522.7560000000003</v>
      </c>
      <c r="AH50" s="598"/>
      <c r="AI50" s="524">
        <f>SUMIF(USM!$C$8:$C$103,$D50,USM!$AI$8:$AI$103)</f>
        <v>368.22899999999998</v>
      </c>
      <c r="AJ50" s="598"/>
      <c r="AK50" s="593">
        <f t="shared" si="66"/>
        <v>2890.9850000000001</v>
      </c>
      <c r="AL50" s="598"/>
      <c r="AM50" s="524">
        <f>SUMIF(USM!$C$8:$C$103,$D50,USM!$AM$8:$AM$103)</f>
        <v>34.414000000000001</v>
      </c>
      <c r="AN50" s="598"/>
      <c r="AO50" s="2168">
        <f t="shared" si="79"/>
        <v>402.64299999999997</v>
      </c>
      <c r="AP50" s="598"/>
      <c r="AQ50" s="593">
        <f t="shared" si="67"/>
        <v>2925.3990000000003</v>
      </c>
      <c r="AR50" s="598"/>
      <c r="AS50" s="524">
        <f>SUMIF(USM!$C$8:$C$103,$D50,USM!$AS$8:$AS$103)</f>
        <v>0</v>
      </c>
      <c r="AT50" s="598"/>
      <c r="AU50" s="593">
        <f t="shared" si="68"/>
        <v>2925.3990000000003</v>
      </c>
      <c r="AV50" s="598"/>
      <c r="AW50" s="524">
        <f>SUMIF(USM!$C$8:$C$103,$D50,USM!$AW$8:$AW$103)</f>
        <v>112.935</v>
      </c>
      <c r="AX50" s="598"/>
      <c r="AY50" s="593">
        <f t="shared" si="69"/>
        <v>3038.3340000000003</v>
      </c>
      <c r="AZ50" s="598"/>
      <c r="BA50" s="524">
        <f>SUMIF(USM!$C$8:$C$103,$D50,USM!$BA$8:$BA$103)</f>
        <v>360.86999999999995</v>
      </c>
      <c r="BB50" s="598"/>
      <c r="BC50" s="2168">
        <f t="shared" si="80"/>
        <v>473.80499999999995</v>
      </c>
      <c r="BD50" s="2228"/>
      <c r="BE50" s="1091">
        <f t="shared" si="13"/>
        <v>876.44799999999987</v>
      </c>
      <c r="BF50" s="598"/>
      <c r="BG50" s="593">
        <f t="shared" si="14"/>
        <v>3399.2040000000002</v>
      </c>
      <c r="BH50" s="25"/>
      <c r="BI50" s="25"/>
      <c r="BJ50" s="25"/>
    </row>
    <row r="51" spans="3:62" x14ac:dyDescent="0.3">
      <c r="C51" s="8368" t="s">
        <v>927</v>
      </c>
      <c r="D51" s="8368"/>
      <c r="E51" s="5052"/>
      <c r="F51" s="602"/>
      <c r="G51" s="603">
        <f>SUM(G46:G50)</f>
        <v>15518.962</v>
      </c>
      <c r="H51" s="603"/>
      <c r="I51" s="603">
        <f>SUM(I46:I50)</f>
        <v>15839.254999999999</v>
      </c>
      <c r="J51" s="603"/>
      <c r="K51" s="604">
        <f>SUM(K46:K50)</f>
        <v>31358.217000000001</v>
      </c>
      <c r="L51" s="603"/>
      <c r="M51" s="603">
        <f>SUM(M46:M50)</f>
        <v>19215.288000000004</v>
      </c>
      <c r="N51" s="603"/>
      <c r="O51" s="603">
        <f>SUM(O46:O50)</f>
        <v>50573.504999999997</v>
      </c>
      <c r="P51" s="603"/>
      <c r="Q51" s="603">
        <f>SUM(Q46:Q50)</f>
        <v>16036.980999999998</v>
      </c>
      <c r="R51" s="603"/>
      <c r="S51" s="603">
        <f>SUM(S46:S46)</f>
        <v>53242.742999999995</v>
      </c>
      <c r="T51" s="603"/>
      <c r="U51" s="603">
        <f>SUM(U46:U50)</f>
        <v>8116.2939999999999</v>
      </c>
      <c r="V51" s="603"/>
      <c r="W51" s="603">
        <f>SUM(W46:W46)</f>
        <v>59043.747999999992</v>
      </c>
      <c r="X51" s="603"/>
      <c r="Y51" s="603">
        <f>SUM(Y46:Y50)</f>
        <v>12005.769000000002</v>
      </c>
      <c r="Z51" s="603"/>
      <c r="AA51" s="2169">
        <f>SUM(AA46:AA50)</f>
        <v>36159.044000000009</v>
      </c>
      <c r="AB51" s="2228"/>
      <c r="AC51" s="2169">
        <f>SUM(AC46:AC50)</f>
        <v>86732.548999999985</v>
      </c>
      <c r="AD51" s="603"/>
      <c r="AE51" s="603">
        <f>SUM(AE46:AE50)</f>
        <v>6177.5450000000001</v>
      </c>
      <c r="AF51" s="603"/>
      <c r="AG51" s="603">
        <f>SUM(AG46:AG46)</f>
        <v>76482.160999999993</v>
      </c>
      <c r="AH51" s="603"/>
      <c r="AI51" s="603">
        <f>SUM(AI46:AI50)</f>
        <v>9277.8849999999984</v>
      </c>
      <c r="AJ51" s="603"/>
      <c r="AK51" s="603">
        <f>SUM(AK46:AK46)</f>
        <v>82512.630999999994</v>
      </c>
      <c r="AL51" s="603"/>
      <c r="AM51" s="603">
        <f>SUM(AM46:AM50)</f>
        <v>10131.795999999998</v>
      </c>
      <c r="AN51" s="603"/>
      <c r="AO51" s="2169">
        <f>SUM(AO46:AO50)</f>
        <v>25587.225999999995</v>
      </c>
      <c r="AP51" s="603"/>
      <c r="AQ51" s="603">
        <f>SUM(AQ46:AQ46)</f>
        <v>91805.986999999994</v>
      </c>
      <c r="AR51" s="603"/>
      <c r="AS51" s="603">
        <f>SUM(AS46:AS50)</f>
        <v>17540.235000000004</v>
      </c>
      <c r="AT51" s="603"/>
      <c r="AU51" s="603">
        <f>SUM(AU46:AU50)</f>
        <v>129860.01</v>
      </c>
      <c r="AV51" s="598"/>
      <c r="AW51" s="603">
        <f>SUM(AW46:AW50)</f>
        <v>6628.9720000000007</v>
      </c>
      <c r="AX51" s="603"/>
      <c r="AY51" s="603">
        <f>SUM(AY46:AY50)</f>
        <v>136488.98199999999</v>
      </c>
      <c r="AZ51" s="598"/>
      <c r="BA51" s="603">
        <f>SUM(BA46:BA50)</f>
        <v>12255.07</v>
      </c>
      <c r="BB51" s="598"/>
      <c r="BC51" s="2169">
        <f>SUM(BC46:BC50)</f>
        <v>36424.277000000002</v>
      </c>
      <c r="BD51" s="2228"/>
      <c r="BE51" s="2169">
        <f>SUM(BE46:BE50)</f>
        <v>62011.50299999999</v>
      </c>
      <c r="BF51" s="598"/>
      <c r="BG51" s="603">
        <f>SUM(BG46:BG50)</f>
        <v>148744.05199999997</v>
      </c>
      <c r="BH51" s="1137"/>
      <c r="BI51" s="25"/>
      <c r="BJ51" s="25"/>
    </row>
    <row r="52" spans="3:62" s="2496" customFormat="1" x14ac:dyDescent="0.3">
      <c r="C52" s="523" t="s">
        <v>936</v>
      </c>
      <c r="D52" s="523" t="s">
        <v>903</v>
      </c>
      <c r="E52" s="5052"/>
      <c r="F52" s="523"/>
      <c r="G52" s="549">
        <f>SUMIF('Value added steel '!$D$55:$D$78,'Special steel '!$D52,'Value added steel '!$G$55:$G$78)</f>
        <v>0</v>
      </c>
      <c r="H52" s="549"/>
      <c r="I52" s="549">
        <f>SUMIF('Value added steel '!$D$55:$D$78,'Special steel '!$D52,'Value added steel '!$I$55:$I$78)</f>
        <v>0</v>
      </c>
      <c r="J52" s="593"/>
      <c r="K52" s="593">
        <f t="shared" si="53"/>
        <v>0</v>
      </c>
      <c r="L52" s="549"/>
      <c r="M52" s="549">
        <f>SUMIF('Value added steel '!$D$55:$D$78,'Special steel '!$D52,'Value added steel '!$M$55:$M$78)</f>
        <v>0</v>
      </c>
      <c r="N52" s="598"/>
      <c r="O52" s="598">
        <f t="shared" si="54"/>
        <v>0</v>
      </c>
      <c r="P52" s="549"/>
      <c r="Q52" s="549">
        <f>SUMIF('Value added steel '!$D$55:$D$78,'Special steel '!$D52,'Value added steel '!$Q$55:$Q$78)</f>
        <v>0</v>
      </c>
      <c r="R52" s="598"/>
      <c r="S52" s="598">
        <f t="shared" si="30"/>
        <v>0</v>
      </c>
      <c r="T52" s="549"/>
      <c r="U52" s="549">
        <f>SUMIF('Value added steel '!$D$55:$D$78,'Special steel '!$D52,'Value added steel '!$U$55:$U$78)</f>
        <v>0</v>
      </c>
      <c r="V52" s="598"/>
      <c r="W52" s="598">
        <f t="shared" ref="W52:W68" si="95">S52+U52</f>
        <v>0</v>
      </c>
      <c r="X52" s="598"/>
      <c r="Y52" s="549">
        <f>SUMIF('Value added steel '!$D$55:$D$78,'Special steel '!$D52,'Value added steel '!$Y$55:$Y$78)</f>
        <v>0</v>
      </c>
      <c r="Z52" s="598"/>
      <c r="AA52" s="2168">
        <f>Q52+U52+Y52</f>
        <v>0</v>
      </c>
      <c r="AB52" s="2228"/>
      <c r="AC52" s="1091">
        <f t="shared" si="52"/>
        <v>0</v>
      </c>
      <c r="AD52" s="598"/>
      <c r="AE52" s="549">
        <f>SUMIF('Value added steel '!$D$55:$D$78,'Special steel '!$D52,'Value added steel '!$AE$55:$AE$78)</f>
        <v>0</v>
      </c>
      <c r="AF52" s="598"/>
      <c r="AG52" s="598">
        <f t="shared" ref="AG52:AG68" si="96">AC52+AE52</f>
        <v>0</v>
      </c>
      <c r="AH52" s="598"/>
      <c r="AI52" s="549">
        <f>SUMIF('Value added steel '!$D$55:$D$78,'Special steel '!$D52,'Value added steel '!$AI$55:$AI$78)</f>
        <v>0</v>
      </c>
      <c r="AJ52" s="598"/>
      <c r="AK52" s="593">
        <f t="shared" ref="AK52:AK68" si="97">AG52+AI52</f>
        <v>0</v>
      </c>
      <c r="AL52" s="598"/>
      <c r="AM52" s="549">
        <f>SUMIF('Value added steel '!$D$55:$D$78,'Special steel '!$D52,'Value added steel '!$AM$55:$AM$78)</f>
        <v>0</v>
      </c>
      <c r="AN52" s="598"/>
      <c r="AO52" s="2168">
        <f>AE52+AI52+AM52</f>
        <v>0</v>
      </c>
      <c r="AP52" s="598"/>
      <c r="AQ52" s="593">
        <f t="shared" ref="AQ52:AQ68" si="98">AK52+AM52</f>
        <v>0</v>
      </c>
      <c r="AR52" s="598"/>
      <c r="AS52" s="549">
        <f>SUMIF('Value added steel '!$D$55:$D$78,'Special steel '!$D52,'Value added steel '!$AS$55:$AS$78)</f>
        <v>0</v>
      </c>
      <c r="AT52" s="598"/>
      <c r="AU52" s="593">
        <f t="shared" ref="AU52:AU68" si="99">AQ52+AS52</f>
        <v>0</v>
      </c>
      <c r="AV52" s="598"/>
      <c r="AW52" s="549">
        <f>SUMIF('Value added steel '!$D$55:$D$78,'Special steel '!$D52,'Value added steel '!$AW$55:$AW$78)</f>
        <v>0</v>
      </c>
      <c r="AX52" s="598"/>
      <c r="AY52" s="593">
        <f t="shared" ref="AY52:AY68" si="100">AU52+AW52</f>
        <v>0</v>
      </c>
      <c r="AZ52" s="598"/>
      <c r="BA52" s="549">
        <f>SUMIF('Value added steel '!$D$55:$D$78,'Special steel '!$D52,'Value added steel '!$BA$55:$BA$78)</f>
        <v>0</v>
      </c>
      <c r="BB52" s="598"/>
      <c r="BC52" s="2168">
        <f>AS52+AW52+BA52</f>
        <v>0</v>
      </c>
      <c r="BD52" s="2228"/>
      <c r="BE52" s="1091">
        <f t="shared" si="13"/>
        <v>0</v>
      </c>
      <c r="BF52" s="598"/>
      <c r="BG52" s="593">
        <f t="shared" si="14"/>
        <v>0</v>
      </c>
      <c r="BH52" s="25"/>
      <c r="BI52" s="25"/>
      <c r="BJ52" s="25"/>
    </row>
    <row r="53" spans="3:62" s="2496" customFormat="1" x14ac:dyDescent="0.3">
      <c r="C53" s="523" t="s">
        <v>936</v>
      </c>
      <c r="D53" s="523" t="s">
        <v>1227</v>
      </c>
      <c r="E53" s="5052"/>
      <c r="F53" s="523"/>
      <c r="G53" s="549">
        <f>SUMIF('Value added steel '!$D$55:$D$78,'Special steel '!$D53,'Value added steel '!$G$55:$G$78)</f>
        <v>0</v>
      </c>
      <c r="H53" s="549"/>
      <c r="I53" s="549">
        <f>SUMIF('Value added steel '!$D$55:$D$78,'Special steel '!$D53,'Value added steel '!$I$55:$I$78)</f>
        <v>0</v>
      </c>
      <c r="J53" s="593"/>
      <c r="K53" s="593">
        <f t="shared" si="53"/>
        <v>0</v>
      </c>
      <c r="L53" s="549"/>
      <c r="M53" s="549">
        <f>SUMIF('Value added steel '!$D$55:$D$78,'Special steel '!$D53,'Value added steel '!$M$55:$M$78)</f>
        <v>0</v>
      </c>
      <c r="N53" s="598"/>
      <c r="O53" s="598">
        <f t="shared" si="54"/>
        <v>0</v>
      </c>
      <c r="P53" s="549"/>
      <c r="Q53" s="549">
        <f>SUMIF('Value added steel '!$D$55:$D$78,'Special steel '!$D53,'Value added steel '!$Q$55:$Q$78)</f>
        <v>0</v>
      </c>
      <c r="R53" s="598"/>
      <c r="S53" s="598">
        <f t="shared" si="30"/>
        <v>0</v>
      </c>
      <c r="T53" s="549"/>
      <c r="U53" s="549">
        <f>SUMIF('Value added steel '!$D$55:$D$78,'Special steel '!$D53,'Value added steel '!$U$55:$U$78)</f>
        <v>0</v>
      </c>
      <c r="V53" s="598"/>
      <c r="W53" s="598">
        <f t="shared" si="95"/>
        <v>0</v>
      </c>
      <c r="X53" s="598"/>
      <c r="Y53" s="549">
        <f>SUMIF('Value added steel '!$D$55:$D$78,'Special steel '!$D53,'Value added steel '!$Y$55:$Y$78)</f>
        <v>0</v>
      </c>
      <c r="Z53" s="598"/>
      <c r="AA53" s="2168">
        <f t="shared" ref="AA53:AA67" si="101">Q53+U53+Y53</f>
        <v>0</v>
      </c>
      <c r="AB53" s="2228"/>
      <c r="AC53" s="1091">
        <f t="shared" ref="AC53:AC67" si="102">O53+AA53</f>
        <v>0</v>
      </c>
      <c r="AD53" s="598"/>
      <c r="AE53" s="549">
        <f>SUMIF('Value added steel '!$D$55:$D$78,'Special steel '!$D53,'Value added steel '!$AE$55:$AE$78)</f>
        <v>0</v>
      </c>
      <c r="AF53" s="598"/>
      <c r="AG53" s="598">
        <f t="shared" si="96"/>
        <v>0</v>
      </c>
      <c r="AH53" s="598"/>
      <c r="AI53" s="549">
        <f>SUMIF('Value added steel '!$D$55:$D$78,'Special steel '!$D53,'Value added steel '!$AI$55:$AI$78)</f>
        <v>0</v>
      </c>
      <c r="AJ53" s="598"/>
      <c r="AK53" s="593">
        <f t="shared" si="97"/>
        <v>0</v>
      </c>
      <c r="AL53" s="598"/>
      <c r="AM53" s="549">
        <f>SUMIF('Value added steel '!$D$55:$D$78,'Special steel '!$D53,'Value added steel '!$AM$55:$AM$78)</f>
        <v>0</v>
      </c>
      <c r="AN53" s="598"/>
      <c r="AO53" s="2168">
        <f t="shared" ref="AO53:AO68" si="103">AE53+AI53+AM53</f>
        <v>0</v>
      </c>
      <c r="AP53" s="598"/>
      <c r="AQ53" s="593">
        <f t="shared" si="98"/>
        <v>0</v>
      </c>
      <c r="AR53" s="598"/>
      <c r="AS53" s="549">
        <f>SUMIF('Value added steel '!$D$55:$D$78,'Special steel '!$D53,'Value added steel '!$AS$55:$AS$78)</f>
        <v>0</v>
      </c>
      <c r="AT53" s="598"/>
      <c r="AU53" s="593">
        <f t="shared" si="99"/>
        <v>0</v>
      </c>
      <c r="AV53" s="598"/>
      <c r="AW53" s="549">
        <f>SUMIF('Value added steel '!$D$55:$D$78,'Special steel '!$D53,'Value added steel '!$AW$55:$AW$78)</f>
        <v>0</v>
      </c>
      <c r="AX53" s="598"/>
      <c r="AY53" s="593">
        <f t="shared" si="100"/>
        <v>0</v>
      </c>
      <c r="AZ53" s="598"/>
      <c r="BA53" s="549">
        <f>SUMIF('Value added steel '!$D$55:$D$78,'Special steel '!$D53,'Value added steel '!$BA$55:$BA$78)</f>
        <v>0</v>
      </c>
      <c r="BB53" s="598"/>
      <c r="BC53" s="2168">
        <f t="shared" ref="BC53:BC68" si="104">AS53+AW53+BA53</f>
        <v>0</v>
      </c>
      <c r="BD53" s="2228"/>
      <c r="BE53" s="1091">
        <f t="shared" si="13"/>
        <v>0</v>
      </c>
      <c r="BF53" s="598"/>
      <c r="BG53" s="593">
        <f t="shared" si="14"/>
        <v>0</v>
      </c>
      <c r="BH53" s="25"/>
      <c r="BI53" s="25"/>
    </row>
    <row r="54" spans="3:62" s="2471" customFormat="1" x14ac:dyDescent="0.3">
      <c r="C54" s="3053" t="s">
        <v>936</v>
      </c>
      <c r="D54" s="3053" t="s">
        <v>1780</v>
      </c>
      <c r="E54" s="5052"/>
      <c r="F54" s="3053"/>
      <c r="G54" s="549">
        <f>SUMIF('Value added steel '!$D$55:$D$78,'Special steel '!$D54,'Value added steel '!$G$55:$G$78)</f>
        <v>0</v>
      </c>
      <c r="H54" s="549"/>
      <c r="I54" s="549">
        <f>SUMIF('Value added steel '!$D$55:$D$78,'Special steel '!$D54,'Value added steel '!$I$55:$I$78)</f>
        <v>0</v>
      </c>
      <c r="J54" s="593"/>
      <c r="K54" s="593">
        <f t="shared" ref="K54" si="105">+G54+I54</f>
        <v>0</v>
      </c>
      <c r="L54" s="549"/>
      <c r="M54" s="549">
        <f>SUMIF('Value added steel '!$D$55:$D$78,'Special steel '!$D54,'Value added steel '!$M$55:$M$78)</f>
        <v>0</v>
      </c>
      <c r="N54" s="598"/>
      <c r="O54" s="598">
        <f t="shared" si="54"/>
        <v>0</v>
      </c>
      <c r="P54" s="2927"/>
      <c r="Q54" s="549">
        <f>SUMIF('Value added steel '!$D$55:$D$78,'Special steel '!$D54,'Value added steel '!$Q$55:$Q$78)</f>
        <v>0</v>
      </c>
      <c r="R54" s="3057"/>
      <c r="S54" s="598">
        <f t="shared" si="30"/>
        <v>0</v>
      </c>
      <c r="T54" s="2927"/>
      <c r="U54" s="549">
        <f>SUMIF('Value added steel '!$D$55:$D$78,'Special steel '!$D54,'Value added steel '!$U$55:$U$78)</f>
        <v>0</v>
      </c>
      <c r="V54" s="3057"/>
      <c r="W54" s="598">
        <f t="shared" si="95"/>
        <v>0</v>
      </c>
      <c r="X54" s="3057"/>
      <c r="Y54" s="549">
        <f>SUMIF('Value added steel '!$D$55:$D$78,'Special steel '!$D54,'Value added steel '!$Y$55:$Y$78)</f>
        <v>0</v>
      </c>
      <c r="Z54" s="3057"/>
      <c r="AA54" s="2168">
        <f t="shared" si="101"/>
        <v>0</v>
      </c>
      <c r="AB54" s="2228"/>
      <c r="AC54" s="1091">
        <f t="shared" si="102"/>
        <v>0</v>
      </c>
      <c r="AD54" s="3057"/>
      <c r="AE54" s="549">
        <f>SUMIF('Value added steel '!$D$55:$D$78,'Special steel '!$D54,'Value added steel '!$AE$55:$AE$78)</f>
        <v>0</v>
      </c>
      <c r="AF54" s="3057"/>
      <c r="AG54" s="3057"/>
      <c r="AH54" s="3057"/>
      <c r="AI54" s="549">
        <f>SUMIF('Value added steel '!$D$55:$D$78,'Special steel '!$D54,'Value added steel '!$AI$55:$AI$78)</f>
        <v>0</v>
      </c>
      <c r="AJ54" s="3057"/>
      <c r="AK54" s="593">
        <f t="shared" si="97"/>
        <v>0</v>
      </c>
      <c r="AL54" s="3057"/>
      <c r="AM54" s="549">
        <f>SUMIF('Value added steel '!$D$55:$D$78,'Special steel '!$D54,'Value added steel '!$AM$55:$AM$78)</f>
        <v>0</v>
      </c>
      <c r="AN54" s="3057"/>
      <c r="AO54" s="2168">
        <f t="shared" si="103"/>
        <v>0</v>
      </c>
      <c r="AP54" s="3057"/>
      <c r="AQ54" s="593">
        <f t="shared" si="98"/>
        <v>0</v>
      </c>
      <c r="AR54" s="3057"/>
      <c r="AS54" s="549">
        <f>SUMIF('Value added steel '!$D$55:$D$78,'Special steel '!$D54,'Value added steel '!$AS$55:$AS$78)</f>
        <v>0</v>
      </c>
      <c r="AT54" s="3057"/>
      <c r="AU54" s="593">
        <f t="shared" si="99"/>
        <v>0</v>
      </c>
      <c r="AV54" s="598"/>
      <c r="AW54" s="549">
        <f>SUMIF('Value added steel '!$D$55:$D$78,'Special steel '!$D54,'Value added steel '!$AW$55:$AW$78)</f>
        <v>0</v>
      </c>
      <c r="AX54" s="3057"/>
      <c r="AY54" s="593">
        <f t="shared" si="100"/>
        <v>0</v>
      </c>
      <c r="AZ54" s="598"/>
      <c r="BA54" s="549">
        <f>SUMIF('Value added steel '!$D$55:$D$78,'Special steel '!$D54,'Value added steel '!$BA$55:$BA$78)</f>
        <v>0</v>
      </c>
      <c r="BB54" s="598"/>
      <c r="BC54" s="2168">
        <f t="shared" si="104"/>
        <v>0</v>
      </c>
      <c r="BD54" s="2228"/>
      <c r="BE54" s="1091">
        <f t="shared" si="13"/>
        <v>0</v>
      </c>
      <c r="BF54" s="598"/>
      <c r="BG54" s="593">
        <f t="shared" si="14"/>
        <v>0</v>
      </c>
      <c r="BH54" s="25"/>
      <c r="BI54" s="25"/>
    </row>
    <row r="55" spans="3:62" x14ac:dyDescent="0.3">
      <c r="C55" s="523" t="s">
        <v>936</v>
      </c>
      <c r="D55" s="523" t="s">
        <v>1063</v>
      </c>
      <c r="E55" s="5052"/>
      <c r="F55" s="523"/>
      <c r="G55" s="549">
        <f>SUMIF('Value added steel '!$D$55:$D$78,'Special steel '!$D55,'Value added steel '!$G$55:$G$78)</f>
        <v>0</v>
      </c>
      <c r="H55" s="549"/>
      <c r="I55" s="549">
        <f>SUMIF('Value added steel '!$D$55:$D$78,'Special steel '!$D55,'Value added steel '!$I$55:$I$78)</f>
        <v>480</v>
      </c>
      <c r="J55" s="593"/>
      <c r="K55" s="593">
        <f t="shared" si="53"/>
        <v>480</v>
      </c>
      <c r="L55" s="549"/>
      <c r="M55" s="549">
        <f>SUMIF('Value added steel '!$D$55:$D$78,'Special steel '!$D55,'Value added steel '!$M$55:$M$78)</f>
        <v>613</v>
      </c>
      <c r="N55" s="598"/>
      <c r="O55" s="598">
        <f t="shared" si="54"/>
        <v>1093</v>
      </c>
      <c r="P55" s="549"/>
      <c r="Q55" s="549">
        <f>SUMIF('Value added steel '!$D$55:$D$78,'Special steel '!$D55,'Value added steel '!$Q$55:$Q$78)</f>
        <v>0</v>
      </c>
      <c r="R55" s="598"/>
      <c r="S55" s="598">
        <f t="shared" si="30"/>
        <v>1093</v>
      </c>
      <c r="T55" s="549"/>
      <c r="U55" s="549">
        <f>SUMIF('Value added steel '!$D$55:$D$78,'Special steel '!$D55,'Value added steel '!$U$55:$U$78)</f>
        <v>0</v>
      </c>
      <c r="V55" s="598"/>
      <c r="W55" s="598">
        <f t="shared" si="95"/>
        <v>1093</v>
      </c>
      <c r="X55" s="598"/>
      <c r="Y55" s="549">
        <f>SUMIF('Value added steel '!$D$55:$D$78,'Special steel '!$D55,'Value added steel '!$Y$55:$Y$78)</f>
        <v>0</v>
      </c>
      <c r="Z55" s="598"/>
      <c r="AA55" s="2168">
        <f t="shared" si="101"/>
        <v>0</v>
      </c>
      <c r="AB55" s="2228"/>
      <c r="AC55" s="1091">
        <f t="shared" si="102"/>
        <v>1093</v>
      </c>
      <c r="AD55" s="598"/>
      <c r="AE55" s="549">
        <f>SUMIF('Value added steel '!$D$55:$D$78,'Special steel '!$D55,'Value added steel '!$AE$55:$AE$78)</f>
        <v>292</v>
      </c>
      <c r="AF55" s="598"/>
      <c r="AG55" s="598">
        <f t="shared" si="96"/>
        <v>1385</v>
      </c>
      <c r="AH55" s="598"/>
      <c r="AI55" s="549">
        <f>SUMIF('Value added steel '!$D$55:$D$78,'Special steel '!$D55,'Value added steel '!$AI$55:$AI$78)</f>
        <v>0</v>
      </c>
      <c r="AJ55" s="598"/>
      <c r="AK55" s="593">
        <f t="shared" si="97"/>
        <v>1385</v>
      </c>
      <c r="AL55" s="598"/>
      <c r="AM55" s="549">
        <f>SUMIF('Value added steel '!$D$55:$D$78,'Special steel '!$D55,'Value added steel '!$AM$55:$AM$78)</f>
        <v>153</v>
      </c>
      <c r="AN55" s="598"/>
      <c r="AO55" s="2168">
        <f t="shared" si="103"/>
        <v>445</v>
      </c>
      <c r="AP55" s="598"/>
      <c r="AQ55" s="593">
        <f t="shared" si="98"/>
        <v>1538</v>
      </c>
      <c r="AR55" s="598"/>
      <c r="AS55" s="549">
        <f>SUMIF('Value added steel '!$D$55:$D$78,'Special steel '!$D55,'Value added steel '!$AS$55:$AS$78)</f>
        <v>2353</v>
      </c>
      <c r="AT55" s="598"/>
      <c r="AU55" s="593">
        <f t="shared" si="99"/>
        <v>3891</v>
      </c>
      <c r="AV55" s="598"/>
      <c r="AW55" s="549">
        <f>SUMIF('Value added steel '!$D$55:$D$78,'Special steel '!$D55,'Value added steel '!$AW$55:$AW$78)</f>
        <v>0</v>
      </c>
      <c r="AX55" s="598"/>
      <c r="AY55" s="593">
        <f t="shared" si="100"/>
        <v>3891</v>
      </c>
      <c r="AZ55" s="598"/>
      <c r="BA55" s="549">
        <f>SUMIF('Value added steel '!$D$55:$D$78,'Special steel '!$D55,'Value added steel '!$BA$55:$BA$78)</f>
        <v>89.292000000000002</v>
      </c>
      <c r="BB55" s="598"/>
      <c r="BC55" s="2168">
        <f t="shared" si="104"/>
        <v>2442.2919999999999</v>
      </c>
      <c r="BD55" s="2228"/>
      <c r="BE55" s="1091">
        <f t="shared" si="13"/>
        <v>2887.2919999999999</v>
      </c>
      <c r="BF55" s="598"/>
      <c r="BG55" s="593">
        <f t="shared" si="14"/>
        <v>3980.2919999999999</v>
      </c>
      <c r="BH55" s="25"/>
      <c r="BI55" s="25"/>
    </row>
    <row r="56" spans="3:62" x14ac:dyDescent="0.3">
      <c r="C56" s="523" t="s">
        <v>936</v>
      </c>
      <c r="D56" s="523" t="s">
        <v>1058</v>
      </c>
      <c r="E56" s="5052"/>
      <c r="F56" s="523"/>
      <c r="G56" s="549">
        <f>SUMIF('Value added steel '!$D$55:$D$78,'Special steel '!$D56,'Value added steel '!$G$55:$G$78)</f>
        <v>0</v>
      </c>
      <c r="H56" s="549"/>
      <c r="I56" s="549">
        <f>SUMIF('Value added steel '!$D$55:$D$78,'Special steel '!$D56,'Value added steel '!$I$55:$I$78)</f>
        <v>0</v>
      </c>
      <c r="J56" s="593"/>
      <c r="K56" s="593">
        <f t="shared" si="53"/>
        <v>0</v>
      </c>
      <c r="L56" s="549"/>
      <c r="M56" s="549">
        <f>SUMIF('Value added steel '!$D$55:$D$78,'Special steel '!$D56,'Value added steel '!$M$55:$M$78)</f>
        <v>0</v>
      </c>
      <c r="N56" s="598"/>
      <c r="O56" s="598">
        <f t="shared" si="54"/>
        <v>0</v>
      </c>
      <c r="P56" s="549"/>
      <c r="Q56" s="549">
        <f>SUMIF('Value added steel '!$D$55:$D$78,'Special steel '!$D56,'Value added steel '!$Q$55:$Q$78)</f>
        <v>0</v>
      </c>
      <c r="R56" s="598"/>
      <c r="S56" s="598">
        <f t="shared" si="30"/>
        <v>0</v>
      </c>
      <c r="T56" s="549"/>
      <c r="U56" s="549">
        <f>SUMIF('Value added steel '!$D$55:$D$78,'Special steel '!$D56,'Value added steel '!$U$55:$U$78)</f>
        <v>0</v>
      </c>
      <c r="V56" s="598"/>
      <c r="W56" s="598">
        <f t="shared" si="95"/>
        <v>0</v>
      </c>
      <c r="X56" s="598"/>
      <c r="Y56" s="549">
        <f>SUMIF('Value added steel '!$D$55:$D$78,'Special steel '!$D56,'Value added steel '!$Y$55:$Y$78)</f>
        <v>0</v>
      </c>
      <c r="Z56" s="598"/>
      <c r="AA56" s="2168">
        <f t="shared" si="101"/>
        <v>0</v>
      </c>
      <c r="AB56" s="2228"/>
      <c r="AC56" s="1091">
        <f t="shared" si="102"/>
        <v>0</v>
      </c>
      <c r="AD56" s="598"/>
      <c r="AE56" s="549">
        <f>SUMIF('Value added steel '!$D$55:$D$78,'Special steel '!$D56,'Value added steel '!$AE$55:$AE$78)</f>
        <v>0</v>
      </c>
      <c r="AF56" s="598"/>
      <c r="AG56" s="598">
        <f t="shared" si="96"/>
        <v>0</v>
      </c>
      <c r="AH56" s="598"/>
      <c r="AI56" s="549">
        <f>SUMIF('Value added steel '!$D$55:$D$78,'Special steel '!$D56,'Value added steel '!$AI$55:$AI$78)</f>
        <v>0</v>
      </c>
      <c r="AJ56" s="598"/>
      <c r="AK56" s="593">
        <f t="shared" si="97"/>
        <v>0</v>
      </c>
      <c r="AL56" s="598"/>
      <c r="AM56" s="549">
        <f>SUMIF('Value added steel '!$D$55:$D$78,'Special steel '!$D56,'Value added steel '!$AM$55:$AM$78)</f>
        <v>0</v>
      </c>
      <c r="AN56" s="598"/>
      <c r="AO56" s="2168">
        <f t="shared" si="103"/>
        <v>0</v>
      </c>
      <c r="AP56" s="598"/>
      <c r="AQ56" s="593">
        <f t="shared" si="98"/>
        <v>0</v>
      </c>
      <c r="AR56" s="598"/>
      <c r="AS56" s="549">
        <f>SUMIF('Value added steel '!$D$55:$D$78,'Special steel '!$D56,'Value added steel '!$AS$55:$AS$78)</f>
        <v>0</v>
      </c>
      <c r="AT56" s="598"/>
      <c r="AU56" s="593">
        <f t="shared" si="99"/>
        <v>0</v>
      </c>
      <c r="AV56" s="598"/>
      <c r="AW56" s="549">
        <f>SUMIF('Value added steel '!$D$55:$D$78,'Special steel '!$D56,'Value added steel '!$AW$55:$AW$78)</f>
        <v>0</v>
      </c>
      <c r="AX56" s="598"/>
      <c r="AY56" s="593">
        <f t="shared" si="100"/>
        <v>0</v>
      </c>
      <c r="AZ56" s="598"/>
      <c r="BA56" s="549">
        <f>SUMIF('Value added steel '!$D$55:$D$78,'Special steel '!$D56,'Value added steel '!$BA$55:$BA$78)</f>
        <v>0</v>
      </c>
      <c r="BB56" s="598"/>
      <c r="BC56" s="2168">
        <f t="shared" si="104"/>
        <v>0</v>
      </c>
      <c r="BD56" s="2228"/>
      <c r="BE56" s="1091">
        <f t="shared" si="13"/>
        <v>0</v>
      </c>
      <c r="BF56" s="598"/>
      <c r="BG56" s="593">
        <f t="shared" si="14"/>
        <v>0</v>
      </c>
      <c r="BH56" s="25"/>
      <c r="BI56" s="25"/>
    </row>
    <row r="57" spans="3:62" s="2501" customFormat="1" x14ac:dyDescent="0.3">
      <c r="C57" s="523" t="s">
        <v>936</v>
      </c>
      <c r="D57" s="523" t="s">
        <v>1032</v>
      </c>
      <c r="E57" s="5052"/>
      <c r="F57" s="523"/>
      <c r="G57" s="549">
        <f>SUMIF('Value added steel '!$D$55:$D$78,'Special steel '!$D57,'Value added steel '!$G$55:$G$78)</f>
        <v>1424</v>
      </c>
      <c r="H57" s="549"/>
      <c r="I57" s="549">
        <f>SUMIF('Value added steel '!$D$55:$D$78,'Special steel '!$D57,'Value added steel '!$I$55:$I$78)</f>
        <v>0</v>
      </c>
      <c r="J57" s="593"/>
      <c r="K57" s="593">
        <f t="shared" si="53"/>
        <v>1424</v>
      </c>
      <c r="L57" s="549"/>
      <c r="M57" s="549">
        <f>SUMIF('Value added steel '!$D$55:$D$78,'Special steel '!$D57,'Value added steel '!$M$55:$M$78)</f>
        <v>3911</v>
      </c>
      <c r="N57" s="598"/>
      <c r="O57" s="598">
        <f t="shared" si="54"/>
        <v>5335</v>
      </c>
      <c r="P57" s="549"/>
      <c r="Q57" s="549">
        <f>SUMIF('Value added steel '!$D$55:$D$78,'Special steel '!$D57,'Value added steel '!$Q$55:$Q$78)</f>
        <v>0</v>
      </c>
      <c r="R57" s="598"/>
      <c r="S57" s="598">
        <f t="shared" si="30"/>
        <v>5335</v>
      </c>
      <c r="T57" s="549"/>
      <c r="U57" s="549">
        <f>SUMIF('Value added steel '!$D$55:$D$78,'Special steel '!$D57,'Value added steel '!$U$55:$U$78)</f>
        <v>0</v>
      </c>
      <c r="V57" s="598"/>
      <c r="W57" s="598">
        <f t="shared" si="95"/>
        <v>5335</v>
      </c>
      <c r="X57" s="598"/>
      <c r="Y57" s="549">
        <f>SUMIF('Value added steel '!$D$55:$D$78,'Special steel '!$D57,'Value added steel '!$Y$55:$Y$78)</f>
        <v>1778</v>
      </c>
      <c r="Z57" s="598"/>
      <c r="AA57" s="2168">
        <f t="shared" si="101"/>
        <v>1778</v>
      </c>
      <c r="AB57" s="2228"/>
      <c r="AC57" s="1091">
        <f t="shared" si="102"/>
        <v>7113</v>
      </c>
      <c r="AD57" s="598"/>
      <c r="AE57" s="549">
        <f>SUMIF('Value added steel '!$D$55:$D$78,'Special steel '!$D57,'Value added steel '!$AE$55:$AE$78)</f>
        <v>6209</v>
      </c>
      <c r="AF57" s="598"/>
      <c r="AG57" s="598">
        <f t="shared" si="96"/>
        <v>13322</v>
      </c>
      <c r="AH57" s="598"/>
      <c r="AI57" s="549">
        <f>SUMIF('Value added steel '!$D$55:$D$78,'Special steel '!$D57,'Value added steel '!$AI$55:$AI$78)</f>
        <v>3737.4479999999999</v>
      </c>
      <c r="AJ57" s="598"/>
      <c r="AK57" s="593">
        <f t="shared" si="97"/>
        <v>17059.448</v>
      </c>
      <c r="AL57" s="598"/>
      <c r="AM57" s="549">
        <f>SUMIF('Value added steel '!$D$55:$D$78,'Special steel '!$D57,'Value added steel '!$AM$55:$AM$78)</f>
        <v>3995</v>
      </c>
      <c r="AN57" s="598"/>
      <c r="AO57" s="2168">
        <f t="shared" si="103"/>
        <v>13941.448</v>
      </c>
      <c r="AP57" s="598"/>
      <c r="AQ57" s="593">
        <f t="shared" si="98"/>
        <v>21054.448</v>
      </c>
      <c r="AR57" s="598"/>
      <c r="AS57" s="549">
        <f>SUMIF('Value added steel '!$D$55:$D$78,'Special steel '!$D57,'Value added steel '!$AS$55:$AS$78)</f>
        <v>3115</v>
      </c>
      <c r="AT57" s="598"/>
      <c r="AU57" s="593">
        <f t="shared" si="99"/>
        <v>24169.448</v>
      </c>
      <c r="AV57" s="598"/>
      <c r="AW57" s="549">
        <f>SUMIF('Value added steel '!$D$55:$D$78,'Special steel '!$D57,'Value added steel '!$AW$55:$AW$78)</f>
        <v>1894.2660000000001</v>
      </c>
      <c r="AX57" s="598"/>
      <c r="AY57" s="593">
        <f t="shared" si="100"/>
        <v>26063.714</v>
      </c>
      <c r="AZ57" s="598"/>
      <c r="BA57" s="549">
        <f>SUMIF('Value added steel '!$D$55:$D$78,'Special steel '!$D57,'Value added steel '!$BA$55:$BA$78)</f>
        <v>4694.2079999999996</v>
      </c>
      <c r="BB57" s="598"/>
      <c r="BC57" s="2168">
        <f t="shared" si="104"/>
        <v>9703.4739999999983</v>
      </c>
      <c r="BD57" s="2228"/>
      <c r="BE57" s="1091">
        <f t="shared" si="13"/>
        <v>23644.921999999999</v>
      </c>
      <c r="BF57" s="598"/>
      <c r="BG57" s="593">
        <f t="shared" si="14"/>
        <v>30757.921999999999</v>
      </c>
      <c r="BH57" s="25"/>
      <c r="BI57" s="25"/>
    </row>
    <row r="58" spans="3:62" x14ac:dyDescent="0.3">
      <c r="C58" s="523" t="s">
        <v>936</v>
      </c>
      <c r="D58" s="523" t="s">
        <v>1565</v>
      </c>
      <c r="E58" s="5052"/>
      <c r="F58" s="523"/>
      <c r="G58" s="549">
        <f>SUMIF('Value added steel '!$D$55:$D$78,'Special steel '!$D58,'Value added steel '!$G$55:$G$78)</f>
        <v>0</v>
      </c>
      <c r="H58" s="549"/>
      <c r="I58" s="549">
        <f>SUMIF('Value added steel '!$D$55:$D$78,'Special steel '!$D58,'Value added steel '!$I$55:$I$78)</f>
        <v>0</v>
      </c>
      <c r="J58" s="593"/>
      <c r="K58" s="593">
        <f t="shared" si="53"/>
        <v>0</v>
      </c>
      <c r="L58" s="549"/>
      <c r="M58" s="549">
        <f>SUMIF('Value added steel '!$D$55:$D$78,'Special steel '!$D58,'Value added steel '!$M$55:$M$78)</f>
        <v>0</v>
      </c>
      <c r="N58" s="598"/>
      <c r="O58" s="598">
        <f t="shared" si="54"/>
        <v>0</v>
      </c>
      <c r="P58" s="549"/>
      <c r="Q58" s="549">
        <f>SUMIF('Value added steel '!$D$55:$D$78,'Special steel '!$D58,'Value added steel '!$Q$55:$Q$78)</f>
        <v>0</v>
      </c>
      <c r="R58" s="598"/>
      <c r="S58" s="598">
        <f t="shared" si="30"/>
        <v>0</v>
      </c>
      <c r="T58" s="549"/>
      <c r="U58" s="549">
        <f>SUMIF('Value added steel '!$D$55:$D$78,'Special steel '!$D58,'Value added steel '!$U$55:$U$78)</f>
        <v>0</v>
      </c>
      <c r="V58" s="598"/>
      <c r="W58" s="598">
        <f t="shared" si="95"/>
        <v>0</v>
      </c>
      <c r="X58" s="598"/>
      <c r="Y58" s="549">
        <f>SUMIF('Value added steel '!$D$55:$D$78,'Special steel '!$D58,'Value added steel '!$Y$55:$Y$78)</f>
        <v>0</v>
      </c>
      <c r="Z58" s="598"/>
      <c r="AA58" s="2168">
        <f t="shared" si="101"/>
        <v>0</v>
      </c>
      <c r="AB58" s="2228"/>
      <c r="AC58" s="1091">
        <f t="shared" si="102"/>
        <v>0</v>
      </c>
      <c r="AD58" s="598"/>
      <c r="AE58" s="549">
        <f>SUMIF('Value added steel '!$D$55:$D$78,'Special steel '!$D58,'Value added steel '!$AE$55:$AE$78)</f>
        <v>0</v>
      </c>
      <c r="AF58" s="598"/>
      <c r="AG58" s="598">
        <f t="shared" si="96"/>
        <v>0</v>
      </c>
      <c r="AH58" s="598"/>
      <c r="AI58" s="549">
        <f>SUMIF('Value added steel '!$D$55:$D$78,'Special steel '!$D58,'Value added steel '!$AI$55:$AI$78)</f>
        <v>0</v>
      </c>
      <c r="AJ58" s="598"/>
      <c r="AK58" s="593">
        <f t="shared" si="97"/>
        <v>0</v>
      </c>
      <c r="AL58" s="598"/>
      <c r="AM58" s="549">
        <f>SUMIF('Value added steel '!$D$55:$D$78,'Special steel '!$D58,'Value added steel '!$AM$55:$AM$78)</f>
        <v>0</v>
      </c>
      <c r="AN58" s="598"/>
      <c r="AO58" s="2168">
        <f t="shared" si="103"/>
        <v>0</v>
      </c>
      <c r="AP58" s="598"/>
      <c r="AQ58" s="593">
        <f t="shared" si="98"/>
        <v>0</v>
      </c>
      <c r="AR58" s="598"/>
      <c r="AS58" s="549">
        <f>SUMIF('Value added steel '!$D$55:$D$78,'Special steel '!$D58,'Value added steel '!$AS$55:$AS$78)</f>
        <v>0</v>
      </c>
      <c r="AT58" s="598"/>
      <c r="AU58" s="593">
        <f t="shared" si="99"/>
        <v>0</v>
      </c>
      <c r="AV58" s="598"/>
      <c r="AW58" s="549">
        <f>SUMIF('Value added steel '!$D$55:$D$78,'Special steel '!$D58,'Value added steel '!$AW$55:$AW$78)</f>
        <v>0</v>
      </c>
      <c r="AX58" s="598"/>
      <c r="AY58" s="593">
        <f t="shared" si="100"/>
        <v>0</v>
      </c>
      <c r="AZ58" s="598"/>
      <c r="BA58" s="549">
        <f>SUMIF('Value added steel '!$D$55:$D$78,'Special steel '!$D58,'Value added steel '!$BA$55:$BA$78)</f>
        <v>0</v>
      </c>
      <c r="BB58" s="598"/>
      <c r="BC58" s="2168">
        <f t="shared" si="104"/>
        <v>0</v>
      </c>
      <c r="BD58" s="2228"/>
      <c r="BE58" s="1091">
        <f t="shared" si="13"/>
        <v>0</v>
      </c>
      <c r="BF58" s="598"/>
      <c r="BG58" s="593">
        <f t="shared" si="14"/>
        <v>0</v>
      </c>
      <c r="BH58" s="25"/>
      <c r="BI58" s="25"/>
    </row>
    <row r="59" spans="3:62" x14ac:dyDescent="0.3">
      <c r="C59" s="523" t="s">
        <v>936</v>
      </c>
      <c r="D59" s="523" t="s">
        <v>1566</v>
      </c>
      <c r="E59" s="5052"/>
      <c r="F59" s="523"/>
      <c r="G59" s="549">
        <f>SUMIF('Value added steel '!$D$55:$D$78,'Special steel '!$D59,'Value added steel '!$G$55:$G$78)</f>
        <v>0</v>
      </c>
      <c r="H59" s="549"/>
      <c r="I59" s="549">
        <f>SUMIF('Value added steel '!$D$55:$D$78,'Special steel '!$D59,'Value added steel '!$I$55:$I$78)</f>
        <v>0</v>
      </c>
      <c r="J59" s="593"/>
      <c r="K59" s="593">
        <f t="shared" si="53"/>
        <v>0</v>
      </c>
      <c r="L59" s="549"/>
      <c r="M59" s="549">
        <f>SUMIF('Value added steel '!$D$55:$D$78,'Special steel '!$D59,'Value added steel '!$M$55:$M$78)</f>
        <v>0</v>
      </c>
      <c r="N59" s="598"/>
      <c r="O59" s="598">
        <f t="shared" si="54"/>
        <v>0</v>
      </c>
      <c r="P59" s="549"/>
      <c r="Q59" s="549">
        <f>SUMIF('Value added steel '!$D$55:$D$78,'Special steel '!$D59,'Value added steel '!$Q$55:$Q$78)</f>
        <v>0</v>
      </c>
      <c r="R59" s="598"/>
      <c r="S59" s="598">
        <f t="shared" si="30"/>
        <v>0</v>
      </c>
      <c r="T59" s="549"/>
      <c r="U59" s="549">
        <f>SUMIF('Value added steel '!$D$55:$D$78,'Special steel '!$D59,'Value added steel '!$U$55:$U$78)</f>
        <v>0</v>
      </c>
      <c r="V59" s="598"/>
      <c r="W59" s="598">
        <f t="shared" si="95"/>
        <v>0</v>
      </c>
      <c r="X59" s="598"/>
      <c r="Y59" s="549">
        <f>SUMIF('Value added steel '!$D$55:$D$78,'Special steel '!$D59,'Value added steel '!$Y$55:$Y$78)</f>
        <v>0</v>
      </c>
      <c r="Z59" s="598"/>
      <c r="AA59" s="2168">
        <f t="shared" si="101"/>
        <v>0</v>
      </c>
      <c r="AB59" s="2228"/>
      <c r="AC59" s="1091">
        <f t="shared" si="102"/>
        <v>0</v>
      </c>
      <c r="AD59" s="598"/>
      <c r="AE59" s="549">
        <f>SUMIF('Value added steel '!$D$55:$D$78,'Special steel '!$D59,'Value added steel '!$AE$55:$AE$78)</f>
        <v>0</v>
      </c>
      <c r="AF59" s="598"/>
      <c r="AG59" s="598">
        <f t="shared" si="96"/>
        <v>0</v>
      </c>
      <c r="AH59" s="598"/>
      <c r="AI59" s="549">
        <f>SUMIF('Value added steel '!$D$55:$D$78,'Special steel '!$D59,'Value added steel '!$AI$55:$AI$78)</f>
        <v>0</v>
      </c>
      <c r="AJ59" s="598"/>
      <c r="AK59" s="593">
        <f t="shared" si="97"/>
        <v>0</v>
      </c>
      <c r="AL59" s="598"/>
      <c r="AM59" s="549">
        <f>SUMIF('Value added steel '!$D$55:$D$78,'Special steel '!$D59,'Value added steel '!$AM$55:$AM$78)</f>
        <v>0</v>
      </c>
      <c r="AN59" s="598"/>
      <c r="AO59" s="2168">
        <f t="shared" si="103"/>
        <v>0</v>
      </c>
      <c r="AP59" s="598"/>
      <c r="AQ59" s="593">
        <f t="shared" si="98"/>
        <v>0</v>
      </c>
      <c r="AR59" s="598"/>
      <c r="AS59" s="549">
        <f>SUMIF('Value added steel '!$D$55:$D$78,'Special steel '!$D59,'Value added steel '!$AS$55:$AS$78)</f>
        <v>0</v>
      </c>
      <c r="AT59" s="598"/>
      <c r="AU59" s="593">
        <f t="shared" si="99"/>
        <v>0</v>
      </c>
      <c r="AV59" s="598"/>
      <c r="AW59" s="549">
        <f>SUMIF('Value added steel '!$D$55:$D$78,'Special steel '!$D59,'Value added steel '!$AW$55:$AW$78)</f>
        <v>0</v>
      </c>
      <c r="AX59" s="598"/>
      <c r="AY59" s="593">
        <f t="shared" si="100"/>
        <v>0</v>
      </c>
      <c r="AZ59" s="598"/>
      <c r="BA59" s="549">
        <f>SUMIF('Value added steel '!$D$55:$D$78,'Special steel '!$D59,'Value added steel '!$BA$55:$BA$78)</f>
        <v>0</v>
      </c>
      <c r="BB59" s="598"/>
      <c r="BC59" s="2168">
        <f t="shared" si="104"/>
        <v>0</v>
      </c>
      <c r="BD59" s="2228"/>
      <c r="BE59" s="1091">
        <f t="shared" si="13"/>
        <v>0</v>
      </c>
      <c r="BF59" s="598"/>
      <c r="BG59" s="593">
        <f t="shared" si="14"/>
        <v>0</v>
      </c>
      <c r="BH59" s="25"/>
      <c r="BI59" s="25"/>
    </row>
    <row r="60" spans="3:62" x14ac:dyDescent="0.3">
      <c r="C60" s="523" t="s">
        <v>936</v>
      </c>
      <c r="D60" s="523" t="s">
        <v>1459</v>
      </c>
      <c r="E60" s="5052"/>
      <c r="F60" s="523"/>
      <c r="G60" s="549">
        <f>SUMIF('Value added steel '!$D$55:$D$78,'Special steel '!$D60,'Value added steel '!$G$55:$G$78)</f>
        <v>0</v>
      </c>
      <c r="H60" s="549"/>
      <c r="I60" s="549">
        <f>SUMIF('Value added steel '!$D$55:$D$78,'Special steel '!$D60,'Value added steel '!$I$55:$I$78)</f>
        <v>0</v>
      </c>
      <c r="J60" s="593"/>
      <c r="K60" s="593">
        <f t="shared" si="53"/>
        <v>0</v>
      </c>
      <c r="L60" s="549"/>
      <c r="M60" s="549">
        <f>SUMIF('Value added steel '!$D$55:$D$78,'Special steel '!$D60,'Value added steel '!$M$55:$M$78)</f>
        <v>0</v>
      </c>
      <c r="N60" s="598"/>
      <c r="O60" s="598">
        <f t="shared" si="54"/>
        <v>0</v>
      </c>
      <c r="P60" s="549"/>
      <c r="Q60" s="549">
        <f>SUMIF('Value added steel '!$D$55:$D$78,'Special steel '!$D60,'Value added steel '!$Q$55:$Q$78)</f>
        <v>0</v>
      </c>
      <c r="R60" s="598"/>
      <c r="S60" s="598">
        <f t="shared" si="30"/>
        <v>0</v>
      </c>
      <c r="T60" s="549"/>
      <c r="U60" s="549">
        <f>SUMIF('Value added steel '!$D$55:$D$78,'Special steel '!$D60,'Value added steel '!$U$55:$U$78)</f>
        <v>0</v>
      </c>
      <c r="V60" s="598"/>
      <c r="W60" s="598">
        <f t="shared" si="95"/>
        <v>0</v>
      </c>
      <c r="X60" s="598"/>
      <c r="Y60" s="549">
        <f>SUMIF('Value added steel '!$D$55:$D$78,'Special steel '!$D60,'Value added steel '!$Y$55:$Y$78)</f>
        <v>0</v>
      </c>
      <c r="Z60" s="598"/>
      <c r="AA60" s="2168">
        <f t="shared" si="101"/>
        <v>0</v>
      </c>
      <c r="AB60" s="2228"/>
      <c r="AC60" s="1091">
        <f t="shared" si="102"/>
        <v>0</v>
      </c>
      <c r="AD60" s="598"/>
      <c r="AE60" s="549">
        <f>SUMIF('Value added steel '!$D$55:$D$78,'Special steel '!$D60,'Value added steel '!$AE$55:$AE$78)</f>
        <v>0</v>
      </c>
      <c r="AF60" s="598"/>
      <c r="AG60" s="598">
        <f t="shared" si="96"/>
        <v>0</v>
      </c>
      <c r="AH60" s="598"/>
      <c r="AI60" s="549">
        <f>SUMIF('Value added steel '!$D$55:$D$78,'Special steel '!$D60,'Value added steel '!$AI$55:$AI$78)</f>
        <v>0</v>
      </c>
      <c r="AJ60" s="598"/>
      <c r="AK60" s="593">
        <f t="shared" si="97"/>
        <v>0</v>
      </c>
      <c r="AL60" s="598"/>
      <c r="AM60" s="549">
        <f>SUMIF('Value added steel '!$D$55:$D$78,'Special steel '!$D60,'Value added steel '!$AM$55:$AM$78)</f>
        <v>0</v>
      </c>
      <c r="AN60" s="598"/>
      <c r="AO60" s="2168">
        <f t="shared" si="103"/>
        <v>0</v>
      </c>
      <c r="AP60" s="598"/>
      <c r="AQ60" s="593">
        <f t="shared" si="98"/>
        <v>0</v>
      </c>
      <c r="AR60" s="598"/>
      <c r="AS60" s="549">
        <f>SUMIF('Value added steel '!$D$55:$D$78,'Special steel '!$D60,'Value added steel '!$AS$55:$AS$78)</f>
        <v>0</v>
      </c>
      <c r="AT60" s="598"/>
      <c r="AU60" s="593">
        <f t="shared" si="99"/>
        <v>0</v>
      </c>
      <c r="AV60" s="598"/>
      <c r="AW60" s="549">
        <f>SUMIF('Value added steel '!$D$55:$D$78,'Special steel '!$D60,'Value added steel '!$AW$55:$AW$78)</f>
        <v>0</v>
      </c>
      <c r="AX60" s="598"/>
      <c r="AY60" s="593">
        <f t="shared" si="100"/>
        <v>0</v>
      </c>
      <c r="AZ60" s="598"/>
      <c r="BA60" s="549">
        <f>SUMIF('Value added steel '!$D$55:$D$78,'Special steel '!$D60,'Value added steel '!$BA$55:$BA$78)</f>
        <v>0</v>
      </c>
      <c r="BB60" s="598"/>
      <c r="BC60" s="2168">
        <f t="shared" si="104"/>
        <v>0</v>
      </c>
      <c r="BD60" s="2228"/>
      <c r="BE60" s="1091">
        <f t="shared" si="13"/>
        <v>0</v>
      </c>
      <c r="BF60" s="598"/>
      <c r="BG60" s="593">
        <f t="shared" si="14"/>
        <v>0</v>
      </c>
      <c r="BH60" s="25"/>
      <c r="BI60" s="25"/>
    </row>
    <row r="61" spans="3:62" x14ac:dyDescent="0.3">
      <c r="C61" s="523" t="s">
        <v>936</v>
      </c>
      <c r="D61" s="523" t="s">
        <v>1033</v>
      </c>
      <c r="E61" s="5052"/>
      <c r="F61" s="523"/>
      <c r="G61" s="549">
        <f>SUMIF('Value added steel '!$D$55:$D$78,'Special steel '!$D61,'Value added steel '!$G$55:$G$78)</f>
        <v>134</v>
      </c>
      <c r="H61" s="549"/>
      <c r="I61" s="549">
        <f>SUMIF('Value added steel '!$D$55:$D$78,'Special steel '!$D61,'Value added steel '!$I$55:$I$78)</f>
        <v>0</v>
      </c>
      <c r="J61" s="593"/>
      <c r="K61" s="593">
        <f t="shared" si="53"/>
        <v>134</v>
      </c>
      <c r="L61" s="549"/>
      <c r="M61" s="549">
        <f>SUMIF('Value added steel '!$D$55:$D$78,'Special steel '!$D61,'Value added steel '!$M$55:$M$78)</f>
        <v>0</v>
      </c>
      <c r="N61" s="598"/>
      <c r="O61" s="598">
        <f t="shared" si="54"/>
        <v>134</v>
      </c>
      <c r="P61" s="549"/>
      <c r="Q61" s="549">
        <f>SUMIF('Value added steel '!$D$55:$D$78,'Special steel '!$D61,'Value added steel '!$Q$55:$Q$78)</f>
        <v>0</v>
      </c>
      <c r="R61" s="598"/>
      <c r="S61" s="598">
        <f t="shared" si="30"/>
        <v>134</v>
      </c>
      <c r="T61" s="549"/>
      <c r="U61" s="549">
        <f>SUMIF('Value added steel '!$D$55:$D$78,'Special steel '!$D61,'Value added steel '!$U$55:$U$78)</f>
        <v>0</v>
      </c>
      <c r="V61" s="598"/>
      <c r="W61" s="598">
        <f t="shared" si="95"/>
        <v>134</v>
      </c>
      <c r="X61" s="598"/>
      <c r="Y61" s="549">
        <f>SUMIF('Value added steel '!$D$55:$D$78,'Special steel '!$D61,'Value added steel '!$Y$55:$Y$78)</f>
        <v>0</v>
      </c>
      <c r="Z61" s="598"/>
      <c r="AA61" s="2168">
        <f t="shared" si="101"/>
        <v>0</v>
      </c>
      <c r="AB61" s="2228"/>
      <c r="AC61" s="1091">
        <f t="shared" si="102"/>
        <v>134</v>
      </c>
      <c r="AD61" s="598"/>
      <c r="AE61" s="549">
        <f>SUMIF('Value added steel '!$D$55:$D$78,'Special steel '!$D61,'Value added steel '!$AE$55:$AE$78)</f>
        <v>0</v>
      </c>
      <c r="AF61" s="598"/>
      <c r="AG61" s="598">
        <f t="shared" si="96"/>
        <v>134</v>
      </c>
      <c r="AH61" s="598"/>
      <c r="AI61" s="549">
        <f>SUMIF('Value added steel '!$D$55:$D$78,'Special steel '!$D61,'Value added steel '!$AI$55:$AI$78)</f>
        <v>0</v>
      </c>
      <c r="AJ61" s="598"/>
      <c r="AK61" s="593">
        <f t="shared" si="97"/>
        <v>134</v>
      </c>
      <c r="AL61" s="598"/>
      <c r="AM61" s="549">
        <f>SUMIF('Value added steel '!$D$55:$D$78,'Special steel '!$D61,'Value added steel '!$AM$55:$AM$78)</f>
        <v>0</v>
      </c>
      <c r="AN61" s="598"/>
      <c r="AO61" s="2168">
        <f t="shared" si="103"/>
        <v>0</v>
      </c>
      <c r="AP61" s="598"/>
      <c r="AQ61" s="593">
        <f t="shared" si="98"/>
        <v>134</v>
      </c>
      <c r="AR61" s="598"/>
      <c r="AS61" s="549">
        <f>SUMIF('Value added steel '!$D$55:$D$78,'Special steel '!$D61,'Value added steel '!$AS$55:$AS$78)</f>
        <v>0</v>
      </c>
      <c r="AT61" s="598"/>
      <c r="AU61" s="593">
        <f t="shared" si="99"/>
        <v>134</v>
      </c>
      <c r="AV61" s="598"/>
      <c r="AW61" s="549">
        <f>SUMIF('Value added steel '!$D$55:$D$78,'Special steel '!$D61,'Value added steel '!$AW$55:$AW$78)</f>
        <v>0</v>
      </c>
      <c r="AX61" s="598"/>
      <c r="AY61" s="593">
        <f t="shared" si="100"/>
        <v>134</v>
      </c>
      <c r="AZ61" s="598"/>
      <c r="BA61" s="549">
        <f>SUMIF('Value added steel '!$D$55:$D$78,'Special steel '!$D61,'Value added steel '!$BA$55:$BA$78)</f>
        <v>0</v>
      </c>
      <c r="BB61" s="600"/>
      <c r="BC61" s="2168">
        <f t="shared" si="104"/>
        <v>0</v>
      </c>
      <c r="BD61" s="2228"/>
      <c r="BE61" s="1091">
        <f t="shared" si="13"/>
        <v>0</v>
      </c>
      <c r="BF61" s="600"/>
      <c r="BG61" s="593">
        <f t="shared" si="14"/>
        <v>134</v>
      </c>
      <c r="BH61" s="25"/>
      <c r="BI61" s="25"/>
    </row>
    <row r="62" spans="3:62" x14ac:dyDescent="0.3">
      <c r="C62" s="523" t="s">
        <v>936</v>
      </c>
      <c r="D62" s="523" t="s">
        <v>1306</v>
      </c>
      <c r="E62" s="5052"/>
      <c r="F62" s="523"/>
      <c r="G62" s="549">
        <f>SUMIF('Value added steel '!$D$55:$D$78,'Special steel '!$D62,'Value added steel '!$G$55:$G$78)</f>
        <v>0</v>
      </c>
      <c r="H62" s="549"/>
      <c r="I62" s="549">
        <f>SUMIF('Value added steel '!$D$55:$D$78,'Special steel '!$D62,'Value added steel '!$I$55:$I$78)</f>
        <v>0</v>
      </c>
      <c r="J62" s="593"/>
      <c r="K62" s="593">
        <f t="shared" si="53"/>
        <v>0</v>
      </c>
      <c r="L62" s="549"/>
      <c r="M62" s="549">
        <f>SUMIF('Value added steel '!$D$55:$D$78,'Special steel '!$D62,'Value added steel '!$M$55:$M$78)</f>
        <v>0</v>
      </c>
      <c r="N62" s="598"/>
      <c r="O62" s="598">
        <f t="shared" si="54"/>
        <v>0</v>
      </c>
      <c r="P62" s="549"/>
      <c r="Q62" s="549">
        <f>SUMIF('Value added steel '!$D$55:$D$78,'Special steel '!$D62,'Value added steel '!$Q$55:$Q$78)</f>
        <v>0</v>
      </c>
      <c r="R62" s="598"/>
      <c r="S62" s="598">
        <f t="shared" si="30"/>
        <v>0</v>
      </c>
      <c r="T62" s="549"/>
      <c r="U62" s="549">
        <f>SUMIF('Value added steel '!$D$55:$D$78,'Special steel '!$D62,'Value added steel '!$U$55:$U$78)</f>
        <v>0</v>
      </c>
      <c r="V62" s="598"/>
      <c r="W62" s="598">
        <f t="shared" si="95"/>
        <v>0</v>
      </c>
      <c r="X62" s="598"/>
      <c r="Y62" s="549">
        <f>SUMIF('Value added steel '!$D$55:$D$78,'Special steel '!$D62,'Value added steel '!$Y$55:$Y$78)</f>
        <v>0</v>
      </c>
      <c r="Z62" s="598"/>
      <c r="AA62" s="2168">
        <f t="shared" si="101"/>
        <v>0</v>
      </c>
      <c r="AB62" s="2228"/>
      <c r="AC62" s="1091">
        <f t="shared" si="102"/>
        <v>0</v>
      </c>
      <c r="AD62" s="598"/>
      <c r="AE62" s="549">
        <f>SUMIF('Value added steel '!$D$55:$D$78,'Special steel '!$D62,'Value added steel '!$AE$55:$AE$78)</f>
        <v>0</v>
      </c>
      <c r="AF62" s="598"/>
      <c r="AG62" s="598">
        <f t="shared" si="96"/>
        <v>0</v>
      </c>
      <c r="AH62" s="598"/>
      <c r="AI62" s="549">
        <f>SUMIF('Value added steel '!$D$55:$D$78,'Special steel '!$D62,'Value added steel '!$AI$55:$AI$78)</f>
        <v>0</v>
      </c>
      <c r="AJ62" s="598"/>
      <c r="AK62" s="593">
        <f t="shared" si="97"/>
        <v>0</v>
      </c>
      <c r="AL62" s="598"/>
      <c r="AM62" s="549">
        <f>SUMIF('Value added steel '!$D$55:$D$78,'Special steel '!$D62,'Value added steel '!$AM$55:$AM$78)</f>
        <v>0</v>
      </c>
      <c r="AN62" s="598"/>
      <c r="AO62" s="2168">
        <f t="shared" si="103"/>
        <v>0</v>
      </c>
      <c r="AP62" s="598"/>
      <c r="AQ62" s="593">
        <f t="shared" si="98"/>
        <v>0</v>
      </c>
      <c r="AR62" s="598"/>
      <c r="AS62" s="549">
        <f>SUMIF('Value added steel '!$D$55:$D$78,'Special steel '!$D62,'Value added steel '!$AS$55:$AS$78)</f>
        <v>0</v>
      </c>
      <c r="AT62" s="598"/>
      <c r="AU62" s="593">
        <f t="shared" si="99"/>
        <v>0</v>
      </c>
      <c r="AV62" s="603"/>
      <c r="AW62" s="549">
        <f>SUMIF('Value added steel '!$D$55:$D$78,'Special steel '!$D62,'Value added steel '!$AW$55:$AW$78)</f>
        <v>0</v>
      </c>
      <c r="AX62" s="598"/>
      <c r="AY62" s="593">
        <f t="shared" si="100"/>
        <v>0</v>
      </c>
      <c r="AZ62" s="603"/>
      <c r="BA62" s="549">
        <f>SUMIF('Value added steel '!$D$55:$D$78,'Special steel '!$D62,'Value added steel '!$BA$55:$BA$78)</f>
        <v>0</v>
      </c>
      <c r="BB62" s="603"/>
      <c r="BC62" s="2168">
        <f t="shared" si="104"/>
        <v>0</v>
      </c>
      <c r="BD62" s="2228"/>
      <c r="BE62" s="1091">
        <f t="shared" si="13"/>
        <v>0</v>
      </c>
      <c r="BF62" s="603"/>
      <c r="BG62" s="593">
        <f t="shared" si="14"/>
        <v>0</v>
      </c>
      <c r="BH62" s="25"/>
      <c r="BI62" s="25"/>
    </row>
    <row r="63" spans="3:62" x14ac:dyDescent="0.3">
      <c r="C63" s="523" t="s">
        <v>936</v>
      </c>
      <c r="D63" s="523" t="s">
        <v>1488</v>
      </c>
      <c r="E63" s="5052"/>
      <c r="F63" s="523"/>
      <c r="G63" s="549">
        <f>SUMIF('Value added steel '!$D$55:$D$78,'Special steel '!$D63,'Value added steel '!$G$55:$G$78)</f>
        <v>0</v>
      </c>
      <c r="H63" s="549"/>
      <c r="I63" s="549">
        <f>SUMIF('Value added steel '!$D$55:$D$78,'Special steel '!$D63,'Value added steel '!$I$55:$I$78)</f>
        <v>590</v>
      </c>
      <c r="J63" s="593"/>
      <c r="K63" s="593">
        <f t="shared" si="53"/>
        <v>590</v>
      </c>
      <c r="L63" s="549"/>
      <c r="M63" s="549">
        <f>SUMIF('Value added steel '!$D$55:$D$78,'Special steel '!$D63,'Value added steel '!$M$55:$M$78)</f>
        <v>619</v>
      </c>
      <c r="N63" s="598"/>
      <c r="O63" s="598">
        <f t="shared" si="54"/>
        <v>1209</v>
      </c>
      <c r="P63" s="549"/>
      <c r="Q63" s="549">
        <f>SUMIF('Value added steel '!$D$55:$D$78,'Special steel '!$D63,'Value added steel '!$Q$55:$Q$78)</f>
        <v>583</v>
      </c>
      <c r="R63" s="598"/>
      <c r="S63" s="598">
        <f t="shared" si="30"/>
        <v>1792</v>
      </c>
      <c r="T63" s="549"/>
      <c r="U63" s="549">
        <f>SUMIF('Value added steel '!$D$55:$D$78,'Special steel '!$D63,'Value added steel '!$U$55:$U$78)</f>
        <v>112.042</v>
      </c>
      <c r="V63" s="598"/>
      <c r="W63" s="598"/>
      <c r="X63" s="598"/>
      <c r="Y63" s="549">
        <f>SUMIF('Value added steel '!$D$55:$D$78,'Special steel '!$D63,'Value added steel '!$Y$55:$Y$78)</f>
        <v>674</v>
      </c>
      <c r="Z63" s="598"/>
      <c r="AA63" s="2168">
        <f t="shared" si="101"/>
        <v>1369.0419999999999</v>
      </c>
      <c r="AB63" s="2228"/>
      <c r="AC63" s="1091">
        <f t="shared" si="102"/>
        <v>2578.0419999999999</v>
      </c>
      <c r="AD63" s="598"/>
      <c r="AE63" s="549">
        <f>SUMIF('Value added steel '!$D$55:$D$78,'Special steel '!$D63,'Value added steel '!$AE$55:$AE$78)</f>
        <v>543</v>
      </c>
      <c r="AF63" s="598"/>
      <c r="AG63" s="598">
        <f t="shared" si="96"/>
        <v>3121.0419999999999</v>
      </c>
      <c r="AH63" s="598"/>
      <c r="AI63" s="549">
        <f>SUMIF('Value added steel '!$D$55:$D$78,'Special steel '!$D63,'Value added steel '!$AI$55:$AI$78)</f>
        <v>722.36599999999999</v>
      </c>
      <c r="AJ63" s="598"/>
      <c r="AK63" s="593">
        <f t="shared" si="97"/>
        <v>3843.4079999999999</v>
      </c>
      <c r="AL63" s="598"/>
      <c r="AM63" s="549">
        <f>SUMIF('Value added steel '!$D$55:$D$78,'Special steel '!$D63,'Value added steel '!$AM$55:$AM$78)</f>
        <v>412</v>
      </c>
      <c r="AN63" s="598"/>
      <c r="AO63" s="2168">
        <f t="shared" si="103"/>
        <v>1677.366</v>
      </c>
      <c r="AP63" s="598"/>
      <c r="AQ63" s="593">
        <f t="shared" si="98"/>
        <v>4255.4079999999994</v>
      </c>
      <c r="AR63" s="598"/>
      <c r="AS63" s="549">
        <f>SUMIF('Value added steel '!$D$55:$D$78,'Special steel '!$D63,'Value added steel '!$AS$55:$AS$78)</f>
        <v>0</v>
      </c>
      <c r="AT63" s="598"/>
      <c r="AU63" s="593">
        <f t="shared" si="99"/>
        <v>4255.4079999999994</v>
      </c>
      <c r="AV63" s="598"/>
      <c r="AW63" s="549">
        <f>SUMIF('Value added steel '!$D$55:$D$78,'Special steel '!$D63,'Value added steel '!$AW$55:$AW$78)</f>
        <v>0</v>
      </c>
      <c r="AX63" s="598"/>
      <c r="AY63" s="593">
        <f t="shared" si="100"/>
        <v>4255.4079999999994</v>
      </c>
      <c r="AZ63" s="598"/>
      <c r="BA63" s="549">
        <f>SUMIF('Value added steel '!$D$55:$D$78,'Special steel '!$D63,'Value added steel '!$BA$55:$BA$78)</f>
        <v>0</v>
      </c>
      <c r="BB63" s="600"/>
      <c r="BC63" s="2168">
        <f t="shared" si="104"/>
        <v>0</v>
      </c>
      <c r="BD63" s="2228"/>
      <c r="BE63" s="1091">
        <f t="shared" si="13"/>
        <v>1677.366</v>
      </c>
      <c r="BF63" s="600"/>
      <c r="BG63" s="593">
        <f t="shared" si="14"/>
        <v>4255.4079999999994</v>
      </c>
      <c r="BH63" s="25"/>
      <c r="BI63" s="25"/>
    </row>
    <row r="64" spans="3:62" s="2113" customFormat="1" x14ac:dyDescent="0.3">
      <c r="C64" s="5082" t="s">
        <v>936</v>
      </c>
      <c r="D64" s="5082" t="s">
        <v>1851</v>
      </c>
      <c r="E64" s="5052"/>
      <c r="F64" s="5082"/>
      <c r="G64" s="549">
        <f>SUMIF('Value added steel '!$D$55:$D$78,'Special steel '!$D64,'Value added steel '!$G$55:$G$78)</f>
        <v>0</v>
      </c>
      <c r="H64" s="549"/>
      <c r="I64" s="549">
        <f>SUMIF('Value added steel '!$D$55:$D$78,'Special steel '!$D64,'Value added steel '!$I$55:$I$78)</f>
        <v>0</v>
      </c>
      <c r="J64" s="593"/>
      <c r="K64" s="593">
        <f t="shared" ref="K64" si="106">+G64+I64</f>
        <v>0</v>
      </c>
      <c r="L64" s="549"/>
      <c r="M64" s="549">
        <f>SUMIF('Value added steel '!$D$55:$D$78,'Special steel '!$D64,'Value added steel '!$M$55:$M$78)</f>
        <v>0</v>
      </c>
      <c r="N64" s="598"/>
      <c r="O64" s="598">
        <f t="shared" si="54"/>
        <v>0</v>
      </c>
      <c r="P64" s="549"/>
      <c r="Q64" s="549">
        <f>SUMIF('Value added steel '!$D$55:$D$78,'Special steel '!$D64,'Value added steel '!$Q$55:$Q$78)</f>
        <v>0</v>
      </c>
      <c r="R64" s="598"/>
      <c r="S64" s="598">
        <f t="shared" ref="S64" si="107">O64+Q64</f>
        <v>0</v>
      </c>
      <c r="T64" s="549"/>
      <c r="U64" s="549">
        <f>SUMIF('Value added steel '!$D$55:$D$78,'Special steel '!$D64,'Value added steel '!$U$55:$U$78)</f>
        <v>0</v>
      </c>
      <c r="V64" s="598"/>
      <c r="W64" s="598"/>
      <c r="X64" s="598"/>
      <c r="Y64" s="549">
        <f>SUMIF('Value added steel '!$D$55:$D$78,'Special steel '!$D64,'Value added steel '!$Y$55:$Y$78)</f>
        <v>0</v>
      </c>
      <c r="Z64" s="598"/>
      <c r="AA64" s="2168">
        <f t="shared" si="101"/>
        <v>0</v>
      </c>
      <c r="AB64" s="2228"/>
      <c r="AC64" s="1091">
        <f t="shared" si="102"/>
        <v>0</v>
      </c>
      <c r="AD64" s="598"/>
      <c r="AE64" s="549">
        <f>SUMIF('Value added steel '!$D$55:$D$78,'Special steel '!$D64,'Value added steel '!$AE$55:$AE$78)</f>
        <v>0</v>
      </c>
      <c r="AF64" s="598"/>
      <c r="AG64" s="598">
        <f t="shared" ref="AG64" si="108">AC64+AE64</f>
        <v>0</v>
      </c>
      <c r="AH64" s="598"/>
      <c r="AI64" s="549">
        <f>SUMIF('Value added steel '!$D$55:$D$78,'Special steel '!$D64,'Value added steel '!$AI$55:$AI$78)</f>
        <v>0</v>
      </c>
      <c r="AJ64" s="598"/>
      <c r="AK64" s="593">
        <f t="shared" ref="AK64" si="109">AG64+AI64</f>
        <v>0</v>
      </c>
      <c r="AL64" s="598"/>
      <c r="AM64" s="549">
        <f>SUMIF('Value added steel '!$D$55:$D$78,'Special steel '!$D64,'Value added steel '!$AM$55:$AM$78)</f>
        <v>0</v>
      </c>
      <c r="AN64" s="598"/>
      <c r="AO64" s="2168">
        <f t="shared" ref="AO64" si="110">AE64+AI64+AM64</f>
        <v>0</v>
      </c>
      <c r="AP64" s="598"/>
      <c r="AQ64" s="593">
        <f t="shared" ref="AQ64" si="111">AK64+AM64</f>
        <v>0</v>
      </c>
      <c r="AR64" s="598"/>
      <c r="AS64" s="549">
        <f>SUMIF('Value added steel '!$D$55:$D$78,'Special steel '!$D64,'Value added steel '!$AS$55:$AS$78)</f>
        <v>0</v>
      </c>
      <c r="AT64" s="598"/>
      <c r="AU64" s="593">
        <f t="shared" ref="AU64" si="112">AQ64+AS64</f>
        <v>0</v>
      </c>
      <c r="AV64" s="598"/>
      <c r="AW64" s="549">
        <f>SUMIF('Value added steel '!$D$55:$D$78,'Special steel '!$D64,'Value added steel '!$AW$55:$AW$78)</f>
        <v>0</v>
      </c>
      <c r="AX64" s="598"/>
      <c r="AY64" s="593">
        <f t="shared" si="100"/>
        <v>0</v>
      </c>
      <c r="AZ64" s="598"/>
      <c r="BA64" s="549">
        <f>SUMIF('Value added steel '!$D$55:$D$78,'Special steel '!$D64,'Value added steel '!$BA$55:$BA$78)</f>
        <v>0</v>
      </c>
      <c r="BB64" s="600"/>
      <c r="BC64" s="2168">
        <f t="shared" si="104"/>
        <v>0</v>
      </c>
      <c r="BD64" s="2228"/>
      <c r="BE64" s="1091">
        <f t="shared" si="13"/>
        <v>0</v>
      </c>
      <c r="BF64" s="600"/>
      <c r="BG64" s="593">
        <f t="shared" si="14"/>
        <v>0</v>
      </c>
      <c r="BH64" s="25"/>
      <c r="BI64" s="25"/>
    </row>
    <row r="65" spans="3:61" x14ac:dyDescent="0.3">
      <c r="C65" s="523" t="s">
        <v>936</v>
      </c>
      <c r="D65" s="523" t="s">
        <v>1228</v>
      </c>
      <c r="E65" s="5052"/>
      <c r="F65" s="523"/>
      <c r="G65" s="549">
        <f>SUMIF('Value added steel '!$D$55:$D$78,'Special steel '!$D65,'Value added steel '!$G$55:$G$78)</f>
        <v>0</v>
      </c>
      <c r="H65" s="549"/>
      <c r="I65" s="549">
        <f>SUMIF('Value added steel '!$D$55:$D$78,'Special steel '!$D65,'Value added steel '!$I$55:$I$78)</f>
        <v>0</v>
      </c>
      <c r="J65" s="593"/>
      <c r="K65" s="593">
        <f t="shared" si="53"/>
        <v>0</v>
      </c>
      <c r="L65" s="549"/>
      <c r="M65" s="549">
        <f>SUMIF('Value added steel '!$D$55:$D$78,'Special steel '!$D65,'Value added steel '!$M$55:$M$78)</f>
        <v>0</v>
      </c>
      <c r="N65" s="598"/>
      <c r="O65" s="598">
        <f t="shared" si="54"/>
        <v>0</v>
      </c>
      <c r="P65" s="549"/>
      <c r="Q65" s="549">
        <f>SUMIF('Value added steel '!$D$55:$D$78,'Special steel '!$D65,'Value added steel '!$Q$55:$Q$78)</f>
        <v>0</v>
      </c>
      <c r="R65" s="598"/>
      <c r="S65" s="598">
        <f t="shared" si="30"/>
        <v>0</v>
      </c>
      <c r="T65" s="549"/>
      <c r="U65" s="549">
        <f>SUMIF('Value added steel '!$D$55:$D$78,'Special steel '!$D65,'Value added steel '!$U$55:$U$78)</f>
        <v>0</v>
      </c>
      <c r="V65" s="598"/>
      <c r="W65" s="598">
        <f t="shared" si="95"/>
        <v>0</v>
      </c>
      <c r="X65" s="598"/>
      <c r="Y65" s="549">
        <f>SUMIF('Value added steel '!$D$55:$D$78,'Special steel '!$D65,'Value added steel '!$Y$55:$Y$78)</f>
        <v>0</v>
      </c>
      <c r="Z65" s="598"/>
      <c r="AA65" s="2168">
        <f t="shared" si="101"/>
        <v>0</v>
      </c>
      <c r="AB65" s="2228"/>
      <c r="AC65" s="1091">
        <f t="shared" si="102"/>
        <v>0</v>
      </c>
      <c r="AD65" s="598"/>
      <c r="AE65" s="549">
        <f>SUMIF('Value added steel '!$D$55:$D$78,'Special steel '!$D65,'Value added steel '!$AE$55:$AE$78)</f>
        <v>0</v>
      </c>
      <c r="AF65" s="598"/>
      <c r="AG65" s="598">
        <f t="shared" si="96"/>
        <v>0</v>
      </c>
      <c r="AH65" s="598"/>
      <c r="AI65" s="549">
        <f>SUMIF('Value added steel '!$D$55:$D$78,'Special steel '!$D65,'Value added steel '!$AI$55:$AI$78)</f>
        <v>0</v>
      </c>
      <c r="AJ65" s="598"/>
      <c r="AK65" s="593">
        <f t="shared" si="97"/>
        <v>0</v>
      </c>
      <c r="AL65" s="598"/>
      <c r="AM65" s="549">
        <f>SUMIF('Value added steel '!$D$55:$D$78,'Special steel '!$D65,'Value added steel '!$AM$55:$AM$78)</f>
        <v>0</v>
      </c>
      <c r="AN65" s="598"/>
      <c r="AO65" s="2168">
        <f t="shared" si="103"/>
        <v>0</v>
      </c>
      <c r="AP65" s="598"/>
      <c r="AQ65" s="593">
        <f t="shared" si="98"/>
        <v>0</v>
      </c>
      <c r="AR65" s="598"/>
      <c r="AS65" s="549">
        <f>SUMIF('Value added steel '!$D$55:$D$78,'Special steel '!$D65,'Value added steel '!$AS$55:$AS$78)</f>
        <v>0</v>
      </c>
      <c r="AT65" s="598"/>
      <c r="AU65" s="593">
        <f t="shared" si="99"/>
        <v>0</v>
      </c>
      <c r="AV65" s="598"/>
      <c r="AW65" s="549">
        <f>SUMIF('Value added steel '!$D$55:$D$78,'Special steel '!$D65,'Value added steel '!$AW$55:$AW$78)</f>
        <v>0</v>
      </c>
      <c r="AX65" s="598"/>
      <c r="AY65" s="593">
        <f t="shared" si="100"/>
        <v>0</v>
      </c>
      <c r="AZ65" s="598"/>
      <c r="BA65" s="549">
        <f>SUMIF('Value added steel '!$D$55:$D$78,'Special steel '!$D65,'Value added steel '!$BA$55:$BA$78)</f>
        <v>0</v>
      </c>
      <c r="BB65" s="600"/>
      <c r="BC65" s="2168">
        <f t="shared" si="104"/>
        <v>0</v>
      </c>
      <c r="BD65" s="2228"/>
      <c r="BE65" s="1091">
        <f t="shared" si="13"/>
        <v>0</v>
      </c>
      <c r="BF65" s="600"/>
      <c r="BG65" s="593">
        <f t="shared" si="14"/>
        <v>0</v>
      </c>
      <c r="BH65" s="25"/>
      <c r="BI65" s="25"/>
    </row>
    <row r="66" spans="3:61" x14ac:dyDescent="0.3">
      <c r="C66" s="523" t="s">
        <v>936</v>
      </c>
      <c r="D66" s="523" t="s">
        <v>1217</v>
      </c>
      <c r="E66" s="5052"/>
      <c r="F66" s="523"/>
      <c r="G66" s="549">
        <f>SUMIF('Value added steel '!$D$55:$D$78,'Special steel '!$D66,'Value added steel '!$G$55:$G$78)</f>
        <v>0</v>
      </c>
      <c r="H66" s="549"/>
      <c r="I66" s="549">
        <f>SUMIF('Value added steel '!$D$55:$D$78,'Special steel '!$D66,'Value added steel '!$I$55:$I$78)</f>
        <v>104</v>
      </c>
      <c r="J66" s="593"/>
      <c r="K66" s="593">
        <f t="shared" si="53"/>
        <v>104</v>
      </c>
      <c r="L66" s="549"/>
      <c r="M66" s="549">
        <f>SUMIF('Value added steel '!$D$55:$D$78,'Special steel '!$D66,'Value added steel '!$M$55:$M$78)</f>
        <v>235</v>
      </c>
      <c r="N66" s="598"/>
      <c r="O66" s="598">
        <f t="shared" si="54"/>
        <v>339</v>
      </c>
      <c r="P66" s="549"/>
      <c r="Q66" s="549">
        <f>SUMIF('Value added steel '!$D$55:$D$78,'Special steel '!$D66,'Value added steel '!$Q$55:$Q$78)</f>
        <v>116</v>
      </c>
      <c r="R66" s="598"/>
      <c r="S66" s="598">
        <f t="shared" si="30"/>
        <v>455</v>
      </c>
      <c r="T66" s="549"/>
      <c r="U66" s="549">
        <f>SUMIF('Value added steel '!$D$55:$D$78,'Special steel '!$D66,'Value added steel '!$U$55:$U$78)</f>
        <v>0</v>
      </c>
      <c r="V66" s="598"/>
      <c r="W66" s="598">
        <f t="shared" si="95"/>
        <v>455</v>
      </c>
      <c r="X66" s="598"/>
      <c r="Y66" s="549">
        <f>SUMIF('Value added steel '!$D$55:$D$78,'Special steel '!$D66,'Value added steel '!$Y$55:$Y$78)</f>
        <v>0</v>
      </c>
      <c r="Z66" s="598"/>
      <c r="AA66" s="2168">
        <f t="shared" si="101"/>
        <v>116</v>
      </c>
      <c r="AB66" s="2228"/>
      <c r="AC66" s="1091">
        <f t="shared" si="102"/>
        <v>455</v>
      </c>
      <c r="AD66" s="598"/>
      <c r="AE66" s="549">
        <f>SUMIF('Value added steel '!$D$55:$D$78,'Special steel '!$D66,'Value added steel '!$AE$55:$AE$78)</f>
        <v>0</v>
      </c>
      <c r="AF66" s="598"/>
      <c r="AG66" s="598">
        <f t="shared" si="96"/>
        <v>455</v>
      </c>
      <c r="AH66" s="598"/>
      <c r="AI66" s="549">
        <f>SUMIF('Value added steel '!$D$55:$D$78,'Special steel '!$D66,'Value added steel '!$AI$55:$AI$78)</f>
        <v>0</v>
      </c>
      <c r="AJ66" s="598"/>
      <c r="AK66" s="593">
        <f t="shared" si="97"/>
        <v>455</v>
      </c>
      <c r="AL66" s="598"/>
      <c r="AM66" s="549">
        <f>SUMIF('Value added steel '!$D$55:$D$78,'Special steel '!$D66,'Value added steel '!$AM$55:$AM$78)</f>
        <v>0</v>
      </c>
      <c r="AN66" s="598"/>
      <c r="AO66" s="2168">
        <f t="shared" si="103"/>
        <v>0</v>
      </c>
      <c r="AP66" s="598"/>
      <c r="AQ66" s="593">
        <f t="shared" si="98"/>
        <v>455</v>
      </c>
      <c r="AR66" s="598"/>
      <c r="AS66" s="549">
        <f>SUMIF('Value added steel '!$D$55:$D$78,'Special steel '!$D66,'Value added steel '!$AS$55:$AS$78)</f>
        <v>0</v>
      </c>
      <c r="AT66" s="598"/>
      <c r="AU66" s="593">
        <f t="shared" si="99"/>
        <v>455</v>
      </c>
      <c r="AV66" s="598"/>
      <c r="AW66" s="549">
        <f>SUMIF('Value added steel '!$D$55:$D$78,'Special steel '!$D66,'Value added steel '!$AW$55:$AW$78)</f>
        <v>0</v>
      </c>
      <c r="AX66" s="598"/>
      <c r="AY66" s="593">
        <f t="shared" si="100"/>
        <v>455</v>
      </c>
      <c r="AZ66" s="598"/>
      <c r="BA66" s="549">
        <f>SUMIF('Value added steel '!$D$55:$D$78,'Special steel '!$D66,'Value added steel '!$BA$55:$BA$78)</f>
        <v>0</v>
      </c>
      <c r="BB66" s="600"/>
      <c r="BC66" s="2168">
        <f t="shared" si="104"/>
        <v>0</v>
      </c>
      <c r="BD66" s="2228"/>
      <c r="BE66" s="1091">
        <f t="shared" si="13"/>
        <v>0</v>
      </c>
      <c r="BF66" s="600"/>
      <c r="BG66" s="593">
        <f t="shared" si="14"/>
        <v>455</v>
      </c>
      <c r="BH66" s="25"/>
      <c r="BI66" s="25"/>
    </row>
    <row r="67" spans="3:61" x14ac:dyDescent="0.3">
      <c r="C67" s="523" t="s">
        <v>936</v>
      </c>
      <c r="D67" s="523" t="s">
        <v>1088</v>
      </c>
      <c r="E67" s="5052"/>
      <c r="F67" s="523"/>
      <c r="G67" s="549">
        <f>SUMIF('Value added steel '!$D$55:$D$78,'Special steel '!$D67,'Value added steel '!$G$55:$G$78)</f>
        <v>0</v>
      </c>
      <c r="H67" s="549"/>
      <c r="I67" s="549">
        <f>SUMIF('Value added steel '!$D$55:$D$78,'Special steel '!$D67,'Value added steel '!$I$55:$I$78)</f>
        <v>268.39999999999998</v>
      </c>
      <c r="J67" s="593"/>
      <c r="K67" s="593">
        <f t="shared" si="53"/>
        <v>268.39999999999998</v>
      </c>
      <c r="L67" s="549"/>
      <c r="M67" s="549">
        <f>SUMIF('Value added steel '!$D$55:$D$78,'Special steel '!$D67,'Value added steel '!$M$55:$M$78)</f>
        <v>0</v>
      </c>
      <c r="N67" s="598"/>
      <c r="O67" s="598">
        <f t="shared" si="54"/>
        <v>268.39999999999998</v>
      </c>
      <c r="P67" s="549"/>
      <c r="Q67" s="549">
        <f>SUMIF('Value added steel '!$D$55:$D$78,'Special steel '!$D67,'Value added steel '!$Q$55:$Q$78)</f>
        <v>0</v>
      </c>
      <c r="R67" s="598"/>
      <c r="S67" s="598">
        <f t="shared" si="30"/>
        <v>268.39999999999998</v>
      </c>
      <c r="T67" s="549"/>
      <c r="U67" s="549">
        <f>SUMIF('Value added steel '!$D$55:$D$78,'Special steel '!$D67,'Value added steel '!$U$55:$U$78)</f>
        <v>353.03800000000001</v>
      </c>
      <c r="V67" s="598"/>
      <c r="W67" s="598">
        <f t="shared" si="95"/>
        <v>621.43799999999999</v>
      </c>
      <c r="X67" s="598"/>
      <c r="Y67" s="549">
        <f>SUMIF('Value added steel '!$D$55:$D$78,'Special steel '!$D67,'Value added steel '!$Y$55:$Y$78)</f>
        <v>114</v>
      </c>
      <c r="Z67" s="598"/>
      <c r="AA67" s="2168">
        <f t="shared" si="101"/>
        <v>467.03800000000001</v>
      </c>
      <c r="AB67" s="2228"/>
      <c r="AC67" s="1091">
        <f t="shared" si="102"/>
        <v>735.43799999999999</v>
      </c>
      <c r="AD67" s="598"/>
      <c r="AE67" s="549">
        <f>SUMIF('Value added steel '!$D$55:$D$78,'Special steel '!$D67,'Value added steel '!$AE$55:$AE$78)</f>
        <v>114</v>
      </c>
      <c r="AF67" s="598"/>
      <c r="AG67" s="598">
        <f t="shared" si="96"/>
        <v>849.43799999999999</v>
      </c>
      <c r="AH67" s="598"/>
      <c r="AI67" s="549">
        <f>SUMIF('Value added steel '!$D$55:$D$78,'Special steel '!$D67,'Value added steel '!$AI$55:$AI$78)</f>
        <v>114.804</v>
      </c>
      <c r="AJ67" s="598"/>
      <c r="AK67" s="593">
        <f t="shared" si="97"/>
        <v>964.24199999999996</v>
      </c>
      <c r="AL67" s="598"/>
      <c r="AM67" s="549">
        <f>SUMIF('Value added steel '!$D$55:$D$78,'Special steel '!$D67,'Value added steel '!$AM$55:$AM$78)</f>
        <v>249</v>
      </c>
      <c r="AN67" s="598"/>
      <c r="AO67" s="2168">
        <f t="shared" si="103"/>
        <v>477.80399999999997</v>
      </c>
      <c r="AP67" s="598"/>
      <c r="AQ67" s="593">
        <f t="shared" si="98"/>
        <v>1213.242</v>
      </c>
      <c r="AR67" s="598"/>
      <c r="AS67" s="549">
        <f>SUMIF('Value added steel '!$D$55:$D$78,'Special steel '!$D67,'Value added steel '!$AS$55:$AS$78)</f>
        <v>203</v>
      </c>
      <c r="AT67" s="598"/>
      <c r="AU67" s="593">
        <f t="shared" si="99"/>
        <v>1416.242</v>
      </c>
      <c r="AV67" s="598"/>
      <c r="AW67" s="549">
        <f>SUMIF('Value added steel '!$D$55:$D$78,'Special steel '!$D67,'Value added steel '!$AW$55:$AW$78)</f>
        <v>0</v>
      </c>
      <c r="AX67" s="598"/>
      <c r="AY67" s="593">
        <f t="shared" si="100"/>
        <v>1416.242</v>
      </c>
      <c r="AZ67" s="598"/>
      <c r="BA67" s="549">
        <f>SUMIF('Value added steel '!$D$55:$D$78,'Special steel '!$D67,'Value added steel '!$BA$55:$BA$78)</f>
        <v>150.946</v>
      </c>
      <c r="BB67" s="600"/>
      <c r="BC67" s="2168">
        <f t="shared" si="104"/>
        <v>353.94600000000003</v>
      </c>
      <c r="BD67" s="2228"/>
      <c r="BE67" s="1091">
        <f t="shared" si="13"/>
        <v>831.75</v>
      </c>
      <c r="BF67" s="600"/>
      <c r="BG67" s="593">
        <f t="shared" si="14"/>
        <v>1567.1879999999999</v>
      </c>
      <c r="BH67" s="25"/>
      <c r="BI67" s="25"/>
    </row>
    <row r="68" spans="3:61" x14ac:dyDescent="0.3">
      <c r="C68" s="523" t="s">
        <v>936</v>
      </c>
      <c r="D68" s="523" t="s">
        <v>948</v>
      </c>
      <c r="E68" s="5052"/>
      <c r="F68" s="523"/>
      <c r="G68" s="549">
        <f>SUMIF('Value added steel '!$D$55:$D$78,'Special steel '!$D68,'Value added steel '!$G$55:$G$78)</f>
        <v>3712</v>
      </c>
      <c r="H68" s="548"/>
      <c r="I68" s="549">
        <f>SUMIF('Value added steel '!$D$55:$D$78,'Special steel '!$D68,'Value added steel '!$I$55:$I$78)</f>
        <v>13247</v>
      </c>
      <c r="J68" s="595"/>
      <c r="K68" s="593">
        <f t="shared" si="53"/>
        <v>16959</v>
      </c>
      <c r="L68" s="548"/>
      <c r="M68" s="549">
        <f>SUMIF('Value added steel '!$D$55:$D$78,'Special steel '!$D68,'Value added steel '!$M$55:$M$78)</f>
        <v>15189</v>
      </c>
      <c r="N68" s="600"/>
      <c r="O68" s="598">
        <f t="shared" si="54"/>
        <v>32148</v>
      </c>
      <c r="P68" s="548"/>
      <c r="Q68" s="549">
        <f>SUMIF('Value added steel '!$D$55:$D$78,'Special steel '!$D68,'Value added steel '!$Q$55:$Q$78)</f>
        <v>17017</v>
      </c>
      <c r="R68" s="600"/>
      <c r="S68" s="598">
        <f t="shared" si="30"/>
        <v>49165</v>
      </c>
      <c r="T68" s="548"/>
      <c r="U68" s="549">
        <f>SUMIF('Value added steel '!$D$55:$D$78,'Special steel '!$D68,'Value added steel '!$U$55:$U$78)</f>
        <v>14747.263999999999</v>
      </c>
      <c r="V68" s="600"/>
      <c r="W68" s="598">
        <f t="shared" si="95"/>
        <v>63912.263999999996</v>
      </c>
      <c r="X68" s="598"/>
      <c r="Y68" s="549">
        <f>SUMIF('Value added steel '!$D$55:$D$78,'Special steel '!$D68,'Value added steel '!$Y$55:$Y$78)</f>
        <v>10684</v>
      </c>
      <c r="Z68" s="600"/>
      <c r="AA68" s="2168">
        <f t="shared" ref="AA68" si="113">Q68+U68+Y68</f>
        <v>42448.263999999996</v>
      </c>
      <c r="AB68" s="2228"/>
      <c r="AC68" s="1091">
        <f t="shared" si="52"/>
        <v>74596.263999999996</v>
      </c>
      <c r="AD68" s="598"/>
      <c r="AE68" s="549">
        <f>SUMIF('Value added steel '!$D$55:$D$78,'Special steel '!$D68,'Value added steel '!$AE$55:$AE$78)</f>
        <v>14218</v>
      </c>
      <c r="AF68" s="600"/>
      <c r="AG68" s="598">
        <f t="shared" si="96"/>
        <v>88814.263999999996</v>
      </c>
      <c r="AH68" s="598"/>
      <c r="AI68" s="549">
        <f>SUMIF('Value added steel '!$D$55:$D$78,'Special steel '!$D68,'Value added steel '!$AI$55:$AI$78)</f>
        <v>14613.73</v>
      </c>
      <c r="AJ68" s="600"/>
      <c r="AK68" s="593">
        <f t="shared" si="97"/>
        <v>103427.99399999999</v>
      </c>
      <c r="AL68" s="598"/>
      <c r="AM68" s="549">
        <f>SUMIF('Value added steel '!$D$55:$D$78,'Special steel '!$D68,'Value added steel '!$AM$55:$AM$78)</f>
        <v>19136</v>
      </c>
      <c r="AN68" s="600"/>
      <c r="AO68" s="2168">
        <f t="shared" si="103"/>
        <v>47967.729999999996</v>
      </c>
      <c r="AP68" s="600"/>
      <c r="AQ68" s="593">
        <f t="shared" si="98"/>
        <v>122563.99399999999</v>
      </c>
      <c r="AR68" s="598"/>
      <c r="AS68" s="549">
        <f>SUMIF('Value added steel '!$D$55:$D$78,'Special steel '!$D68,'Value added steel '!$AS$55:$AS$78)</f>
        <v>5141</v>
      </c>
      <c r="AT68" s="600"/>
      <c r="AU68" s="593">
        <f t="shared" si="99"/>
        <v>127704.99399999999</v>
      </c>
      <c r="AV68" s="598"/>
      <c r="AW68" s="549">
        <f>SUMIF('Value added steel '!$D$55:$D$78,'Special steel '!$D68,'Value added steel '!$AW$55:$AW$78)</f>
        <v>0</v>
      </c>
      <c r="AX68" s="600"/>
      <c r="AY68" s="593">
        <f t="shared" si="100"/>
        <v>127704.99399999999</v>
      </c>
      <c r="AZ68" s="598"/>
      <c r="BA68" s="549">
        <f>SUMIF('Value added steel '!$D$55:$D$78,'Special steel '!$D68,'Value added steel '!$BA$55:$BA$78)</f>
        <v>10972.29</v>
      </c>
      <c r="BB68" s="600"/>
      <c r="BC68" s="2168">
        <f t="shared" si="104"/>
        <v>16113.29</v>
      </c>
      <c r="BD68" s="2228"/>
      <c r="BE68" s="1091">
        <f t="shared" si="13"/>
        <v>64081.02</v>
      </c>
      <c r="BF68" s="600"/>
      <c r="BG68" s="593">
        <f t="shared" si="14"/>
        <v>138677.28399999999</v>
      </c>
      <c r="BH68" s="25"/>
      <c r="BI68" s="25"/>
    </row>
    <row r="69" spans="3:61" x14ac:dyDescent="0.3">
      <c r="C69" s="8368" t="s">
        <v>997</v>
      </c>
      <c r="D69" s="8368"/>
      <c r="E69" s="5052"/>
      <c r="F69" s="602"/>
      <c r="G69" s="603">
        <f>SUM(G52:G68)</f>
        <v>5270</v>
      </c>
      <c r="H69" s="603"/>
      <c r="I69" s="603">
        <f>SUM(I52:I68)</f>
        <v>14689.4</v>
      </c>
      <c r="J69" s="603"/>
      <c r="K69" s="604">
        <f>SUM(K52:K68)</f>
        <v>19959.400000000001</v>
      </c>
      <c r="L69" s="603"/>
      <c r="M69" s="603">
        <f>SUM(M52:M68)</f>
        <v>20567</v>
      </c>
      <c r="N69" s="603"/>
      <c r="O69" s="603">
        <f>SUM(O52:O68)</f>
        <v>40526.400000000001</v>
      </c>
      <c r="P69" s="603"/>
      <c r="Q69" s="603">
        <f>SUM(Q52:Q68)</f>
        <v>17716</v>
      </c>
      <c r="R69" s="603"/>
      <c r="S69" s="603">
        <f>SUM(S52:S68)</f>
        <v>58242.400000000001</v>
      </c>
      <c r="T69" s="603"/>
      <c r="U69" s="603">
        <f>SUM(U52:U68)</f>
        <v>15212.343999999999</v>
      </c>
      <c r="V69" s="603"/>
      <c r="W69" s="603">
        <f>SUM(W52:W68)</f>
        <v>71550.70199999999</v>
      </c>
      <c r="X69" s="603"/>
      <c r="Y69" s="603">
        <f>SUM(Y52:Y68)</f>
        <v>13250</v>
      </c>
      <c r="Z69" s="603"/>
      <c r="AA69" s="2169">
        <f>SUM(AA52:AA68)</f>
        <v>46178.343999999997</v>
      </c>
      <c r="AB69" s="2228"/>
      <c r="AC69" s="2169">
        <f t="shared" si="52"/>
        <v>86704.744000000006</v>
      </c>
      <c r="AD69" s="603"/>
      <c r="AE69" s="603">
        <f>SUM(AE52:AE68)</f>
        <v>21376</v>
      </c>
      <c r="AF69" s="603"/>
      <c r="AG69" s="603">
        <f>SUM(AG52:AG68)</f>
        <v>108080.74399999999</v>
      </c>
      <c r="AH69" s="603"/>
      <c r="AI69" s="603">
        <f>SUM(AI52:AI68)</f>
        <v>19188.347999999998</v>
      </c>
      <c r="AJ69" s="603"/>
      <c r="AK69" s="603">
        <f>SUM(AK52:AK68)</f>
        <v>127269.09199999999</v>
      </c>
      <c r="AL69" s="603"/>
      <c r="AM69" s="603">
        <f>SUM(AM52:AM68)</f>
        <v>23945</v>
      </c>
      <c r="AN69" s="603"/>
      <c r="AO69" s="2169">
        <f>SUM(AO52:AO68)</f>
        <v>64509.347999999998</v>
      </c>
      <c r="AP69" s="603"/>
      <c r="AQ69" s="603">
        <f>SUM(AQ52:AQ68)</f>
        <v>151214.092</v>
      </c>
      <c r="AR69" s="603"/>
      <c r="AS69" s="603">
        <f>SUM(AS52:AS68)</f>
        <v>10812</v>
      </c>
      <c r="AT69" s="603"/>
      <c r="AU69" s="603">
        <f>SUM(AU52:AU68)</f>
        <v>162026.092</v>
      </c>
      <c r="AV69" s="598"/>
      <c r="AW69" s="603">
        <f>SUM(AW52:AW68)</f>
        <v>1894.2660000000001</v>
      </c>
      <c r="AX69" s="603"/>
      <c r="AY69" s="603">
        <f>SUM(AY52:AY68)</f>
        <v>163920.35800000001</v>
      </c>
      <c r="AZ69" s="598"/>
      <c r="BA69" s="603">
        <f>SUM(BA52:BA68)</f>
        <v>15906.736000000001</v>
      </c>
      <c r="BB69" s="600"/>
      <c r="BC69" s="2169">
        <f>SUM(BC52:BC68)</f>
        <v>28613.002</v>
      </c>
      <c r="BD69" s="2228"/>
      <c r="BE69" s="2169">
        <f>AO69+BC69</f>
        <v>93122.35</v>
      </c>
      <c r="BF69" s="600"/>
      <c r="BG69" s="603">
        <f>SUM(BG52:BG68)</f>
        <v>179827.09399999998</v>
      </c>
      <c r="BH69" s="25"/>
      <c r="BI69" s="25"/>
    </row>
    <row r="70" spans="3:61" x14ac:dyDescent="0.3">
      <c r="C70" s="523" t="s">
        <v>937</v>
      </c>
      <c r="D70" s="523" t="s">
        <v>1538</v>
      </c>
      <c r="E70" s="5052"/>
      <c r="F70" s="523"/>
      <c r="G70" s="524">
        <f>SUMIF('Value added steel '!$D$80:$D$92,$D70,'Value added steel '!$G$80:$G$92)</f>
        <v>0</v>
      </c>
      <c r="H70" s="2116"/>
      <c r="I70" s="524">
        <f>SUMIF('Value added steel '!$D$80:$D$92,$D70,'Value added steel '!$I$80:$I$92)</f>
        <v>0</v>
      </c>
      <c r="J70" s="595"/>
      <c r="K70" s="593">
        <f t="shared" si="53"/>
        <v>0</v>
      </c>
      <c r="L70" s="2116"/>
      <c r="M70" s="524">
        <f>SUMIF('Value added steel '!$D$80:$D$92,$D70,'Value added steel '!$M$80:$M$92)</f>
        <v>0</v>
      </c>
      <c r="N70" s="600"/>
      <c r="O70" s="598">
        <f t="shared" si="54"/>
        <v>0</v>
      </c>
      <c r="P70" s="2116"/>
      <c r="Q70" s="524">
        <f>SUMIF('Value added steel '!$D$80:$D$92,$D70,'Value added steel '!$Q$80:$Q$92)</f>
        <v>0</v>
      </c>
      <c r="R70" s="600"/>
      <c r="S70" s="598">
        <f t="shared" ref="S70:S74" si="114">O70+Q70</f>
        <v>0</v>
      </c>
      <c r="T70" s="2116"/>
      <c r="U70" s="524">
        <f>SUMIF('Value added steel '!$D$80:$D$92,$D70,'Value added steel '!$U$80:$U$92)</f>
        <v>0</v>
      </c>
      <c r="V70" s="600"/>
      <c r="W70" s="598"/>
      <c r="X70" s="598"/>
      <c r="Y70" s="524">
        <f>SUMIF('Value added steel '!$D$80:$D$92,$D70,'Value added steel '!$Y$80:$Y$92)</f>
        <v>0</v>
      </c>
      <c r="Z70" s="600"/>
      <c r="AA70" s="2168">
        <f t="shared" ref="AA70:AA75" si="115">Q70+U70+Y70</f>
        <v>0</v>
      </c>
      <c r="AB70" s="2228"/>
      <c r="AC70" s="1091">
        <f t="shared" si="52"/>
        <v>0</v>
      </c>
      <c r="AD70" s="598"/>
      <c r="AE70" s="524">
        <f>SUMIF('Value added steel '!$D$80:$D$92,$D70,'Value added steel '!$AE$80:$AE$92)</f>
        <v>0</v>
      </c>
      <c r="AF70" s="600"/>
      <c r="AG70" s="598">
        <f t="shared" ref="AG70:AG75" si="116">+Y70+AA70+AE70</f>
        <v>0</v>
      </c>
      <c r="AH70" s="598"/>
      <c r="AI70" s="524">
        <f>SUMIF('Value added steel '!$D$80:$D$92,$D70,'Value added steel '!$AI$80:$AI$92)</f>
        <v>0</v>
      </c>
      <c r="AJ70" s="600"/>
      <c r="AK70" s="593">
        <f t="shared" ref="AK70:AK75" si="117">+AC70+AE70+AI70</f>
        <v>0</v>
      </c>
      <c r="AL70" s="598"/>
      <c r="AM70" s="524">
        <f>SUMIF('Value added steel '!$D$80:$D$92,$D70,'Value added steel '!$AM$80:$AM$92)</f>
        <v>0</v>
      </c>
      <c r="AN70" s="600"/>
      <c r="AO70" s="2168">
        <f t="shared" ref="AO70:AO75" si="118">AE70+AI70+AM70</f>
        <v>0</v>
      </c>
      <c r="AP70" s="600"/>
      <c r="AQ70" s="593">
        <f t="shared" ref="AQ70:AQ75" si="119">+AG70+AI70+AM70</f>
        <v>0</v>
      </c>
      <c r="AR70" s="598"/>
      <c r="AS70" s="524">
        <f>SUMIF('Value added steel '!$D$80:$D$92,$D70,'Value added steel '!$AS$80:$AS$92)</f>
        <v>1882</v>
      </c>
      <c r="AT70" s="600"/>
      <c r="AU70" s="593">
        <f t="shared" ref="AU70:AU77" si="120">AQ70+AS70</f>
        <v>1882</v>
      </c>
      <c r="AV70" s="603"/>
      <c r="AW70" s="524">
        <f>SUMIF('Value added steel '!$D$80:$D$92,$D70,'Value added steel '!$AW$80:$AW$92)</f>
        <v>1221.2460000000001</v>
      </c>
      <c r="AX70" s="600"/>
      <c r="AY70" s="593">
        <f t="shared" ref="AY70:AY75" si="121">AU70+AW70</f>
        <v>3103.2460000000001</v>
      </c>
      <c r="AZ70" s="603"/>
      <c r="BA70" s="524">
        <f>SUMIF('Value added steel '!$D$80:$D$92,$D70,'Value added steel '!$BA$80:$BA$92)</f>
        <v>0</v>
      </c>
      <c r="BB70" s="2868"/>
      <c r="BC70" s="2168">
        <f t="shared" ref="BC70:BC75" si="122">AS70+AW70+BA70</f>
        <v>3103.2460000000001</v>
      </c>
      <c r="BD70" s="2228"/>
      <c r="BE70" s="1091">
        <f>AO70+BC70</f>
        <v>3103.2460000000001</v>
      </c>
      <c r="BF70" s="2868"/>
      <c r="BG70" s="593">
        <f t="shared" si="14"/>
        <v>3103.2460000000001</v>
      </c>
      <c r="BH70" s="25"/>
      <c r="BI70" s="25"/>
    </row>
    <row r="71" spans="3:61" s="4487" customFormat="1" x14ac:dyDescent="0.3">
      <c r="C71" s="523" t="s">
        <v>937</v>
      </c>
      <c r="D71" s="6789" t="s">
        <v>2212</v>
      </c>
      <c r="E71" s="5052"/>
      <c r="F71" s="6789"/>
      <c r="G71" s="6790"/>
      <c r="H71" s="6791"/>
      <c r="I71" s="6790"/>
      <c r="J71" s="6792"/>
      <c r="K71" s="6793"/>
      <c r="L71" s="6791"/>
      <c r="M71" s="6790"/>
      <c r="N71" s="6794"/>
      <c r="O71" s="6795"/>
      <c r="P71" s="6791"/>
      <c r="Q71" s="6790"/>
      <c r="R71" s="6794"/>
      <c r="S71" s="6795"/>
      <c r="T71" s="6791"/>
      <c r="U71" s="6790"/>
      <c r="V71" s="6794"/>
      <c r="W71" s="6795"/>
      <c r="X71" s="6795"/>
      <c r="Y71" s="6790"/>
      <c r="Z71" s="6794"/>
      <c r="AA71" s="6796"/>
      <c r="AB71" s="6797"/>
      <c r="AC71" s="6798"/>
      <c r="AD71" s="6795"/>
      <c r="AE71" s="6790"/>
      <c r="AF71" s="6794"/>
      <c r="AG71" s="6795"/>
      <c r="AH71" s="6795"/>
      <c r="AI71" s="6790"/>
      <c r="AJ71" s="6794"/>
      <c r="AK71" s="6793"/>
      <c r="AL71" s="6795"/>
      <c r="AM71" s="6790"/>
      <c r="AN71" s="6794"/>
      <c r="AO71" s="6796"/>
      <c r="AP71" s="6794"/>
      <c r="AQ71" s="6793"/>
      <c r="AR71" s="6795"/>
      <c r="AS71" s="524">
        <f>SUMIF('Value added steel '!$D$80:$D$92,$D71,'Value added steel '!$AS$80:$AS$92)</f>
        <v>1655</v>
      </c>
      <c r="AT71" s="6794"/>
      <c r="AU71" s="593">
        <f t="shared" si="120"/>
        <v>1655</v>
      </c>
      <c r="AV71" s="6799"/>
      <c r="AW71" s="524">
        <f>SUMIF('Value added steel '!$D$80:$D$92,$D71,'Value added steel '!$AW$80:$AW$92)</f>
        <v>0</v>
      </c>
      <c r="AX71" s="6794"/>
      <c r="AY71" s="593">
        <f t="shared" si="121"/>
        <v>1655</v>
      </c>
      <c r="AZ71" s="6799"/>
      <c r="BA71" s="524">
        <f>SUMIF('Value added steel '!$D$80:$D$92,$D71,'Value added steel '!$BA$80:$BA$92)</f>
        <v>2258.1779999999999</v>
      </c>
      <c r="BB71" s="6800"/>
      <c r="BC71" s="2168">
        <f t="shared" si="122"/>
        <v>3913.1779999999999</v>
      </c>
      <c r="BD71" s="6797"/>
      <c r="BE71" s="1091">
        <f>AO71+BC71</f>
        <v>3913.1779999999999</v>
      </c>
      <c r="BF71" s="6800"/>
      <c r="BG71" s="593">
        <f t="shared" si="14"/>
        <v>3913.1779999999999</v>
      </c>
      <c r="BH71" s="25"/>
      <c r="BI71" s="25"/>
    </row>
    <row r="72" spans="3:61" x14ac:dyDescent="0.3">
      <c r="C72" s="523" t="s">
        <v>937</v>
      </c>
      <c r="D72" s="523" t="s">
        <v>643</v>
      </c>
      <c r="E72" s="5052"/>
      <c r="F72" s="523"/>
      <c r="G72" s="524">
        <f>SUMIF('Value added steel '!$D$80:$D$92,$D72,'Value added steel '!$G$80:$G$92)</f>
        <v>0</v>
      </c>
      <c r="H72" s="1012"/>
      <c r="I72" s="524">
        <f>SUMIF('Value added steel '!$D$80:$D$92,$D72,'Value added steel '!$I$80:$I$92)</f>
        <v>2204</v>
      </c>
      <c r="J72" s="595"/>
      <c r="K72" s="593">
        <f t="shared" si="53"/>
        <v>2204</v>
      </c>
      <c r="L72" s="1012"/>
      <c r="M72" s="524">
        <f>SUMIF('Value added steel '!$D$80:$D$92,$D72,'Value added steel '!$M$80:$M$92)</f>
        <v>0</v>
      </c>
      <c r="N72" s="600"/>
      <c r="O72" s="598">
        <f t="shared" si="54"/>
        <v>2204</v>
      </c>
      <c r="P72" s="1610"/>
      <c r="Q72" s="524">
        <f>SUMIF('Value added steel '!$D$80:$D$92,$D72,'Value added steel '!$Q$80:$Q$92)</f>
        <v>0</v>
      </c>
      <c r="R72" s="600"/>
      <c r="S72" s="598">
        <f t="shared" si="114"/>
        <v>2204</v>
      </c>
      <c r="T72" s="1685"/>
      <c r="U72" s="524">
        <f>SUMIF('Value added steel '!$D$80:$D$92,$D72,'Value added steel '!$U$80:$U$92)</f>
        <v>5899.3739999999998</v>
      </c>
      <c r="V72" s="600"/>
      <c r="W72" s="598">
        <f t="shared" ref="W72:W74" si="123">S72+U72</f>
        <v>8103.3739999999998</v>
      </c>
      <c r="X72" s="598"/>
      <c r="Y72" s="524">
        <f>SUMIF('Value added steel '!$D$80:$D$92,$D72,'Value added steel '!$Y$80:$Y$92)</f>
        <v>0</v>
      </c>
      <c r="Z72" s="600"/>
      <c r="AA72" s="2168">
        <f t="shared" si="115"/>
        <v>5899.3739999999998</v>
      </c>
      <c r="AB72" s="2228"/>
      <c r="AC72" s="1091">
        <f t="shared" si="52"/>
        <v>8103.3739999999998</v>
      </c>
      <c r="AD72" s="598"/>
      <c r="AE72" s="524">
        <f>SUMIF('Value added steel '!$D$80:$D$92,$D72,'Value added steel '!$AE$80:$AE$92)</f>
        <v>9050</v>
      </c>
      <c r="AF72" s="600"/>
      <c r="AG72" s="598">
        <f t="shared" si="116"/>
        <v>14949.374</v>
      </c>
      <c r="AH72" s="598"/>
      <c r="AI72" s="524">
        <f>SUMIF('Value added steel '!$D$80:$D$92,$D72,'Value added steel '!$AI$80:$AI$92)</f>
        <v>0</v>
      </c>
      <c r="AJ72" s="600"/>
      <c r="AK72" s="593">
        <f t="shared" si="117"/>
        <v>17153.374</v>
      </c>
      <c r="AL72" s="598"/>
      <c r="AM72" s="524">
        <f>SUMIF('Value added steel '!$D$80:$D$92,$D72,'Value added steel '!$AM$80:$AM$92)</f>
        <v>0</v>
      </c>
      <c r="AN72" s="600"/>
      <c r="AO72" s="2168">
        <f t="shared" si="118"/>
        <v>9050</v>
      </c>
      <c r="AP72" s="600"/>
      <c r="AQ72" s="593">
        <f t="shared" si="119"/>
        <v>14949.374</v>
      </c>
      <c r="AR72" s="598"/>
      <c r="AS72" s="524">
        <f>SUMIF('Value added steel '!$D$80:$D$92,$D72,'Value added steel '!$AS$80:$AS$92)</f>
        <v>0</v>
      </c>
      <c r="AT72" s="600"/>
      <c r="AU72" s="593">
        <f t="shared" si="120"/>
        <v>14949.374</v>
      </c>
      <c r="AV72" s="599"/>
      <c r="AW72" s="524">
        <f>SUMIF('Value added steel '!$D$80:$D$92,$D72,'Value added steel '!$AW$80:$AW$92)</f>
        <v>0</v>
      </c>
      <c r="AX72" s="600"/>
      <c r="AY72" s="593">
        <f t="shared" si="121"/>
        <v>14949.374</v>
      </c>
      <c r="AZ72" s="599"/>
      <c r="BA72" s="524">
        <f>SUMIF('Value added steel '!$D$80:$D$92,$D72,'Value added steel '!$BA$80:$BA$92)</f>
        <v>0</v>
      </c>
      <c r="BB72" s="599"/>
      <c r="BC72" s="2168">
        <f t="shared" si="122"/>
        <v>0</v>
      </c>
      <c r="BD72" s="2228"/>
      <c r="BE72" s="1091">
        <f t="shared" ref="BE72:BE75" si="124">AO72+BC72</f>
        <v>9050</v>
      </c>
      <c r="BF72" s="599"/>
      <c r="BG72" s="593">
        <f t="shared" ref="BG72:BG75" si="125">AY72+BA72</f>
        <v>14949.374</v>
      </c>
      <c r="BH72" s="25"/>
      <c r="BI72" s="25"/>
    </row>
    <row r="73" spans="3:61" x14ac:dyDescent="0.3">
      <c r="C73" s="523" t="s">
        <v>937</v>
      </c>
      <c r="D73" s="523" t="s">
        <v>1076</v>
      </c>
      <c r="E73" s="5052"/>
      <c r="F73" s="523"/>
      <c r="G73" s="524">
        <f>SUMIF('Value added steel '!$D$80:$D$92,$D73,'Value added steel '!$G$80:$G$92)</f>
        <v>0</v>
      </c>
      <c r="H73" s="1012"/>
      <c r="I73" s="524">
        <f>SUMIF('Value added steel '!$D$80:$D$92,$D73,'Value added steel '!$I$80:$I$92)</f>
        <v>0</v>
      </c>
      <c r="J73" s="595"/>
      <c r="K73" s="593">
        <f t="shared" si="53"/>
        <v>0</v>
      </c>
      <c r="L73" s="1012"/>
      <c r="M73" s="524">
        <f>SUMIF('Value added steel '!$D$80:$D$92,$D73,'Value added steel '!$M$80:$M$92)</f>
        <v>0</v>
      </c>
      <c r="N73" s="600"/>
      <c r="O73" s="598">
        <f t="shared" si="54"/>
        <v>0</v>
      </c>
      <c r="P73" s="1610"/>
      <c r="Q73" s="524">
        <f>SUMIF('Value added steel '!$D$80:$D$92,$D73,'Value added steel '!$Q$80:$Q$92)</f>
        <v>0</v>
      </c>
      <c r="R73" s="600"/>
      <c r="S73" s="598">
        <f t="shared" si="114"/>
        <v>0</v>
      </c>
      <c r="T73" s="1685"/>
      <c r="U73" s="524">
        <f>SUMIF('Value added steel '!$D$80:$D$92,$D73,'Value added steel '!$U$80:$U$92)</f>
        <v>0</v>
      </c>
      <c r="V73" s="600"/>
      <c r="W73" s="598">
        <f t="shared" si="123"/>
        <v>0</v>
      </c>
      <c r="X73" s="598"/>
      <c r="Y73" s="524">
        <f>SUMIF('Value added steel '!$D$80:$D$92,$D73,'Value added steel '!$Y$80:$Y$92)</f>
        <v>0</v>
      </c>
      <c r="Z73" s="600"/>
      <c r="AA73" s="2168">
        <f t="shared" si="115"/>
        <v>0</v>
      </c>
      <c r="AB73" s="2228"/>
      <c r="AC73" s="1091">
        <f t="shared" si="52"/>
        <v>0</v>
      </c>
      <c r="AD73" s="598"/>
      <c r="AE73" s="524">
        <f>SUMIF('Value added steel '!$D$80:$D$92,$D73,'Value added steel '!$AE$80:$AE$92)</f>
        <v>0</v>
      </c>
      <c r="AF73" s="600"/>
      <c r="AG73" s="598">
        <f t="shared" si="116"/>
        <v>0</v>
      </c>
      <c r="AH73" s="598"/>
      <c r="AI73" s="524">
        <f>SUMIF('Value added steel '!$D$80:$D$92,$D73,'Value added steel '!$AI$80:$AI$92)</f>
        <v>0</v>
      </c>
      <c r="AJ73" s="600"/>
      <c r="AK73" s="593">
        <f t="shared" si="117"/>
        <v>0</v>
      </c>
      <c r="AL73" s="598"/>
      <c r="AM73" s="524">
        <f>SUMIF('Value added steel '!$D$80:$D$92,$D73,'Value added steel '!$AM$80:$AM$92)</f>
        <v>0</v>
      </c>
      <c r="AN73" s="600"/>
      <c r="AO73" s="2168">
        <f t="shared" si="118"/>
        <v>0</v>
      </c>
      <c r="AP73" s="600"/>
      <c r="AQ73" s="593">
        <f t="shared" si="119"/>
        <v>0</v>
      </c>
      <c r="AR73" s="598"/>
      <c r="AS73" s="524">
        <f>SUMIF('Value added steel '!$D$80:$D$92,$D73,'Value added steel '!$AS$80:$AS$92)</f>
        <v>0</v>
      </c>
      <c r="AT73" s="600"/>
      <c r="AU73" s="593">
        <f t="shared" si="120"/>
        <v>0</v>
      </c>
      <c r="AV73" s="656"/>
      <c r="AW73" s="524">
        <f>SUMIF('Value added steel '!$D$80:$D$92,$D73,'Value added steel '!$AW$80:$AW$92)</f>
        <v>0</v>
      </c>
      <c r="AX73" s="600"/>
      <c r="AY73" s="593">
        <f t="shared" si="121"/>
        <v>0</v>
      </c>
      <c r="AZ73" s="656"/>
      <c r="BA73" s="524">
        <f>SUMIF('Value added steel '!$D$80:$D$92,$D73,'Value added steel '!$BA$80:$BA$92)</f>
        <v>0</v>
      </c>
      <c r="BB73" s="656"/>
      <c r="BC73" s="2168">
        <f t="shared" si="122"/>
        <v>0</v>
      </c>
      <c r="BD73" s="2228"/>
      <c r="BE73" s="1091">
        <f t="shared" si="124"/>
        <v>0</v>
      </c>
      <c r="BF73" s="656"/>
      <c r="BG73" s="593">
        <f t="shared" si="125"/>
        <v>0</v>
      </c>
      <c r="BH73" s="25"/>
      <c r="BI73" s="1137"/>
    </row>
    <row r="74" spans="3:61" s="139" customFormat="1" x14ac:dyDescent="0.3">
      <c r="C74" s="523" t="s">
        <v>937</v>
      </c>
      <c r="D74" s="523" t="s">
        <v>642</v>
      </c>
      <c r="E74" s="5052"/>
      <c r="F74" s="523"/>
      <c r="G74" s="524">
        <f>SUMIF('Value added steel '!$D$80:$D$92,$D74,'Value added steel '!$G$80:$G$92)</f>
        <v>0</v>
      </c>
      <c r="H74" s="1012"/>
      <c r="I74" s="524">
        <f>SUMIF('Value added steel '!$D$80:$D$92,$D74,'Value added steel '!$I$80:$I$92)</f>
        <v>0</v>
      </c>
      <c r="J74" s="595"/>
      <c r="K74" s="593">
        <f t="shared" si="53"/>
        <v>0</v>
      </c>
      <c r="L74" s="1012"/>
      <c r="M74" s="524">
        <f>SUMIF('Value added steel '!$D$80:$D$92,$D74,'Value added steel '!$M$80:$M$92)</f>
        <v>0</v>
      </c>
      <c r="N74" s="600"/>
      <c r="O74" s="598">
        <f t="shared" si="54"/>
        <v>0</v>
      </c>
      <c r="P74" s="1610"/>
      <c r="Q74" s="524">
        <f>SUMIF('Value added steel '!$D$80:$D$92,$D74,'Value added steel '!$Q$80:$Q$92)</f>
        <v>0</v>
      </c>
      <c r="R74" s="600"/>
      <c r="S74" s="598">
        <f t="shared" si="114"/>
        <v>0</v>
      </c>
      <c r="T74" s="1685"/>
      <c r="U74" s="524">
        <f>SUMIF('Value added steel '!$D$80:$D$92,$D74,'Value added steel '!$U$80:$U$92)</f>
        <v>0</v>
      </c>
      <c r="V74" s="600"/>
      <c r="W74" s="598">
        <f t="shared" si="123"/>
        <v>0</v>
      </c>
      <c r="X74" s="598"/>
      <c r="Y74" s="524">
        <f>SUMIF('Value added steel '!$D$80:$D$92,$D74,'Value added steel '!$Y$80:$Y$92)</f>
        <v>0</v>
      </c>
      <c r="Z74" s="600"/>
      <c r="AA74" s="2168">
        <f t="shared" si="115"/>
        <v>0</v>
      </c>
      <c r="AB74" s="2228"/>
      <c r="AC74" s="1091">
        <f t="shared" si="52"/>
        <v>0</v>
      </c>
      <c r="AD74" s="598"/>
      <c r="AE74" s="524">
        <f>SUMIF('Value added steel '!$D$80:$D$92,$D74,'Value added steel '!$AE$80:$AE$92)</f>
        <v>0</v>
      </c>
      <c r="AF74" s="600"/>
      <c r="AG74" s="598">
        <f t="shared" si="116"/>
        <v>0</v>
      </c>
      <c r="AH74" s="598"/>
      <c r="AI74" s="524">
        <f>SUMIF('Value added steel '!$D$80:$D$92,$D74,'Value added steel '!$AI$80:$AI$92)</f>
        <v>0</v>
      </c>
      <c r="AJ74" s="600"/>
      <c r="AK74" s="593">
        <f t="shared" si="117"/>
        <v>0</v>
      </c>
      <c r="AL74" s="598"/>
      <c r="AM74" s="524">
        <f>SUMIF('Value added steel '!$D$80:$D$92,$D74,'Value added steel '!$AM$80:$AM$92)</f>
        <v>0</v>
      </c>
      <c r="AN74" s="600"/>
      <c r="AO74" s="2168">
        <f t="shared" si="118"/>
        <v>0</v>
      </c>
      <c r="AP74" s="600"/>
      <c r="AQ74" s="593">
        <f t="shared" si="119"/>
        <v>0</v>
      </c>
      <c r="AR74" s="598"/>
      <c r="AS74" s="524">
        <f>SUMIF('Value added steel '!$D$80:$D$92,$D74,'Value added steel '!$AS$80:$AS$92)</f>
        <v>0</v>
      </c>
      <c r="AT74" s="600"/>
      <c r="AU74" s="593">
        <f t="shared" si="120"/>
        <v>0</v>
      </c>
      <c r="AW74" s="524">
        <f>SUMIF('Value added steel '!$D$80:$D$92,$D74,'Value added steel '!$AW$80:$AW$92)</f>
        <v>0</v>
      </c>
      <c r="AX74" s="600"/>
      <c r="AY74" s="593">
        <f t="shared" si="121"/>
        <v>0</v>
      </c>
      <c r="BA74" s="524">
        <f>SUMIF('Value added steel '!$D$80:$D$92,$D74,'Value added steel '!$BA$80:$BA$92)</f>
        <v>0</v>
      </c>
      <c r="BC74" s="2168">
        <f t="shared" si="122"/>
        <v>0</v>
      </c>
      <c r="BE74" s="1091">
        <f t="shared" si="124"/>
        <v>0</v>
      </c>
      <c r="BG74" s="593">
        <f t="shared" si="125"/>
        <v>0</v>
      </c>
      <c r="BH74" s="25"/>
      <c r="BI74" s="25"/>
    </row>
    <row r="75" spans="3:61" x14ac:dyDescent="0.3">
      <c r="C75" s="523" t="s">
        <v>937</v>
      </c>
      <c r="D75" s="523" t="s">
        <v>1035</v>
      </c>
      <c r="E75" s="5052"/>
      <c r="F75" s="523"/>
      <c r="G75" s="524">
        <f>SUMIF('Value added steel '!$D$80:$D$92,$D75,'Value added steel '!$G$80:$G$92)</f>
        <v>0</v>
      </c>
      <c r="H75" s="1012"/>
      <c r="I75" s="524">
        <f>SUMIF('Value added steel '!$D$80:$D$92,$D75,'Value added steel '!$I$80:$I$92)</f>
        <v>0</v>
      </c>
      <c r="J75" s="595"/>
      <c r="K75" s="593">
        <f t="shared" si="53"/>
        <v>0</v>
      </c>
      <c r="L75" s="1012"/>
      <c r="M75" s="524">
        <f>SUMIF('Value added steel '!$D$80:$D$92,$D75,'Value added steel '!$M$80:$M$92)</f>
        <v>0</v>
      </c>
      <c r="N75" s="600"/>
      <c r="O75" s="598">
        <f t="shared" si="54"/>
        <v>0</v>
      </c>
      <c r="P75" s="1610"/>
      <c r="Q75" s="524">
        <f>SUMIF('Value added steel '!$D$80:$D$92,$D75,'Value added steel '!$Q$80:$Q$92)</f>
        <v>0</v>
      </c>
      <c r="R75" s="600"/>
      <c r="S75" s="598">
        <f t="shared" ref="S75" si="126">+K75+M75+Q75</f>
        <v>0</v>
      </c>
      <c r="T75" s="1685"/>
      <c r="U75" s="524">
        <f>SUMIF('Value added steel '!$D$80:$D$92,$D75,'Value added steel '!$U$80:$U$92)</f>
        <v>0</v>
      </c>
      <c r="V75" s="600"/>
      <c r="W75" s="598">
        <f t="shared" ref="W75" si="127">+O75+Q75+U75</f>
        <v>0</v>
      </c>
      <c r="X75" s="598"/>
      <c r="Y75" s="524">
        <f>SUMIF('Value added steel '!$D$80:$D$92,$D75,'Value added steel '!$Y$80:$Y$92)</f>
        <v>0</v>
      </c>
      <c r="Z75" s="600"/>
      <c r="AA75" s="2168">
        <f t="shared" si="115"/>
        <v>0</v>
      </c>
      <c r="AB75" s="2228"/>
      <c r="AC75" s="1091">
        <f t="shared" si="52"/>
        <v>0</v>
      </c>
      <c r="AD75" s="598"/>
      <c r="AE75" s="524">
        <f>SUMIF('Value added steel '!$D$80:$D$92,$D75,'Value added steel '!$AE$80:$AE$92)</f>
        <v>0</v>
      </c>
      <c r="AF75" s="600"/>
      <c r="AG75" s="598">
        <f t="shared" si="116"/>
        <v>0</v>
      </c>
      <c r="AH75" s="598"/>
      <c r="AI75" s="524">
        <f>SUMIF('Value added steel '!$D$80:$D$92,$D75,'Value added steel '!$AI$80:$AI$92)</f>
        <v>0</v>
      </c>
      <c r="AJ75" s="600"/>
      <c r="AK75" s="593">
        <f t="shared" si="117"/>
        <v>0</v>
      </c>
      <c r="AL75" s="598"/>
      <c r="AM75" s="524">
        <f>SUMIF('Value added steel '!$D$80:$D$92,$D75,'Value added steel '!$AM$80:$AM$92)</f>
        <v>0</v>
      </c>
      <c r="AN75" s="600"/>
      <c r="AO75" s="2168">
        <f t="shared" si="118"/>
        <v>0</v>
      </c>
      <c r="AP75" s="600"/>
      <c r="AQ75" s="593">
        <f t="shared" si="119"/>
        <v>0</v>
      </c>
      <c r="AR75" s="598"/>
      <c r="AS75" s="524">
        <f>SUMIF('Value added steel '!$D$80:$D$92,$D75,'Value added steel '!$AS$80:$AS$92)</f>
        <v>0</v>
      </c>
      <c r="AT75" s="600"/>
      <c r="AU75" s="593">
        <f t="shared" si="120"/>
        <v>0</v>
      </c>
      <c r="AW75" s="524">
        <f>SUMIF('Value added steel '!$D$80:$D$92,$D75,'Value added steel '!$AW$80:$AW$92)</f>
        <v>0</v>
      </c>
      <c r="AX75" s="600"/>
      <c r="AY75" s="593">
        <f t="shared" si="121"/>
        <v>0</v>
      </c>
      <c r="BA75" s="524">
        <f>SUMIF('Value added steel '!$D$80:$D$92,$D75,'Value added steel '!$BA$80:$BA$92)</f>
        <v>0</v>
      </c>
      <c r="BC75" s="2168">
        <f t="shared" si="122"/>
        <v>0</v>
      </c>
      <c r="BE75" s="1091">
        <f t="shared" si="124"/>
        <v>0</v>
      </c>
      <c r="BG75" s="593">
        <f t="shared" si="125"/>
        <v>0</v>
      </c>
      <c r="BH75" s="25"/>
    </row>
    <row r="76" spans="3:61" x14ac:dyDescent="0.3">
      <c r="C76" s="8368" t="s">
        <v>998</v>
      </c>
      <c r="D76" s="8368"/>
      <c r="E76" s="5052"/>
      <c r="F76" s="602"/>
      <c r="G76" s="603">
        <f>SUM(G70:G75)</f>
        <v>0</v>
      </c>
      <c r="H76" s="605"/>
      <c r="I76" s="603">
        <f>SUM(I70:I75)</f>
        <v>2204</v>
      </c>
      <c r="J76" s="605"/>
      <c r="K76" s="604">
        <f>SUM(K70:K75)</f>
        <v>2204</v>
      </c>
      <c r="L76" s="605"/>
      <c r="M76" s="603">
        <f>SUM(M70:M75)</f>
        <v>0</v>
      </c>
      <c r="N76" s="605"/>
      <c r="O76" s="603">
        <f>SUM(O70:O75)</f>
        <v>2204</v>
      </c>
      <c r="P76" s="1611"/>
      <c r="Q76" s="603">
        <f>SUM(Q70:Q75)</f>
        <v>0</v>
      </c>
      <c r="R76" s="1611"/>
      <c r="S76" s="603">
        <f>SUM(S70:S75)</f>
        <v>2204</v>
      </c>
      <c r="T76" s="1686"/>
      <c r="U76" s="603">
        <f>SUM(U70:U75)</f>
        <v>5899.3739999999998</v>
      </c>
      <c r="V76" s="1686"/>
      <c r="W76" s="603">
        <f>SUM(W70:W75)</f>
        <v>8103.3739999999998</v>
      </c>
      <c r="X76" s="603"/>
      <c r="Y76" s="603">
        <f>SUM(Y70:Y75)</f>
        <v>0</v>
      </c>
      <c r="Z76" s="2117"/>
      <c r="AA76" s="2169">
        <f>SUM(AA70:AA75)</f>
        <v>5899.3739999999998</v>
      </c>
      <c r="AB76" s="2228"/>
      <c r="AC76" s="2169">
        <f t="shared" si="52"/>
        <v>8103.3739999999998</v>
      </c>
      <c r="AD76" s="603"/>
      <c r="AE76" s="603">
        <f>SUM(AE70:AE75)</f>
        <v>9050</v>
      </c>
      <c r="AF76" s="2462"/>
      <c r="AG76" s="603">
        <f>SUM(AG70:AG75)</f>
        <v>14949.374</v>
      </c>
      <c r="AH76" s="603"/>
      <c r="AI76" s="603">
        <f>SUM(AI70:AI75)</f>
        <v>0</v>
      </c>
      <c r="AJ76" s="2492"/>
      <c r="AK76" s="603">
        <f>SUM(AK70:AK75)</f>
        <v>17153.374</v>
      </c>
      <c r="AL76" s="603"/>
      <c r="AM76" s="603">
        <f>SUM(AM70:AM75)</f>
        <v>0</v>
      </c>
      <c r="AN76" s="2581"/>
      <c r="AO76" s="2169">
        <f>SUM(AO70:AO75)</f>
        <v>9050</v>
      </c>
      <c r="AP76" s="2581"/>
      <c r="AQ76" s="603">
        <f>SUM(AQ70:AQ75)</f>
        <v>14949.374</v>
      </c>
      <c r="AR76" s="603"/>
      <c r="AS76" s="603">
        <f>SUM(AS70:AS75)</f>
        <v>3537</v>
      </c>
      <c r="AT76" s="2620"/>
      <c r="AU76" s="603">
        <f>SUM(AU70:AU75)</f>
        <v>18486.374</v>
      </c>
      <c r="AW76" s="603">
        <f>SUM(AW70:AW75)</f>
        <v>1221.2460000000001</v>
      </c>
      <c r="AX76" s="5081"/>
      <c r="AY76" s="603">
        <f>SUM(AY70:AY75)</f>
        <v>19707.62</v>
      </c>
      <c r="BA76" s="603">
        <f>SUM(BA70:BA75)</f>
        <v>2258.1779999999999</v>
      </c>
      <c r="BC76" s="2169">
        <f>SUM(BC70:BC75)</f>
        <v>7016.424</v>
      </c>
      <c r="BE76" s="2169">
        <f>AO76+BC76</f>
        <v>16066.423999999999</v>
      </c>
      <c r="BG76" s="603">
        <f>SUM(BG70:BG75)</f>
        <v>21965.797999999999</v>
      </c>
    </row>
    <row r="77" spans="3:61" x14ac:dyDescent="0.3">
      <c r="C77" s="8369" t="s">
        <v>938</v>
      </c>
      <c r="D77" s="8369"/>
      <c r="E77" s="5053"/>
      <c r="F77" s="525"/>
      <c r="G77" s="526">
        <f>+G76+G69+G51+G45+G38</f>
        <v>136739.05200000005</v>
      </c>
      <c r="H77" s="526"/>
      <c r="I77" s="526">
        <f>+I76+I69+I51+I45+I38</f>
        <v>145242.49000000005</v>
      </c>
      <c r="J77" s="594"/>
      <c r="K77" s="593">
        <f t="shared" si="53"/>
        <v>281981.54200000013</v>
      </c>
      <c r="L77" s="526"/>
      <c r="M77" s="526">
        <f>+M76+M69+M51+M45+M38</f>
        <v>150879.20300000007</v>
      </c>
      <c r="N77" s="599"/>
      <c r="O77" s="599">
        <f t="shared" si="54"/>
        <v>432860.74500000023</v>
      </c>
      <c r="P77" s="526"/>
      <c r="Q77" s="526">
        <f>+Q76+Q69+Q51+Q45+Q38</f>
        <v>166009.5210000001</v>
      </c>
      <c r="R77" s="599"/>
      <c r="S77" s="599">
        <f t="shared" ref="S77" si="128">O77+Q77</f>
        <v>598870.26600000029</v>
      </c>
      <c r="T77" s="526"/>
      <c r="U77" s="526">
        <f>+U76+U69+U51+U45+U38</f>
        <v>138740.65700000006</v>
      </c>
      <c r="V77" s="599"/>
      <c r="W77" s="599">
        <f t="shared" ref="W77" si="129">S77+U77</f>
        <v>737610.92300000042</v>
      </c>
      <c r="X77" s="599"/>
      <c r="Y77" s="526">
        <f>+Y76+Y69+Y51+Y45+Y38</f>
        <v>138987.30400000006</v>
      </c>
      <c r="Z77" s="599"/>
      <c r="AA77" s="2170">
        <f>Q77+U77+Y77</f>
        <v>443737.48200000025</v>
      </c>
      <c r="AB77" s="2228"/>
      <c r="AC77" s="2419">
        <f t="shared" si="52"/>
        <v>876598.22700000042</v>
      </c>
      <c r="AD77" s="599"/>
      <c r="AE77" s="526">
        <f>+AE76+AE69+AE51+AE45+AE38</f>
        <v>115671.62000000007</v>
      </c>
      <c r="AF77" s="599"/>
      <c r="AG77" s="599">
        <f t="shared" ref="AG77" si="130">AC77+AE77</f>
        <v>992269.84700000053</v>
      </c>
      <c r="AH77" s="599"/>
      <c r="AI77" s="526">
        <f>+AI76+AI69+AI51+AI45+AI38</f>
        <v>132178.04800000007</v>
      </c>
      <c r="AJ77" s="599"/>
      <c r="AK77" s="594">
        <f t="shared" ref="AK77" si="131">AG77+AI77</f>
        <v>1124447.8950000005</v>
      </c>
      <c r="AL77" s="599"/>
      <c r="AM77" s="526">
        <f>+AM76+AM69+AM51+AM45+AM38</f>
        <v>155219.61100000015</v>
      </c>
      <c r="AN77" s="599"/>
      <c r="AO77" s="2170">
        <f>AE77+AI77+AM77</f>
        <v>403069.27900000027</v>
      </c>
      <c r="AP77" s="599"/>
      <c r="AQ77" s="594">
        <f t="shared" ref="AQ77" si="132">AK77+AM77</f>
        <v>1279667.5060000005</v>
      </c>
      <c r="AR77" s="599"/>
      <c r="AS77" s="526">
        <f>+AS76+AS69+AS51+AS45+AS38</f>
        <v>157279.33500000014</v>
      </c>
      <c r="AT77" s="599"/>
      <c r="AU77" s="594">
        <f t="shared" si="120"/>
        <v>1436946.8410000007</v>
      </c>
      <c r="AW77" s="526">
        <f>+AW76+AW69+AW51+AW45+AW38</f>
        <v>120743.80400000012</v>
      </c>
      <c r="AX77" s="599"/>
      <c r="AY77" s="594">
        <f t="shared" ref="AY77" si="133">AU77+AW77</f>
        <v>1557690.6450000009</v>
      </c>
      <c r="BA77" s="526">
        <f>+BA76+BA69+BA51+BA45+BA38</f>
        <v>157667.08399999997</v>
      </c>
      <c r="BC77" s="2170">
        <f>AS77+AW77+BA77</f>
        <v>435690.22300000023</v>
      </c>
      <c r="BE77" s="2419">
        <f>AO77+BC77</f>
        <v>838759.50200000056</v>
      </c>
      <c r="BG77" s="593">
        <f t="shared" ref="BG77" si="134">AY77+BA77</f>
        <v>1715357.729000001</v>
      </c>
    </row>
    <row r="78" spans="3:61" x14ac:dyDescent="0.3">
      <c r="C78" s="8365" t="s">
        <v>939</v>
      </c>
      <c r="D78" s="8365"/>
      <c r="E78" s="523" t="s">
        <v>940</v>
      </c>
      <c r="F78" s="523"/>
      <c r="G78" s="1041">
        <f>+G77/G80</f>
        <v>0.65513694938984557</v>
      </c>
      <c r="H78" s="606"/>
      <c r="I78" s="1041">
        <f>+I77/I80</f>
        <v>0.63618418432320911</v>
      </c>
      <c r="J78" s="1356"/>
      <c r="K78" s="1356">
        <f>+K77/K80</f>
        <v>0.64523589973971296</v>
      </c>
      <c r="L78" s="606"/>
      <c r="M78" s="1041">
        <f>+M77/M80</f>
        <v>0.66205869537643569</v>
      </c>
      <c r="N78" s="656"/>
      <c r="O78" s="656">
        <f>+O77/O80</f>
        <v>0.65100177210811561</v>
      </c>
      <c r="P78" s="606"/>
      <c r="Q78" s="1041">
        <f>+Q77/Q80</f>
        <v>0.68256627172892437</v>
      </c>
      <c r="R78" s="656"/>
      <c r="S78" s="656">
        <f>+S77/S80</f>
        <v>0.65945533358839425</v>
      </c>
      <c r="T78" s="606"/>
      <c r="U78" s="1041">
        <f>+U77/U80</f>
        <v>0.63344514343551783</v>
      </c>
      <c r="V78" s="656"/>
      <c r="W78" s="656">
        <f>+W77/W80</f>
        <v>0.65440110421666442</v>
      </c>
      <c r="X78" s="656"/>
      <c r="Y78" s="1041">
        <f>+Y77/Y80</f>
        <v>0.62378761357096457</v>
      </c>
      <c r="Z78" s="656"/>
      <c r="AA78" s="2171">
        <f>+AA77/AA80</f>
        <v>0.64774352356953602</v>
      </c>
      <c r="AB78" s="2228"/>
      <c r="AC78" s="2418">
        <f>AC77/AC80</f>
        <v>0.64934834750344905</v>
      </c>
      <c r="AD78" s="656"/>
      <c r="AE78" s="606">
        <f>+AE77/AE80</f>
        <v>0.65554259651827029</v>
      </c>
      <c r="AF78" s="656"/>
      <c r="AG78" s="656">
        <f>+AG77/AG80</f>
        <v>0.65006439387137738</v>
      </c>
      <c r="AH78" s="656"/>
      <c r="AI78" s="606">
        <f>+AI77/AI80</f>
        <v>0.6162863347201597</v>
      </c>
      <c r="AJ78" s="656"/>
      <c r="AK78" s="1356">
        <f>+AK77/AK80</f>
        <v>0.6459029939968115</v>
      </c>
      <c r="AL78" s="656"/>
      <c r="AM78" s="606">
        <f>+AM77/AM80</f>
        <v>0.67002535306835342</v>
      </c>
      <c r="AN78" s="656"/>
      <c r="AO78" s="2171">
        <f>+AO77/AO80</f>
        <v>0.64740820958445477</v>
      </c>
      <c r="AP78" s="656"/>
      <c r="AQ78" s="1356">
        <f>+AQ77/AQ80</f>
        <v>0.64873599013238425</v>
      </c>
      <c r="AR78" s="656"/>
      <c r="AS78" s="606">
        <f>+AS77/AS80</f>
        <v>0.70038227906354733</v>
      </c>
      <c r="AT78" s="656"/>
      <c r="AU78" s="1356">
        <f>+AU77/AU80</f>
        <v>0.65401463445515629</v>
      </c>
      <c r="AW78" s="606">
        <f>+AW77/AW80</f>
        <v>0.65550233441924144</v>
      </c>
      <c r="AX78" s="656"/>
      <c r="AY78" s="1356">
        <f>+AY77/AY80</f>
        <v>0.65412971148074173</v>
      </c>
      <c r="BA78" s="606">
        <f>+BA77/BA80</f>
        <v>0.67571734366900982</v>
      </c>
      <c r="BC78" s="2171">
        <f>+BC77/BC80</f>
        <v>0.67854433341164322</v>
      </c>
      <c r="BE78" s="2418">
        <f>BE77/BE80</f>
        <v>0.66321639169715574</v>
      </c>
      <c r="BG78" s="1356">
        <f>+BG77/BG80</f>
        <v>0.65605620397982578</v>
      </c>
    </row>
    <row r="79" spans="3:61" x14ac:dyDescent="0.3"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2180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W79" s="139"/>
      <c r="AX79" s="139"/>
      <c r="AY79" s="139"/>
      <c r="BA79" s="139"/>
      <c r="BC79" s="139"/>
      <c r="BE79" s="2180"/>
      <c r="BG79" s="139"/>
    </row>
    <row r="80" spans="3:61" x14ac:dyDescent="0.3">
      <c r="C80" s="8366" t="s">
        <v>996</v>
      </c>
      <c r="D80" s="8367"/>
      <c r="E80" s="525" t="s">
        <v>66</v>
      </c>
      <c r="F80" s="592">
        <f>+'Maj Production Summ'!E37</f>
        <v>181999.95710934181</v>
      </c>
      <c r="G80" s="592">
        <f>+'Maj Production Summ'!F37</f>
        <v>208718.27200000006</v>
      </c>
      <c r="H80" s="592"/>
      <c r="I80" s="592">
        <f>+'Maj Production Summ'!H37</f>
        <v>228302.57900000006</v>
      </c>
      <c r="J80" s="597"/>
      <c r="K80" s="597">
        <f>+'Maj Production Summ'!J37</f>
        <v>437020.85100000014</v>
      </c>
      <c r="L80" s="592">
        <f>+'Maj Production Summ'!K37</f>
        <v>229000.11088311521</v>
      </c>
      <c r="M80" s="592">
        <f>+'Maj Production Summ'!L37</f>
        <v>227893.99800000005</v>
      </c>
      <c r="N80" s="601"/>
      <c r="O80" s="601">
        <f>+G80+I80+M80</f>
        <v>664914.84900000016</v>
      </c>
      <c r="P80" s="592">
        <f>+'Maj Production Summ'!O37</f>
        <v>231500.1413553209</v>
      </c>
      <c r="Q80" s="592">
        <f>+'Maj Production Summ'!P37</f>
        <v>243213.77700000012</v>
      </c>
      <c r="R80" s="601"/>
      <c r="S80" s="601">
        <f t="shared" ref="S80" si="135">O80+Q80</f>
        <v>908128.62600000028</v>
      </c>
      <c r="T80" s="592">
        <f>+'Maj Production Summ'!S37</f>
        <v>231500.1413553209</v>
      </c>
      <c r="U80" s="592">
        <f>+'Maj Production Summ'!T37</f>
        <v>219025.52800000005</v>
      </c>
      <c r="V80" s="601"/>
      <c r="W80" s="601">
        <f t="shared" ref="W80" si="136">S80+U80</f>
        <v>1127154.1540000003</v>
      </c>
      <c r="X80" s="601"/>
      <c r="Y80" s="592">
        <f>+'Maj Production Summ'!X37</f>
        <v>222811.90100000007</v>
      </c>
      <c r="Z80" s="601"/>
      <c r="AA80" s="2172">
        <f>Q80+U80+Y80</f>
        <v>685051.20600000024</v>
      </c>
      <c r="AB80" s="2173"/>
      <c r="AC80" s="1091">
        <f>O80+AA80</f>
        <v>1349966.0550000004</v>
      </c>
      <c r="AD80" s="601"/>
      <c r="AE80" s="592">
        <f>+'Maj Production Summ'!AD37</f>
        <v>176451.7220000001</v>
      </c>
      <c r="AF80" s="601"/>
      <c r="AG80" s="601">
        <f t="shared" ref="AG80" si="137">AC80+AE80</f>
        <v>1526417.7770000005</v>
      </c>
      <c r="AH80" s="601"/>
      <c r="AI80" s="592">
        <f>+'Maj Production Summ'!AH37</f>
        <v>214475.0590000001</v>
      </c>
      <c r="AJ80" s="601"/>
      <c r="AK80" s="597">
        <f t="shared" ref="AK80" si="138">AG80+AI80</f>
        <v>1740892.8360000006</v>
      </c>
      <c r="AL80" s="601"/>
      <c r="AM80" s="592">
        <f>+'Maj Production Summ'!AL37</f>
        <v>231662.29500000016</v>
      </c>
      <c r="AN80" s="601"/>
      <c r="AO80" s="2172">
        <f>AE80+AI80+AM80</f>
        <v>622589.07600000035</v>
      </c>
      <c r="AP80" s="601"/>
      <c r="AQ80" s="597">
        <f t="shared" ref="AQ80" si="139">AK80+AM80</f>
        <v>1972555.1310000008</v>
      </c>
      <c r="AR80" s="601"/>
      <c r="AS80" s="592">
        <f>+'Maj Production Summ'!AR37</f>
        <v>224562.12800000014</v>
      </c>
      <c r="AT80" s="601"/>
      <c r="AU80" s="597">
        <f t="shared" ref="AU80" si="140">AQ80+AS80</f>
        <v>2197117.259000001</v>
      </c>
      <c r="AW80" s="592">
        <f>+'Maj Production Summ'!AV37</f>
        <v>184200.41800000009</v>
      </c>
      <c r="AX80" s="601"/>
      <c r="AY80" s="597">
        <f t="shared" ref="AY80" si="141">AU80+AW80</f>
        <v>2381317.6770000011</v>
      </c>
      <c r="BA80" s="592">
        <f>+'Maj Production Summ'!AZ37</f>
        <v>233332.89499999999</v>
      </c>
      <c r="BC80" s="2172">
        <f>AS80+AW80+BA80</f>
        <v>642095.44100000022</v>
      </c>
      <c r="BE80" s="1091">
        <f>AO80+BC80</f>
        <v>1264684.5170000005</v>
      </c>
      <c r="BG80" s="593">
        <f t="shared" ref="BG80" si="142">AY80+BA80</f>
        <v>2614650.5720000011</v>
      </c>
    </row>
    <row r="81" spans="7:57" x14ac:dyDescent="0.3">
      <c r="BE81" s="511"/>
    </row>
    <row r="83" spans="7:57" x14ac:dyDescent="0.3">
      <c r="G83" s="25"/>
      <c r="H83" s="25"/>
      <c r="I83" s="25"/>
      <c r="J83" s="25"/>
      <c r="K83" s="25"/>
      <c r="L83" s="25"/>
      <c r="M83" s="25"/>
      <c r="O83" s="25"/>
    </row>
    <row r="84" spans="7:57" x14ac:dyDescent="0.3">
      <c r="G84" s="25"/>
      <c r="I84" s="25"/>
      <c r="K84" s="25"/>
      <c r="M84" s="25"/>
      <c r="O84" s="25"/>
    </row>
    <row r="85" spans="7:57" x14ac:dyDescent="0.3">
      <c r="G85" s="25"/>
      <c r="I85" s="25"/>
      <c r="K85" s="25"/>
      <c r="M85" s="25"/>
      <c r="O85" s="25"/>
    </row>
    <row r="86" spans="7:57" x14ac:dyDescent="0.3">
      <c r="G86" s="25"/>
      <c r="I86" s="25"/>
      <c r="M86" s="25"/>
    </row>
    <row r="87" spans="7:57" x14ac:dyDescent="0.3">
      <c r="G87" s="25"/>
      <c r="I87" s="25"/>
      <c r="K87" s="25"/>
      <c r="M87" s="25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8:D78"/>
    <mergeCell ref="C80:D80"/>
    <mergeCell ref="C38:D38"/>
    <mergeCell ref="C45:D45"/>
    <mergeCell ref="C51:D51"/>
    <mergeCell ref="C69:D69"/>
    <mergeCell ref="C76:D76"/>
    <mergeCell ref="C77:D77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V19" sqref="V1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130" bestFit="1" customWidth="1"/>
    <col min="10" max="12" width="8.28515625" style="3130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066" customFormat="1" x14ac:dyDescent="0.25">
      <c r="I1" s="3130"/>
      <c r="J1" s="3130"/>
      <c r="K1" s="3130"/>
      <c r="L1" s="3130"/>
    </row>
    <row r="2" spans="3:21" ht="23.25" x14ac:dyDescent="0.35">
      <c r="C2" s="3130"/>
      <c r="D2" s="8374" t="s">
        <v>2024</v>
      </c>
      <c r="E2" s="8375"/>
      <c r="F2" s="8370" t="s">
        <v>1919</v>
      </c>
      <c r="G2" s="8370"/>
      <c r="H2" s="8370"/>
      <c r="I2" s="8370"/>
      <c r="J2" s="8370" t="s">
        <v>1956</v>
      </c>
      <c r="K2" s="8370"/>
      <c r="L2" s="8370"/>
      <c r="M2" s="8370"/>
      <c r="N2" s="8370" t="s">
        <v>1986</v>
      </c>
      <c r="O2" s="8370"/>
      <c r="P2" s="8370"/>
      <c r="Q2" s="8370"/>
      <c r="R2" s="8370" t="s">
        <v>2008</v>
      </c>
      <c r="S2" s="8370"/>
      <c r="T2" s="8370"/>
      <c r="U2" s="8370"/>
    </row>
    <row r="3" spans="3:21" ht="23.25" x14ac:dyDescent="0.35">
      <c r="C3" s="3130"/>
      <c r="D3" s="8373" t="s">
        <v>1662</v>
      </c>
      <c r="E3" s="8373"/>
      <c r="F3" s="3072" t="s">
        <v>1658</v>
      </c>
      <c r="G3" s="3072" t="s">
        <v>1659</v>
      </c>
      <c r="H3" s="3072" t="s">
        <v>1660</v>
      </c>
      <c r="I3" s="3072" t="s">
        <v>1661</v>
      </c>
      <c r="J3" s="3136" t="s">
        <v>1658</v>
      </c>
      <c r="K3" s="3136" t="s">
        <v>1659</v>
      </c>
      <c r="L3" s="3136" t="s">
        <v>1660</v>
      </c>
      <c r="M3" s="3136" t="s">
        <v>1661</v>
      </c>
      <c r="N3" s="4191" t="s">
        <v>1658</v>
      </c>
      <c r="O3" s="4191" t="s">
        <v>1659</v>
      </c>
      <c r="P3" s="4191" t="s">
        <v>1660</v>
      </c>
      <c r="Q3" s="4191" t="s">
        <v>1661</v>
      </c>
      <c r="R3" s="5881" t="s">
        <v>1658</v>
      </c>
      <c r="S3" s="5881" t="s">
        <v>1659</v>
      </c>
      <c r="T3" s="5881" t="s">
        <v>1660</v>
      </c>
      <c r="U3" s="5881" t="s">
        <v>1661</v>
      </c>
    </row>
    <row r="4" spans="3:21" ht="23.25" x14ac:dyDescent="0.35">
      <c r="C4" s="3130"/>
      <c r="D4" s="8371" t="s">
        <v>411</v>
      </c>
      <c r="E4" s="8371" t="s">
        <v>411</v>
      </c>
      <c r="F4" s="3071">
        <v>37.32</v>
      </c>
      <c r="G4" s="3071">
        <v>28.86</v>
      </c>
      <c r="H4" s="3071">
        <v>34.417910643889648</v>
      </c>
      <c r="I4" s="3071">
        <v>1.0812145813631775</v>
      </c>
      <c r="J4" s="3071">
        <v>36.71</v>
      </c>
      <c r="K4" s="3071">
        <v>31.31</v>
      </c>
      <c r="L4" s="3071">
        <v>33.910976717112909</v>
      </c>
      <c r="M4" s="3071">
        <v>0.90939350773184346</v>
      </c>
      <c r="N4" s="3071">
        <v>36.6</v>
      </c>
      <c r="O4" s="3071">
        <v>31.47</v>
      </c>
      <c r="P4" s="3071">
        <v>33.800293785310735</v>
      </c>
      <c r="Q4" s="3071">
        <v>0.7730389900311585</v>
      </c>
      <c r="R4" s="3071">
        <v>39.049999999999997</v>
      </c>
      <c r="S4" s="3071">
        <v>33.020000000000003</v>
      </c>
      <c r="T4" s="3071">
        <v>35.927606837606845</v>
      </c>
      <c r="U4" s="3071">
        <v>0.97838874381713026</v>
      </c>
    </row>
    <row r="5" spans="3:21" ht="23.25" x14ac:dyDescent="0.35">
      <c r="C5" s="3130"/>
      <c r="D5" s="8371" t="s">
        <v>412</v>
      </c>
      <c r="E5" s="8371" t="s">
        <v>412</v>
      </c>
      <c r="F5" s="3071">
        <v>21.87</v>
      </c>
      <c r="G5" s="3071">
        <v>14</v>
      </c>
      <c r="H5" s="3071">
        <v>18.332851511169526</v>
      </c>
      <c r="I5" s="3071">
        <v>1.1521923680193578</v>
      </c>
      <c r="J5" s="3071">
        <v>23.37</v>
      </c>
      <c r="K5" s="3071">
        <v>15.6</v>
      </c>
      <c r="L5" s="3071">
        <v>19.471373690337597</v>
      </c>
      <c r="M5" s="3071">
        <v>1.1485112381494058</v>
      </c>
      <c r="N5" s="3071">
        <v>21.74</v>
      </c>
      <c r="O5" s="3071">
        <v>15.16</v>
      </c>
      <c r="P5" s="3071">
        <v>18.639367231638438</v>
      </c>
      <c r="Q5" s="3071">
        <v>1.0138045172276877</v>
      </c>
      <c r="R5" s="3071">
        <v>19.21</v>
      </c>
      <c r="S5" s="3071">
        <v>12.79</v>
      </c>
      <c r="T5" s="3071">
        <v>15.460705128205131</v>
      </c>
      <c r="U5" s="3071">
        <v>0.97495182089402888</v>
      </c>
    </row>
    <row r="6" spans="3:21" ht="23.25" x14ac:dyDescent="0.35">
      <c r="C6" s="3130"/>
      <c r="D6" s="8371" t="s">
        <v>413</v>
      </c>
      <c r="E6" s="8371" t="s">
        <v>413</v>
      </c>
      <c r="F6" s="3071">
        <v>38.880000000000003</v>
      </c>
      <c r="G6" s="3071">
        <v>32.159999999999997</v>
      </c>
      <c r="H6" s="3071">
        <v>35.191879106438897</v>
      </c>
      <c r="I6" s="3071">
        <v>1.3447434762602366</v>
      </c>
      <c r="J6" s="3071">
        <v>38.29</v>
      </c>
      <c r="K6" s="3071">
        <v>31.56</v>
      </c>
      <c r="L6" s="3071">
        <v>34.512374854481969</v>
      </c>
      <c r="M6" s="3071">
        <v>1.1300501026997529</v>
      </c>
      <c r="N6" s="3071">
        <v>38.799999999999997</v>
      </c>
      <c r="O6" s="3071">
        <v>32.76</v>
      </c>
      <c r="P6" s="3071">
        <v>35.191344632768349</v>
      </c>
      <c r="Q6" s="3071">
        <v>1.0352682887717712</v>
      </c>
      <c r="R6" s="3071">
        <v>42.27</v>
      </c>
      <c r="S6" s="3071">
        <v>33.49</v>
      </c>
      <c r="T6" s="3071">
        <v>36.896420940170898</v>
      </c>
      <c r="U6" s="3071">
        <v>1.3744504045612083</v>
      </c>
    </row>
    <row r="7" spans="3:21" ht="23.25" x14ac:dyDescent="0.35">
      <c r="C7" s="3130"/>
      <c r="D7" s="8371" t="s">
        <v>414</v>
      </c>
      <c r="E7" s="8371" t="s">
        <v>414</v>
      </c>
      <c r="F7" s="3071">
        <v>10.41</v>
      </c>
      <c r="G7" s="3071">
        <v>7.53</v>
      </c>
      <c r="H7" s="3071">
        <v>8.9833377135348211</v>
      </c>
      <c r="I7" s="3071">
        <v>0.4973465410075093</v>
      </c>
      <c r="J7" s="3071">
        <v>10.71</v>
      </c>
      <c r="K7" s="3071">
        <v>7.63</v>
      </c>
      <c r="L7" s="3071">
        <v>9.058428405122223</v>
      </c>
      <c r="M7" s="3071">
        <v>0.58941476480751165</v>
      </c>
      <c r="N7" s="3071">
        <v>10.87</v>
      </c>
      <c r="O7" s="3071">
        <v>7.2</v>
      </c>
      <c r="P7" s="3071">
        <v>9.2041807909604518</v>
      </c>
      <c r="Q7" s="3071">
        <v>0.63131580887506111</v>
      </c>
      <c r="R7" s="3071">
        <v>10.99</v>
      </c>
      <c r="S7" s="3071">
        <v>7.6</v>
      </c>
      <c r="T7" s="3071">
        <v>9.23356837606838</v>
      </c>
      <c r="U7" s="3071">
        <v>0.64668060835582242</v>
      </c>
    </row>
    <row r="8" spans="3:21" ht="23.25" x14ac:dyDescent="0.35">
      <c r="C8" s="3130"/>
      <c r="D8" s="8371" t="s">
        <v>410</v>
      </c>
      <c r="E8" s="8371" t="s">
        <v>410</v>
      </c>
      <c r="F8" s="3071">
        <v>2.2999999999999998</v>
      </c>
      <c r="G8" s="3071">
        <v>0.08</v>
      </c>
      <c r="H8" s="3071">
        <v>0.55325886990801609</v>
      </c>
      <c r="I8" s="3071">
        <v>0.2392766456663768</v>
      </c>
      <c r="J8" s="3071">
        <v>1.69</v>
      </c>
      <c r="K8" s="3071">
        <v>0.15</v>
      </c>
      <c r="L8" s="3071">
        <v>0.56037252619324784</v>
      </c>
      <c r="M8" s="3071">
        <v>0.2520972191747442</v>
      </c>
      <c r="N8" s="3071">
        <v>1.91</v>
      </c>
      <c r="O8" s="3071">
        <v>0.14000000000000001</v>
      </c>
      <c r="P8" s="3071">
        <v>0.61033898305084744</v>
      </c>
      <c r="Q8" s="3071">
        <v>0.25694581516115139</v>
      </c>
      <c r="R8" s="3071">
        <v>2.04</v>
      </c>
      <c r="S8" s="3071">
        <v>0.1</v>
      </c>
      <c r="T8" s="3071">
        <v>0.33230769230769208</v>
      </c>
      <c r="U8" s="3071">
        <v>0.17411538182123545</v>
      </c>
    </row>
    <row r="9" spans="3:21" ht="23.25" x14ac:dyDescent="0.35">
      <c r="C9" s="3130"/>
      <c r="D9" s="8371" t="s">
        <v>1653</v>
      </c>
      <c r="E9" s="8371" t="s">
        <v>1653</v>
      </c>
      <c r="F9" s="3071">
        <v>1.1299999999999999</v>
      </c>
      <c r="G9" s="3071">
        <v>0.24</v>
      </c>
      <c r="H9" s="3071">
        <v>0.59027595269382382</v>
      </c>
      <c r="I9" s="3071">
        <v>0.10605387192325265</v>
      </c>
      <c r="J9" s="3071">
        <v>0.93</v>
      </c>
      <c r="K9" s="3071">
        <v>0.24</v>
      </c>
      <c r="L9" s="3071">
        <v>0.55669383003492423</v>
      </c>
      <c r="M9" s="3071">
        <v>0.11421573296409736</v>
      </c>
      <c r="N9" s="3071">
        <v>1.02</v>
      </c>
      <c r="O9" s="3071">
        <v>0.36</v>
      </c>
      <c r="P9" s="3071">
        <v>0.63425988700564928</v>
      </c>
      <c r="Q9" s="3071">
        <v>0.10321111467422377</v>
      </c>
      <c r="R9" s="3071">
        <v>0.84</v>
      </c>
      <c r="S9" s="3071">
        <v>0.2</v>
      </c>
      <c r="T9" s="3071">
        <v>0.51074786324786403</v>
      </c>
      <c r="U9" s="3071">
        <v>9.2707789424770412E-2</v>
      </c>
    </row>
    <row r="10" spans="3:21" ht="23.25" x14ac:dyDescent="0.35">
      <c r="C10" s="3130"/>
      <c r="D10" s="8371" t="s">
        <v>1654</v>
      </c>
      <c r="E10" s="8371" t="s">
        <v>1654</v>
      </c>
      <c r="F10" s="3071">
        <v>0.8</v>
      </c>
      <c r="G10" s="3071">
        <v>0.23</v>
      </c>
      <c r="H10" s="3071">
        <v>0.43060446780551898</v>
      </c>
      <c r="I10" s="3071">
        <v>7.3682479750059496E-2</v>
      </c>
      <c r="J10" s="3071">
        <v>0.73</v>
      </c>
      <c r="K10" s="3071">
        <v>0.28000000000000003</v>
      </c>
      <c r="L10" s="3071">
        <v>0.45660069848661211</v>
      </c>
      <c r="M10" s="3071">
        <v>7.8932815251459648E-2</v>
      </c>
      <c r="N10" s="3071">
        <v>0.95</v>
      </c>
      <c r="O10" s="3071">
        <v>0.21</v>
      </c>
      <c r="P10" s="3071">
        <v>0.50336723163841879</v>
      </c>
      <c r="Q10" s="3071">
        <v>9.9537196313268156E-2</v>
      </c>
      <c r="R10" s="3071">
        <v>0.73</v>
      </c>
      <c r="S10" s="3071">
        <v>0.22</v>
      </c>
      <c r="T10" s="3071">
        <v>0.4239102564102567</v>
      </c>
      <c r="U10" s="3071">
        <v>8.0849027201978008E-2</v>
      </c>
    </row>
    <row r="11" spans="3:21" ht="23.25" x14ac:dyDescent="0.35">
      <c r="C11" s="3130"/>
      <c r="D11" s="8371" t="s">
        <v>1655</v>
      </c>
      <c r="E11" s="8371" t="s">
        <v>1655</v>
      </c>
      <c r="F11" s="3071">
        <v>1.1599999999999999</v>
      </c>
      <c r="G11" s="3071">
        <v>0.47</v>
      </c>
      <c r="H11" s="3071">
        <v>0.8527201051248352</v>
      </c>
      <c r="I11" s="3071">
        <v>0.10286468745005842</v>
      </c>
      <c r="J11" s="3071">
        <v>1.1399999999999999</v>
      </c>
      <c r="K11" s="3071">
        <v>0.51</v>
      </c>
      <c r="L11" s="3071">
        <v>0.8212223515715944</v>
      </c>
      <c r="M11" s="3071">
        <v>0.10870940568525161</v>
      </c>
      <c r="N11" s="3071">
        <v>1.01</v>
      </c>
      <c r="O11" s="3071">
        <v>0.42</v>
      </c>
      <c r="P11" s="3071">
        <v>0.74769491525423826</v>
      </c>
      <c r="Q11" s="3071">
        <v>9.8507514167279958E-2</v>
      </c>
      <c r="R11" s="3071">
        <v>0.79</v>
      </c>
      <c r="S11" s="3071">
        <v>0.3</v>
      </c>
      <c r="T11" s="3071">
        <v>0.59601495726495735</v>
      </c>
      <c r="U11" s="3071">
        <v>7.1382346194524993E-2</v>
      </c>
    </row>
    <row r="12" spans="3:21" ht="23.25" x14ac:dyDescent="0.35">
      <c r="C12" s="3130"/>
      <c r="D12" s="8372" t="s">
        <v>1656</v>
      </c>
      <c r="E12" s="8372" t="s">
        <v>1656</v>
      </c>
      <c r="F12" s="3150">
        <v>1.35</v>
      </c>
      <c r="G12" s="3150">
        <v>0.9</v>
      </c>
      <c r="H12" s="3150">
        <v>1.0239684625492784</v>
      </c>
      <c r="I12" s="3150">
        <v>6.0589377685292586E-2</v>
      </c>
      <c r="J12" s="3150">
        <v>1.1499999999999999</v>
      </c>
      <c r="K12" s="3150">
        <v>0.86</v>
      </c>
      <c r="L12" s="3150">
        <v>1.0188940628637915</v>
      </c>
      <c r="M12" s="3150">
        <v>4.9018922179186193E-2</v>
      </c>
      <c r="N12" s="3150">
        <v>1.1599999999999999</v>
      </c>
      <c r="O12" s="3150">
        <v>0.92</v>
      </c>
      <c r="P12" s="3150">
        <v>1.0418757062146891</v>
      </c>
      <c r="Q12" s="3150">
        <v>4.458565308684577E-2</v>
      </c>
      <c r="R12" s="3150">
        <v>1.28</v>
      </c>
      <c r="S12" s="3150">
        <v>0.9</v>
      </c>
      <c r="T12" s="3150">
        <v>1.0280662393162392</v>
      </c>
      <c r="U12" s="3150">
        <v>5.5293092597030018E-2</v>
      </c>
    </row>
    <row r="13" spans="3:21" ht="23.25" x14ac:dyDescent="0.35">
      <c r="C13" s="3130"/>
      <c r="D13" s="8372" t="s">
        <v>1657</v>
      </c>
      <c r="E13" s="8372" t="s">
        <v>1657</v>
      </c>
      <c r="F13" s="3150">
        <v>1.6455301455301456</v>
      </c>
      <c r="G13" s="3150">
        <v>1.1328231757310738</v>
      </c>
      <c r="H13" s="3150">
        <v>1.2853339809871196</v>
      </c>
      <c r="I13" s="3150">
        <v>6.5040260001185846E-2</v>
      </c>
      <c r="J13" s="3150">
        <v>1.4131808606680711</v>
      </c>
      <c r="K13" s="3150">
        <v>0.98</v>
      </c>
      <c r="L13" s="3150">
        <v>1.2857830558292311</v>
      </c>
      <c r="M13" s="3150">
        <v>5.3956262164863218E-2</v>
      </c>
      <c r="N13" s="3150">
        <v>1.4598997493734334</v>
      </c>
      <c r="O13" s="3150">
        <v>1.1643564356435643</v>
      </c>
      <c r="P13" s="3150">
        <v>1.3145727960484208</v>
      </c>
      <c r="Q13" s="3150">
        <v>5.1750142197002032E-2</v>
      </c>
      <c r="R13" s="3150">
        <v>1.5766202301635373</v>
      </c>
      <c r="S13" s="3150">
        <v>0.59</v>
      </c>
      <c r="T13" s="3150">
        <v>1.2846882181755834</v>
      </c>
      <c r="U13" s="3150">
        <v>6.6193403130805836E-2</v>
      </c>
    </row>
    <row r="14" spans="3:21" x14ac:dyDescent="0.25">
      <c r="I14"/>
      <c r="J14"/>
      <c r="K14"/>
      <c r="L14"/>
      <c r="N14" s="3130"/>
      <c r="O14" s="3130"/>
      <c r="P14" s="3130"/>
      <c r="Q14" s="3130"/>
      <c r="R14" s="4487"/>
      <c r="S14" s="4487"/>
      <c r="T14" s="4487"/>
      <c r="U14" s="4487"/>
    </row>
    <row r="15" spans="3:21" ht="23.25" x14ac:dyDescent="0.25">
      <c r="D15" s="8384" t="s">
        <v>2025</v>
      </c>
      <c r="E15" s="8385"/>
      <c r="F15" s="8370" t="s">
        <v>1919</v>
      </c>
      <c r="G15" s="8370"/>
      <c r="H15" s="8370"/>
      <c r="J15" s="8370" t="s">
        <v>1956</v>
      </c>
      <c r="K15" s="8370"/>
      <c r="L15" s="8370"/>
      <c r="N15" s="8370" t="s">
        <v>1986</v>
      </c>
      <c r="O15" s="8370"/>
      <c r="P15" s="8370"/>
      <c r="Q15" s="3130"/>
      <c r="R15" s="8370" t="s">
        <v>2008</v>
      </c>
      <c r="S15" s="8370"/>
      <c r="T15" s="8370"/>
      <c r="U15" s="4487"/>
    </row>
    <row r="16" spans="3:21" ht="23.25" x14ac:dyDescent="0.35">
      <c r="D16" s="8380" t="s">
        <v>1662</v>
      </c>
      <c r="E16" s="8381"/>
      <c r="F16" s="3072" t="s">
        <v>1658</v>
      </c>
      <c r="G16" s="3072" t="s">
        <v>1659</v>
      </c>
      <c r="H16" s="3072" t="s">
        <v>1660</v>
      </c>
      <c r="J16" s="3136" t="s">
        <v>1658</v>
      </c>
      <c r="K16" s="3136" t="s">
        <v>1659</v>
      </c>
      <c r="L16" s="3136" t="s">
        <v>1660</v>
      </c>
      <c r="N16" s="4191" t="s">
        <v>1658</v>
      </c>
      <c r="O16" s="4191" t="s">
        <v>1659</v>
      </c>
      <c r="P16" s="4191" t="s">
        <v>1660</v>
      </c>
      <c r="Q16" s="3130"/>
      <c r="R16" s="5881" t="s">
        <v>1658</v>
      </c>
      <c r="S16" s="5881" t="s">
        <v>1659</v>
      </c>
      <c r="T16" s="5881" t="s">
        <v>1660</v>
      </c>
      <c r="U16" s="4487"/>
    </row>
    <row r="17" spans="4:21" ht="23.25" x14ac:dyDescent="0.25">
      <c r="D17" s="8376" t="s">
        <v>413</v>
      </c>
      <c r="E17" s="8377"/>
      <c r="F17" s="3071">
        <v>55.59</v>
      </c>
      <c r="G17" s="3071">
        <v>45.21</v>
      </c>
      <c r="H17" s="3071">
        <v>49.825262172284624</v>
      </c>
      <c r="J17" s="3071"/>
      <c r="K17" s="3071"/>
      <c r="L17" s="3071"/>
      <c r="N17" s="3071"/>
      <c r="O17" s="3071"/>
      <c r="P17" s="3071"/>
      <c r="Q17" s="3130"/>
      <c r="R17" s="3071"/>
      <c r="S17" s="3071"/>
      <c r="T17" s="3071"/>
      <c r="U17" s="4487"/>
    </row>
    <row r="18" spans="4:21" ht="23.25" x14ac:dyDescent="0.25">
      <c r="D18" s="8376" t="s">
        <v>411</v>
      </c>
      <c r="E18" s="8377"/>
      <c r="F18" s="3071">
        <v>19.61</v>
      </c>
      <c r="G18" s="3071">
        <v>13.25</v>
      </c>
      <c r="H18" s="3071">
        <v>16.619307116104881</v>
      </c>
      <c r="J18" s="3071"/>
      <c r="K18" s="3071"/>
      <c r="L18" s="3071"/>
      <c r="N18" s="3071"/>
      <c r="O18" s="3071"/>
      <c r="P18" s="3071"/>
      <c r="Q18" s="3130"/>
      <c r="R18" s="3071"/>
      <c r="S18" s="3071"/>
      <c r="T18" s="3071"/>
      <c r="U18" s="4487"/>
    </row>
    <row r="19" spans="4:21" ht="23.25" x14ac:dyDescent="0.25">
      <c r="D19" s="8376" t="s">
        <v>412</v>
      </c>
      <c r="E19" s="8377"/>
      <c r="F19" s="3071">
        <v>1.65</v>
      </c>
      <c r="G19" s="3071">
        <v>0.41</v>
      </c>
      <c r="H19" s="3071">
        <v>0.94357677902621739</v>
      </c>
      <c r="J19" s="3071"/>
      <c r="K19" s="3071"/>
      <c r="L19" s="3071"/>
      <c r="N19" s="3071"/>
      <c r="O19" s="3071"/>
      <c r="P19" s="3071"/>
      <c r="Q19" s="3130"/>
      <c r="R19" s="3071"/>
      <c r="S19" s="3071"/>
      <c r="T19" s="3071"/>
      <c r="U19" s="4487"/>
    </row>
    <row r="20" spans="4:21" ht="23.25" x14ac:dyDescent="0.25">
      <c r="D20" s="8376" t="s">
        <v>414</v>
      </c>
      <c r="E20" s="8377"/>
      <c r="F20" s="3071">
        <v>10.07</v>
      </c>
      <c r="G20" s="3071">
        <v>3.19</v>
      </c>
      <c r="H20" s="3071">
        <v>6.5086142322097391</v>
      </c>
      <c r="J20" s="3071"/>
      <c r="K20" s="3071"/>
      <c r="L20" s="3071"/>
      <c r="N20" s="3071"/>
      <c r="O20" s="3071"/>
      <c r="P20" s="3071"/>
      <c r="Q20" s="3130"/>
      <c r="R20" s="3071"/>
      <c r="S20" s="3071"/>
      <c r="T20" s="3071"/>
      <c r="U20" s="4487"/>
    </row>
    <row r="21" spans="4:21" ht="26.25" x14ac:dyDescent="0.25">
      <c r="D21" s="8376" t="s">
        <v>1667</v>
      </c>
      <c r="E21" s="8377"/>
      <c r="F21" s="3071">
        <v>24.72</v>
      </c>
      <c r="G21" s="3071">
        <v>8.2200000000000006</v>
      </c>
      <c r="H21" s="3071">
        <v>18.187415730337094</v>
      </c>
      <c r="J21" s="3071"/>
      <c r="K21" s="3071"/>
      <c r="L21" s="3071"/>
      <c r="N21" s="3071"/>
      <c r="O21" s="3071"/>
      <c r="P21" s="3071"/>
      <c r="Q21" s="3130"/>
      <c r="R21" s="3071"/>
      <c r="S21" s="3071"/>
      <c r="T21" s="3071"/>
      <c r="U21" s="4487"/>
    </row>
    <row r="22" spans="4:21" ht="23.25" x14ac:dyDescent="0.25">
      <c r="D22" s="8376" t="s">
        <v>1663</v>
      </c>
      <c r="E22" s="8377"/>
      <c r="F22" s="3071">
        <v>2.57</v>
      </c>
      <c r="G22" s="3071">
        <v>0</v>
      </c>
      <c r="H22" s="3071">
        <v>1.327865168539325</v>
      </c>
      <c r="J22" s="3071"/>
      <c r="K22" s="3071"/>
      <c r="L22" s="3071"/>
      <c r="N22" s="3071"/>
      <c r="O22" s="3071"/>
      <c r="P22" s="3071"/>
      <c r="Q22" s="3130"/>
      <c r="R22" s="3071"/>
      <c r="S22" s="3071"/>
      <c r="T22" s="3071"/>
      <c r="U22" s="4487"/>
    </row>
    <row r="23" spans="4:21" ht="23.25" x14ac:dyDescent="0.25">
      <c r="D23" s="8376" t="s">
        <v>1664</v>
      </c>
      <c r="E23" s="8377"/>
      <c r="F23" s="3071">
        <v>2.5499999999999998</v>
      </c>
      <c r="G23" s="3071">
        <v>1.21</v>
      </c>
      <c r="H23" s="3071">
        <v>1.813014981273408</v>
      </c>
      <c r="J23" s="3071"/>
      <c r="K23" s="3071"/>
      <c r="L23" s="3071"/>
      <c r="N23" s="3071"/>
      <c r="O23" s="3071"/>
      <c r="P23" s="3071"/>
      <c r="Q23" s="3130"/>
      <c r="R23" s="3071"/>
      <c r="S23" s="3071"/>
      <c r="T23" s="3071"/>
      <c r="U23" s="4487"/>
    </row>
    <row r="24" spans="4:21" ht="23.25" x14ac:dyDescent="0.25">
      <c r="D24" s="8376" t="s">
        <v>1653</v>
      </c>
      <c r="E24" s="8377"/>
      <c r="F24" s="3071">
        <v>0.13</v>
      </c>
      <c r="G24" s="3071">
        <v>0</v>
      </c>
      <c r="H24" s="3071">
        <v>3.0205992509363094E-2</v>
      </c>
      <c r="J24" s="3071"/>
      <c r="K24" s="3071"/>
      <c r="L24" s="3071"/>
      <c r="N24" s="3071"/>
      <c r="O24" s="3071"/>
      <c r="P24" s="3071"/>
      <c r="Q24" s="3130"/>
      <c r="R24" s="3071"/>
      <c r="S24" s="3071"/>
      <c r="T24" s="3071"/>
      <c r="U24" s="4487"/>
    </row>
    <row r="25" spans="4:21" ht="23.25" x14ac:dyDescent="0.25">
      <c r="D25" s="8376" t="s">
        <v>1654</v>
      </c>
      <c r="E25" s="8377"/>
      <c r="F25" s="3071">
        <v>0.06</v>
      </c>
      <c r="G25" s="3071">
        <v>0</v>
      </c>
      <c r="H25" s="3071">
        <v>3.5580524344569291E-4</v>
      </c>
      <c r="J25" s="3071"/>
      <c r="K25" s="3071"/>
      <c r="L25" s="3071"/>
      <c r="N25" s="3071"/>
      <c r="O25" s="3071"/>
      <c r="P25" s="3071"/>
      <c r="Q25" s="3130"/>
      <c r="R25" s="3071"/>
      <c r="S25" s="3071"/>
      <c r="T25" s="3071"/>
      <c r="U25" s="4487"/>
    </row>
    <row r="26" spans="4:21" ht="23.25" x14ac:dyDescent="0.25">
      <c r="D26" s="8376" t="s">
        <v>1655</v>
      </c>
      <c r="E26" s="8377"/>
      <c r="F26" s="3071">
        <v>2.5499999999999998</v>
      </c>
      <c r="G26" s="3071">
        <v>1.21</v>
      </c>
      <c r="H26" s="3071">
        <v>1.813014981273408</v>
      </c>
      <c r="J26" s="3071"/>
      <c r="K26" s="3071"/>
      <c r="L26" s="3071"/>
      <c r="N26" s="3071"/>
      <c r="O26" s="3071"/>
      <c r="P26" s="3071"/>
      <c r="Q26" s="3130"/>
      <c r="R26" s="3071"/>
      <c r="S26" s="3071"/>
      <c r="T26" s="3071"/>
      <c r="U26" s="4487"/>
    </row>
    <row r="27" spans="4:21" ht="23.25" x14ac:dyDescent="0.25">
      <c r="D27" s="8378" t="s">
        <v>1665</v>
      </c>
      <c r="E27" s="8379"/>
      <c r="F27" s="3150">
        <v>3.63</v>
      </c>
      <c r="G27" s="3150">
        <v>2.44</v>
      </c>
      <c r="H27" s="3150">
        <v>3.0100000000000011</v>
      </c>
      <c r="J27" s="3150"/>
      <c r="K27" s="3150"/>
      <c r="L27" s="3150"/>
      <c r="N27" s="3150"/>
      <c r="O27" s="3150"/>
      <c r="P27" s="3150"/>
      <c r="Q27" s="3130"/>
      <c r="R27" s="3150"/>
      <c r="S27" s="3150"/>
      <c r="T27" s="3150"/>
      <c r="U27" s="4487"/>
    </row>
    <row r="28" spans="4:21" x14ac:dyDescent="0.25">
      <c r="D28" s="3066"/>
      <c r="E28" s="3066"/>
      <c r="F28" s="3066"/>
      <c r="G28" s="3066"/>
      <c r="H28" s="3066"/>
      <c r="N28" s="3130"/>
      <c r="O28" s="3130"/>
      <c r="P28" s="3130"/>
      <c r="Q28" s="3130"/>
      <c r="R28" s="4487"/>
      <c r="S28" s="4487"/>
      <c r="T28" s="4487"/>
      <c r="U28" s="4487"/>
    </row>
    <row r="29" spans="4:21" ht="23.25" x14ac:dyDescent="0.35">
      <c r="D29" s="8382" t="s">
        <v>1666</v>
      </c>
      <c r="E29" s="8383"/>
      <c r="F29" s="8370" t="s">
        <v>1919</v>
      </c>
      <c r="G29" s="8370"/>
      <c r="H29" s="8370"/>
      <c r="J29" s="8370" t="s">
        <v>1956</v>
      </c>
      <c r="K29" s="8370"/>
      <c r="L29" s="8370"/>
      <c r="N29" s="8370" t="s">
        <v>1986</v>
      </c>
      <c r="O29" s="8370"/>
      <c r="P29" s="8370"/>
      <c r="Q29" s="3130"/>
      <c r="R29" s="8370" t="s">
        <v>2008</v>
      </c>
      <c r="S29" s="8370"/>
      <c r="T29" s="8370"/>
      <c r="U29" s="4487"/>
    </row>
    <row r="30" spans="4:21" ht="23.25" x14ac:dyDescent="0.35">
      <c r="D30" s="8380" t="s">
        <v>1662</v>
      </c>
      <c r="E30" s="8381"/>
      <c r="F30" s="3072" t="s">
        <v>1658</v>
      </c>
      <c r="G30" s="3072" t="s">
        <v>1659</v>
      </c>
      <c r="H30" s="3072" t="s">
        <v>1660</v>
      </c>
      <c r="J30" s="3136" t="s">
        <v>1658</v>
      </c>
      <c r="K30" s="3136" t="s">
        <v>1659</v>
      </c>
      <c r="L30" s="3136" t="s">
        <v>1660</v>
      </c>
      <c r="N30" s="4191" t="s">
        <v>1658</v>
      </c>
      <c r="O30" s="4191" t="s">
        <v>1659</v>
      </c>
      <c r="P30" s="4191" t="s">
        <v>1660</v>
      </c>
      <c r="Q30" s="3130"/>
      <c r="R30" s="5881" t="s">
        <v>1658</v>
      </c>
      <c r="S30" s="5881" t="s">
        <v>1659</v>
      </c>
      <c r="T30" s="5881" t="s">
        <v>1660</v>
      </c>
      <c r="U30" s="4487"/>
    </row>
    <row r="31" spans="4:21" ht="23.25" x14ac:dyDescent="0.25">
      <c r="D31" s="8376" t="s">
        <v>413</v>
      </c>
      <c r="E31" s="8377"/>
      <c r="F31" s="3071">
        <v>55.27</v>
      </c>
      <c r="G31" s="3071">
        <v>37.93</v>
      </c>
      <c r="H31" s="3071">
        <v>48.229892473118248</v>
      </c>
      <c r="J31" s="3071"/>
      <c r="K31" s="3071"/>
      <c r="L31" s="3071"/>
      <c r="N31" s="3071"/>
      <c r="O31" s="3071"/>
      <c r="P31" s="3071"/>
      <c r="Q31" s="3130"/>
      <c r="R31" s="3071"/>
      <c r="S31" s="3071"/>
      <c r="T31" s="3071"/>
      <c r="U31" s="4487"/>
    </row>
    <row r="32" spans="4:21" ht="23.25" x14ac:dyDescent="0.25">
      <c r="D32" s="8376" t="s">
        <v>411</v>
      </c>
      <c r="E32" s="8377"/>
      <c r="F32" s="3071">
        <v>34.6</v>
      </c>
      <c r="G32" s="3071">
        <v>12.68</v>
      </c>
      <c r="H32" s="3071">
        <v>28.92258064516129</v>
      </c>
      <c r="J32" s="3071"/>
      <c r="K32" s="3071"/>
      <c r="L32" s="3071"/>
      <c r="N32" s="3071"/>
      <c r="O32" s="3071"/>
      <c r="P32" s="3071"/>
      <c r="Q32" s="3130"/>
      <c r="R32" s="3071"/>
      <c r="S32" s="3071"/>
      <c r="T32" s="3071"/>
      <c r="U32" s="4487"/>
    </row>
    <row r="33" spans="4:21" ht="23.25" x14ac:dyDescent="0.25">
      <c r="D33" s="8376" t="s">
        <v>412</v>
      </c>
      <c r="E33" s="8377"/>
      <c r="F33" s="3071">
        <v>26.98</v>
      </c>
      <c r="G33" s="3071">
        <v>3.85</v>
      </c>
      <c r="H33" s="3071">
        <v>9.0751182795699012</v>
      </c>
      <c r="J33" s="3071"/>
      <c r="K33" s="3071"/>
      <c r="L33" s="3071"/>
      <c r="N33" s="3071"/>
      <c r="O33" s="3071"/>
      <c r="P33" s="3071"/>
      <c r="Q33" s="3130"/>
      <c r="R33" s="3071"/>
      <c r="S33" s="3071"/>
      <c r="T33" s="3071"/>
      <c r="U33" s="4487"/>
    </row>
    <row r="34" spans="4:21" ht="23.25" x14ac:dyDescent="0.25">
      <c r="D34" s="8376" t="s">
        <v>414</v>
      </c>
      <c r="E34" s="8377"/>
      <c r="F34" s="3071">
        <v>22.5</v>
      </c>
      <c r="G34" s="3071">
        <v>5.33</v>
      </c>
      <c r="H34" s="3071">
        <v>9.2966021505376339</v>
      </c>
      <c r="J34" s="3071"/>
      <c r="K34" s="3071"/>
      <c r="L34" s="3071"/>
      <c r="N34" s="3071"/>
      <c r="O34" s="3071"/>
      <c r="P34" s="3071"/>
      <c r="Q34" s="3130"/>
      <c r="R34" s="3071"/>
      <c r="S34" s="3071"/>
      <c r="T34" s="3071"/>
      <c r="U34" s="4487"/>
    </row>
    <row r="35" spans="4:21" ht="26.25" x14ac:dyDescent="0.25">
      <c r="D35" s="8376" t="s">
        <v>1667</v>
      </c>
      <c r="E35" s="8377"/>
      <c r="F35" s="3071">
        <v>3.19</v>
      </c>
      <c r="G35" s="3071">
        <v>0.2</v>
      </c>
      <c r="H35" s="3071">
        <v>1.2209677419354843</v>
      </c>
      <c r="J35" s="3071"/>
      <c r="K35" s="3071"/>
      <c r="L35" s="3071"/>
      <c r="N35" s="3071"/>
      <c r="O35" s="3071"/>
      <c r="P35" s="3071"/>
      <c r="Q35" s="3130"/>
      <c r="R35" s="3071"/>
      <c r="S35" s="3071"/>
      <c r="T35" s="3071"/>
      <c r="U35" s="4487"/>
    </row>
    <row r="36" spans="4:21" ht="23.25" x14ac:dyDescent="0.25">
      <c r="D36" s="8376" t="s">
        <v>1663</v>
      </c>
      <c r="E36" s="8377"/>
      <c r="F36" s="3071">
        <v>6.32</v>
      </c>
      <c r="G36" s="3071">
        <v>0</v>
      </c>
      <c r="H36" s="3071">
        <v>1.2809677419354832</v>
      </c>
      <c r="J36" s="3071"/>
      <c r="K36" s="3071"/>
      <c r="L36" s="3071"/>
      <c r="N36" s="3071"/>
      <c r="O36" s="3071"/>
      <c r="P36" s="3071"/>
      <c r="Q36" s="3130"/>
      <c r="R36" s="3071"/>
      <c r="S36" s="3071"/>
      <c r="T36" s="3071"/>
      <c r="U36" s="4487"/>
    </row>
    <row r="37" spans="4:21" ht="23.25" x14ac:dyDescent="0.25">
      <c r="D37" s="8376" t="s">
        <v>1664</v>
      </c>
      <c r="E37" s="8377"/>
      <c r="F37" s="3071">
        <v>0.34</v>
      </c>
      <c r="G37" s="3071">
        <v>0.09</v>
      </c>
      <c r="H37" s="3071">
        <v>0.18750537634408601</v>
      </c>
      <c r="J37" s="3071"/>
      <c r="K37" s="3071"/>
      <c r="L37" s="3071"/>
      <c r="N37" s="3071"/>
      <c r="O37" s="3071"/>
      <c r="P37" s="3071"/>
      <c r="Q37" s="3130"/>
      <c r="R37" s="3071"/>
      <c r="S37" s="3071"/>
      <c r="T37" s="3071"/>
      <c r="U37" s="4487"/>
    </row>
    <row r="38" spans="4:21" ht="23.25" x14ac:dyDescent="0.25">
      <c r="D38" s="8376" t="s">
        <v>1653</v>
      </c>
      <c r="E38" s="8377"/>
      <c r="F38" s="3071">
        <v>0.65</v>
      </c>
      <c r="G38" s="3071">
        <v>0</v>
      </c>
      <c r="H38" s="3071">
        <v>0.12337634408602161</v>
      </c>
      <c r="J38" s="3071"/>
      <c r="K38" s="3071"/>
      <c r="L38" s="3071"/>
      <c r="N38" s="3071"/>
      <c r="O38" s="3071"/>
      <c r="P38" s="3071"/>
      <c r="Q38" s="3130"/>
      <c r="R38" s="3071"/>
      <c r="S38" s="3071"/>
      <c r="T38" s="3071"/>
      <c r="U38" s="4487"/>
    </row>
    <row r="39" spans="4:21" ht="23.25" x14ac:dyDescent="0.25">
      <c r="D39" s="8376" t="s">
        <v>1654</v>
      </c>
      <c r="E39" s="8377"/>
      <c r="F39" s="3071">
        <v>0.04</v>
      </c>
      <c r="G39" s="3071">
        <v>0</v>
      </c>
      <c r="H39" s="3071">
        <v>2.0236559139784958E-3</v>
      </c>
      <c r="J39" s="3071"/>
      <c r="K39" s="3071"/>
      <c r="L39" s="3071"/>
      <c r="N39" s="3071"/>
      <c r="O39" s="3071"/>
      <c r="P39" s="3071"/>
      <c r="Q39" s="3130"/>
      <c r="R39" s="3071"/>
      <c r="S39" s="3071"/>
      <c r="T39" s="3071"/>
      <c r="U39" s="4487"/>
    </row>
    <row r="40" spans="4:21" ht="23.25" x14ac:dyDescent="0.25">
      <c r="D40" s="8376" t="s">
        <v>1655</v>
      </c>
      <c r="E40" s="8377"/>
      <c r="F40" s="3071">
        <v>0.34</v>
      </c>
      <c r="G40" s="3071">
        <v>0.09</v>
      </c>
      <c r="H40" s="3071">
        <v>0.18750537634408601</v>
      </c>
      <c r="J40" s="3071"/>
      <c r="K40" s="3071"/>
      <c r="L40" s="3071"/>
      <c r="N40" s="3071"/>
      <c r="O40" s="3071"/>
      <c r="P40" s="3071"/>
      <c r="Q40" s="3130"/>
      <c r="R40" s="3071"/>
      <c r="S40" s="3071"/>
      <c r="T40" s="3071"/>
      <c r="U40" s="4487"/>
    </row>
    <row r="41" spans="4:21" ht="23.25" x14ac:dyDescent="0.25">
      <c r="D41" s="8378" t="s">
        <v>1665</v>
      </c>
      <c r="E41" s="8379"/>
      <c r="F41" s="3150">
        <v>3.88</v>
      </c>
      <c r="G41" s="3150">
        <v>1.24</v>
      </c>
      <c r="H41" s="3150">
        <v>1.6956559139784944</v>
      </c>
      <c r="J41" s="3150"/>
      <c r="K41" s="3150"/>
      <c r="L41" s="3150"/>
      <c r="N41" s="3150"/>
      <c r="O41" s="3150"/>
      <c r="P41" s="3150"/>
      <c r="Q41" s="3130"/>
      <c r="R41" s="3150"/>
      <c r="S41" s="3150"/>
      <c r="T41" s="3150"/>
      <c r="U41" s="4487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32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70" sqref="F70"/>
    </sheetView>
  </sheetViews>
  <sheetFormatPr defaultColWidth="8.85546875" defaultRowHeight="15" x14ac:dyDescent="0.25"/>
  <cols>
    <col min="1" max="1" width="6.7109375" style="4487" customWidth="1"/>
    <col min="2" max="2" width="23.28515625" style="4487" customWidth="1"/>
    <col min="3" max="3" width="45.85546875" style="4487" customWidth="1"/>
    <col min="4" max="4" width="8.42578125" style="4487" bestFit="1" customWidth="1"/>
    <col min="5" max="5" width="9.7109375" style="4487" bestFit="1" customWidth="1"/>
    <col min="6" max="6" width="11" style="4487" customWidth="1"/>
    <col min="7" max="7" width="9.85546875" style="4487" bestFit="1" customWidth="1"/>
    <col min="8" max="8" width="11" style="4487" customWidth="1"/>
    <col min="9" max="9" width="13.140625" style="4487" bestFit="1" customWidth="1"/>
    <col min="10" max="10" width="11" style="4487" customWidth="1"/>
    <col min="11" max="11" width="11.85546875" style="4487" bestFit="1" customWidth="1"/>
    <col min="12" max="12" width="12.85546875" style="4487" bestFit="1" customWidth="1"/>
    <col min="13" max="13" width="11.85546875" style="4487" bestFit="1" customWidth="1"/>
    <col min="14" max="16" width="9.5703125" style="4487" bestFit="1" customWidth="1"/>
    <col min="17" max="17" width="7.5703125" style="4487" customWidth="1"/>
    <col min="18" max="18" width="10" style="4487" bestFit="1" customWidth="1"/>
    <col min="19" max="16384" width="8.85546875" style="4487"/>
  </cols>
  <sheetData>
    <row r="1" spans="1:13" x14ac:dyDescent="0.25">
      <c r="A1" s="3110"/>
      <c r="B1" s="3111"/>
      <c r="C1" s="3110"/>
      <c r="D1" s="3112"/>
      <c r="E1" s="3112"/>
      <c r="F1" s="3110"/>
      <c r="G1" s="3112"/>
      <c r="H1" s="3112"/>
      <c r="I1" s="3112"/>
      <c r="J1" s="3110"/>
      <c r="K1" s="3112"/>
      <c r="L1" s="3112"/>
      <c r="M1" s="3112"/>
    </row>
    <row r="2" spans="1:13" ht="20.25" customHeight="1" x14ac:dyDescent="0.3">
      <c r="A2" s="3110"/>
      <c r="B2" s="8387" t="s">
        <v>1685</v>
      </c>
      <c r="C2" s="8387"/>
      <c r="D2" s="8387"/>
      <c r="E2" s="8387"/>
      <c r="F2" s="8387"/>
      <c r="G2" s="8387"/>
      <c r="H2" s="8387"/>
      <c r="I2" s="8387"/>
      <c r="J2" s="8387"/>
      <c r="K2" s="8387"/>
      <c r="L2" s="8387"/>
      <c r="M2" s="8387"/>
    </row>
    <row r="3" spans="1:13" ht="20.25" x14ac:dyDescent="0.25">
      <c r="A3" s="3110"/>
      <c r="B3" s="8388" t="s">
        <v>2369</v>
      </c>
      <c r="C3" s="8388"/>
      <c r="D3" s="8388"/>
      <c r="E3" s="8388"/>
      <c r="F3" s="8388"/>
      <c r="G3" s="8388"/>
      <c r="H3" s="8388"/>
      <c r="I3" s="8388"/>
      <c r="J3" s="8388"/>
      <c r="K3" s="8388"/>
      <c r="L3" s="8388"/>
      <c r="M3" s="8388"/>
    </row>
    <row r="4" spans="1:13" x14ac:dyDescent="0.25">
      <c r="A4" s="3110"/>
      <c r="B4" s="7691" t="s">
        <v>1686</v>
      </c>
      <c r="C4" s="7119" t="s">
        <v>1686</v>
      </c>
      <c r="D4" s="7120" t="s">
        <v>1687</v>
      </c>
      <c r="E4" s="7120" t="s">
        <v>1688</v>
      </c>
      <c r="F4" s="7120"/>
      <c r="G4" s="7121" t="s">
        <v>1689</v>
      </c>
      <c r="H4" s="7121"/>
      <c r="I4" s="7120" t="s">
        <v>1021</v>
      </c>
      <c r="J4" s="7120"/>
      <c r="K4" s="7120" t="s">
        <v>59</v>
      </c>
      <c r="L4" s="7120" t="s">
        <v>95</v>
      </c>
      <c r="M4" s="7120" t="s">
        <v>1247</v>
      </c>
    </row>
    <row r="5" spans="1:13" x14ac:dyDescent="0.25">
      <c r="A5" s="3110"/>
      <c r="B5" s="8389" t="s">
        <v>1690</v>
      </c>
      <c r="C5" s="7122">
        <v>46113</v>
      </c>
      <c r="D5" s="7691">
        <v>720</v>
      </c>
      <c r="E5" s="7691">
        <v>720</v>
      </c>
      <c r="F5" s="7691"/>
      <c r="G5" s="7123">
        <v>720</v>
      </c>
      <c r="H5" s="7123"/>
      <c r="I5" s="7691">
        <v>2160</v>
      </c>
      <c r="J5" s="7691"/>
      <c r="K5" s="7691">
        <v>720</v>
      </c>
      <c r="L5" s="7691">
        <v>720</v>
      </c>
      <c r="M5" s="7691">
        <v>720</v>
      </c>
    </row>
    <row r="6" spans="1:13" x14ac:dyDescent="0.25">
      <c r="A6" s="3110"/>
      <c r="B6" s="8389"/>
      <c r="C6" s="7122">
        <v>46143</v>
      </c>
      <c r="D6" s="7691">
        <v>744</v>
      </c>
      <c r="E6" s="7691">
        <v>744</v>
      </c>
      <c r="F6" s="7124"/>
      <c r="G6" s="7691">
        <v>744</v>
      </c>
      <c r="H6" s="7691"/>
      <c r="I6" s="7691">
        <v>2232</v>
      </c>
      <c r="J6" s="7125"/>
      <c r="K6" s="7691">
        <v>744</v>
      </c>
      <c r="L6" s="7691">
        <v>744</v>
      </c>
      <c r="M6" s="7691">
        <v>744</v>
      </c>
    </row>
    <row r="7" spans="1:13" x14ac:dyDescent="0.25">
      <c r="A7" s="3110"/>
      <c r="B7" s="8389"/>
      <c r="C7" s="7122">
        <v>46174</v>
      </c>
      <c r="D7" s="7691">
        <v>720</v>
      </c>
      <c r="E7" s="7691">
        <v>720</v>
      </c>
      <c r="F7" s="7691"/>
      <c r="G7" s="7123">
        <v>720</v>
      </c>
      <c r="H7" s="7123"/>
      <c r="I7" s="7691">
        <v>2160</v>
      </c>
      <c r="J7" s="7691"/>
      <c r="K7" s="7691">
        <v>720</v>
      </c>
      <c r="L7" s="7691">
        <v>720</v>
      </c>
      <c r="M7" s="7691">
        <v>720</v>
      </c>
    </row>
    <row r="8" spans="1:13" x14ac:dyDescent="0.25">
      <c r="A8" s="3110"/>
      <c r="B8" s="8389"/>
      <c r="C8" s="7126" t="s">
        <v>1691</v>
      </c>
      <c r="D8" s="7127">
        <f t="shared" ref="D8:E8" si="0">SUM(D5:D7)</f>
        <v>2184</v>
      </c>
      <c r="E8" s="7127">
        <f t="shared" si="0"/>
        <v>2184</v>
      </c>
      <c r="F8" s="7128"/>
      <c r="G8" s="7127">
        <f>SUM(G5:G7)</f>
        <v>2184</v>
      </c>
      <c r="H8" s="7127"/>
      <c r="I8" s="7127">
        <f>SUM(I5:I7)</f>
        <v>6552</v>
      </c>
      <c r="J8" s="7128"/>
      <c r="K8" s="7127">
        <f t="shared" ref="K8:M8" si="1">SUM(K5:K7)</f>
        <v>2184</v>
      </c>
      <c r="L8" s="7127">
        <f t="shared" si="1"/>
        <v>2184</v>
      </c>
      <c r="M8" s="7127">
        <f t="shared" si="1"/>
        <v>2184</v>
      </c>
    </row>
    <row r="9" spans="1:13" x14ac:dyDescent="0.25">
      <c r="A9" s="3110"/>
      <c r="B9" s="8389"/>
      <c r="C9" s="7122">
        <v>46204</v>
      </c>
      <c r="D9" s="7691">
        <v>744</v>
      </c>
      <c r="E9" s="7691">
        <v>744</v>
      </c>
      <c r="F9" s="7124"/>
      <c r="G9" s="7691">
        <v>744</v>
      </c>
      <c r="H9" s="7691"/>
      <c r="I9" s="7691">
        <v>2232</v>
      </c>
      <c r="J9" s="7125"/>
      <c r="K9" s="7691">
        <v>744</v>
      </c>
      <c r="L9" s="7691">
        <v>744</v>
      </c>
      <c r="M9" s="7691">
        <v>744</v>
      </c>
    </row>
    <row r="10" spans="1:13" x14ac:dyDescent="0.25">
      <c r="A10" s="3110"/>
      <c r="B10" s="8389"/>
      <c r="C10" s="7122">
        <v>46235</v>
      </c>
      <c r="D10" s="7691">
        <v>744</v>
      </c>
      <c r="E10" s="7691">
        <v>744</v>
      </c>
      <c r="F10" s="7124"/>
      <c r="G10" s="7691">
        <v>744</v>
      </c>
      <c r="H10" s="7691"/>
      <c r="I10" s="7691">
        <v>2232</v>
      </c>
      <c r="J10" s="7125"/>
      <c r="K10" s="7691">
        <v>744</v>
      </c>
      <c r="L10" s="7691">
        <v>744</v>
      </c>
      <c r="M10" s="7691">
        <v>744</v>
      </c>
    </row>
    <row r="11" spans="1:13" x14ac:dyDescent="0.25">
      <c r="A11" s="3110"/>
      <c r="B11" s="8389"/>
      <c r="C11" s="7122">
        <v>46266</v>
      </c>
      <c r="D11" s="7129">
        <v>720</v>
      </c>
      <c r="E11" s="7129">
        <v>720</v>
      </c>
      <c r="F11" s="7130"/>
      <c r="G11" s="7129">
        <v>720</v>
      </c>
      <c r="H11" s="7129"/>
      <c r="I11" s="7129">
        <v>2160</v>
      </c>
      <c r="J11" s="7130"/>
      <c r="K11" s="7129">
        <v>720</v>
      </c>
      <c r="L11" s="7129">
        <v>720</v>
      </c>
      <c r="M11" s="7129">
        <v>720</v>
      </c>
    </row>
    <row r="12" spans="1:13" x14ac:dyDescent="0.25">
      <c r="A12" s="3110"/>
      <c r="B12" s="8389"/>
      <c r="C12" s="7126" t="s">
        <v>1692</v>
      </c>
      <c r="D12" s="7131">
        <f>D9+D10+D11</f>
        <v>2208</v>
      </c>
      <c r="E12" s="7131">
        <f t="shared" ref="E12:M12" si="2">E9+E10+E11</f>
        <v>2208</v>
      </c>
      <c r="F12" s="7131"/>
      <c r="G12" s="7131">
        <f t="shared" si="2"/>
        <v>2208</v>
      </c>
      <c r="H12" s="7131"/>
      <c r="I12" s="7131">
        <f t="shared" si="2"/>
        <v>6624</v>
      </c>
      <c r="J12" s="7131"/>
      <c r="K12" s="7131">
        <f t="shared" si="2"/>
        <v>2208</v>
      </c>
      <c r="L12" s="7131">
        <f t="shared" si="2"/>
        <v>2208</v>
      </c>
      <c r="M12" s="7131">
        <f t="shared" si="2"/>
        <v>2208</v>
      </c>
    </row>
    <row r="13" spans="1:13" x14ac:dyDescent="0.25">
      <c r="A13" s="3110"/>
      <c r="B13" s="8389"/>
      <c r="C13" s="7122">
        <v>46296</v>
      </c>
      <c r="D13" s="7130">
        <v>744</v>
      </c>
      <c r="E13" s="7130">
        <v>744</v>
      </c>
      <c r="F13" s="7125"/>
      <c r="G13" s="7132">
        <v>744</v>
      </c>
      <c r="H13" s="7132"/>
      <c r="I13" s="7132">
        <v>2232</v>
      </c>
      <c r="J13" s="7125"/>
      <c r="K13" s="7130">
        <v>744</v>
      </c>
      <c r="L13" s="7130">
        <v>744</v>
      </c>
      <c r="M13" s="7130">
        <v>744</v>
      </c>
    </row>
    <row r="14" spans="1:13" x14ac:dyDescent="0.25">
      <c r="A14" s="3110"/>
      <c r="B14" s="8389"/>
      <c r="C14" s="7122">
        <v>46327</v>
      </c>
      <c r="D14" s="7130">
        <v>720</v>
      </c>
      <c r="E14" s="7130">
        <v>720</v>
      </c>
      <c r="F14" s="7125"/>
      <c r="G14" s="7132">
        <v>720</v>
      </c>
      <c r="H14" s="7132"/>
      <c r="I14" s="7132">
        <v>2160</v>
      </c>
      <c r="J14" s="7125"/>
      <c r="K14" s="7130">
        <v>720</v>
      </c>
      <c r="L14" s="7130">
        <v>720</v>
      </c>
      <c r="M14" s="7130">
        <v>720</v>
      </c>
    </row>
    <row r="15" spans="1:13" x14ac:dyDescent="0.25">
      <c r="A15" s="3110"/>
      <c r="B15" s="8389"/>
      <c r="C15" s="7122">
        <v>46357</v>
      </c>
      <c r="D15" s="7130">
        <v>744</v>
      </c>
      <c r="E15" s="7130">
        <v>744</v>
      </c>
      <c r="F15" s="7133"/>
      <c r="G15" s="7130">
        <v>744</v>
      </c>
      <c r="H15" s="7132"/>
      <c r="I15" s="7132">
        <v>2232</v>
      </c>
      <c r="J15" s="7133"/>
      <c r="K15" s="7130">
        <v>744</v>
      </c>
      <c r="L15" s="7130">
        <v>744</v>
      </c>
      <c r="M15" s="7130">
        <v>744</v>
      </c>
    </row>
    <row r="16" spans="1:13" x14ac:dyDescent="0.25">
      <c r="A16" s="3110"/>
      <c r="B16" s="8389"/>
      <c r="C16" s="7126" t="s">
        <v>1693</v>
      </c>
      <c r="D16" s="7127">
        <f>D13+D14+D15</f>
        <v>2208</v>
      </c>
      <c r="E16" s="7127">
        <f t="shared" ref="E16:M16" si="3">E13+E14+E15</f>
        <v>2208</v>
      </c>
      <c r="F16" s="7127"/>
      <c r="G16" s="7127">
        <f t="shared" si="3"/>
        <v>2208</v>
      </c>
      <c r="H16" s="7127"/>
      <c r="I16" s="7127">
        <f t="shared" si="3"/>
        <v>6624</v>
      </c>
      <c r="J16" s="7127"/>
      <c r="K16" s="7127">
        <f t="shared" si="3"/>
        <v>2208</v>
      </c>
      <c r="L16" s="7127">
        <f t="shared" si="3"/>
        <v>2208</v>
      </c>
      <c r="M16" s="7127">
        <f t="shared" si="3"/>
        <v>2208</v>
      </c>
    </row>
    <row r="17" spans="1:19" hidden="1" x14ac:dyDescent="0.25">
      <c r="A17" s="3110"/>
      <c r="B17" s="8389"/>
      <c r="C17" s="7122">
        <v>46388</v>
      </c>
      <c r="D17" s="7130">
        <v>744</v>
      </c>
      <c r="E17" s="7130">
        <v>744</v>
      </c>
      <c r="F17" s="7133"/>
      <c r="G17" s="7130">
        <v>744</v>
      </c>
      <c r="H17" s="7132"/>
      <c r="I17" s="7132">
        <v>2232</v>
      </c>
      <c r="J17" s="7133"/>
      <c r="K17" s="7130">
        <v>744</v>
      </c>
      <c r="L17" s="7130">
        <v>744</v>
      </c>
      <c r="M17" s="7130">
        <v>744</v>
      </c>
    </row>
    <row r="18" spans="1:19" hidden="1" x14ac:dyDescent="0.25">
      <c r="A18" s="3110"/>
      <c r="B18" s="8389"/>
      <c r="C18" s="7122">
        <v>46419</v>
      </c>
      <c r="D18" s="7132">
        <v>672</v>
      </c>
      <c r="E18" s="7132">
        <v>672</v>
      </c>
      <c r="F18" s="7133"/>
      <c r="G18" s="7132">
        <v>672</v>
      </c>
      <c r="H18" s="7132"/>
      <c r="I18" s="7132">
        <v>2016</v>
      </c>
      <c r="J18" s="7133"/>
      <c r="K18" s="7132">
        <v>672</v>
      </c>
      <c r="L18" s="7132">
        <v>672</v>
      </c>
      <c r="M18" s="7132">
        <v>672</v>
      </c>
    </row>
    <row r="19" spans="1:19" hidden="1" x14ac:dyDescent="0.25">
      <c r="A19" s="3110"/>
      <c r="B19" s="8389"/>
      <c r="C19" s="7122">
        <v>46447</v>
      </c>
      <c r="D19" s="7130">
        <v>744</v>
      </c>
      <c r="E19" s="7130">
        <v>744</v>
      </c>
      <c r="F19" s="7125"/>
      <c r="G19" s="7130">
        <v>744</v>
      </c>
      <c r="H19" s="7132"/>
      <c r="I19" s="7132">
        <v>2232</v>
      </c>
      <c r="J19" s="7125"/>
      <c r="K19" s="7130">
        <v>744</v>
      </c>
      <c r="L19" s="7130">
        <v>744</v>
      </c>
      <c r="M19" s="7130">
        <v>744</v>
      </c>
    </row>
    <row r="20" spans="1:19" hidden="1" x14ac:dyDescent="0.25">
      <c r="A20" s="3110"/>
      <c r="B20" s="8389"/>
      <c r="C20" s="7126" t="s">
        <v>1694</v>
      </c>
      <c r="D20" s="7134">
        <f t="shared" ref="D20:E20" si="4">SUM(D17:D19)</f>
        <v>2160</v>
      </c>
      <c r="E20" s="7134">
        <f t="shared" si="4"/>
        <v>2160</v>
      </c>
      <c r="F20" s="7128"/>
      <c r="G20" s="7134">
        <f>SUM(G17:G19)</f>
        <v>2160</v>
      </c>
      <c r="H20" s="7134"/>
      <c r="I20" s="7134">
        <f>SUM(I17:I19)</f>
        <v>6480</v>
      </c>
      <c r="J20" s="7128"/>
      <c r="K20" s="7134">
        <f t="shared" ref="K20:M20" si="5">SUM(K17:K19)</f>
        <v>2160</v>
      </c>
      <c r="L20" s="7134">
        <f t="shared" si="5"/>
        <v>2160</v>
      </c>
      <c r="M20" s="7134">
        <f t="shared" si="5"/>
        <v>2160</v>
      </c>
    </row>
    <row r="21" spans="1:19" hidden="1" x14ac:dyDescent="0.25">
      <c r="A21" s="3110"/>
      <c r="B21" s="8389"/>
      <c r="C21" s="7126" t="s">
        <v>1984</v>
      </c>
      <c r="D21" s="7134">
        <f t="shared" ref="D21:E21" si="6">D20+D16+D8+D12</f>
        <v>8760</v>
      </c>
      <c r="E21" s="7134">
        <f t="shared" si="6"/>
        <v>8760</v>
      </c>
      <c r="F21" s="7128"/>
      <c r="G21" s="7134">
        <f>G20+G16+G8+G12</f>
        <v>8760</v>
      </c>
      <c r="H21" s="7134"/>
      <c r="I21" s="7134">
        <f>I20+I16+I8+I12</f>
        <v>26280</v>
      </c>
      <c r="J21" s="7128"/>
      <c r="K21" s="7134">
        <f t="shared" ref="K21:M21" si="7">K20+K16+K8+K12</f>
        <v>8760</v>
      </c>
      <c r="L21" s="7134">
        <f t="shared" si="7"/>
        <v>8760</v>
      </c>
      <c r="M21" s="7135">
        <f t="shared" si="7"/>
        <v>8760</v>
      </c>
      <c r="N21" s="6377"/>
    </row>
    <row r="22" spans="1:19" x14ac:dyDescent="0.25">
      <c r="A22" s="3110"/>
      <c r="B22" s="7691"/>
      <c r="C22" s="7119"/>
      <c r="D22" s="7691"/>
      <c r="E22" s="7691"/>
      <c r="F22" s="7136"/>
      <c r="G22" s="7691"/>
      <c r="H22" s="7691"/>
      <c r="I22" s="7691"/>
      <c r="J22" s="7136"/>
      <c r="K22" s="7691"/>
      <c r="L22" s="7691"/>
      <c r="M22" s="7691"/>
    </row>
    <row r="23" spans="1:19" x14ac:dyDescent="0.25">
      <c r="A23" s="3110"/>
      <c r="B23" s="7691"/>
      <c r="C23" s="7122"/>
      <c r="D23" s="7691"/>
      <c r="E23" s="7691"/>
      <c r="F23" s="7136"/>
      <c r="G23" s="7691"/>
      <c r="H23" s="7691"/>
      <c r="I23" s="7691"/>
      <c r="J23" s="7136"/>
      <c r="K23" s="7691"/>
      <c r="L23" s="7691"/>
      <c r="M23" s="7691"/>
      <c r="N23" s="25"/>
      <c r="O23" s="25"/>
    </row>
    <row r="24" spans="1:19" x14ac:dyDescent="0.25">
      <c r="A24" s="3110"/>
      <c r="B24" s="7691" t="s">
        <v>1686</v>
      </c>
      <c r="C24" s="7119" t="s">
        <v>1686</v>
      </c>
      <c r="D24" s="7120" t="s">
        <v>1687</v>
      </c>
      <c r="E24" s="7120" t="s">
        <v>1688</v>
      </c>
      <c r="F24" s="7137"/>
      <c r="G24" s="7120" t="s">
        <v>1689</v>
      </c>
      <c r="H24" s="7120"/>
      <c r="I24" s="7120" t="s">
        <v>1021</v>
      </c>
      <c r="J24" s="7137"/>
      <c r="K24" s="7120" t="s">
        <v>59</v>
      </c>
      <c r="L24" s="7120" t="s">
        <v>95</v>
      </c>
      <c r="M24" s="7120" t="s">
        <v>1247</v>
      </c>
    </row>
    <row r="25" spans="1:19" x14ac:dyDescent="0.25">
      <c r="A25" s="3110"/>
      <c r="B25" s="8389" t="s">
        <v>1695</v>
      </c>
      <c r="C25" s="7122">
        <v>46113</v>
      </c>
      <c r="D25" s="7123">
        <f>+D5-D65-D66</f>
        <v>704.5</v>
      </c>
      <c r="E25" s="7123">
        <f>+E5-E65-E66</f>
        <v>687</v>
      </c>
      <c r="F25" s="7691"/>
      <c r="G25" s="7123">
        <f>+G5-G65-G66</f>
        <v>711</v>
      </c>
      <c r="H25" s="7123"/>
      <c r="I25" s="7123">
        <f>+I5-I65-I66</f>
        <v>1562.8400000000001</v>
      </c>
      <c r="J25" s="7136"/>
      <c r="K25" s="7123">
        <f>+K5-K65-K66</f>
        <v>608.63333333333333</v>
      </c>
      <c r="L25" s="7123">
        <f>+L5-L65-L66</f>
        <v>646.18333333333339</v>
      </c>
      <c r="M25" s="7123">
        <f>+M5-M65-M66</f>
        <v>593.25</v>
      </c>
      <c r="N25" s="1137"/>
      <c r="O25" s="1137"/>
      <c r="P25" s="1137"/>
    </row>
    <row r="26" spans="1:19" hidden="1" x14ac:dyDescent="0.25">
      <c r="A26" s="3110"/>
      <c r="B26" s="8389"/>
      <c r="C26" s="7122">
        <v>46143</v>
      </c>
      <c r="D26" s="7123">
        <f>+D6-D87-D88</f>
        <v>744</v>
      </c>
      <c r="E26" s="7123">
        <f>+E6-E87-E88</f>
        <v>744</v>
      </c>
      <c r="F26" s="7124"/>
      <c r="G26" s="7123">
        <f>+G6-G87-G88</f>
        <v>744</v>
      </c>
      <c r="H26" s="7123"/>
      <c r="I26" s="7123">
        <f>+I6-I87-I88</f>
        <v>2232</v>
      </c>
      <c r="J26" s="7125"/>
      <c r="K26" s="7123">
        <f>+K6-K87-K88</f>
        <v>744</v>
      </c>
      <c r="L26" s="7123">
        <f>+L6-L87-L88</f>
        <v>744</v>
      </c>
      <c r="M26" s="7123">
        <f>+M6-M87-M88</f>
        <v>744</v>
      </c>
      <c r="N26" s="1137"/>
      <c r="O26" s="1137"/>
      <c r="P26" s="1137"/>
    </row>
    <row r="27" spans="1:19" hidden="1" x14ac:dyDescent="0.25">
      <c r="A27" s="3110"/>
      <c r="B27" s="8389"/>
      <c r="C27" s="7122">
        <v>46174</v>
      </c>
      <c r="D27" s="7138">
        <f>D7-D108-D109</f>
        <v>720</v>
      </c>
      <c r="E27" s="7138">
        <f>E7-E108-E109</f>
        <v>720</v>
      </c>
      <c r="F27" s="7138"/>
      <c r="G27" s="7138">
        <f>G7-G108-G109</f>
        <v>720</v>
      </c>
      <c r="H27" s="7138"/>
      <c r="I27" s="7138">
        <f>I7-I108-I109</f>
        <v>2160</v>
      </c>
      <c r="J27" s="7138"/>
      <c r="K27" s="7138">
        <f>K7-K108-K109</f>
        <v>720</v>
      </c>
      <c r="L27" s="7138">
        <f>L7-L108-L109</f>
        <v>720</v>
      </c>
      <c r="M27" s="7138">
        <f>M7-M108-M109</f>
        <v>720</v>
      </c>
      <c r="N27" s="6378"/>
      <c r="Q27" s="1137"/>
      <c r="R27" s="1137"/>
      <c r="S27" s="1137"/>
    </row>
    <row r="28" spans="1:19" hidden="1" x14ac:dyDescent="0.25">
      <c r="A28" s="3110"/>
      <c r="B28" s="8389"/>
      <c r="C28" s="7126" t="s">
        <v>1691</v>
      </c>
      <c r="D28" s="7139">
        <f>SUM(D25:D27)</f>
        <v>2168.5</v>
      </c>
      <c r="E28" s="7139">
        <f>SUM(E25:E27)</f>
        <v>2151</v>
      </c>
      <c r="F28" s="7140"/>
      <c r="G28" s="7139">
        <f>SUM(G25:G27)</f>
        <v>2175</v>
      </c>
      <c r="H28" s="7139"/>
      <c r="I28" s="7139">
        <f>SUM(I25:I27)</f>
        <v>5954.84</v>
      </c>
      <c r="J28" s="7140"/>
      <c r="K28" s="7139">
        <f t="shared" ref="K28:M28" si="8">SUM(K25:K27)</f>
        <v>2072.6333333333332</v>
      </c>
      <c r="L28" s="7139">
        <f t="shared" si="8"/>
        <v>2110.1833333333334</v>
      </c>
      <c r="M28" s="7139">
        <f t="shared" si="8"/>
        <v>2057.25</v>
      </c>
      <c r="Q28" s="1137"/>
      <c r="R28" s="1137"/>
      <c r="S28" s="1137"/>
    </row>
    <row r="29" spans="1:19" hidden="1" x14ac:dyDescent="0.25">
      <c r="A29" s="3110"/>
      <c r="B29" s="8389"/>
      <c r="C29" s="7122">
        <v>46204</v>
      </c>
      <c r="D29" s="7138">
        <f>D9-D130-D131</f>
        <v>744</v>
      </c>
      <c r="E29" s="7138">
        <f>E9-E130-E131</f>
        <v>744</v>
      </c>
      <c r="F29" s="7138"/>
      <c r="G29" s="7138">
        <f>G9-G130-G131</f>
        <v>744</v>
      </c>
      <c r="H29" s="7138"/>
      <c r="I29" s="7138">
        <f>I9-I130-I131</f>
        <v>2232</v>
      </c>
      <c r="J29" s="7138"/>
      <c r="K29" s="7138">
        <f>K9-K130-K131</f>
        <v>744</v>
      </c>
      <c r="L29" s="7138">
        <f>L9-L130-L131</f>
        <v>744</v>
      </c>
      <c r="M29" s="7141">
        <f>M9-M130-M131</f>
        <v>744</v>
      </c>
      <c r="N29" s="25"/>
      <c r="O29" s="25"/>
    </row>
    <row r="30" spans="1:19" hidden="1" x14ac:dyDescent="0.25">
      <c r="A30" s="3110"/>
      <c r="B30" s="8389"/>
      <c r="C30" s="7122">
        <v>46235</v>
      </c>
      <c r="D30" s="7142">
        <f>+D10-D152-D153</f>
        <v>744</v>
      </c>
      <c r="E30" s="7142">
        <f>+E10-E152-E153</f>
        <v>744</v>
      </c>
      <c r="F30" s="7142"/>
      <c r="G30" s="7142">
        <f>+G10-G152-G153</f>
        <v>744</v>
      </c>
      <c r="H30" s="7142"/>
      <c r="I30" s="7142">
        <f>+I10-I152-I153</f>
        <v>2232</v>
      </c>
      <c r="J30" s="7142"/>
      <c r="K30" s="7142">
        <f>+K10-K152-K153</f>
        <v>744</v>
      </c>
      <c r="L30" s="7142">
        <f>+L10-L152-L153</f>
        <v>744</v>
      </c>
      <c r="M30" s="7142">
        <f>+M10-M152-M153</f>
        <v>744</v>
      </c>
    </row>
    <row r="31" spans="1:19" hidden="1" x14ac:dyDescent="0.25">
      <c r="A31" s="3112"/>
      <c r="B31" s="8389"/>
      <c r="C31" s="7122">
        <v>46266</v>
      </c>
      <c r="D31" s="7142">
        <f>D11-D174-D175</f>
        <v>720</v>
      </c>
      <c r="E31" s="7142">
        <f>E11-E174-E175</f>
        <v>720</v>
      </c>
      <c r="F31" s="7142"/>
      <c r="G31" s="7142">
        <f>G11-G174-G175</f>
        <v>720</v>
      </c>
      <c r="H31" s="7142"/>
      <c r="I31" s="7142">
        <f>I11-I174-I175</f>
        <v>2160</v>
      </c>
      <c r="J31" s="7142"/>
      <c r="K31" s="7142">
        <f>K11-K174-K175</f>
        <v>720</v>
      </c>
      <c r="L31" s="7142">
        <f>L11-L174-L175</f>
        <v>720</v>
      </c>
      <c r="M31" s="7142">
        <f>M11-M174-M175</f>
        <v>720</v>
      </c>
    </row>
    <row r="32" spans="1:19" hidden="1" x14ac:dyDescent="0.25">
      <c r="A32" s="3110"/>
      <c r="B32" s="8389"/>
      <c r="C32" s="7126" t="s">
        <v>1692</v>
      </c>
      <c r="D32" s="7143">
        <f>SUM(D29:D31)</f>
        <v>2208</v>
      </c>
      <c r="E32" s="7143">
        <f t="shared" ref="E32:M32" si="9">SUM(E29:E31)</f>
        <v>2208</v>
      </c>
      <c r="F32" s="7143"/>
      <c r="G32" s="7143">
        <f t="shared" si="9"/>
        <v>2208</v>
      </c>
      <c r="H32" s="7143"/>
      <c r="I32" s="7143">
        <f t="shared" si="9"/>
        <v>6624</v>
      </c>
      <c r="J32" s="7143"/>
      <c r="K32" s="7143">
        <f t="shared" si="9"/>
        <v>2208</v>
      </c>
      <c r="L32" s="7143">
        <f t="shared" si="9"/>
        <v>2208</v>
      </c>
      <c r="M32" s="7143">
        <f t="shared" si="9"/>
        <v>2208</v>
      </c>
    </row>
    <row r="33" spans="1:19" hidden="1" x14ac:dyDescent="0.25">
      <c r="A33" s="3112"/>
      <c r="B33" s="8389"/>
      <c r="C33" s="7122">
        <v>46296</v>
      </c>
      <c r="D33" s="7138">
        <f>D13-D196-D197</f>
        <v>744</v>
      </c>
      <c r="E33" s="7138">
        <f>E13-E196-E197</f>
        <v>744</v>
      </c>
      <c r="F33" s="7144"/>
      <c r="G33" s="7138">
        <f>G13-G196-G197</f>
        <v>744</v>
      </c>
      <c r="H33" s="7138"/>
      <c r="I33" s="7138">
        <f>I13-I196-I197</f>
        <v>2232</v>
      </c>
      <c r="J33" s="7144"/>
      <c r="K33" s="7138">
        <f>K13-K196-K197</f>
        <v>744</v>
      </c>
      <c r="L33" s="7138">
        <f>L13-L196-L197</f>
        <v>744</v>
      </c>
      <c r="M33" s="7138">
        <f>M13-M196-M197</f>
        <v>744</v>
      </c>
      <c r="N33" s="6379"/>
      <c r="O33" s="6379"/>
      <c r="P33" s="6379"/>
    </row>
    <row r="34" spans="1:19" hidden="1" x14ac:dyDescent="0.25">
      <c r="A34" s="3110"/>
      <c r="B34" s="8389"/>
      <c r="C34" s="7122">
        <v>46327</v>
      </c>
      <c r="D34" s="7138">
        <f>D14-D218-D219</f>
        <v>720</v>
      </c>
      <c r="E34" s="7138">
        <f>E14-E218-E219</f>
        <v>720</v>
      </c>
      <c r="F34" s="7138"/>
      <c r="G34" s="7138">
        <f>G14-G218-G219</f>
        <v>720</v>
      </c>
      <c r="H34" s="7138"/>
      <c r="I34" s="7138">
        <f>I14-I218-I219</f>
        <v>2160</v>
      </c>
      <c r="J34" s="7138"/>
      <c r="K34" s="7138">
        <f>K14-K218-K219</f>
        <v>720</v>
      </c>
      <c r="L34" s="7138">
        <f>L14-L218-L219</f>
        <v>720</v>
      </c>
      <c r="M34" s="7138">
        <f>M14-M218-M219</f>
        <v>720</v>
      </c>
      <c r="N34" s="6379"/>
      <c r="O34" s="6379"/>
      <c r="P34" s="6379"/>
    </row>
    <row r="35" spans="1:19" hidden="1" x14ac:dyDescent="0.25">
      <c r="A35" s="3110"/>
      <c r="B35" s="8389"/>
      <c r="C35" s="7122">
        <v>46357</v>
      </c>
      <c r="D35" s="7145">
        <f>D15-D241-D242</f>
        <v>744</v>
      </c>
      <c r="E35" s="7145">
        <f>E15-E241-E242</f>
        <v>744</v>
      </c>
      <c r="F35" s="7138"/>
      <c r="G35" s="7138">
        <f>G15-G241-G242</f>
        <v>744</v>
      </c>
      <c r="H35" s="7138"/>
      <c r="I35" s="7138">
        <f>I15-I241-I242</f>
        <v>2232</v>
      </c>
      <c r="J35" s="7138"/>
      <c r="K35" s="7138">
        <f>K15-K241-K242</f>
        <v>744</v>
      </c>
      <c r="L35" s="7138">
        <f>L15-L241-L242</f>
        <v>744</v>
      </c>
      <c r="M35" s="7138">
        <f>M15-M241-M242</f>
        <v>744</v>
      </c>
      <c r="N35" s="502"/>
      <c r="O35" s="502"/>
      <c r="P35" s="502"/>
    </row>
    <row r="36" spans="1:19" hidden="1" x14ac:dyDescent="0.25">
      <c r="A36" s="3110"/>
      <c r="B36" s="8389"/>
      <c r="C36" s="7126" t="s">
        <v>1693</v>
      </c>
      <c r="D36" s="7139">
        <f>D33+D35+D34</f>
        <v>2208</v>
      </c>
      <c r="E36" s="7139">
        <f t="shared" ref="E36:M36" si="10">E33+E35+E34</f>
        <v>2208</v>
      </c>
      <c r="F36" s="7139"/>
      <c r="G36" s="7139">
        <f t="shared" si="10"/>
        <v>2208</v>
      </c>
      <c r="H36" s="7139"/>
      <c r="I36" s="7139">
        <f t="shared" si="10"/>
        <v>6624</v>
      </c>
      <c r="J36" s="7139"/>
      <c r="K36" s="7139">
        <f t="shared" si="10"/>
        <v>2208</v>
      </c>
      <c r="L36" s="7139">
        <f t="shared" si="10"/>
        <v>2208</v>
      </c>
      <c r="M36" s="7139">
        <f t="shared" si="10"/>
        <v>2208</v>
      </c>
      <c r="N36" s="502"/>
      <c r="O36" s="502"/>
      <c r="P36" s="502"/>
    </row>
    <row r="37" spans="1:19" hidden="1" x14ac:dyDescent="0.25">
      <c r="A37" s="3110"/>
      <c r="B37" s="8389"/>
      <c r="C37" s="7122">
        <v>46388</v>
      </c>
      <c r="D37" s="7138">
        <f>D17-D263-D264</f>
        <v>744</v>
      </c>
      <c r="E37" s="7138">
        <f>E17-E263-E264</f>
        <v>744</v>
      </c>
      <c r="F37" s="7144"/>
      <c r="G37" s="7146">
        <f>G17-G263-G264</f>
        <v>744</v>
      </c>
      <c r="H37" s="7138"/>
      <c r="I37" s="7138">
        <f>I17-I263-I264</f>
        <v>2232</v>
      </c>
      <c r="J37" s="7138"/>
      <c r="K37" s="7138">
        <f>K17-K263-K264</f>
        <v>744</v>
      </c>
      <c r="L37" s="7138">
        <f>L17-L263-L264</f>
        <v>744</v>
      </c>
      <c r="M37" s="7138">
        <f>M17-M263-M264</f>
        <v>744</v>
      </c>
    </row>
    <row r="38" spans="1:19" hidden="1" x14ac:dyDescent="0.25">
      <c r="A38" s="3110"/>
      <c r="B38" s="8389"/>
      <c r="C38" s="7122">
        <v>46419</v>
      </c>
      <c r="D38" s="7138">
        <f>D18-D285-D286</f>
        <v>672</v>
      </c>
      <c r="E38" s="7138">
        <f>E18-E285-E286</f>
        <v>672</v>
      </c>
      <c r="F38" s="7138"/>
      <c r="G38" s="7138">
        <f>G18-G285-G286</f>
        <v>672</v>
      </c>
      <c r="H38" s="7138"/>
      <c r="I38" s="7138">
        <f>I18-I285-I286</f>
        <v>2016</v>
      </c>
      <c r="J38" s="7138"/>
      <c r="K38" s="7138">
        <f>K18-K285-K286</f>
        <v>672</v>
      </c>
      <c r="L38" s="7138">
        <f>L18-L285-L286</f>
        <v>672</v>
      </c>
      <c r="M38" s="7138">
        <f>M18-M285-M286</f>
        <v>672</v>
      </c>
      <c r="N38" s="1137"/>
      <c r="O38" s="1137"/>
      <c r="P38" s="1137"/>
      <c r="Q38" s="1137"/>
      <c r="R38" s="1137"/>
      <c r="S38" s="1137"/>
    </row>
    <row r="39" spans="1:19" hidden="1" x14ac:dyDescent="0.25">
      <c r="A39" s="3110"/>
      <c r="B39" s="8389"/>
      <c r="C39" s="7122">
        <v>46447</v>
      </c>
      <c r="D39" s="7138">
        <f>D19-D307-D308</f>
        <v>744</v>
      </c>
      <c r="E39" s="7138">
        <f>E19-E307-E308</f>
        <v>744</v>
      </c>
      <c r="F39" s="7144"/>
      <c r="G39" s="7138">
        <f>G19-G307-G308</f>
        <v>744</v>
      </c>
      <c r="H39" s="7138"/>
      <c r="I39" s="7138">
        <f>I19-I307-I308</f>
        <v>2232</v>
      </c>
      <c r="J39" s="7144"/>
      <c r="K39" s="7138">
        <f>K19-K307-K308</f>
        <v>744</v>
      </c>
      <c r="L39" s="7138">
        <f>L19-L307-L308</f>
        <v>744</v>
      </c>
      <c r="M39" s="7138">
        <f>M19-M307-M308</f>
        <v>744</v>
      </c>
    </row>
    <row r="40" spans="1:19" hidden="1" x14ac:dyDescent="0.25">
      <c r="A40" s="3110"/>
      <c r="B40" s="8389"/>
      <c r="C40" s="7126" t="s">
        <v>1694</v>
      </c>
      <c r="D40" s="7139">
        <f t="shared" ref="D40:E40" si="11">SUM(D37:D39)</f>
        <v>2160</v>
      </c>
      <c r="E40" s="7139">
        <f t="shared" si="11"/>
        <v>2160</v>
      </c>
      <c r="F40" s="7147"/>
      <c r="G40" s="7139">
        <f>SUM(G37:G39)</f>
        <v>2160</v>
      </c>
      <c r="H40" s="7139"/>
      <c r="I40" s="7139">
        <f>SUM(I37:I39)</f>
        <v>6480</v>
      </c>
      <c r="J40" s="7147"/>
      <c r="K40" s="7139">
        <f t="shared" ref="K40:M40" si="12">SUM(K37:K39)</f>
        <v>2160</v>
      </c>
      <c r="L40" s="7139">
        <f t="shared" si="12"/>
        <v>2160</v>
      </c>
      <c r="M40" s="7139">
        <f t="shared" si="12"/>
        <v>2160</v>
      </c>
    </row>
    <row r="41" spans="1:19" hidden="1" x14ac:dyDescent="0.25">
      <c r="A41" s="3110"/>
      <c r="B41" s="8389"/>
      <c r="C41" s="7126" t="s">
        <v>1984</v>
      </c>
      <c r="D41" s="7139">
        <f t="shared" ref="D41:E41" si="13">D40+D36+D32+D28</f>
        <v>8744.5</v>
      </c>
      <c r="E41" s="7139">
        <f t="shared" si="13"/>
        <v>8727</v>
      </c>
      <c r="F41" s="7147"/>
      <c r="G41" s="7139">
        <f>G40+G36+G32+G28</f>
        <v>8751</v>
      </c>
      <c r="H41" s="7139"/>
      <c r="I41" s="7139">
        <f>I40+I36+I32+I28</f>
        <v>25682.84</v>
      </c>
      <c r="J41" s="7147"/>
      <c r="K41" s="7139">
        <f t="shared" ref="K41:M41" si="14">K40+K36+K32+K28</f>
        <v>8648.6333333333332</v>
      </c>
      <c r="L41" s="7139">
        <f t="shared" si="14"/>
        <v>8686.1833333333343</v>
      </c>
      <c r="M41" s="7139">
        <f t="shared" si="14"/>
        <v>8633.25</v>
      </c>
      <c r="N41" s="1137"/>
    </row>
    <row r="42" spans="1:19" x14ac:dyDescent="0.25">
      <c r="A42" s="3110"/>
      <c r="B42" s="7691"/>
      <c r="C42" s="7119"/>
      <c r="D42" s="7148"/>
      <c r="E42" s="7148"/>
      <c r="F42" s="7123"/>
      <c r="G42" s="7123"/>
      <c r="H42" s="7123"/>
      <c r="I42" s="7123"/>
      <c r="J42" s="7123"/>
      <c r="K42" s="7123"/>
      <c r="L42" s="7123"/>
      <c r="M42" s="7123"/>
      <c r="N42" s="25"/>
      <c r="O42" s="25"/>
      <c r="P42" s="25"/>
    </row>
    <row r="43" spans="1:19" x14ac:dyDescent="0.25">
      <c r="A43" s="3110"/>
      <c r="B43" s="7691"/>
      <c r="C43" s="7119"/>
      <c r="D43" s="7123"/>
      <c r="E43" s="7123"/>
      <c r="F43" s="7123"/>
      <c r="G43" s="7123"/>
      <c r="H43" s="7123"/>
      <c r="I43" s="7123"/>
      <c r="J43" s="7123"/>
      <c r="K43" s="7123"/>
      <c r="L43" s="7123"/>
      <c r="M43" s="7123"/>
    </row>
    <row r="44" spans="1:19" x14ac:dyDescent="0.25">
      <c r="A44" s="3110"/>
      <c r="B44" s="7691" t="s">
        <v>1686</v>
      </c>
      <c r="C44" s="7119" t="s">
        <v>1686</v>
      </c>
      <c r="D44" s="7120" t="s">
        <v>1687</v>
      </c>
      <c r="E44" s="7120" t="s">
        <v>1688</v>
      </c>
      <c r="F44" s="7120"/>
      <c r="G44" s="7120" t="s">
        <v>1689</v>
      </c>
      <c r="H44" s="7120"/>
      <c r="I44" s="7120" t="s">
        <v>1021</v>
      </c>
      <c r="J44" s="7120"/>
      <c r="K44" s="7149" t="s">
        <v>59</v>
      </c>
      <c r="L44" s="7149" t="s">
        <v>95</v>
      </c>
      <c r="M44" s="7149" t="s">
        <v>1247</v>
      </c>
    </row>
    <row r="45" spans="1:19" x14ac:dyDescent="0.25">
      <c r="A45" s="3110"/>
      <c r="B45" s="8389" t="s">
        <v>1696</v>
      </c>
      <c r="C45" s="7122">
        <v>46113</v>
      </c>
      <c r="D45" s="7123">
        <f>+D25-SUM(D67:D84)</f>
        <v>686.33</v>
      </c>
      <c r="E45" s="7123">
        <f>+E25-SUM(E67:E84)</f>
        <v>643.62</v>
      </c>
      <c r="F45" s="7123"/>
      <c r="G45" s="7123">
        <f>+G25-SUM(G67:G84)</f>
        <v>708.92</v>
      </c>
      <c r="H45" s="7123"/>
      <c r="I45" s="7123">
        <f>+I25-SUM(I67:I84)</f>
        <v>1445.8300000000002</v>
      </c>
      <c r="J45" s="7123"/>
      <c r="K45" s="7123">
        <f>+K25-SUM(K67:K84)</f>
        <v>546.01666666666665</v>
      </c>
      <c r="L45" s="7123">
        <f>+L25-SUM(L67:L84)</f>
        <v>568.61666666666679</v>
      </c>
      <c r="M45" s="7123">
        <f>+M25-SUM(M67:M84)</f>
        <v>469.5</v>
      </c>
      <c r="N45" s="1137"/>
      <c r="O45" s="1137"/>
      <c r="P45" s="1137"/>
      <c r="Q45" s="1137"/>
    </row>
    <row r="46" spans="1:19" hidden="1" x14ac:dyDescent="0.25">
      <c r="A46" s="3110"/>
      <c r="B46" s="8389"/>
      <c r="C46" s="7122">
        <v>46143</v>
      </c>
      <c r="D46" s="7123">
        <f>+D26-SUM(D89:D106)</f>
        <v>744</v>
      </c>
      <c r="E46" s="7123">
        <f>+E26-SUM(E89:E106)</f>
        <v>744</v>
      </c>
      <c r="F46" s="7123"/>
      <c r="G46" s="7123">
        <f>+G26-SUM(G89:G106)</f>
        <v>744</v>
      </c>
      <c r="H46" s="7123"/>
      <c r="I46" s="7123">
        <f>+I26-SUM(I89:I106)</f>
        <v>2232</v>
      </c>
      <c r="J46" s="7123"/>
      <c r="K46" s="7123">
        <f>+K26-SUM(K89:K106)</f>
        <v>744</v>
      </c>
      <c r="L46" s="7123">
        <f t="shared" ref="L46:M46" si="15">+L26-SUM(L89:L106)</f>
        <v>744</v>
      </c>
      <c r="M46" s="7123">
        <f t="shared" si="15"/>
        <v>744</v>
      </c>
      <c r="N46" s="25"/>
      <c r="P46" s="1137"/>
      <c r="Q46" s="1137"/>
    </row>
    <row r="47" spans="1:19" hidden="1" x14ac:dyDescent="0.25">
      <c r="A47" s="3110"/>
      <c r="B47" s="8389"/>
      <c r="C47" s="7122">
        <v>46174</v>
      </c>
      <c r="D47" s="7138">
        <f>D27-SUM(D110:D127)</f>
        <v>720</v>
      </c>
      <c r="E47" s="7138">
        <f>E27-SUM(E110:E127)</f>
        <v>720</v>
      </c>
      <c r="F47" s="7138"/>
      <c r="G47" s="7138">
        <f>G27-SUM(G110:G127)</f>
        <v>720</v>
      </c>
      <c r="H47" s="7138"/>
      <c r="I47" s="7138">
        <f>I27-SUM(I110:I127)</f>
        <v>2160</v>
      </c>
      <c r="J47" s="7138"/>
      <c r="K47" s="7138">
        <f>K27-SUM(K110:K127)</f>
        <v>720</v>
      </c>
      <c r="L47" s="7138">
        <f>L27-SUM(L110:L127)</f>
        <v>720</v>
      </c>
      <c r="M47" s="7138">
        <f>M27-SUM(M110:M127)</f>
        <v>720</v>
      </c>
      <c r="N47" s="25"/>
      <c r="O47" s="25"/>
      <c r="P47" s="25"/>
      <c r="Q47" s="1137"/>
    </row>
    <row r="48" spans="1:19" hidden="1" x14ac:dyDescent="0.25">
      <c r="A48" s="3110"/>
      <c r="B48" s="8389"/>
      <c r="C48" s="7126" t="s">
        <v>1691</v>
      </c>
      <c r="D48" s="7139">
        <f>SUM(D45:D47)</f>
        <v>2150.33</v>
      </c>
      <c r="E48" s="7139">
        <f t="shared" ref="E48:M48" si="16">SUM(E45:E47)</f>
        <v>2107.62</v>
      </c>
      <c r="F48" s="7139"/>
      <c r="G48" s="7139">
        <f t="shared" si="16"/>
        <v>2172.92</v>
      </c>
      <c r="H48" s="7139"/>
      <c r="I48" s="7139">
        <f t="shared" si="16"/>
        <v>5837.83</v>
      </c>
      <c r="J48" s="7139"/>
      <c r="K48" s="7139">
        <f t="shared" si="16"/>
        <v>2010.0166666666667</v>
      </c>
      <c r="L48" s="7139">
        <f t="shared" si="16"/>
        <v>2032.6166666666668</v>
      </c>
      <c r="M48" s="7139">
        <f t="shared" si="16"/>
        <v>1933.5</v>
      </c>
      <c r="P48" s="1137"/>
      <c r="Q48" s="1137"/>
    </row>
    <row r="49" spans="1:19" hidden="1" x14ac:dyDescent="0.25">
      <c r="A49" s="3110"/>
      <c r="B49" s="8389"/>
      <c r="C49" s="7122">
        <v>46204</v>
      </c>
      <c r="D49" s="7138">
        <f>D29-SUM(D132:D149)</f>
        <v>744</v>
      </c>
      <c r="E49" s="7138">
        <f>E29-SUM(E132:E149)</f>
        <v>744</v>
      </c>
      <c r="F49" s="7138"/>
      <c r="G49" s="7138">
        <f>G29-SUM(G132:G149)</f>
        <v>744</v>
      </c>
      <c r="H49" s="7138"/>
      <c r="I49" s="7138">
        <f>I29-SUM(I132:I149)</f>
        <v>2232</v>
      </c>
      <c r="J49" s="7138"/>
      <c r="K49" s="7138">
        <f>K29-SUM(K132:K149)</f>
        <v>744</v>
      </c>
      <c r="L49" s="7138">
        <f>L29-SUM(L132:L149)</f>
        <v>744</v>
      </c>
      <c r="M49" s="7138">
        <f>M29-SUM(M132:M149)</f>
        <v>744</v>
      </c>
      <c r="P49" s="1137"/>
      <c r="Q49" s="1137"/>
    </row>
    <row r="50" spans="1:19" hidden="1" x14ac:dyDescent="0.25">
      <c r="A50" s="3110"/>
      <c r="B50" s="8389"/>
      <c r="C50" s="7122">
        <v>46235</v>
      </c>
      <c r="D50" s="7142">
        <f>+D30-SUM(D154:D171)</f>
        <v>744</v>
      </c>
      <c r="E50" s="7142">
        <f>+E30-SUM(E154:E171)</f>
        <v>744</v>
      </c>
      <c r="F50" s="7142"/>
      <c r="G50" s="7142">
        <f>+G30-SUM(G154:G171)</f>
        <v>744</v>
      </c>
      <c r="H50" s="7142"/>
      <c r="I50" s="7142">
        <f>+I30-SUM(I154:I171)</f>
        <v>2232</v>
      </c>
      <c r="J50" s="7142"/>
      <c r="K50" s="7142">
        <f>+K30-SUM(K154:K171)</f>
        <v>744</v>
      </c>
      <c r="L50" s="7142">
        <f>+L30-SUM(L154:L171)</f>
        <v>744</v>
      </c>
      <c r="M50" s="7142">
        <f>+M30-SUM(M154:M171)</f>
        <v>744</v>
      </c>
      <c r="P50" s="1137"/>
      <c r="Q50" s="1137"/>
    </row>
    <row r="51" spans="1:19" hidden="1" x14ac:dyDescent="0.25">
      <c r="A51" s="3110"/>
      <c r="B51" s="8389"/>
      <c r="C51" s="7122">
        <v>46266</v>
      </c>
      <c r="D51" s="7142">
        <f>D31-SUM(D176:D193)</f>
        <v>720</v>
      </c>
      <c r="E51" s="7142">
        <f>E31-SUM(E176:E193)</f>
        <v>720</v>
      </c>
      <c r="F51" s="7142"/>
      <c r="G51" s="7142">
        <f>G31-SUM(G176:G193)</f>
        <v>720</v>
      </c>
      <c r="H51" s="7142"/>
      <c r="I51" s="7142">
        <f>I31-SUM(I176:I193)</f>
        <v>2160</v>
      </c>
      <c r="J51" s="7142"/>
      <c r="K51" s="7142">
        <f>K31-SUM(K176:K193)</f>
        <v>720</v>
      </c>
      <c r="L51" s="7142">
        <f>L31-SUM(L176:L193)</f>
        <v>720</v>
      </c>
      <c r="M51" s="7142">
        <f>M31-SUM(M176:M193)</f>
        <v>720</v>
      </c>
      <c r="N51" s="25"/>
      <c r="O51" s="25"/>
      <c r="P51" s="25"/>
      <c r="Q51" s="1137"/>
    </row>
    <row r="52" spans="1:19" hidden="1" x14ac:dyDescent="0.25">
      <c r="A52" s="3110"/>
      <c r="B52" s="8389"/>
      <c r="C52" s="7126" t="s">
        <v>1692</v>
      </c>
      <c r="D52" s="7143">
        <f>SUM(D49:D51)</f>
        <v>2208</v>
      </c>
      <c r="E52" s="7143">
        <f t="shared" ref="E52:M52" si="17">SUM(E49:E51)</f>
        <v>2208</v>
      </c>
      <c r="F52" s="7143"/>
      <c r="G52" s="7143">
        <f t="shared" si="17"/>
        <v>2208</v>
      </c>
      <c r="H52" s="7143"/>
      <c r="I52" s="7143">
        <f t="shared" si="17"/>
        <v>6624</v>
      </c>
      <c r="J52" s="7143"/>
      <c r="K52" s="7143">
        <f t="shared" si="17"/>
        <v>2208</v>
      </c>
      <c r="L52" s="7143">
        <f t="shared" si="17"/>
        <v>2208</v>
      </c>
      <c r="M52" s="7143">
        <f t="shared" si="17"/>
        <v>2208</v>
      </c>
      <c r="P52" s="1137"/>
      <c r="Q52" s="1137"/>
    </row>
    <row r="53" spans="1:19" hidden="1" x14ac:dyDescent="0.25">
      <c r="A53" s="3110"/>
      <c r="B53" s="8389"/>
      <c r="C53" s="7122">
        <v>46296</v>
      </c>
      <c r="D53" s="7138">
        <f>D33-SUM(D198:D215)</f>
        <v>744</v>
      </c>
      <c r="E53" s="7138">
        <f>E33-SUM(E198:E215)</f>
        <v>744</v>
      </c>
      <c r="F53" s="7144"/>
      <c r="G53" s="7138">
        <f>G33-SUM(G198:G215)</f>
        <v>744</v>
      </c>
      <c r="H53" s="7138"/>
      <c r="I53" s="7138">
        <f>I33-SUM(I198:I215)</f>
        <v>2232</v>
      </c>
      <c r="J53" s="7144"/>
      <c r="K53" s="7138">
        <f>K33-SUM(K198:K215)</f>
        <v>744</v>
      </c>
      <c r="L53" s="7138">
        <f>L33-SUM(L198:L215)</f>
        <v>744</v>
      </c>
      <c r="M53" s="7138">
        <f>M33-SUM(M198:M215)</f>
        <v>744</v>
      </c>
      <c r="P53" s="1137"/>
      <c r="Q53" s="1137"/>
    </row>
    <row r="54" spans="1:19" hidden="1" x14ac:dyDescent="0.25">
      <c r="A54" s="3110"/>
      <c r="B54" s="8389"/>
      <c r="C54" s="7122">
        <v>46327</v>
      </c>
      <c r="D54" s="7138">
        <f>D34-SUM(D220:D237)</f>
        <v>720</v>
      </c>
      <c r="E54" s="7138">
        <f>E34-SUM(E220:E237)</f>
        <v>720</v>
      </c>
      <c r="F54" s="7144"/>
      <c r="G54" s="7138">
        <f>G34-SUM(G220:G237)</f>
        <v>720</v>
      </c>
      <c r="H54" s="7138"/>
      <c r="I54" s="7138">
        <f>I34-SUM(I220:I237)</f>
        <v>2160</v>
      </c>
      <c r="J54" s="7144"/>
      <c r="K54" s="7138">
        <f>K34-SUM(K220:K237)</f>
        <v>720</v>
      </c>
      <c r="L54" s="7138">
        <f>L34-SUM(L220:L237)</f>
        <v>720</v>
      </c>
      <c r="M54" s="7138">
        <f>M34-SUM(M220:M237)</f>
        <v>720</v>
      </c>
      <c r="P54" s="1137"/>
      <c r="Q54" s="1137"/>
    </row>
    <row r="55" spans="1:19" hidden="1" x14ac:dyDescent="0.25">
      <c r="A55" s="3110"/>
      <c r="B55" s="8389"/>
      <c r="C55" s="7122">
        <v>46357</v>
      </c>
      <c r="D55" s="7138">
        <f>D35-SUM(D243:D260)</f>
        <v>744</v>
      </c>
      <c r="E55" s="7138">
        <f>E35-SUM(E243:E260)</f>
        <v>744</v>
      </c>
      <c r="F55" s="7138"/>
      <c r="G55" s="7138">
        <f>G35-SUM(G243:G260)</f>
        <v>744</v>
      </c>
      <c r="H55" s="7138"/>
      <c r="I55" s="7138">
        <f>I35-SUM(I243:I260)</f>
        <v>2232</v>
      </c>
      <c r="J55" s="7138"/>
      <c r="K55" s="7138">
        <f>K35-SUM(K243:K260)</f>
        <v>744</v>
      </c>
      <c r="L55" s="7138">
        <f>L35-SUM(L243:L260)</f>
        <v>744</v>
      </c>
      <c r="M55" s="7138">
        <f>M35-SUM(M243:M260)</f>
        <v>744</v>
      </c>
      <c r="N55" s="1137"/>
      <c r="P55" s="1137"/>
      <c r="Q55" s="1137"/>
    </row>
    <row r="56" spans="1:19" hidden="1" x14ac:dyDescent="0.25">
      <c r="A56" s="3110"/>
      <c r="B56" s="8389"/>
      <c r="C56" s="7126" t="s">
        <v>1693</v>
      </c>
      <c r="D56" s="7139">
        <f>D53+D54+D55</f>
        <v>2208</v>
      </c>
      <c r="E56" s="7139">
        <f t="shared" ref="E56:M56" si="18">E53+E54+E55</f>
        <v>2208</v>
      </c>
      <c r="F56" s="7139"/>
      <c r="G56" s="7139">
        <f t="shared" si="18"/>
        <v>2208</v>
      </c>
      <c r="H56" s="7139"/>
      <c r="I56" s="7139">
        <f t="shared" si="18"/>
        <v>6624</v>
      </c>
      <c r="J56" s="7139"/>
      <c r="K56" s="7139">
        <f t="shared" si="18"/>
        <v>2208</v>
      </c>
      <c r="L56" s="7139">
        <f t="shared" si="18"/>
        <v>2208</v>
      </c>
      <c r="M56" s="7139">
        <f t="shared" si="18"/>
        <v>2208</v>
      </c>
      <c r="N56" s="1137"/>
      <c r="O56" s="1137"/>
      <c r="P56" s="1137"/>
      <c r="Q56" s="1137"/>
    </row>
    <row r="57" spans="1:19" hidden="1" x14ac:dyDescent="0.25">
      <c r="A57" s="3110"/>
      <c r="B57" s="8389"/>
      <c r="C57" s="7122">
        <v>46388</v>
      </c>
      <c r="D57" s="7138">
        <f>D37-SUM(D265:D282)</f>
        <v>744</v>
      </c>
      <c r="E57" s="7138">
        <f>E37-SUM(E265:E282)</f>
        <v>744</v>
      </c>
      <c r="F57" s="7150"/>
      <c r="G57" s="7138">
        <f>G37-SUM(G265:G282)</f>
        <v>744</v>
      </c>
      <c r="H57" s="7138"/>
      <c r="I57" s="7138">
        <f>I37-SUM(I265:I282)</f>
        <v>2232</v>
      </c>
      <c r="J57" s="7132"/>
      <c r="K57" s="7138">
        <f>K37-SUM(K265:K282)</f>
        <v>744</v>
      </c>
      <c r="L57" s="7138">
        <f>L37-SUM(L265:L282)</f>
        <v>744</v>
      </c>
      <c r="M57" s="7138">
        <f>M37-SUM(M265:M282)</f>
        <v>744</v>
      </c>
      <c r="O57" s="4234"/>
      <c r="Q57" s="1137"/>
    </row>
    <row r="58" spans="1:19" hidden="1" x14ac:dyDescent="0.25">
      <c r="A58" s="3110"/>
      <c r="B58" s="8389"/>
      <c r="C58" s="7122">
        <v>46419</v>
      </c>
      <c r="D58" s="7138">
        <f>D38-(SUM(D287:D304))</f>
        <v>672</v>
      </c>
      <c r="E58" s="7138">
        <f>E38-(SUM(E287:E304))</f>
        <v>672</v>
      </c>
      <c r="F58" s="7138"/>
      <c r="G58" s="7138">
        <f>G38-(SUM(G287:G304))</f>
        <v>672</v>
      </c>
      <c r="H58" s="7138"/>
      <c r="I58" s="7138">
        <f>I38-(SUM(I287:I304))</f>
        <v>2016</v>
      </c>
      <c r="J58" s="7132"/>
      <c r="K58" s="7138">
        <f>K38-(SUM(K287:K304))</f>
        <v>672</v>
      </c>
      <c r="L58" s="7138">
        <f>L38-(SUM(L287:L304))</f>
        <v>672</v>
      </c>
      <c r="M58" s="7138">
        <f>M38-(SUM(M287:M304))</f>
        <v>672</v>
      </c>
      <c r="N58" s="1137"/>
      <c r="Q58" s="1137"/>
      <c r="R58" s="1137"/>
      <c r="S58" s="1137"/>
    </row>
    <row r="59" spans="1:19" hidden="1" x14ac:dyDescent="0.25">
      <c r="A59" s="3110"/>
      <c r="B59" s="8389"/>
      <c r="C59" s="7122">
        <v>46447</v>
      </c>
      <c r="D59" s="7138">
        <f>D39-(SUM(D309:D326))</f>
        <v>744</v>
      </c>
      <c r="E59" s="7138">
        <f>E39-(SUM(E309:E326))</f>
        <v>744</v>
      </c>
      <c r="F59" s="7124"/>
      <c r="G59" s="7138">
        <f>G39-(SUM(G309:G326))</f>
        <v>744</v>
      </c>
      <c r="H59" s="7138"/>
      <c r="I59" s="7138">
        <f>I39-(SUM(I309:I326))</f>
        <v>2232</v>
      </c>
      <c r="J59" s="7124"/>
      <c r="K59" s="7138">
        <f>K39-(SUM(K309:K326))</f>
        <v>744</v>
      </c>
      <c r="L59" s="7138">
        <f>L39-(SUM(L309:L326))</f>
        <v>744</v>
      </c>
      <c r="M59" s="7138">
        <f>M39-(SUM(M309:M326))</f>
        <v>744</v>
      </c>
      <c r="Q59" s="1137"/>
    </row>
    <row r="60" spans="1:19" hidden="1" x14ac:dyDescent="0.25">
      <c r="A60" s="3110"/>
      <c r="B60" s="8389"/>
      <c r="C60" s="7126" t="s">
        <v>1694</v>
      </c>
      <c r="D60" s="7139">
        <f t="shared" ref="D60:E60" si="19">SUM(D57:D59)</f>
        <v>2160</v>
      </c>
      <c r="E60" s="7139">
        <f t="shared" si="19"/>
        <v>2160</v>
      </c>
      <c r="F60" s="7147"/>
      <c r="G60" s="7139">
        <f>SUM(G57:G59)</f>
        <v>2160</v>
      </c>
      <c r="H60" s="7139"/>
      <c r="I60" s="7139">
        <f>SUM(I57:I59)</f>
        <v>6480</v>
      </c>
      <c r="J60" s="7147"/>
      <c r="K60" s="7139">
        <f t="shared" ref="K60:M60" si="20">SUM(K57:K59)</f>
        <v>2160</v>
      </c>
      <c r="L60" s="7139">
        <f t="shared" si="20"/>
        <v>2160</v>
      </c>
      <c r="M60" s="7139">
        <f t="shared" si="20"/>
        <v>2160</v>
      </c>
      <c r="N60" s="1137"/>
      <c r="O60" s="1137"/>
      <c r="P60" s="1137"/>
    </row>
    <row r="61" spans="1:19" hidden="1" x14ac:dyDescent="0.25">
      <c r="A61" s="3110"/>
      <c r="B61" s="8389"/>
      <c r="C61" s="7126" t="s">
        <v>1984</v>
      </c>
      <c r="D61" s="7139">
        <f t="shared" ref="D61:E61" si="21">D60+D56+D48+D52</f>
        <v>8726.33</v>
      </c>
      <c r="E61" s="7139">
        <f t="shared" si="21"/>
        <v>8683.619999999999</v>
      </c>
      <c r="F61" s="7147"/>
      <c r="G61" s="7139">
        <f>G60+G56+G48+G52</f>
        <v>8748.92</v>
      </c>
      <c r="H61" s="7139"/>
      <c r="I61" s="7139">
        <f>I60+I56+I48+I52</f>
        <v>25565.83</v>
      </c>
      <c r="J61" s="7147"/>
      <c r="K61" s="7139">
        <f t="shared" ref="K61:M61" si="22">K60+K56+K48+K52</f>
        <v>8586.0166666666664</v>
      </c>
      <c r="L61" s="7139">
        <f t="shared" si="22"/>
        <v>8608.6166666666668</v>
      </c>
      <c r="M61" s="7139">
        <f t="shared" si="22"/>
        <v>8509.5</v>
      </c>
      <c r="N61" s="1137"/>
      <c r="O61" s="1137"/>
      <c r="P61" s="1137"/>
      <c r="Q61" s="4234"/>
      <c r="R61" s="4234"/>
      <c r="S61" s="4234"/>
    </row>
    <row r="62" spans="1:19" x14ac:dyDescent="0.25">
      <c r="A62" s="3110"/>
      <c r="B62" s="7691"/>
      <c r="C62" s="7119"/>
      <c r="D62" s="7142"/>
      <c r="E62" s="7142"/>
      <c r="F62" s="7691"/>
      <c r="G62" s="7691"/>
      <c r="H62" s="7691"/>
      <c r="I62" s="7691"/>
      <c r="J62" s="7691"/>
      <c r="K62" s="7691"/>
      <c r="L62" s="7691"/>
      <c r="M62" s="7691"/>
      <c r="N62" s="1137"/>
      <c r="O62" s="1137"/>
      <c r="P62" s="1137"/>
    </row>
    <row r="63" spans="1:19" x14ac:dyDescent="0.25">
      <c r="A63" s="3110"/>
      <c r="B63" s="7691"/>
      <c r="C63" s="7119"/>
      <c r="D63" s="7691"/>
      <c r="E63" s="7691"/>
      <c r="F63" s="7691"/>
      <c r="G63" s="7691"/>
      <c r="H63" s="7691"/>
      <c r="I63" s="7691"/>
      <c r="J63" s="7691"/>
      <c r="K63" s="7691"/>
      <c r="L63" s="7691"/>
      <c r="M63" s="7691"/>
      <c r="N63" s="4234"/>
      <c r="O63" s="4234"/>
      <c r="P63" s="4234"/>
    </row>
    <row r="64" spans="1:19" ht="15.75" thickBot="1" x14ac:dyDescent="0.3">
      <c r="A64" s="3110"/>
      <c r="B64" s="7692"/>
      <c r="C64" s="7693" t="s">
        <v>1686</v>
      </c>
      <c r="D64" s="7694" t="s">
        <v>1687</v>
      </c>
      <c r="E64" s="7694" t="s">
        <v>1688</v>
      </c>
      <c r="F64" s="7694"/>
      <c r="G64" s="7694" t="s">
        <v>1689</v>
      </c>
      <c r="H64" s="7694"/>
      <c r="I64" s="7694" t="s">
        <v>1021</v>
      </c>
      <c r="J64" s="7694"/>
      <c r="K64" s="7694" t="s">
        <v>59</v>
      </c>
      <c r="L64" s="7694" t="s">
        <v>95</v>
      </c>
      <c r="M64" s="7694" t="s">
        <v>1247</v>
      </c>
      <c r="N64" s="1137"/>
      <c r="O64" s="1137"/>
      <c r="P64" s="1137"/>
    </row>
    <row r="65" spans="1:16" ht="15" customHeight="1" x14ac:dyDescent="0.25">
      <c r="A65" s="3110"/>
      <c r="B65" s="8390">
        <v>46113</v>
      </c>
      <c r="C65" s="6380" t="s">
        <v>1697</v>
      </c>
      <c r="D65" s="6381">
        <v>15.5</v>
      </c>
      <c r="E65" s="6381">
        <v>33</v>
      </c>
      <c r="F65" s="6382"/>
      <c r="G65" s="6383">
        <v>9</v>
      </c>
      <c r="H65" s="6383"/>
      <c r="I65" s="6384">
        <v>597.16</v>
      </c>
      <c r="J65" s="6385"/>
      <c r="K65" s="6386">
        <v>111.36666666666666</v>
      </c>
      <c r="L65" s="6386">
        <v>73.816666666666663</v>
      </c>
      <c r="M65" s="6387">
        <v>126.75</v>
      </c>
      <c r="N65" s="1137"/>
      <c r="O65" s="1137"/>
      <c r="P65" s="1137"/>
    </row>
    <row r="66" spans="1:16" ht="15" customHeight="1" x14ac:dyDescent="0.25">
      <c r="A66" s="3110"/>
      <c r="B66" s="8391"/>
      <c r="C66" s="7151" t="s">
        <v>1698</v>
      </c>
      <c r="D66" s="7152"/>
      <c r="E66" s="7152"/>
      <c r="F66" s="7153"/>
      <c r="G66" s="7154"/>
      <c r="H66" s="7154"/>
      <c r="I66" s="7155"/>
      <c r="J66" s="7156"/>
      <c r="K66" s="7157"/>
      <c r="L66" s="7157"/>
      <c r="M66" s="6388"/>
    </row>
    <row r="67" spans="1:16" ht="15" customHeight="1" x14ac:dyDescent="0.25">
      <c r="A67" s="3110"/>
      <c r="B67" s="8391"/>
      <c r="C67" s="7151" t="s">
        <v>1699</v>
      </c>
      <c r="D67" s="7158"/>
      <c r="E67" s="7158">
        <v>1.08</v>
      </c>
      <c r="F67" s="7153"/>
      <c r="G67" s="7154">
        <v>2.08</v>
      </c>
      <c r="H67" s="7154"/>
      <c r="I67" s="7155"/>
      <c r="J67" s="7156"/>
      <c r="K67" s="7157">
        <v>14.783333333333333</v>
      </c>
      <c r="L67" s="7157">
        <v>21.1</v>
      </c>
      <c r="M67" s="6388">
        <v>21.166666666666668</v>
      </c>
    </row>
    <row r="68" spans="1:16" ht="15" customHeight="1" x14ac:dyDescent="0.25">
      <c r="A68" s="3110"/>
      <c r="B68" s="8391"/>
      <c r="C68" s="7151" t="s">
        <v>442</v>
      </c>
      <c r="D68" s="7152"/>
      <c r="E68" s="7152"/>
      <c r="F68" s="7153"/>
      <c r="G68" s="7154"/>
      <c r="H68" s="7154"/>
      <c r="I68" s="7155"/>
      <c r="J68" s="7156"/>
      <c r="K68" s="7157"/>
      <c r="L68" s="7157"/>
      <c r="M68" s="6388"/>
    </row>
    <row r="69" spans="1:16" ht="15" customHeight="1" x14ac:dyDescent="0.25">
      <c r="A69" s="3110"/>
      <c r="B69" s="8391"/>
      <c r="C69" s="7151" t="s">
        <v>1700</v>
      </c>
      <c r="D69" s="7152"/>
      <c r="E69" s="7152"/>
      <c r="F69" s="7153"/>
      <c r="G69" s="7154"/>
      <c r="H69" s="7154"/>
      <c r="I69" s="7155"/>
      <c r="J69" s="7156"/>
      <c r="K69" s="7157"/>
      <c r="L69" s="7157"/>
      <c r="M69" s="6388"/>
    </row>
    <row r="70" spans="1:16" ht="15" customHeight="1" x14ac:dyDescent="0.25">
      <c r="A70" s="3110"/>
      <c r="B70" s="8391"/>
      <c r="C70" s="7151" t="s">
        <v>1701</v>
      </c>
      <c r="D70" s="7158">
        <v>9.42</v>
      </c>
      <c r="E70" s="7158">
        <v>24.63</v>
      </c>
      <c r="F70" s="7153"/>
      <c r="G70" s="7154"/>
      <c r="H70" s="7154"/>
      <c r="I70" s="7155">
        <v>3.33</v>
      </c>
      <c r="J70" s="7156"/>
      <c r="K70" s="7157">
        <v>34.25</v>
      </c>
      <c r="L70" s="7157">
        <v>31.75</v>
      </c>
      <c r="M70" s="6388">
        <v>51.75</v>
      </c>
    </row>
    <row r="71" spans="1:16" ht="15" customHeight="1" x14ac:dyDescent="0.25">
      <c r="A71" s="3110"/>
      <c r="B71" s="8391"/>
      <c r="C71" s="7151" t="s">
        <v>1702</v>
      </c>
      <c r="D71" s="7158"/>
      <c r="E71" s="7158"/>
      <c r="F71" s="7153"/>
      <c r="G71" s="7154"/>
      <c r="H71" s="7154"/>
      <c r="I71" s="7155">
        <v>0.45</v>
      </c>
      <c r="J71" s="7156"/>
      <c r="K71" s="7157">
        <v>7.6</v>
      </c>
      <c r="L71" s="7157">
        <v>14.616666666666667</v>
      </c>
      <c r="M71" s="6388">
        <v>8.75</v>
      </c>
    </row>
    <row r="72" spans="1:16" ht="15" customHeight="1" x14ac:dyDescent="0.25">
      <c r="A72" s="3110"/>
      <c r="B72" s="8391"/>
      <c r="C72" s="7151" t="s">
        <v>1703</v>
      </c>
      <c r="D72" s="7158">
        <v>4.5</v>
      </c>
      <c r="E72" s="7158">
        <v>14</v>
      </c>
      <c r="F72" s="7153"/>
      <c r="G72" s="7154"/>
      <c r="H72" s="7154"/>
      <c r="I72" s="7155"/>
      <c r="J72" s="7156"/>
      <c r="K72" s="7157"/>
      <c r="L72" s="7157"/>
      <c r="M72" s="6388"/>
    </row>
    <row r="73" spans="1:16" ht="15" customHeight="1" x14ac:dyDescent="0.25">
      <c r="A73" s="3110"/>
      <c r="B73" s="8391"/>
      <c r="C73" s="7151" t="s">
        <v>1704</v>
      </c>
      <c r="D73" s="7158"/>
      <c r="E73" s="7158"/>
      <c r="F73" s="7153"/>
      <c r="G73" s="7154"/>
      <c r="H73" s="7154"/>
      <c r="I73" s="7155"/>
      <c r="J73" s="7156"/>
      <c r="K73" s="7157"/>
      <c r="L73" s="7157"/>
      <c r="M73" s="6388"/>
    </row>
    <row r="74" spans="1:16" ht="28.5" x14ac:dyDescent="0.25">
      <c r="A74" s="3110"/>
      <c r="B74" s="8391"/>
      <c r="C74" s="7151" t="s">
        <v>1710</v>
      </c>
      <c r="D74" s="7158"/>
      <c r="E74" s="7158"/>
      <c r="F74" s="7153"/>
      <c r="G74" s="7154"/>
      <c r="H74" s="7154"/>
      <c r="I74" s="7155">
        <v>111.73</v>
      </c>
      <c r="J74" s="7156"/>
      <c r="K74" s="7157"/>
      <c r="L74" s="7157"/>
      <c r="M74" s="6388"/>
    </row>
    <row r="75" spans="1:16" ht="15" customHeight="1" x14ac:dyDescent="0.25">
      <c r="A75" s="3110"/>
      <c r="B75" s="8391"/>
      <c r="C75" s="7151" t="s">
        <v>1705</v>
      </c>
      <c r="D75" s="7158"/>
      <c r="E75" s="7158"/>
      <c r="F75" s="7153"/>
      <c r="G75" s="7154"/>
      <c r="H75" s="7154"/>
      <c r="I75" s="7155"/>
      <c r="J75" s="7156"/>
      <c r="K75" s="7157">
        <v>1.2</v>
      </c>
      <c r="L75" s="7157">
        <v>1.55</v>
      </c>
      <c r="M75" s="6388">
        <v>7.833333333333333</v>
      </c>
    </row>
    <row r="76" spans="1:16" ht="15" customHeight="1" x14ac:dyDescent="0.25">
      <c r="A76" s="3110"/>
      <c r="B76" s="8391"/>
      <c r="C76" s="7151" t="s">
        <v>1706</v>
      </c>
      <c r="D76" s="7158">
        <v>0.33</v>
      </c>
      <c r="E76" s="7158"/>
      <c r="F76" s="7153"/>
      <c r="G76" s="7154"/>
      <c r="H76" s="7154"/>
      <c r="I76" s="7155"/>
      <c r="J76" s="7156"/>
      <c r="K76" s="7157"/>
      <c r="L76" s="7157"/>
      <c r="M76" s="6388"/>
    </row>
    <row r="77" spans="1:16" ht="15" customHeight="1" x14ac:dyDescent="0.25">
      <c r="A77" s="3110"/>
      <c r="B77" s="8391"/>
      <c r="C77" s="7151" t="s">
        <v>1707</v>
      </c>
      <c r="D77" s="7158"/>
      <c r="E77" s="7158"/>
      <c r="F77" s="7153"/>
      <c r="G77" s="7154"/>
      <c r="H77" s="7154"/>
      <c r="I77" s="7155"/>
      <c r="J77" s="7156"/>
      <c r="K77" s="7157"/>
      <c r="L77" s="7157"/>
      <c r="M77" s="6388"/>
    </row>
    <row r="78" spans="1:16" ht="15" customHeight="1" x14ac:dyDescent="0.25">
      <c r="A78" s="3110"/>
      <c r="B78" s="8391"/>
      <c r="C78" s="7151" t="s">
        <v>1708</v>
      </c>
      <c r="D78" s="7153"/>
      <c r="E78" s="7153"/>
      <c r="F78" s="7153"/>
      <c r="G78" s="7154"/>
      <c r="H78" s="7154"/>
      <c r="I78" s="7155"/>
      <c r="J78" s="7156"/>
      <c r="K78" s="7157"/>
      <c r="L78" s="7157"/>
      <c r="M78" s="6388"/>
    </row>
    <row r="79" spans="1:16" ht="15" customHeight="1" x14ac:dyDescent="0.25">
      <c r="A79" s="3110"/>
      <c r="B79" s="8391"/>
      <c r="C79" s="7151" t="s">
        <v>1841</v>
      </c>
      <c r="D79" s="7153"/>
      <c r="E79" s="7153"/>
      <c r="F79" s="7153"/>
      <c r="G79" s="7154"/>
      <c r="H79" s="7154"/>
      <c r="I79" s="7155"/>
      <c r="J79" s="7156"/>
      <c r="K79" s="7157"/>
      <c r="L79" s="7157"/>
      <c r="M79" s="6388"/>
    </row>
    <row r="80" spans="1:16" ht="15" customHeight="1" x14ac:dyDescent="0.25">
      <c r="A80" s="3110"/>
      <c r="B80" s="8391"/>
      <c r="C80" s="7151" t="s">
        <v>82</v>
      </c>
      <c r="D80" s="7153"/>
      <c r="E80" s="7153"/>
      <c r="F80" s="7153"/>
      <c r="G80" s="7154"/>
      <c r="H80" s="7154"/>
      <c r="I80" s="7155"/>
      <c r="J80" s="7156"/>
      <c r="K80" s="7157"/>
      <c r="L80" s="7157"/>
      <c r="M80" s="6388"/>
    </row>
    <row r="81" spans="1:13" ht="15" customHeight="1" x14ac:dyDescent="0.25">
      <c r="A81" s="3110"/>
      <c r="B81" s="8391"/>
      <c r="C81" s="7151" t="s">
        <v>1709</v>
      </c>
      <c r="D81" s="7153"/>
      <c r="E81" s="7153"/>
      <c r="F81" s="7153"/>
      <c r="G81" s="7154"/>
      <c r="H81" s="7154"/>
      <c r="I81" s="7155">
        <v>1.5</v>
      </c>
      <c r="J81" s="7156"/>
      <c r="K81" s="7157"/>
      <c r="L81" s="7157"/>
      <c r="M81" s="6388"/>
    </row>
    <row r="82" spans="1:13" ht="15" customHeight="1" x14ac:dyDescent="0.25">
      <c r="A82" s="3110"/>
      <c r="B82" s="8391"/>
      <c r="C82" s="7151" t="s">
        <v>100</v>
      </c>
      <c r="D82" s="7159"/>
      <c r="E82" s="7159"/>
      <c r="F82" s="7153"/>
      <c r="G82" s="7154"/>
      <c r="H82" s="7154"/>
      <c r="I82" s="7155"/>
      <c r="J82" s="7156"/>
      <c r="K82" s="7157"/>
      <c r="L82" s="7157"/>
      <c r="M82" s="6388"/>
    </row>
    <row r="83" spans="1:13" ht="15" customHeight="1" x14ac:dyDescent="0.25">
      <c r="A83" s="3110"/>
      <c r="B83" s="8391"/>
      <c r="C83" s="7151" t="s">
        <v>58</v>
      </c>
      <c r="D83" s="7159"/>
      <c r="E83" s="7159"/>
      <c r="F83" s="7153"/>
      <c r="G83" s="7154"/>
      <c r="H83" s="7154"/>
      <c r="I83" s="7155"/>
      <c r="J83" s="7156"/>
      <c r="K83" s="7157"/>
      <c r="L83" s="7157"/>
      <c r="M83" s="6388"/>
    </row>
    <row r="84" spans="1:13" ht="15" customHeight="1" thickBot="1" x14ac:dyDescent="0.3">
      <c r="A84" s="3110"/>
      <c r="B84" s="8392"/>
      <c r="C84" s="6389" t="s">
        <v>2182</v>
      </c>
      <c r="D84" s="6390">
        <v>3.92</v>
      </c>
      <c r="E84" s="6390">
        <v>3.67</v>
      </c>
      <c r="F84" s="6391"/>
      <c r="G84" s="6392"/>
      <c r="H84" s="6392"/>
      <c r="I84" s="6393"/>
      <c r="J84" s="6394"/>
      <c r="K84" s="6395">
        <v>4.7833333333333332</v>
      </c>
      <c r="L84" s="6395">
        <v>8.5500000000000007</v>
      </c>
      <c r="M84" s="6396">
        <v>34.25</v>
      </c>
    </row>
    <row r="85" spans="1:13" x14ac:dyDescent="0.25">
      <c r="A85" s="3110"/>
      <c r="B85" s="6397"/>
      <c r="C85" s="6398"/>
    </row>
    <row r="86" spans="1:13" ht="15" hidden="1" customHeight="1" thickBot="1" x14ac:dyDescent="0.3">
      <c r="A86" s="3110"/>
      <c r="B86" s="8393">
        <v>46143</v>
      </c>
      <c r="C86" s="1598"/>
      <c r="D86" s="6399" t="s">
        <v>1687</v>
      </c>
      <c r="E86" s="6399" t="s">
        <v>1688</v>
      </c>
      <c r="F86" s="6400"/>
      <c r="G86" s="6399" t="s">
        <v>1689</v>
      </c>
      <c r="H86" s="6401"/>
      <c r="I86" s="6401" t="s">
        <v>1021</v>
      </c>
      <c r="J86" s="6399"/>
      <c r="K86" s="6399" t="s">
        <v>59</v>
      </c>
      <c r="L86" s="6399" t="s">
        <v>95</v>
      </c>
      <c r="M86" s="6402" t="s">
        <v>1247</v>
      </c>
    </row>
    <row r="87" spans="1:13" ht="15" hidden="1" customHeight="1" x14ac:dyDescent="0.25">
      <c r="A87" s="3110"/>
      <c r="B87" s="8394"/>
      <c r="C87" s="6380" t="s">
        <v>1697</v>
      </c>
      <c r="D87" s="7158"/>
      <c r="E87" s="7158"/>
      <c r="F87" s="7158"/>
      <c r="G87" s="7158"/>
      <c r="H87" s="7158"/>
      <c r="I87" s="7158"/>
      <c r="J87" s="7158"/>
      <c r="K87" s="7158"/>
      <c r="L87" s="7158"/>
      <c r="M87" s="6403"/>
    </row>
    <row r="88" spans="1:13" ht="15" hidden="1" customHeight="1" x14ac:dyDescent="0.25">
      <c r="A88" s="3110"/>
      <c r="B88" s="8394"/>
      <c r="C88" s="7151" t="s">
        <v>1698</v>
      </c>
      <c r="D88" s="7158"/>
      <c r="E88" s="7158"/>
      <c r="F88" s="7158"/>
      <c r="G88" s="7158"/>
      <c r="H88" s="7158"/>
      <c r="I88" s="7158"/>
      <c r="J88" s="7158"/>
      <c r="K88" s="7158"/>
      <c r="L88" s="7158"/>
      <c r="M88" s="6403"/>
    </row>
    <row r="89" spans="1:13" ht="15" hidden="1" customHeight="1" x14ac:dyDescent="0.25">
      <c r="A89" s="3110"/>
      <c r="B89" s="8394"/>
      <c r="C89" s="7151" t="s">
        <v>1699</v>
      </c>
      <c r="D89" s="7158"/>
      <c r="E89" s="7158"/>
      <c r="F89" s="7158"/>
      <c r="G89" s="7158"/>
      <c r="H89" s="7158"/>
      <c r="I89" s="7158"/>
      <c r="J89" s="7158"/>
      <c r="K89" s="7158"/>
      <c r="L89" s="7158"/>
      <c r="M89" s="6403"/>
    </row>
    <row r="90" spans="1:13" ht="15" hidden="1" customHeight="1" x14ac:dyDescent="0.25">
      <c r="A90" s="3110"/>
      <c r="B90" s="8394"/>
      <c r="C90" s="7151" t="s">
        <v>442</v>
      </c>
      <c r="D90" s="7158"/>
      <c r="E90" s="7158"/>
      <c r="F90" s="7158"/>
      <c r="G90" s="7158"/>
      <c r="H90" s="7158"/>
      <c r="I90" s="7158"/>
      <c r="J90" s="7158"/>
      <c r="K90" s="7158"/>
      <c r="L90" s="7158"/>
      <c r="M90" s="6403"/>
    </row>
    <row r="91" spans="1:13" ht="15" hidden="1" customHeight="1" x14ac:dyDescent="0.25">
      <c r="A91" s="3110"/>
      <c r="B91" s="8394"/>
      <c r="C91" s="7151" t="s">
        <v>1700</v>
      </c>
      <c r="D91" s="7158"/>
      <c r="E91" s="7158"/>
      <c r="F91" s="7158"/>
      <c r="G91" s="7158"/>
      <c r="H91" s="7158"/>
      <c r="I91" s="7158"/>
      <c r="J91" s="7158"/>
      <c r="K91" s="7158"/>
      <c r="L91" s="7158"/>
      <c r="M91" s="6403"/>
    </row>
    <row r="92" spans="1:13" ht="15" hidden="1" customHeight="1" x14ac:dyDescent="0.25">
      <c r="A92" s="3110"/>
      <c r="B92" s="8394"/>
      <c r="C92" s="7151" t="s">
        <v>1701</v>
      </c>
      <c r="D92" s="7158"/>
      <c r="E92" s="7158"/>
      <c r="F92" s="7158"/>
      <c r="G92" s="7158"/>
      <c r="H92" s="7158"/>
      <c r="I92" s="7158"/>
      <c r="J92" s="7158"/>
      <c r="K92" s="7158"/>
      <c r="L92" s="7158"/>
      <c r="M92" s="6403"/>
    </row>
    <row r="93" spans="1:13" ht="15" hidden="1" customHeight="1" x14ac:dyDescent="0.25">
      <c r="A93" s="3110"/>
      <c r="B93" s="8394"/>
      <c r="C93" s="7151" t="s">
        <v>1702</v>
      </c>
      <c r="D93" s="7158"/>
      <c r="E93" s="7158"/>
      <c r="F93" s="7158"/>
      <c r="G93" s="7158"/>
      <c r="H93" s="7158"/>
      <c r="I93" s="7158"/>
      <c r="J93" s="7158"/>
      <c r="K93" s="7158"/>
      <c r="L93" s="7158"/>
      <c r="M93" s="6403"/>
    </row>
    <row r="94" spans="1:13" ht="15" hidden="1" customHeight="1" x14ac:dyDescent="0.25">
      <c r="A94" s="3110"/>
      <c r="B94" s="8394"/>
      <c r="C94" s="7151" t="s">
        <v>1703</v>
      </c>
      <c r="D94" s="7158"/>
      <c r="E94" s="7158"/>
      <c r="F94" s="7158"/>
      <c r="G94" s="7158"/>
      <c r="H94" s="7158"/>
      <c r="I94" s="7158"/>
      <c r="J94" s="7158"/>
      <c r="K94" s="7158"/>
      <c r="L94" s="7158"/>
      <c r="M94" s="6403"/>
    </row>
    <row r="95" spans="1:13" ht="15" hidden="1" customHeight="1" x14ac:dyDescent="0.25">
      <c r="A95" s="3110"/>
      <c r="B95" s="8394"/>
      <c r="C95" s="7151" t="s">
        <v>1704</v>
      </c>
      <c r="D95" s="7158"/>
      <c r="E95" s="7158"/>
      <c r="F95" s="7158"/>
      <c r="G95" s="7158"/>
      <c r="H95" s="7158"/>
      <c r="I95" s="7158"/>
      <c r="J95" s="7158"/>
      <c r="K95" s="7158"/>
      <c r="L95" s="7158"/>
      <c r="M95" s="6403"/>
    </row>
    <row r="96" spans="1:13" ht="28.5" hidden="1" x14ac:dyDescent="0.25">
      <c r="A96" s="3110"/>
      <c r="B96" s="8394"/>
      <c r="C96" s="7151" t="s">
        <v>1710</v>
      </c>
      <c r="D96" s="7158"/>
      <c r="E96" s="7158"/>
      <c r="F96" s="7158"/>
      <c r="G96" s="7158"/>
      <c r="H96" s="7158"/>
      <c r="I96" s="7158"/>
      <c r="J96" s="7158"/>
      <c r="K96" s="7158"/>
      <c r="L96" s="7158"/>
      <c r="M96" s="6403"/>
    </row>
    <row r="97" spans="1:13" ht="15" hidden="1" customHeight="1" x14ac:dyDescent="0.25">
      <c r="A97" s="3110"/>
      <c r="B97" s="8394"/>
      <c r="C97" s="7151" t="s">
        <v>1705</v>
      </c>
      <c r="D97" s="7158"/>
      <c r="E97" s="7158"/>
      <c r="F97" s="7158"/>
      <c r="G97" s="7158"/>
      <c r="H97" s="7158"/>
      <c r="I97" s="7158"/>
      <c r="J97" s="7158"/>
      <c r="K97" s="7158"/>
      <c r="L97" s="7158"/>
      <c r="M97" s="6403"/>
    </row>
    <row r="98" spans="1:13" ht="15" hidden="1" customHeight="1" x14ac:dyDescent="0.25">
      <c r="A98" s="3110"/>
      <c r="B98" s="8394"/>
      <c r="C98" s="7151" t="s">
        <v>1706</v>
      </c>
      <c r="D98" s="7158"/>
      <c r="E98" s="7158"/>
      <c r="F98" s="7158"/>
      <c r="G98" s="7158"/>
      <c r="H98" s="7158"/>
      <c r="I98" s="7158"/>
      <c r="J98" s="7158"/>
      <c r="K98" s="7158"/>
      <c r="L98" s="7158"/>
      <c r="M98" s="6403"/>
    </row>
    <row r="99" spans="1:13" ht="15" hidden="1" customHeight="1" x14ac:dyDescent="0.25">
      <c r="A99" s="3110"/>
      <c r="B99" s="8394"/>
      <c r="C99" s="7151" t="s">
        <v>1707</v>
      </c>
      <c r="D99" s="7158"/>
      <c r="E99" s="7158"/>
      <c r="F99" s="7158"/>
      <c r="G99" s="7158"/>
      <c r="H99" s="7158"/>
      <c r="I99" s="7158"/>
      <c r="J99" s="7158"/>
      <c r="K99" s="7158"/>
      <c r="L99" s="7158"/>
      <c r="M99" s="6403"/>
    </row>
    <row r="100" spans="1:13" ht="15" hidden="1" customHeight="1" x14ac:dyDescent="0.25">
      <c r="A100" s="3110"/>
      <c r="B100" s="8394"/>
      <c r="C100" s="7151" t="s">
        <v>1708</v>
      </c>
      <c r="D100" s="7158"/>
      <c r="E100" s="7158"/>
      <c r="F100" s="7158"/>
      <c r="G100" s="7158"/>
      <c r="H100" s="7158"/>
      <c r="I100" s="7158"/>
      <c r="J100" s="7158"/>
      <c r="K100" s="7158"/>
      <c r="L100" s="7158"/>
      <c r="M100" s="6403"/>
    </row>
    <row r="101" spans="1:13" ht="15" hidden="1" customHeight="1" x14ac:dyDescent="0.25">
      <c r="A101" s="3110"/>
      <c r="B101" s="8394"/>
      <c r="C101" s="7151" t="s">
        <v>1841</v>
      </c>
      <c r="D101" s="7160"/>
      <c r="E101" s="7160"/>
      <c r="F101" s="7160"/>
      <c r="G101" s="7160"/>
      <c r="H101" s="7160"/>
      <c r="I101" s="7160"/>
      <c r="J101" s="7160"/>
      <c r="K101" s="7160"/>
      <c r="L101" s="7160"/>
      <c r="M101" s="6405"/>
    </row>
    <row r="102" spans="1:13" ht="15" hidden="1" customHeight="1" x14ac:dyDescent="0.25">
      <c r="A102" s="3110"/>
      <c r="B102" s="8394"/>
      <c r="C102" s="7151" t="s">
        <v>82</v>
      </c>
      <c r="D102" s="7158"/>
      <c r="E102" s="7158"/>
      <c r="F102" s="7158"/>
      <c r="G102" s="7158"/>
      <c r="H102" s="7158"/>
      <c r="I102" s="7158"/>
      <c r="J102" s="7158"/>
      <c r="K102" s="7158"/>
      <c r="L102" s="7158"/>
      <c r="M102" s="6403"/>
    </row>
    <row r="103" spans="1:13" ht="15" hidden="1" customHeight="1" x14ac:dyDescent="0.25">
      <c r="A103" s="3110"/>
      <c r="B103" s="8394"/>
      <c r="C103" s="7151" t="s">
        <v>1709</v>
      </c>
      <c r="D103" s="7158"/>
      <c r="E103" s="7158"/>
      <c r="F103" s="7158"/>
      <c r="G103" s="7158"/>
      <c r="H103" s="7158"/>
      <c r="I103" s="7158"/>
      <c r="J103" s="7158"/>
      <c r="K103" s="7158"/>
      <c r="L103" s="7158"/>
      <c r="M103" s="6403"/>
    </row>
    <row r="104" spans="1:13" ht="15" hidden="1" customHeight="1" x14ac:dyDescent="0.25">
      <c r="A104" s="3110"/>
      <c r="B104" s="8394"/>
      <c r="C104" s="7151" t="s">
        <v>100</v>
      </c>
      <c r="D104" s="7158"/>
      <c r="E104" s="7158"/>
      <c r="F104" s="7158"/>
      <c r="G104" s="7158"/>
      <c r="H104" s="7158"/>
      <c r="I104" s="7158"/>
      <c r="J104" s="7158"/>
      <c r="K104" s="7158"/>
      <c r="L104" s="7158"/>
      <c r="M104" s="6403"/>
    </row>
    <row r="105" spans="1:13" ht="15" hidden="1" customHeight="1" x14ac:dyDescent="0.25">
      <c r="A105" s="3110"/>
      <c r="B105" s="8394"/>
      <c r="C105" s="7151" t="s">
        <v>58</v>
      </c>
      <c r="D105" s="7158"/>
      <c r="E105" s="7158"/>
      <c r="F105" s="7158"/>
      <c r="G105" s="7158"/>
      <c r="H105" s="7158"/>
      <c r="I105" s="7158"/>
      <c r="J105" s="7158"/>
      <c r="K105" s="7158"/>
      <c r="L105" s="7158"/>
      <c r="M105" s="6403"/>
    </row>
    <row r="106" spans="1:13" ht="15.75" hidden="1" customHeight="1" thickBot="1" x14ac:dyDescent="0.3">
      <c r="A106" s="3110"/>
      <c r="B106" s="8395"/>
      <c r="C106" s="6389" t="s">
        <v>2182</v>
      </c>
      <c r="D106" s="6406"/>
      <c r="E106" s="6406"/>
      <c r="F106" s="6406"/>
      <c r="G106" s="6406"/>
      <c r="H106" s="6406"/>
      <c r="I106" s="6406"/>
      <c r="J106" s="6406"/>
      <c r="K106" s="6406"/>
      <c r="L106" s="6406"/>
      <c r="M106" s="6407"/>
    </row>
    <row r="107" spans="1:13" ht="15" hidden="1" customHeight="1" thickBot="1" x14ac:dyDescent="0.3">
      <c r="A107" s="3110"/>
      <c r="B107" s="8393">
        <v>46174</v>
      </c>
      <c r="C107" s="1598"/>
      <c r="D107" s="6399" t="s">
        <v>1687</v>
      </c>
      <c r="E107" s="6399" t="s">
        <v>1688</v>
      </c>
      <c r="F107" s="6400"/>
      <c r="G107" s="6408" t="s">
        <v>1689</v>
      </c>
      <c r="H107" s="6401"/>
      <c r="I107" s="6401" t="s">
        <v>1021</v>
      </c>
      <c r="J107" s="6399"/>
      <c r="K107" s="6399" t="s">
        <v>59</v>
      </c>
      <c r="L107" s="6399" t="s">
        <v>95</v>
      </c>
      <c r="M107" s="6402" t="s">
        <v>1247</v>
      </c>
    </row>
    <row r="108" spans="1:13" ht="15" hidden="1" customHeight="1" x14ac:dyDescent="0.25">
      <c r="A108" s="3110"/>
      <c r="B108" s="8394"/>
      <c r="C108" s="6380" t="s">
        <v>1697</v>
      </c>
      <c r="D108" s="7155"/>
      <c r="E108" s="7155"/>
      <c r="F108" s="7161"/>
      <c r="G108" s="7155"/>
      <c r="H108" s="7155"/>
      <c r="I108" s="7155"/>
      <c r="J108" s="7155"/>
      <c r="K108" s="7155"/>
      <c r="L108" s="7155"/>
      <c r="M108" s="6409"/>
    </row>
    <row r="109" spans="1:13" ht="15" hidden="1" customHeight="1" x14ac:dyDescent="0.25">
      <c r="A109" s="3110"/>
      <c r="B109" s="8394"/>
      <c r="C109" s="7151" t="s">
        <v>1698</v>
      </c>
      <c r="D109" s="7155"/>
      <c r="E109" s="7155"/>
      <c r="F109" s="7161"/>
      <c r="G109" s="7155"/>
      <c r="H109" s="7155"/>
      <c r="I109" s="7155"/>
      <c r="J109" s="7155"/>
      <c r="K109" s="7155"/>
      <c r="L109" s="7155"/>
      <c r="M109" s="6409"/>
    </row>
    <row r="110" spans="1:13" ht="15" hidden="1" customHeight="1" x14ac:dyDescent="0.25">
      <c r="A110" s="3110"/>
      <c r="B110" s="8394"/>
      <c r="C110" s="7151" t="s">
        <v>1699</v>
      </c>
      <c r="D110" s="7155"/>
      <c r="E110" s="7155"/>
      <c r="F110" s="7161"/>
      <c r="G110" s="7155"/>
      <c r="H110" s="7155"/>
      <c r="I110" s="7155"/>
      <c r="J110" s="7155"/>
      <c r="K110" s="7155"/>
      <c r="L110" s="7155"/>
      <c r="M110" s="6409"/>
    </row>
    <row r="111" spans="1:13" ht="15" hidden="1" customHeight="1" x14ac:dyDescent="0.25">
      <c r="A111" s="3110"/>
      <c r="B111" s="8394"/>
      <c r="C111" s="7151" t="s">
        <v>442</v>
      </c>
      <c r="D111" s="7155"/>
      <c r="E111" s="7155"/>
      <c r="F111" s="7161"/>
      <c r="G111" s="7155"/>
      <c r="H111" s="7155"/>
      <c r="I111" s="7155"/>
      <c r="J111" s="7155"/>
      <c r="K111" s="7155"/>
      <c r="L111" s="7155"/>
      <c r="M111" s="6409"/>
    </row>
    <row r="112" spans="1:13" ht="15" hidden="1" customHeight="1" x14ac:dyDescent="0.25">
      <c r="A112" s="3110"/>
      <c r="B112" s="8394"/>
      <c r="C112" s="7151" t="s">
        <v>1700</v>
      </c>
      <c r="D112" s="7155"/>
      <c r="E112" s="7155"/>
      <c r="F112" s="7161"/>
      <c r="G112" s="7155"/>
      <c r="H112" s="7155"/>
      <c r="I112" s="7155"/>
      <c r="J112" s="7155"/>
      <c r="K112" s="7155"/>
      <c r="L112" s="7155"/>
      <c r="M112" s="6409"/>
    </row>
    <row r="113" spans="1:13" ht="15" hidden="1" customHeight="1" x14ac:dyDescent="0.25">
      <c r="A113" s="3110"/>
      <c r="B113" s="8394"/>
      <c r="C113" s="7151" t="s">
        <v>1701</v>
      </c>
      <c r="D113" s="7155"/>
      <c r="E113" s="7155"/>
      <c r="F113" s="7161"/>
      <c r="G113" s="7155"/>
      <c r="H113" s="7155"/>
      <c r="I113" s="7155"/>
      <c r="J113" s="7155"/>
      <c r="K113" s="7155"/>
      <c r="L113" s="7155"/>
      <c r="M113" s="6409"/>
    </row>
    <row r="114" spans="1:13" ht="15" hidden="1" customHeight="1" x14ac:dyDescent="0.25">
      <c r="A114" s="3110"/>
      <c r="B114" s="8394"/>
      <c r="C114" s="7151" t="s">
        <v>1702</v>
      </c>
      <c r="D114" s="7155"/>
      <c r="E114" s="7155"/>
      <c r="F114" s="7161"/>
      <c r="G114" s="7155"/>
      <c r="H114" s="7155"/>
      <c r="I114" s="7155"/>
      <c r="J114" s="7155"/>
      <c r="K114" s="7155"/>
      <c r="L114" s="7155"/>
      <c r="M114" s="6409"/>
    </row>
    <row r="115" spans="1:13" ht="15" hidden="1" customHeight="1" x14ac:dyDescent="0.25">
      <c r="A115" s="3110"/>
      <c r="B115" s="8394"/>
      <c r="C115" s="7151" t="s">
        <v>1703</v>
      </c>
      <c r="D115" s="7155"/>
      <c r="E115" s="7155"/>
      <c r="F115" s="7161"/>
      <c r="G115" s="7155"/>
      <c r="H115" s="7155"/>
      <c r="I115" s="7155"/>
      <c r="J115" s="7155"/>
      <c r="K115" s="7155"/>
      <c r="L115" s="7155"/>
      <c r="M115" s="6409"/>
    </row>
    <row r="116" spans="1:13" ht="15" hidden="1" customHeight="1" x14ac:dyDescent="0.25">
      <c r="A116" s="3110"/>
      <c r="B116" s="8394"/>
      <c r="C116" s="7151" t="s">
        <v>1704</v>
      </c>
      <c r="D116" s="7155"/>
      <c r="E116" s="7155"/>
      <c r="F116" s="7161"/>
      <c r="G116" s="7155"/>
      <c r="H116" s="7155"/>
      <c r="I116" s="7155"/>
      <c r="J116" s="7155"/>
      <c r="K116" s="7155"/>
      <c r="L116" s="7155"/>
      <c r="M116" s="6409"/>
    </row>
    <row r="117" spans="1:13" ht="28.5" hidden="1" x14ac:dyDescent="0.25">
      <c r="A117" s="3110"/>
      <c r="B117" s="8394"/>
      <c r="C117" s="7151" t="s">
        <v>1710</v>
      </c>
      <c r="D117" s="7155"/>
      <c r="E117" s="7155"/>
      <c r="F117" s="7162"/>
      <c r="G117" s="7155"/>
      <c r="H117" s="7155"/>
      <c r="I117" s="7155"/>
      <c r="J117" s="7155"/>
      <c r="K117" s="7155"/>
      <c r="L117" s="7155"/>
      <c r="M117" s="6409"/>
    </row>
    <row r="118" spans="1:13" ht="15" hidden="1" customHeight="1" x14ac:dyDescent="0.25">
      <c r="A118" s="3110"/>
      <c r="B118" s="8394"/>
      <c r="C118" s="7151" t="s">
        <v>1705</v>
      </c>
      <c r="D118" s="7155"/>
      <c r="E118" s="7155"/>
      <c r="F118" s="7161"/>
      <c r="G118" s="7155"/>
      <c r="H118" s="7155"/>
      <c r="I118" s="7155"/>
      <c r="J118" s="7155"/>
      <c r="K118" s="7155"/>
      <c r="L118" s="7155"/>
      <c r="M118" s="6409"/>
    </row>
    <row r="119" spans="1:13" ht="15" hidden="1" customHeight="1" x14ac:dyDescent="0.25">
      <c r="A119" s="3110"/>
      <c r="B119" s="8394"/>
      <c r="C119" s="7151" t="s">
        <v>1706</v>
      </c>
      <c r="D119" s="7155"/>
      <c r="E119" s="7155"/>
      <c r="F119" s="7161"/>
      <c r="G119" s="7155"/>
      <c r="H119" s="7155"/>
      <c r="I119" s="7155"/>
      <c r="J119" s="7155"/>
      <c r="K119" s="7155"/>
      <c r="L119" s="7155"/>
      <c r="M119" s="6409"/>
    </row>
    <row r="120" spans="1:13" ht="15" hidden="1" customHeight="1" x14ac:dyDescent="0.25">
      <c r="A120" s="3110"/>
      <c r="B120" s="8394"/>
      <c r="C120" s="7151" t="s">
        <v>1707</v>
      </c>
      <c r="D120" s="7155"/>
      <c r="E120" s="7155"/>
      <c r="F120" s="7161"/>
      <c r="G120" s="7155"/>
      <c r="H120" s="7155"/>
      <c r="I120" s="7155"/>
      <c r="J120" s="7155"/>
      <c r="K120" s="7155"/>
      <c r="L120" s="7155"/>
      <c r="M120" s="6409"/>
    </row>
    <row r="121" spans="1:13" ht="15" hidden="1" customHeight="1" x14ac:dyDescent="0.25">
      <c r="A121" s="3110"/>
      <c r="B121" s="8394"/>
      <c r="C121" s="7151" t="s">
        <v>1708</v>
      </c>
      <c r="D121" s="7155"/>
      <c r="E121" s="7155"/>
      <c r="F121" s="7161"/>
      <c r="G121" s="7155"/>
      <c r="H121" s="7155"/>
      <c r="I121" s="7155"/>
      <c r="J121" s="7155"/>
      <c r="K121" s="7155"/>
      <c r="L121" s="7155"/>
      <c r="M121" s="6409"/>
    </row>
    <row r="122" spans="1:13" ht="15" hidden="1" customHeight="1" x14ac:dyDescent="0.25">
      <c r="A122" s="3110"/>
      <c r="B122" s="8394"/>
      <c r="C122" s="7151" t="s">
        <v>1841</v>
      </c>
      <c r="D122" s="7155"/>
      <c r="E122" s="7155"/>
      <c r="F122" s="7161"/>
      <c r="G122" s="7155"/>
      <c r="H122" s="7155"/>
      <c r="I122" s="7155"/>
      <c r="J122" s="7155"/>
      <c r="K122" s="7155"/>
      <c r="L122" s="7155"/>
      <c r="M122" s="6409"/>
    </row>
    <row r="123" spans="1:13" ht="15" hidden="1" customHeight="1" x14ac:dyDescent="0.25">
      <c r="A123" s="3110"/>
      <c r="B123" s="8394"/>
      <c r="C123" s="7151" t="s">
        <v>82</v>
      </c>
      <c r="D123" s="7155"/>
      <c r="E123" s="7155"/>
      <c r="F123" s="7161"/>
      <c r="G123" s="7155"/>
      <c r="H123" s="7155"/>
      <c r="I123" s="7155"/>
      <c r="J123" s="7155"/>
      <c r="K123" s="7155"/>
      <c r="L123" s="7155"/>
      <c r="M123" s="6409"/>
    </row>
    <row r="124" spans="1:13" ht="15" hidden="1" customHeight="1" x14ac:dyDescent="0.25">
      <c r="A124" s="3110"/>
      <c r="B124" s="8394"/>
      <c r="C124" s="7151" t="s">
        <v>1709</v>
      </c>
      <c r="D124" s="7155"/>
      <c r="E124" s="7155"/>
      <c r="F124" s="7161"/>
      <c r="G124" s="7155"/>
      <c r="H124" s="7155"/>
      <c r="I124" s="7155"/>
      <c r="J124" s="7155"/>
      <c r="K124" s="7155"/>
      <c r="L124" s="7155"/>
      <c r="M124" s="6409"/>
    </row>
    <row r="125" spans="1:13" ht="15" hidden="1" customHeight="1" x14ac:dyDescent="0.25">
      <c r="A125" s="3110"/>
      <c r="B125" s="8394"/>
      <c r="C125" s="7151" t="s">
        <v>100</v>
      </c>
      <c r="D125" s="7155"/>
      <c r="E125" s="7155"/>
      <c r="F125" s="7161"/>
      <c r="G125" s="7155"/>
      <c r="H125" s="7155"/>
      <c r="I125" s="7155"/>
      <c r="J125" s="7155"/>
      <c r="K125" s="7155"/>
      <c r="L125" s="7155"/>
      <c r="M125" s="6409"/>
    </row>
    <row r="126" spans="1:13" ht="15" hidden="1" customHeight="1" x14ac:dyDescent="0.25">
      <c r="A126" s="3110"/>
      <c r="B126" s="8394"/>
      <c r="C126" s="7151" t="s">
        <v>58</v>
      </c>
      <c r="D126" s="7155"/>
      <c r="E126" s="7155"/>
      <c r="F126" s="7161"/>
      <c r="G126" s="7155"/>
      <c r="H126" s="7155"/>
      <c r="I126" s="7155"/>
      <c r="J126" s="7155"/>
      <c r="K126" s="7155"/>
      <c r="L126" s="7155"/>
      <c r="M126" s="6409"/>
    </row>
    <row r="127" spans="1:13" ht="15.75" hidden="1" customHeight="1" thickBot="1" x14ac:dyDescent="0.3">
      <c r="A127" s="3110"/>
      <c r="B127" s="8395"/>
      <c r="C127" s="6389" t="s">
        <v>2182</v>
      </c>
      <c r="D127" s="6393"/>
      <c r="E127" s="6393"/>
      <c r="F127" s="6410"/>
      <c r="G127" s="6410"/>
      <c r="H127" s="6410"/>
      <c r="I127" s="6393"/>
      <c r="J127" s="6410"/>
      <c r="K127" s="6393"/>
      <c r="L127" s="6393"/>
      <c r="M127" s="6411"/>
    </row>
    <row r="128" spans="1:13" ht="15" hidden="1" customHeight="1" x14ac:dyDescent="0.25">
      <c r="A128" s="3110"/>
      <c r="B128" s="8396">
        <v>46204</v>
      </c>
      <c r="C128" s="6412" t="s">
        <v>1686</v>
      </c>
      <c r="D128" s="6413" t="s">
        <v>1686</v>
      </c>
      <c r="E128" s="1037"/>
      <c r="F128" s="1037"/>
      <c r="G128" s="1037"/>
      <c r="H128" s="1037"/>
      <c r="I128" s="1037"/>
      <c r="J128" s="1037"/>
      <c r="K128" s="1037"/>
      <c r="L128" s="6413" t="s">
        <v>1686</v>
      </c>
      <c r="M128" s="6414"/>
    </row>
    <row r="129" spans="1:13" ht="15" hidden="1" customHeight="1" thickBot="1" x14ac:dyDescent="0.3">
      <c r="A129" s="3110"/>
      <c r="B129" s="8397"/>
      <c r="C129" s="7695"/>
      <c r="D129" s="7120" t="s">
        <v>1687</v>
      </c>
      <c r="E129" s="7120" t="s">
        <v>1688</v>
      </c>
      <c r="F129" s="7120"/>
      <c r="G129" s="7120" t="s">
        <v>1689</v>
      </c>
      <c r="H129" s="7120"/>
      <c r="I129" s="7120" t="s">
        <v>1021</v>
      </c>
      <c r="J129" s="7120"/>
      <c r="K129" s="7120" t="s">
        <v>59</v>
      </c>
      <c r="L129" s="7120" t="s">
        <v>95</v>
      </c>
      <c r="M129" s="6415" t="s">
        <v>1247</v>
      </c>
    </row>
    <row r="130" spans="1:13" ht="15" hidden="1" customHeight="1" x14ac:dyDescent="0.25">
      <c r="A130" s="3110"/>
      <c r="B130" s="8397"/>
      <c r="C130" s="6380" t="s">
        <v>1697</v>
      </c>
      <c r="D130" s="7155"/>
      <c r="E130" s="7155"/>
      <c r="F130" s="7155"/>
      <c r="G130" s="7155"/>
      <c r="H130" s="7155"/>
      <c r="I130" s="7155"/>
      <c r="J130" s="7163"/>
      <c r="K130" s="7164"/>
      <c r="L130" s="7164"/>
      <c r="M130" s="6416"/>
    </row>
    <row r="131" spans="1:13" ht="15" hidden="1" customHeight="1" x14ac:dyDescent="0.25">
      <c r="A131" s="3110"/>
      <c r="B131" s="8397"/>
      <c r="C131" s="7151" t="s">
        <v>1698</v>
      </c>
      <c r="D131" s="7155"/>
      <c r="E131" s="7155"/>
      <c r="F131" s="7155"/>
      <c r="G131" s="7155"/>
      <c r="H131" s="7155"/>
      <c r="I131" s="7155"/>
      <c r="J131" s="7163"/>
      <c r="K131" s="7164"/>
      <c r="L131" s="7164"/>
      <c r="M131" s="6416"/>
    </row>
    <row r="132" spans="1:13" ht="15" hidden="1" customHeight="1" x14ac:dyDescent="0.25">
      <c r="A132" s="3110"/>
      <c r="B132" s="8397"/>
      <c r="C132" s="7151" t="s">
        <v>1699</v>
      </c>
      <c r="D132" s="7155"/>
      <c r="E132" s="7155"/>
      <c r="F132" s="7155"/>
      <c r="G132" s="7155"/>
      <c r="H132" s="7155"/>
      <c r="I132" s="7155"/>
      <c r="J132" s="7163"/>
      <c r="K132" s="7164"/>
      <c r="L132" s="7164"/>
      <c r="M132" s="6416"/>
    </row>
    <row r="133" spans="1:13" ht="15" hidden="1" customHeight="1" x14ac:dyDescent="0.25">
      <c r="A133" s="3110"/>
      <c r="B133" s="8397"/>
      <c r="C133" s="7151" t="s">
        <v>442</v>
      </c>
      <c r="D133" s="7155"/>
      <c r="E133" s="7155"/>
      <c r="F133" s="7155"/>
      <c r="G133" s="7155"/>
      <c r="H133" s="7155"/>
      <c r="I133" s="7155"/>
      <c r="J133" s="7163"/>
      <c r="K133" s="7164"/>
      <c r="L133" s="7164"/>
      <c r="M133" s="6416"/>
    </row>
    <row r="134" spans="1:13" ht="15" hidden="1" customHeight="1" x14ac:dyDescent="0.25">
      <c r="A134" s="3110"/>
      <c r="B134" s="8397"/>
      <c r="C134" s="7151" t="s">
        <v>1700</v>
      </c>
      <c r="D134" s="7155"/>
      <c r="E134" s="7155"/>
      <c r="F134" s="7155"/>
      <c r="G134" s="7155"/>
      <c r="H134" s="7155"/>
      <c r="I134" s="7155"/>
      <c r="J134" s="7163"/>
      <c r="K134" s="7164"/>
      <c r="L134" s="7164"/>
      <c r="M134" s="6416"/>
    </row>
    <row r="135" spans="1:13" ht="15" hidden="1" customHeight="1" x14ac:dyDescent="0.25">
      <c r="A135" s="3110"/>
      <c r="B135" s="8397"/>
      <c r="C135" s="7151" t="s">
        <v>1701</v>
      </c>
      <c r="D135" s="7155"/>
      <c r="E135" s="7155"/>
      <c r="F135" s="7155"/>
      <c r="G135" s="7155"/>
      <c r="H135" s="7155"/>
      <c r="I135" s="7145"/>
      <c r="J135" s="7163"/>
      <c r="K135" s="7164"/>
      <c r="L135" s="7164"/>
      <c r="M135" s="6416"/>
    </row>
    <row r="136" spans="1:13" ht="15" hidden="1" customHeight="1" x14ac:dyDescent="0.25">
      <c r="A136" s="3110"/>
      <c r="B136" s="8397"/>
      <c r="C136" s="7151" t="s">
        <v>1702</v>
      </c>
      <c r="D136" s="7155"/>
      <c r="E136" s="7155"/>
      <c r="F136" s="7155"/>
      <c r="G136" s="7155"/>
      <c r="H136" s="7155"/>
      <c r="I136" s="7145"/>
      <c r="J136" s="7163"/>
      <c r="K136" s="7164"/>
      <c r="L136" s="7164"/>
      <c r="M136" s="6416"/>
    </row>
    <row r="137" spans="1:13" ht="15" hidden="1" customHeight="1" x14ac:dyDescent="0.25">
      <c r="A137" s="3110"/>
      <c r="B137" s="8397"/>
      <c r="C137" s="7151" t="s">
        <v>1703</v>
      </c>
      <c r="D137" s="7155"/>
      <c r="E137" s="7155"/>
      <c r="F137" s="7155"/>
      <c r="G137" s="7155"/>
      <c r="H137" s="7155"/>
      <c r="I137" s="7145"/>
      <c r="J137" s="7163"/>
      <c r="K137" s="7165"/>
      <c r="L137" s="7165"/>
      <c r="M137" s="6417"/>
    </row>
    <row r="138" spans="1:13" ht="15" hidden="1" customHeight="1" x14ac:dyDescent="0.25">
      <c r="A138" s="3110"/>
      <c r="B138" s="8397"/>
      <c r="C138" s="7151" t="s">
        <v>1704</v>
      </c>
      <c r="D138" s="7155"/>
      <c r="E138" s="7155"/>
      <c r="F138" s="7155"/>
      <c r="G138" s="7155"/>
      <c r="H138" s="7155"/>
      <c r="I138" s="7145"/>
      <c r="J138" s="7163"/>
      <c r="K138" s="7165"/>
      <c r="L138" s="7165"/>
      <c r="M138" s="6417"/>
    </row>
    <row r="139" spans="1:13" ht="28.5" hidden="1" x14ac:dyDescent="0.25">
      <c r="A139" s="3110"/>
      <c r="B139" s="8397"/>
      <c r="C139" s="7151" t="s">
        <v>1710</v>
      </c>
      <c r="D139" s="7155"/>
      <c r="E139" s="7155"/>
      <c r="F139" s="7155"/>
      <c r="G139" s="7155"/>
      <c r="H139" s="7155"/>
      <c r="I139" s="7145"/>
      <c r="J139" s="7163"/>
      <c r="K139" s="7165"/>
      <c r="L139" s="7165"/>
      <c r="M139" s="6417"/>
    </row>
    <row r="140" spans="1:13" ht="15" hidden="1" customHeight="1" x14ac:dyDescent="0.25">
      <c r="A140" s="3110"/>
      <c r="B140" s="8397"/>
      <c r="C140" s="7151" t="s">
        <v>1705</v>
      </c>
      <c r="D140" s="7155"/>
      <c r="E140" s="7155"/>
      <c r="F140" s="7155"/>
      <c r="G140" s="7155"/>
      <c r="H140" s="7155"/>
      <c r="I140" s="7145"/>
      <c r="J140" s="7163"/>
      <c r="K140" s="7165"/>
      <c r="L140" s="7165"/>
      <c r="M140" s="6417"/>
    </row>
    <row r="141" spans="1:13" ht="15" hidden="1" customHeight="1" x14ac:dyDescent="0.25">
      <c r="A141" s="3110"/>
      <c r="B141" s="8397"/>
      <c r="C141" s="7151" t="s">
        <v>1706</v>
      </c>
      <c r="D141" s="7155"/>
      <c r="E141" s="7155"/>
      <c r="F141" s="7155"/>
      <c r="G141" s="7155"/>
      <c r="H141" s="7155"/>
      <c r="I141" s="7145"/>
      <c r="J141" s="7163"/>
      <c r="K141" s="7165"/>
      <c r="L141" s="7165"/>
      <c r="M141" s="6417"/>
    </row>
    <row r="142" spans="1:13" ht="15" hidden="1" customHeight="1" x14ac:dyDescent="0.25">
      <c r="A142" s="3110"/>
      <c r="B142" s="8397"/>
      <c r="C142" s="7151" t="s">
        <v>1707</v>
      </c>
      <c r="D142" s="7155"/>
      <c r="E142" s="7155"/>
      <c r="F142" s="7155"/>
      <c r="G142" s="7155"/>
      <c r="H142" s="7155"/>
      <c r="I142" s="7145"/>
      <c r="J142" s="7163"/>
      <c r="K142" s="7165"/>
      <c r="L142" s="7165"/>
      <c r="M142" s="6417"/>
    </row>
    <row r="143" spans="1:13" ht="15" hidden="1" customHeight="1" x14ac:dyDescent="0.25">
      <c r="A143" s="3110"/>
      <c r="B143" s="8397"/>
      <c r="C143" s="7151" t="s">
        <v>1708</v>
      </c>
      <c r="D143" s="7155"/>
      <c r="E143" s="7155"/>
      <c r="F143" s="7155"/>
      <c r="G143" s="7155"/>
      <c r="H143" s="7155"/>
      <c r="I143" s="7145"/>
      <c r="J143" s="7163"/>
      <c r="K143" s="7165"/>
      <c r="L143" s="7165"/>
      <c r="M143" s="6417"/>
    </row>
    <row r="144" spans="1:13" ht="15" hidden="1" customHeight="1" x14ac:dyDescent="0.25">
      <c r="A144" s="3110"/>
      <c r="B144" s="8397"/>
      <c r="C144" s="7151" t="s">
        <v>1841</v>
      </c>
      <c r="D144" s="7155"/>
      <c r="E144" s="7155"/>
      <c r="F144" s="7155"/>
      <c r="G144" s="7155"/>
      <c r="H144" s="7155"/>
      <c r="I144" s="7145"/>
      <c r="J144" s="7163"/>
      <c r="K144" s="7165"/>
      <c r="L144" s="7165"/>
      <c r="M144" s="6417"/>
    </row>
    <row r="145" spans="1:13" ht="15" hidden="1" customHeight="1" x14ac:dyDescent="0.25">
      <c r="A145" s="3110"/>
      <c r="B145" s="8397"/>
      <c r="C145" s="7151" t="s">
        <v>82</v>
      </c>
      <c r="D145" s="7155"/>
      <c r="E145" s="7155"/>
      <c r="F145" s="7155"/>
      <c r="G145" s="7155"/>
      <c r="H145" s="7155"/>
      <c r="I145" s="7145"/>
      <c r="J145" s="7163"/>
      <c r="K145" s="7165"/>
      <c r="L145" s="7165"/>
      <c r="M145" s="6417"/>
    </row>
    <row r="146" spans="1:13" ht="15" hidden="1" customHeight="1" x14ac:dyDescent="0.25">
      <c r="A146" s="3110"/>
      <c r="B146" s="8397"/>
      <c r="C146" s="7151" t="s">
        <v>1709</v>
      </c>
      <c r="D146" s="7155"/>
      <c r="E146" s="7155"/>
      <c r="F146" s="7155"/>
      <c r="G146" s="7155"/>
      <c r="H146" s="7155"/>
      <c r="I146" s="7145"/>
      <c r="J146" s="7163"/>
      <c r="K146" s="7165"/>
      <c r="L146" s="7165"/>
      <c r="M146" s="6417"/>
    </row>
    <row r="147" spans="1:13" ht="15" hidden="1" customHeight="1" x14ac:dyDescent="0.25">
      <c r="A147" s="3110"/>
      <c r="B147" s="8397"/>
      <c r="C147" s="7151" t="s">
        <v>100</v>
      </c>
      <c r="D147" s="7155"/>
      <c r="E147" s="7155"/>
      <c r="F147" s="7155"/>
      <c r="G147" s="7155"/>
      <c r="H147" s="7155"/>
      <c r="I147" s="7145"/>
      <c r="J147" s="7163"/>
      <c r="K147" s="7165"/>
      <c r="L147" s="7165"/>
      <c r="M147" s="6417"/>
    </row>
    <row r="148" spans="1:13" ht="15" hidden="1" customHeight="1" x14ac:dyDescent="0.25">
      <c r="A148" s="3110"/>
      <c r="B148" s="8397"/>
      <c r="C148" s="7151" t="s">
        <v>58</v>
      </c>
      <c r="D148" s="7166"/>
      <c r="E148" s="7166"/>
      <c r="F148" s="7166"/>
      <c r="G148" s="7163"/>
      <c r="H148" s="7163"/>
      <c r="I148" s="7167"/>
      <c r="J148" s="7163"/>
      <c r="K148" s="7165"/>
      <c r="L148" s="7165"/>
      <c r="M148" s="6417"/>
    </row>
    <row r="149" spans="1:13" ht="15.75" hidden="1" customHeight="1" thickBot="1" x14ac:dyDescent="0.3">
      <c r="A149" s="3110"/>
      <c r="B149" s="8398"/>
      <c r="C149" s="6389" t="s">
        <v>2182</v>
      </c>
      <c r="D149" s="6418"/>
      <c r="E149" s="6418"/>
      <c r="F149" s="6418"/>
      <c r="G149" s="6419"/>
      <c r="H149" s="6419"/>
      <c r="I149" s="6420"/>
      <c r="J149" s="6419"/>
      <c r="K149" s="6421"/>
      <c r="L149" s="6421"/>
      <c r="M149" s="6422"/>
    </row>
    <row r="150" spans="1:13" ht="15" hidden="1" customHeight="1" x14ac:dyDescent="0.25">
      <c r="B150" s="8399">
        <v>46235</v>
      </c>
      <c r="C150" s="6423" t="s">
        <v>1686</v>
      </c>
      <c r="D150" s="6424" t="s">
        <v>1686</v>
      </c>
      <c r="E150" s="6425"/>
      <c r="F150" s="6425"/>
      <c r="G150" s="6425"/>
      <c r="H150" s="6425"/>
      <c r="I150" s="6425"/>
      <c r="J150" s="6425"/>
      <c r="K150" s="6425"/>
      <c r="L150" s="6424" t="s">
        <v>1686</v>
      </c>
      <c r="M150" s="6424"/>
    </row>
    <row r="151" spans="1:13" ht="15" hidden="1" customHeight="1" thickBot="1" x14ac:dyDescent="0.3">
      <c r="B151" s="8386"/>
      <c r="C151" s="7168"/>
      <c r="D151" s="7120" t="s">
        <v>1687</v>
      </c>
      <c r="E151" s="7120" t="s">
        <v>1688</v>
      </c>
      <c r="F151" s="7120"/>
      <c r="G151" s="7120" t="s">
        <v>1689</v>
      </c>
      <c r="H151" s="7120"/>
      <c r="I151" s="7120" t="s">
        <v>1021</v>
      </c>
      <c r="J151" s="7120"/>
      <c r="K151" s="7120" t="s">
        <v>59</v>
      </c>
      <c r="L151" s="7120" t="s">
        <v>95</v>
      </c>
      <c r="M151" s="7120" t="s">
        <v>1247</v>
      </c>
    </row>
    <row r="152" spans="1:13" ht="15" hidden="1" customHeight="1" x14ac:dyDescent="0.25">
      <c r="B152" s="8386"/>
      <c r="C152" s="6380" t="s">
        <v>1697</v>
      </c>
      <c r="D152" s="7165"/>
      <c r="E152" s="7165"/>
      <c r="F152" s="7166"/>
      <c r="G152" s="7165"/>
      <c r="H152" s="7166"/>
      <c r="I152" s="7165"/>
      <c r="J152" s="7166"/>
      <c r="K152" s="7165"/>
      <c r="L152" s="7165"/>
      <c r="M152" s="7165"/>
    </row>
    <row r="153" spans="1:13" ht="15" hidden="1" customHeight="1" x14ac:dyDescent="0.25">
      <c r="B153" s="8386"/>
      <c r="C153" s="7151" t="s">
        <v>1698</v>
      </c>
      <c r="D153" s="7165"/>
      <c r="E153" s="7165"/>
      <c r="F153" s="7166"/>
      <c r="G153" s="7165"/>
      <c r="H153" s="7166"/>
      <c r="I153" s="7165"/>
      <c r="J153" s="7166"/>
      <c r="K153" s="7165"/>
      <c r="L153" s="7165"/>
      <c r="M153" s="7165"/>
    </row>
    <row r="154" spans="1:13" ht="15" hidden="1" customHeight="1" x14ac:dyDescent="0.25">
      <c r="B154" s="8386"/>
      <c r="C154" s="7151" t="s">
        <v>1699</v>
      </c>
      <c r="D154" s="7165"/>
      <c r="E154" s="7165"/>
      <c r="F154" s="7166"/>
      <c r="G154" s="7165"/>
      <c r="H154" s="7166"/>
      <c r="I154" s="7165"/>
      <c r="J154" s="7166"/>
      <c r="K154" s="7165"/>
      <c r="L154" s="7165"/>
      <c r="M154" s="7165"/>
    </row>
    <row r="155" spans="1:13" ht="15" hidden="1" customHeight="1" x14ac:dyDescent="0.25">
      <c r="B155" s="8386"/>
      <c r="C155" s="7151" t="s">
        <v>442</v>
      </c>
      <c r="D155" s="7165"/>
      <c r="E155" s="7165"/>
      <c r="F155" s="7166"/>
      <c r="G155" s="7165"/>
      <c r="H155" s="7166"/>
      <c r="I155" s="7165"/>
      <c r="J155" s="7166"/>
      <c r="K155" s="7165"/>
      <c r="L155" s="7165"/>
      <c r="M155" s="7165"/>
    </row>
    <row r="156" spans="1:13" ht="15" hidden="1" customHeight="1" x14ac:dyDescent="0.25">
      <c r="B156" s="8386"/>
      <c r="C156" s="7151" t="s">
        <v>1700</v>
      </c>
      <c r="D156" s="7165"/>
      <c r="E156" s="7165"/>
      <c r="F156" s="7166"/>
      <c r="G156" s="7165"/>
      <c r="H156" s="7166"/>
      <c r="I156" s="7165"/>
      <c r="J156" s="7166"/>
      <c r="K156" s="7165"/>
      <c r="L156" s="7165"/>
      <c r="M156" s="7165"/>
    </row>
    <row r="157" spans="1:13" ht="15" hidden="1" customHeight="1" x14ac:dyDescent="0.25">
      <c r="B157" s="8386"/>
      <c r="C157" s="7151" t="s">
        <v>1701</v>
      </c>
      <c r="D157" s="7169"/>
      <c r="E157" s="7169"/>
      <c r="F157" s="7166"/>
      <c r="G157" s="7165"/>
      <c r="H157" s="7166"/>
      <c r="I157" s="7165"/>
      <c r="J157" s="7166"/>
      <c r="K157" s="7165"/>
      <c r="L157" s="7165"/>
      <c r="M157" s="7165"/>
    </row>
    <row r="158" spans="1:13" ht="15" hidden="1" customHeight="1" x14ac:dyDescent="0.25">
      <c r="B158" s="8386"/>
      <c r="C158" s="7151" t="s">
        <v>1702</v>
      </c>
      <c r="D158" s="7169"/>
      <c r="E158" s="7169"/>
      <c r="F158" s="7166"/>
      <c r="G158" s="7165"/>
      <c r="H158" s="7166"/>
      <c r="I158" s="7165"/>
      <c r="J158" s="7166"/>
      <c r="K158" s="7165"/>
      <c r="L158" s="7165"/>
      <c r="M158" s="7165"/>
    </row>
    <row r="159" spans="1:13" ht="15" hidden="1" customHeight="1" x14ac:dyDescent="0.25">
      <c r="B159" s="8386"/>
      <c r="C159" s="7151" t="s">
        <v>1703</v>
      </c>
      <c r="D159" s="7169"/>
      <c r="E159" s="7169"/>
      <c r="F159" s="7166"/>
      <c r="G159" s="7166"/>
      <c r="H159" s="7166"/>
      <c r="I159" s="7165"/>
      <c r="J159" s="7166"/>
      <c r="K159" s="7165"/>
      <c r="L159" s="7165"/>
      <c r="M159" s="7165"/>
    </row>
    <row r="160" spans="1:13" ht="15" hidden="1" customHeight="1" x14ac:dyDescent="0.25">
      <c r="B160" s="8386"/>
      <c r="C160" s="7151" t="s">
        <v>1704</v>
      </c>
      <c r="D160" s="7169"/>
      <c r="E160" s="7169"/>
      <c r="F160" s="7166"/>
      <c r="G160" s="7166"/>
      <c r="H160" s="7166"/>
      <c r="I160" s="7165"/>
      <c r="J160" s="7166"/>
      <c r="K160" s="7165"/>
      <c r="L160" s="7165"/>
      <c r="M160" s="7165"/>
    </row>
    <row r="161" spans="2:13" ht="28.5" hidden="1" x14ac:dyDescent="0.25">
      <c r="B161" s="8386"/>
      <c r="C161" s="7151" t="s">
        <v>1710</v>
      </c>
      <c r="D161" s="7169"/>
      <c r="E161" s="7169"/>
      <c r="F161" s="7170"/>
      <c r="G161" s="7166"/>
      <c r="H161" s="7171"/>
      <c r="I161" s="7165"/>
      <c r="J161" s="7170"/>
      <c r="K161" s="7165"/>
      <c r="L161" s="7165"/>
      <c r="M161" s="7165"/>
    </row>
    <row r="162" spans="2:13" ht="15" hidden="1" customHeight="1" x14ac:dyDescent="0.25">
      <c r="B162" s="8386"/>
      <c r="C162" s="7151" t="s">
        <v>1705</v>
      </c>
      <c r="D162" s="7169"/>
      <c r="E162" s="7169"/>
      <c r="F162" s="7166"/>
      <c r="G162" s="7166"/>
      <c r="H162" s="7166"/>
      <c r="I162" s="7165"/>
      <c r="J162" s="7166"/>
      <c r="K162" s="7165"/>
      <c r="L162" s="7165"/>
      <c r="M162" s="7165"/>
    </row>
    <row r="163" spans="2:13" ht="15" hidden="1" customHeight="1" x14ac:dyDescent="0.25">
      <c r="B163" s="8386"/>
      <c r="C163" s="7151" t="s">
        <v>1706</v>
      </c>
      <c r="D163" s="7169"/>
      <c r="E163" s="7169"/>
      <c r="F163" s="7166"/>
      <c r="G163" s="7166"/>
      <c r="H163" s="7166"/>
      <c r="I163" s="7165"/>
      <c r="J163" s="7166"/>
      <c r="K163" s="7165"/>
      <c r="L163" s="7165"/>
      <c r="M163" s="7165"/>
    </row>
    <row r="164" spans="2:13" ht="15" hidden="1" customHeight="1" x14ac:dyDescent="0.25">
      <c r="B164" s="8386"/>
      <c r="C164" s="7151" t="s">
        <v>1707</v>
      </c>
      <c r="D164" s="7169"/>
      <c r="E164" s="7169"/>
      <c r="F164" s="7166"/>
      <c r="G164" s="7166"/>
      <c r="H164" s="7166"/>
      <c r="I164" s="7165"/>
      <c r="J164" s="7166"/>
      <c r="K164" s="7165"/>
      <c r="L164" s="7165"/>
      <c r="M164" s="7165"/>
    </row>
    <row r="165" spans="2:13" ht="15" hidden="1" customHeight="1" x14ac:dyDescent="0.25">
      <c r="B165" s="8386"/>
      <c r="C165" s="7151" t="s">
        <v>1708</v>
      </c>
      <c r="D165" s="7169"/>
      <c r="E165" s="7169"/>
      <c r="F165" s="7166"/>
      <c r="G165" s="7166"/>
      <c r="H165" s="7166"/>
      <c r="I165" s="7165"/>
      <c r="J165" s="7166"/>
      <c r="K165" s="7165"/>
      <c r="L165" s="7165"/>
      <c r="M165" s="7165"/>
    </row>
    <row r="166" spans="2:13" ht="15" hidden="1" customHeight="1" x14ac:dyDescent="0.25">
      <c r="B166" s="8386"/>
      <c r="C166" s="7151" t="s">
        <v>1841</v>
      </c>
      <c r="D166" s="7169"/>
      <c r="E166" s="7169"/>
      <c r="F166" s="7166"/>
      <c r="G166" s="7166"/>
      <c r="H166" s="7166"/>
      <c r="I166" s="7165"/>
      <c r="J166" s="7166"/>
      <c r="K166" s="7165"/>
      <c r="L166" s="7165"/>
      <c r="M166" s="7165"/>
    </row>
    <row r="167" spans="2:13" ht="15" hidden="1" customHeight="1" x14ac:dyDescent="0.25">
      <c r="B167" s="8386"/>
      <c r="C167" s="7151" t="s">
        <v>82</v>
      </c>
      <c r="D167" s="7165"/>
      <c r="E167" s="7165"/>
      <c r="F167" s="7166"/>
      <c r="G167" s="7166"/>
      <c r="H167" s="7166"/>
      <c r="I167" s="7165"/>
      <c r="J167" s="7166"/>
      <c r="K167" s="7166"/>
      <c r="L167" s="7166"/>
      <c r="M167" s="7166"/>
    </row>
    <row r="168" spans="2:13" ht="15" hidden="1" customHeight="1" x14ac:dyDescent="0.25">
      <c r="B168" s="8386"/>
      <c r="C168" s="7151" t="s">
        <v>1709</v>
      </c>
      <c r="D168" s="7165"/>
      <c r="E168" s="7165"/>
      <c r="F168" s="7166"/>
      <c r="G168" s="7166"/>
      <c r="H168" s="7166"/>
      <c r="I168" s="7165"/>
      <c r="J168" s="7166"/>
      <c r="K168" s="7166"/>
      <c r="L168" s="7166"/>
      <c r="M168" s="7166"/>
    </row>
    <row r="169" spans="2:13" ht="15" hidden="1" customHeight="1" x14ac:dyDescent="0.25">
      <c r="B169" s="8386"/>
      <c r="C169" s="7151" t="s">
        <v>100</v>
      </c>
      <c r="D169" s="7165"/>
      <c r="E169" s="7165"/>
      <c r="F169" s="7166"/>
      <c r="G169" s="7166"/>
      <c r="H169" s="7166"/>
      <c r="I169" s="7165"/>
      <c r="J169" s="7166"/>
      <c r="K169" s="7166"/>
      <c r="L169" s="7166"/>
      <c r="M169" s="7166"/>
    </row>
    <row r="170" spans="2:13" ht="15" hidden="1" customHeight="1" x14ac:dyDescent="0.25">
      <c r="B170" s="8386"/>
      <c r="C170" s="7151" t="s">
        <v>58</v>
      </c>
      <c r="D170" s="7165"/>
      <c r="E170" s="7165"/>
      <c r="F170" s="7166"/>
      <c r="G170" s="7166"/>
      <c r="H170" s="7166"/>
      <c r="I170" s="7165"/>
      <c r="J170" s="7166"/>
      <c r="K170" s="7166"/>
      <c r="L170" s="7166"/>
      <c r="M170" s="7166"/>
    </row>
    <row r="171" spans="2:13" ht="15.75" hidden="1" customHeight="1" thickBot="1" x14ac:dyDescent="0.3">
      <c r="B171" s="8386"/>
      <c r="C171" s="6389" t="s">
        <v>2182</v>
      </c>
      <c r="D171" s="7165"/>
      <c r="E171" s="7165"/>
      <c r="F171" s="7166"/>
      <c r="G171" s="7166"/>
      <c r="H171" s="7166"/>
      <c r="I171" s="7165"/>
      <c r="J171" s="7166"/>
      <c r="K171" s="7165"/>
      <c r="L171" s="7165"/>
      <c r="M171" s="7165"/>
    </row>
    <row r="172" spans="2:13" ht="15" hidden="1" customHeight="1" x14ac:dyDescent="0.25">
      <c r="B172" s="8386">
        <v>46266</v>
      </c>
      <c r="C172" s="7119" t="s">
        <v>1686</v>
      </c>
      <c r="D172" s="7172" t="s">
        <v>1686</v>
      </c>
      <c r="E172" s="7160"/>
      <c r="F172" s="7160"/>
      <c r="G172" s="7160"/>
      <c r="H172" s="7160"/>
      <c r="I172" s="7160"/>
      <c r="J172" s="7160"/>
      <c r="K172" s="7160"/>
      <c r="L172" s="7172" t="s">
        <v>1686</v>
      </c>
      <c r="M172" s="7172"/>
    </row>
    <row r="173" spans="2:13" ht="15" hidden="1" customHeight="1" thickBot="1" x14ac:dyDescent="0.3">
      <c r="B173" s="8386"/>
      <c r="C173" s="7168"/>
      <c r="D173" s="7120" t="s">
        <v>1687</v>
      </c>
      <c r="E173" s="7120" t="s">
        <v>1688</v>
      </c>
      <c r="F173" s="7120"/>
      <c r="G173" s="7120" t="s">
        <v>1689</v>
      </c>
      <c r="H173" s="7120"/>
      <c r="I173" s="7120" t="s">
        <v>1021</v>
      </c>
      <c r="J173" s="7120"/>
      <c r="K173" s="7120" t="s">
        <v>59</v>
      </c>
      <c r="L173" s="7120" t="s">
        <v>95</v>
      </c>
      <c r="M173" s="7120" t="s">
        <v>1247</v>
      </c>
    </row>
    <row r="174" spans="2:13" ht="15" hidden="1" customHeight="1" x14ac:dyDescent="0.25">
      <c r="B174" s="8386"/>
      <c r="C174" s="6380" t="s">
        <v>1697</v>
      </c>
      <c r="D174" s="7165"/>
      <c r="E174" s="7165"/>
      <c r="F174" s="7165"/>
      <c r="G174" s="7165"/>
      <c r="H174" s="7165"/>
      <c r="I174" s="7165"/>
      <c r="J174" s="7165"/>
      <c r="K174" s="7165"/>
      <c r="L174" s="7165"/>
      <c r="M174" s="7165"/>
    </row>
    <row r="175" spans="2:13" ht="15" hidden="1" customHeight="1" x14ac:dyDescent="0.25">
      <c r="B175" s="8386"/>
      <c r="C175" s="7151" t="s">
        <v>1698</v>
      </c>
      <c r="D175" s="7165"/>
      <c r="E175" s="7165"/>
      <c r="F175" s="7165"/>
      <c r="G175" s="7165"/>
      <c r="H175" s="7165"/>
      <c r="I175" s="7165"/>
      <c r="J175" s="7165"/>
      <c r="K175" s="7165"/>
      <c r="L175" s="7165"/>
      <c r="M175" s="7165"/>
    </row>
    <row r="176" spans="2:13" ht="15" hidden="1" customHeight="1" x14ac:dyDescent="0.25">
      <c r="B176" s="8386"/>
      <c r="C176" s="7151" t="s">
        <v>1699</v>
      </c>
      <c r="D176" s="7165"/>
      <c r="E176" s="7165"/>
      <c r="F176" s="7165"/>
      <c r="G176" s="7165"/>
      <c r="H176" s="7165"/>
      <c r="I176" s="7165"/>
      <c r="J176" s="7165"/>
      <c r="K176" s="7165"/>
      <c r="L176" s="7165"/>
      <c r="M176" s="7165"/>
    </row>
    <row r="177" spans="2:13" ht="15" hidden="1" customHeight="1" x14ac:dyDescent="0.25">
      <c r="B177" s="8386"/>
      <c r="C177" s="7151" t="s">
        <v>442</v>
      </c>
      <c r="D177" s="7165"/>
      <c r="E177" s="7165"/>
      <c r="F177" s="7165"/>
      <c r="G177" s="7165"/>
      <c r="H177" s="7165"/>
      <c r="I177" s="7165"/>
      <c r="J177" s="7165"/>
      <c r="K177" s="7165"/>
      <c r="L177" s="7165"/>
      <c r="M177" s="7165"/>
    </row>
    <row r="178" spans="2:13" ht="15" hidden="1" customHeight="1" x14ac:dyDescent="0.25">
      <c r="B178" s="8386"/>
      <c r="C178" s="7151" t="s">
        <v>1700</v>
      </c>
      <c r="D178" s="7165"/>
      <c r="E178" s="7165"/>
      <c r="F178" s="7165"/>
      <c r="G178" s="7165"/>
      <c r="H178" s="7165"/>
      <c r="I178" s="7165"/>
      <c r="J178" s="7165"/>
      <c r="K178" s="7165"/>
      <c r="L178" s="7165"/>
      <c r="M178" s="7165"/>
    </row>
    <row r="179" spans="2:13" ht="15" hidden="1" customHeight="1" x14ac:dyDescent="0.25">
      <c r="B179" s="8386"/>
      <c r="C179" s="7151" t="s">
        <v>1701</v>
      </c>
      <c r="D179" s="7165"/>
      <c r="E179" s="7165"/>
      <c r="F179" s="7165"/>
      <c r="G179" s="7165"/>
      <c r="H179" s="7165"/>
      <c r="I179" s="7165"/>
      <c r="J179" s="7165"/>
      <c r="K179" s="7165"/>
      <c r="L179" s="7165"/>
      <c r="M179" s="7165"/>
    </row>
    <row r="180" spans="2:13" ht="15" hidden="1" customHeight="1" x14ac:dyDescent="0.25">
      <c r="B180" s="8386"/>
      <c r="C180" s="7151" t="s">
        <v>1702</v>
      </c>
      <c r="D180" s="7165"/>
      <c r="E180" s="7165"/>
      <c r="F180" s="7165"/>
      <c r="G180" s="7165"/>
      <c r="H180" s="7165"/>
      <c r="I180" s="7165"/>
      <c r="J180" s="7165"/>
      <c r="K180" s="7165"/>
      <c r="L180" s="7165"/>
      <c r="M180" s="7165"/>
    </row>
    <row r="181" spans="2:13" ht="15" hidden="1" customHeight="1" x14ac:dyDescent="0.25">
      <c r="B181" s="8386"/>
      <c r="C181" s="7151" t="s">
        <v>1703</v>
      </c>
      <c r="D181" s="7165"/>
      <c r="E181" s="7165"/>
      <c r="F181" s="7165"/>
      <c r="G181" s="7165"/>
      <c r="H181" s="7165"/>
      <c r="I181" s="7165"/>
      <c r="J181" s="7165"/>
      <c r="K181" s="7165"/>
      <c r="L181" s="7165"/>
      <c r="M181" s="7165"/>
    </row>
    <row r="182" spans="2:13" ht="15" hidden="1" customHeight="1" x14ac:dyDescent="0.25">
      <c r="B182" s="8386"/>
      <c r="C182" s="7151" t="s">
        <v>1704</v>
      </c>
      <c r="D182" s="7165"/>
      <c r="E182" s="7165"/>
      <c r="F182" s="7165"/>
      <c r="G182" s="7165"/>
      <c r="H182" s="7165"/>
      <c r="I182" s="7165"/>
      <c r="J182" s="7165"/>
      <c r="K182" s="7165"/>
      <c r="L182" s="7165"/>
      <c r="M182" s="7165"/>
    </row>
    <row r="183" spans="2:13" ht="28.5" hidden="1" x14ac:dyDescent="0.25">
      <c r="B183" s="8386"/>
      <c r="C183" s="7151" t="s">
        <v>1710</v>
      </c>
      <c r="D183" s="7165"/>
      <c r="E183" s="7165"/>
      <c r="F183" s="7165"/>
      <c r="G183" s="7165"/>
      <c r="H183" s="7165"/>
      <c r="I183" s="7165"/>
      <c r="J183" s="7165"/>
      <c r="K183" s="7165"/>
      <c r="L183" s="7165"/>
      <c r="M183" s="7165"/>
    </row>
    <row r="184" spans="2:13" ht="15" hidden="1" customHeight="1" x14ac:dyDescent="0.25">
      <c r="B184" s="8386"/>
      <c r="C184" s="7151" t="s">
        <v>1705</v>
      </c>
      <c r="D184" s="7165"/>
      <c r="E184" s="7165"/>
      <c r="F184" s="7165"/>
      <c r="G184" s="7165"/>
      <c r="H184" s="7165"/>
      <c r="I184" s="7165"/>
      <c r="J184" s="7165"/>
      <c r="K184" s="7165"/>
      <c r="L184" s="7165"/>
      <c r="M184" s="7165"/>
    </row>
    <row r="185" spans="2:13" ht="15" hidden="1" customHeight="1" x14ac:dyDescent="0.25">
      <c r="B185" s="8386"/>
      <c r="C185" s="7151" t="s">
        <v>1706</v>
      </c>
      <c r="D185" s="7165"/>
      <c r="E185" s="7165"/>
      <c r="F185" s="7165"/>
      <c r="G185" s="7165"/>
      <c r="H185" s="7165"/>
      <c r="I185" s="7165"/>
      <c r="J185" s="7165"/>
      <c r="K185" s="7165"/>
      <c r="L185" s="7165"/>
      <c r="M185" s="7165"/>
    </row>
    <row r="186" spans="2:13" ht="15" hidden="1" customHeight="1" x14ac:dyDescent="0.25">
      <c r="B186" s="8386"/>
      <c r="C186" s="7151" t="s">
        <v>1707</v>
      </c>
      <c r="D186" s="7165"/>
      <c r="E186" s="7165"/>
      <c r="F186" s="7165"/>
      <c r="G186" s="7165"/>
      <c r="H186" s="7165"/>
      <c r="I186" s="7165"/>
      <c r="J186" s="7165"/>
      <c r="K186" s="7165"/>
      <c r="L186" s="7165"/>
      <c r="M186" s="7165"/>
    </row>
    <row r="187" spans="2:13" ht="15" hidden="1" customHeight="1" x14ac:dyDescent="0.25">
      <c r="B187" s="8386"/>
      <c r="C187" s="7151" t="s">
        <v>1708</v>
      </c>
      <c r="D187" s="7165"/>
      <c r="E187" s="7165"/>
      <c r="F187" s="7165"/>
      <c r="G187" s="7165"/>
      <c r="H187" s="7165"/>
      <c r="I187" s="7165"/>
      <c r="J187" s="7165"/>
      <c r="K187" s="7165"/>
      <c r="L187" s="7165"/>
      <c r="M187" s="7165"/>
    </row>
    <row r="188" spans="2:13" ht="15" hidden="1" customHeight="1" x14ac:dyDescent="0.25">
      <c r="B188" s="8386"/>
      <c r="C188" s="7151" t="s">
        <v>1841</v>
      </c>
      <c r="D188" s="7165"/>
      <c r="E188" s="7165"/>
      <c r="F188" s="7165"/>
      <c r="G188" s="7165"/>
      <c r="H188" s="7165"/>
      <c r="I188" s="7165"/>
      <c r="J188" s="7165"/>
      <c r="K188" s="7165"/>
      <c r="L188" s="7165"/>
      <c r="M188" s="7165"/>
    </row>
    <row r="189" spans="2:13" ht="15" hidden="1" customHeight="1" x14ac:dyDescent="0.25">
      <c r="B189" s="8386"/>
      <c r="C189" s="7151" t="s">
        <v>82</v>
      </c>
      <c r="D189" s="7165"/>
      <c r="E189" s="7165"/>
      <c r="F189" s="7165"/>
      <c r="G189" s="7165"/>
      <c r="H189" s="7165"/>
      <c r="I189" s="7165"/>
      <c r="J189" s="7165"/>
      <c r="K189" s="7165"/>
      <c r="L189" s="7165"/>
      <c r="M189" s="7165"/>
    </row>
    <row r="190" spans="2:13" ht="15" hidden="1" customHeight="1" x14ac:dyDescent="0.25">
      <c r="B190" s="8386"/>
      <c r="C190" s="7151" t="s">
        <v>1709</v>
      </c>
      <c r="D190" s="7165"/>
      <c r="E190" s="7165"/>
      <c r="F190" s="7165"/>
      <c r="G190" s="7165"/>
      <c r="H190" s="7165"/>
      <c r="I190" s="7165"/>
      <c r="J190" s="7165"/>
      <c r="K190" s="7165"/>
      <c r="L190" s="7165"/>
      <c r="M190" s="7165"/>
    </row>
    <row r="191" spans="2:13" ht="15" hidden="1" customHeight="1" x14ac:dyDescent="0.25">
      <c r="B191" s="8386"/>
      <c r="C191" s="7151" t="s">
        <v>100</v>
      </c>
      <c r="D191" s="7165"/>
      <c r="E191" s="7165"/>
      <c r="F191" s="7165"/>
      <c r="G191" s="7165"/>
      <c r="H191" s="7165"/>
      <c r="I191" s="7165"/>
      <c r="J191" s="7165"/>
      <c r="K191" s="7165"/>
      <c r="L191" s="7165"/>
      <c r="M191" s="7165"/>
    </row>
    <row r="192" spans="2:13" ht="15" hidden="1" customHeight="1" x14ac:dyDescent="0.25">
      <c r="B192" s="8386"/>
      <c r="C192" s="7151" t="s">
        <v>58</v>
      </c>
      <c r="D192" s="7165"/>
      <c r="E192" s="7165"/>
      <c r="F192" s="7165"/>
      <c r="G192" s="7165"/>
      <c r="H192" s="7165"/>
      <c r="I192" s="7165"/>
      <c r="J192" s="7165"/>
      <c r="K192" s="7165"/>
      <c r="L192" s="7165"/>
      <c r="M192" s="7165"/>
    </row>
    <row r="193" spans="2:13" ht="16.5" hidden="1" customHeight="1" thickBot="1" x14ac:dyDescent="0.3">
      <c r="B193" s="8386"/>
      <c r="C193" s="6389" t="s">
        <v>2182</v>
      </c>
      <c r="D193" s="7165"/>
      <c r="E193" s="7165"/>
      <c r="F193" s="7165"/>
      <c r="G193" s="7165"/>
      <c r="H193" s="7165"/>
      <c r="I193" s="7165"/>
      <c r="J193" s="7165"/>
      <c r="K193" s="7165"/>
      <c r="L193" s="7165"/>
      <c r="M193" s="7165"/>
    </row>
    <row r="194" spans="2:13" ht="15" hidden="1" customHeight="1" x14ac:dyDescent="0.25">
      <c r="B194" s="8386">
        <v>46296</v>
      </c>
      <c r="C194" s="7119" t="s">
        <v>1686</v>
      </c>
      <c r="D194" s="7158" t="s">
        <v>1686</v>
      </c>
      <c r="E194" s="7173"/>
      <c r="F194" s="7173"/>
      <c r="G194" s="7173"/>
      <c r="H194" s="7173"/>
      <c r="I194" s="7173"/>
      <c r="J194" s="7173"/>
      <c r="K194" s="7173"/>
      <c r="L194" s="7158" t="s">
        <v>1686</v>
      </c>
      <c r="M194" s="7158"/>
    </row>
    <row r="195" spans="2:13" ht="15" hidden="1" customHeight="1" thickBot="1" x14ac:dyDescent="0.3">
      <c r="B195" s="8386"/>
      <c r="C195" s="7168"/>
      <c r="D195" s="7174" t="s">
        <v>1687</v>
      </c>
      <c r="E195" s="7174" t="s">
        <v>1688</v>
      </c>
      <c r="F195" s="7174"/>
      <c r="G195" s="7174" t="s">
        <v>1689</v>
      </c>
      <c r="H195" s="7174"/>
      <c r="I195" s="7174" t="s">
        <v>1021</v>
      </c>
      <c r="J195" s="7174"/>
      <c r="K195" s="7174" t="s">
        <v>59</v>
      </c>
      <c r="L195" s="7174" t="s">
        <v>95</v>
      </c>
      <c r="M195" s="7174" t="s">
        <v>1247</v>
      </c>
    </row>
    <row r="196" spans="2:13" ht="15" hidden="1" customHeight="1" x14ac:dyDescent="0.25">
      <c r="B196" s="8386"/>
      <c r="C196" s="6380" t="s">
        <v>1697</v>
      </c>
      <c r="D196" s="7165"/>
      <c r="E196" s="7165"/>
      <c r="F196" s="7165"/>
      <c r="G196" s="7165"/>
      <c r="H196" s="7165"/>
      <c r="I196" s="7165"/>
      <c r="J196" s="7165"/>
      <c r="K196" s="7165"/>
      <c r="L196" s="7165"/>
      <c r="M196" s="7165"/>
    </row>
    <row r="197" spans="2:13" ht="15" hidden="1" customHeight="1" x14ac:dyDescent="0.25">
      <c r="B197" s="8386"/>
      <c r="C197" s="7151" t="s">
        <v>1698</v>
      </c>
      <c r="D197" s="7165"/>
      <c r="E197" s="7165"/>
      <c r="F197" s="7165"/>
      <c r="G197" s="7165"/>
      <c r="H197" s="7165"/>
      <c r="I197" s="7165"/>
      <c r="J197" s="7165"/>
      <c r="K197" s="7165"/>
      <c r="L197" s="7165"/>
      <c r="M197" s="7165"/>
    </row>
    <row r="198" spans="2:13" ht="15" hidden="1" customHeight="1" x14ac:dyDescent="0.25">
      <c r="B198" s="8386"/>
      <c r="C198" s="7151" t="s">
        <v>1699</v>
      </c>
      <c r="D198" s="7165"/>
      <c r="E198" s="7165"/>
      <c r="F198" s="7165"/>
      <c r="G198" s="7165"/>
      <c r="H198" s="7165"/>
      <c r="I198" s="7165"/>
      <c r="J198" s="7165"/>
      <c r="K198" s="7165"/>
      <c r="L198" s="7165"/>
      <c r="M198" s="7165"/>
    </row>
    <row r="199" spans="2:13" ht="15" hidden="1" customHeight="1" x14ac:dyDescent="0.25">
      <c r="B199" s="8386"/>
      <c r="C199" s="7151" t="s">
        <v>442</v>
      </c>
      <c r="D199" s="7165"/>
      <c r="E199" s="7165"/>
      <c r="F199" s="7165"/>
      <c r="G199" s="7165"/>
      <c r="H199" s="7165"/>
      <c r="I199" s="7165"/>
      <c r="J199" s="7165"/>
      <c r="K199" s="7165"/>
      <c r="L199" s="7165"/>
      <c r="M199" s="7165"/>
    </row>
    <row r="200" spans="2:13" ht="15" hidden="1" customHeight="1" x14ac:dyDescent="0.25">
      <c r="B200" s="8386"/>
      <c r="C200" s="7151" t="s">
        <v>1700</v>
      </c>
      <c r="D200" s="7165"/>
      <c r="E200" s="7165"/>
      <c r="F200" s="7165"/>
      <c r="G200" s="7165"/>
      <c r="H200" s="7165"/>
      <c r="I200" s="7165"/>
      <c r="J200" s="7165"/>
      <c r="K200" s="7165"/>
      <c r="L200" s="7165"/>
      <c r="M200" s="7165"/>
    </row>
    <row r="201" spans="2:13" ht="15" hidden="1" customHeight="1" x14ac:dyDescent="0.25">
      <c r="B201" s="8386"/>
      <c r="C201" s="7151" t="s">
        <v>1701</v>
      </c>
      <c r="D201" s="7165"/>
      <c r="E201" s="7165"/>
      <c r="F201" s="7165"/>
      <c r="G201" s="7165"/>
      <c r="H201" s="7165"/>
      <c r="I201" s="7165"/>
      <c r="J201" s="7165"/>
      <c r="K201" s="7165"/>
      <c r="L201" s="7165"/>
      <c r="M201" s="7165"/>
    </row>
    <row r="202" spans="2:13" ht="15" hidden="1" customHeight="1" x14ac:dyDescent="0.25">
      <c r="B202" s="8386"/>
      <c r="C202" s="7151" t="s">
        <v>1702</v>
      </c>
      <c r="D202" s="7165"/>
      <c r="E202" s="7165"/>
      <c r="F202" s="7165"/>
      <c r="G202" s="7165"/>
      <c r="H202" s="7165"/>
      <c r="I202" s="7165"/>
      <c r="J202" s="7165"/>
      <c r="K202" s="7165"/>
      <c r="L202" s="7165"/>
      <c r="M202" s="7165"/>
    </row>
    <row r="203" spans="2:13" ht="15" hidden="1" customHeight="1" x14ac:dyDescent="0.25">
      <c r="B203" s="8386"/>
      <c r="C203" s="7151" t="s">
        <v>1703</v>
      </c>
      <c r="D203" s="7165"/>
      <c r="E203" s="7165"/>
      <c r="F203" s="7165"/>
      <c r="G203" s="7165"/>
      <c r="H203" s="7165"/>
      <c r="I203" s="7165"/>
      <c r="J203" s="7165"/>
      <c r="K203" s="7165"/>
      <c r="L203" s="7165"/>
      <c r="M203" s="7165"/>
    </row>
    <row r="204" spans="2:13" ht="15" hidden="1" customHeight="1" x14ac:dyDescent="0.25">
      <c r="B204" s="8386"/>
      <c r="C204" s="7151" t="s">
        <v>1704</v>
      </c>
      <c r="D204" s="7165"/>
      <c r="E204" s="7165"/>
      <c r="F204" s="7165"/>
      <c r="G204" s="7165"/>
      <c r="H204" s="7165"/>
      <c r="I204" s="7165"/>
      <c r="J204" s="7165"/>
      <c r="K204" s="7165"/>
      <c r="L204" s="7165"/>
      <c r="M204" s="7165"/>
    </row>
    <row r="205" spans="2:13" ht="28.5" hidden="1" x14ac:dyDescent="0.25">
      <c r="B205" s="8386"/>
      <c r="C205" s="7151" t="s">
        <v>1710</v>
      </c>
      <c r="D205" s="7165"/>
      <c r="E205" s="7165"/>
      <c r="F205" s="7165"/>
      <c r="G205" s="7165"/>
      <c r="H205" s="7165"/>
      <c r="I205" s="7165"/>
      <c r="J205" s="7165"/>
      <c r="K205" s="7165"/>
      <c r="L205" s="7165"/>
      <c r="M205" s="7165"/>
    </row>
    <row r="206" spans="2:13" ht="15" hidden="1" customHeight="1" x14ac:dyDescent="0.25">
      <c r="B206" s="8386"/>
      <c r="C206" s="7151" t="s">
        <v>1705</v>
      </c>
      <c r="D206" s="7165"/>
      <c r="E206" s="7165"/>
      <c r="F206" s="7165"/>
      <c r="G206" s="7165"/>
      <c r="H206" s="7165"/>
      <c r="I206" s="7165"/>
      <c r="J206" s="7165"/>
      <c r="K206" s="7165"/>
      <c r="L206" s="7165"/>
      <c r="M206" s="7165"/>
    </row>
    <row r="207" spans="2:13" ht="15" hidden="1" customHeight="1" x14ac:dyDescent="0.25">
      <c r="B207" s="8386"/>
      <c r="C207" s="7151" t="s">
        <v>1706</v>
      </c>
      <c r="D207" s="7165"/>
      <c r="E207" s="7165"/>
      <c r="F207" s="7165"/>
      <c r="G207" s="7165"/>
      <c r="H207" s="7165"/>
      <c r="I207" s="7165"/>
      <c r="J207" s="7165"/>
      <c r="K207" s="7165"/>
      <c r="L207" s="7165"/>
      <c r="M207" s="7165"/>
    </row>
    <row r="208" spans="2:13" ht="15" hidden="1" customHeight="1" x14ac:dyDescent="0.25">
      <c r="B208" s="8386"/>
      <c r="C208" s="7151" t="s">
        <v>1707</v>
      </c>
      <c r="D208" s="7165"/>
      <c r="E208" s="7165"/>
      <c r="F208" s="7165"/>
      <c r="G208" s="7165"/>
      <c r="H208" s="7165"/>
      <c r="I208" s="7165"/>
      <c r="J208" s="7165"/>
      <c r="K208" s="7165"/>
      <c r="L208" s="7165"/>
      <c r="M208" s="7165"/>
    </row>
    <row r="209" spans="2:13" ht="15" hidden="1" customHeight="1" x14ac:dyDescent="0.25">
      <c r="B209" s="8386"/>
      <c r="C209" s="7151" t="s">
        <v>1708</v>
      </c>
      <c r="D209" s="7165"/>
      <c r="E209" s="7165"/>
      <c r="F209" s="7165"/>
      <c r="G209" s="7165"/>
      <c r="H209" s="7165"/>
      <c r="I209" s="7165"/>
      <c r="J209" s="7165"/>
      <c r="K209" s="7165"/>
      <c r="L209" s="7165"/>
      <c r="M209" s="7165"/>
    </row>
    <row r="210" spans="2:13" ht="15" hidden="1" customHeight="1" x14ac:dyDescent="0.25">
      <c r="B210" s="8386"/>
      <c r="C210" s="7151" t="s">
        <v>1841</v>
      </c>
      <c r="D210" s="7165"/>
      <c r="E210" s="7165"/>
      <c r="F210" s="7165"/>
      <c r="G210" s="7165"/>
      <c r="H210" s="7165"/>
      <c r="I210" s="7165"/>
      <c r="J210" s="7165"/>
      <c r="K210" s="7165"/>
      <c r="L210" s="7165"/>
      <c r="M210" s="7165"/>
    </row>
    <row r="211" spans="2:13" ht="15" hidden="1" customHeight="1" x14ac:dyDescent="0.25">
      <c r="B211" s="8386"/>
      <c r="C211" s="7151" t="s">
        <v>82</v>
      </c>
      <c r="D211" s="7165"/>
      <c r="E211" s="7165"/>
      <c r="F211" s="7165"/>
      <c r="G211" s="7165"/>
      <c r="H211" s="7165"/>
      <c r="I211" s="7165"/>
      <c r="J211" s="7165"/>
      <c r="K211" s="7165"/>
      <c r="L211" s="7165"/>
      <c r="M211" s="7165"/>
    </row>
    <row r="212" spans="2:13" ht="15" hidden="1" customHeight="1" x14ac:dyDescent="0.25">
      <c r="B212" s="8386"/>
      <c r="C212" s="7151" t="s">
        <v>1709</v>
      </c>
      <c r="D212" s="7165"/>
      <c r="E212" s="7165"/>
      <c r="F212" s="7165"/>
      <c r="G212" s="7165"/>
      <c r="H212" s="7165"/>
      <c r="I212" s="7165"/>
      <c r="J212" s="7165"/>
      <c r="K212" s="7165"/>
      <c r="L212" s="7165"/>
      <c r="M212" s="7165"/>
    </row>
    <row r="213" spans="2:13" ht="15" hidden="1" customHeight="1" x14ac:dyDescent="0.25">
      <c r="B213" s="8386"/>
      <c r="C213" s="7151" t="s">
        <v>100</v>
      </c>
      <c r="D213" s="7165"/>
      <c r="E213" s="7165"/>
      <c r="F213" s="7165"/>
      <c r="G213" s="7165"/>
      <c r="H213" s="7165"/>
      <c r="I213" s="7165"/>
      <c r="J213" s="7165"/>
      <c r="K213" s="7165"/>
      <c r="L213" s="7165"/>
      <c r="M213" s="7165"/>
    </row>
    <row r="214" spans="2:13" ht="15" hidden="1" customHeight="1" x14ac:dyDescent="0.25">
      <c r="B214" s="8386"/>
      <c r="C214" s="7151" t="s">
        <v>58</v>
      </c>
      <c r="D214" s="7165"/>
      <c r="E214" s="7165"/>
      <c r="F214" s="7165"/>
      <c r="G214" s="7165"/>
      <c r="H214" s="7165"/>
      <c r="I214" s="7165"/>
      <c r="J214" s="7165"/>
      <c r="K214" s="7165"/>
      <c r="L214" s="7165"/>
      <c r="M214" s="7165"/>
    </row>
    <row r="215" spans="2:13" ht="15.75" hidden="1" customHeight="1" thickBot="1" x14ac:dyDescent="0.3">
      <c r="B215" s="8386"/>
      <c r="C215" s="6389" t="s">
        <v>2182</v>
      </c>
      <c r="D215" s="7165"/>
      <c r="E215" s="7165"/>
      <c r="F215" s="7165"/>
      <c r="G215" s="7165"/>
      <c r="H215" s="7165"/>
      <c r="I215" s="7165"/>
      <c r="J215" s="7165"/>
      <c r="K215" s="7165"/>
      <c r="L215" s="7165"/>
      <c r="M215" s="7165"/>
    </row>
    <row r="216" spans="2:13" ht="15" hidden="1" customHeight="1" x14ac:dyDescent="0.25">
      <c r="B216" s="8386">
        <v>46327</v>
      </c>
      <c r="C216" s="7119" t="s">
        <v>1686</v>
      </c>
      <c r="D216" s="7158" t="s">
        <v>1686</v>
      </c>
      <c r="E216" s="7173"/>
      <c r="F216" s="7173"/>
      <c r="G216" s="7173"/>
      <c r="H216" s="7173"/>
      <c r="I216" s="7173"/>
      <c r="J216" s="7173"/>
      <c r="K216" s="7173"/>
      <c r="L216" s="7158" t="s">
        <v>1686</v>
      </c>
      <c r="M216" s="7158"/>
    </row>
    <row r="217" spans="2:13" ht="15" hidden="1" customHeight="1" thickBot="1" x14ac:dyDescent="0.3">
      <c r="B217" s="8386"/>
      <c r="C217" s="7168"/>
      <c r="D217" s="7174" t="s">
        <v>1687</v>
      </c>
      <c r="E217" s="7174" t="s">
        <v>1688</v>
      </c>
      <c r="F217" s="7174"/>
      <c r="G217" s="7174" t="s">
        <v>1689</v>
      </c>
      <c r="H217" s="7174"/>
      <c r="I217" s="7174" t="s">
        <v>1021</v>
      </c>
      <c r="J217" s="7174"/>
      <c r="K217" s="7174" t="s">
        <v>59</v>
      </c>
      <c r="L217" s="7174" t="s">
        <v>95</v>
      </c>
      <c r="M217" s="7174" t="s">
        <v>1247</v>
      </c>
    </row>
    <row r="218" spans="2:13" ht="15" hidden="1" customHeight="1" x14ac:dyDescent="0.25">
      <c r="B218" s="8386"/>
      <c r="C218" s="6380" t="s">
        <v>1697</v>
      </c>
      <c r="D218" s="7165"/>
      <c r="E218" s="7165"/>
      <c r="F218" s="7165"/>
      <c r="G218" s="7165"/>
      <c r="H218" s="7165"/>
      <c r="I218" s="7165"/>
      <c r="J218" s="7165"/>
      <c r="K218" s="7165"/>
      <c r="L218" s="7165"/>
      <c r="M218" s="7165"/>
    </row>
    <row r="219" spans="2:13" ht="15" hidden="1" customHeight="1" x14ac:dyDescent="0.25">
      <c r="B219" s="8386"/>
      <c r="C219" s="7151" t="s">
        <v>1698</v>
      </c>
      <c r="D219" s="7165"/>
      <c r="E219" s="7165"/>
      <c r="F219" s="7165"/>
      <c r="G219" s="7165"/>
      <c r="H219" s="7165"/>
      <c r="I219" s="7165"/>
      <c r="J219" s="7165"/>
      <c r="K219" s="7165"/>
      <c r="L219" s="7165"/>
      <c r="M219" s="7165"/>
    </row>
    <row r="220" spans="2:13" ht="15" hidden="1" customHeight="1" x14ac:dyDescent="0.25">
      <c r="B220" s="8386"/>
      <c r="C220" s="7151" t="s">
        <v>1699</v>
      </c>
      <c r="D220" s="7165"/>
      <c r="E220" s="7165"/>
      <c r="F220" s="7165"/>
      <c r="G220" s="7165"/>
      <c r="H220" s="7165"/>
      <c r="I220" s="7165"/>
      <c r="J220" s="7165"/>
      <c r="K220" s="7165"/>
      <c r="L220" s="7165"/>
      <c r="M220" s="7165"/>
    </row>
    <row r="221" spans="2:13" ht="15" hidden="1" customHeight="1" x14ac:dyDescent="0.25">
      <c r="B221" s="8386"/>
      <c r="C221" s="7151" t="s">
        <v>442</v>
      </c>
      <c r="D221" s="7165"/>
      <c r="E221" s="7165"/>
      <c r="F221" s="7165"/>
      <c r="G221" s="7165"/>
      <c r="H221" s="7165"/>
      <c r="I221" s="7165"/>
      <c r="J221" s="7165"/>
      <c r="K221" s="7165"/>
      <c r="L221" s="7165"/>
      <c r="M221" s="7165"/>
    </row>
    <row r="222" spans="2:13" ht="15" hidden="1" customHeight="1" x14ac:dyDescent="0.25">
      <c r="B222" s="8386"/>
      <c r="C222" s="7151" t="s">
        <v>1700</v>
      </c>
      <c r="D222" s="7165"/>
      <c r="E222" s="7165"/>
      <c r="F222" s="7165"/>
      <c r="G222" s="7165"/>
      <c r="H222" s="7165"/>
      <c r="I222" s="7165"/>
      <c r="J222" s="7165"/>
      <c r="K222" s="7165"/>
      <c r="L222" s="7165"/>
      <c r="M222" s="7165"/>
    </row>
    <row r="223" spans="2:13" ht="15" hidden="1" customHeight="1" x14ac:dyDescent="0.25">
      <c r="B223" s="8386"/>
      <c r="C223" s="7151" t="s">
        <v>1701</v>
      </c>
      <c r="D223" s="7165"/>
      <c r="E223" s="7165"/>
      <c r="F223" s="7165"/>
      <c r="G223" s="7165"/>
      <c r="H223" s="7165"/>
      <c r="I223" s="7165"/>
      <c r="J223" s="7165"/>
      <c r="K223" s="7165"/>
      <c r="L223" s="7165"/>
      <c r="M223" s="7165"/>
    </row>
    <row r="224" spans="2:13" ht="15" hidden="1" customHeight="1" x14ac:dyDescent="0.25">
      <c r="B224" s="8386"/>
      <c r="C224" s="7151" t="s">
        <v>1702</v>
      </c>
      <c r="D224" s="7165"/>
      <c r="E224" s="7165"/>
      <c r="F224" s="7165"/>
      <c r="G224" s="7165"/>
      <c r="H224" s="7165"/>
      <c r="I224" s="7165"/>
      <c r="J224" s="7165"/>
      <c r="K224" s="7165"/>
      <c r="L224" s="7165"/>
      <c r="M224" s="7165"/>
    </row>
    <row r="225" spans="2:13" ht="15" hidden="1" customHeight="1" x14ac:dyDescent="0.25">
      <c r="B225" s="8386"/>
      <c r="C225" s="7151" t="s">
        <v>1703</v>
      </c>
      <c r="D225" s="7165"/>
      <c r="E225" s="7165"/>
      <c r="F225" s="7165"/>
      <c r="G225" s="7165"/>
      <c r="H225" s="7165"/>
      <c r="I225" s="7165"/>
      <c r="J225" s="7165"/>
      <c r="K225" s="7165"/>
      <c r="L225" s="7165"/>
      <c r="M225" s="7165"/>
    </row>
    <row r="226" spans="2:13" ht="15" hidden="1" customHeight="1" x14ac:dyDescent="0.25">
      <c r="B226" s="8386"/>
      <c r="C226" s="7151" t="s">
        <v>1704</v>
      </c>
      <c r="D226" s="7165"/>
      <c r="E226" s="7165"/>
      <c r="F226" s="7165"/>
      <c r="G226" s="7165"/>
      <c r="H226" s="7165"/>
      <c r="I226" s="7165"/>
      <c r="J226" s="7165"/>
      <c r="K226" s="7165"/>
      <c r="L226" s="7165"/>
      <c r="M226" s="7165"/>
    </row>
    <row r="227" spans="2:13" ht="28.5" hidden="1" x14ac:dyDescent="0.25">
      <c r="B227" s="8386"/>
      <c r="C227" s="7151" t="s">
        <v>1710</v>
      </c>
      <c r="D227" s="7165"/>
      <c r="E227" s="7165"/>
      <c r="F227" s="7165"/>
      <c r="G227" s="7165"/>
      <c r="H227" s="7165"/>
      <c r="I227" s="7165"/>
      <c r="J227" s="7165"/>
      <c r="K227" s="7165"/>
      <c r="L227" s="7165"/>
      <c r="M227" s="7165"/>
    </row>
    <row r="228" spans="2:13" ht="15" hidden="1" customHeight="1" x14ac:dyDescent="0.25">
      <c r="B228" s="8386"/>
      <c r="C228" s="7151" t="s">
        <v>1705</v>
      </c>
      <c r="D228" s="7165"/>
      <c r="E228" s="7165"/>
      <c r="F228" s="7165"/>
      <c r="G228" s="7165"/>
      <c r="H228" s="7165"/>
      <c r="I228" s="7165"/>
      <c r="J228" s="7165"/>
      <c r="K228" s="7165"/>
      <c r="L228" s="7165"/>
      <c r="M228" s="7165"/>
    </row>
    <row r="229" spans="2:13" ht="15" hidden="1" customHeight="1" x14ac:dyDescent="0.25">
      <c r="B229" s="8386"/>
      <c r="C229" s="7151" t="s">
        <v>1706</v>
      </c>
      <c r="D229" s="7165"/>
      <c r="E229" s="7165"/>
      <c r="F229" s="7165"/>
      <c r="G229" s="7165"/>
      <c r="H229" s="7165"/>
      <c r="I229" s="7165"/>
      <c r="J229" s="7165"/>
      <c r="K229" s="7165"/>
      <c r="L229" s="7165"/>
      <c r="M229" s="7165"/>
    </row>
    <row r="230" spans="2:13" ht="15" hidden="1" customHeight="1" x14ac:dyDescent="0.25">
      <c r="B230" s="8386"/>
      <c r="C230" s="7151" t="s">
        <v>1707</v>
      </c>
      <c r="D230" s="7165"/>
      <c r="E230" s="7165"/>
      <c r="F230" s="7165"/>
      <c r="G230" s="7165"/>
      <c r="H230" s="7165"/>
      <c r="I230" s="7165"/>
      <c r="J230" s="7165"/>
      <c r="K230" s="7165"/>
      <c r="L230" s="7165"/>
      <c r="M230" s="7165"/>
    </row>
    <row r="231" spans="2:13" ht="15" hidden="1" customHeight="1" x14ac:dyDescent="0.25">
      <c r="B231" s="8386"/>
      <c r="C231" s="7151" t="s">
        <v>1708</v>
      </c>
      <c r="D231" s="7165"/>
      <c r="E231" s="7165"/>
      <c r="F231" s="7165"/>
      <c r="G231" s="7165"/>
      <c r="H231" s="7165"/>
      <c r="I231" s="7165"/>
      <c r="J231" s="7165"/>
      <c r="K231" s="7165"/>
      <c r="L231" s="7165"/>
      <c r="M231" s="7165"/>
    </row>
    <row r="232" spans="2:13" ht="15" hidden="1" customHeight="1" x14ac:dyDescent="0.25">
      <c r="B232" s="8386"/>
      <c r="C232" s="7151" t="s">
        <v>1841</v>
      </c>
      <c r="D232" s="7165"/>
      <c r="E232" s="7165"/>
      <c r="F232" s="7165"/>
      <c r="G232" s="7165"/>
      <c r="H232" s="7165"/>
      <c r="I232" s="7165"/>
      <c r="J232" s="7165"/>
      <c r="K232" s="7165"/>
      <c r="L232" s="7165"/>
      <c r="M232" s="7165"/>
    </row>
    <row r="233" spans="2:13" ht="15" hidden="1" customHeight="1" x14ac:dyDescent="0.25">
      <c r="B233" s="8386"/>
      <c r="C233" s="7151" t="s">
        <v>82</v>
      </c>
      <c r="D233" s="7165"/>
      <c r="E233" s="7165"/>
      <c r="F233" s="7165"/>
      <c r="G233" s="7165"/>
      <c r="H233" s="7165"/>
      <c r="I233" s="7165"/>
      <c r="J233" s="7165"/>
      <c r="K233" s="7165"/>
      <c r="L233" s="7165"/>
      <c r="M233" s="7165"/>
    </row>
    <row r="234" spans="2:13" ht="15" hidden="1" customHeight="1" x14ac:dyDescent="0.25">
      <c r="B234" s="8386"/>
      <c r="C234" s="7151" t="s">
        <v>1709</v>
      </c>
      <c r="D234" s="7165"/>
      <c r="E234" s="7165"/>
      <c r="F234" s="7165"/>
      <c r="G234" s="7165"/>
      <c r="H234" s="7165"/>
      <c r="I234" s="7165"/>
      <c r="J234" s="7165"/>
      <c r="K234" s="7165"/>
      <c r="L234" s="7165"/>
      <c r="M234" s="7165"/>
    </row>
    <row r="235" spans="2:13" ht="15" hidden="1" customHeight="1" x14ac:dyDescent="0.25">
      <c r="B235" s="8386"/>
      <c r="C235" s="7151" t="s">
        <v>100</v>
      </c>
      <c r="D235" s="7165"/>
      <c r="E235" s="7165"/>
      <c r="F235" s="7165"/>
      <c r="G235" s="7165"/>
      <c r="H235" s="7165"/>
      <c r="I235" s="7165"/>
      <c r="J235" s="7165"/>
      <c r="K235" s="7165"/>
      <c r="L235" s="7165"/>
      <c r="M235" s="7165"/>
    </row>
    <row r="236" spans="2:13" ht="15" hidden="1" customHeight="1" x14ac:dyDescent="0.25">
      <c r="B236" s="8386"/>
      <c r="C236" s="7151" t="s">
        <v>58</v>
      </c>
      <c r="D236" s="7165"/>
      <c r="E236" s="7165"/>
      <c r="F236" s="7165"/>
      <c r="G236" s="7165"/>
      <c r="H236" s="7165"/>
      <c r="I236" s="7165"/>
      <c r="J236" s="7165"/>
      <c r="K236" s="7165"/>
      <c r="L236" s="7165"/>
      <c r="M236" s="7165"/>
    </row>
    <row r="237" spans="2:13" ht="15.75" hidden="1" customHeight="1" thickBot="1" x14ac:dyDescent="0.3">
      <c r="B237" s="8386"/>
      <c r="C237" s="6389" t="s">
        <v>2182</v>
      </c>
      <c r="D237" s="7165"/>
      <c r="E237" s="7165"/>
      <c r="F237" s="7165"/>
      <c r="G237" s="7165"/>
      <c r="H237" s="7165"/>
      <c r="I237" s="7165"/>
      <c r="J237" s="7165"/>
      <c r="K237" s="7165"/>
      <c r="L237" s="7165"/>
      <c r="M237" s="7165"/>
    </row>
    <row r="238" spans="2:13" hidden="1" x14ac:dyDescent="0.25">
      <c r="B238" s="258"/>
      <c r="D238" s="502"/>
      <c r="E238" s="502"/>
      <c r="F238" s="502"/>
      <c r="G238" s="502"/>
      <c r="H238" s="502"/>
      <c r="I238" s="502"/>
      <c r="J238" s="502"/>
      <c r="K238" s="502"/>
      <c r="L238" s="502"/>
      <c r="M238" s="502"/>
    </row>
    <row r="239" spans="2:13" ht="15" hidden="1" customHeight="1" x14ac:dyDescent="0.25">
      <c r="B239" s="8386">
        <v>46357</v>
      </c>
      <c r="C239" s="7119" t="s">
        <v>1686</v>
      </c>
      <c r="D239" s="7172" t="s">
        <v>1686</v>
      </c>
      <c r="E239" s="7160"/>
      <c r="F239" s="7160"/>
      <c r="G239" s="7160"/>
      <c r="H239" s="7160"/>
      <c r="I239" s="7160"/>
      <c r="J239" s="7160"/>
      <c r="K239" s="7160"/>
      <c r="L239" s="7172" t="s">
        <v>1686</v>
      </c>
      <c r="M239" s="7172"/>
    </row>
    <row r="240" spans="2:13" ht="15" hidden="1" customHeight="1" thickBot="1" x14ac:dyDescent="0.3">
      <c r="B240" s="8386"/>
      <c r="C240" s="7168"/>
      <c r="D240" s="7120" t="s">
        <v>1687</v>
      </c>
      <c r="E240" s="7120" t="s">
        <v>1688</v>
      </c>
      <c r="F240" s="7120"/>
      <c r="G240" s="7120" t="s">
        <v>1689</v>
      </c>
      <c r="H240" s="7120"/>
      <c r="I240" s="7120" t="s">
        <v>1021</v>
      </c>
      <c r="J240" s="7120"/>
      <c r="K240" s="7120" t="s">
        <v>59</v>
      </c>
      <c r="L240" s="7120" t="s">
        <v>95</v>
      </c>
      <c r="M240" s="7120" t="s">
        <v>1247</v>
      </c>
    </row>
    <row r="241" spans="2:13" ht="15" hidden="1" customHeight="1" x14ac:dyDescent="0.25">
      <c r="B241" s="8386"/>
      <c r="C241" s="6380" t="s">
        <v>1697</v>
      </c>
      <c r="D241" s="7169"/>
      <c r="E241" s="7169"/>
      <c r="F241" s="7169"/>
      <c r="G241" s="7169"/>
      <c r="H241" s="7169"/>
      <c r="I241" s="7169"/>
      <c r="J241" s="7169"/>
      <c r="K241" s="7169"/>
      <c r="L241" s="7169"/>
      <c r="M241" s="7169"/>
    </row>
    <row r="242" spans="2:13" ht="15" hidden="1" customHeight="1" x14ac:dyDescent="0.25">
      <c r="B242" s="8386"/>
      <c r="C242" s="7151" t="s">
        <v>1698</v>
      </c>
      <c r="D242" s="7169"/>
      <c r="E242" s="7169"/>
      <c r="F242" s="7169"/>
      <c r="G242" s="7169"/>
      <c r="H242" s="7169"/>
      <c r="I242" s="7169"/>
      <c r="J242" s="7169"/>
      <c r="K242" s="7169"/>
      <c r="L242" s="7169"/>
      <c r="M242" s="7169"/>
    </row>
    <row r="243" spans="2:13" ht="15" hidden="1" customHeight="1" x14ac:dyDescent="0.25">
      <c r="B243" s="8386"/>
      <c r="C243" s="7151" t="s">
        <v>1699</v>
      </c>
      <c r="D243" s="7169"/>
      <c r="E243" s="7169"/>
      <c r="F243" s="7169"/>
      <c r="G243" s="7169"/>
      <c r="H243" s="7169"/>
      <c r="I243" s="7169"/>
      <c r="J243" s="7169"/>
      <c r="K243" s="7169"/>
      <c r="L243" s="7169"/>
      <c r="M243" s="7169"/>
    </row>
    <row r="244" spans="2:13" ht="15" hidden="1" customHeight="1" x14ac:dyDescent="0.25">
      <c r="B244" s="8386"/>
      <c r="C244" s="7151" t="s">
        <v>442</v>
      </c>
      <c r="D244" s="7169"/>
      <c r="E244" s="7169"/>
      <c r="F244" s="7169"/>
      <c r="G244" s="7169"/>
      <c r="H244" s="7169"/>
      <c r="I244" s="7169"/>
      <c r="J244" s="7169"/>
      <c r="K244" s="7169"/>
      <c r="L244" s="7169"/>
      <c r="M244" s="7169"/>
    </row>
    <row r="245" spans="2:13" ht="15" hidden="1" customHeight="1" x14ac:dyDescent="0.25">
      <c r="B245" s="8386"/>
      <c r="C245" s="7151" t="s">
        <v>1700</v>
      </c>
      <c r="D245" s="7169"/>
      <c r="E245" s="7169"/>
      <c r="F245" s="7169"/>
      <c r="G245" s="7169"/>
      <c r="H245" s="7169"/>
      <c r="I245" s="7169"/>
      <c r="J245" s="7169"/>
      <c r="K245" s="7169"/>
      <c r="L245" s="7169"/>
      <c r="M245" s="7169"/>
    </row>
    <row r="246" spans="2:13" ht="15" hidden="1" customHeight="1" x14ac:dyDescent="0.25">
      <c r="B246" s="8386"/>
      <c r="C246" s="7151" t="s">
        <v>1701</v>
      </c>
      <c r="D246" s="7169"/>
      <c r="E246" s="7169"/>
      <c r="F246" s="7169"/>
      <c r="G246" s="7169"/>
      <c r="H246" s="7169"/>
      <c r="I246" s="7169"/>
      <c r="J246" s="7169"/>
      <c r="K246" s="7169"/>
      <c r="L246" s="7169"/>
      <c r="M246" s="7169"/>
    </row>
    <row r="247" spans="2:13" ht="15" hidden="1" customHeight="1" x14ac:dyDescent="0.25">
      <c r="B247" s="8386"/>
      <c r="C247" s="7151" t="s">
        <v>1702</v>
      </c>
      <c r="D247" s="7169"/>
      <c r="E247" s="7169"/>
      <c r="F247" s="7169"/>
      <c r="G247" s="7169"/>
      <c r="H247" s="7169"/>
      <c r="I247" s="7169"/>
      <c r="J247" s="7169"/>
      <c r="K247" s="7169"/>
      <c r="L247" s="7169"/>
      <c r="M247" s="7169"/>
    </row>
    <row r="248" spans="2:13" ht="15" hidden="1" customHeight="1" x14ac:dyDescent="0.25">
      <c r="B248" s="8386"/>
      <c r="C248" s="7151" t="s">
        <v>1703</v>
      </c>
      <c r="D248" s="7169"/>
      <c r="E248" s="7169"/>
      <c r="F248" s="7169"/>
      <c r="G248" s="7169"/>
      <c r="H248" s="7169"/>
      <c r="I248" s="7169"/>
      <c r="J248" s="7169"/>
      <c r="K248" s="7169"/>
      <c r="L248" s="7169"/>
      <c r="M248" s="7169"/>
    </row>
    <row r="249" spans="2:13" ht="15" hidden="1" customHeight="1" x14ac:dyDescent="0.25">
      <c r="B249" s="8386"/>
      <c r="C249" s="7151" t="s">
        <v>1704</v>
      </c>
      <c r="D249" s="7169"/>
      <c r="E249" s="7169"/>
      <c r="F249" s="7169"/>
      <c r="G249" s="7169"/>
      <c r="H249" s="7169"/>
      <c r="I249" s="7169"/>
      <c r="J249" s="7169"/>
      <c r="K249" s="7169"/>
      <c r="L249" s="7169"/>
      <c r="M249" s="7169"/>
    </row>
    <row r="250" spans="2:13" ht="28.5" hidden="1" x14ac:dyDescent="0.25">
      <c r="B250" s="8386"/>
      <c r="C250" s="7151" t="s">
        <v>1710</v>
      </c>
      <c r="D250" s="7169"/>
      <c r="E250" s="7169"/>
      <c r="F250" s="7169"/>
      <c r="G250" s="7169"/>
      <c r="H250" s="7169"/>
      <c r="I250" s="7169"/>
      <c r="J250" s="7169"/>
      <c r="K250" s="7169"/>
      <c r="L250" s="7169"/>
      <c r="M250" s="7169"/>
    </row>
    <row r="251" spans="2:13" ht="15" hidden="1" customHeight="1" x14ac:dyDescent="0.25">
      <c r="B251" s="8386"/>
      <c r="C251" s="7151" t="s">
        <v>1705</v>
      </c>
      <c r="D251" s="7169"/>
      <c r="E251" s="7169"/>
      <c r="F251" s="7169"/>
      <c r="G251" s="7169"/>
      <c r="H251" s="7169"/>
      <c r="I251" s="7169"/>
      <c r="J251" s="7169"/>
      <c r="K251" s="7169"/>
      <c r="L251" s="7169"/>
      <c r="M251" s="7169"/>
    </row>
    <row r="252" spans="2:13" ht="15" hidden="1" customHeight="1" x14ac:dyDescent="0.25">
      <c r="B252" s="8386"/>
      <c r="C252" s="7151" t="s">
        <v>1706</v>
      </c>
      <c r="D252" s="7169"/>
      <c r="E252" s="7169"/>
      <c r="F252" s="7169"/>
      <c r="G252" s="7169"/>
      <c r="H252" s="7169"/>
      <c r="I252" s="7169"/>
      <c r="J252" s="7169"/>
      <c r="K252" s="7169"/>
      <c r="L252" s="7169"/>
      <c r="M252" s="7169"/>
    </row>
    <row r="253" spans="2:13" ht="15" hidden="1" customHeight="1" x14ac:dyDescent="0.25">
      <c r="B253" s="8386"/>
      <c r="C253" s="7151" t="s">
        <v>1707</v>
      </c>
      <c r="D253" s="7169"/>
      <c r="E253" s="7169"/>
      <c r="F253" s="7169"/>
      <c r="G253" s="7169"/>
      <c r="H253" s="7169"/>
      <c r="I253" s="7169"/>
      <c r="J253" s="7169"/>
      <c r="K253" s="7169"/>
      <c r="L253" s="7169"/>
      <c r="M253" s="7169"/>
    </row>
    <row r="254" spans="2:13" ht="15" hidden="1" customHeight="1" x14ac:dyDescent="0.25">
      <c r="B254" s="8386"/>
      <c r="C254" s="7151" t="s">
        <v>1708</v>
      </c>
      <c r="D254" s="7169"/>
      <c r="E254" s="7169"/>
      <c r="F254" s="7169"/>
      <c r="G254" s="7169"/>
      <c r="H254" s="7169"/>
      <c r="I254" s="7169"/>
      <c r="J254" s="7169"/>
      <c r="K254" s="7169"/>
      <c r="L254" s="7169"/>
      <c r="M254" s="7169"/>
    </row>
    <row r="255" spans="2:13" ht="15" hidden="1" customHeight="1" x14ac:dyDescent="0.25">
      <c r="B255" s="8386"/>
      <c r="C255" s="7151" t="s">
        <v>1841</v>
      </c>
      <c r="D255" s="7169"/>
      <c r="E255" s="7169"/>
      <c r="F255" s="7169"/>
      <c r="G255" s="7169"/>
      <c r="H255" s="7169"/>
      <c r="I255" s="7169"/>
      <c r="J255" s="7169"/>
      <c r="K255" s="7169"/>
      <c r="L255" s="7169"/>
      <c r="M255" s="7169"/>
    </row>
    <row r="256" spans="2:13" ht="15" hidden="1" customHeight="1" x14ac:dyDescent="0.25">
      <c r="B256" s="8386"/>
      <c r="C256" s="7151" t="s">
        <v>82</v>
      </c>
      <c r="D256" s="7169"/>
      <c r="E256" s="7169"/>
      <c r="F256" s="7169"/>
      <c r="G256" s="7169"/>
      <c r="H256" s="7169"/>
      <c r="I256" s="7169"/>
      <c r="J256" s="7169"/>
      <c r="K256" s="7169"/>
      <c r="L256" s="7169"/>
      <c r="M256" s="7169"/>
    </row>
    <row r="257" spans="2:15" ht="15" hidden="1" customHeight="1" x14ac:dyDescent="0.25">
      <c r="B257" s="8386"/>
      <c r="C257" s="7151" t="s">
        <v>1709</v>
      </c>
      <c r="D257" s="7169"/>
      <c r="E257" s="7169"/>
      <c r="F257" s="7169"/>
      <c r="G257" s="7169"/>
      <c r="H257" s="7169"/>
      <c r="I257" s="7169"/>
      <c r="J257" s="7169"/>
      <c r="K257" s="7169"/>
      <c r="L257" s="7169"/>
      <c r="M257" s="7169"/>
    </row>
    <row r="258" spans="2:15" ht="15" hidden="1" customHeight="1" x14ac:dyDescent="0.25">
      <c r="B258" s="8386"/>
      <c r="C258" s="7151" t="s">
        <v>100</v>
      </c>
      <c r="D258" s="7169"/>
      <c r="E258" s="7169"/>
      <c r="F258" s="7169"/>
      <c r="G258" s="7169"/>
      <c r="H258" s="7169"/>
      <c r="I258" s="7169"/>
      <c r="J258" s="7169"/>
      <c r="K258" s="7169"/>
      <c r="L258" s="7169"/>
      <c r="M258" s="7169"/>
    </row>
    <row r="259" spans="2:15" ht="15" hidden="1" customHeight="1" x14ac:dyDescent="0.25">
      <c r="B259" s="8386"/>
      <c r="C259" s="7151" t="s">
        <v>58</v>
      </c>
      <c r="D259" s="7169"/>
      <c r="E259" s="7169"/>
      <c r="F259" s="7169"/>
      <c r="G259" s="7169"/>
      <c r="H259" s="7169"/>
      <c r="I259" s="7169"/>
      <c r="J259" s="7169"/>
      <c r="K259" s="7169"/>
      <c r="L259" s="7169"/>
      <c r="M259" s="7169"/>
    </row>
    <row r="260" spans="2:15" ht="15.75" hidden="1" customHeight="1" thickBot="1" x14ac:dyDescent="0.3">
      <c r="B260" s="8386"/>
      <c r="C260" s="6389" t="s">
        <v>2182</v>
      </c>
      <c r="D260" s="7169"/>
      <c r="E260" s="7169"/>
      <c r="F260" s="7169"/>
      <c r="G260" s="7169"/>
      <c r="H260" s="7169"/>
      <c r="I260" s="7169"/>
      <c r="J260" s="7169"/>
      <c r="K260" s="7169"/>
      <c r="L260" s="7169"/>
      <c r="M260" s="7169"/>
    </row>
    <row r="261" spans="2:15" ht="15" hidden="1" customHeight="1" x14ac:dyDescent="0.25">
      <c r="B261" s="8386">
        <v>46388</v>
      </c>
      <c r="C261" s="7119" t="s">
        <v>1686</v>
      </c>
      <c r="D261" s="7172"/>
      <c r="E261" s="7160"/>
      <c r="F261" s="7160"/>
      <c r="G261" s="7160"/>
      <c r="H261" s="7160"/>
      <c r="I261" s="7160"/>
      <c r="J261" s="7160"/>
      <c r="K261" s="7160"/>
      <c r="L261" s="7172"/>
      <c r="M261" s="7172"/>
    </row>
    <row r="262" spans="2:15" ht="15" hidden="1" customHeight="1" thickBot="1" x14ac:dyDescent="0.3">
      <c r="B262" s="8386"/>
      <c r="C262" s="7168"/>
      <c r="D262" s="7120" t="s">
        <v>1687</v>
      </c>
      <c r="E262" s="7120" t="s">
        <v>1688</v>
      </c>
      <c r="F262" s="7120"/>
      <c r="G262" s="7120" t="s">
        <v>1689</v>
      </c>
      <c r="H262" s="7120"/>
      <c r="I262" s="7120" t="s">
        <v>1021</v>
      </c>
      <c r="J262" s="7120"/>
      <c r="K262" s="7120" t="s">
        <v>59</v>
      </c>
      <c r="L262" s="7120" t="s">
        <v>95</v>
      </c>
      <c r="M262" s="7120" t="s">
        <v>1247</v>
      </c>
    </row>
    <row r="263" spans="2:15" ht="15" hidden="1" customHeight="1" x14ac:dyDescent="0.25">
      <c r="B263" s="8386"/>
      <c r="C263" s="6380" t="s">
        <v>1697</v>
      </c>
      <c r="D263" s="7169"/>
      <c r="E263" s="7169"/>
      <c r="F263" s="7169"/>
      <c r="G263" s="7169"/>
      <c r="H263" s="7169"/>
      <c r="I263" s="7169"/>
      <c r="J263" s="7169"/>
      <c r="K263" s="7169"/>
      <c r="L263" s="7169"/>
      <c r="M263" s="7169"/>
    </row>
    <row r="264" spans="2:15" ht="15" hidden="1" customHeight="1" x14ac:dyDescent="0.25">
      <c r="B264" s="8386"/>
      <c r="C264" s="7151" t="s">
        <v>1698</v>
      </c>
      <c r="D264" s="7169"/>
      <c r="E264" s="7169"/>
      <c r="F264" s="7169"/>
      <c r="G264" s="7169"/>
      <c r="H264" s="7169"/>
      <c r="I264" s="7169"/>
      <c r="J264" s="7169"/>
      <c r="K264" s="7169"/>
      <c r="L264" s="7169"/>
      <c r="M264" s="7169"/>
    </row>
    <row r="265" spans="2:15" ht="15" hidden="1" customHeight="1" x14ac:dyDescent="0.25">
      <c r="B265" s="8386"/>
      <c r="C265" s="7151" t="s">
        <v>1699</v>
      </c>
      <c r="D265" s="7169"/>
      <c r="E265" s="7169"/>
      <c r="F265" s="7169"/>
      <c r="G265" s="7169"/>
      <c r="H265" s="7169"/>
      <c r="I265" s="7169"/>
      <c r="J265" s="7169"/>
      <c r="K265" s="7169"/>
      <c r="L265" s="7169"/>
      <c r="M265" s="7169"/>
    </row>
    <row r="266" spans="2:15" ht="15" hidden="1" customHeight="1" x14ac:dyDescent="0.25">
      <c r="B266" s="8386"/>
      <c r="C266" s="7151" t="s">
        <v>442</v>
      </c>
      <c r="D266" s="7169"/>
      <c r="E266" s="7169"/>
      <c r="F266" s="7169"/>
      <c r="G266" s="7169"/>
      <c r="H266" s="7169"/>
      <c r="I266" s="7169"/>
      <c r="J266" s="7169"/>
      <c r="K266" s="7169"/>
      <c r="L266" s="7169"/>
      <c r="M266" s="7169"/>
    </row>
    <row r="267" spans="2:15" ht="15" hidden="1" customHeight="1" x14ac:dyDescent="0.25">
      <c r="B267" s="8386"/>
      <c r="C267" s="7151" t="s">
        <v>1700</v>
      </c>
      <c r="D267" s="7169"/>
      <c r="E267" s="7169"/>
      <c r="F267" s="7169"/>
      <c r="G267" s="7169"/>
      <c r="H267" s="7169"/>
      <c r="I267" s="7169"/>
      <c r="J267" s="7169"/>
      <c r="K267" s="7169"/>
      <c r="L267" s="7169"/>
      <c r="M267" s="7169"/>
    </row>
    <row r="268" spans="2:15" ht="15" hidden="1" customHeight="1" x14ac:dyDescent="0.25">
      <c r="B268" s="8386"/>
      <c r="C268" s="7151" t="s">
        <v>1701</v>
      </c>
      <c r="D268" s="7169"/>
      <c r="E268" s="7169"/>
      <c r="F268" s="7169"/>
      <c r="G268" s="7169"/>
      <c r="H268" s="7169"/>
      <c r="I268" s="7169"/>
      <c r="J268" s="7169"/>
      <c r="K268" s="7169"/>
      <c r="L268" s="7169"/>
      <c r="M268" s="7169"/>
      <c r="O268" s="25"/>
    </row>
    <row r="269" spans="2:15" ht="15" hidden="1" customHeight="1" x14ac:dyDescent="0.25">
      <c r="B269" s="8386"/>
      <c r="C269" s="7151" t="s">
        <v>1702</v>
      </c>
      <c r="D269" s="7169"/>
      <c r="E269" s="7169"/>
      <c r="F269" s="7169"/>
      <c r="G269" s="7169"/>
      <c r="H269" s="7169"/>
      <c r="I269" s="7169"/>
      <c r="J269" s="7169"/>
      <c r="K269" s="7169"/>
      <c r="L269" s="7169"/>
      <c r="M269" s="7169"/>
    </row>
    <row r="270" spans="2:15" ht="15" hidden="1" customHeight="1" x14ac:dyDescent="0.25">
      <c r="B270" s="8386"/>
      <c r="C270" s="7151" t="s">
        <v>1703</v>
      </c>
      <c r="D270" s="7169"/>
      <c r="E270" s="7169"/>
      <c r="F270" s="7169"/>
      <c r="G270" s="7169"/>
      <c r="H270" s="7169"/>
      <c r="I270" s="7169"/>
      <c r="J270" s="7169"/>
      <c r="K270" s="7169"/>
      <c r="L270" s="7169"/>
      <c r="M270" s="7169"/>
    </row>
    <row r="271" spans="2:15" ht="15" hidden="1" customHeight="1" x14ac:dyDescent="0.25">
      <c r="B271" s="8386"/>
      <c r="C271" s="7151" t="s">
        <v>1704</v>
      </c>
      <c r="D271" s="7169"/>
      <c r="E271" s="7169"/>
      <c r="F271" s="7169"/>
      <c r="G271" s="7169"/>
      <c r="H271" s="7169"/>
      <c r="I271" s="7169"/>
      <c r="J271" s="7169"/>
      <c r="K271" s="7169"/>
      <c r="L271" s="7169"/>
      <c r="M271" s="7169"/>
    </row>
    <row r="272" spans="2:15" ht="28.5" hidden="1" x14ac:dyDescent="0.25">
      <c r="B272" s="8386"/>
      <c r="C272" s="7151" t="s">
        <v>1710</v>
      </c>
      <c r="D272" s="7169"/>
      <c r="E272" s="7169"/>
      <c r="F272" s="7169"/>
      <c r="G272" s="7169"/>
      <c r="H272" s="7169"/>
      <c r="I272" s="7169"/>
      <c r="J272" s="7169"/>
      <c r="K272" s="7169"/>
      <c r="L272" s="7169"/>
      <c r="M272" s="7169"/>
    </row>
    <row r="273" spans="2:13" ht="15" hidden="1" customHeight="1" x14ac:dyDescent="0.25">
      <c r="B273" s="8386"/>
      <c r="C273" s="7151" t="s">
        <v>1705</v>
      </c>
      <c r="D273" s="7169"/>
      <c r="E273" s="7169"/>
      <c r="F273" s="7169"/>
      <c r="G273" s="7169"/>
      <c r="H273" s="7169"/>
      <c r="I273" s="7169"/>
      <c r="J273" s="7169"/>
      <c r="K273" s="7169"/>
      <c r="L273" s="7169"/>
      <c r="M273" s="7169"/>
    </row>
    <row r="274" spans="2:13" ht="15" hidden="1" customHeight="1" x14ac:dyDescent="0.25">
      <c r="B274" s="8386"/>
      <c r="C274" s="7151" t="s">
        <v>1706</v>
      </c>
      <c r="D274" s="7169"/>
      <c r="E274" s="7169"/>
      <c r="F274" s="7169"/>
      <c r="G274" s="7169"/>
      <c r="H274" s="7169"/>
      <c r="I274" s="7169"/>
      <c r="J274" s="7169"/>
      <c r="K274" s="7169"/>
      <c r="L274" s="7169"/>
      <c r="M274" s="7169"/>
    </row>
    <row r="275" spans="2:13" ht="15" hidden="1" customHeight="1" x14ac:dyDescent="0.25">
      <c r="B275" s="8386"/>
      <c r="C275" s="7151" t="s">
        <v>1707</v>
      </c>
      <c r="D275" s="7169"/>
      <c r="E275" s="7169"/>
      <c r="F275" s="7169"/>
      <c r="G275" s="7169"/>
      <c r="H275" s="7169"/>
      <c r="I275" s="7169"/>
      <c r="J275" s="7169"/>
      <c r="K275" s="7169"/>
      <c r="L275" s="7169"/>
      <c r="M275" s="7169"/>
    </row>
    <row r="276" spans="2:13" ht="15" hidden="1" customHeight="1" x14ac:dyDescent="0.25">
      <c r="B276" s="8386"/>
      <c r="C276" s="7151" t="s">
        <v>1708</v>
      </c>
      <c r="D276" s="7169"/>
      <c r="E276" s="7169"/>
      <c r="F276" s="7169"/>
      <c r="G276" s="7169"/>
      <c r="H276" s="7169"/>
      <c r="I276" s="7169"/>
      <c r="J276" s="7169"/>
      <c r="K276" s="7169"/>
      <c r="L276" s="7169"/>
      <c r="M276" s="7169"/>
    </row>
    <row r="277" spans="2:13" ht="15" hidden="1" customHeight="1" x14ac:dyDescent="0.25">
      <c r="B277" s="8386"/>
      <c r="C277" s="7151" t="s">
        <v>1841</v>
      </c>
      <c r="D277" s="7169"/>
      <c r="E277" s="7169"/>
      <c r="F277" s="7169"/>
      <c r="G277" s="7169"/>
      <c r="H277" s="7169"/>
      <c r="I277" s="7169"/>
      <c r="J277" s="7169"/>
      <c r="K277" s="7169"/>
      <c r="L277" s="7169"/>
      <c r="M277" s="7169"/>
    </row>
    <row r="278" spans="2:13" ht="15" hidden="1" customHeight="1" x14ac:dyDescent="0.25">
      <c r="B278" s="8386"/>
      <c r="C278" s="7151" t="s">
        <v>82</v>
      </c>
      <c r="D278" s="7169"/>
      <c r="E278" s="7169"/>
      <c r="F278" s="7169"/>
      <c r="G278" s="7169"/>
      <c r="H278" s="7169"/>
      <c r="I278" s="7169"/>
      <c r="J278" s="7169"/>
      <c r="K278" s="7169"/>
      <c r="L278" s="7169"/>
      <c r="M278" s="7169"/>
    </row>
    <row r="279" spans="2:13" ht="15" hidden="1" customHeight="1" x14ac:dyDescent="0.25">
      <c r="B279" s="8386"/>
      <c r="C279" s="7151" t="s">
        <v>1709</v>
      </c>
      <c r="D279" s="7169"/>
      <c r="E279" s="7169"/>
      <c r="F279" s="7169"/>
      <c r="G279" s="7169"/>
      <c r="H279" s="7169"/>
      <c r="I279" s="7169"/>
      <c r="J279" s="7169"/>
      <c r="K279" s="7169"/>
      <c r="L279" s="7169"/>
      <c r="M279" s="7169"/>
    </row>
    <row r="280" spans="2:13" ht="15" hidden="1" customHeight="1" x14ac:dyDescent="0.25">
      <c r="B280" s="8386"/>
      <c r="C280" s="7151" t="s">
        <v>100</v>
      </c>
      <c r="D280" s="7169"/>
      <c r="E280" s="7169"/>
      <c r="F280" s="7169"/>
      <c r="G280" s="7169"/>
      <c r="H280" s="7169"/>
      <c r="I280" s="7169"/>
      <c r="J280" s="7169"/>
      <c r="K280" s="7169"/>
      <c r="L280" s="7169"/>
      <c r="M280" s="7169"/>
    </row>
    <row r="281" spans="2:13" ht="15" hidden="1" customHeight="1" x14ac:dyDescent="0.25">
      <c r="B281" s="8386"/>
      <c r="C281" s="7151" t="s">
        <v>58</v>
      </c>
      <c r="D281" s="7169"/>
      <c r="E281" s="7169"/>
      <c r="F281" s="7169"/>
      <c r="G281" s="7169"/>
      <c r="H281" s="7169"/>
      <c r="I281" s="7169"/>
      <c r="J281" s="7169"/>
      <c r="K281" s="7169"/>
      <c r="L281" s="7169"/>
      <c r="M281" s="7169"/>
    </row>
    <row r="282" spans="2:13" ht="15.75" hidden="1" customHeight="1" thickBot="1" x14ac:dyDescent="0.3">
      <c r="B282" s="8386"/>
      <c r="C282" s="6389" t="s">
        <v>2182</v>
      </c>
      <c r="D282" s="7169"/>
      <c r="E282" s="7169"/>
      <c r="F282" s="7169"/>
      <c r="G282" s="7169"/>
      <c r="H282" s="7169"/>
      <c r="I282" s="7169"/>
      <c r="J282" s="7169"/>
      <c r="K282" s="7169"/>
      <c r="L282" s="7169"/>
      <c r="M282" s="7169"/>
    </row>
    <row r="283" spans="2:13" ht="15" hidden="1" customHeight="1" x14ac:dyDescent="0.25">
      <c r="B283" s="8386">
        <v>46419</v>
      </c>
      <c r="C283" s="7119" t="s">
        <v>1686</v>
      </c>
      <c r="D283" s="7172"/>
      <c r="E283" s="7160"/>
      <c r="F283" s="7160"/>
      <c r="G283" s="7160"/>
      <c r="H283" s="7160"/>
      <c r="I283" s="7160"/>
      <c r="J283" s="7160"/>
      <c r="K283" s="7160"/>
      <c r="L283" s="7172"/>
      <c r="M283" s="7172"/>
    </row>
    <row r="284" spans="2:13" ht="15" hidden="1" customHeight="1" thickBot="1" x14ac:dyDescent="0.3">
      <c r="B284" s="8386"/>
      <c r="C284" s="7168"/>
      <c r="D284" s="7120"/>
      <c r="E284" s="7120"/>
      <c r="F284" s="7120"/>
      <c r="G284" s="7120"/>
      <c r="H284" s="7120"/>
      <c r="I284" s="7120"/>
      <c r="J284" s="7120"/>
      <c r="K284" s="7120"/>
      <c r="L284" s="7120"/>
      <c r="M284" s="7120"/>
    </row>
    <row r="285" spans="2:13" ht="15" hidden="1" customHeight="1" x14ac:dyDescent="0.25">
      <c r="B285" s="8386"/>
      <c r="C285" s="6380" t="s">
        <v>1697</v>
      </c>
      <c r="D285" s="7165"/>
      <c r="E285" s="7165"/>
      <c r="F285" s="7165"/>
      <c r="G285" s="7165"/>
      <c r="H285" s="7165"/>
      <c r="I285" s="7165"/>
      <c r="J285" s="7165"/>
      <c r="K285" s="7165"/>
      <c r="L285" s="7165"/>
      <c r="M285" s="7165"/>
    </row>
    <row r="286" spans="2:13" ht="15" hidden="1" customHeight="1" x14ac:dyDescent="0.25">
      <c r="B286" s="8386"/>
      <c r="C286" s="7151" t="s">
        <v>1698</v>
      </c>
      <c r="D286" s="7165"/>
      <c r="E286" s="7165"/>
      <c r="F286" s="7165"/>
      <c r="G286" s="7165"/>
      <c r="H286" s="7165"/>
      <c r="I286" s="7165"/>
      <c r="J286" s="7165"/>
      <c r="K286" s="7165"/>
      <c r="L286" s="7165"/>
      <c r="M286" s="7165"/>
    </row>
    <row r="287" spans="2:13" ht="15" hidden="1" customHeight="1" x14ac:dyDescent="0.25">
      <c r="B287" s="8386"/>
      <c r="C287" s="7151" t="s">
        <v>1699</v>
      </c>
      <c r="D287" s="7165"/>
      <c r="E287" s="7165"/>
      <c r="F287" s="7165"/>
      <c r="G287" s="7165"/>
      <c r="H287" s="7165"/>
      <c r="I287" s="7165"/>
      <c r="J287" s="7165"/>
      <c r="K287" s="7165"/>
      <c r="L287" s="7165"/>
      <c r="M287" s="7165"/>
    </row>
    <row r="288" spans="2:13" ht="15" hidden="1" customHeight="1" x14ac:dyDescent="0.25">
      <c r="B288" s="8386"/>
      <c r="C288" s="7151" t="s">
        <v>442</v>
      </c>
      <c r="D288" s="7165"/>
      <c r="E288" s="7165"/>
      <c r="F288" s="7165"/>
      <c r="G288" s="7165"/>
      <c r="H288" s="7165"/>
      <c r="I288" s="7165"/>
      <c r="J288" s="7165"/>
      <c r="K288" s="7165"/>
      <c r="L288" s="7165"/>
      <c r="M288" s="7165"/>
    </row>
    <row r="289" spans="2:13" ht="15" hidden="1" customHeight="1" x14ac:dyDescent="0.25">
      <c r="B289" s="8386"/>
      <c r="C289" s="7151" t="s">
        <v>1700</v>
      </c>
      <c r="D289" s="7165"/>
      <c r="E289" s="7165"/>
      <c r="F289" s="7165"/>
      <c r="G289" s="7165"/>
      <c r="H289" s="7165"/>
      <c r="I289" s="7165"/>
      <c r="J289" s="7165"/>
      <c r="K289" s="7165"/>
      <c r="L289" s="7165"/>
      <c r="M289" s="7165"/>
    </row>
    <row r="290" spans="2:13" ht="15" hidden="1" customHeight="1" x14ac:dyDescent="0.25">
      <c r="B290" s="8386"/>
      <c r="C290" s="7151" t="s">
        <v>1701</v>
      </c>
      <c r="D290" s="7165"/>
      <c r="E290" s="7165"/>
      <c r="F290" s="7165"/>
      <c r="G290" s="7165"/>
      <c r="H290" s="7165"/>
      <c r="I290" s="7165"/>
      <c r="J290" s="7165"/>
      <c r="K290" s="7165"/>
      <c r="L290" s="7165"/>
      <c r="M290" s="7165"/>
    </row>
    <row r="291" spans="2:13" ht="15" hidden="1" customHeight="1" x14ac:dyDescent="0.25">
      <c r="B291" s="8386"/>
      <c r="C291" s="7151" t="s">
        <v>1702</v>
      </c>
      <c r="D291" s="7165"/>
      <c r="E291" s="7165"/>
      <c r="F291" s="7165"/>
      <c r="G291" s="7165"/>
      <c r="H291" s="7165"/>
      <c r="I291" s="7165"/>
      <c r="J291" s="7165"/>
      <c r="K291" s="7165"/>
      <c r="L291" s="7165"/>
      <c r="M291" s="7165"/>
    </row>
    <row r="292" spans="2:13" ht="15" hidden="1" customHeight="1" x14ac:dyDescent="0.25">
      <c r="B292" s="8386"/>
      <c r="C292" s="7151" t="s">
        <v>1703</v>
      </c>
      <c r="D292" s="7165"/>
      <c r="E292" s="7165"/>
      <c r="F292" s="7165"/>
      <c r="G292" s="7165"/>
      <c r="H292" s="7165"/>
      <c r="I292" s="7165"/>
      <c r="J292" s="7165"/>
      <c r="K292" s="7165"/>
      <c r="L292" s="7165"/>
      <c r="M292" s="7165"/>
    </row>
    <row r="293" spans="2:13" ht="15" hidden="1" customHeight="1" x14ac:dyDescent="0.25">
      <c r="B293" s="8386"/>
      <c r="C293" s="7151" t="s">
        <v>1704</v>
      </c>
      <c r="D293" s="7165"/>
      <c r="E293" s="7165"/>
      <c r="F293" s="7165"/>
      <c r="G293" s="7165"/>
      <c r="H293" s="7165"/>
      <c r="I293" s="7165"/>
      <c r="J293" s="7165"/>
      <c r="K293" s="7165"/>
      <c r="L293" s="7165"/>
      <c r="M293" s="7165"/>
    </row>
    <row r="294" spans="2:13" ht="28.5" hidden="1" customHeight="1" x14ac:dyDescent="0.25">
      <c r="B294" s="8386"/>
      <c r="C294" s="7151" t="s">
        <v>1710</v>
      </c>
      <c r="D294" s="7165"/>
      <c r="E294" s="7165"/>
      <c r="F294" s="7165"/>
      <c r="G294" s="7165"/>
      <c r="H294" s="7165"/>
      <c r="I294" s="7165"/>
      <c r="J294" s="7165"/>
      <c r="K294" s="7165"/>
      <c r="L294" s="7165"/>
      <c r="M294" s="7165"/>
    </row>
    <row r="295" spans="2:13" ht="15" hidden="1" customHeight="1" x14ac:dyDescent="0.25">
      <c r="B295" s="8386"/>
      <c r="C295" s="7151" t="s">
        <v>1705</v>
      </c>
      <c r="D295" s="7165"/>
      <c r="E295" s="7165"/>
      <c r="F295" s="7165"/>
      <c r="G295" s="7165"/>
      <c r="H295" s="7165"/>
      <c r="I295" s="7165"/>
      <c r="J295" s="7165"/>
      <c r="K295" s="7165"/>
      <c r="L295" s="7165"/>
      <c r="M295" s="7165"/>
    </row>
    <row r="296" spans="2:13" ht="15" hidden="1" customHeight="1" x14ac:dyDescent="0.25">
      <c r="B296" s="8386"/>
      <c r="C296" s="7151" t="s">
        <v>1706</v>
      </c>
      <c r="D296" s="7165"/>
      <c r="E296" s="7165"/>
      <c r="F296" s="7165"/>
      <c r="G296" s="7165"/>
      <c r="H296" s="7165"/>
      <c r="I296" s="7165"/>
      <c r="J296" s="7165"/>
      <c r="K296" s="7165"/>
      <c r="L296" s="7165"/>
      <c r="M296" s="7165"/>
    </row>
    <row r="297" spans="2:13" ht="15" hidden="1" customHeight="1" x14ac:dyDescent="0.25">
      <c r="B297" s="8386"/>
      <c r="C297" s="7151" t="s">
        <v>1707</v>
      </c>
      <c r="D297" s="7165"/>
      <c r="E297" s="7165"/>
      <c r="F297" s="7165"/>
      <c r="G297" s="7165"/>
      <c r="H297" s="7165"/>
      <c r="I297" s="7165"/>
      <c r="J297" s="7165"/>
      <c r="K297" s="7165"/>
      <c r="L297" s="7165"/>
      <c r="M297" s="7165"/>
    </row>
    <row r="298" spans="2:13" ht="15" hidden="1" customHeight="1" x14ac:dyDescent="0.25">
      <c r="B298" s="8386"/>
      <c r="C298" s="7151" t="s">
        <v>1708</v>
      </c>
      <c r="D298" s="7165"/>
      <c r="E298" s="7165"/>
      <c r="F298" s="7165"/>
      <c r="G298" s="7165"/>
      <c r="H298" s="7165"/>
      <c r="I298" s="7165"/>
      <c r="J298" s="7165"/>
      <c r="K298" s="7165"/>
      <c r="L298" s="7165"/>
      <c r="M298" s="7165"/>
    </row>
    <row r="299" spans="2:13" ht="15" hidden="1" customHeight="1" x14ac:dyDescent="0.25">
      <c r="B299" s="8386"/>
      <c r="C299" s="7151" t="s">
        <v>1841</v>
      </c>
      <c r="D299" s="7165"/>
      <c r="E299" s="7165"/>
      <c r="F299" s="7165"/>
      <c r="G299" s="7165"/>
      <c r="H299" s="7165"/>
      <c r="I299" s="7165"/>
      <c r="J299" s="7165"/>
      <c r="K299" s="7165"/>
      <c r="L299" s="7165"/>
      <c r="M299" s="7165"/>
    </row>
    <row r="300" spans="2:13" ht="15" hidden="1" customHeight="1" x14ac:dyDescent="0.25">
      <c r="B300" s="8386"/>
      <c r="C300" s="7151" t="s">
        <v>82</v>
      </c>
      <c r="D300" s="7165"/>
      <c r="E300" s="7165"/>
      <c r="F300" s="7165"/>
      <c r="G300" s="7165"/>
      <c r="H300" s="7165"/>
      <c r="I300" s="7165"/>
      <c r="J300" s="7165"/>
      <c r="K300" s="7165"/>
      <c r="L300" s="7165"/>
      <c r="M300" s="7165"/>
    </row>
    <row r="301" spans="2:13" ht="15" hidden="1" customHeight="1" x14ac:dyDescent="0.25">
      <c r="B301" s="8386"/>
      <c r="C301" s="7151" t="s">
        <v>1709</v>
      </c>
      <c r="D301" s="7165"/>
      <c r="E301" s="7165"/>
      <c r="F301" s="7165"/>
      <c r="G301" s="7165"/>
      <c r="H301" s="7165"/>
      <c r="I301" s="7165"/>
      <c r="J301" s="7165"/>
      <c r="K301" s="7165"/>
      <c r="L301" s="7165"/>
      <c r="M301" s="7165"/>
    </row>
    <row r="302" spans="2:13" ht="15" hidden="1" customHeight="1" x14ac:dyDescent="0.25">
      <c r="B302" s="8386"/>
      <c r="C302" s="7151" t="s">
        <v>100</v>
      </c>
      <c r="D302" s="7165"/>
      <c r="E302" s="7165"/>
      <c r="F302" s="7165"/>
      <c r="G302" s="7165"/>
      <c r="H302" s="7165"/>
      <c r="I302" s="7165"/>
      <c r="J302" s="7165"/>
      <c r="K302" s="7165"/>
      <c r="L302" s="7165"/>
      <c r="M302" s="7165"/>
    </row>
    <row r="303" spans="2:13" ht="15" hidden="1" customHeight="1" x14ac:dyDescent="0.25">
      <c r="B303" s="8386"/>
      <c r="C303" s="7151" t="s">
        <v>58</v>
      </c>
      <c r="D303" s="7165"/>
      <c r="E303" s="7165"/>
      <c r="F303" s="7165"/>
      <c r="G303" s="7165"/>
      <c r="H303" s="7165"/>
      <c r="I303" s="7165"/>
      <c r="J303" s="7165"/>
      <c r="K303" s="7165"/>
      <c r="L303" s="7165"/>
      <c r="M303" s="7165"/>
    </row>
    <row r="304" spans="2:13" ht="15" hidden="1" customHeight="1" thickBot="1" x14ac:dyDescent="0.3">
      <c r="B304" s="8386"/>
      <c r="C304" s="6389" t="s">
        <v>2182</v>
      </c>
      <c r="D304" s="7165"/>
      <c r="E304" s="7165"/>
      <c r="F304" s="7165"/>
      <c r="G304" s="7165"/>
      <c r="H304" s="7165"/>
      <c r="I304" s="7165"/>
      <c r="J304" s="7165"/>
      <c r="K304" s="7165"/>
      <c r="L304" s="7165"/>
      <c r="M304" s="7165"/>
    </row>
    <row r="305" spans="2:13" ht="15" hidden="1" customHeight="1" x14ac:dyDescent="0.25">
      <c r="B305" s="8386">
        <v>46447</v>
      </c>
      <c r="C305" s="7119" t="s">
        <v>1686</v>
      </c>
      <c r="D305" s="7172"/>
      <c r="E305" s="7160"/>
      <c r="F305" s="7160"/>
      <c r="G305" s="7160"/>
      <c r="H305" s="7160"/>
      <c r="I305" s="7160"/>
      <c r="J305" s="7160"/>
      <c r="K305" s="7160"/>
      <c r="L305" s="7172"/>
      <c r="M305" s="7172"/>
    </row>
    <row r="306" spans="2:13" ht="15" hidden="1" customHeight="1" thickBot="1" x14ac:dyDescent="0.3">
      <c r="B306" s="8386"/>
      <c r="C306" s="7168"/>
      <c r="D306" s="7120" t="s">
        <v>1687</v>
      </c>
      <c r="E306" s="7120" t="s">
        <v>1688</v>
      </c>
      <c r="F306" s="7120"/>
      <c r="G306" s="7120" t="s">
        <v>1689</v>
      </c>
      <c r="H306" s="7120"/>
      <c r="I306" s="7120" t="s">
        <v>1021</v>
      </c>
      <c r="J306" s="7120"/>
      <c r="K306" s="7120" t="s">
        <v>59</v>
      </c>
      <c r="L306" s="7120" t="s">
        <v>95</v>
      </c>
      <c r="M306" s="7120" t="s">
        <v>1247</v>
      </c>
    </row>
    <row r="307" spans="2:13" ht="15" hidden="1" customHeight="1" x14ac:dyDescent="0.25">
      <c r="B307" s="8386"/>
      <c r="C307" s="6380" t="s">
        <v>1697</v>
      </c>
      <c r="D307" s="7169"/>
      <c r="E307" s="7169"/>
      <c r="F307" s="7169"/>
      <c r="G307" s="7169"/>
      <c r="H307" s="7169"/>
      <c r="I307" s="7169"/>
      <c r="J307" s="7169"/>
      <c r="K307" s="7169"/>
      <c r="L307" s="7169"/>
      <c r="M307" s="7169"/>
    </row>
    <row r="308" spans="2:13" ht="15" hidden="1" customHeight="1" x14ac:dyDescent="0.25">
      <c r="B308" s="8386"/>
      <c r="C308" s="7151" t="s">
        <v>1698</v>
      </c>
      <c r="D308" s="7169"/>
      <c r="E308" s="7169"/>
      <c r="F308" s="7169"/>
      <c r="G308" s="7169"/>
      <c r="H308" s="7169"/>
      <c r="I308" s="7169"/>
      <c r="J308" s="7169"/>
      <c r="K308" s="7169"/>
      <c r="L308" s="7169"/>
      <c r="M308" s="7169"/>
    </row>
    <row r="309" spans="2:13" ht="15" hidden="1" customHeight="1" x14ac:dyDescent="0.25">
      <c r="B309" s="8386"/>
      <c r="C309" s="7151" t="s">
        <v>1699</v>
      </c>
      <c r="D309" s="7169"/>
      <c r="E309" s="7169"/>
      <c r="F309" s="7169"/>
      <c r="G309" s="7169"/>
      <c r="H309" s="7169"/>
      <c r="I309" s="7169"/>
      <c r="J309" s="7169"/>
      <c r="K309" s="7169"/>
      <c r="L309" s="7169"/>
      <c r="M309" s="7169"/>
    </row>
    <row r="310" spans="2:13" ht="15" hidden="1" customHeight="1" x14ac:dyDescent="0.25">
      <c r="B310" s="8386"/>
      <c r="C310" s="7151" t="s">
        <v>442</v>
      </c>
      <c r="D310" s="7169"/>
      <c r="E310" s="7169"/>
      <c r="F310" s="7169"/>
      <c r="G310" s="7169"/>
      <c r="H310" s="7169"/>
      <c r="I310" s="7169"/>
      <c r="J310" s="7169"/>
      <c r="K310" s="7169"/>
      <c r="L310" s="7169"/>
      <c r="M310" s="7169"/>
    </row>
    <row r="311" spans="2:13" ht="15" hidden="1" customHeight="1" x14ac:dyDescent="0.25">
      <c r="B311" s="8386"/>
      <c r="C311" s="7151" t="s">
        <v>1700</v>
      </c>
      <c r="D311" s="7169"/>
      <c r="E311" s="7169"/>
      <c r="F311" s="7169"/>
      <c r="G311" s="7169"/>
      <c r="H311" s="7169"/>
      <c r="I311" s="7169"/>
      <c r="J311" s="7169"/>
      <c r="K311" s="7169"/>
      <c r="L311" s="7169"/>
      <c r="M311" s="7169"/>
    </row>
    <row r="312" spans="2:13" ht="15" hidden="1" customHeight="1" x14ac:dyDescent="0.25">
      <c r="B312" s="8386"/>
      <c r="C312" s="7151" t="s">
        <v>1701</v>
      </c>
      <c r="D312" s="7169"/>
      <c r="E312" s="7169"/>
      <c r="F312" s="7169"/>
      <c r="G312" s="7169"/>
      <c r="H312" s="7169"/>
      <c r="I312" s="7169"/>
      <c r="J312" s="7169"/>
      <c r="K312" s="7169"/>
      <c r="L312" s="7169"/>
      <c r="M312" s="7169"/>
    </row>
    <row r="313" spans="2:13" ht="15" hidden="1" customHeight="1" x14ac:dyDescent="0.25">
      <c r="B313" s="8386"/>
      <c r="C313" s="7151" t="s">
        <v>1702</v>
      </c>
      <c r="D313" s="7169"/>
      <c r="E313" s="7169"/>
      <c r="F313" s="7169"/>
      <c r="G313" s="7169"/>
      <c r="H313" s="7169"/>
      <c r="I313" s="7169"/>
      <c r="J313" s="7169"/>
      <c r="K313" s="7169"/>
      <c r="L313" s="7169"/>
      <c r="M313" s="7169"/>
    </row>
    <row r="314" spans="2:13" ht="15" hidden="1" customHeight="1" x14ac:dyDescent="0.25">
      <c r="B314" s="8386"/>
      <c r="C314" s="7151" t="s">
        <v>1703</v>
      </c>
      <c r="D314" s="7169"/>
      <c r="E314" s="7169"/>
      <c r="F314" s="7169"/>
      <c r="G314" s="7169"/>
      <c r="H314" s="7169"/>
      <c r="I314" s="7169"/>
      <c r="J314" s="7169"/>
      <c r="K314" s="7169"/>
      <c r="L314" s="7169"/>
      <c r="M314" s="7169"/>
    </row>
    <row r="315" spans="2:13" ht="15" hidden="1" customHeight="1" x14ac:dyDescent="0.25">
      <c r="B315" s="8386"/>
      <c r="C315" s="7151" t="s">
        <v>1704</v>
      </c>
      <c r="D315" s="7169"/>
      <c r="E315" s="7169"/>
      <c r="F315" s="7169"/>
      <c r="G315" s="7169"/>
      <c r="H315" s="7169"/>
      <c r="I315" s="7169"/>
      <c r="J315" s="7169"/>
      <c r="K315" s="7169"/>
      <c r="L315" s="7169"/>
      <c r="M315" s="7169"/>
    </row>
    <row r="316" spans="2:13" ht="28.5" hidden="1" customHeight="1" x14ac:dyDescent="0.25">
      <c r="B316" s="8386"/>
      <c r="C316" s="7151" t="s">
        <v>1710</v>
      </c>
      <c r="D316" s="7169"/>
      <c r="E316" s="7169"/>
      <c r="F316" s="7169"/>
      <c r="G316" s="7169"/>
      <c r="H316" s="7169"/>
      <c r="I316" s="7169"/>
      <c r="J316" s="7169"/>
      <c r="K316" s="7169"/>
      <c r="L316" s="7169"/>
      <c r="M316" s="7169"/>
    </row>
    <row r="317" spans="2:13" ht="15" hidden="1" customHeight="1" x14ac:dyDescent="0.25">
      <c r="B317" s="8386"/>
      <c r="C317" s="7151" t="s">
        <v>1705</v>
      </c>
      <c r="D317" s="7169"/>
      <c r="E317" s="7169"/>
      <c r="F317" s="7169"/>
      <c r="G317" s="7169"/>
      <c r="H317" s="7169"/>
      <c r="I317" s="7169"/>
      <c r="J317" s="7169"/>
      <c r="K317" s="7169"/>
      <c r="L317" s="7169"/>
      <c r="M317" s="7169"/>
    </row>
    <row r="318" spans="2:13" ht="15" hidden="1" customHeight="1" x14ac:dyDescent="0.25">
      <c r="B318" s="8386"/>
      <c r="C318" s="7151" t="s">
        <v>1706</v>
      </c>
      <c r="D318" s="7169"/>
      <c r="E318" s="7169"/>
      <c r="F318" s="7169"/>
      <c r="G318" s="7169"/>
      <c r="H318" s="7169"/>
      <c r="I318" s="7169"/>
      <c r="J318" s="7169"/>
      <c r="K318" s="7169"/>
      <c r="L318" s="7169"/>
      <c r="M318" s="7169"/>
    </row>
    <row r="319" spans="2:13" ht="15" hidden="1" customHeight="1" x14ac:dyDescent="0.25">
      <c r="B319" s="8386"/>
      <c r="C319" s="7151" t="s">
        <v>1707</v>
      </c>
      <c r="D319" s="7169"/>
      <c r="E319" s="7169"/>
      <c r="F319" s="7169"/>
      <c r="G319" s="7169"/>
      <c r="H319" s="7169"/>
      <c r="I319" s="7169"/>
      <c r="J319" s="7169"/>
      <c r="K319" s="7169"/>
      <c r="L319" s="7169"/>
      <c r="M319" s="7169"/>
    </row>
    <row r="320" spans="2:13" ht="15" hidden="1" customHeight="1" x14ac:dyDescent="0.25">
      <c r="B320" s="8386"/>
      <c r="C320" s="7151" t="s">
        <v>1708</v>
      </c>
      <c r="D320" s="7169"/>
      <c r="E320" s="7169"/>
      <c r="F320" s="7169"/>
      <c r="G320" s="7169"/>
      <c r="H320" s="7169"/>
      <c r="I320" s="7169"/>
      <c r="J320" s="7169"/>
      <c r="K320" s="7169"/>
      <c r="L320" s="7169"/>
      <c r="M320" s="7169"/>
    </row>
    <row r="321" spans="2:13" ht="15" hidden="1" customHeight="1" x14ac:dyDescent="0.25">
      <c r="B321" s="8386"/>
      <c r="C321" s="7151" t="s">
        <v>1841</v>
      </c>
      <c r="D321" s="7169"/>
      <c r="E321" s="7169"/>
      <c r="F321" s="7169"/>
      <c r="G321" s="7169"/>
      <c r="H321" s="7169"/>
      <c r="I321" s="7169"/>
      <c r="J321" s="7169"/>
      <c r="K321" s="7169"/>
      <c r="L321" s="7169"/>
      <c r="M321" s="7169"/>
    </row>
    <row r="322" spans="2:13" ht="15" hidden="1" customHeight="1" x14ac:dyDescent="0.25">
      <c r="B322" s="8386"/>
      <c r="C322" s="7151" t="s">
        <v>82</v>
      </c>
      <c r="D322" s="7169"/>
      <c r="E322" s="7169"/>
      <c r="F322" s="7169"/>
      <c r="G322" s="7169"/>
      <c r="H322" s="7169"/>
      <c r="I322" s="7169"/>
      <c r="J322" s="7169"/>
      <c r="K322" s="7169"/>
      <c r="L322" s="7169"/>
      <c r="M322" s="7169"/>
    </row>
    <row r="323" spans="2:13" ht="15" hidden="1" customHeight="1" x14ac:dyDescent="0.25">
      <c r="B323" s="8386"/>
      <c r="C323" s="7151" t="s">
        <v>1709</v>
      </c>
      <c r="D323" s="7169"/>
      <c r="E323" s="7169"/>
      <c r="F323" s="7169"/>
      <c r="G323" s="7169"/>
      <c r="H323" s="7169"/>
      <c r="I323" s="7169"/>
      <c r="J323" s="7169"/>
      <c r="K323" s="7169"/>
      <c r="L323" s="7169"/>
      <c r="M323" s="7169"/>
    </row>
    <row r="324" spans="2:13" ht="15" hidden="1" customHeight="1" x14ac:dyDescent="0.25">
      <c r="B324" s="8386"/>
      <c r="C324" s="7151" t="s">
        <v>100</v>
      </c>
      <c r="D324" s="7169"/>
      <c r="E324" s="7169"/>
      <c r="F324" s="7169"/>
      <c r="G324" s="7169"/>
      <c r="H324" s="7169"/>
      <c r="I324" s="7169"/>
      <c r="J324" s="7169"/>
      <c r="K324" s="7169"/>
      <c r="L324" s="7169"/>
      <c r="M324" s="7169"/>
    </row>
    <row r="325" spans="2:13" ht="15" hidden="1" customHeight="1" x14ac:dyDescent="0.25">
      <c r="B325" s="8386"/>
      <c r="C325" s="7151" t="s">
        <v>58</v>
      </c>
      <c r="D325" s="7169"/>
      <c r="E325" s="7169"/>
      <c r="F325" s="7169"/>
      <c r="G325" s="7169"/>
      <c r="H325" s="7169"/>
      <c r="I325" s="7169"/>
      <c r="J325" s="7169"/>
      <c r="K325" s="7169"/>
      <c r="L325" s="7169"/>
      <c r="M325" s="7169"/>
    </row>
    <row r="326" spans="2:13" ht="15" hidden="1" customHeight="1" thickBot="1" x14ac:dyDescent="0.3">
      <c r="B326" s="8386"/>
      <c r="C326" s="6389" t="s">
        <v>2182</v>
      </c>
      <c r="D326" s="7169"/>
      <c r="E326" s="7169"/>
      <c r="F326" s="7169"/>
      <c r="G326" s="7169"/>
      <c r="H326" s="7169"/>
      <c r="I326" s="7169"/>
      <c r="J326" s="7169"/>
      <c r="K326" s="7169"/>
      <c r="L326" s="7169"/>
      <c r="M326" s="7169"/>
    </row>
    <row r="327" spans="2:13" ht="15" customHeight="1" x14ac:dyDescent="0.25">
      <c r="B327" s="258"/>
    </row>
    <row r="328" spans="2:13" ht="15" customHeight="1" x14ac:dyDescent="0.25"/>
    <row r="329" spans="2:13" ht="15" customHeight="1" x14ac:dyDescent="0.25"/>
  </sheetData>
  <mergeCells count="17">
    <mergeCell ref="B216:B237"/>
    <mergeCell ref="B239:B260"/>
    <mergeCell ref="B261:B282"/>
    <mergeCell ref="B283:B304"/>
    <mergeCell ref="B305:B326"/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</mergeCells>
  <pageMargins left="0.7" right="0.7" top="0.75" bottom="0.75" header="0.3" footer="0.3"/>
  <pageSetup scale="66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C4:M42"/>
  <sheetViews>
    <sheetView topLeftCell="G1" workbookViewId="0">
      <selection activeCell="L44" sqref="L44"/>
    </sheetView>
  </sheetViews>
  <sheetFormatPr defaultColWidth="9.140625" defaultRowHeight="15" x14ac:dyDescent="0.25"/>
  <cols>
    <col min="1" max="1" width="0" style="4487" hidden="1" customWidth="1"/>
    <col min="2" max="2" width="9.140625" style="4487"/>
    <col min="3" max="3" width="12.7109375" style="4487" bestFit="1" customWidth="1"/>
    <col min="4" max="4" width="24.5703125" style="4487" bestFit="1" customWidth="1"/>
    <col min="5" max="5" width="48.42578125" style="4487" customWidth="1"/>
    <col min="6" max="6" width="22.28515625" style="259" bestFit="1" customWidth="1"/>
    <col min="7" max="7" width="27.5703125" style="4487" customWidth="1"/>
    <col min="8" max="8" width="70.28515625" style="4487" customWidth="1"/>
    <col min="9" max="9" width="27.7109375" style="259" bestFit="1" customWidth="1"/>
    <col min="10" max="10" width="27.7109375" style="4487" bestFit="1" customWidth="1"/>
    <col min="11" max="11" width="46.5703125" style="4487" customWidth="1"/>
    <col min="12" max="12" width="27.7109375" style="4487" bestFit="1" customWidth="1"/>
    <col min="13" max="13" width="18.140625" style="4487" bestFit="1" customWidth="1"/>
    <col min="14" max="16384" width="9.140625" style="4487"/>
  </cols>
  <sheetData>
    <row r="4" spans="3:12" ht="20.25" x14ac:dyDescent="0.25">
      <c r="C4" s="8400" t="s">
        <v>1832</v>
      </c>
      <c r="D4" s="8400" t="s">
        <v>1833</v>
      </c>
      <c r="E4" s="6215"/>
      <c r="F4" s="8401" t="s">
        <v>2083</v>
      </c>
      <c r="G4" s="8402"/>
      <c r="H4" s="8403"/>
      <c r="I4" s="8402"/>
      <c r="J4" s="8402"/>
      <c r="K4" s="8404"/>
    </row>
    <row r="5" spans="3:12" ht="20.25" x14ac:dyDescent="0.25">
      <c r="C5" s="8400"/>
      <c r="D5" s="8400"/>
      <c r="E5" s="6215" t="s">
        <v>1837</v>
      </c>
      <c r="F5" s="6215" t="s">
        <v>2110</v>
      </c>
      <c r="G5" s="6215" t="s">
        <v>1834</v>
      </c>
      <c r="H5" s="6215" t="s">
        <v>2109</v>
      </c>
      <c r="I5" s="6215" t="s">
        <v>2110</v>
      </c>
      <c r="J5" s="6215" t="s">
        <v>1834</v>
      </c>
      <c r="K5" s="6215" t="s">
        <v>1838</v>
      </c>
    </row>
    <row r="6" spans="3:12" ht="101.25" x14ac:dyDescent="0.25">
      <c r="C6" s="6216">
        <v>1</v>
      </c>
      <c r="D6" s="6217" t="s">
        <v>1020</v>
      </c>
      <c r="E6" s="6210" t="s">
        <v>2084</v>
      </c>
      <c r="F6" s="6218" t="s">
        <v>2042</v>
      </c>
      <c r="G6" s="6218" t="s">
        <v>2100</v>
      </c>
      <c r="H6" s="6235" t="s">
        <v>2147</v>
      </c>
      <c r="I6" s="6219" t="s">
        <v>2136</v>
      </c>
      <c r="J6" s="6216">
        <v>4</v>
      </c>
      <c r="K6" s="6219"/>
    </row>
    <row r="7" spans="3:12" ht="121.5" x14ac:dyDescent="0.3">
      <c r="C7" s="8405">
        <v>2</v>
      </c>
      <c r="D7" s="6220" t="s">
        <v>1835</v>
      </c>
      <c r="E7" s="6211" t="s">
        <v>2085</v>
      </c>
      <c r="F7" s="6218" t="s">
        <v>2042</v>
      </c>
      <c r="G7" s="6221" t="s">
        <v>2099</v>
      </c>
      <c r="H7" s="6228" t="s">
        <v>2167</v>
      </c>
      <c r="I7" s="6243" t="s">
        <v>2166</v>
      </c>
      <c r="J7" s="6241">
        <v>8</v>
      </c>
      <c r="K7" s="6222"/>
    </row>
    <row r="8" spans="3:12" ht="60.75" x14ac:dyDescent="0.3">
      <c r="C8" s="8405"/>
      <c r="D8" s="6220" t="s">
        <v>1836</v>
      </c>
      <c r="E8" s="6211" t="s">
        <v>2086</v>
      </c>
      <c r="F8" s="6218" t="s">
        <v>2042</v>
      </c>
      <c r="G8" s="6221" t="s">
        <v>2099</v>
      </c>
      <c r="H8" s="6228" t="s">
        <v>2168</v>
      </c>
      <c r="I8" s="6237" t="s">
        <v>2159</v>
      </c>
      <c r="J8" s="6241">
        <v>6</v>
      </c>
      <c r="K8" s="6222"/>
    </row>
    <row r="9" spans="3:12" ht="27" customHeight="1" x14ac:dyDescent="0.3">
      <c r="C9" s="6223">
        <v>3</v>
      </c>
      <c r="D9" s="6220" t="s">
        <v>1839</v>
      </c>
      <c r="E9" s="6210" t="s">
        <v>2087</v>
      </c>
      <c r="F9" s="6218" t="s">
        <v>2098</v>
      </c>
      <c r="G9" s="6221" t="s">
        <v>2101</v>
      </c>
      <c r="H9" s="6236" t="s">
        <v>2112</v>
      </c>
      <c r="I9" s="6221" t="s">
        <v>2111</v>
      </c>
      <c r="J9" s="6221">
        <v>80</v>
      </c>
      <c r="K9" s="6229"/>
    </row>
    <row r="10" spans="3:12" ht="20.25" x14ac:dyDescent="0.3">
      <c r="C10" s="8406">
        <v>4</v>
      </c>
      <c r="D10" s="6224" t="s">
        <v>1021</v>
      </c>
      <c r="E10" s="6225"/>
      <c r="F10" s="6218"/>
      <c r="G10" s="6221"/>
      <c r="H10" s="6221"/>
      <c r="I10" s="6226"/>
      <c r="J10" s="6216"/>
      <c r="K10" s="6222"/>
    </row>
    <row r="11" spans="3:12" ht="40.5" x14ac:dyDescent="0.25">
      <c r="C11" s="8407"/>
      <c r="D11" s="8410" t="s">
        <v>57</v>
      </c>
      <c r="E11" s="6210" t="s">
        <v>2088</v>
      </c>
      <c r="F11" s="8414" t="s">
        <v>2042</v>
      </c>
      <c r="G11" s="8412" t="s">
        <v>2102</v>
      </c>
      <c r="H11" s="6221"/>
      <c r="I11" s="6219"/>
      <c r="J11" s="6216"/>
      <c r="K11" s="6228" t="s">
        <v>2137</v>
      </c>
      <c r="L11" s="2005"/>
    </row>
    <row r="12" spans="3:12" ht="162" x14ac:dyDescent="0.25">
      <c r="C12" s="8407"/>
      <c r="D12" s="8409"/>
      <c r="E12" s="6210" t="s">
        <v>2089</v>
      </c>
      <c r="F12" s="8415"/>
      <c r="G12" s="8407"/>
      <c r="H12" s="6228" t="s">
        <v>2146</v>
      </c>
      <c r="I12" s="6237" t="s">
        <v>2139</v>
      </c>
      <c r="J12" s="6221" t="s">
        <v>2138</v>
      </c>
      <c r="K12" s="6219"/>
      <c r="L12" s="2005"/>
    </row>
    <row r="13" spans="3:12" ht="40.5" x14ac:dyDescent="0.25">
      <c r="C13" s="8407"/>
      <c r="D13" s="8409"/>
      <c r="E13" s="6210" t="s">
        <v>2090</v>
      </c>
      <c r="F13" s="8416"/>
      <c r="G13" s="8413"/>
      <c r="H13" s="6221"/>
      <c r="I13" s="6219"/>
      <c r="J13" s="6216"/>
      <c r="K13" s="6228" t="s">
        <v>2137</v>
      </c>
    </row>
    <row r="14" spans="3:12" ht="20.25" x14ac:dyDescent="0.25">
      <c r="C14" s="8407"/>
      <c r="D14" s="8411"/>
      <c r="E14" s="6210" t="s">
        <v>2091</v>
      </c>
      <c r="F14" s="6218" t="s">
        <v>2042</v>
      </c>
      <c r="G14" s="6221" t="s">
        <v>2103</v>
      </c>
      <c r="H14" s="6237" t="s">
        <v>2140</v>
      </c>
      <c r="I14" s="6237" t="s">
        <v>2141</v>
      </c>
      <c r="J14" s="6237" t="s">
        <v>2142</v>
      </c>
      <c r="K14" s="6237"/>
    </row>
    <row r="15" spans="3:12" ht="40.5" x14ac:dyDescent="0.25">
      <c r="C15" s="8407"/>
      <c r="D15" s="8408" t="s">
        <v>2094</v>
      </c>
      <c r="E15" s="6227" t="s">
        <v>2092</v>
      </c>
      <c r="F15" s="8414" t="s">
        <v>2042</v>
      </c>
      <c r="G15" s="8417" t="s">
        <v>2104</v>
      </c>
      <c r="H15" s="6213"/>
      <c r="I15" s="6219"/>
      <c r="J15" s="6216"/>
      <c r="K15" s="6238" t="s">
        <v>2143</v>
      </c>
    </row>
    <row r="16" spans="3:12" ht="101.25" x14ac:dyDescent="0.25">
      <c r="C16" s="8407"/>
      <c r="D16" s="8409"/>
      <c r="E16" s="6227" t="s">
        <v>2093</v>
      </c>
      <c r="F16" s="8416"/>
      <c r="G16" s="8417"/>
      <c r="H16" s="6210" t="s">
        <v>2144</v>
      </c>
      <c r="I16" s="6237" t="s">
        <v>2159</v>
      </c>
      <c r="J16" s="6221">
        <v>6</v>
      </c>
      <c r="K16" s="6228" t="s">
        <v>2145</v>
      </c>
    </row>
    <row r="17" spans="3:13" ht="42.75" customHeight="1" x14ac:dyDescent="0.3">
      <c r="C17" s="6216">
        <v>5</v>
      </c>
      <c r="D17" s="6217" t="s">
        <v>59</v>
      </c>
      <c r="E17" s="6228" t="s">
        <v>2095</v>
      </c>
      <c r="F17" s="6218" t="s">
        <v>2042</v>
      </c>
      <c r="G17" s="6213" t="s">
        <v>2104</v>
      </c>
      <c r="H17" s="6210" t="s">
        <v>2148</v>
      </c>
      <c r="I17" s="6221" t="s">
        <v>2152</v>
      </c>
      <c r="J17" s="6221" t="s">
        <v>2149</v>
      </c>
      <c r="K17" s="6222"/>
    </row>
    <row r="18" spans="3:13" ht="40.5" x14ac:dyDescent="0.3">
      <c r="C18" s="6216">
        <v>6</v>
      </c>
      <c r="D18" s="6217" t="s">
        <v>95</v>
      </c>
      <c r="E18" s="6228" t="s">
        <v>2095</v>
      </c>
      <c r="F18" s="6218" t="s">
        <v>2042</v>
      </c>
      <c r="G18" s="6213" t="s">
        <v>2104</v>
      </c>
      <c r="H18" s="6210" t="s">
        <v>2150</v>
      </c>
      <c r="I18" s="6221" t="s">
        <v>2153</v>
      </c>
      <c r="J18" s="6221" t="s">
        <v>2151</v>
      </c>
      <c r="K18" s="6222"/>
    </row>
    <row r="19" spans="3:13" ht="81" x14ac:dyDescent="0.3">
      <c r="C19" s="6216">
        <v>7</v>
      </c>
      <c r="D19" s="6217" t="s">
        <v>1247</v>
      </c>
      <c r="E19" s="6228" t="s">
        <v>2154</v>
      </c>
      <c r="F19" s="6218" t="s">
        <v>2042</v>
      </c>
      <c r="G19" s="6213" t="s">
        <v>2105</v>
      </c>
      <c r="H19" s="6210" t="s">
        <v>2156</v>
      </c>
      <c r="I19" s="6221" t="s">
        <v>2158</v>
      </c>
      <c r="J19" s="6221" t="s">
        <v>2157</v>
      </c>
      <c r="K19" s="6240"/>
    </row>
    <row r="20" spans="3:13" ht="60.75" x14ac:dyDescent="0.25">
      <c r="C20" s="6216">
        <v>8</v>
      </c>
      <c r="D20" s="6217" t="s">
        <v>692</v>
      </c>
      <c r="E20" s="6212" t="s">
        <v>2096</v>
      </c>
      <c r="F20" s="6218" t="s">
        <v>2042</v>
      </c>
      <c r="G20" s="6214" t="s">
        <v>2106</v>
      </c>
      <c r="H20" s="6214"/>
      <c r="I20" s="6216"/>
      <c r="J20" s="6216"/>
      <c r="K20" s="6239" t="s">
        <v>2155</v>
      </c>
    </row>
    <row r="21" spans="3:13" ht="20.25" x14ac:dyDescent="0.25">
      <c r="C21" s="8428">
        <v>9</v>
      </c>
      <c r="D21" s="8429" t="s">
        <v>1840</v>
      </c>
      <c r="E21" s="8430" t="s">
        <v>2097</v>
      </c>
      <c r="F21" s="8431" t="s">
        <v>2042</v>
      </c>
      <c r="G21" s="8428" t="s">
        <v>2107</v>
      </c>
      <c r="H21" s="6242" t="s">
        <v>2163</v>
      </c>
      <c r="I21" s="8414" t="s">
        <v>2162</v>
      </c>
      <c r="J21" s="8414" t="s">
        <v>2160</v>
      </c>
      <c r="K21" s="8425" t="s">
        <v>2161</v>
      </c>
    </row>
    <row r="22" spans="3:13" ht="20.25" x14ac:dyDescent="0.25">
      <c r="C22" s="8428"/>
      <c r="D22" s="8429"/>
      <c r="E22" s="8430"/>
      <c r="F22" s="8431"/>
      <c r="G22" s="8428"/>
      <c r="H22" s="6242" t="s">
        <v>2164</v>
      </c>
      <c r="I22" s="8415"/>
      <c r="J22" s="8415"/>
      <c r="K22" s="8426"/>
    </row>
    <row r="23" spans="3:13" ht="40.5" x14ac:dyDescent="0.25">
      <c r="C23" s="8428"/>
      <c r="D23" s="8429"/>
      <c r="E23" s="8430"/>
      <c r="F23" s="8431"/>
      <c r="G23" s="8428"/>
      <c r="H23" s="6242" t="s">
        <v>2165</v>
      </c>
      <c r="I23" s="8416"/>
      <c r="J23" s="8416"/>
      <c r="K23" s="8427"/>
    </row>
    <row r="25" spans="3:13" ht="20.25" hidden="1" x14ac:dyDescent="0.25">
      <c r="E25" s="8418" t="s">
        <v>1832</v>
      </c>
      <c r="F25" s="8418" t="s">
        <v>1833</v>
      </c>
      <c r="G25" s="6230"/>
      <c r="H25" s="8419" t="s">
        <v>2083</v>
      </c>
      <c r="I25" s="8403"/>
      <c r="J25" s="8403"/>
      <c r="K25" s="8403"/>
      <c r="L25" s="8403"/>
      <c r="M25" s="8420"/>
    </row>
    <row r="26" spans="3:13" ht="20.25" hidden="1" x14ac:dyDescent="0.25">
      <c r="E26" s="8418"/>
      <c r="F26" s="8418"/>
      <c r="G26" s="6230" t="s">
        <v>1837</v>
      </c>
      <c r="H26" s="6230" t="s">
        <v>2108</v>
      </c>
      <c r="I26" s="6230" t="s">
        <v>1834</v>
      </c>
      <c r="J26" s="6230" t="s">
        <v>2109</v>
      </c>
      <c r="K26" s="6230" t="s">
        <v>2110</v>
      </c>
      <c r="L26" s="6230" t="s">
        <v>1834</v>
      </c>
      <c r="M26" s="6230" t="s">
        <v>1838</v>
      </c>
    </row>
    <row r="27" spans="3:13" ht="30" hidden="1" x14ac:dyDescent="0.25">
      <c r="E27" s="8412">
        <v>1</v>
      </c>
      <c r="F27" s="8421" t="s">
        <v>1020</v>
      </c>
      <c r="G27" s="8423" t="s">
        <v>2084</v>
      </c>
      <c r="H27" s="8414" t="s">
        <v>2067</v>
      </c>
      <c r="I27" s="8414" t="s">
        <v>2113</v>
      </c>
      <c r="J27" s="6231" t="s">
        <v>2114</v>
      </c>
      <c r="K27" s="6232" t="s">
        <v>2115</v>
      </c>
      <c r="L27" s="6221">
        <v>2</v>
      </c>
      <c r="M27" s="6230" t="s">
        <v>2116</v>
      </c>
    </row>
    <row r="28" spans="3:13" ht="60" hidden="1" x14ac:dyDescent="0.25">
      <c r="E28" s="8407"/>
      <c r="F28" s="8422"/>
      <c r="G28" s="8424"/>
      <c r="H28" s="8415"/>
      <c r="I28" s="8415"/>
      <c r="J28" s="6231" t="s">
        <v>2117</v>
      </c>
      <c r="K28" s="6232" t="s">
        <v>2118</v>
      </c>
      <c r="L28" s="6221">
        <v>3</v>
      </c>
      <c r="M28" s="6230" t="s">
        <v>2116</v>
      </c>
    </row>
    <row r="29" spans="3:13" ht="60" hidden="1" x14ac:dyDescent="0.25">
      <c r="E29" s="8407"/>
      <c r="F29" s="8422"/>
      <c r="G29" s="8424"/>
      <c r="H29" s="8415"/>
      <c r="I29" s="8415"/>
      <c r="J29" s="6231" t="s">
        <v>2119</v>
      </c>
      <c r="K29" s="6232" t="s">
        <v>2120</v>
      </c>
      <c r="L29" s="6221">
        <v>3</v>
      </c>
      <c r="M29" s="6230" t="s">
        <v>2116</v>
      </c>
    </row>
    <row r="30" spans="3:13" ht="30" hidden="1" x14ac:dyDescent="0.25">
      <c r="E30" s="8407"/>
      <c r="F30" s="8422"/>
      <c r="G30" s="8424"/>
      <c r="H30" s="8415"/>
      <c r="I30" s="8415"/>
      <c r="J30" s="6231" t="s">
        <v>2121</v>
      </c>
      <c r="K30" s="6232" t="s">
        <v>2122</v>
      </c>
      <c r="L30" s="6233">
        <v>4</v>
      </c>
      <c r="M30" s="6230" t="s">
        <v>2116</v>
      </c>
    </row>
    <row r="31" spans="3:13" ht="45" hidden="1" x14ac:dyDescent="0.25">
      <c r="E31" s="8407"/>
      <c r="F31" s="8422"/>
      <c r="G31" s="8424"/>
      <c r="H31" s="8415"/>
      <c r="I31" s="8415"/>
      <c r="J31" s="6231" t="s">
        <v>2123</v>
      </c>
      <c r="K31" s="6232" t="s">
        <v>2122</v>
      </c>
      <c r="L31" s="6233">
        <v>4</v>
      </c>
      <c r="M31" s="6230" t="s">
        <v>2116</v>
      </c>
    </row>
    <row r="32" spans="3:13" ht="30" hidden="1" x14ac:dyDescent="0.25">
      <c r="E32" s="8407"/>
      <c r="F32" s="8422"/>
      <c r="G32" s="8424"/>
      <c r="H32" s="8415"/>
      <c r="I32" s="8415"/>
      <c r="J32" s="6231" t="s">
        <v>2124</v>
      </c>
      <c r="K32" s="6232" t="s">
        <v>2122</v>
      </c>
      <c r="L32" s="6233">
        <v>4</v>
      </c>
      <c r="M32" s="6230" t="s">
        <v>2116</v>
      </c>
    </row>
    <row r="33" spans="5:13" ht="30" hidden="1" x14ac:dyDescent="0.25">
      <c r="E33" s="8407"/>
      <c r="F33" s="8422"/>
      <c r="G33" s="8424"/>
      <c r="H33" s="8415"/>
      <c r="I33" s="8415"/>
      <c r="J33" s="6231" t="s">
        <v>2125</v>
      </c>
      <c r="K33" s="6232" t="s">
        <v>2126</v>
      </c>
      <c r="L33" s="6233">
        <v>2</v>
      </c>
      <c r="M33" s="6230" t="s">
        <v>2116</v>
      </c>
    </row>
    <row r="34" spans="5:13" ht="30" hidden="1" x14ac:dyDescent="0.25">
      <c r="E34" s="8407"/>
      <c r="F34" s="8422"/>
      <c r="G34" s="8424"/>
      <c r="H34" s="8415"/>
      <c r="I34" s="8415"/>
      <c r="J34" s="6231" t="s">
        <v>2127</v>
      </c>
      <c r="K34" s="6232" t="s">
        <v>2122</v>
      </c>
      <c r="L34" s="6233">
        <v>4</v>
      </c>
      <c r="M34" s="6230" t="s">
        <v>2116</v>
      </c>
    </row>
    <row r="35" spans="5:13" ht="30" hidden="1" x14ac:dyDescent="0.25">
      <c r="E35" s="8407"/>
      <c r="F35" s="8422"/>
      <c r="G35" s="8424"/>
      <c r="H35" s="8415"/>
      <c r="I35" s="8415"/>
      <c r="J35" s="6231" t="s">
        <v>2128</v>
      </c>
      <c r="K35" s="6232" t="s">
        <v>2126</v>
      </c>
      <c r="L35" s="6233">
        <v>2</v>
      </c>
      <c r="M35" s="6230" t="s">
        <v>2116</v>
      </c>
    </row>
    <row r="36" spans="5:13" ht="30" hidden="1" x14ac:dyDescent="0.25">
      <c r="E36" s="8407"/>
      <c r="F36" s="8422"/>
      <c r="G36" s="8424"/>
      <c r="H36" s="8415"/>
      <c r="I36" s="8415"/>
      <c r="J36" s="6231" t="s">
        <v>2129</v>
      </c>
      <c r="K36" s="6232" t="s">
        <v>2122</v>
      </c>
      <c r="L36" s="6233">
        <v>3</v>
      </c>
      <c r="M36" s="6230" t="s">
        <v>2116</v>
      </c>
    </row>
    <row r="37" spans="5:13" ht="45" hidden="1" x14ac:dyDescent="0.25">
      <c r="E37" s="8407"/>
      <c r="F37" s="8422"/>
      <c r="G37" s="8424"/>
      <c r="H37" s="8415"/>
      <c r="I37" s="8415"/>
      <c r="J37" s="6231" t="s">
        <v>2130</v>
      </c>
      <c r="K37" s="6232" t="s">
        <v>2120</v>
      </c>
      <c r="L37" s="6233">
        <v>3</v>
      </c>
      <c r="M37" s="6230" t="s">
        <v>2116</v>
      </c>
    </row>
    <row r="38" spans="5:13" ht="30" hidden="1" x14ac:dyDescent="0.25">
      <c r="E38" s="8407"/>
      <c r="F38" s="8422"/>
      <c r="G38" s="8424"/>
      <c r="H38" s="8415"/>
      <c r="I38" s="8415"/>
      <c r="J38" s="6231" t="s">
        <v>2131</v>
      </c>
      <c r="K38" s="6232" t="s">
        <v>2132</v>
      </c>
      <c r="L38" s="6234">
        <v>3</v>
      </c>
      <c r="M38" s="6230" t="s">
        <v>2116</v>
      </c>
    </row>
    <row r="39" spans="5:13" ht="45" hidden="1" x14ac:dyDescent="0.25">
      <c r="E39" s="8407"/>
      <c r="F39" s="8422"/>
      <c r="G39" s="8424"/>
      <c r="H39" s="8415"/>
      <c r="I39" s="8415"/>
      <c r="J39" s="6231" t="s">
        <v>2133</v>
      </c>
      <c r="K39" s="6232" t="s">
        <v>2122</v>
      </c>
      <c r="L39" s="6234">
        <v>4</v>
      </c>
      <c r="M39" s="6230" t="s">
        <v>2116</v>
      </c>
    </row>
    <row r="40" spans="5:13" ht="30" hidden="1" x14ac:dyDescent="0.25">
      <c r="E40" s="8407"/>
      <c r="F40" s="8422"/>
      <c r="G40" s="8424"/>
      <c r="H40" s="8415"/>
      <c r="I40" s="8415"/>
      <c r="J40" s="6231" t="s">
        <v>2134</v>
      </c>
      <c r="K40" s="6232" t="s">
        <v>2135</v>
      </c>
      <c r="L40" s="6234">
        <v>2</v>
      </c>
      <c r="M40" s="6230" t="s">
        <v>2116</v>
      </c>
    </row>
    <row r="41" spans="5:13" hidden="1" x14ac:dyDescent="0.25"/>
    <row r="42" spans="5:13" hidden="1" x14ac:dyDescent="0.25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17"/>
  <sheetViews>
    <sheetView workbookViewId="0">
      <selection activeCell="R22" sqref="R22"/>
    </sheetView>
  </sheetViews>
  <sheetFormatPr defaultColWidth="9.140625" defaultRowHeight="15" x14ac:dyDescent="0.25"/>
  <cols>
    <col min="1" max="1" width="8.5703125" style="4487" bestFit="1" customWidth="1"/>
    <col min="2" max="2" width="24" style="4487" bestFit="1" customWidth="1"/>
    <col min="3" max="3" width="9.42578125" style="4487" bestFit="1" customWidth="1"/>
    <col min="4" max="4" width="10.28515625" style="4487" bestFit="1" customWidth="1"/>
    <col min="5" max="5" width="9.140625" style="4487"/>
    <col min="6" max="6" width="8.42578125" style="4487" bestFit="1" customWidth="1"/>
    <col min="7" max="7" width="9.85546875" style="4487" bestFit="1" customWidth="1"/>
    <col min="8" max="8" width="8.7109375" style="4487" bestFit="1" customWidth="1"/>
    <col min="9" max="9" width="9.28515625" style="4487" bestFit="1" customWidth="1"/>
    <col min="10" max="10" width="10" style="4487" bestFit="1" customWidth="1"/>
    <col min="11" max="12" width="9.140625" style="4487"/>
    <col min="13" max="13" width="8.85546875" style="4487" bestFit="1" customWidth="1"/>
    <col min="14" max="14" width="10.42578125" style="4487" bestFit="1" customWidth="1"/>
    <col min="15" max="16384" width="9.140625" style="4487"/>
  </cols>
  <sheetData>
    <row r="1" spans="1:14" ht="32.25" customHeight="1" x14ac:dyDescent="0.25">
      <c r="A1" s="8432" t="s">
        <v>1832</v>
      </c>
      <c r="B1" s="8433" t="s">
        <v>1907</v>
      </c>
      <c r="C1" s="8434" t="s">
        <v>2364</v>
      </c>
      <c r="D1" s="8434"/>
      <c r="E1" s="8434"/>
      <c r="F1" s="8434"/>
      <c r="G1" s="8434"/>
      <c r="H1" s="8434"/>
      <c r="I1" s="8434"/>
      <c r="J1" s="8434"/>
      <c r="K1" s="8434"/>
      <c r="L1" s="8434"/>
      <c r="M1" s="8434"/>
      <c r="N1" s="8434"/>
    </row>
    <row r="2" spans="1:14" ht="18.75" x14ac:dyDescent="0.3">
      <c r="A2" s="8432"/>
      <c r="B2" s="8433"/>
      <c r="C2" s="7663" t="s">
        <v>2352</v>
      </c>
      <c r="D2" s="7663" t="s">
        <v>2353</v>
      </c>
      <c r="E2" s="7664" t="s">
        <v>2354</v>
      </c>
      <c r="F2" s="7664" t="s">
        <v>2355</v>
      </c>
      <c r="G2" s="7664" t="s">
        <v>2356</v>
      </c>
      <c r="H2" s="7664" t="s">
        <v>2357</v>
      </c>
      <c r="I2" s="7664" t="s">
        <v>2358</v>
      </c>
      <c r="J2" s="7665" t="s">
        <v>2359</v>
      </c>
      <c r="K2" s="7664" t="s">
        <v>2360</v>
      </c>
      <c r="L2" s="7664" t="s">
        <v>2361</v>
      </c>
      <c r="M2" s="7664" t="s">
        <v>2362</v>
      </c>
      <c r="N2" s="7664" t="s">
        <v>2363</v>
      </c>
    </row>
    <row r="3" spans="1:14" ht="18.75" x14ac:dyDescent="0.3">
      <c r="A3" s="7666">
        <v>1</v>
      </c>
      <c r="B3" s="7667" t="s">
        <v>690</v>
      </c>
      <c r="C3" s="7668">
        <v>1.6507933663641332</v>
      </c>
      <c r="D3" s="7668"/>
      <c r="E3" s="7668"/>
      <c r="F3" s="7668"/>
      <c r="G3" s="7668"/>
      <c r="H3" s="7668"/>
      <c r="I3" s="7668"/>
      <c r="J3" s="7668"/>
      <c r="K3" s="7668"/>
      <c r="L3" s="7668"/>
      <c r="M3" s="7668"/>
      <c r="N3" s="7668"/>
    </row>
    <row r="4" spans="1:14" ht="18.75" x14ac:dyDescent="0.3">
      <c r="A4" s="7666">
        <v>2</v>
      </c>
      <c r="B4" s="7667" t="s">
        <v>372</v>
      </c>
      <c r="C4" s="7668">
        <v>0.26527635669680055</v>
      </c>
      <c r="D4" s="7668"/>
      <c r="E4" s="7668"/>
      <c r="F4" s="7668"/>
      <c r="G4" s="7668"/>
      <c r="H4" s="7668"/>
      <c r="I4" s="7668"/>
      <c r="J4" s="7668"/>
      <c r="K4" s="7668"/>
      <c r="L4" s="7668"/>
      <c r="M4" s="7668"/>
      <c r="N4" s="7668"/>
    </row>
    <row r="5" spans="1:14" ht="18.75" x14ac:dyDescent="0.3">
      <c r="A5" s="7666">
        <v>3</v>
      </c>
      <c r="B5" s="7667" t="s">
        <v>1908</v>
      </c>
      <c r="C5" s="7668">
        <v>0</v>
      </c>
      <c r="D5" s="7668"/>
      <c r="E5" s="7668"/>
      <c r="F5" s="7668"/>
      <c r="G5" s="7668"/>
      <c r="H5" s="7668"/>
      <c r="I5" s="7668"/>
      <c r="J5" s="7668"/>
      <c r="K5" s="7668"/>
      <c r="L5" s="7668"/>
      <c r="M5" s="7668"/>
      <c r="N5" s="7668"/>
    </row>
    <row r="6" spans="1:14" ht="18.75" x14ac:dyDescent="0.3">
      <c r="A6" s="7666">
        <v>4</v>
      </c>
      <c r="B6" s="7667" t="s">
        <v>1909</v>
      </c>
      <c r="C6" s="7668">
        <v>0.44939209590280704</v>
      </c>
      <c r="D6" s="7668"/>
      <c r="E6" s="7668"/>
      <c r="F6" s="7668"/>
      <c r="G6" s="7668"/>
      <c r="H6" s="7668"/>
      <c r="I6" s="7668"/>
      <c r="J6" s="7668"/>
      <c r="K6" s="7668"/>
      <c r="L6" s="7668"/>
      <c r="M6" s="7668"/>
      <c r="N6" s="7668"/>
    </row>
    <row r="7" spans="1:14" ht="18.75" x14ac:dyDescent="0.3">
      <c r="A7" s="7666">
        <v>5</v>
      </c>
      <c r="B7" s="7667" t="s">
        <v>1910</v>
      </c>
      <c r="C7" s="7668">
        <v>0.3300093477760952</v>
      </c>
      <c r="D7" s="7668"/>
      <c r="E7" s="7668"/>
      <c r="F7" s="7668"/>
      <c r="G7" s="7668"/>
      <c r="H7" s="7668"/>
      <c r="I7" s="7668"/>
      <c r="J7" s="7668"/>
      <c r="K7" s="7668"/>
      <c r="L7" s="7668"/>
      <c r="M7" s="7668"/>
      <c r="N7" s="7668"/>
    </row>
    <row r="8" spans="1:14" ht="18.75" x14ac:dyDescent="0.3">
      <c r="A8" s="7666">
        <v>6</v>
      </c>
      <c r="B8" s="7667" t="s">
        <v>1911</v>
      </c>
      <c r="C8" s="7668">
        <v>3.9570688002293646</v>
      </c>
      <c r="D8" s="7668"/>
      <c r="E8" s="7668"/>
      <c r="F8" s="7668"/>
      <c r="G8" s="7668"/>
      <c r="H8" s="7668"/>
      <c r="I8" s="7668"/>
      <c r="J8" s="7668"/>
      <c r="K8" s="7668"/>
      <c r="L8" s="7668"/>
      <c r="M8" s="7668"/>
      <c r="N8" s="7668"/>
    </row>
    <row r="9" spans="1:14" ht="18.75" x14ac:dyDescent="0.3">
      <c r="A9" s="7666">
        <v>7</v>
      </c>
      <c r="B9" s="7667" t="s">
        <v>1912</v>
      </c>
      <c r="C9" s="7668">
        <v>0.57166175087131432</v>
      </c>
      <c r="D9" s="7668"/>
      <c r="E9" s="7668"/>
      <c r="F9" s="7668"/>
      <c r="G9" s="7668"/>
      <c r="H9" s="7668"/>
      <c r="I9" s="7668"/>
      <c r="J9" s="7668"/>
      <c r="K9" s="7668"/>
      <c r="L9" s="7668"/>
      <c r="M9" s="7668"/>
      <c r="N9" s="7668"/>
    </row>
    <row r="10" spans="1:14" ht="18.75" x14ac:dyDescent="0.3">
      <c r="A10" s="7666">
        <v>8</v>
      </c>
      <c r="B10" s="7667" t="s">
        <v>1913</v>
      </c>
      <c r="C10" s="7668">
        <v>1.3631735998494801</v>
      </c>
      <c r="D10" s="7668"/>
      <c r="E10" s="7668"/>
      <c r="F10" s="7668"/>
      <c r="G10" s="7668"/>
      <c r="H10" s="7668"/>
      <c r="I10" s="7668"/>
      <c r="J10" s="7668"/>
      <c r="K10" s="7668"/>
      <c r="L10" s="7668"/>
      <c r="M10" s="7668"/>
      <c r="N10" s="7668"/>
    </row>
    <row r="11" spans="1:14" ht="18.75" x14ac:dyDescent="0.3">
      <c r="A11" s="7666">
        <v>9</v>
      </c>
      <c r="B11" s="7667" t="s">
        <v>1914</v>
      </c>
      <c r="C11" s="7668">
        <v>0</v>
      </c>
      <c r="D11" s="7668"/>
      <c r="E11" s="7668"/>
      <c r="F11" s="7668"/>
      <c r="G11" s="7668"/>
      <c r="H11" s="7668"/>
      <c r="I11" s="7668"/>
      <c r="J11" s="7668"/>
      <c r="K11" s="7668"/>
      <c r="L11" s="7668"/>
      <c r="M11" s="7668"/>
      <c r="N11" s="7668"/>
    </row>
    <row r="12" spans="1:14" ht="18.75" x14ac:dyDescent="0.3">
      <c r="A12" s="7666">
        <v>10</v>
      </c>
      <c r="B12" s="7667" t="s">
        <v>1915</v>
      </c>
      <c r="C12" s="7668">
        <v>0.13887271196007633</v>
      </c>
      <c r="D12" s="7668"/>
      <c r="E12" s="7668"/>
      <c r="F12" s="7668"/>
      <c r="G12" s="7668"/>
      <c r="H12" s="7668"/>
      <c r="I12" s="7668"/>
      <c r="J12" s="7668"/>
      <c r="K12" s="7668"/>
      <c r="L12" s="7668"/>
      <c r="M12" s="7668"/>
      <c r="N12" s="7668"/>
    </row>
    <row r="13" spans="1:14" ht="18.75" x14ac:dyDescent="0.3">
      <c r="A13" s="7666">
        <v>11</v>
      </c>
      <c r="B13" s="7667" t="s">
        <v>1916</v>
      </c>
      <c r="C13" s="7668">
        <v>3.5838119215503571E-4</v>
      </c>
      <c r="D13" s="7668"/>
      <c r="E13" s="7668"/>
      <c r="F13" s="7668"/>
      <c r="G13" s="7668"/>
      <c r="H13" s="7668"/>
      <c r="I13" s="7668"/>
      <c r="J13" s="7668"/>
      <c r="K13" s="7668"/>
      <c r="L13" s="7668"/>
      <c r="M13" s="7668"/>
      <c r="N13" s="7668"/>
    </row>
    <row r="14" spans="1:14" ht="18.75" x14ac:dyDescent="0.3">
      <c r="A14" s="7666">
        <v>12</v>
      </c>
      <c r="B14" s="7667" t="s">
        <v>1917</v>
      </c>
      <c r="C14" s="7668">
        <v>0.21667135548726402</v>
      </c>
      <c r="D14" s="7668"/>
      <c r="E14" s="7668"/>
      <c r="F14" s="7668"/>
      <c r="G14" s="7668"/>
      <c r="H14" s="7668"/>
      <c r="I14" s="7668"/>
      <c r="J14" s="7668"/>
      <c r="K14" s="7668"/>
      <c r="L14" s="7668"/>
      <c r="M14" s="7668"/>
      <c r="N14" s="7668"/>
    </row>
    <row r="15" spans="1:14" ht="18.75" x14ac:dyDescent="0.3">
      <c r="A15" s="7666">
        <v>13</v>
      </c>
      <c r="B15" s="7667" t="s">
        <v>82</v>
      </c>
      <c r="C15" s="7668">
        <v>0</v>
      </c>
      <c r="D15" s="7668"/>
      <c r="E15" s="7668"/>
      <c r="F15" s="7668"/>
      <c r="G15" s="7668"/>
      <c r="H15" s="7668"/>
      <c r="I15" s="7668"/>
      <c r="J15" s="7668"/>
      <c r="K15" s="7668"/>
      <c r="L15" s="7668"/>
      <c r="M15" s="7668"/>
      <c r="N15" s="7668"/>
    </row>
    <row r="16" spans="1:14" ht="18.75" x14ac:dyDescent="0.3">
      <c r="A16" s="7666">
        <v>14</v>
      </c>
      <c r="B16" s="7667" t="s">
        <v>442</v>
      </c>
      <c r="C16" s="7668">
        <v>0</v>
      </c>
      <c r="D16" s="7668"/>
      <c r="E16" s="7668"/>
      <c r="F16" s="7668"/>
      <c r="G16" s="7668"/>
      <c r="H16" s="7668"/>
      <c r="I16" s="7668"/>
      <c r="J16" s="7668"/>
      <c r="K16" s="7668"/>
      <c r="L16" s="7668"/>
      <c r="M16" s="7668"/>
      <c r="N16" s="7668"/>
    </row>
    <row r="17" spans="1:14" ht="18.75" x14ac:dyDescent="0.3">
      <c r="A17" s="7666"/>
      <c r="B17" s="7669" t="s">
        <v>1918</v>
      </c>
      <c r="C17" s="7670">
        <f>SUM(C3:C16)</f>
        <v>8.9432777663294907</v>
      </c>
      <c r="D17" s="7670">
        <f>SUM(D3:D16)</f>
        <v>0</v>
      </c>
      <c r="E17" s="7670">
        <f t="shared" ref="E17:I17" si="0">SUM(E3:E16)</f>
        <v>0</v>
      </c>
      <c r="F17" s="7670">
        <f t="shared" si="0"/>
        <v>0</v>
      </c>
      <c r="G17" s="7670">
        <f t="shared" si="0"/>
        <v>0</v>
      </c>
      <c r="H17" s="7670">
        <f t="shared" si="0"/>
        <v>0</v>
      </c>
      <c r="I17" s="7670">
        <f t="shared" si="0"/>
        <v>0</v>
      </c>
      <c r="J17" s="7670">
        <f>SUM(J3:J16)</f>
        <v>0</v>
      </c>
      <c r="K17" s="7670">
        <f>SUM(K3:K16)</f>
        <v>0</v>
      </c>
      <c r="L17" s="7670">
        <f>SUM(L3:L16)</f>
        <v>0</v>
      </c>
      <c r="M17" s="7670">
        <f>SUM(M3:M16)</f>
        <v>0</v>
      </c>
      <c r="N17" s="7670">
        <f>SUM(N3:N16)</f>
        <v>0</v>
      </c>
    </row>
  </sheetData>
  <mergeCells count="3">
    <mergeCell ref="A1:A2"/>
    <mergeCell ref="B1:B2"/>
    <mergeCell ref="C1:N1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8" sqref="D28"/>
    </sheetView>
  </sheetViews>
  <sheetFormatPr defaultColWidth="8.85546875" defaultRowHeight="15" x14ac:dyDescent="0.25"/>
  <cols>
    <col min="1" max="1" width="83.85546875" style="7488" customWidth="1"/>
    <col min="2" max="2" width="12.140625" style="7488" customWidth="1"/>
    <col min="3" max="16384" width="8.85546875" style="7488"/>
  </cols>
  <sheetData>
    <row r="1" spans="1:2" ht="15.75" x14ac:dyDescent="0.25">
      <c r="A1" s="7487" t="s">
        <v>2298</v>
      </c>
    </row>
    <row r="2" spans="1:2" ht="15.75" x14ac:dyDescent="0.25">
      <c r="A2" s="7487"/>
    </row>
    <row r="3" spans="1:2" ht="36.75" customHeight="1" x14ac:dyDescent="0.25">
      <c r="A3" s="7489" t="s">
        <v>2299</v>
      </c>
      <c r="B3" s="7490" t="s">
        <v>1984</v>
      </c>
    </row>
    <row r="4" spans="1:2" ht="15.75" x14ac:dyDescent="0.25">
      <c r="A4" s="7491" t="s">
        <v>2300</v>
      </c>
      <c r="B4" s="7492"/>
    </row>
    <row r="5" spans="1:2" x14ac:dyDescent="0.25">
      <c r="A5" s="7489" t="s">
        <v>2301</v>
      </c>
      <c r="B5" s="7493">
        <v>54325</v>
      </c>
    </row>
    <row r="6" spans="1:2" x14ac:dyDescent="0.25">
      <c r="A6" s="7489" t="s">
        <v>2302</v>
      </c>
      <c r="B6" s="7493">
        <v>1866115.8800000001</v>
      </c>
    </row>
    <row r="7" spans="1:2" x14ac:dyDescent="0.25">
      <c r="A7" s="7489" t="s">
        <v>2303</v>
      </c>
      <c r="B7" s="7493">
        <v>59400</v>
      </c>
    </row>
    <row r="8" spans="1:2" x14ac:dyDescent="0.25">
      <c r="A8" s="7494" t="s">
        <v>2304</v>
      </c>
      <c r="B8" s="7495">
        <f t="shared" ref="B8" si="0">+B5+B6-B7</f>
        <v>1861040.8800000001</v>
      </c>
    </row>
    <row r="9" spans="1:2" ht="15.75" x14ac:dyDescent="0.25">
      <c r="A9" s="7491" t="s">
        <v>2305</v>
      </c>
      <c r="B9" s="7492"/>
    </row>
    <row r="10" spans="1:2" x14ac:dyDescent="0.25">
      <c r="A10" s="7489" t="s">
        <v>2301</v>
      </c>
      <c r="B10" s="7493">
        <v>10457</v>
      </c>
    </row>
    <row r="11" spans="1:2" x14ac:dyDescent="0.25">
      <c r="A11" s="7489" t="s">
        <v>2302</v>
      </c>
      <c r="B11" s="7496">
        <v>436167.24894736841</v>
      </c>
    </row>
    <row r="12" spans="1:2" x14ac:dyDescent="0.25">
      <c r="A12" s="7489" t="s">
        <v>2303</v>
      </c>
      <c r="B12" s="7493">
        <v>12060</v>
      </c>
    </row>
    <row r="13" spans="1:2" x14ac:dyDescent="0.25">
      <c r="A13" s="7494" t="s">
        <v>2304</v>
      </c>
      <c r="B13" s="7497">
        <f t="shared" ref="B13" si="1">+B10+B11-B12</f>
        <v>434564.24894736841</v>
      </c>
    </row>
    <row r="14" spans="1:2" ht="15.75" x14ac:dyDescent="0.25">
      <c r="A14" s="7491" t="s">
        <v>25</v>
      </c>
      <c r="B14" s="7492"/>
    </row>
    <row r="15" spans="1:2" x14ac:dyDescent="0.25">
      <c r="A15" s="7489" t="s">
        <v>2301</v>
      </c>
      <c r="B15" s="7498">
        <v>76700</v>
      </c>
    </row>
    <row r="16" spans="1:2" ht="30" x14ac:dyDescent="0.25">
      <c r="A16" s="7499" t="s">
        <v>2306</v>
      </c>
      <c r="B16" s="7500">
        <v>100352.1</v>
      </c>
    </row>
    <row r="17" spans="1:2" x14ac:dyDescent="0.25">
      <c r="A17" s="7489" t="s">
        <v>2303</v>
      </c>
      <c r="B17" s="7500">
        <v>29935.786234353967</v>
      </c>
    </row>
    <row r="18" spans="1:2" x14ac:dyDescent="0.25">
      <c r="A18" s="7494" t="s">
        <v>2307</v>
      </c>
      <c r="B18" s="7497">
        <f t="shared" ref="B18" si="2">+B15+B16-B17</f>
        <v>147116.31376564605</v>
      </c>
    </row>
    <row r="19" spans="1:2" x14ac:dyDescent="0.25">
      <c r="A19" s="7489" t="s">
        <v>2308</v>
      </c>
      <c r="B19" s="7501">
        <v>1.4662774982078253</v>
      </c>
    </row>
    <row r="20" spans="1:2" x14ac:dyDescent="0.25">
      <c r="A20" s="7494" t="s">
        <v>2309</v>
      </c>
      <c r="B20" s="7497">
        <f t="shared" ref="B20" si="3">B18*(100-B19)/100</f>
        <v>144959.18036070754</v>
      </c>
    </row>
    <row r="21" spans="1:2" x14ac:dyDescent="0.25">
      <c r="A21" s="7489" t="s">
        <v>2310</v>
      </c>
      <c r="B21" s="7501">
        <v>69.7</v>
      </c>
    </row>
    <row r="22" spans="1:2" ht="29.25" customHeight="1" x14ac:dyDescent="0.25">
      <c r="A22" s="7502" t="s">
        <v>2311</v>
      </c>
      <c r="B22" s="7497">
        <f t="shared" ref="B22" si="4">B20/(B21/100)</f>
        <v>207975.86852325327</v>
      </c>
    </row>
    <row r="23" spans="1:2" ht="29.25" customHeight="1" x14ac:dyDescent="0.25">
      <c r="A23" s="7503" t="s">
        <v>2312</v>
      </c>
      <c r="B23" s="7496">
        <v>9.3269428660514908</v>
      </c>
    </row>
    <row r="24" spans="1:2" x14ac:dyDescent="0.25">
      <c r="A24" s="7489" t="s">
        <v>2313</v>
      </c>
      <c r="B24" s="7498">
        <v>3</v>
      </c>
    </row>
    <row r="25" spans="1:2" ht="55.15" customHeight="1" x14ac:dyDescent="0.25">
      <c r="A25" s="7502" t="s">
        <v>2314</v>
      </c>
      <c r="B25" s="7504">
        <f>(B22/((100-B23)/100))/((100-B24)/100)</f>
        <v>236462.86852653933</v>
      </c>
    </row>
    <row r="26" spans="1:2" x14ac:dyDescent="0.25">
      <c r="A26" s="7494" t="s">
        <v>2315</v>
      </c>
      <c r="B26" s="7504">
        <f t="shared" ref="B26" si="5">B8+B13+B25</f>
        <v>2532067.9974739077</v>
      </c>
    </row>
    <row r="27" spans="1:2" x14ac:dyDescent="0.25">
      <c r="A27" s="7489" t="s">
        <v>2316</v>
      </c>
      <c r="B27" s="7498">
        <v>2900019.3999999994</v>
      </c>
    </row>
    <row r="28" spans="1:2" ht="15.75" x14ac:dyDescent="0.25">
      <c r="A28" s="7505" t="s">
        <v>2317</v>
      </c>
      <c r="B28" s="7506">
        <f t="shared" ref="B28" si="6">B26/B27</f>
        <v>0.87312105480187763</v>
      </c>
    </row>
  </sheetData>
  <pageMargins left="0.7" right="0.7" top="0.75" bottom="0.75" header="0.3" footer="0.3"/>
  <pageSetup paperSize="9"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D5:Q23"/>
  <sheetViews>
    <sheetView workbookViewId="0">
      <selection activeCell="K19" sqref="K19"/>
    </sheetView>
  </sheetViews>
  <sheetFormatPr defaultRowHeight="15" x14ac:dyDescent="0.25"/>
  <cols>
    <col min="4" max="4" width="22.42578125" bestFit="1" customWidth="1"/>
    <col min="17" max="17" width="11.85546875" customWidth="1"/>
  </cols>
  <sheetData>
    <row r="5" spans="4:17" ht="23.25" x14ac:dyDescent="0.35">
      <c r="D5" s="8435" t="s">
        <v>2368</v>
      </c>
      <c r="E5" s="8436"/>
      <c r="F5" s="8436"/>
      <c r="G5" s="8436"/>
      <c r="H5" s="8436"/>
      <c r="I5" s="8436"/>
      <c r="J5" s="8436"/>
      <c r="K5" s="8436"/>
      <c r="L5" s="8436"/>
      <c r="M5" s="8436"/>
      <c r="N5" s="8436"/>
      <c r="O5" s="8436"/>
      <c r="P5" s="8436"/>
      <c r="Q5" s="8436"/>
    </row>
    <row r="6" spans="4:17" ht="15.75" thickBot="1" x14ac:dyDescent="0.3">
      <c r="D6" s="3070"/>
      <c r="E6" s="3070"/>
      <c r="F6" s="3070"/>
      <c r="G6" s="3070"/>
      <c r="H6" s="3070"/>
      <c r="I6" s="3070"/>
      <c r="J6" s="3070"/>
      <c r="K6" s="3070"/>
      <c r="L6" s="3070"/>
      <c r="M6" s="3070"/>
      <c r="N6" s="3070"/>
      <c r="O6" s="3070"/>
      <c r="P6" s="3070"/>
      <c r="Q6" s="3070"/>
    </row>
    <row r="7" spans="4:17" ht="16.5" thickBot="1" x14ac:dyDescent="0.3">
      <c r="D7" s="7533" t="s">
        <v>2318</v>
      </c>
      <c r="E7" s="7534">
        <v>46113</v>
      </c>
      <c r="F7" s="7534">
        <v>46143</v>
      </c>
      <c r="G7" s="7534">
        <v>46174</v>
      </c>
      <c r="H7" s="7534">
        <v>46204</v>
      </c>
      <c r="I7" s="7534">
        <v>46235</v>
      </c>
      <c r="J7" s="7534">
        <v>46266</v>
      </c>
      <c r="K7" s="7534">
        <v>46296</v>
      </c>
      <c r="L7" s="7534">
        <v>46327</v>
      </c>
      <c r="M7" s="7534">
        <v>46357</v>
      </c>
      <c r="N7" s="7534">
        <v>46388</v>
      </c>
      <c r="O7" s="7534">
        <v>46419</v>
      </c>
      <c r="P7" s="7534">
        <v>46447</v>
      </c>
      <c r="Q7" s="7535" t="s">
        <v>2367</v>
      </c>
    </row>
    <row r="8" spans="4:17" x14ac:dyDescent="0.25">
      <c r="D8" s="7512" t="s">
        <v>1642</v>
      </c>
      <c r="E8" s="7513"/>
      <c r="F8" s="7514"/>
      <c r="G8" s="7514"/>
      <c r="H8" s="7514"/>
      <c r="I8" s="7514"/>
      <c r="J8" s="7514"/>
      <c r="K8" s="7514"/>
      <c r="L8" s="7514"/>
      <c r="M8" s="7514"/>
      <c r="N8" s="7515"/>
      <c r="O8" s="7515"/>
      <c r="P8" s="7516"/>
      <c r="Q8" s="7536">
        <f t="shared" ref="Q8:Q23" si="0">SUM(E8:P8)</f>
        <v>0</v>
      </c>
    </row>
    <row r="9" spans="4:17" x14ac:dyDescent="0.25">
      <c r="D9" s="7517" t="s">
        <v>1643</v>
      </c>
      <c r="E9" s="7518"/>
      <c r="F9" s="7519"/>
      <c r="G9" s="7519"/>
      <c r="H9" s="7519"/>
      <c r="I9" s="7519"/>
      <c r="J9" s="7519"/>
      <c r="K9" s="7519"/>
      <c r="L9" s="7519"/>
      <c r="M9" s="7519"/>
      <c r="N9" s="7520"/>
      <c r="O9" s="7520"/>
      <c r="P9" s="7521"/>
      <c r="Q9" s="7537">
        <f t="shared" si="0"/>
        <v>0</v>
      </c>
    </row>
    <row r="10" spans="4:17" x14ac:dyDescent="0.25">
      <c r="D10" s="7517" t="s">
        <v>1644</v>
      </c>
      <c r="E10" s="7518"/>
      <c r="F10" s="7519"/>
      <c r="G10" s="7519"/>
      <c r="H10" s="7519"/>
      <c r="I10" s="7519"/>
      <c r="J10" s="7519"/>
      <c r="K10" s="7519"/>
      <c r="L10" s="7519"/>
      <c r="M10" s="7519"/>
      <c r="N10" s="7520"/>
      <c r="O10" s="7520"/>
      <c r="P10" s="7521"/>
      <c r="Q10" s="7537">
        <f t="shared" si="0"/>
        <v>0</v>
      </c>
    </row>
    <row r="11" spans="4:17" x14ac:dyDescent="0.25">
      <c r="D11" s="7517" t="s">
        <v>1645</v>
      </c>
      <c r="E11" s="7518"/>
      <c r="F11" s="7519"/>
      <c r="G11" s="7519"/>
      <c r="H11" s="7519"/>
      <c r="I11" s="7519"/>
      <c r="J11" s="7519"/>
      <c r="K11" s="7519"/>
      <c r="L11" s="7519"/>
      <c r="M11" s="7519"/>
      <c r="N11" s="7520"/>
      <c r="O11" s="7520"/>
      <c r="P11" s="7521"/>
      <c r="Q11" s="7537">
        <f t="shared" si="0"/>
        <v>0</v>
      </c>
    </row>
    <row r="12" spans="4:17" x14ac:dyDescent="0.25">
      <c r="D12" s="7517" t="s">
        <v>15</v>
      </c>
      <c r="E12" s="7518"/>
      <c r="F12" s="7519"/>
      <c r="G12" s="7519"/>
      <c r="H12" s="7519"/>
      <c r="I12" s="7519"/>
      <c r="J12" s="7519"/>
      <c r="K12" s="7519"/>
      <c r="L12" s="7519"/>
      <c r="M12" s="7519"/>
      <c r="N12" s="7520"/>
      <c r="O12" s="7520"/>
      <c r="P12" s="7521"/>
      <c r="Q12" s="7537">
        <f t="shared" si="0"/>
        <v>0</v>
      </c>
    </row>
    <row r="13" spans="4:17" x14ac:dyDescent="0.25">
      <c r="D13" s="7517" t="s">
        <v>1646</v>
      </c>
      <c r="E13" s="7518"/>
      <c r="F13" s="7519"/>
      <c r="G13" s="7519"/>
      <c r="H13" s="7519"/>
      <c r="I13" s="7519"/>
      <c r="J13" s="7519"/>
      <c r="K13" s="7519"/>
      <c r="L13" s="7519"/>
      <c r="M13" s="7519"/>
      <c r="N13" s="7520"/>
      <c r="O13" s="7520"/>
      <c r="P13" s="7521"/>
      <c r="Q13" s="7537">
        <f t="shared" si="0"/>
        <v>0</v>
      </c>
    </row>
    <row r="14" spans="4:17" x14ac:dyDescent="0.25">
      <c r="D14" s="7517" t="s">
        <v>1647</v>
      </c>
      <c r="E14" s="7518"/>
      <c r="F14" s="7519"/>
      <c r="G14" s="7519"/>
      <c r="H14" s="7519"/>
      <c r="I14" s="7519"/>
      <c r="J14" s="7519"/>
      <c r="K14" s="7519"/>
      <c r="L14" s="7519"/>
      <c r="M14" s="7519"/>
      <c r="N14" s="7520"/>
      <c r="O14" s="7520"/>
      <c r="P14" s="7521"/>
      <c r="Q14" s="7537">
        <f t="shared" si="0"/>
        <v>0</v>
      </c>
    </row>
    <row r="15" spans="4:17" x14ac:dyDescent="0.25">
      <c r="D15" s="7517" t="s">
        <v>57</v>
      </c>
      <c r="E15" s="7518"/>
      <c r="F15" s="7519"/>
      <c r="G15" s="7519"/>
      <c r="H15" s="7519"/>
      <c r="I15" s="7519"/>
      <c r="J15" s="7519"/>
      <c r="K15" s="7519"/>
      <c r="L15" s="7519"/>
      <c r="M15" s="7519"/>
      <c r="N15" s="7520"/>
      <c r="O15" s="7520"/>
      <c r="P15" s="7521"/>
      <c r="Q15" s="7537">
        <f t="shared" si="0"/>
        <v>0</v>
      </c>
    </row>
    <row r="16" spans="4:17" x14ac:dyDescent="0.25">
      <c r="D16" s="7517" t="s">
        <v>58</v>
      </c>
      <c r="E16" s="7518"/>
      <c r="F16" s="7519"/>
      <c r="G16" s="7519"/>
      <c r="H16" s="7519"/>
      <c r="I16" s="7519"/>
      <c r="J16" s="7519"/>
      <c r="K16" s="7519"/>
      <c r="L16" s="7519"/>
      <c r="M16" s="7519"/>
      <c r="N16" s="7520"/>
      <c r="O16" s="7520"/>
      <c r="P16" s="7521"/>
      <c r="Q16" s="7537">
        <f t="shared" si="0"/>
        <v>0</v>
      </c>
    </row>
    <row r="17" spans="4:17" x14ac:dyDescent="0.25">
      <c r="D17" s="7517" t="s">
        <v>1247</v>
      </c>
      <c r="E17" s="7518"/>
      <c r="F17" s="7519"/>
      <c r="G17" s="7519"/>
      <c r="H17" s="7519"/>
      <c r="I17" s="7519"/>
      <c r="J17" s="7519"/>
      <c r="K17" s="7519"/>
      <c r="L17" s="7519"/>
      <c r="M17" s="7519"/>
      <c r="N17" s="7520"/>
      <c r="O17" s="7520"/>
      <c r="P17" s="7521"/>
      <c r="Q17" s="7537">
        <f t="shared" si="0"/>
        <v>0</v>
      </c>
    </row>
    <row r="18" spans="4:17" x14ac:dyDescent="0.25">
      <c r="D18" s="7517" t="s">
        <v>59</v>
      </c>
      <c r="E18" s="7518"/>
      <c r="F18" s="7519"/>
      <c r="G18" s="7519"/>
      <c r="H18" s="7519"/>
      <c r="I18" s="7519"/>
      <c r="J18" s="7519"/>
      <c r="K18" s="7519"/>
      <c r="L18" s="7519"/>
      <c r="M18" s="7519"/>
      <c r="N18" s="7520"/>
      <c r="O18" s="7520"/>
      <c r="P18" s="7521"/>
      <c r="Q18" s="7537">
        <f t="shared" si="0"/>
        <v>0</v>
      </c>
    </row>
    <row r="19" spans="4:17" x14ac:dyDescent="0.25">
      <c r="D19" s="7517" t="s">
        <v>1648</v>
      </c>
      <c r="E19" s="7518"/>
      <c r="F19" s="7519"/>
      <c r="G19" s="7519"/>
      <c r="H19" s="7519"/>
      <c r="I19" s="7522"/>
      <c r="J19" s="7519"/>
      <c r="K19" s="7522"/>
      <c r="L19" s="7519"/>
      <c r="M19" s="7519"/>
      <c r="N19" s="7520"/>
      <c r="O19" s="7520"/>
      <c r="P19" s="7521"/>
      <c r="Q19" s="7537">
        <f t="shared" si="0"/>
        <v>0</v>
      </c>
    </row>
    <row r="20" spans="4:17" x14ac:dyDescent="0.25">
      <c r="D20" s="7517" t="s">
        <v>1649</v>
      </c>
      <c r="E20" s="7518"/>
      <c r="F20" s="7519"/>
      <c r="G20" s="7519"/>
      <c r="H20" s="7519"/>
      <c r="I20" s="7519"/>
      <c r="J20" s="7519"/>
      <c r="K20" s="7519"/>
      <c r="L20" s="7519"/>
      <c r="M20" s="7519"/>
      <c r="N20" s="7520"/>
      <c r="O20" s="7520"/>
      <c r="P20" s="7521"/>
      <c r="Q20" s="7537">
        <f t="shared" si="0"/>
        <v>0</v>
      </c>
    </row>
    <row r="21" spans="4:17" x14ac:dyDescent="0.25">
      <c r="D21" s="7517" t="s">
        <v>1650</v>
      </c>
      <c r="E21" s="7518"/>
      <c r="F21" s="7519"/>
      <c r="G21" s="7519"/>
      <c r="H21" s="7519"/>
      <c r="I21" s="7519"/>
      <c r="J21" s="7519"/>
      <c r="K21" s="7519"/>
      <c r="L21" s="7519"/>
      <c r="M21" s="7519"/>
      <c r="N21" s="7520"/>
      <c r="O21" s="7520"/>
      <c r="P21" s="7521"/>
      <c r="Q21" s="7537">
        <f t="shared" si="0"/>
        <v>0</v>
      </c>
    </row>
    <row r="22" spans="4:17" ht="15.75" thickBot="1" x14ac:dyDescent="0.3">
      <c r="D22" s="7523" t="s">
        <v>1651</v>
      </c>
      <c r="E22" s="7524"/>
      <c r="F22" s="7525"/>
      <c r="G22" s="7525"/>
      <c r="H22" s="7525"/>
      <c r="I22" s="7525"/>
      <c r="J22" s="7525"/>
      <c r="K22" s="7525"/>
      <c r="L22" s="7525"/>
      <c r="M22" s="7525"/>
      <c r="N22" s="7526"/>
      <c r="O22" s="7526"/>
      <c r="P22" s="7527"/>
      <c r="Q22" s="7538">
        <f t="shared" si="0"/>
        <v>0</v>
      </c>
    </row>
    <row r="23" spans="4:17" ht="15.75" thickBot="1" x14ac:dyDescent="0.3">
      <c r="D23" s="7528" t="s">
        <v>1652</v>
      </c>
      <c r="E23" s="7529">
        <f t="shared" ref="E23:P23" si="1">SUM(E8:E22)</f>
        <v>0</v>
      </c>
      <c r="F23" s="7529">
        <f t="shared" si="1"/>
        <v>0</v>
      </c>
      <c r="G23" s="7529">
        <f t="shared" si="1"/>
        <v>0</v>
      </c>
      <c r="H23" s="7529">
        <f t="shared" si="1"/>
        <v>0</v>
      </c>
      <c r="I23" s="7529">
        <f t="shared" si="1"/>
        <v>0</v>
      </c>
      <c r="J23" s="7529">
        <f t="shared" si="1"/>
        <v>0</v>
      </c>
      <c r="K23" s="7529">
        <f t="shared" si="1"/>
        <v>0</v>
      </c>
      <c r="L23" s="7529">
        <f t="shared" si="1"/>
        <v>0</v>
      </c>
      <c r="M23" s="7529">
        <f t="shared" si="1"/>
        <v>0</v>
      </c>
      <c r="N23" s="7530">
        <f t="shared" si="1"/>
        <v>0</v>
      </c>
      <c r="O23" s="7531">
        <f t="shared" si="1"/>
        <v>0</v>
      </c>
      <c r="P23" s="7532">
        <f t="shared" si="1"/>
        <v>0</v>
      </c>
      <c r="Q23" s="7539">
        <f t="shared" si="0"/>
        <v>0</v>
      </c>
    </row>
  </sheetData>
  <mergeCells count="1">
    <mergeCell ref="D5:Q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9" sqref="L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29</vt:i4>
      </vt:variant>
    </vt:vector>
  </HeadingPairs>
  <TitlesOfParts>
    <vt:vector size="68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Special steel </vt:lpstr>
      <vt:lpstr>Slag Analysis</vt:lpstr>
      <vt:lpstr>Delay Analysis </vt:lpstr>
      <vt:lpstr>Capital Repair</vt:lpstr>
      <vt:lpstr>Shopwise Refractory consumption</vt:lpstr>
      <vt:lpstr>CHM</vt:lpstr>
      <vt:lpstr>Sheet2</vt:lpstr>
      <vt:lpstr>Make up water</vt:lpstr>
      <vt:lpstr>Sheet1</vt:lpstr>
      <vt:lpstr>'150x150 saleable grades'!Print_Area</vt:lpstr>
      <vt:lpstr>'B-FCE'!Print_Area</vt:lpstr>
      <vt:lpstr>BM!Print_Area</vt:lpstr>
      <vt:lpstr>CHM!Print_Area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2026-05-15T07:10:07Z</dcterms:modified>
</cp:coreProperties>
</file>